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$2022_Rate Case\Final Proposal\Public Rate Impacts\"/>
    </mc:Choice>
  </mc:AlternateContent>
  <bookViews>
    <workbookView xWindow="1512" yWindow="48" windowWidth="27072" windowHeight="11652" tabRatio="680" activeTab="18"/>
  </bookViews>
  <sheets>
    <sheet name="Init" sheetId="11" r:id="rId1"/>
    <sheet name="TOCA_previous" sheetId="10" r:id="rId2"/>
    <sheet name="TOCA_current" sheetId="9" r:id="rId3"/>
    <sheet name="LS_previous" sheetId="8" r:id="rId4"/>
    <sheet name="LS_current" sheetId="7" r:id="rId5"/>
    <sheet name="Demand_previous" sheetId="6" r:id="rId6"/>
    <sheet name="Demand_current" sheetId="4" r:id="rId7"/>
    <sheet name="Rates_previous" sheetId="2" r:id="rId8"/>
    <sheet name="Rates_current" sheetId="3" r:id="rId9"/>
    <sheet name="IRD" sheetId="1" r:id="rId10"/>
    <sheet name="RT1SC" sheetId="16" r:id="rId11"/>
    <sheet name="LS_Demand_Rates_Restatement" sheetId="13" r:id="rId12"/>
    <sheet name="Staging Table" sheetId="27" r:id="rId13"/>
    <sheet name="Charges_Including Slice and LS" sheetId="12" r:id="rId14"/>
    <sheet name="Charges_NonSlice" sheetId="30" r:id="rId15"/>
    <sheet name="Charges_NonSlice &amp; Excl LS" sheetId="31" r:id="rId16"/>
    <sheet name="Outputs" sheetId="20" r:id="rId17"/>
    <sheet name="Restatement" sheetId="23" r:id="rId18"/>
    <sheet name="Non-Slice Chart" sheetId="24" r:id="rId19"/>
    <sheet name="Non-Slice - Ordered Chart" sheetId="25" r:id="rId20"/>
  </sheets>
  <externalReferences>
    <externalReference r:id="rId21"/>
  </externalReferences>
  <definedNames>
    <definedName name="_xlnm._FilterDatabase" localSheetId="17" hidden="1">Restatement!$X$3:$AB$3</definedName>
    <definedName name="CurrentYear">Init!$AS$3:$AS$4</definedName>
    <definedName name="DemandRateSelect" localSheetId="14">[1]Rates_TRM_12!#REF!</definedName>
    <definedName name="DemandRateSelect" localSheetId="15">[1]Rates_TRM_12!#REF!</definedName>
    <definedName name="DemandRateSelect">[1]Rates_TRM_12!#REF!</definedName>
    <definedName name="No" localSheetId="14">[1]Rates_TRM_12!#REF!</definedName>
    <definedName name="No" localSheetId="15">[1]Rates_TRM_12!#REF!</definedName>
    <definedName name="No">[1]Rates_TRM_12!#REF!</definedName>
    <definedName name="_xlnm.Print_Area" localSheetId="8">Rates_current!$A$1:$O$81</definedName>
    <definedName name="YesNo">Init!$AT$3:$AT$4</definedName>
  </definedNames>
  <calcPr calcId="162913"/>
</workbook>
</file>

<file path=xl/calcChain.xml><?xml version="1.0" encoding="utf-8"?>
<calcChain xmlns="http://schemas.openxmlformats.org/spreadsheetml/2006/main">
  <c r="H34" i="3" l="1"/>
  <c r="D87" i="3"/>
  <c r="C86" i="3"/>
  <c r="C88" i="3" s="1"/>
  <c r="C87" i="3"/>
  <c r="A70" i="23" l="1"/>
  <c r="C70" i="23" s="1"/>
  <c r="BU59" i="27"/>
  <c r="H59" i="27"/>
  <c r="H81" i="27"/>
  <c r="BU81" i="27"/>
  <c r="L70" i="23" l="1"/>
  <c r="P70" i="23"/>
  <c r="N70" i="23"/>
  <c r="F70" i="23"/>
  <c r="K139" i="27"/>
  <c r="D86" i="3" l="1"/>
  <c r="D88" i="3" s="1"/>
  <c r="DU8" i="27" l="1"/>
  <c r="DU44" i="27"/>
  <c r="DU45" i="27"/>
  <c r="DU54" i="27"/>
  <c r="DU59" i="27"/>
  <c r="DU61" i="27"/>
  <c r="DU67" i="27"/>
  <c r="DU70" i="27"/>
  <c r="DU74" i="27"/>
  <c r="DU81" i="27"/>
  <c r="DU96" i="27"/>
  <c r="DU99" i="27"/>
  <c r="DU101" i="27"/>
  <c r="DU109" i="27"/>
  <c r="DU111" i="27"/>
  <c r="DU115" i="27"/>
  <c r="BH44" i="27"/>
  <c r="BH45" i="27"/>
  <c r="BH54" i="27"/>
  <c r="BH59" i="27"/>
  <c r="BH61" i="27"/>
  <c r="BH67" i="27"/>
  <c r="BH70" i="27"/>
  <c r="BH74" i="27"/>
  <c r="BH81" i="27"/>
  <c r="BH96" i="27"/>
  <c r="BH99" i="27"/>
  <c r="BH101" i="27"/>
  <c r="BH109" i="27"/>
  <c r="BH111" i="27"/>
  <c r="BH115" i="27"/>
  <c r="BH8" i="27"/>
  <c r="C7" i="27"/>
  <c r="C8" i="27"/>
  <c r="C9" i="27"/>
  <c r="C10" i="27"/>
  <c r="C11" i="27"/>
  <c r="BH11" i="27" s="1"/>
  <c r="C12" i="27"/>
  <c r="C13" i="27"/>
  <c r="DU13" i="27" s="1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BH46" i="27" s="1"/>
  <c r="C47" i="27"/>
  <c r="C48" i="27"/>
  <c r="C49" i="27"/>
  <c r="C50" i="27"/>
  <c r="C51" i="27"/>
  <c r="C52" i="27"/>
  <c r="BH52" i="27" s="1"/>
  <c r="C53" i="27"/>
  <c r="BH53" i="27" s="1"/>
  <c r="C54" i="27"/>
  <c r="C55" i="27"/>
  <c r="BH55" i="27" s="1"/>
  <c r="C56" i="27"/>
  <c r="C57" i="27"/>
  <c r="C58" i="27"/>
  <c r="C59" i="27"/>
  <c r="C60" i="27"/>
  <c r="C61" i="27"/>
  <c r="C62" i="27"/>
  <c r="C63" i="27"/>
  <c r="DU63" i="27" s="1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DU80" i="27" s="1"/>
  <c r="C81" i="27"/>
  <c r="C82" i="27"/>
  <c r="DU82" i="27" s="1"/>
  <c r="C83" i="27"/>
  <c r="C84" i="27"/>
  <c r="C85" i="27"/>
  <c r="C86" i="27"/>
  <c r="C87" i="27"/>
  <c r="C88" i="27"/>
  <c r="C89" i="27"/>
  <c r="C90" i="27"/>
  <c r="C91" i="27"/>
  <c r="C92" i="27"/>
  <c r="BH92" i="27" s="1"/>
  <c r="C93" i="27"/>
  <c r="C94" i="27"/>
  <c r="C95" i="27"/>
  <c r="DU95" i="27" s="1"/>
  <c r="C96" i="27"/>
  <c r="C97" i="27"/>
  <c r="BH97" i="27" s="1"/>
  <c r="C98" i="27"/>
  <c r="C99" i="27"/>
  <c r="C100" i="27"/>
  <c r="C101" i="27"/>
  <c r="C102" i="27"/>
  <c r="C103" i="27"/>
  <c r="C104" i="27"/>
  <c r="BH104" i="27" s="1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BH131" i="27" s="1"/>
  <c r="C132" i="27"/>
  <c r="C133" i="27"/>
  <c r="C134" i="27"/>
  <c r="C135" i="27"/>
  <c r="C136" i="27"/>
  <c r="C137" i="27"/>
  <c r="C138" i="27"/>
  <c r="C139" i="27"/>
  <c r="C140" i="27"/>
  <c r="C6" i="27"/>
  <c r="R3" i="11"/>
  <c r="C4" i="16"/>
  <c r="C3" i="16"/>
  <c r="H34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6" i="2"/>
  <c r="R6" i="2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S6" i="3"/>
  <c r="R6" i="3"/>
  <c r="DU104" i="27" l="1"/>
  <c r="BH95" i="27"/>
  <c r="DU55" i="27"/>
  <c r="DU11" i="27"/>
  <c r="BH63" i="27"/>
  <c r="BH82" i="27"/>
  <c r="BH13" i="27"/>
  <c r="DU53" i="27"/>
  <c r="DU97" i="27"/>
  <c r="DU52" i="27"/>
  <c r="BH80" i="27"/>
  <c r="DU131" i="27"/>
  <c r="DU46" i="27"/>
  <c r="DU92" i="27"/>
  <c r="C88" i="2"/>
  <c r="D88" i="2"/>
  <c r="X9" i="31" l="1"/>
  <c r="X11" i="31"/>
  <c r="X44" i="31"/>
  <c r="X50" i="31"/>
  <c r="X51" i="31"/>
  <c r="X53" i="31"/>
  <c r="X61" i="31"/>
  <c r="X78" i="31"/>
  <c r="X80" i="31"/>
  <c r="X90" i="31"/>
  <c r="X93" i="31"/>
  <c r="X95" i="31"/>
  <c r="X102" i="31"/>
  <c r="X129" i="31"/>
  <c r="W9" i="31"/>
  <c r="W11" i="31"/>
  <c r="W44" i="31"/>
  <c r="W50" i="31"/>
  <c r="W51" i="31"/>
  <c r="W53" i="31"/>
  <c r="W61" i="31"/>
  <c r="W78" i="31"/>
  <c r="W80" i="31"/>
  <c r="W90" i="31"/>
  <c r="W93" i="31"/>
  <c r="W95" i="31"/>
  <c r="W102" i="31"/>
  <c r="W129" i="31"/>
  <c r="X9" i="30"/>
  <c r="X11" i="30"/>
  <c r="X44" i="30"/>
  <c r="X50" i="30"/>
  <c r="X51" i="30"/>
  <c r="X53" i="30"/>
  <c r="X61" i="30"/>
  <c r="X78" i="30"/>
  <c r="X80" i="30"/>
  <c r="X90" i="30"/>
  <c r="X93" i="30"/>
  <c r="X95" i="30"/>
  <c r="X102" i="30"/>
  <c r="X129" i="30"/>
  <c r="W9" i="30"/>
  <c r="W11" i="30"/>
  <c r="W44" i="30"/>
  <c r="W50" i="30"/>
  <c r="W51" i="30"/>
  <c r="W53" i="30"/>
  <c r="W61" i="30"/>
  <c r="W78" i="30"/>
  <c r="W80" i="30"/>
  <c r="W90" i="30"/>
  <c r="W93" i="30"/>
  <c r="W95" i="30"/>
  <c r="W102" i="30"/>
  <c r="W129" i="30"/>
  <c r="X9" i="12"/>
  <c r="X11" i="12"/>
  <c r="X44" i="12"/>
  <c r="X50" i="12"/>
  <c r="X51" i="12"/>
  <c r="X53" i="12"/>
  <c r="X61" i="12"/>
  <c r="X78" i="12"/>
  <c r="X80" i="12"/>
  <c r="X90" i="12"/>
  <c r="X93" i="12"/>
  <c r="X95" i="12"/>
  <c r="X102" i="12"/>
  <c r="X129" i="12"/>
  <c r="W9" i="12"/>
  <c r="W11" i="12"/>
  <c r="W44" i="12"/>
  <c r="W50" i="12"/>
  <c r="W51" i="12"/>
  <c r="W53" i="12"/>
  <c r="W61" i="12"/>
  <c r="W78" i="12"/>
  <c r="W80" i="12"/>
  <c r="W90" i="12"/>
  <c r="W93" i="12"/>
  <c r="W95" i="12"/>
  <c r="W102" i="12"/>
  <c r="W129" i="12"/>
  <c r="L9" i="12" l="1"/>
  <c r="M9" i="12"/>
  <c r="N9" i="12"/>
  <c r="L11" i="12"/>
  <c r="M11" i="12"/>
  <c r="N11" i="12"/>
  <c r="L44" i="12"/>
  <c r="M44" i="12"/>
  <c r="N44" i="12"/>
  <c r="L50" i="12"/>
  <c r="M50" i="12"/>
  <c r="N50" i="12"/>
  <c r="L51" i="12"/>
  <c r="M51" i="12"/>
  <c r="N51" i="12"/>
  <c r="L53" i="12"/>
  <c r="M53" i="12"/>
  <c r="N53" i="12"/>
  <c r="L61" i="12"/>
  <c r="M61" i="12"/>
  <c r="N61" i="12"/>
  <c r="L78" i="12"/>
  <c r="M78" i="12"/>
  <c r="N78" i="12"/>
  <c r="L80" i="12"/>
  <c r="M80" i="12"/>
  <c r="N80" i="12"/>
  <c r="L90" i="12"/>
  <c r="M90" i="12"/>
  <c r="N90" i="12"/>
  <c r="L93" i="12"/>
  <c r="M93" i="12"/>
  <c r="N93" i="12"/>
  <c r="L95" i="12"/>
  <c r="M95" i="12"/>
  <c r="N95" i="12"/>
  <c r="L102" i="12"/>
  <c r="M102" i="12"/>
  <c r="N102" i="12"/>
  <c r="L129" i="12"/>
  <c r="M129" i="12"/>
  <c r="N129" i="12"/>
  <c r="Y9" i="12"/>
  <c r="Y11" i="12"/>
  <c r="Y44" i="12"/>
  <c r="Y50" i="12"/>
  <c r="Y51" i="12"/>
  <c r="Y53" i="12"/>
  <c r="Y61" i="12"/>
  <c r="Y78" i="12"/>
  <c r="Y80" i="12"/>
  <c r="Y90" i="12"/>
  <c r="Y93" i="12"/>
  <c r="Y95" i="12"/>
  <c r="Y102" i="12"/>
  <c r="Y129" i="12"/>
  <c r="N9" i="30"/>
  <c r="N11" i="30"/>
  <c r="N44" i="30"/>
  <c r="N50" i="30"/>
  <c r="N51" i="30"/>
  <c r="N53" i="30"/>
  <c r="N61" i="30"/>
  <c r="N78" i="30"/>
  <c r="N80" i="30"/>
  <c r="N90" i="30"/>
  <c r="N93" i="30"/>
  <c r="N95" i="30"/>
  <c r="N102" i="30"/>
  <c r="N129" i="30"/>
  <c r="L9" i="30"/>
  <c r="M9" i="30"/>
  <c r="L11" i="30"/>
  <c r="M11" i="30"/>
  <c r="L44" i="30"/>
  <c r="M44" i="30"/>
  <c r="L50" i="30"/>
  <c r="M50" i="30"/>
  <c r="L51" i="30"/>
  <c r="M51" i="30"/>
  <c r="L53" i="30"/>
  <c r="M53" i="30"/>
  <c r="L61" i="30"/>
  <c r="M61" i="30"/>
  <c r="L78" i="30"/>
  <c r="M78" i="30"/>
  <c r="L80" i="30"/>
  <c r="M80" i="30"/>
  <c r="L90" i="30"/>
  <c r="M90" i="30"/>
  <c r="L93" i="30"/>
  <c r="M93" i="30"/>
  <c r="L95" i="30"/>
  <c r="M95" i="30"/>
  <c r="L102" i="30"/>
  <c r="M102" i="30"/>
  <c r="L129" i="30"/>
  <c r="M129" i="30"/>
  <c r="Y9" i="31" l="1"/>
  <c r="Y11" i="31"/>
  <c r="Y44" i="31"/>
  <c r="Y50" i="31"/>
  <c r="Y51" i="31"/>
  <c r="Y53" i="31"/>
  <c r="Y61" i="31"/>
  <c r="Y78" i="31"/>
  <c r="Y80" i="31"/>
  <c r="Y90" i="31"/>
  <c r="Y93" i="31"/>
  <c r="Y95" i="31"/>
  <c r="Y102" i="31"/>
  <c r="Y129" i="31"/>
  <c r="Y44" i="30"/>
  <c r="Y50" i="30"/>
  <c r="Y51" i="30"/>
  <c r="Y53" i="30"/>
  <c r="Y61" i="30"/>
  <c r="Y78" i="30"/>
  <c r="Y80" i="30"/>
  <c r="Y90" i="30"/>
  <c r="Y93" i="30"/>
  <c r="Y95" i="30"/>
  <c r="Y102" i="30"/>
  <c r="Y129" i="30"/>
  <c r="Z9" i="12"/>
  <c r="Z11" i="12"/>
  <c r="Z44" i="12"/>
  <c r="Z50" i="12"/>
  <c r="Z51" i="12"/>
  <c r="Z53" i="12"/>
  <c r="Z61" i="12"/>
  <c r="Z78" i="12"/>
  <c r="Z80" i="12"/>
  <c r="Z90" i="12"/>
  <c r="Z93" i="12"/>
  <c r="Z95" i="12"/>
  <c r="Z9" i="31"/>
  <c r="AA9" i="31" s="1"/>
  <c r="Z11" i="31"/>
  <c r="AA11" i="31" s="1"/>
  <c r="Z44" i="31"/>
  <c r="AA44" i="31" s="1"/>
  <c r="Z50" i="31"/>
  <c r="AA50" i="31" s="1"/>
  <c r="Z51" i="31"/>
  <c r="AA51" i="31" s="1"/>
  <c r="Z53" i="31"/>
  <c r="AA53" i="31" s="1"/>
  <c r="Z61" i="31"/>
  <c r="AA61" i="31" s="1"/>
  <c r="Z78" i="31"/>
  <c r="AA78" i="31" s="1"/>
  <c r="Z80" i="31"/>
  <c r="AA80" i="31" s="1"/>
  <c r="Z90" i="31"/>
  <c r="AA90" i="31" s="1"/>
  <c r="Z93" i="31"/>
  <c r="AA93" i="31" s="1"/>
  <c r="Z95" i="31"/>
  <c r="AA95" i="31" s="1"/>
  <c r="Z102" i="31"/>
  <c r="AA102" i="31" s="1"/>
  <c r="Z129" i="31"/>
  <c r="AA129" i="31" s="1"/>
  <c r="Z78" i="30"/>
  <c r="Z80" i="30"/>
  <c r="Z90" i="30"/>
  <c r="Z93" i="30"/>
  <c r="Z95" i="30"/>
  <c r="Z102" i="30"/>
  <c r="Z129" i="30"/>
  <c r="Z9" i="30"/>
  <c r="Z11" i="30"/>
  <c r="Z44" i="30"/>
  <c r="Z50" i="30"/>
  <c r="Z51" i="30"/>
  <c r="Z53" i="30"/>
  <c r="Z61" i="30"/>
  <c r="M9" i="31"/>
  <c r="M11" i="31"/>
  <c r="M44" i="31"/>
  <c r="M50" i="31"/>
  <c r="M51" i="31"/>
  <c r="M53" i="31"/>
  <c r="M61" i="31"/>
  <c r="M78" i="31"/>
  <c r="M80" i="31"/>
  <c r="M90" i="31"/>
  <c r="M93" i="31"/>
  <c r="M95" i="31"/>
  <c r="M102" i="31"/>
  <c r="M129" i="31"/>
  <c r="N129" i="31"/>
  <c r="L129" i="31"/>
  <c r="N102" i="31"/>
  <c r="L102" i="31"/>
  <c r="N95" i="31"/>
  <c r="L95" i="31"/>
  <c r="N93" i="31"/>
  <c r="L93" i="31"/>
  <c r="N90" i="31"/>
  <c r="L90" i="31"/>
  <c r="N80" i="31"/>
  <c r="L80" i="31"/>
  <c r="N78" i="31"/>
  <c r="L78" i="31"/>
  <c r="N61" i="31"/>
  <c r="L61" i="31"/>
  <c r="N53" i="31"/>
  <c r="L53" i="31"/>
  <c r="N51" i="31"/>
  <c r="L51" i="31"/>
  <c r="N50" i="31"/>
  <c r="L50" i="31"/>
  <c r="N44" i="31"/>
  <c r="L44" i="31"/>
  <c r="N11" i="31"/>
  <c r="L11" i="31"/>
  <c r="N9" i="31"/>
  <c r="L9" i="31"/>
  <c r="Y11" i="30"/>
  <c r="Y9" i="30"/>
  <c r="AA53" i="12" l="1"/>
  <c r="AA50" i="12"/>
  <c r="AA93" i="12"/>
  <c r="AA44" i="12"/>
  <c r="AA51" i="12"/>
  <c r="AA95" i="12"/>
  <c r="AA90" i="12"/>
  <c r="AA11" i="12"/>
  <c r="AA80" i="12"/>
  <c r="AA9" i="12"/>
  <c r="AA78" i="12"/>
  <c r="AA61" i="12"/>
  <c r="AA50" i="30"/>
  <c r="AA129" i="30"/>
  <c r="AA93" i="30"/>
  <c r="AA61" i="30"/>
  <c r="AA44" i="30"/>
  <c r="AA90" i="30"/>
  <c r="AA53" i="30"/>
  <c r="AA11" i="30"/>
  <c r="AA102" i="30"/>
  <c r="AA80" i="30"/>
  <c r="AA51" i="30"/>
  <c r="AA9" i="30"/>
  <c r="AA95" i="30"/>
  <c r="AA78" i="30"/>
  <c r="AA67" i="12"/>
  <c r="AA67" i="30"/>
  <c r="AA67" i="31"/>
  <c r="F1" i="27" l="1"/>
  <c r="BK4" i="27" l="1"/>
  <c r="BV7" i="27"/>
  <c r="BW7" i="27"/>
  <c r="BV8" i="27"/>
  <c r="BW8" i="27"/>
  <c r="BV9" i="27"/>
  <c r="BW9" i="27"/>
  <c r="BV10" i="27"/>
  <c r="BW10" i="27"/>
  <c r="BV12" i="27"/>
  <c r="BW12" i="27"/>
  <c r="BV14" i="27"/>
  <c r="BW14" i="27"/>
  <c r="BV15" i="27"/>
  <c r="BW15" i="27"/>
  <c r="BV16" i="27"/>
  <c r="BW16" i="27"/>
  <c r="BV17" i="27"/>
  <c r="BW17" i="27"/>
  <c r="BV18" i="27"/>
  <c r="BW18" i="27"/>
  <c r="BV19" i="27"/>
  <c r="BW19" i="27"/>
  <c r="BV20" i="27"/>
  <c r="BW20" i="27"/>
  <c r="BV21" i="27"/>
  <c r="BW21" i="27"/>
  <c r="BV22" i="27"/>
  <c r="BW22" i="27"/>
  <c r="BV23" i="27"/>
  <c r="BW23" i="27"/>
  <c r="BV24" i="27"/>
  <c r="BW24" i="27"/>
  <c r="BV25" i="27"/>
  <c r="BW25" i="27"/>
  <c r="BV26" i="27"/>
  <c r="BW26" i="27"/>
  <c r="BV27" i="27"/>
  <c r="BW27" i="27"/>
  <c r="BV28" i="27"/>
  <c r="BW28" i="27"/>
  <c r="BV29" i="27"/>
  <c r="BW29" i="27"/>
  <c r="BV30" i="27"/>
  <c r="BW30" i="27"/>
  <c r="BV31" i="27"/>
  <c r="BW31" i="27"/>
  <c r="BV32" i="27"/>
  <c r="BW32" i="27"/>
  <c r="BV33" i="27"/>
  <c r="BW33" i="27"/>
  <c r="BV34" i="27"/>
  <c r="BW34" i="27"/>
  <c r="BV35" i="27"/>
  <c r="BW35" i="27"/>
  <c r="BV36" i="27"/>
  <c r="BW36" i="27"/>
  <c r="BV37" i="27"/>
  <c r="BW37" i="27"/>
  <c r="BV38" i="27"/>
  <c r="BW38" i="27"/>
  <c r="BV39" i="27"/>
  <c r="BW39" i="27"/>
  <c r="BV40" i="27"/>
  <c r="BW40" i="27"/>
  <c r="BV41" i="27"/>
  <c r="BW41" i="27"/>
  <c r="BV42" i="27"/>
  <c r="BW42" i="27"/>
  <c r="BV43" i="27"/>
  <c r="BW43" i="27"/>
  <c r="BV44" i="27"/>
  <c r="BW44" i="27"/>
  <c r="BV45" i="27"/>
  <c r="BW45" i="27"/>
  <c r="BV47" i="27"/>
  <c r="BW47" i="27"/>
  <c r="BV48" i="27"/>
  <c r="BW48" i="27"/>
  <c r="BV49" i="27"/>
  <c r="BW49" i="27"/>
  <c r="BV50" i="27"/>
  <c r="BW50" i="27"/>
  <c r="BV51" i="27"/>
  <c r="BW51" i="27"/>
  <c r="BV54" i="27"/>
  <c r="BW54" i="27"/>
  <c r="BV56" i="27"/>
  <c r="BW56" i="27"/>
  <c r="BV57" i="27"/>
  <c r="BW57" i="27"/>
  <c r="BV58" i="27"/>
  <c r="BW58" i="27"/>
  <c r="BV59" i="27"/>
  <c r="BW59" i="27"/>
  <c r="BV60" i="27"/>
  <c r="BW60" i="27"/>
  <c r="BV61" i="27"/>
  <c r="BW61" i="27"/>
  <c r="BV62" i="27"/>
  <c r="BW62" i="27"/>
  <c r="BV64" i="27"/>
  <c r="BW64" i="27"/>
  <c r="BV65" i="27"/>
  <c r="BW65" i="27"/>
  <c r="BV66" i="27"/>
  <c r="BW66" i="27"/>
  <c r="BV67" i="27"/>
  <c r="BW67" i="27"/>
  <c r="BV68" i="27"/>
  <c r="BW68" i="27"/>
  <c r="BV69" i="27"/>
  <c r="BW69" i="27"/>
  <c r="BV70" i="27"/>
  <c r="BW70" i="27"/>
  <c r="BV71" i="27"/>
  <c r="BW71" i="27"/>
  <c r="BV72" i="27"/>
  <c r="BW72" i="27"/>
  <c r="BV73" i="27"/>
  <c r="BW73" i="27"/>
  <c r="BV74" i="27"/>
  <c r="BW74" i="27"/>
  <c r="BV75" i="27"/>
  <c r="BW75" i="27"/>
  <c r="BV76" i="27"/>
  <c r="BW76" i="27"/>
  <c r="BV77" i="27"/>
  <c r="BW77" i="27"/>
  <c r="BV78" i="27"/>
  <c r="BW78" i="27"/>
  <c r="BV79" i="27"/>
  <c r="BW79" i="27"/>
  <c r="BV81" i="27"/>
  <c r="BW81" i="27"/>
  <c r="BV83" i="27"/>
  <c r="BW83" i="27"/>
  <c r="BV84" i="27"/>
  <c r="BW84" i="27"/>
  <c r="BV85" i="27"/>
  <c r="BW85" i="27"/>
  <c r="BV86" i="27"/>
  <c r="BW86" i="27"/>
  <c r="BV87" i="27"/>
  <c r="BW87" i="27"/>
  <c r="BV88" i="27"/>
  <c r="BW88" i="27"/>
  <c r="BV89" i="27"/>
  <c r="BW89" i="27"/>
  <c r="BV90" i="27"/>
  <c r="BW90" i="27"/>
  <c r="BV91" i="27"/>
  <c r="BW91" i="27"/>
  <c r="BV93" i="27"/>
  <c r="BW93" i="27"/>
  <c r="BV94" i="27"/>
  <c r="BW94" i="27"/>
  <c r="BV96" i="27"/>
  <c r="BW96" i="27"/>
  <c r="BV98" i="27"/>
  <c r="BW98" i="27"/>
  <c r="BV99" i="27"/>
  <c r="BW99" i="27"/>
  <c r="BV100" i="27"/>
  <c r="BW100" i="27"/>
  <c r="BV101" i="27"/>
  <c r="BW101" i="27"/>
  <c r="BV102" i="27"/>
  <c r="BW102" i="27"/>
  <c r="BV103" i="27"/>
  <c r="BW103" i="27"/>
  <c r="BV106" i="27"/>
  <c r="BW106" i="27"/>
  <c r="BV107" i="27"/>
  <c r="BW107" i="27"/>
  <c r="BV108" i="27"/>
  <c r="BW108" i="27"/>
  <c r="BV109" i="27"/>
  <c r="BW109" i="27"/>
  <c r="BV110" i="27"/>
  <c r="BW110" i="27"/>
  <c r="BV111" i="27"/>
  <c r="BW111" i="27"/>
  <c r="BV112" i="27"/>
  <c r="BW112" i="27"/>
  <c r="BV113" i="27"/>
  <c r="BW113" i="27"/>
  <c r="BV114" i="27"/>
  <c r="BW114" i="27"/>
  <c r="BV115" i="27"/>
  <c r="BW115" i="27"/>
  <c r="BV116" i="27"/>
  <c r="BW116" i="27"/>
  <c r="BV117" i="27"/>
  <c r="BW117" i="27"/>
  <c r="BV118" i="27"/>
  <c r="BW118" i="27"/>
  <c r="BV119" i="27"/>
  <c r="BW119" i="27"/>
  <c r="BV121" i="27"/>
  <c r="BW121" i="27"/>
  <c r="BV122" i="27"/>
  <c r="BW122" i="27"/>
  <c r="BV123" i="27"/>
  <c r="BW123" i="27"/>
  <c r="BV124" i="27"/>
  <c r="BW124" i="27"/>
  <c r="BV125" i="27"/>
  <c r="BW125" i="27"/>
  <c r="BV126" i="27"/>
  <c r="BW126" i="27"/>
  <c r="BV127" i="27"/>
  <c r="BW127" i="27"/>
  <c r="BV128" i="27"/>
  <c r="BW128" i="27"/>
  <c r="BV129" i="27"/>
  <c r="BW129" i="27"/>
  <c r="BV130" i="27"/>
  <c r="BW130" i="27"/>
  <c r="BV132" i="27"/>
  <c r="BW132" i="27"/>
  <c r="BV133" i="27"/>
  <c r="BW133" i="27"/>
  <c r="BV134" i="27"/>
  <c r="BW134" i="27"/>
  <c r="BV135" i="27"/>
  <c r="BW135" i="27"/>
  <c r="BV136" i="27"/>
  <c r="BW136" i="27"/>
  <c r="BV137" i="27"/>
  <c r="BW137" i="27"/>
  <c r="BV138" i="27"/>
  <c r="BW138" i="27"/>
  <c r="BV139" i="27"/>
  <c r="BW139" i="27"/>
  <c r="BV140" i="27"/>
  <c r="BW140" i="27"/>
  <c r="BW6" i="27"/>
  <c r="BV6" i="27"/>
  <c r="J7" i="27"/>
  <c r="J8" i="27"/>
  <c r="J9" i="27"/>
  <c r="J10" i="27"/>
  <c r="J12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7" i="27"/>
  <c r="J48" i="27"/>
  <c r="J49" i="27"/>
  <c r="J50" i="27"/>
  <c r="J51" i="27"/>
  <c r="J54" i="27"/>
  <c r="J56" i="27"/>
  <c r="J57" i="27"/>
  <c r="J58" i="27"/>
  <c r="J59" i="27"/>
  <c r="J60" i="27"/>
  <c r="J61" i="27"/>
  <c r="J62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1" i="27"/>
  <c r="J83" i="27"/>
  <c r="J84" i="27"/>
  <c r="J85" i="27"/>
  <c r="J86" i="27"/>
  <c r="J87" i="27"/>
  <c r="J88" i="27"/>
  <c r="J89" i="27"/>
  <c r="J90" i="27"/>
  <c r="J91" i="27"/>
  <c r="J93" i="27"/>
  <c r="J94" i="27"/>
  <c r="J96" i="27"/>
  <c r="J98" i="27"/>
  <c r="J99" i="27"/>
  <c r="J100" i="27"/>
  <c r="J101" i="27"/>
  <c r="J102" i="27"/>
  <c r="J103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1" i="27"/>
  <c r="J122" i="27"/>
  <c r="J123" i="27"/>
  <c r="J124" i="27"/>
  <c r="J125" i="27"/>
  <c r="J126" i="27"/>
  <c r="J127" i="27"/>
  <c r="J128" i="27"/>
  <c r="J129" i="27"/>
  <c r="J130" i="27"/>
  <c r="J132" i="27"/>
  <c r="J133" i="27"/>
  <c r="J134" i="27"/>
  <c r="J135" i="27"/>
  <c r="J136" i="27"/>
  <c r="J137" i="27"/>
  <c r="J138" i="27"/>
  <c r="J139" i="27"/>
  <c r="J140" i="27"/>
  <c r="J6" i="27"/>
  <c r="I7" i="27"/>
  <c r="I8" i="27"/>
  <c r="I9" i="27"/>
  <c r="I10" i="27"/>
  <c r="I12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7" i="27"/>
  <c r="I48" i="27"/>
  <c r="I49" i="27"/>
  <c r="I50" i="27"/>
  <c r="I51" i="27"/>
  <c r="I54" i="27"/>
  <c r="I56" i="27"/>
  <c r="I57" i="27"/>
  <c r="I58" i="27"/>
  <c r="I59" i="27"/>
  <c r="I60" i="27"/>
  <c r="I61" i="27"/>
  <c r="I62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1" i="27"/>
  <c r="I83" i="27"/>
  <c r="I84" i="27"/>
  <c r="I85" i="27"/>
  <c r="I86" i="27"/>
  <c r="I87" i="27"/>
  <c r="I88" i="27"/>
  <c r="I89" i="27"/>
  <c r="I90" i="27"/>
  <c r="I91" i="27"/>
  <c r="I93" i="27"/>
  <c r="I94" i="27"/>
  <c r="I96" i="27"/>
  <c r="I98" i="27"/>
  <c r="I99" i="27"/>
  <c r="I100" i="27"/>
  <c r="I101" i="27"/>
  <c r="I102" i="27"/>
  <c r="I103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1" i="27"/>
  <c r="I122" i="27"/>
  <c r="I123" i="27"/>
  <c r="I124" i="27"/>
  <c r="I125" i="27"/>
  <c r="I126" i="27"/>
  <c r="I127" i="27"/>
  <c r="I128" i="27"/>
  <c r="I129" i="27"/>
  <c r="I130" i="27"/>
  <c r="I132" i="27"/>
  <c r="I133" i="27"/>
  <c r="I134" i="27"/>
  <c r="I135" i="27"/>
  <c r="I136" i="27"/>
  <c r="I137" i="27"/>
  <c r="I138" i="27"/>
  <c r="I139" i="27"/>
  <c r="I140" i="27"/>
  <c r="I6" i="27"/>
  <c r="A5" i="23" l="1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4" i="23"/>
  <c r="Z102" i="12" l="1"/>
  <c r="AA102" i="12" s="1"/>
  <c r="Z129" i="12"/>
  <c r="AA129" i="12" s="1"/>
  <c r="D9" i="13" l="1"/>
  <c r="C9" i="13"/>
  <c r="E12" i="13"/>
  <c r="E9" i="13" s="1"/>
  <c r="ED8" i="27"/>
  <c r="ED44" i="27"/>
  <c r="ED45" i="27"/>
  <c r="ED54" i="27"/>
  <c r="ED59" i="27"/>
  <c r="ED61" i="27"/>
  <c r="ED67" i="27"/>
  <c r="ED70" i="27"/>
  <c r="ED74" i="27"/>
  <c r="ED81" i="27"/>
  <c r="ED96" i="27"/>
  <c r="ED99" i="27"/>
  <c r="ED101" i="27"/>
  <c r="ED109" i="27"/>
  <c r="ED111" i="27"/>
  <c r="ED115" i="27"/>
  <c r="BQ8" i="27"/>
  <c r="BQ44" i="27"/>
  <c r="BQ45" i="27"/>
  <c r="BQ54" i="27"/>
  <c r="BQ59" i="27"/>
  <c r="BQ61" i="27"/>
  <c r="BQ67" i="27"/>
  <c r="BQ70" i="27"/>
  <c r="BQ74" i="27"/>
  <c r="BQ81" i="27"/>
  <c r="BQ96" i="27"/>
  <c r="BQ99" i="27"/>
  <c r="BQ101" i="27"/>
  <c r="BQ109" i="27"/>
  <c r="BQ111" i="27"/>
  <c r="BQ115" i="27"/>
  <c r="S57" i="12" l="1"/>
  <c r="S57" i="30"/>
  <c r="S52" i="12"/>
  <c r="S52" i="30"/>
  <c r="S43" i="12"/>
  <c r="S43" i="30"/>
  <c r="S6" i="12"/>
  <c r="S6" i="30"/>
  <c r="S94" i="12"/>
  <c r="S94" i="30"/>
  <c r="S68" i="12"/>
  <c r="S68" i="30"/>
  <c r="S99" i="12"/>
  <c r="S99" i="30"/>
  <c r="S42" i="12"/>
  <c r="S42" i="30"/>
  <c r="S72" i="12"/>
  <c r="S72" i="30"/>
  <c r="S109" i="12"/>
  <c r="S109" i="30"/>
  <c r="S65" i="12"/>
  <c r="S65" i="30"/>
  <c r="S97" i="12"/>
  <c r="S97" i="30"/>
  <c r="S79" i="12"/>
  <c r="S79" i="30"/>
  <c r="S113" i="12"/>
  <c r="S113" i="30"/>
  <c r="S107" i="12"/>
  <c r="S107" i="30"/>
  <c r="S59" i="12"/>
  <c r="S59" i="30"/>
  <c r="H99" i="12"/>
  <c r="H99" i="30"/>
  <c r="H52" i="12"/>
  <c r="H52" i="30"/>
  <c r="H94" i="12"/>
  <c r="H94" i="30"/>
  <c r="H43" i="12"/>
  <c r="H43" i="30"/>
  <c r="H97" i="12"/>
  <c r="H97" i="30"/>
  <c r="H79" i="12"/>
  <c r="H79" i="30"/>
  <c r="H42" i="12"/>
  <c r="H42" i="30"/>
  <c r="H57" i="12"/>
  <c r="H57" i="30"/>
  <c r="H72" i="12"/>
  <c r="H72" i="30"/>
  <c r="H6" i="12"/>
  <c r="H6" i="30"/>
  <c r="H113" i="12"/>
  <c r="H113" i="30"/>
  <c r="H68" i="12"/>
  <c r="H68" i="30"/>
  <c r="H109" i="12"/>
  <c r="H109" i="30"/>
  <c r="H65" i="12"/>
  <c r="H65" i="30"/>
  <c r="H107" i="12"/>
  <c r="H107" i="30"/>
  <c r="H59" i="12"/>
  <c r="H59" i="30"/>
  <c r="F12" i="13"/>
  <c r="F9" i="13" l="1"/>
  <c r="G12" i="13"/>
  <c r="F2" i="27"/>
  <c r="BK6" i="27" l="1"/>
  <c r="BI14" i="27"/>
  <c r="BM14" i="27" s="1"/>
  <c r="BI9" i="27"/>
  <c r="BM9" i="27" s="1"/>
  <c r="BI27" i="27"/>
  <c r="BM27" i="27" s="1"/>
  <c r="BI84" i="27"/>
  <c r="BM84" i="27" s="1"/>
  <c r="BI29" i="27"/>
  <c r="BM29" i="27" s="1"/>
  <c r="BI93" i="27"/>
  <c r="BM93" i="27" s="1"/>
  <c r="BI38" i="27"/>
  <c r="BM38" i="27" s="1"/>
  <c r="BI102" i="27"/>
  <c r="BM102" i="27" s="1"/>
  <c r="BI55" i="27"/>
  <c r="BM55" i="27" s="1"/>
  <c r="BI119" i="27"/>
  <c r="BM119" i="27" s="1"/>
  <c r="BI72" i="27"/>
  <c r="BM72" i="27" s="1"/>
  <c r="BI136" i="27"/>
  <c r="BM136" i="27" s="1"/>
  <c r="BI89" i="27"/>
  <c r="BM89" i="27" s="1"/>
  <c r="BI34" i="27"/>
  <c r="BM34" i="27" s="1"/>
  <c r="BI98" i="27"/>
  <c r="BM98" i="27" s="1"/>
  <c r="BI43" i="27"/>
  <c r="BM43" i="27" s="1"/>
  <c r="BI107" i="27"/>
  <c r="BM107" i="27" s="1"/>
  <c r="BI22" i="27"/>
  <c r="BM22" i="27" s="1"/>
  <c r="BI17" i="27"/>
  <c r="BM17" i="27" s="1"/>
  <c r="BI28" i="27"/>
  <c r="BM28" i="27" s="1"/>
  <c r="BI92" i="27"/>
  <c r="BM92" i="27" s="1"/>
  <c r="BI37" i="27"/>
  <c r="BM37" i="27" s="1"/>
  <c r="BI101" i="27"/>
  <c r="BM101" i="27" s="1"/>
  <c r="BI46" i="27"/>
  <c r="BM46" i="27" s="1"/>
  <c r="BI110" i="27"/>
  <c r="BM110" i="27" s="1"/>
  <c r="BI63" i="27"/>
  <c r="BM63" i="27" s="1"/>
  <c r="BI127" i="27"/>
  <c r="BM127" i="27" s="1"/>
  <c r="BI80" i="27"/>
  <c r="BM80" i="27" s="1"/>
  <c r="BI33" i="27"/>
  <c r="BM33" i="27" s="1"/>
  <c r="BI97" i="27"/>
  <c r="BM97" i="27" s="1"/>
  <c r="BI42" i="27"/>
  <c r="BM42" i="27" s="1"/>
  <c r="BI106" i="27"/>
  <c r="BM106" i="27" s="1"/>
  <c r="BI51" i="27"/>
  <c r="BM51" i="27" s="1"/>
  <c r="BI115" i="27"/>
  <c r="BM115" i="27" s="1"/>
  <c r="BI7" i="27"/>
  <c r="BM7" i="27" s="1"/>
  <c r="BI25" i="27"/>
  <c r="BM25" i="27" s="1"/>
  <c r="BI36" i="27"/>
  <c r="BM36" i="27" s="1"/>
  <c r="BI100" i="27"/>
  <c r="BM100" i="27" s="1"/>
  <c r="BI45" i="27"/>
  <c r="BM45" i="27" s="1"/>
  <c r="BI109" i="27"/>
  <c r="BM109" i="27" s="1"/>
  <c r="BI54" i="27"/>
  <c r="BM54" i="27" s="1"/>
  <c r="BI118" i="27"/>
  <c r="BM118" i="27" s="1"/>
  <c r="BI71" i="27"/>
  <c r="BM71" i="27" s="1"/>
  <c r="BI135" i="27"/>
  <c r="BM135" i="27" s="1"/>
  <c r="BI88" i="27"/>
  <c r="BM88" i="27" s="1"/>
  <c r="BI41" i="27"/>
  <c r="BM41" i="27" s="1"/>
  <c r="BI105" i="27"/>
  <c r="BM105" i="27" s="1"/>
  <c r="BI50" i="27"/>
  <c r="BM50" i="27" s="1"/>
  <c r="BI114" i="27"/>
  <c r="BM114" i="27" s="1"/>
  <c r="BI59" i="27"/>
  <c r="BM59" i="27" s="1"/>
  <c r="BI123" i="27"/>
  <c r="BM123" i="27" s="1"/>
  <c r="BI15" i="27"/>
  <c r="BM15" i="27" s="1"/>
  <c r="BI10" i="27"/>
  <c r="BM10" i="27" s="1"/>
  <c r="BI44" i="27"/>
  <c r="BM44" i="27" s="1"/>
  <c r="BI108" i="27"/>
  <c r="BM108" i="27" s="1"/>
  <c r="BI53" i="27"/>
  <c r="BM53" i="27" s="1"/>
  <c r="BI117" i="27"/>
  <c r="BM117" i="27" s="1"/>
  <c r="BI62" i="27"/>
  <c r="BM62" i="27" s="1"/>
  <c r="BI126" i="27"/>
  <c r="BM126" i="27" s="1"/>
  <c r="BI79" i="27"/>
  <c r="BM79" i="27" s="1"/>
  <c r="BI32" i="27"/>
  <c r="BM32" i="27" s="1"/>
  <c r="BI96" i="27"/>
  <c r="BM96" i="27" s="1"/>
  <c r="BI49" i="27"/>
  <c r="BM49" i="27" s="1"/>
  <c r="BI113" i="27"/>
  <c r="BM113" i="27" s="1"/>
  <c r="BI58" i="27"/>
  <c r="BM58" i="27" s="1"/>
  <c r="BI122" i="27"/>
  <c r="BM122" i="27" s="1"/>
  <c r="BI67" i="27"/>
  <c r="BM67" i="27" s="1"/>
  <c r="BI131" i="27"/>
  <c r="BM131" i="27" s="1"/>
  <c r="BI23" i="27"/>
  <c r="BM23" i="27" s="1"/>
  <c r="BI18" i="27"/>
  <c r="BM18" i="27" s="1"/>
  <c r="BI52" i="27"/>
  <c r="BM52" i="27" s="1"/>
  <c r="BI116" i="27"/>
  <c r="BM116" i="27" s="1"/>
  <c r="BI61" i="27"/>
  <c r="BM61" i="27" s="1"/>
  <c r="BI125" i="27"/>
  <c r="BM125" i="27" s="1"/>
  <c r="BI70" i="27"/>
  <c r="BM70" i="27" s="1"/>
  <c r="BI134" i="27"/>
  <c r="BM134" i="27" s="1"/>
  <c r="BI87" i="27"/>
  <c r="BM87" i="27" s="1"/>
  <c r="BI40" i="27"/>
  <c r="BM40" i="27" s="1"/>
  <c r="BI104" i="27"/>
  <c r="BM104" i="27" s="1"/>
  <c r="BI57" i="27"/>
  <c r="BM57" i="27" s="1"/>
  <c r="BI121" i="27"/>
  <c r="BM121" i="27" s="1"/>
  <c r="BI66" i="27"/>
  <c r="BM66" i="27" s="1"/>
  <c r="BI130" i="27"/>
  <c r="BM130" i="27" s="1"/>
  <c r="BI75" i="27"/>
  <c r="BM75" i="27" s="1"/>
  <c r="BI139" i="27"/>
  <c r="BM139" i="27" s="1"/>
  <c r="BI8" i="27"/>
  <c r="BM8" i="27" s="1"/>
  <c r="BI26" i="27"/>
  <c r="BM26" i="27" s="1"/>
  <c r="BI60" i="27"/>
  <c r="BM60" i="27" s="1"/>
  <c r="BI124" i="27"/>
  <c r="BM124" i="27" s="1"/>
  <c r="BI69" i="27"/>
  <c r="BM69" i="27" s="1"/>
  <c r="BI133" i="27"/>
  <c r="BM133" i="27" s="1"/>
  <c r="BI78" i="27"/>
  <c r="BM78" i="27" s="1"/>
  <c r="BI31" i="27"/>
  <c r="BM31" i="27" s="1"/>
  <c r="BI95" i="27"/>
  <c r="BM95" i="27" s="1"/>
  <c r="BI48" i="27"/>
  <c r="BM48" i="27" s="1"/>
  <c r="BI112" i="27"/>
  <c r="BM112" i="27" s="1"/>
  <c r="BI65" i="27"/>
  <c r="BM65" i="27" s="1"/>
  <c r="BI129" i="27"/>
  <c r="BM129" i="27" s="1"/>
  <c r="BI74" i="27"/>
  <c r="BM74" i="27" s="1"/>
  <c r="BI138" i="27"/>
  <c r="BM138" i="27" s="1"/>
  <c r="BI83" i="27"/>
  <c r="BM83" i="27" s="1"/>
  <c r="BI12" i="27"/>
  <c r="BM12" i="27" s="1"/>
  <c r="BI16" i="27"/>
  <c r="BM16" i="27" s="1"/>
  <c r="BI11" i="27"/>
  <c r="BM11" i="27" s="1"/>
  <c r="BI68" i="27"/>
  <c r="BM68" i="27" s="1"/>
  <c r="BI132" i="27"/>
  <c r="BM132" i="27" s="1"/>
  <c r="BI77" i="27"/>
  <c r="BM77" i="27" s="1"/>
  <c r="BI6" i="27"/>
  <c r="BM6" i="27" s="1"/>
  <c r="BI86" i="27"/>
  <c r="BM86" i="27" s="1"/>
  <c r="BI39" i="27"/>
  <c r="BM39" i="27" s="1"/>
  <c r="BI103" i="27"/>
  <c r="BM103" i="27" s="1"/>
  <c r="BI56" i="27"/>
  <c r="BM56" i="27" s="1"/>
  <c r="BI120" i="27"/>
  <c r="BM120" i="27" s="1"/>
  <c r="BI73" i="27"/>
  <c r="BM73" i="27" s="1"/>
  <c r="BI137" i="27"/>
  <c r="BM137" i="27" s="1"/>
  <c r="BI82" i="27"/>
  <c r="BM82" i="27" s="1"/>
  <c r="BI21" i="27"/>
  <c r="BM21" i="27" s="1"/>
  <c r="BI91" i="27"/>
  <c r="BM91" i="27" s="1"/>
  <c r="BI20" i="27"/>
  <c r="BM20" i="27" s="1"/>
  <c r="BI24" i="27"/>
  <c r="BM24" i="27" s="1"/>
  <c r="BI19" i="27"/>
  <c r="BM19" i="27" s="1"/>
  <c r="BI76" i="27"/>
  <c r="BM76" i="27" s="1"/>
  <c r="BI140" i="27"/>
  <c r="BM140" i="27" s="1"/>
  <c r="BI85" i="27"/>
  <c r="BM85" i="27" s="1"/>
  <c r="BI30" i="27"/>
  <c r="BM30" i="27" s="1"/>
  <c r="BI94" i="27"/>
  <c r="BM94" i="27" s="1"/>
  <c r="BI47" i="27"/>
  <c r="BM47" i="27" s="1"/>
  <c r="BI111" i="27"/>
  <c r="BM111" i="27" s="1"/>
  <c r="BI64" i="27"/>
  <c r="BM64" i="27" s="1"/>
  <c r="BI128" i="27"/>
  <c r="BM128" i="27" s="1"/>
  <c r="BI81" i="27"/>
  <c r="BM81" i="27" s="1"/>
  <c r="BI13" i="27"/>
  <c r="BM13" i="27" s="1"/>
  <c r="BI90" i="27"/>
  <c r="BM90" i="27" s="1"/>
  <c r="BI35" i="27"/>
  <c r="BM35" i="27" s="1"/>
  <c r="BI99" i="27"/>
  <c r="BM99" i="27" s="1"/>
  <c r="H12" i="13"/>
  <c r="G9" i="13"/>
  <c r="BK9" i="27"/>
  <c r="BK25" i="27"/>
  <c r="BK41" i="27"/>
  <c r="BK57" i="27"/>
  <c r="BK73" i="27"/>
  <c r="BK89" i="27"/>
  <c r="BK105" i="27"/>
  <c r="BK121" i="27"/>
  <c r="BK137" i="27"/>
  <c r="BK38" i="27"/>
  <c r="BK70" i="27"/>
  <c r="BK102" i="27"/>
  <c r="BK134" i="27"/>
  <c r="BK19" i="27"/>
  <c r="BK35" i="27"/>
  <c r="BK51" i="27"/>
  <c r="BK67" i="27"/>
  <c r="BK83" i="27"/>
  <c r="BK99" i="27"/>
  <c r="BK115" i="27"/>
  <c r="BK131" i="27"/>
  <c r="BK12" i="27"/>
  <c r="BK28" i="27"/>
  <c r="BK44" i="27"/>
  <c r="BK60" i="27"/>
  <c r="BK76" i="27"/>
  <c r="BK92" i="27"/>
  <c r="BK108" i="27"/>
  <c r="BK124" i="27"/>
  <c r="BK140" i="27"/>
  <c r="BK30" i="27"/>
  <c r="BK58" i="27"/>
  <c r="BK90" i="27"/>
  <c r="BK122" i="27"/>
  <c r="BK17" i="27"/>
  <c r="BK33" i="27"/>
  <c r="BK49" i="27"/>
  <c r="BK65" i="27"/>
  <c r="BK81" i="27"/>
  <c r="BK97" i="27"/>
  <c r="BK113" i="27"/>
  <c r="BK129" i="27"/>
  <c r="BK18" i="27"/>
  <c r="BK54" i="27"/>
  <c r="BK86" i="27"/>
  <c r="BK118" i="27"/>
  <c r="BK11" i="27"/>
  <c r="BK27" i="27"/>
  <c r="BK43" i="27"/>
  <c r="BK59" i="27"/>
  <c r="BK75" i="27"/>
  <c r="BK91" i="27"/>
  <c r="BK107" i="27"/>
  <c r="BK123" i="27"/>
  <c r="BK139" i="27"/>
  <c r="BK20" i="27"/>
  <c r="BK36" i="27"/>
  <c r="BK52" i="27"/>
  <c r="BK68" i="27"/>
  <c r="BK84" i="27"/>
  <c r="BK100" i="27"/>
  <c r="BK116" i="27"/>
  <c r="BK132" i="27"/>
  <c r="BK14" i="27"/>
  <c r="BK42" i="27"/>
  <c r="BK74" i="27"/>
  <c r="BK106" i="27"/>
  <c r="BK138" i="27"/>
  <c r="BK37" i="27"/>
  <c r="BK69" i="27"/>
  <c r="BK101" i="27"/>
  <c r="BK133" i="27"/>
  <c r="BK62" i="27"/>
  <c r="BK126" i="27"/>
  <c r="BK31" i="27"/>
  <c r="BK63" i="27"/>
  <c r="BK95" i="27"/>
  <c r="BK127" i="27"/>
  <c r="BK24" i="27"/>
  <c r="BK56" i="27"/>
  <c r="BK88" i="27"/>
  <c r="BK120" i="27"/>
  <c r="BK22" i="27"/>
  <c r="BK82" i="27"/>
  <c r="BK117" i="27"/>
  <c r="BK15" i="27"/>
  <c r="BK79" i="27"/>
  <c r="BK72" i="27"/>
  <c r="BK136" i="27"/>
  <c r="BK29" i="27"/>
  <c r="BK61" i="27"/>
  <c r="BK125" i="27"/>
  <c r="BK23" i="27"/>
  <c r="BK55" i="27"/>
  <c r="BK119" i="27"/>
  <c r="BK48" i="27"/>
  <c r="BK112" i="27"/>
  <c r="BK130" i="27"/>
  <c r="BK13" i="27"/>
  <c r="BK45" i="27"/>
  <c r="BK77" i="27"/>
  <c r="BK109" i="27"/>
  <c r="BK8" i="27"/>
  <c r="BK78" i="27"/>
  <c r="BK7" i="27"/>
  <c r="BK39" i="27"/>
  <c r="BK71" i="27"/>
  <c r="BK103" i="27"/>
  <c r="BK135" i="27"/>
  <c r="BK32" i="27"/>
  <c r="BK64" i="27"/>
  <c r="BK96" i="27"/>
  <c r="BK128" i="27"/>
  <c r="BK34" i="27"/>
  <c r="BK98" i="27"/>
  <c r="BK21" i="27"/>
  <c r="BK53" i="27"/>
  <c r="BK85" i="27"/>
  <c r="BK26" i="27"/>
  <c r="BK94" i="27"/>
  <c r="BK47" i="27"/>
  <c r="BK111" i="27"/>
  <c r="BK40" i="27"/>
  <c r="BK104" i="27"/>
  <c r="BK50" i="27"/>
  <c r="BK114" i="27"/>
  <c r="BK93" i="27"/>
  <c r="BK46" i="27"/>
  <c r="BK110" i="27"/>
  <c r="BK87" i="27"/>
  <c r="BK16" i="27"/>
  <c r="BK80" i="27"/>
  <c r="BK10" i="27"/>
  <c r="BK66" i="27"/>
  <c r="BI4" i="27"/>
  <c r="BJ4" i="27"/>
  <c r="BL4" i="27"/>
  <c r="BM4" i="27"/>
  <c r="C8" i="16"/>
  <c r="BQ4" i="27"/>
  <c r="I12" i="13" l="1"/>
  <c r="H9" i="13"/>
  <c r="BX7" i="27"/>
  <c r="BX8" i="27"/>
  <c r="BX9" i="27"/>
  <c r="BX10" i="27"/>
  <c r="BX11" i="27"/>
  <c r="BX12" i="27"/>
  <c r="BX13" i="27"/>
  <c r="BX14" i="27"/>
  <c r="BX15" i="27"/>
  <c r="BX16" i="27"/>
  <c r="BX17" i="27"/>
  <c r="BX18" i="27"/>
  <c r="BX19" i="27"/>
  <c r="BX20" i="27"/>
  <c r="BX21" i="27"/>
  <c r="BX22" i="27"/>
  <c r="BX23" i="27"/>
  <c r="BX24" i="27"/>
  <c r="BX25" i="27"/>
  <c r="BX26" i="27"/>
  <c r="BX27" i="27"/>
  <c r="BX28" i="27"/>
  <c r="BX29" i="27"/>
  <c r="BX30" i="27"/>
  <c r="BX31" i="27"/>
  <c r="BX32" i="27"/>
  <c r="BX33" i="27"/>
  <c r="BX34" i="27"/>
  <c r="BX35" i="27"/>
  <c r="BX36" i="27"/>
  <c r="BX37" i="27"/>
  <c r="BX38" i="27"/>
  <c r="BX39" i="27"/>
  <c r="BX40" i="27"/>
  <c r="BX41" i="27"/>
  <c r="BX42" i="27"/>
  <c r="BX43" i="27"/>
  <c r="BX44" i="27"/>
  <c r="BX45" i="27"/>
  <c r="BX46" i="27"/>
  <c r="BX47" i="27"/>
  <c r="BX48" i="27"/>
  <c r="BX49" i="27"/>
  <c r="BX50" i="27"/>
  <c r="BX51" i="27"/>
  <c r="BX52" i="27"/>
  <c r="BX53" i="27"/>
  <c r="BX54" i="27"/>
  <c r="BX55" i="27"/>
  <c r="BX56" i="27"/>
  <c r="BX57" i="27"/>
  <c r="BX58" i="27"/>
  <c r="BX59" i="27"/>
  <c r="BX60" i="27"/>
  <c r="BX61" i="27"/>
  <c r="BX62" i="27"/>
  <c r="BX63" i="27"/>
  <c r="BX64" i="27"/>
  <c r="BX65" i="27"/>
  <c r="BX66" i="27"/>
  <c r="BX67" i="27"/>
  <c r="BX68" i="27"/>
  <c r="BX69" i="27"/>
  <c r="BX70" i="27"/>
  <c r="BX71" i="27"/>
  <c r="BX72" i="27"/>
  <c r="BX73" i="27"/>
  <c r="BX74" i="27"/>
  <c r="BX75" i="27"/>
  <c r="BX76" i="27"/>
  <c r="BX77" i="27"/>
  <c r="BX78" i="27"/>
  <c r="BX79" i="27"/>
  <c r="BX80" i="27"/>
  <c r="BX81" i="27"/>
  <c r="BX82" i="27"/>
  <c r="BX83" i="27"/>
  <c r="BX84" i="27"/>
  <c r="BX85" i="27"/>
  <c r="BX86" i="27"/>
  <c r="BX87" i="27"/>
  <c r="BX88" i="27"/>
  <c r="BX89" i="27"/>
  <c r="BX90" i="27"/>
  <c r="BX91" i="27"/>
  <c r="BX92" i="27"/>
  <c r="BX93" i="27"/>
  <c r="BX94" i="27"/>
  <c r="BX95" i="27"/>
  <c r="BX96" i="27"/>
  <c r="BX97" i="27"/>
  <c r="BX98" i="27"/>
  <c r="BX99" i="27"/>
  <c r="BX100" i="27"/>
  <c r="BX101" i="27"/>
  <c r="BX102" i="27"/>
  <c r="BX103" i="27"/>
  <c r="BX104" i="27"/>
  <c r="BX105" i="27"/>
  <c r="BX106" i="27"/>
  <c r="BX107" i="27"/>
  <c r="BX108" i="27"/>
  <c r="BX109" i="27"/>
  <c r="BX110" i="27"/>
  <c r="BX111" i="27"/>
  <c r="BX112" i="27"/>
  <c r="BX113" i="27"/>
  <c r="BX114" i="27"/>
  <c r="BX115" i="27"/>
  <c r="BX116" i="27"/>
  <c r="BX117" i="27"/>
  <c r="BX118" i="27"/>
  <c r="BX119" i="27"/>
  <c r="BX120" i="27"/>
  <c r="BX121" i="27"/>
  <c r="BX122" i="27"/>
  <c r="BX123" i="27"/>
  <c r="BX124" i="27"/>
  <c r="BX125" i="27"/>
  <c r="BX126" i="27"/>
  <c r="BX127" i="27"/>
  <c r="BX128" i="27"/>
  <c r="BX129" i="27"/>
  <c r="BX130" i="27"/>
  <c r="BX131" i="27"/>
  <c r="BX132" i="27"/>
  <c r="BX133" i="27"/>
  <c r="BX134" i="27"/>
  <c r="BX135" i="27"/>
  <c r="BX136" i="27"/>
  <c r="BX137" i="27"/>
  <c r="BX138" i="27"/>
  <c r="BX139" i="27"/>
  <c r="BX6" i="27"/>
  <c r="J12" i="13" l="1"/>
  <c r="I9" i="13"/>
  <c r="V136" i="12"/>
  <c r="V136" i="30"/>
  <c r="V136" i="31"/>
  <c r="V128" i="12"/>
  <c r="V128" i="30"/>
  <c r="V128" i="31"/>
  <c r="V120" i="12"/>
  <c r="V120" i="30"/>
  <c r="V120" i="31"/>
  <c r="V112" i="30"/>
  <c r="V112" i="12"/>
  <c r="V112" i="31"/>
  <c r="V104" i="12"/>
  <c r="V104" i="30"/>
  <c r="V104" i="31"/>
  <c r="V96" i="12"/>
  <c r="V96" i="30"/>
  <c r="V96" i="31"/>
  <c r="V88" i="12"/>
  <c r="V88" i="30"/>
  <c r="V88" i="31"/>
  <c r="V80" i="12"/>
  <c r="V80" i="30"/>
  <c r="V80" i="31"/>
  <c r="V72" i="30"/>
  <c r="V72" i="12"/>
  <c r="V72" i="31"/>
  <c r="V64" i="12"/>
  <c r="V64" i="30"/>
  <c r="V64" i="31"/>
  <c r="V56" i="12"/>
  <c r="V56" i="30"/>
  <c r="V56" i="31"/>
  <c r="V48" i="12"/>
  <c r="V48" i="30"/>
  <c r="V48" i="31"/>
  <c r="V40" i="12"/>
  <c r="V40" i="30"/>
  <c r="V40" i="31"/>
  <c r="V32" i="12"/>
  <c r="V32" i="30"/>
  <c r="V32" i="31"/>
  <c r="V24" i="12"/>
  <c r="V24" i="30"/>
  <c r="V24" i="31"/>
  <c r="V20" i="12"/>
  <c r="V20" i="30"/>
  <c r="V20" i="31"/>
  <c r="V16" i="12"/>
  <c r="V16" i="30"/>
  <c r="V16" i="31"/>
  <c r="V8" i="12"/>
  <c r="V8" i="30"/>
  <c r="V8" i="31"/>
  <c r="V131" i="12"/>
  <c r="V131" i="30"/>
  <c r="V131" i="31"/>
  <c r="V123" i="12"/>
  <c r="V123" i="30"/>
  <c r="V123" i="31"/>
  <c r="V115" i="30"/>
  <c r="V115" i="12"/>
  <c r="V115" i="31"/>
  <c r="V107" i="12"/>
  <c r="V107" i="30"/>
  <c r="V107" i="31"/>
  <c r="V99" i="12"/>
  <c r="V99" i="30"/>
  <c r="V99" i="31"/>
  <c r="V91" i="12"/>
  <c r="V91" i="30"/>
  <c r="V91" i="31"/>
  <c r="V83" i="12"/>
  <c r="V83" i="30"/>
  <c r="V83" i="31"/>
  <c r="V75" i="12"/>
  <c r="V75" i="30"/>
  <c r="V75" i="31"/>
  <c r="V67" i="12"/>
  <c r="V67" i="30"/>
  <c r="V67" i="31"/>
  <c r="V59" i="12"/>
  <c r="V59" i="30"/>
  <c r="V59" i="31"/>
  <c r="V51" i="12"/>
  <c r="V51" i="30"/>
  <c r="V51" i="31"/>
  <c r="V47" i="12"/>
  <c r="V47" i="30"/>
  <c r="V47" i="31"/>
  <c r="V39" i="12"/>
  <c r="V39" i="30"/>
  <c r="V39" i="31"/>
  <c r="V35" i="12"/>
  <c r="V35" i="30"/>
  <c r="V35" i="31"/>
  <c r="V31" i="12"/>
  <c r="V31" i="30"/>
  <c r="V31" i="31"/>
  <c r="V27" i="12"/>
  <c r="V27" i="30"/>
  <c r="V27" i="31"/>
  <c r="V23" i="12"/>
  <c r="V23" i="30"/>
  <c r="V23" i="31"/>
  <c r="V19" i="12"/>
  <c r="V19" i="30"/>
  <c r="V19" i="31"/>
  <c r="V15" i="12"/>
  <c r="V15" i="30"/>
  <c r="V15" i="31"/>
  <c r="V11" i="12"/>
  <c r="V11" i="30"/>
  <c r="V11" i="31"/>
  <c r="V7" i="12"/>
  <c r="V7" i="30"/>
  <c r="V7" i="31"/>
  <c r="V4" i="31"/>
  <c r="V4" i="30"/>
  <c r="V134" i="12"/>
  <c r="V134" i="30"/>
  <c r="V134" i="31"/>
  <c r="V130" i="30"/>
  <c r="V130" i="12"/>
  <c r="V130" i="31"/>
  <c r="V126" i="30"/>
  <c r="V126" i="12"/>
  <c r="V126" i="31"/>
  <c r="V122" i="12"/>
  <c r="V122" i="30"/>
  <c r="V122" i="31"/>
  <c r="V118" i="12"/>
  <c r="V118" i="30"/>
  <c r="V118" i="31"/>
  <c r="V114" i="12"/>
  <c r="V114" i="30"/>
  <c r="V114" i="31"/>
  <c r="V110" i="12"/>
  <c r="V110" i="30"/>
  <c r="V110" i="31"/>
  <c r="V106" i="30"/>
  <c r="V106" i="12"/>
  <c r="V106" i="31"/>
  <c r="V102" i="12"/>
  <c r="V102" i="30"/>
  <c r="V102" i="31"/>
  <c r="V98" i="12"/>
  <c r="V98" i="30"/>
  <c r="V98" i="31"/>
  <c r="V94" i="30"/>
  <c r="V94" i="12"/>
  <c r="V94" i="31"/>
  <c r="V90" i="12"/>
  <c r="V90" i="30"/>
  <c r="V90" i="31"/>
  <c r="V86" i="12"/>
  <c r="V86" i="30"/>
  <c r="V86" i="31"/>
  <c r="V82" i="12"/>
  <c r="V82" i="30"/>
  <c r="V82" i="31"/>
  <c r="V78" i="12"/>
  <c r="V78" i="30"/>
  <c r="V78" i="31"/>
  <c r="V74" i="12"/>
  <c r="V74" i="30"/>
  <c r="V74" i="31"/>
  <c r="V70" i="30"/>
  <c r="V70" i="12"/>
  <c r="V70" i="31"/>
  <c r="V66" i="12"/>
  <c r="V66" i="30"/>
  <c r="V66" i="31"/>
  <c r="V62" i="12"/>
  <c r="V62" i="30"/>
  <c r="V62" i="31"/>
  <c r="V58" i="12"/>
  <c r="V58" i="30"/>
  <c r="V58" i="31"/>
  <c r="V54" i="30"/>
  <c r="V54" i="12"/>
  <c r="V54" i="31"/>
  <c r="V50" i="12"/>
  <c r="V50" i="30"/>
  <c r="V50" i="31"/>
  <c r="V46" i="12"/>
  <c r="V46" i="30"/>
  <c r="V46" i="31"/>
  <c r="V42" i="12"/>
  <c r="V42" i="30"/>
  <c r="V42" i="31"/>
  <c r="V38" i="12"/>
  <c r="V38" i="30"/>
  <c r="V38" i="31"/>
  <c r="V34" i="12"/>
  <c r="V34" i="30"/>
  <c r="V34" i="31"/>
  <c r="V30" i="12"/>
  <c r="V30" i="30"/>
  <c r="V30" i="31"/>
  <c r="V26" i="30"/>
  <c r="V26" i="12"/>
  <c r="V26" i="31"/>
  <c r="V22" i="12"/>
  <c r="V22" i="30"/>
  <c r="V22" i="31"/>
  <c r="V18" i="12"/>
  <c r="V18" i="30"/>
  <c r="V18" i="31"/>
  <c r="V14" i="12"/>
  <c r="V14" i="30"/>
  <c r="V14" i="31"/>
  <c r="V10" i="12"/>
  <c r="V10" i="30"/>
  <c r="V10" i="31"/>
  <c r="V6" i="12"/>
  <c r="V6" i="30"/>
  <c r="V6" i="31"/>
  <c r="V132" i="12"/>
  <c r="V132" i="30"/>
  <c r="V132" i="31"/>
  <c r="V124" i="12"/>
  <c r="V124" i="30"/>
  <c r="V124" i="31"/>
  <c r="V116" i="30"/>
  <c r="V116" i="12"/>
  <c r="V116" i="31"/>
  <c r="V108" i="12"/>
  <c r="V108" i="30"/>
  <c r="V108" i="31"/>
  <c r="V100" i="12"/>
  <c r="V100" i="30"/>
  <c r="V100" i="31"/>
  <c r="V92" i="30"/>
  <c r="V92" i="12"/>
  <c r="V92" i="31"/>
  <c r="V84" i="12"/>
  <c r="V84" i="30"/>
  <c r="V84" i="31"/>
  <c r="V76" i="12"/>
  <c r="V76" i="30"/>
  <c r="V76" i="31"/>
  <c r="V68" i="12"/>
  <c r="V68" i="30"/>
  <c r="V68" i="31"/>
  <c r="V60" i="12"/>
  <c r="V60" i="30"/>
  <c r="V60" i="31"/>
  <c r="V52" i="12"/>
  <c r="V52" i="30"/>
  <c r="V52" i="31"/>
  <c r="V44" i="12"/>
  <c r="V44" i="30"/>
  <c r="V44" i="31"/>
  <c r="V36" i="12"/>
  <c r="V36" i="30"/>
  <c r="V36" i="31"/>
  <c r="V28" i="12"/>
  <c r="V28" i="30"/>
  <c r="V28" i="31"/>
  <c r="V12" i="12"/>
  <c r="V12" i="30"/>
  <c r="V12" i="31"/>
  <c r="V135" i="12"/>
  <c r="V135" i="30"/>
  <c r="V135" i="31"/>
  <c r="V127" i="30"/>
  <c r="V127" i="12"/>
  <c r="V127" i="31"/>
  <c r="V119" i="12"/>
  <c r="V119" i="30"/>
  <c r="V119" i="31"/>
  <c r="V111" i="12"/>
  <c r="V111" i="30"/>
  <c r="V111" i="31"/>
  <c r="V103" i="12"/>
  <c r="V103" i="30"/>
  <c r="V103" i="31"/>
  <c r="V95" i="12"/>
  <c r="V95" i="30"/>
  <c r="V95" i="31"/>
  <c r="V87" i="12"/>
  <c r="V87" i="30"/>
  <c r="V87" i="31"/>
  <c r="V79" i="12"/>
  <c r="V79" i="30"/>
  <c r="V79" i="31"/>
  <c r="V71" i="12"/>
  <c r="V71" i="30"/>
  <c r="V71" i="31"/>
  <c r="V63" i="30"/>
  <c r="V63" i="12"/>
  <c r="V63" i="31"/>
  <c r="V55" i="12"/>
  <c r="V55" i="30"/>
  <c r="V55" i="31"/>
  <c r="V43" i="12"/>
  <c r="V43" i="30"/>
  <c r="V43" i="31"/>
  <c r="V137" i="12"/>
  <c r="V137" i="30"/>
  <c r="V137" i="31"/>
  <c r="V133" i="12"/>
  <c r="V133" i="30"/>
  <c r="V133" i="31"/>
  <c r="V129" i="12"/>
  <c r="V129" i="30"/>
  <c r="V129" i="31"/>
  <c r="V125" i="12"/>
  <c r="V125" i="30"/>
  <c r="V125" i="31"/>
  <c r="V121" i="12"/>
  <c r="V121" i="30"/>
  <c r="V121" i="31"/>
  <c r="V117" i="12"/>
  <c r="V117" i="30"/>
  <c r="V117" i="31"/>
  <c r="V113" i="12"/>
  <c r="V113" i="30"/>
  <c r="V113" i="31"/>
  <c r="V109" i="12"/>
  <c r="V109" i="30"/>
  <c r="V109" i="31"/>
  <c r="V105" i="12"/>
  <c r="V105" i="30"/>
  <c r="V105" i="31"/>
  <c r="V101" i="12"/>
  <c r="V101" i="30"/>
  <c r="V101" i="31"/>
  <c r="V97" i="12"/>
  <c r="V97" i="30"/>
  <c r="V97" i="31"/>
  <c r="V93" i="12"/>
  <c r="V93" i="30"/>
  <c r="V93" i="31"/>
  <c r="V89" i="30"/>
  <c r="V89" i="12"/>
  <c r="V89" i="31"/>
  <c r="V85" i="12"/>
  <c r="V85" i="30"/>
  <c r="V85" i="31"/>
  <c r="V81" i="12"/>
  <c r="V81" i="30"/>
  <c r="V81" i="31"/>
  <c r="V77" i="30"/>
  <c r="V77" i="12"/>
  <c r="V77" i="31"/>
  <c r="V73" i="12"/>
  <c r="V73" i="30"/>
  <c r="V73" i="31"/>
  <c r="V69" i="30"/>
  <c r="V69" i="12"/>
  <c r="V69" i="31"/>
  <c r="V65" i="12"/>
  <c r="V65" i="30"/>
  <c r="V65" i="31"/>
  <c r="V61" i="12"/>
  <c r="V61" i="30"/>
  <c r="V61" i="31"/>
  <c r="V57" i="12"/>
  <c r="V57" i="30"/>
  <c r="V57" i="31"/>
  <c r="V53" i="12"/>
  <c r="V53" i="30"/>
  <c r="V53" i="31"/>
  <c r="V49" i="12"/>
  <c r="V49" i="30"/>
  <c r="V49" i="31"/>
  <c r="V45" i="12"/>
  <c r="V45" i="30"/>
  <c r="V45" i="31"/>
  <c r="V41" i="12"/>
  <c r="V41" i="30"/>
  <c r="V41" i="31"/>
  <c r="V37" i="12"/>
  <c r="V37" i="30"/>
  <c r="V37" i="31"/>
  <c r="V33" i="12"/>
  <c r="V33" i="30"/>
  <c r="V33" i="31"/>
  <c r="V29" i="30"/>
  <c r="V29" i="12"/>
  <c r="V29" i="31"/>
  <c r="V25" i="12"/>
  <c r="V25" i="30"/>
  <c r="V25" i="31"/>
  <c r="V21" i="12"/>
  <c r="V21" i="30"/>
  <c r="V21" i="31"/>
  <c r="V17" i="12"/>
  <c r="V17" i="30"/>
  <c r="V17" i="31"/>
  <c r="V13" i="30"/>
  <c r="V13" i="12"/>
  <c r="V13" i="31"/>
  <c r="V9" i="12"/>
  <c r="V9" i="30"/>
  <c r="V9" i="31"/>
  <c r="V5" i="12"/>
  <c r="V5" i="30"/>
  <c r="V5" i="31"/>
  <c r="V4" i="12"/>
  <c r="BH4" i="27"/>
  <c r="K12" i="13" l="1"/>
  <c r="J9" i="13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6" i="27"/>
  <c r="BS1" i="27"/>
  <c r="H4" i="27"/>
  <c r="H138" i="27" l="1"/>
  <c r="H6" i="27"/>
  <c r="L12" i="13"/>
  <c r="K9" i="13"/>
  <c r="K136" i="12"/>
  <c r="K136" i="30"/>
  <c r="K136" i="31"/>
  <c r="K128" i="12"/>
  <c r="K128" i="30"/>
  <c r="K128" i="31"/>
  <c r="K120" i="12"/>
  <c r="K120" i="30"/>
  <c r="K120" i="31"/>
  <c r="K112" i="12"/>
  <c r="K112" i="30"/>
  <c r="K112" i="31"/>
  <c r="K104" i="12"/>
  <c r="K104" i="30"/>
  <c r="K104" i="31"/>
  <c r="K96" i="12"/>
  <c r="K96" i="30"/>
  <c r="K96" i="31"/>
  <c r="K88" i="12"/>
  <c r="K88" i="30"/>
  <c r="K88" i="31"/>
  <c r="K80" i="12"/>
  <c r="K80" i="30"/>
  <c r="K80" i="31"/>
  <c r="K72" i="12"/>
  <c r="K72" i="30"/>
  <c r="K72" i="31"/>
  <c r="K64" i="12"/>
  <c r="K64" i="30"/>
  <c r="K64" i="31"/>
  <c r="K56" i="12"/>
  <c r="K56" i="30"/>
  <c r="K56" i="31"/>
  <c r="K48" i="12"/>
  <c r="K48" i="30"/>
  <c r="K48" i="31"/>
  <c r="K40" i="12"/>
  <c r="K40" i="30"/>
  <c r="K40" i="31"/>
  <c r="K32" i="12"/>
  <c r="K32" i="30"/>
  <c r="K32" i="31"/>
  <c r="K28" i="12"/>
  <c r="K28" i="30"/>
  <c r="K28" i="31"/>
  <c r="K20" i="12"/>
  <c r="K20" i="30"/>
  <c r="K20" i="31"/>
  <c r="K16" i="12"/>
  <c r="K16" i="30"/>
  <c r="K16" i="31"/>
  <c r="K8" i="12"/>
  <c r="K8" i="30"/>
  <c r="K8" i="31"/>
  <c r="K131" i="30"/>
  <c r="K131" i="12"/>
  <c r="K131" i="31"/>
  <c r="K123" i="12"/>
  <c r="K123" i="30"/>
  <c r="K123" i="31"/>
  <c r="K115" i="12"/>
  <c r="K115" i="30"/>
  <c r="K115" i="31"/>
  <c r="K107" i="12"/>
  <c r="K107" i="30"/>
  <c r="K107" i="31"/>
  <c r="K99" i="12"/>
  <c r="K99" i="30"/>
  <c r="K99" i="31"/>
  <c r="K91" i="12"/>
  <c r="K91" i="30"/>
  <c r="K91" i="31"/>
  <c r="K79" i="12"/>
  <c r="K79" i="30"/>
  <c r="K79" i="31"/>
  <c r="K71" i="12"/>
  <c r="K71" i="30"/>
  <c r="K71" i="31"/>
  <c r="K63" i="12"/>
  <c r="K63" i="30"/>
  <c r="K63" i="31"/>
  <c r="K59" i="12"/>
  <c r="K59" i="30"/>
  <c r="K59" i="31"/>
  <c r="K51" i="30"/>
  <c r="K51" i="12"/>
  <c r="K51" i="31"/>
  <c r="K47" i="12"/>
  <c r="K47" i="30"/>
  <c r="K47" i="31"/>
  <c r="K43" i="12"/>
  <c r="K43" i="30"/>
  <c r="K43" i="31"/>
  <c r="K39" i="12"/>
  <c r="K39" i="30"/>
  <c r="K39" i="31"/>
  <c r="K35" i="12"/>
  <c r="K35" i="30"/>
  <c r="K35" i="31"/>
  <c r="K31" i="12"/>
  <c r="K31" i="30"/>
  <c r="K31" i="31"/>
  <c r="K27" i="12"/>
  <c r="K27" i="30"/>
  <c r="K27" i="31"/>
  <c r="K23" i="12"/>
  <c r="K23" i="30"/>
  <c r="K23" i="31"/>
  <c r="K19" i="12"/>
  <c r="K19" i="30"/>
  <c r="K19" i="31"/>
  <c r="K15" i="12"/>
  <c r="K15" i="30"/>
  <c r="K15" i="31"/>
  <c r="K11" i="12"/>
  <c r="K11" i="30"/>
  <c r="K11" i="31"/>
  <c r="K7" i="12"/>
  <c r="K7" i="30"/>
  <c r="K7" i="31"/>
  <c r="K4" i="30"/>
  <c r="K4" i="31"/>
  <c r="K134" i="12"/>
  <c r="K134" i="30"/>
  <c r="K134" i="31"/>
  <c r="K130" i="12"/>
  <c r="K130" i="30"/>
  <c r="K130" i="31"/>
  <c r="K126" i="12"/>
  <c r="K126" i="30"/>
  <c r="K126" i="31"/>
  <c r="K122" i="12"/>
  <c r="K122" i="30"/>
  <c r="K122" i="31"/>
  <c r="K118" i="12"/>
  <c r="K118" i="30"/>
  <c r="K118" i="31"/>
  <c r="K114" i="12"/>
  <c r="K114" i="30"/>
  <c r="K114" i="31"/>
  <c r="K110" i="12"/>
  <c r="K110" i="30"/>
  <c r="K110" i="31"/>
  <c r="K106" i="12"/>
  <c r="K106" i="30"/>
  <c r="K106" i="31"/>
  <c r="K102" i="12"/>
  <c r="K102" i="30"/>
  <c r="K102" i="31"/>
  <c r="K98" i="12"/>
  <c r="K98" i="30"/>
  <c r="K98" i="31"/>
  <c r="K94" i="12"/>
  <c r="K94" i="30"/>
  <c r="K94" i="31"/>
  <c r="K90" i="12"/>
  <c r="K90" i="30"/>
  <c r="K90" i="31"/>
  <c r="K86" i="12"/>
  <c r="K86" i="30"/>
  <c r="K86" i="31"/>
  <c r="K82" i="12"/>
  <c r="K82" i="30"/>
  <c r="K82" i="31"/>
  <c r="K78" i="12"/>
  <c r="K78" i="30"/>
  <c r="K78" i="31"/>
  <c r="K74" i="12"/>
  <c r="K74" i="30"/>
  <c r="K74" i="31"/>
  <c r="K70" i="12"/>
  <c r="K70" i="30"/>
  <c r="K70" i="31"/>
  <c r="K66" i="12"/>
  <c r="K66" i="30"/>
  <c r="K66" i="31"/>
  <c r="K62" i="12"/>
  <c r="K62" i="30"/>
  <c r="K62" i="31"/>
  <c r="K58" i="12"/>
  <c r="K58" i="30"/>
  <c r="K58" i="31"/>
  <c r="K54" i="12"/>
  <c r="K54" i="30"/>
  <c r="K54" i="31"/>
  <c r="K50" i="30"/>
  <c r="K50" i="12"/>
  <c r="K50" i="31"/>
  <c r="K46" i="12"/>
  <c r="K46" i="30"/>
  <c r="K46" i="31"/>
  <c r="K42" i="12"/>
  <c r="K42" i="30"/>
  <c r="K42" i="31"/>
  <c r="K38" i="12"/>
  <c r="K38" i="30"/>
  <c r="K38" i="31"/>
  <c r="K34" i="12"/>
  <c r="K34" i="30"/>
  <c r="K34" i="31"/>
  <c r="K30" i="12"/>
  <c r="K30" i="30"/>
  <c r="K30" i="31"/>
  <c r="K26" i="12"/>
  <c r="K26" i="30"/>
  <c r="K26" i="31"/>
  <c r="K22" i="12"/>
  <c r="K22" i="30"/>
  <c r="K22" i="31"/>
  <c r="K18" i="12"/>
  <c r="K18" i="30"/>
  <c r="K18" i="31"/>
  <c r="K14" i="30"/>
  <c r="K14" i="12"/>
  <c r="K14" i="31"/>
  <c r="K10" i="12"/>
  <c r="K10" i="30"/>
  <c r="K10" i="31"/>
  <c r="K6" i="12"/>
  <c r="K6" i="30"/>
  <c r="K6" i="31"/>
  <c r="K132" i="12"/>
  <c r="K132" i="30"/>
  <c r="K132" i="31"/>
  <c r="K124" i="12"/>
  <c r="K124" i="30"/>
  <c r="K124" i="31"/>
  <c r="K116" i="12"/>
  <c r="K116" i="30"/>
  <c r="K116" i="31"/>
  <c r="K108" i="12"/>
  <c r="K108" i="30"/>
  <c r="K108" i="31"/>
  <c r="K100" i="12"/>
  <c r="K100" i="30"/>
  <c r="K100" i="31"/>
  <c r="K92" i="12"/>
  <c r="K92" i="30"/>
  <c r="K92" i="31"/>
  <c r="K84" i="12"/>
  <c r="K84" i="30"/>
  <c r="K84" i="31"/>
  <c r="K76" i="12"/>
  <c r="K76" i="30"/>
  <c r="K76" i="31"/>
  <c r="K68" i="12"/>
  <c r="K68" i="30"/>
  <c r="K68" i="31"/>
  <c r="K60" i="12"/>
  <c r="K60" i="30"/>
  <c r="K60" i="31"/>
  <c r="K52" i="12"/>
  <c r="K52" i="30"/>
  <c r="K52" i="31"/>
  <c r="K44" i="12"/>
  <c r="K44" i="30"/>
  <c r="K44" i="31"/>
  <c r="K36" i="12"/>
  <c r="K36" i="30"/>
  <c r="K36" i="31"/>
  <c r="K24" i="12"/>
  <c r="K24" i="30"/>
  <c r="K24" i="31"/>
  <c r="K12" i="12"/>
  <c r="K12" i="30"/>
  <c r="K12" i="31"/>
  <c r="K135" i="12"/>
  <c r="K135" i="30"/>
  <c r="K135" i="31"/>
  <c r="K127" i="12"/>
  <c r="K127" i="30"/>
  <c r="K127" i="31"/>
  <c r="K119" i="12"/>
  <c r="K119" i="30"/>
  <c r="K119" i="31"/>
  <c r="K111" i="12"/>
  <c r="K111" i="30"/>
  <c r="K111" i="31"/>
  <c r="K103" i="12"/>
  <c r="K103" i="30"/>
  <c r="K103" i="31"/>
  <c r="K95" i="12"/>
  <c r="K95" i="30"/>
  <c r="K95" i="31"/>
  <c r="K87" i="12"/>
  <c r="K87" i="30"/>
  <c r="K87" i="31"/>
  <c r="K83" i="12"/>
  <c r="K83" i="30"/>
  <c r="K83" i="31"/>
  <c r="K75" i="12"/>
  <c r="K75" i="30"/>
  <c r="K75" i="31"/>
  <c r="K67" i="12"/>
  <c r="K67" i="30"/>
  <c r="K67" i="31"/>
  <c r="K55" i="12"/>
  <c r="K55" i="30"/>
  <c r="K55" i="31"/>
  <c r="K137" i="12"/>
  <c r="K137" i="30"/>
  <c r="K137" i="31"/>
  <c r="K133" i="12"/>
  <c r="K133" i="30"/>
  <c r="K133" i="31"/>
  <c r="K129" i="12"/>
  <c r="K129" i="30"/>
  <c r="K129" i="31"/>
  <c r="K125" i="30"/>
  <c r="K125" i="12"/>
  <c r="K125" i="31"/>
  <c r="K121" i="12"/>
  <c r="K121" i="30"/>
  <c r="K121" i="31"/>
  <c r="K117" i="12"/>
  <c r="K117" i="30"/>
  <c r="K117" i="31"/>
  <c r="K113" i="12"/>
  <c r="K113" i="30"/>
  <c r="K113" i="31"/>
  <c r="K109" i="12"/>
  <c r="K109" i="30"/>
  <c r="K109" i="31"/>
  <c r="K105" i="12"/>
  <c r="K105" i="30"/>
  <c r="K105" i="31"/>
  <c r="K101" i="12"/>
  <c r="K101" i="30"/>
  <c r="K101" i="31"/>
  <c r="K97" i="12"/>
  <c r="K97" i="30"/>
  <c r="K97" i="31"/>
  <c r="K93" i="12"/>
  <c r="K93" i="30"/>
  <c r="K93" i="31"/>
  <c r="K89" i="12"/>
  <c r="K89" i="30"/>
  <c r="K89" i="31"/>
  <c r="K85" i="12"/>
  <c r="K85" i="30"/>
  <c r="K85" i="31"/>
  <c r="K81" i="12"/>
  <c r="K81" i="30"/>
  <c r="K81" i="31"/>
  <c r="K77" i="12"/>
  <c r="K77" i="30"/>
  <c r="K77" i="31"/>
  <c r="K73" i="12"/>
  <c r="K73" i="30"/>
  <c r="K73" i="31"/>
  <c r="K69" i="12"/>
  <c r="K69" i="30"/>
  <c r="K69" i="31"/>
  <c r="K65" i="12"/>
  <c r="K65" i="30"/>
  <c r="K65" i="31"/>
  <c r="K61" i="12"/>
  <c r="K61" i="30"/>
  <c r="K61" i="31"/>
  <c r="K57" i="12"/>
  <c r="K57" i="30"/>
  <c r="K57" i="31"/>
  <c r="K53" i="12"/>
  <c r="K53" i="30"/>
  <c r="K53" i="31"/>
  <c r="K49" i="12"/>
  <c r="K49" i="30"/>
  <c r="K49" i="31"/>
  <c r="K45" i="12"/>
  <c r="K45" i="30"/>
  <c r="K45" i="31"/>
  <c r="K41" i="30"/>
  <c r="K41" i="12"/>
  <c r="K41" i="31"/>
  <c r="K37" i="12"/>
  <c r="K37" i="30"/>
  <c r="K37" i="31"/>
  <c r="K33" i="12"/>
  <c r="K33" i="30"/>
  <c r="K33" i="31"/>
  <c r="K29" i="12"/>
  <c r="K29" i="30"/>
  <c r="K29" i="31"/>
  <c r="K25" i="12"/>
  <c r="K25" i="30"/>
  <c r="K25" i="31"/>
  <c r="K21" i="12"/>
  <c r="K21" i="30"/>
  <c r="K21" i="31"/>
  <c r="K17" i="12"/>
  <c r="K17" i="30"/>
  <c r="K17" i="31"/>
  <c r="K13" i="12"/>
  <c r="K13" i="30"/>
  <c r="K13" i="31"/>
  <c r="K9" i="12"/>
  <c r="K9" i="30"/>
  <c r="K9" i="31"/>
  <c r="K5" i="12"/>
  <c r="K5" i="30"/>
  <c r="K5" i="31"/>
  <c r="DX4" i="27"/>
  <c r="K4" i="12"/>
  <c r="DV4" i="27"/>
  <c r="ED4" i="27"/>
  <c r="DU4" i="27"/>
  <c r="DZ4" i="27"/>
  <c r="DW4" i="27"/>
  <c r="BS2" i="27"/>
  <c r="DV25" i="27" s="1"/>
  <c r="DY4" i="27"/>
  <c r="CS4" i="27"/>
  <c r="CG4" i="27"/>
  <c r="BU4" i="27"/>
  <c r="CQ4" i="27"/>
  <c r="CO4" i="27"/>
  <c r="CE4" i="27"/>
  <c r="CM4" i="27"/>
  <c r="CC4" i="27"/>
  <c r="CK4" i="27"/>
  <c r="CA4" i="27"/>
  <c r="CU4" i="27"/>
  <c r="CI4" i="27"/>
  <c r="BY4" i="27"/>
  <c r="BT4" i="27"/>
  <c r="BR4" i="27"/>
  <c r="BR55" i="27" s="1"/>
  <c r="O53" i="12" s="1"/>
  <c r="BX4" i="27"/>
  <c r="BS4" i="27"/>
  <c r="BS135" i="27" s="1"/>
  <c r="K4" i="27"/>
  <c r="G4" i="27"/>
  <c r="R4" i="27"/>
  <c r="AM4" i="27" s="1"/>
  <c r="V4" i="27"/>
  <c r="AO4" i="27" s="1"/>
  <c r="AD4" i="27"/>
  <c r="AS4" i="27" s="1"/>
  <c r="X4" i="27"/>
  <c r="AP4" i="27" s="1"/>
  <c r="AF4" i="27"/>
  <c r="AT4" i="27" s="1"/>
  <c r="Z4" i="27"/>
  <c r="AQ4" i="27" s="1"/>
  <c r="AH4" i="27"/>
  <c r="AU4" i="27" s="1"/>
  <c r="T4" i="27"/>
  <c r="AN4" i="27" s="1"/>
  <c r="AB4" i="27"/>
  <c r="AR4" i="27" s="1"/>
  <c r="L4" i="27"/>
  <c r="AJ4" i="27" s="1"/>
  <c r="P4" i="27"/>
  <c r="AL4" i="27" s="1"/>
  <c r="N4" i="27"/>
  <c r="E4" i="27"/>
  <c r="E6" i="27" s="1"/>
  <c r="H10" i="27"/>
  <c r="H14" i="27"/>
  <c r="H18" i="27"/>
  <c r="H22" i="27"/>
  <c r="H26" i="27"/>
  <c r="H30" i="27"/>
  <c r="H34" i="27"/>
  <c r="H38" i="27"/>
  <c r="H42" i="27"/>
  <c r="H46" i="27"/>
  <c r="H50" i="27"/>
  <c r="H54" i="27"/>
  <c r="H58" i="27"/>
  <c r="H62" i="27"/>
  <c r="H66" i="27"/>
  <c r="H70" i="27"/>
  <c r="H74" i="27"/>
  <c r="H78" i="27"/>
  <c r="H82" i="27"/>
  <c r="H86" i="27"/>
  <c r="H90" i="27"/>
  <c r="H94" i="27"/>
  <c r="H98" i="27"/>
  <c r="H102" i="27"/>
  <c r="H106" i="27"/>
  <c r="H110" i="27"/>
  <c r="H114" i="27"/>
  <c r="H118" i="27"/>
  <c r="H122" i="27"/>
  <c r="H126" i="27"/>
  <c r="H130" i="27"/>
  <c r="H134" i="27"/>
  <c r="H7" i="27"/>
  <c r="H11" i="27"/>
  <c r="H15" i="27"/>
  <c r="H19" i="27"/>
  <c r="H23" i="27"/>
  <c r="H27" i="27"/>
  <c r="H31" i="27"/>
  <c r="H35" i="27"/>
  <c r="H39" i="27"/>
  <c r="H43" i="27"/>
  <c r="H47" i="27"/>
  <c r="H51" i="27"/>
  <c r="H55" i="27"/>
  <c r="H63" i="27"/>
  <c r="H67" i="27"/>
  <c r="H71" i="27"/>
  <c r="H75" i="27"/>
  <c r="H79" i="27"/>
  <c r="H83" i="27"/>
  <c r="H87" i="27"/>
  <c r="H91" i="27"/>
  <c r="H95" i="27"/>
  <c r="H99" i="27"/>
  <c r="H103" i="27"/>
  <c r="H107" i="27"/>
  <c r="H111" i="27"/>
  <c r="H115" i="27"/>
  <c r="H119" i="27"/>
  <c r="H123" i="27"/>
  <c r="H127" i="27"/>
  <c r="H131" i="27"/>
  <c r="H135" i="27"/>
  <c r="H139" i="27"/>
  <c r="H93" i="27"/>
  <c r="H101" i="27"/>
  <c r="H109" i="27"/>
  <c r="H117" i="27"/>
  <c r="H125" i="27"/>
  <c r="H133" i="27"/>
  <c r="H8" i="27"/>
  <c r="H12" i="27"/>
  <c r="H16" i="27"/>
  <c r="H20" i="27"/>
  <c r="H24" i="27"/>
  <c r="H28" i="27"/>
  <c r="H32" i="27"/>
  <c r="H36" i="27"/>
  <c r="H40" i="27"/>
  <c r="H44" i="27"/>
  <c r="H48" i="27"/>
  <c r="H52" i="27"/>
  <c r="H56" i="27"/>
  <c r="H60" i="27"/>
  <c r="H64" i="27"/>
  <c r="H68" i="27"/>
  <c r="H72" i="27"/>
  <c r="H76" i="27"/>
  <c r="H80" i="27"/>
  <c r="H84" i="27"/>
  <c r="H88" i="27"/>
  <c r="H92" i="27"/>
  <c r="H96" i="27"/>
  <c r="H100" i="27"/>
  <c r="H104" i="27"/>
  <c r="H108" i="27"/>
  <c r="H112" i="27"/>
  <c r="H116" i="27"/>
  <c r="H120" i="27"/>
  <c r="H124" i="27"/>
  <c r="H128" i="27"/>
  <c r="H132" i="27"/>
  <c r="H136" i="27"/>
  <c r="H9" i="27"/>
  <c r="H13" i="27"/>
  <c r="H17" i="27"/>
  <c r="H21" i="27"/>
  <c r="H25" i="27"/>
  <c r="H29" i="27"/>
  <c r="H33" i="27"/>
  <c r="H37" i="27"/>
  <c r="H41" i="27"/>
  <c r="H45" i="27"/>
  <c r="H49" i="27"/>
  <c r="H53" i="27"/>
  <c r="H57" i="27"/>
  <c r="H61" i="27"/>
  <c r="H65" i="27"/>
  <c r="H69" i="27"/>
  <c r="H73" i="27"/>
  <c r="H77" i="27"/>
  <c r="H85" i="27"/>
  <c r="H89" i="27"/>
  <c r="H97" i="27"/>
  <c r="H105" i="27"/>
  <c r="I105" i="27" s="1"/>
  <c r="H113" i="27"/>
  <c r="H121" i="27"/>
  <c r="H129" i="27"/>
  <c r="H137" i="27"/>
  <c r="F4" i="27"/>
  <c r="F133" i="27" s="1"/>
  <c r="DV80" i="27" l="1"/>
  <c r="DZ80" i="27" s="1"/>
  <c r="DV16" i="27"/>
  <c r="DV87" i="27"/>
  <c r="DZ87" i="27" s="1"/>
  <c r="DV23" i="27"/>
  <c r="DV94" i="27"/>
  <c r="DZ94" i="27" s="1"/>
  <c r="DV30" i="27"/>
  <c r="DZ30" i="27" s="1"/>
  <c r="DV101" i="27"/>
  <c r="DZ101" i="27" s="1"/>
  <c r="DV37" i="27"/>
  <c r="DZ37" i="27" s="1"/>
  <c r="DV108" i="27"/>
  <c r="DV44" i="27"/>
  <c r="DV115" i="27"/>
  <c r="DZ115" i="27" s="1"/>
  <c r="DV51" i="27"/>
  <c r="DV122" i="27"/>
  <c r="DZ122" i="27" s="1"/>
  <c r="DV58" i="27"/>
  <c r="DV129" i="27"/>
  <c r="DZ129" i="27" s="1"/>
  <c r="DV65" i="27"/>
  <c r="DZ65" i="27" s="1"/>
  <c r="DV136" i="27"/>
  <c r="DZ136" i="27" s="1"/>
  <c r="DV72" i="27"/>
  <c r="DV8" i="27"/>
  <c r="DZ8" i="27" s="1"/>
  <c r="DV79" i="27"/>
  <c r="DV15" i="27"/>
  <c r="DZ15" i="27" s="1"/>
  <c r="DV86" i="27"/>
  <c r="DZ86" i="27" s="1"/>
  <c r="DV22" i="27"/>
  <c r="DZ22" i="27" s="1"/>
  <c r="DV93" i="27"/>
  <c r="DZ93" i="27" s="1"/>
  <c r="DV29" i="27"/>
  <c r="DZ29" i="27" s="1"/>
  <c r="DV100" i="27"/>
  <c r="DV36" i="27"/>
  <c r="DZ36" i="27" s="1"/>
  <c r="DV107" i="27"/>
  <c r="DV43" i="27"/>
  <c r="DZ43" i="27" s="1"/>
  <c r="DV114" i="27"/>
  <c r="DZ114" i="27" s="1"/>
  <c r="DV50" i="27"/>
  <c r="DZ50" i="27" s="1"/>
  <c r="DV121" i="27"/>
  <c r="DZ121" i="27" s="1"/>
  <c r="DV57" i="27"/>
  <c r="DZ57" i="27" s="1"/>
  <c r="DV128" i="27"/>
  <c r="DV64" i="27"/>
  <c r="DZ64" i="27" s="1"/>
  <c r="DV135" i="27"/>
  <c r="DV71" i="27"/>
  <c r="DZ71" i="27" s="1"/>
  <c r="DV7" i="27"/>
  <c r="DZ7" i="27" s="1"/>
  <c r="DV78" i="27"/>
  <c r="DZ78" i="27" s="1"/>
  <c r="DV14" i="27"/>
  <c r="DZ14" i="27" s="1"/>
  <c r="DV85" i="27"/>
  <c r="DZ85" i="27" s="1"/>
  <c r="DV21" i="27"/>
  <c r="DV92" i="27"/>
  <c r="DZ92" i="27" s="1"/>
  <c r="DV28" i="27"/>
  <c r="DV99" i="27"/>
  <c r="DZ99" i="27" s="1"/>
  <c r="DV35" i="27"/>
  <c r="DZ35" i="27" s="1"/>
  <c r="DV106" i="27"/>
  <c r="DZ106" i="27" s="1"/>
  <c r="DV42" i="27"/>
  <c r="DZ42" i="27" s="1"/>
  <c r="DV113" i="27"/>
  <c r="DZ113" i="27" s="1"/>
  <c r="DV49" i="27"/>
  <c r="DZ49" i="27" s="1"/>
  <c r="DV120" i="27"/>
  <c r="DZ120" i="27" s="1"/>
  <c r="DV56" i="27"/>
  <c r="DV127" i="27"/>
  <c r="DZ127" i="27" s="1"/>
  <c r="DV63" i="27"/>
  <c r="DV134" i="27"/>
  <c r="DZ134" i="27" s="1"/>
  <c r="DV70" i="27"/>
  <c r="DZ70" i="27" s="1"/>
  <c r="DV6" i="27"/>
  <c r="DZ6" i="27" s="1"/>
  <c r="DV77" i="27"/>
  <c r="DV13" i="27"/>
  <c r="DZ13" i="27" s="1"/>
  <c r="DV84" i="27"/>
  <c r="DV20" i="27"/>
  <c r="DZ20" i="27" s="1"/>
  <c r="DV91" i="27"/>
  <c r="DZ91" i="27" s="1"/>
  <c r="DV27" i="27"/>
  <c r="DZ27" i="27" s="1"/>
  <c r="DV98" i="27"/>
  <c r="DZ98" i="27" s="1"/>
  <c r="DV34" i="27"/>
  <c r="DZ34" i="27" s="1"/>
  <c r="DV105" i="27"/>
  <c r="DZ105" i="27" s="1"/>
  <c r="DV41" i="27"/>
  <c r="DZ41" i="27" s="1"/>
  <c r="DV112" i="27"/>
  <c r="DZ112" i="27" s="1"/>
  <c r="DV48" i="27"/>
  <c r="DZ48" i="27" s="1"/>
  <c r="DV119" i="27"/>
  <c r="DZ119" i="27" s="1"/>
  <c r="DV55" i="27"/>
  <c r="DZ55" i="27" s="1"/>
  <c r="DV126" i="27"/>
  <c r="DZ126" i="27" s="1"/>
  <c r="DV62" i="27"/>
  <c r="DZ62" i="27" s="1"/>
  <c r="DV133" i="27"/>
  <c r="DZ133" i="27" s="1"/>
  <c r="DV69" i="27"/>
  <c r="DZ69" i="27" s="1"/>
  <c r="DV140" i="27"/>
  <c r="DZ140" i="27" s="1"/>
  <c r="DV76" i="27"/>
  <c r="DZ76" i="27" s="1"/>
  <c r="DV12" i="27"/>
  <c r="DZ12" i="27" s="1"/>
  <c r="DV83" i="27"/>
  <c r="DZ83" i="27" s="1"/>
  <c r="DV19" i="27"/>
  <c r="DZ19" i="27" s="1"/>
  <c r="DV90" i="27"/>
  <c r="DZ90" i="27" s="1"/>
  <c r="DV26" i="27"/>
  <c r="DZ26" i="27" s="1"/>
  <c r="DV97" i="27"/>
  <c r="DZ97" i="27" s="1"/>
  <c r="DV33" i="27"/>
  <c r="DZ33" i="27" s="1"/>
  <c r="DV104" i="27"/>
  <c r="DZ104" i="27" s="1"/>
  <c r="DV40" i="27"/>
  <c r="DV111" i="27"/>
  <c r="DZ111" i="27" s="1"/>
  <c r="DV47" i="27"/>
  <c r="DZ47" i="27" s="1"/>
  <c r="DV118" i="27"/>
  <c r="DZ118" i="27" s="1"/>
  <c r="DV54" i="27"/>
  <c r="DZ54" i="27" s="1"/>
  <c r="DV125" i="27"/>
  <c r="DZ125" i="27" s="1"/>
  <c r="DV61" i="27"/>
  <c r="DV132" i="27"/>
  <c r="DZ132" i="27" s="1"/>
  <c r="DV68" i="27"/>
  <c r="DZ68" i="27" s="1"/>
  <c r="DV139" i="27"/>
  <c r="DZ139" i="27" s="1"/>
  <c r="DV75" i="27"/>
  <c r="DZ75" i="27" s="1"/>
  <c r="DV11" i="27"/>
  <c r="DZ11" i="27" s="1"/>
  <c r="DV82" i="27"/>
  <c r="DZ82" i="27" s="1"/>
  <c r="DV18" i="27"/>
  <c r="DZ18" i="27" s="1"/>
  <c r="DV89" i="27"/>
  <c r="DZ89" i="27" s="1"/>
  <c r="DZ16" i="27"/>
  <c r="DZ40" i="27"/>
  <c r="DZ56" i="27"/>
  <c r="DZ72" i="27"/>
  <c r="DZ128" i="27"/>
  <c r="DZ25" i="27"/>
  <c r="DZ58" i="27"/>
  <c r="DZ51" i="27"/>
  <c r="DZ107" i="27"/>
  <c r="DZ28" i="27"/>
  <c r="DZ44" i="27"/>
  <c r="DZ84" i="27"/>
  <c r="DZ100" i="27"/>
  <c r="DZ108" i="27"/>
  <c r="DZ21" i="27"/>
  <c r="DZ61" i="27"/>
  <c r="DZ77" i="27"/>
  <c r="DZ23" i="27"/>
  <c r="DZ63" i="27"/>
  <c r="DZ79" i="27"/>
  <c r="DZ135" i="27"/>
  <c r="DV96" i="27"/>
  <c r="DZ96" i="27" s="1"/>
  <c r="DV32" i="27"/>
  <c r="DZ32" i="27" s="1"/>
  <c r="DV103" i="27"/>
  <c r="DZ103" i="27" s="1"/>
  <c r="DV39" i="27"/>
  <c r="DZ39" i="27" s="1"/>
  <c r="DV110" i="27"/>
  <c r="DZ110" i="27" s="1"/>
  <c r="DV46" i="27"/>
  <c r="DZ46" i="27" s="1"/>
  <c r="DV117" i="27"/>
  <c r="DZ117" i="27" s="1"/>
  <c r="DV53" i="27"/>
  <c r="DZ53" i="27" s="1"/>
  <c r="DV124" i="27"/>
  <c r="DZ124" i="27" s="1"/>
  <c r="DV60" i="27"/>
  <c r="DZ60" i="27" s="1"/>
  <c r="DV131" i="27"/>
  <c r="DZ131" i="27" s="1"/>
  <c r="DV67" i="27"/>
  <c r="DZ67" i="27" s="1"/>
  <c r="DV138" i="27"/>
  <c r="DZ138" i="27" s="1"/>
  <c r="DV74" i="27"/>
  <c r="DZ74" i="27" s="1"/>
  <c r="DV10" i="27"/>
  <c r="DZ10" i="27" s="1"/>
  <c r="DV81" i="27"/>
  <c r="DZ81" i="27" s="1"/>
  <c r="DV17" i="27"/>
  <c r="DZ17" i="27" s="1"/>
  <c r="DV88" i="27"/>
  <c r="DZ88" i="27" s="1"/>
  <c r="DV24" i="27"/>
  <c r="DZ24" i="27" s="1"/>
  <c r="DV95" i="27"/>
  <c r="DZ95" i="27" s="1"/>
  <c r="DV31" i="27"/>
  <c r="DZ31" i="27" s="1"/>
  <c r="DV102" i="27"/>
  <c r="DZ102" i="27" s="1"/>
  <c r="DV38" i="27"/>
  <c r="DZ38" i="27" s="1"/>
  <c r="DV109" i="27"/>
  <c r="DZ109" i="27" s="1"/>
  <c r="DV45" i="27"/>
  <c r="DZ45" i="27" s="1"/>
  <c r="DV116" i="27"/>
  <c r="DZ116" i="27" s="1"/>
  <c r="DV52" i="27"/>
  <c r="DZ52" i="27" s="1"/>
  <c r="DV123" i="27"/>
  <c r="DZ123" i="27" s="1"/>
  <c r="DV59" i="27"/>
  <c r="DZ59" i="27" s="1"/>
  <c r="DV130" i="27"/>
  <c r="DZ130" i="27" s="1"/>
  <c r="DV66" i="27"/>
  <c r="DZ66" i="27" s="1"/>
  <c r="DV137" i="27"/>
  <c r="DZ137" i="27" s="1"/>
  <c r="DV73" i="27"/>
  <c r="DZ73" i="27" s="1"/>
  <c r="DV9" i="27"/>
  <c r="DZ9" i="27" s="1"/>
  <c r="M12" i="13"/>
  <c r="L9" i="13"/>
  <c r="BR17" i="27"/>
  <c r="O15" i="12" s="1"/>
  <c r="BB4" i="27"/>
  <c r="BB133" i="27" s="1"/>
  <c r="AP44" i="27" a="1"/>
  <c r="AP44" i="27" s="1"/>
  <c r="AP8" i="27" a="1"/>
  <c r="AP8" i="27" s="1"/>
  <c r="AP45" i="27" a="1"/>
  <c r="AP45" i="27" s="1"/>
  <c r="AP61" i="27" a="1"/>
  <c r="AP61" i="27" s="1"/>
  <c r="AP70" i="27" a="1"/>
  <c r="AP70" i="27" s="1"/>
  <c r="AP81" i="27" a="1"/>
  <c r="AP81" i="27" s="1"/>
  <c r="AP54" i="27" a="1"/>
  <c r="AP54" i="27" s="1"/>
  <c r="AP74" i="27" a="1"/>
  <c r="AP74" i="27" s="1"/>
  <c r="AP67" i="27" a="1"/>
  <c r="AP67" i="27" s="1"/>
  <c r="AP59" i="27" a="1"/>
  <c r="AP59" i="27" s="1"/>
  <c r="AP111" i="27" a="1"/>
  <c r="AP111" i="27" s="1"/>
  <c r="AP115" i="27" a="1"/>
  <c r="AP115" i="27" s="1"/>
  <c r="AP99" i="27" a="1"/>
  <c r="AP99" i="27" s="1"/>
  <c r="AP101" i="27" a="1"/>
  <c r="AP101" i="27" s="1"/>
  <c r="AP109" i="27" a="1"/>
  <c r="AP109" i="27" s="1"/>
  <c r="AP96" i="27" a="1"/>
  <c r="AP96" i="27" s="1"/>
  <c r="AX4" i="27"/>
  <c r="AX133" i="27" s="1"/>
  <c r="AL45" i="27" a="1"/>
  <c r="AL45" i="27" s="1"/>
  <c r="AL44" i="27" a="1"/>
  <c r="AL44" i="27" s="1"/>
  <c r="AL8" i="27" a="1"/>
  <c r="AL8" i="27" s="1"/>
  <c r="AL59" i="27" a="1"/>
  <c r="AL59" i="27" s="1"/>
  <c r="AL67" i="27" a="1"/>
  <c r="AL67" i="27" s="1"/>
  <c r="AL61" i="27" a="1"/>
  <c r="AL61" i="27" s="1"/>
  <c r="AL70" i="27" a="1"/>
  <c r="AL70" i="27" s="1"/>
  <c r="AL74" i="27" a="1"/>
  <c r="AL74" i="27" s="1"/>
  <c r="AL81" i="27" a="1"/>
  <c r="AL81" i="27" s="1"/>
  <c r="AL101" i="27" a="1"/>
  <c r="AL101" i="27" s="1"/>
  <c r="AL96" i="27" a="1"/>
  <c r="AL96" i="27" s="1"/>
  <c r="AL109" i="27" a="1"/>
  <c r="AL109" i="27" s="1"/>
  <c r="AL111" i="27" a="1"/>
  <c r="AL111" i="27" s="1"/>
  <c r="AL54" i="27" a="1"/>
  <c r="AL54" i="27" s="1"/>
  <c r="AL115" i="27" a="1"/>
  <c r="AL115" i="27" s="1"/>
  <c r="AL99" i="27" a="1"/>
  <c r="AL99" i="27" s="1"/>
  <c r="BE4" i="27"/>
  <c r="BE133" i="27" s="1"/>
  <c r="AS45" i="27" a="1"/>
  <c r="AS45" i="27" s="1"/>
  <c r="AS44" i="27" a="1"/>
  <c r="AS44" i="27" s="1"/>
  <c r="AS8" i="27" a="1"/>
  <c r="AS8" i="27" s="1"/>
  <c r="AS59" i="27" a="1"/>
  <c r="AS59" i="27" s="1"/>
  <c r="AS61" i="27" a="1"/>
  <c r="AS61" i="27" s="1"/>
  <c r="AS70" i="27" a="1"/>
  <c r="AS70" i="27" s="1"/>
  <c r="AS81" i="27" a="1"/>
  <c r="AS81" i="27" s="1"/>
  <c r="AS74" i="27" a="1"/>
  <c r="AS74" i="27" s="1"/>
  <c r="AS101" i="27" a="1"/>
  <c r="AS101" i="27" s="1"/>
  <c r="AS67" i="27" a="1"/>
  <c r="AS67" i="27" s="1"/>
  <c r="AS96" i="27" a="1"/>
  <c r="AS96" i="27" s="1"/>
  <c r="AS109" i="27" a="1"/>
  <c r="AS109" i="27" s="1"/>
  <c r="AS111" i="27" a="1"/>
  <c r="AS111" i="27" s="1"/>
  <c r="AS54" i="27" a="1"/>
  <c r="AS54" i="27" s="1"/>
  <c r="AS99" i="27" a="1"/>
  <c r="AS99" i="27" s="1"/>
  <c r="AS115" i="27" a="1"/>
  <c r="AS115" i="27" s="1"/>
  <c r="AV4" i="27"/>
  <c r="AV133" i="27" s="1"/>
  <c r="AJ44" i="27" a="1"/>
  <c r="AJ44" i="27" s="1"/>
  <c r="AJ8" i="27" a="1"/>
  <c r="AJ8" i="27" s="1"/>
  <c r="AJ61" i="27" a="1"/>
  <c r="AJ61" i="27" s="1"/>
  <c r="AJ70" i="27" a="1"/>
  <c r="AJ70" i="27" s="1"/>
  <c r="AJ74" i="27" a="1"/>
  <c r="AJ74" i="27" s="1"/>
  <c r="AJ45" i="27" a="1"/>
  <c r="AJ45" i="27" s="1"/>
  <c r="AJ54" i="27" a="1"/>
  <c r="AJ54" i="27" s="1"/>
  <c r="AJ59" i="27" a="1"/>
  <c r="AJ59" i="27" s="1"/>
  <c r="AJ67" i="27" a="1"/>
  <c r="AJ67" i="27" s="1"/>
  <c r="AJ96" i="27" a="1"/>
  <c r="AJ96" i="27" s="1"/>
  <c r="AJ109" i="27" a="1"/>
  <c r="AJ109" i="27" s="1"/>
  <c r="AJ111" i="27" a="1"/>
  <c r="AJ111" i="27" s="1"/>
  <c r="AJ115" i="27" a="1"/>
  <c r="AJ115" i="27" s="1"/>
  <c r="AJ81" i="27" a="1"/>
  <c r="AJ81" i="27" s="1"/>
  <c r="AJ99" i="27" a="1"/>
  <c r="AJ99" i="27" s="1"/>
  <c r="AJ101" i="27" a="1"/>
  <c r="AJ101" i="27" s="1"/>
  <c r="BA4" i="27"/>
  <c r="BA133" i="27" s="1"/>
  <c r="AO44" i="27" a="1"/>
  <c r="AO44" i="27" s="1"/>
  <c r="AO8" i="27" a="1"/>
  <c r="AO8" i="27" s="1"/>
  <c r="AO45" i="27" a="1"/>
  <c r="AO45" i="27" s="1"/>
  <c r="AO70" i="27" a="1"/>
  <c r="AO70" i="27" s="1"/>
  <c r="AO81" i="27" a="1"/>
  <c r="AO81" i="27" s="1"/>
  <c r="AO54" i="27" a="1"/>
  <c r="AO54" i="27" s="1"/>
  <c r="AO74" i="27" a="1"/>
  <c r="AO74" i="27" s="1"/>
  <c r="AO67" i="27" a="1"/>
  <c r="AO67" i="27" s="1"/>
  <c r="AO59" i="27" a="1"/>
  <c r="AO59" i="27" s="1"/>
  <c r="AO61" i="27" a="1"/>
  <c r="AO61" i="27" s="1"/>
  <c r="AO115" i="27" a="1"/>
  <c r="AO115" i="27" s="1"/>
  <c r="AO99" i="27" a="1"/>
  <c r="AO99" i="27" s="1"/>
  <c r="AO101" i="27" a="1"/>
  <c r="AO101" i="27" s="1"/>
  <c r="AO96" i="27" a="1"/>
  <c r="AO96" i="27" s="1"/>
  <c r="AO109" i="27" a="1"/>
  <c r="AO109" i="27" s="1"/>
  <c r="AO111" i="27" a="1"/>
  <c r="AO111" i="27" s="1"/>
  <c r="BD4" i="27"/>
  <c r="BD133" i="27" s="1"/>
  <c r="AR44" i="27" a="1"/>
  <c r="AR44" i="27" s="1"/>
  <c r="AR8" i="27" a="1"/>
  <c r="AR8" i="27" s="1"/>
  <c r="AR61" i="27" a="1"/>
  <c r="AR61" i="27" s="1"/>
  <c r="AR70" i="27" a="1"/>
  <c r="AR70" i="27" s="1"/>
  <c r="AR74" i="27" a="1"/>
  <c r="AR74" i="27" s="1"/>
  <c r="AR45" i="27" a="1"/>
  <c r="AR45" i="27" s="1"/>
  <c r="AR54" i="27" a="1"/>
  <c r="AR54" i="27" s="1"/>
  <c r="AR67" i="27" a="1"/>
  <c r="AR67" i="27" s="1"/>
  <c r="AR96" i="27" a="1"/>
  <c r="AR96" i="27" s="1"/>
  <c r="AR109" i="27" a="1"/>
  <c r="AR109" i="27" s="1"/>
  <c r="AR111" i="27" a="1"/>
  <c r="AR111" i="27" s="1"/>
  <c r="AR115" i="27" a="1"/>
  <c r="AR115" i="27" s="1"/>
  <c r="AR59" i="27" a="1"/>
  <c r="AR59" i="27" s="1"/>
  <c r="AR99" i="27" a="1"/>
  <c r="AR99" i="27" s="1"/>
  <c r="AR101" i="27" a="1"/>
  <c r="AR101" i="27" s="1"/>
  <c r="AR81" i="27" a="1"/>
  <c r="AR81" i="27" s="1"/>
  <c r="AY4" i="27"/>
  <c r="AY133" i="27" s="1"/>
  <c r="AM45" i="27" a="1"/>
  <c r="AM45" i="27" s="1"/>
  <c r="AM44" i="27" a="1"/>
  <c r="AM44" i="27" s="1"/>
  <c r="AM54" i="27" a="1"/>
  <c r="AM54" i="27" s="1"/>
  <c r="AM67" i="27" a="1"/>
  <c r="AM67" i="27" s="1"/>
  <c r="AM8" i="27" a="1"/>
  <c r="AM8" i="27" s="1"/>
  <c r="AM59" i="27" a="1"/>
  <c r="AM59" i="27" s="1"/>
  <c r="AM61" i="27" a="1"/>
  <c r="AM61" i="27" s="1"/>
  <c r="AM99" i="27" a="1"/>
  <c r="AM99" i="27" s="1"/>
  <c r="AM101" i="27" a="1"/>
  <c r="AM101" i="27" s="1"/>
  <c r="AM96" i="27" a="1"/>
  <c r="AM96" i="27" s="1"/>
  <c r="AM74" i="27" a="1"/>
  <c r="AM74" i="27" s="1"/>
  <c r="AM109" i="27" a="1"/>
  <c r="AM109" i="27" s="1"/>
  <c r="AM111" i="27" a="1"/>
  <c r="AM111" i="27" s="1"/>
  <c r="AM70" i="27" a="1"/>
  <c r="AM70" i="27" s="1"/>
  <c r="AM81" i="27" a="1"/>
  <c r="AM81" i="27" s="1"/>
  <c r="AM115" i="27" a="1"/>
  <c r="AM115" i="27" s="1"/>
  <c r="AZ4" i="27"/>
  <c r="AZ133" i="27" s="1"/>
  <c r="AN8" i="27" a="1"/>
  <c r="AN8" i="27" s="1"/>
  <c r="AN45" i="27" a="1"/>
  <c r="AN45" i="27" s="1"/>
  <c r="AN44" i="27" a="1"/>
  <c r="AN44" i="27" s="1"/>
  <c r="AN70" i="27" a="1"/>
  <c r="AN70" i="27" s="1"/>
  <c r="AN74" i="27" a="1"/>
  <c r="AN74" i="27" s="1"/>
  <c r="AN81" i="27" a="1"/>
  <c r="AN81" i="27" s="1"/>
  <c r="AN54" i="27" a="1"/>
  <c r="AN54" i="27" s="1"/>
  <c r="AN67" i="27" a="1"/>
  <c r="AN67" i="27" s="1"/>
  <c r="AN59" i="27" a="1"/>
  <c r="AN59" i="27" s="1"/>
  <c r="AN61" i="27" a="1"/>
  <c r="AN61" i="27" s="1"/>
  <c r="AN99" i="27" a="1"/>
  <c r="AN99" i="27" s="1"/>
  <c r="AN101" i="27" a="1"/>
  <c r="AN101" i="27" s="1"/>
  <c r="AN96" i="27" a="1"/>
  <c r="AN96" i="27" s="1"/>
  <c r="AN109" i="27" a="1"/>
  <c r="AN109" i="27" s="1"/>
  <c r="AN111" i="27" a="1"/>
  <c r="AN111" i="27" s="1"/>
  <c r="AN115" i="27" a="1"/>
  <c r="AN115" i="27" s="1"/>
  <c r="BG4" i="27"/>
  <c r="BG133" i="27" s="1"/>
  <c r="AU44" i="27" a="1"/>
  <c r="AU44" i="27" s="1"/>
  <c r="AU45" i="27" a="1"/>
  <c r="AU45" i="27" s="1"/>
  <c r="AU74" i="27" a="1"/>
  <c r="AU74" i="27" s="1"/>
  <c r="AU54" i="27" a="1"/>
  <c r="AU54" i="27" s="1"/>
  <c r="AU67" i="27" a="1"/>
  <c r="AU67" i="27" s="1"/>
  <c r="AU8" i="27" a="1"/>
  <c r="AU8" i="27" s="1"/>
  <c r="AU59" i="27" a="1"/>
  <c r="AU59" i="27" s="1"/>
  <c r="AU81" i="27" a="1"/>
  <c r="AU81" i="27" s="1"/>
  <c r="AU99" i="27" a="1"/>
  <c r="AU99" i="27" s="1"/>
  <c r="AU115" i="27" a="1"/>
  <c r="AU115" i="27" s="1"/>
  <c r="AU61" i="27" a="1"/>
  <c r="AU61" i="27" s="1"/>
  <c r="AU101" i="27" a="1"/>
  <c r="AU101" i="27" s="1"/>
  <c r="AU96" i="27" a="1"/>
  <c r="AU96" i="27" s="1"/>
  <c r="AU109" i="27" a="1"/>
  <c r="AU109" i="27" s="1"/>
  <c r="AU111" i="27" a="1"/>
  <c r="AU111" i="27" s="1"/>
  <c r="AU70" i="27" a="1"/>
  <c r="AU70" i="27" s="1"/>
  <c r="BF4" i="27"/>
  <c r="BF133" i="27" s="1"/>
  <c r="AT44" i="27" a="1"/>
  <c r="AT44" i="27" s="1"/>
  <c r="AT8" i="27" a="1"/>
  <c r="AT8" i="27" s="1"/>
  <c r="AT54" i="27" a="1"/>
  <c r="AT54" i="27" s="1"/>
  <c r="AT67" i="27" a="1"/>
  <c r="AT67" i="27" s="1"/>
  <c r="AT59" i="27" a="1"/>
  <c r="AT59" i="27" s="1"/>
  <c r="AT61" i="27" a="1"/>
  <c r="AT61" i="27" s="1"/>
  <c r="AT70" i="27" a="1"/>
  <c r="AT70" i="27" s="1"/>
  <c r="AT81" i="27" a="1"/>
  <c r="AT81" i="27" s="1"/>
  <c r="AT45" i="27" a="1"/>
  <c r="AT45" i="27" s="1"/>
  <c r="AT101" i="27" a="1"/>
  <c r="AT101" i="27" s="1"/>
  <c r="AT96" i="27" a="1"/>
  <c r="AT96" i="27" s="1"/>
  <c r="AT109" i="27" a="1"/>
  <c r="AT109" i="27" s="1"/>
  <c r="AT74" i="27" a="1"/>
  <c r="AT74" i="27" s="1"/>
  <c r="AT111" i="27" a="1"/>
  <c r="AT111" i="27" s="1"/>
  <c r="AT99" i="27" a="1"/>
  <c r="AT99" i="27" s="1"/>
  <c r="AT115" i="27" a="1"/>
  <c r="AT115" i="27" s="1"/>
  <c r="BC4" i="27"/>
  <c r="BC133" i="27" s="1"/>
  <c r="AQ44" i="27" a="1"/>
  <c r="AQ44" i="27" s="1"/>
  <c r="AQ8" i="27" a="1"/>
  <c r="AQ8" i="27" s="1"/>
  <c r="AQ45" i="27" a="1"/>
  <c r="AQ45" i="27" s="1"/>
  <c r="AQ61" i="27" a="1"/>
  <c r="AQ61" i="27" s="1"/>
  <c r="AQ70" i="27" a="1"/>
  <c r="AQ70" i="27" s="1"/>
  <c r="AQ81" i="27" a="1"/>
  <c r="AQ81" i="27" s="1"/>
  <c r="AQ74" i="27" a="1"/>
  <c r="AQ74" i="27" s="1"/>
  <c r="AQ54" i="27" a="1"/>
  <c r="AQ54" i="27" s="1"/>
  <c r="AQ67" i="27" a="1"/>
  <c r="AQ67" i="27" s="1"/>
  <c r="AQ59" i="27" a="1"/>
  <c r="AQ59" i="27" s="1"/>
  <c r="AQ96" i="27" a="1"/>
  <c r="AQ96" i="27" s="1"/>
  <c r="AQ109" i="27" a="1"/>
  <c r="AQ109" i="27" s="1"/>
  <c r="AQ111" i="27" a="1"/>
  <c r="AQ111" i="27" s="1"/>
  <c r="AQ115" i="27" a="1"/>
  <c r="AQ115" i="27" s="1"/>
  <c r="AQ99" i="27" a="1"/>
  <c r="AQ99" i="27" s="1"/>
  <c r="AQ101" i="27" a="1"/>
  <c r="AQ101" i="27" s="1"/>
  <c r="BR101" i="27"/>
  <c r="O99" i="12" s="1"/>
  <c r="BR78" i="27"/>
  <c r="O76" i="12" s="1"/>
  <c r="BR30" i="27"/>
  <c r="O28" i="12" s="1"/>
  <c r="BR123" i="27"/>
  <c r="O121" i="12" s="1"/>
  <c r="BR66" i="27"/>
  <c r="O64" i="12" s="1"/>
  <c r="BR113" i="27"/>
  <c r="O111" i="12" s="1"/>
  <c r="X133" i="31"/>
  <c r="P133" i="12"/>
  <c r="O133" i="30"/>
  <c r="P133" i="30"/>
  <c r="P133" i="31"/>
  <c r="O133" i="31"/>
  <c r="J57" i="12"/>
  <c r="J79" i="12"/>
  <c r="J68" i="12"/>
  <c r="DX21" i="27"/>
  <c r="DX37" i="27"/>
  <c r="DX53" i="27"/>
  <c r="DX69" i="27"/>
  <c r="DX85" i="27"/>
  <c r="DX101" i="27"/>
  <c r="DX117" i="27"/>
  <c r="DX133" i="27"/>
  <c r="DX26" i="27"/>
  <c r="DX42" i="27"/>
  <c r="DX58" i="27"/>
  <c r="DX74" i="27"/>
  <c r="DX90" i="27"/>
  <c r="DX106" i="27"/>
  <c r="DX122" i="27"/>
  <c r="DX138" i="27"/>
  <c r="DX19" i="27"/>
  <c r="DX35" i="27"/>
  <c r="DX51" i="27"/>
  <c r="DX67" i="27"/>
  <c r="DX83" i="27"/>
  <c r="DX99" i="27"/>
  <c r="DX115" i="27"/>
  <c r="DX131" i="27"/>
  <c r="DX18" i="27"/>
  <c r="DX16" i="27"/>
  <c r="DX32" i="27"/>
  <c r="DX48" i="27"/>
  <c r="DX64" i="27"/>
  <c r="DX80" i="27"/>
  <c r="DX96" i="27"/>
  <c r="DX112" i="27"/>
  <c r="DX128" i="27"/>
  <c r="DX6" i="27"/>
  <c r="DX9" i="27"/>
  <c r="DX25" i="27"/>
  <c r="DX41" i="27"/>
  <c r="DX57" i="27"/>
  <c r="DX73" i="27"/>
  <c r="DX89" i="27"/>
  <c r="DX105" i="27"/>
  <c r="DX121" i="27"/>
  <c r="DX137" i="27"/>
  <c r="DX30" i="27"/>
  <c r="DX46" i="27"/>
  <c r="DX62" i="27"/>
  <c r="DX78" i="27"/>
  <c r="DX94" i="27"/>
  <c r="DX110" i="27"/>
  <c r="DX126" i="27"/>
  <c r="DX23" i="27"/>
  <c r="DX39" i="27"/>
  <c r="DX55" i="27"/>
  <c r="DX71" i="27"/>
  <c r="DX87" i="27"/>
  <c r="DX103" i="27"/>
  <c r="DX119" i="27"/>
  <c r="DX135" i="27"/>
  <c r="DX11" i="27"/>
  <c r="DX20" i="27"/>
  <c r="DX36" i="27"/>
  <c r="DX52" i="27"/>
  <c r="DX68" i="27"/>
  <c r="DX84" i="27"/>
  <c r="DX100" i="27"/>
  <c r="DX116" i="27"/>
  <c r="DX132" i="27"/>
  <c r="DX13" i="27"/>
  <c r="DX29" i="27"/>
  <c r="DX45" i="27"/>
  <c r="DX61" i="27"/>
  <c r="DX77" i="27"/>
  <c r="DX93" i="27"/>
  <c r="DX109" i="27"/>
  <c r="DX125" i="27"/>
  <c r="DX14" i="27"/>
  <c r="DX34" i="27"/>
  <c r="DX50" i="27"/>
  <c r="DX66" i="27"/>
  <c r="DX82" i="27"/>
  <c r="DX98" i="27"/>
  <c r="DX114" i="27"/>
  <c r="DX130" i="27"/>
  <c r="DX7" i="27"/>
  <c r="DX27" i="27"/>
  <c r="DX43" i="27"/>
  <c r="DX59" i="27"/>
  <c r="DX75" i="27"/>
  <c r="DX91" i="27"/>
  <c r="DX107" i="27"/>
  <c r="DX123" i="27"/>
  <c r="DX139" i="27"/>
  <c r="DX8" i="27"/>
  <c r="DX24" i="27"/>
  <c r="DX40" i="27"/>
  <c r="DX56" i="27"/>
  <c r="DX72" i="27"/>
  <c r="DX88" i="27"/>
  <c r="DX104" i="27"/>
  <c r="DX120" i="27"/>
  <c r="DX136" i="27"/>
  <c r="DX17" i="27"/>
  <c r="DX33" i="27"/>
  <c r="DX49" i="27"/>
  <c r="DX65" i="27"/>
  <c r="DX81" i="27"/>
  <c r="DX97" i="27"/>
  <c r="DX113" i="27"/>
  <c r="DX129" i="27"/>
  <c r="DX22" i="27"/>
  <c r="DX38" i="27"/>
  <c r="DX54" i="27"/>
  <c r="DX70" i="27"/>
  <c r="DX86" i="27"/>
  <c r="DX102" i="27"/>
  <c r="DX118" i="27"/>
  <c r="DX134" i="27"/>
  <c r="DX15" i="27"/>
  <c r="DX31" i="27"/>
  <c r="DX47" i="27"/>
  <c r="DX63" i="27"/>
  <c r="DX79" i="27"/>
  <c r="DX95" i="27"/>
  <c r="DX111" i="27"/>
  <c r="DX127" i="27"/>
  <c r="DX10" i="27"/>
  <c r="DX12" i="27"/>
  <c r="DX28" i="27"/>
  <c r="DX44" i="27"/>
  <c r="DX60" i="27"/>
  <c r="DX76" i="27"/>
  <c r="DX92" i="27"/>
  <c r="DX108" i="27"/>
  <c r="DX124" i="27"/>
  <c r="DX140" i="27"/>
  <c r="BW55" i="27"/>
  <c r="I95" i="27"/>
  <c r="I63" i="27"/>
  <c r="I82" i="27"/>
  <c r="I53" i="27"/>
  <c r="I120" i="27"/>
  <c r="I104" i="27"/>
  <c r="I55" i="27"/>
  <c r="I46" i="27"/>
  <c r="I97" i="27"/>
  <c r="I13" i="27"/>
  <c r="I80" i="27"/>
  <c r="I92" i="27"/>
  <c r="I11" i="27"/>
  <c r="I52" i="27"/>
  <c r="I131" i="27"/>
  <c r="E106" i="27"/>
  <c r="E42" i="27"/>
  <c r="E10" i="27"/>
  <c r="D8" i="12" s="1"/>
  <c r="E139" i="27"/>
  <c r="F101" i="27"/>
  <c r="BR10" i="27"/>
  <c r="BR6" i="27"/>
  <c r="D4" i="12" s="1"/>
  <c r="BR136" i="27"/>
  <c r="BR89" i="27"/>
  <c r="BR43" i="27"/>
  <c r="BS112" i="27"/>
  <c r="E74" i="27"/>
  <c r="BR132" i="27"/>
  <c r="BR98" i="27"/>
  <c r="BR63" i="27"/>
  <c r="O61" i="12" s="1"/>
  <c r="BR139" i="27"/>
  <c r="BR127" i="27"/>
  <c r="BR115" i="27"/>
  <c r="BR103" i="27"/>
  <c r="BR92" i="27"/>
  <c r="O90" i="12" s="1"/>
  <c r="BR80" i="27"/>
  <c r="O78" i="12" s="1"/>
  <c r="BR69" i="27"/>
  <c r="BR57" i="27"/>
  <c r="BR45" i="27"/>
  <c r="BR35" i="27"/>
  <c r="BR19" i="27"/>
  <c r="BR121" i="27"/>
  <c r="BR109" i="27"/>
  <c r="BR86" i="27"/>
  <c r="BR74" i="27"/>
  <c r="BR51" i="27"/>
  <c r="BR41" i="27"/>
  <c r="BR27" i="27"/>
  <c r="BR12" i="27"/>
  <c r="BR129" i="27"/>
  <c r="BR117" i="27"/>
  <c r="BR107" i="27"/>
  <c r="BR95" i="27"/>
  <c r="O93" i="12" s="1"/>
  <c r="BR84" i="27"/>
  <c r="BR72" i="27"/>
  <c r="BR60" i="27"/>
  <c r="BR49" i="27"/>
  <c r="BR37" i="27"/>
  <c r="BR24" i="27"/>
  <c r="BR9" i="27"/>
  <c r="BR140" i="27"/>
  <c r="BR134" i="27"/>
  <c r="BR128" i="27"/>
  <c r="BR122" i="27"/>
  <c r="BR116" i="27"/>
  <c r="BR110" i="27"/>
  <c r="BR105" i="27"/>
  <c r="BW105" i="27" s="1"/>
  <c r="BR99" i="27"/>
  <c r="BR93" i="27"/>
  <c r="BR87" i="27"/>
  <c r="BR81" i="27"/>
  <c r="BR77" i="27"/>
  <c r="BR71" i="27"/>
  <c r="BR65" i="27"/>
  <c r="BR59" i="27"/>
  <c r="BR53" i="27"/>
  <c r="O51" i="12" s="1"/>
  <c r="BR48" i="27"/>
  <c r="BR42" i="27"/>
  <c r="BR36" i="27"/>
  <c r="BR29" i="27"/>
  <c r="BR21" i="27"/>
  <c r="BR15" i="27"/>
  <c r="BR7" i="27"/>
  <c r="BR138" i="27"/>
  <c r="BR131" i="27"/>
  <c r="O129" i="12" s="1"/>
  <c r="BR125" i="27"/>
  <c r="BR120" i="27"/>
  <c r="BR114" i="27"/>
  <c r="BR108" i="27"/>
  <c r="BR102" i="27"/>
  <c r="BR96" i="27"/>
  <c r="BR91" i="27"/>
  <c r="BR85" i="27"/>
  <c r="BR79" i="27"/>
  <c r="BR73" i="27"/>
  <c r="BR67" i="27"/>
  <c r="BR62" i="27"/>
  <c r="BR56" i="27"/>
  <c r="BR50" i="27"/>
  <c r="BR44" i="27"/>
  <c r="BR38" i="27"/>
  <c r="BR33" i="27"/>
  <c r="BR25" i="27"/>
  <c r="BR18" i="27"/>
  <c r="BR11" i="27"/>
  <c r="O9" i="12" s="1"/>
  <c r="BS40" i="27"/>
  <c r="BS82" i="27"/>
  <c r="BS10" i="27"/>
  <c r="BS76" i="27"/>
  <c r="BS118" i="27"/>
  <c r="BS46" i="27"/>
  <c r="BS106" i="27"/>
  <c r="BS70" i="27"/>
  <c r="BS34" i="27"/>
  <c r="BS137" i="27"/>
  <c r="BS100" i="27"/>
  <c r="BS64" i="27"/>
  <c r="BS28" i="27"/>
  <c r="BR133" i="27"/>
  <c r="BR126" i="27"/>
  <c r="BR119" i="27"/>
  <c r="BR111" i="27"/>
  <c r="BR104" i="27"/>
  <c r="O102" i="12" s="1"/>
  <c r="BR97" i="27"/>
  <c r="O95" i="12" s="1"/>
  <c r="BR90" i="27"/>
  <c r="BR83" i="27"/>
  <c r="BR75" i="27"/>
  <c r="BR68" i="27"/>
  <c r="BR61" i="27"/>
  <c r="BR54" i="27"/>
  <c r="BR47" i="27"/>
  <c r="BR39" i="27"/>
  <c r="BR31" i="27"/>
  <c r="BR23" i="27"/>
  <c r="BR13" i="27"/>
  <c r="O11" i="12" s="1"/>
  <c r="BS130" i="27"/>
  <c r="BS94" i="27"/>
  <c r="BS58" i="27"/>
  <c r="BS22" i="27"/>
  <c r="BS124" i="27"/>
  <c r="BS88" i="27"/>
  <c r="BS52" i="27"/>
  <c r="BS16" i="27"/>
  <c r="BR32" i="27"/>
  <c r="BR26" i="27"/>
  <c r="BR20" i="27"/>
  <c r="BR14" i="27"/>
  <c r="BR8" i="27"/>
  <c r="BR135" i="27"/>
  <c r="BR137" i="27"/>
  <c r="BR130" i="27"/>
  <c r="BR124" i="27"/>
  <c r="BR118" i="27"/>
  <c r="BR112" i="27"/>
  <c r="BR106" i="27"/>
  <c r="BR100" i="27"/>
  <c r="BR94" i="27"/>
  <c r="BR88" i="27"/>
  <c r="BR82" i="27"/>
  <c r="O80" i="12" s="1"/>
  <c r="BR76" i="27"/>
  <c r="BR70" i="27"/>
  <c r="BR64" i="27"/>
  <c r="BR58" i="27"/>
  <c r="BR52" i="27"/>
  <c r="O50" i="12" s="1"/>
  <c r="BR46" i="27"/>
  <c r="O44" i="12" s="1"/>
  <c r="BR40" i="27"/>
  <c r="BR34" i="27"/>
  <c r="BR28" i="27"/>
  <c r="BR22" i="27"/>
  <c r="BR16" i="27"/>
  <c r="BS127" i="27"/>
  <c r="BS138" i="27"/>
  <c r="BS131" i="27"/>
  <c r="BS125" i="27"/>
  <c r="BS119" i="27"/>
  <c r="BS113" i="27"/>
  <c r="BS107" i="27"/>
  <c r="BS101" i="27"/>
  <c r="BS95" i="27"/>
  <c r="BS89" i="27"/>
  <c r="BS83" i="27"/>
  <c r="BS77" i="27"/>
  <c r="BS71" i="27"/>
  <c r="BS65" i="27"/>
  <c r="BS59" i="27"/>
  <c r="BS53" i="27"/>
  <c r="BS47" i="27"/>
  <c r="BS41" i="27"/>
  <c r="BS35" i="27"/>
  <c r="BS29" i="27"/>
  <c r="BS23" i="27"/>
  <c r="BS17" i="27"/>
  <c r="BS11" i="27"/>
  <c r="BS136" i="27"/>
  <c r="BS129" i="27"/>
  <c r="BS123" i="27"/>
  <c r="BS117" i="27"/>
  <c r="BS111" i="27"/>
  <c r="BS105" i="27"/>
  <c r="BS99" i="27"/>
  <c r="BS93" i="27"/>
  <c r="BS87" i="27"/>
  <c r="BS81" i="27"/>
  <c r="BS75" i="27"/>
  <c r="BS69" i="27"/>
  <c r="BS63" i="27"/>
  <c r="BS57" i="27"/>
  <c r="BS51" i="27"/>
  <c r="BS45" i="27"/>
  <c r="BS39" i="27"/>
  <c r="BS33" i="27"/>
  <c r="BS27" i="27"/>
  <c r="BS21" i="27"/>
  <c r="BS15" i="27"/>
  <c r="BS9" i="27"/>
  <c r="BS6" i="27"/>
  <c r="BS134" i="27"/>
  <c r="BS128" i="27"/>
  <c r="BS122" i="27"/>
  <c r="BS116" i="27"/>
  <c r="BS110" i="27"/>
  <c r="BS104" i="27"/>
  <c r="BS98" i="27"/>
  <c r="BS92" i="27"/>
  <c r="BS86" i="27"/>
  <c r="BS80" i="27"/>
  <c r="BS74" i="27"/>
  <c r="BS68" i="27"/>
  <c r="BS62" i="27"/>
  <c r="BS56" i="27"/>
  <c r="BS50" i="27"/>
  <c r="BS44" i="27"/>
  <c r="BS38" i="27"/>
  <c r="BS32" i="27"/>
  <c r="BS26" i="27"/>
  <c r="BS20" i="27"/>
  <c r="BS14" i="27"/>
  <c r="BS8" i="27"/>
  <c r="BS133" i="27"/>
  <c r="E131" i="12" s="1"/>
  <c r="BS121" i="27"/>
  <c r="BS115" i="27"/>
  <c r="BS103" i="27"/>
  <c r="BS97" i="27"/>
  <c r="BS91" i="27"/>
  <c r="BS85" i="27"/>
  <c r="BS79" i="27"/>
  <c r="BS73" i="27"/>
  <c r="BS67" i="27"/>
  <c r="BS61" i="27"/>
  <c r="BS55" i="27"/>
  <c r="BS49" i="27"/>
  <c r="BS43" i="27"/>
  <c r="BS37" i="27"/>
  <c r="BS31" i="27"/>
  <c r="BS25" i="27"/>
  <c r="BS19" i="27"/>
  <c r="BS13" i="27"/>
  <c r="BS7" i="27"/>
  <c r="BS140" i="27"/>
  <c r="BS109" i="27"/>
  <c r="BS139" i="27"/>
  <c r="BS132" i="27"/>
  <c r="BS126" i="27"/>
  <c r="BS120" i="27"/>
  <c r="BS114" i="27"/>
  <c r="BS108" i="27"/>
  <c r="BS102" i="27"/>
  <c r="BS96" i="27"/>
  <c r="BS90" i="27"/>
  <c r="BS84" i="27"/>
  <c r="BS78" i="27"/>
  <c r="BS72" i="27"/>
  <c r="BS66" i="27"/>
  <c r="BS60" i="27"/>
  <c r="BS54" i="27"/>
  <c r="BS48" i="27"/>
  <c r="BS42" i="27"/>
  <c r="BS36" i="27"/>
  <c r="BS30" i="27"/>
  <c r="BS24" i="27"/>
  <c r="BS18" i="27"/>
  <c r="BS12" i="27"/>
  <c r="F69" i="27"/>
  <c r="E133" i="27"/>
  <c r="D131" i="12" s="1"/>
  <c r="E101" i="27"/>
  <c r="E69" i="27"/>
  <c r="D67" i="12" s="1"/>
  <c r="E37" i="27"/>
  <c r="E126" i="27"/>
  <c r="D124" i="12" s="1"/>
  <c r="E94" i="27"/>
  <c r="D92" i="12" s="1"/>
  <c r="E62" i="27"/>
  <c r="D60" i="12" s="1"/>
  <c r="E30" i="27"/>
  <c r="E122" i="27"/>
  <c r="D120" i="12" s="1"/>
  <c r="E90" i="27"/>
  <c r="D88" i="12" s="1"/>
  <c r="E58" i="27"/>
  <c r="E26" i="27"/>
  <c r="E117" i="27"/>
  <c r="E85" i="27"/>
  <c r="D83" i="12" s="1"/>
  <c r="E53" i="27"/>
  <c r="E21" i="27"/>
  <c r="E110" i="27"/>
  <c r="E78" i="27"/>
  <c r="E46" i="27"/>
  <c r="E14" i="27"/>
  <c r="D12" i="12" s="1"/>
  <c r="CJ4" i="27"/>
  <c r="DB4" i="27"/>
  <c r="CF4" i="27"/>
  <c r="CZ4" i="27"/>
  <c r="DH4" i="27"/>
  <c r="CV4" i="27"/>
  <c r="DE4" i="27"/>
  <c r="CP4" i="27"/>
  <c r="CB4" i="27"/>
  <c r="CX4" i="27"/>
  <c r="CR4" i="27"/>
  <c r="DF4" i="27"/>
  <c r="CL4" i="27"/>
  <c r="DC4" i="27"/>
  <c r="BU10" i="27"/>
  <c r="BU16" i="27"/>
  <c r="BU22" i="27"/>
  <c r="BU28" i="27"/>
  <c r="BU34" i="27"/>
  <c r="BU40" i="27"/>
  <c r="BU46" i="27"/>
  <c r="BU52" i="27"/>
  <c r="BU58" i="27"/>
  <c r="BU64" i="27"/>
  <c r="BU70" i="27"/>
  <c r="BU76" i="27"/>
  <c r="BU82" i="27"/>
  <c r="BU88" i="27"/>
  <c r="BU94" i="27"/>
  <c r="BU100" i="27"/>
  <c r="BU106" i="27"/>
  <c r="BU112" i="27"/>
  <c r="BU118" i="27"/>
  <c r="BU124" i="27"/>
  <c r="BU130" i="27"/>
  <c r="BU136" i="27"/>
  <c r="BU90" i="27"/>
  <c r="BU132" i="27"/>
  <c r="BU67" i="27"/>
  <c r="J65" i="12" s="1"/>
  <c r="BU97" i="27"/>
  <c r="BV97" i="27" s="1"/>
  <c r="BU121" i="27"/>
  <c r="BU11" i="27"/>
  <c r="BU17" i="27"/>
  <c r="BU23" i="27"/>
  <c r="BU29" i="27"/>
  <c r="BU35" i="27"/>
  <c r="BU41" i="27"/>
  <c r="BU47" i="27"/>
  <c r="BU53" i="27"/>
  <c r="BU65" i="27"/>
  <c r="BU71" i="27"/>
  <c r="BU77" i="27"/>
  <c r="BU83" i="27"/>
  <c r="BU89" i="27"/>
  <c r="BU95" i="27"/>
  <c r="BV95" i="27" s="1"/>
  <c r="BU101" i="27"/>
  <c r="J99" i="12" s="1"/>
  <c r="BU107" i="27"/>
  <c r="BU113" i="27"/>
  <c r="BU119" i="27"/>
  <c r="BU125" i="27"/>
  <c r="BU131" i="27"/>
  <c r="BV131" i="27" s="1"/>
  <c r="BU137" i="27"/>
  <c r="BU12" i="27"/>
  <c r="BU18" i="27"/>
  <c r="BU30" i="27"/>
  <c r="BU36" i="27"/>
  <c r="BU48" i="27"/>
  <c r="BU60" i="27"/>
  <c r="BU78" i="27"/>
  <c r="BU96" i="27"/>
  <c r="J94" i="12" s="1"/>
  <c r="BU120" i="27"/>
  <c r="BV120" i="27" s="1"/>
  <c r="BU138" i="27"/>
  <c r="BU49" i="27"/>
  <c r="BU85" i="27"/>
  <c r="BU109" i="27"/>
  <c r="J107" i="12" s="1"/>
  <c r="BU127" i="27"/>
  <c r="BU24" i="27"/>
  <c r="BU66" i="27"/>
  <c r="BU108" i="27"/>
  <c r="BU7" i="27"/>
  <c r="BU13" i="27"/>
  <c r="BU19" i="27"/>
  <c r="BU25" i="27"/>
  <c r="BU31" i="27"/>
  <c r="BU37" i="27"/>
  <c r="BU43" i="27"/>
  <c r="BU61" i="27"/>
  <c r="J59" i="12" s="1"/>
  <c r="BU73" i="27"/>
  <c r="BU79" i="27"/>
  <c r="BU103" i="27"/>
  <c r="BU139" i="27"/>
  <c r="BU8" i="27"/>
  <c r="J6" i="12" s="1"/>
  <c r="BU14" i="27"/>
  <c r="BU20" i="27"/>
  <c r="BU26" i="27"/>
  <c r="BU32" i="27"/>
  <c r="BU38" i="27"/>
  <c r="BU44" i="27"/>
  <c r="J42" i="12" s="1"/>
  <c r="BU50" i="27"/>
  <c r="BU56" i="27"/>
  <c r="BU62" i="27"/>
  <c r="BU68" i="27"/>
  <c r="BU74" i="27"/>
  <c r="J72" i="12" s="1"/>
  <c r="BU80" i="27"/>
  <c r="BU86" i="27"/>
  <c r="BU92" i="27"/>
  <c r="BV92" i="27" s="1"/>
  <c r="BU98" i="27"/>
  <c r="BU104" i="27"/>
  <c r="BV104" i="27" s="1"/>
  <c r="BU110" i="27"/>
  <c r="BU116" i="27"/>
  <c r="BU122" i="27"/>
  <c r="BU128" i="27"/>
  <c r="BU134" i="27"/>
  <c r="BU9" i="27"/>
  <c r="BU15" i="27"/>
  <c r="BU21" i="27"/>
  <c r="BU27" i="27"/>
  <c r="BU33" i="27"/>
  <c r="BU39" i="27"/>
  <c r="BU45" i="27"/>
  <c r="J43" i="12" s="1"/>
  <c r="BU51" i="27"/>
  <c r="BU57" i="27"/>
  <c r="BU63" i="27"/>
  <c r="BU69" i="27"/>
  <c r="BU75" i="27"/>
  <c r="BU87" i="27"/>
  <c r="BU93" i="27"/>
  <c r="BU99" i="27"/>
  <c r="J97" i="12" s="1"/>
  <c r="BU105" i="27"/>
  <c r="BV105" i="27" s="1"/>
  <c r="BU111" i="27"/>
  <c r="J109" i="12" s="1"/>
  <c r="BU117" i="27"/>
  <c r="BU123" i="27"/>
  <c r="BU129" i="27"/>
  <c r="BU135" i="27"/>
  <c r="BU6" i="27"/>
  <c r="BU42" i="27"/>
  <c r="BU54" i="27"/>
  <c r="J52" i="12" s="1"/>
  <c r="BU72" i="27"/>
  <c r="BU84" i="27"/>
  <c r="BU102" i="27"/>
  <c r="BU114" i="27"/>
  <c r="BU126" i="27"/>
  <c r="BU55" i="27"/>
  <c r="BU91" i="27"/>
  <c r="BU115" i="27"/>
  <c r="J113" i="12" s="1"/>
  <c r="BU133" i="27"/>
  <c r="CY4" i="27"/>
  <c r="CD4" i="27"/>
  <c r="DA4" i="27"/>
  <c r="CH4" i="27"/>
  <c r="CW4" i="27"/>
  <c r="BZ4" i="27"/>
  <c r="DD4" i="27"/>
  <c r="CN4" i="27"/>
  <c r="CT4" i="27"/>
  <c r="DG4" i="27"/>
  <c r="AK4" i="27"/>
  <c r="F6" i="27"/>
  <c r="F37" i="27"/>
  <c r="Q4" i="27"/>
  <c r="AI4" i="27"/>
  <c r="AE4" i="27"/>
  <c r="E130" i="27"/>
  <c r="D128" i="12" s="1"/>
  <c r="E118" i="27"/>
  <c r="E109" i="27"/>
  <c r="E98" i="27"/>
  <c r="D96" i="12" s="1"/>
  <c r="E86" i="27"/>
  <c r="E77" i="27"/>
  <c r="D75" i="12" s="1"/>
  <c r="E66" i="27"/>
  <c r="E54" i="27"/>
  <c r="D52" i="12" s="1"/>
  <c r="E45" i="27"/>
  <c r="E34" i="27"/>
  <c r="D32" i="12" s="1"/>
  <c r="E22" i="27"/>
  <c r="D20" i="12" s="1"/>
  <c r="E13" i="27"/>
  <c r="F105" i="27"/>
  <c r="F41" i="27"/>
  <c r="M4" i="27"/>
  <c r="AA4" i="27"/>
  <c r="W4" i="27"/>
  <c r="AC4" i="27"/>
  <c r="AG4" i="27"/>
  <c r="S4" i="27"/>
  <c r="E134" i="27"/>
  <c r="E125" i="27"/>
  <c r="E114" i="27"/>
  <c r="E102" i="27"/>
  <c r="D100" i="12" s="1"/>
  <c r="E93" i="27"/>
  <c r="E82" i="27"/>
  <c r="E70" i="27"/>
  <c r="D68" i="12" s="1"/>
  <c r="E61" i="27"/>
  <c r="D59" i="12" s="1"/>
  <c r="E50" i="27"/>
  <c r="E38" i="27"/>
  <c r="D36" i="12" s="1"/>
  <c r="E29" i="27"/>
  <c r="E18" i="27"/>
  <c r="F138" i="27"/>
  <c r="F73" i="27"/>
  <c r="F9" i="27"/>
  <c r="O4" i="27"/>
  <c r="U4" i="27"/>
  <c r="Y4" i="27"/>
  <c r="F121" i="27"/>
  <c r="F89" i="27"/>
  <c r="F57" i="27"/>
  <c r="F25" i="27"/>
  <c r="E138" i="27"/>
  <c r="E129" i="27"/>
  <c r="D127" i="12" s="1"/>
  <c r="E121" i="27"/>
  <c r="E113" i="27"/>
  <c r="E105" i="27"/>
  <c r="J105" i="27" s="1"/>
  <c r="E97" i="27"/>
  <c r="E89" i="27"/>
  <c r="E81" i="27"/>
  <c r="E73" i="27"/>
  <c r="E65" i="27"/>
  <c r="D63" i="12" s="1"/>
  <c r="E57" i="27"/>
  <c r="E49" i="27"/>
  <c r="D47" i="12" s="1"/>
  <c r="E41" i="27"/>
  <c r="E33" i="27"/>
  <c r="D31" i="12" s="1"/>
  <c r="E25" i="27"/>
  <c r="E17" i="27"/>
  <c r="D15" i="12" s="1"/>
  <c r="E9" i="27"/>
  <c r="F117" i="27"/>
  <c r="F85" i="27"/>
  <c r="F53" i="27"/>
  <c r="F21" i="27"/>
  <c r="E124" i="27"/>
  <c r="E140" i="27"/>
  <c r="E136" i="27"/>
  <c r="E131" i="27"/>
  <c r="E127" i="27"/>
  <c r="E123" i="27"/>
  <c r="E119" i="27"/>
  <c r="E115" i="27"/>
  <c r="D113" i="12" s="1"/>
  <c r="E111" i="27"/>
  <c r="D109" i="12" s="1"/>
  <c r="E107" i="27"/>
  <c r="E103" i="27"/>
  <c r="E99" i="27"/>
  <c r="E95" i="27"/>
  <c r="E91" i="27"/>
  <c r="E87" i="27"/>
  <c r="E83" i="27"/>
  <c r="E79" i="27"/>
  <c r="D77" i="12" s="1"/>
  <c r="E75" i="27"/>
  <c r="D73" i="12" s="1"/>
  <c r="E71" i="27"/>
  <c r="D69" i="12" s="1"/>
  <c r="E67" i="27"/>
  <c r="E63" i="27"/>
  <c r="E59" i="27"/>
  <c r="E55" i="27"/>
  <c r="E51" i="27"/>
  <c r="E47" i="27"/>
  <c r="E43" i="27"/>
  <c r="E39" i="27"/>
  <c r="D37" i="12" s="1"/>
  <c r="E35" i="27"/>
  <c r="E31" i="27"/>
  <c r="D29" i="12" s="1"/>
  <c r="E27" i="27"/>
  <c r="E23" i="27"/>
  <c r="E19" i="27"/>
  <c r="D17" i="12" s="1"/>
  <c r="E15" i="27"/>
  <c r="D13" i="12" s="1"/>
  <c r="E11" i="27"/>
  <c r="E7" i="27"/>
  <c r="F125" i="27"/>
  <c r="F109" i="27"/>
  <c r="F93" i="27"/>
  <c r="F77" i="27"/>
  <c r="F61" i="27"/>
  <c r="F45" i="27"/>
  <c r="F29" i="27"/>
  <c r="F13" i="27"/>
  <c r="E135" i="27"/>
  <c r="D133" i="12" s="1"/>
  <c r="E137" i="27"/>
  <c r="D135" i="12" s="1"/>
  <c r="E132" i="27"/>
  <c r="E128" i="27"/>
  <c r="E120" i="27"/>
  <c r="E116" i="27"/>
  <c r="D114" i="12" s="1"/>
  <c r="E112" i="27"/>
  <c r="E108" i="27"/>
  <c r="D106" i="12" s="1"/>
  <c r="E104" i="27"/>
  <c r="E100" i="27"/>
  <c r="E96" i="27"/>
  <c r="E92" i="27"/>
  <c r="E88" i="27"/>
  <c r="E84" i="27"/>
  <c r="D82" i="12" s="1"/>
  <c r="E80" i="27"/>
  <c r="E76" i="27"/>
  <c r="D74" i="12" s="1"/>
  <c r="E72" i="27"/>
  <c r="E68" i="27"/>
  <c r="E64" i="27"/>
  <c r="E60" i="27"/>
  <c r="D58" i="12" s="1"/>
  <c r="E56" i="27"/>
  <c r="E52" i="27"/>
  <c r="E48" i="27"/>
  <c r="E44" i="27"/>
  <c r="D42" i="12" s="1"/>
  <c r="E40" i="27"/>
  <c r="E36" i="27"/>
  <c r="E32" i="27"/>
  <c r="E28" i="27"/>
  <c r="D26" i="12" s="1"/>
  <c r="E24" i="27"/>
  <c r="E20" i="27"/>
  <c r="D18" i="12" s="1"/>
  <c r="E16" i="27"/>
  <c r="E12" i="27"/>
  <c r="D10" i="12" s="1"/>
  <c r="E8" i="27"/>
  <c r="F129" i="27"/>
  <c r="F113" i="27"/>
  <c r="F97" i="27"/>
  <c r="F81" i="27"/>
  <c r="F65" i="27"/>
  <c r="F49" i="27"/>
  <c r="F33" i="27"/>
  <c r="F17" i="27"/>
  <c r="F132" i="27"/>
  <c r="F124" i="27"/>
  <c r="F116" i="27"/>
  <c r="F108" i="27"/>
  <c r="F100" i="27"/>
  <c r="F92" i="27"/>
  <c r="F84" i="27"/>
  <c r="F76" i="27"/>
  <c r="F68" i="27"/>
  <c r="F56" i="27"/>
  <c r="F44" i="27"/>
  <c r="F135" i="27"/>
  <c r="F140" i="27"/>
  <c r="F136" i="27"/>
  <c r="F131" i="27"/>
  <c r="F127" i="27"/>
  <c r="F123" i="27"/>
  <c r="F119" i="27"/>
  <c r="F115" i="27"/>
  <c r="F111" i="27"/>
  <c r="F107" i="27"/>
  <c r="F103" i="27"/>
  <c r="F99" i="27"/>
  <c r="F95" i="27"/>
  <c r="F91" i="27"/>
  <c r="F87" i="27"/>
  <c r="F83" i="27"/>
  <c r="F79" i="27"/>
  <c r="F75" i="27"/>
  <c r="F71" i="27"/>
  <c r="F67" i="27"/>
  <c r="F63" i="27"/>
  <c r="F59" i="27"/>
  <c r="F55" i="27"/>
  <c r="F51" i="27"/>
  <c r="F47" i="27"/>
  <c r="F43" i="27"/>
  <c r="F39" i="27"/>
  <c r="F35" i="27"/>
  <c r="F31" i="27"/>
  <c r="F27" i="27"/>
  <c r="F23" i="27"/>
  <c r="F19" i="27"/>
  <c r="F15" i="27"/>
  <c r="F11" i="27"/>
  <c r="F7" i="27"/>
  <c r="F137" i="27"/>
  <c r="F128" i="27"/>
  <c r="F120" i="27"/>
  <c r="F112" i="27"/>
  <c r="F104" i="27"/>
  <c r="F96" i="27"/>
  <c r="F88" i="27"/>
  <c r="F80" i="27"/>
  <c r="F72" i="27"/>
  <c r="F64" i="27"/>
  <c r="F60" i="27"/>
  <c r="F52" i="27"/>
  <c r="F48" i="27"/>
  <c r="F40" i="27"/>
  <c r="F36" i="27"/>
  <c r="F32" i="27"/>
  <c r="F28" i="27"/>
  <c r="F24" i="27"/>
  <c r="F20" i="27"/>
  <c r="F16" i="27"/>
  <c r="F12" i="27"/>
  <c r="F8" i="27"/>
  <c r="F139" i="27"/>
  <c r="F134" i="27"/>
  <c r="F130" i="27"/>
  <c r="F126" i="27"/>
  <c r="F122" i="27"/>
  <c r="F118" i="27"/>
  <c r="F114" i="27"/>
  <c r="F110" i="27"/>
  <c r="F106" i="27"/>
  <c r="F102" i="27"/>
  <c r="F98" i="27"/>
  <c r="F94" i="27"/>
  <c r="F90" i="27"/>
  <c r="F86" i="27"/>
  <c r="F82" i="27"/>
  <c r="F78" i="27"/>
  <c r="F74" i="27"/>
  <c r="F70" i="27"/>
  <c r="F66" i="27"/>
  <c r="F62" i="27"/>
  <c r="F58" i="27"/>
  <c r="F54" i="27"/>
  <c r="F50" i="27"/>
  <c r="F46" i="27"/>
  <c r="F42" i="27"/>
  <c r="F38" i="27"/>
  <c r="F34" i="27"/>
  <c r="F30" i="27"/>
  <c r="F26" i="27"/>
  <c r="F22" i="27"/>
  <c r="F18" i="27"/>
  <c r="F14" i="27"/>
  <c r="F10" i="27"/>
  <c r="DJ4" i="27" l="1"/>
  <c r="DJ135" i="27" s="1"/>
  <c r="CX21" i="27" a="1"/>
  <c r="CX21" i="27" s="1"/>
  <c r="CX45" i="27" a="1"/>
  <c r="CX45" i="27" s="1"/>
  <c r="CX8" i="27" a="1"/>
  <c r="CX8" i="27" s="1"/>
  <c r="CX24" i="27" a="1"/>
  <c r="CX24" i="27" s="1"/>
  <c r="CX28" i="27" a="1"/>
  <c r="CX28" i="27" s="1"/>
  <c r="CX6" i="27" a="1"/>
  <c r="CX6" i="27" s="1"/>
  <c r="CX20" i="27" a="1"/>
  <c r="CX20" i="27" s="1"/>
  <c r="CX27" i="27" a="1"/>
  <c r="CX27" i="27" s="1"/>
  <c r="CX41" i="27" a="1"/>
  <c r="CX41" i="27" s="1"/>
  <c r="CX42" i="27" a="1"/>
  <c r="CX42" i="27" s="1"/>
  <c r="CX7" i="27" a="1"/>
  <c r="CX7" i="27" s="1"/>
  <c r="CX19" i="27" a="1"/>
  <c r="CX19" i="27" s="1"/>
  <c r="CX39" i="27" a="1"/>
  <c r="CX39" i="27" s="1"/>
  <c r="CX40" i="27" a="1"/>
  <c r="CX40" i="27" s="1"/>
  <c r="CX14" i="27" a="1"/>
  <c r="CX14" i="27" s="1"/>
  <c r="CX18" i="27" a="1"/>
  <c r="CX18" i="27" s="1"/>
  <c r="CX23" i="27" a="1"/>
  <c r="CX23" i="27" s="1"/>
  <c r="CX26" i="27" a="1"/>
  <c r="CX26" i="27" s="1"/>
  <c r="CX30" i="27" a="1"/>
  <c r="CX30" i="27" s="1"/>
  <c r="CX50" i="27" a="1"/>
  <c r="CX50" i="27" s="1"/>
  <c r="CX12" i="27" a="1"/>
  <c r="CX12" i="27" s="1"/>
  <c r="CX15" i="27" a="1"/>
  <c r="CX15" i="27" s="1"/>
  <c r="CX16" i="27" a="1"/>
  <c r="CX16" i="27" s="1"/>
  <c r="CX33" i="27" a="1"/>
  <c r="CX33" i="27" s="1"/>
  <c r="CX34" i="27" a="1"/>
  <c r="CX34" i="27" s="1"/>
  <c r="CX35" i="27" a="1"/>
  <c r="CX35" i="27" s="1"/>
  <c r="CX37" i="27" a="1"/>
  <c r="CX37" i="27" s="1"/>
  <c r="CX38" i="27" a="1"/>
  <c r="CX38" i="27" s="1"/>
  <c r="CX51" i="27" a="1"/>
  <c r="CX51" i="27" s="1"/>
  <c r="CX9" i="27" a="1"/>
  <c r="CX9" i="27" s="1"/>
  <c r="CX22" i="27" a="1"/>
  <c r="CX22" i="27" s="1"/>
  <c r="CX29" i="27" a="1"/>
  <c r="CX29" i="27" s="1"/>
  <c r="CX32" i="27" a="1"/>
  <c r="CX32" i="27" s="1"/>
  <c r="CX46" i="27" a="1"/>
  <c r="CX46" i="27" s="1"/>
  <c r="CX11" i="27" a="1"/>
  <c r="CX11" i="27" s="1"/>
  <c r="CX47" i="27" a="1"/>
  <c r="CX47" i="27" s="1"/>
  <c r="CX57" i="27" a="1"/>
  <c r="CX57" i="27" s="1"/>
  <c r="CX75" i="27" a="1"/>
  <c r="CX75" i="27" s="1"/>
  <c r="CX76" i="27" a="1"/>
  <c r="CX76" i="27" s="1"/>
  <c r="CX25" i="27" a="1"/>
  <c r="CX25" i="27" s="1"/>
  <c r="CX43" i="27" a="1"/>
  <c r="CX43" i="27" s="1"/>
  <c r="CX55" i="27" a="1"/>
  <c r="CX55" i="27" s="1"/>
  <c r="CX56" i="27" a="1"/>
  <c r="CX56" i="27" s="1"/>
  <c r="CX63" i="27" a="1"/>
  <c r="CX63" i="27" s="1"/>
  <c r="CX77" i="27" a="1"/>
  <c r="CX77" i="27" s="1"/>
  <c r="CX78" i="27" a="1"/>
  <c r="CX78" i="27" s="1"/>
  <c r="CX79" i="27" a="1"/>
  <c r="CX79" i="27" s="1"/>
  <c r="CX54" i="27" a="1"/>
  <c r="CX54" i="27" s="1"/>
  <c r="CX64" i="27" a="1"/>
  <c r="CX64" i="27" s="1"/>
  <c r="CX65" i="27" a="1"/>
  <c r="CX65" i="27" s="1"/>
  <c r="CX68" i="27" a="1"/>
  <c r="CX68" i="27" s="1"/>
  <c r="CX13" i="27" a="1"/>
  <c r="CX13" i="27" s="1"/>
  <c r="CX17" i="27" a="1"/>
  <c r="CX17" i="27" s="1"/>
  <c r="CX49" i="27" a="1"/>
  <c r="CX49" i="27" s="1"/>
  <c r="CX62" i="27" a="1"/>
  <c r="CX62" i="27" s="1"/>
  <c r="CX66" i="27" a="1"/>
  <c r="CX66" i="27" s="1"/>
  <c r="CX67" i="27" a="1"/>
  <c r="CX67" i="27" s="1"/>
  <c r="CX69" i="27" a="1"/>
  <c r="CX69" i="27" s="1"/>
  <c r="CX71" i="27" a="1"/>
  <c r="CX71" i="27" s="1"/>
  <c r="CX83" i="27" a="1"/>
  <c r="CX83" i="27" s="1"/>
  <c r="CX31" i="27" a="1"/>
  <c r="CX31" i="27" s="1"/>
  <c r="CX60" i="27" a="1"/>
  <c r="CX60" i="27" s="1"/>
  <c r="CX61" i="27" a="1"/>
  <c r="CX61" i="27" s="1"/>
  <c r="CX70" i="27" a="1"/>
  <c r="CX70" i="27" s="1"/>
  <c r="CX81" i="27" a="1"/>
  <c r="CX81" i="27" s="1"/>
  <c r="CX82" i="27" a="1"/>
  <c r="CX82" i="27" s="1"/>
  <c r="CX10" i="27" a="1"/>
  <c r="CX10" i="27" s="1"/>
  <c r="CX48" i="27" a="1"/>
  <c r="CX48" i="27" s="1"/>
  <c r="CX52" i="27" a="1"/>
  <c r="CX52" i="27" s="1"/>
  <c r="CX72" i="27" a="1"/>
  <c r="CX72" i="27" s="1"/>
  <c r="CX73" i="27" a="1"/>
  <c r="CX73" i="27" s="1"/>
  <c r="CX85" i="27" a="1"/>
  <c r="CX85" i="27" s="1"/>
  <c r="CX87" i="27" a="1"/>
  <c r="CX87" i="27" s="1"/>
  <c r="CX89" i="27" a="1"/>
  <c r="CX89" i="27" s="1"/>
  <c r="CX110" i="27" a="1"/>
  <c r="CX110" i="27" s="1"/>
  <c r="CX118" i="27" a="1"/>
  <c r="CX118" i="27" s="1"/>
  <c r="CX111" i="27" a="1"/>
  <c r="CX111" i="27" s="1"/>
  <c r="CX53" i="27" a="1"/>
  <c r="CX53" i="27" s="1"/>
  <c r="CX99" i="27" a="1"/>
  <c r="CX99" i="27" s="1"/>
  <c r="CX117" i="27" a="1"/>
  <c r="CX117" i="27" s="1"/>
  <c r="CX127" i="27" a="1"/>
  <c r="CX127" i="27" s="1"/>
  <c r="CX131" i="27" a="1"/>
  <c r="CX131" i="27" s="1"/>
  <c r="CX135" i="27" a="1"/>
  <c r="CX135" i="27" s="1"/>
  <c r="CX44" i="27" a="1"/>
  <c r="CX44" i="27" s="1"/>
  <c r="CX58" i="27" a="1"/>
  <c r="CX58" i="27" s="1"/>
  <c r="CX74" i="27" a="1"/>
  <c r="CX74" i="27" s="1"/>
  <c r="CX102" i="27" a="1"/>
  <c r="CX102" i="27" s="1"/>
  <c r="CX105" i="27" a="1"/>
  <c r="CX105" i="27" s="1"/>
  <c r="CX107" i="27" a="1"/>
  <c r="CX107" i="27" s="1"/>
  <c r="CX115" i="27" a="1"/>
  <c r="CX115" i="27" s="1"/>
  <c r="CX116" i="27" a="1"/>
  <c r="CX116" i="27" s="1"/>
  <c r="CX119" i="27" a="1"/>
  <c r="CX119" i="27" s="1"/>
  <c r="CX139" i="27" a="1"/>
  <c r="CX139" i="27" s="1"/>
  <c r="CX140" i="27" a="1"/>
  <c r="CX140" i="27" s="1"/>
  <c r="CX136" i="27" a="1"/>
  <c r="CX136" i="27" s="1"/>
  <c r="CX138" i="27" a="1"/>
  <c r="CX138" i="27" s="1"/>
  <c r="CX101" i="27" a="1"/>
  <c r="CX101" i="27" s="1"/>
  <c r="CX109" i="27" a="1"/>
  <c r="CX109" i="27" s="1"/>
  <c r="CX113" i="27" a="1"/>
  <c r="CX113" i="27" s="1"/>
  <c r="CX120" i="27" a="1"/>
  <c r="CX120" i="27" s="1"/>
  <c r="CX121" i="27" a="1"/>
  <c r="CX121" i="27" s="1"/>
  <c r="CX128" i="27" a="1"/>
  <c r="CX128" i="27" s="1"/>
  <c r="CX132" i="27" a="1"/>
  <c r="CX132" i="27" s="1"/>
  <c r="CX100" i="27" a="1"/>
  <c r="CX100" i="27" s="1"/>
  <c r="CX59" i="27" a="1"/>
  <c r="CX59" i="27" s="1"/>
  <c r="CX114" i="27" a="1"/>
  <c r="CX114" i="27" s="1"/>
  <c r="CX129" i="27" a="1"/>
  <c r="CX129" i="27" s="1"/>
  <c r="CX133" i="27" a="1"/>
  <c r="CX133" i="27" s="1"/>
  <c r="CX137" i="27" a="1"/>
  <c r="CX137" i="27" s="1"/>
  <c r="CX80" i="27" a="1"/>
  <c r="CX80" i="27" s="1"/>
  <c r="CX93" i="27" a="1"/>
  <c r="CX93" i="27" s="1"/>
  <c r="CX94" i="27" a="1"/>
  <c r="CX94" i="27" s="1"/>
  <c r="CX95" i="27" a="1"/>
  <c r="CX95" i="27" s="1"/>
  <c r="CX96" i="27" a="1"/>
  <c r="CX96" i="27" s="1"/>
  <c r="CX98" i="27" a="1"/>
  <c r="CX98" i="27" s="1"/>
  <c r="CX104" i="27" a="1"/>
  <c r="CX104" i="27" s="1"/>
  <c r="CX112" i="27" a="1"/>
  <c r="CX112" i="27" s="1"/>
  <c r="CX97" i="27" a="1"/>
  <c r="CX97" i="27" s="1"/>
  <c r="CX106" i="27" a="1"/>
  <c r="CX106" i="27" s="1"/>
  <c r="CX36" i="27" a="1"/>
  <c r="CX36" i="27" s="1"/>
  <c r="CX84" i="27" a="1"/>
  <c r="CX84" i="27" s="1"/>
  <c r="CX86" i="27" a="1"/>
  <c r="CX86" i="27" s="1"/>
  <c r="CX88" i="27" a="1"/>
  <c r="CX88" i="27" s="1"/>
  <c r="CX90" i="27" a="1"/>
  <c r="CX90" i="27" s="1"/>
  <c r="CX91" i="27" a="1"/>
  <c r="CX91" i="27" s="1"/>
  <c r="CX92" i="27" a="1"/>
  <c r="CX92" i="27" s="1"/>
  <c r="CX103" i="27" a="1"/>
  <c r="CX103" i="27" s="1"/>
  <c r="CX108" i="27" a="1"/>
  <c r="CX108" i="27" s="1"/>
  <c r="CX125" i="27" a="1"/>
  <c r="CX125" i="27" s="1"/>
  <c r="CX123" i="27" a="1"/>
  <c r="CX123" i="27" s="1"/>
  <c r="CX134" i="27" a="1"/>
  <c r="CX134" i="27" s="1"/>
  <c r="CX124" i="27" a="1"/>
  <c r="CX124" i="27" s="1"/>
  <c r="CX130" i="27" a="1"/>
  <c r="CX130" i="27" s="1"/>
  <c r="CX122" i="27" a="1"/>
  <c r="CX122" i="27" s="1"/>
  <c r="CX126" i="27" a="1"/>
  <c r="CX126" i="27" s="1"/>
  <c r="DN4" i="27"/>
  <c r="DN135" i="27" s="1"/>
  <c r="DB6" i="27" a="1"/>
  <c r="DB6" i="27" s="1"/>
  <c r="DB7" i="27" a="1"/>
  <c r="DB7" i="27" s="1"/>
  <c r="DB19" i="27" a="1"/>
  <c r="DB19" i="27" s="1"/>
  <c r="DB39" i="27" a="1"/>
  <c r="DB39" i="27" s="1"/>
  <c r="DB40" i="27" a="1"/>
  <c r="DB40" i="27" s="1"/>
  <c r="DB41" i="27" a="1"/>
  <c r="DB41" i="27" s="1"/>
  <c r="DB42" i="27" a="1"/>
  <c r="DB42" i="27" s="1"/>
  <c r="DB43" i="27" a="1"/>
  <c r="DB43" i="27" s="1"/>
  <c r="DB14" i="27" a="1"/>
  <c r="DB14" i="27" s="1"/>
  <c r="DB23" i="27" a="1"/>
  <c r="DB23" i="27" s="1"/>
  <c r="DB26" i="27" a="1"/>
  <c r="DB26" i="27" s="1"/>
  <c r="DB38" i="27" a="1"/>
  <c r="DB38" i="27" s="1"/>
  <c r="DB13" i="27" a="1"/>
  <c r="DB13" i="27" s="1"/>
  <c r="DB18" i="27" a="1"/>
  <c r="DB18" i="27" s="1"/>
  <c r="DB25" i="27" a="1"/>
  <c r="DB25" i="27" s="1"/>
  <c r="DB33" i="27" a="1"/>
  <c r="DB33" i="27" s="1"/>
  <c r="DB36" i="27" a="1"/>
  <c r="DB36" i="27" s="1"/>
  <c r="DB37" i="27" a="1"/>
  <c r="DB37" i="27" s="1"/>
  <c r="DB49" i="27" a="1"/>
  <c r="DB49" i="27" s="1"/>
  <c r="DB10" i="27" a="1"/>
  <c r="DB10" i="27" s="1"/>
  <c r="DB12" i="27" a="1"/>
  <c r="DB12" i="27" s="1"/>
  <c r="DB15" i="27" a="1"/>
  <c r="DB15" i="27" s="1"/>
  <c r="DB16" i="27" a="1"/>
  <c r="DB16" i="27" s="1"/>
  <c r="DB17" i="27" a="1"/>
  <c r="DB17" i="27" s="1"/>
  <c r="DB29" i="27" a="1"/>
  <c r="DB29" i="27" s="1"/>
  <c r="DB30" i="27" a="1"/>
  <c r="DB30" i="27" s="1"/>
  <c r="DB32" i="27" a="1"/>
  <c r="DB32" i="27" s="1"/>
  <c r="DB34" i="27" a="1"/>
  <c r="DB34" i="27" s="1"/>
  <c r="DB35" i="27" a="1"/>
  <c r="DB35" i="27" s="1"/>
  <c r="DB9" i="27" a="1"/>
  <c r="DB9" i="27" s="1"/>
  <c r="DB11" i="27" a="1"/>
  <c r="DB11" i="27" s="1"/>
  <c r="DB22" i="27" a="1"/>
  <c r="DB22" i="27" s="1"/>
  <c r="DB31" i="27" a="1"/>
  <c r="DB31" i="27" s="1"/>
  <c r="DB47" i="27" a="1"/>
  <c r="DB47" i="27" s="1"/>
  <c r="DB48" i="27" a="1"/>
  <c r="DB48" i="27" s="1"/>
  <c r="DB8" i="27" a="1"/>
  <c r="DB8" i="27" s="1"/>
  <c r="DB21" i="27" a="1"/>
  <c r="DB21" i="27" s="1"/>
  <c r="DB24" i="27" a="1"/>
  <c r="DB24" i="27" s="1"/>
  <c r="DB45" i="27" a="1"/>
  <c r="DB45" i="27" s="1"/>
  <c r="DB27" i="27" a="1"/>
  <c r="DB27" i="27" s="1"/>
  <c r="DB44" i="27" a="1"/>
  <c r="DB44" i="27" s="1"/>
  <c r="DB28" i="27" a="1"/>
  <c r="DB28" i="27" s="1"/>
  <c r="DB54" i="27" a="1"/>
  <c r="DB54" i="27" s="1"/>
  <c r="DB55" i="27" a="1"/>
  <c r="DB55" i="27" s="1"/>
  <c r="DB63" i="27" a="1"/>
  <c r="DB63" i="27" s="1"/>
  <c r="DB64" i="27" a="1"/>
  <c r="DB64" i="27" s="1"/>
  <c r="DB67" i="27" a="1"/>
  <c r="DB67" i="27" s="1"/>
  <c r="DB76" i="27" a="1"/>
  <c r="DB76" i="27" s="1"/>
  <c r="DB52" i="27" a="1"/>
  <c r="DB52" i="27" s="1"/>
  <c r="DB62" i="27" a="1"/>
  <c r="DB62" i="27" s="1"/>
  <c r="DB68" i="27" a="1"/>
  <c r="DB68" i="27" s="1"/>
  <c r="DB20" i="27" a="1"/>
  <c r="DB20" i="27" s="1"/>
  <c r="DB51" i="27" a="1"/>
  <c r="DB51" i="27" s="1"/>
  <c r="DB53" i="27" a="1"/>
  <c r="DB53" i="27" s="1"/>
  <c r="DB61" i="27" a="1"/>
  <c r="DB61" i="27" s="1"/>
  <c r="DB65" i="27" a="1"/>
  <c r="DB65" i="27" s="1"/>
  <c r="DB66" i="27" a="1"/>
  <c r="DB66" i="27" s="1"/>
  <c r="DB69" i="27" a="1"/>
  <c r="DB69" i="27" s="1"/>
  <c r="DB70" i="27" a="1"/>
  <c r="DB70" i="27" s="1"/>
  <c r="DB71" i="27" a="1"/>
  <c r="DB71" i="27" s="1"/>
  <c r="DB80" i="27" a="1"/>
  <c r="DB80" i="27" s="1"/>
  <c r="DB81" i="27" a="1"/>
  <c r="DB81" i="27" s="1"/>
  <c r="DB82" i="27" a="1"/>
  <c r="DB82" i="27" s="1"/>
  <c r="DB50" i="27" a="1"/>
  <c r="DB50" i="27" s="1"/>
  <c r="DB59" i="27" a="1"/>
  <c r="DB59" i="27" s="1"/>
  <c r="DB60" i="27" a="1"/>
  <c r="DB60" i="27" s="1"/>
  <c r="DB72" i="27" a="1"/>
  <c r="DB72" i="27" s="1"/>
  <c r="DB46" i="27" a="1"/>
  <c r="DB46" i="27" s="1"/>
  <c r="DB73" i="27" a="1"/>
  <c r="DB73" i="27" s="1"/>
  <c r="DB74" i="27" a="1"/>
  <c r="DB74" i="27" s="1"/>
  <c r="DB85" i="27" a="1"/>
  <c r="DB85" i="27" s="1"/>
  <c r="DB57" i="27" a="1"/>
  <c r="DB57" i="27" s="1"/>
  <c r="DB58" i="27" a="1"/>
  <c r="DB58" i="27" s="1"/>
  <c r="DB75" i="27" a="1"/>
  <c r="DB75" i="27" s="1"/>
  <c r="DB86" i="27" a="1"/>
  <c r="DB86" i="27" s="1"/>
  <c r="DB56" i="27" a="1"/>
  <c r="DB56" i="27" s="1"/>
  <c r="DB87" i="27" a="1"/>
  <c r="DB87" i="27" s="1"/>
  <c r="DB101" i="27" a="1"/>
  <c r="DB101" i="27" s="1"/>
  <c r="DB114" i="27" a="1"/>
  <c r="DB114" i="27" s="1"/>
  <c r="DB120" i="27" a="1"/>
  <c r="DB120" i="27" s="1"/>
  <c r="DB138" i="27" a="1"/>
  <c r="DB138" i="27" s="1"/>
  <c r="DB102" i="27" a="1"/>
  <c r="DB102" i="27" s="1"/>
  <c r="DB77" i="27" a="1"/>
  <c r="DB77" i="27" s="1"/>
  <c r="DB79" i="27" a="1"/>
  <c r="DB79" i="27" s="1"/>
  <c r="DB84" i="27" a="1"/>
  <c r="DB84" i="27" s="1"/>
  <c r="DB98" i="27" a="1"/>
  <c r="DB98" i="27" s="1"/>
  <c r="DB112" i="27" a="1"/>
  <c r="DB112" i="27" s="1"/>
  <c r="DB113" i="27" a="1"/>
  <c r="DB113" i="27" s="1"/>
  <c r="DB128" i="27" a="1"/>
  <c r="DB128" i="27" s="1"/>
  <c r="DB132" i="27" a="1"/>
  <c r="DB132" i="27" s="1"/>
  <c r="DB136" i="27" a="1"/>
  <c r="DB136" i="27" s="1"/>
  <c r="DB137" i="27" a="1"/>
  <c r="DB137" i="27" s="1"/>
  <c r="DB100" i="27" a="1"/>
  <c r="DB100" i="27" s="1"/>
  <c r="DB104" i="27" a="1"/>
  <c r="DB104" i="27" s="1"/>
  <c r="DB106" i="27" a="1"/>
  <c r="DB106" i="27" s="1"/>
  <c r="DB121" i="27" a="1"/>
  <c r="DB121" i="27" s="1"/>
  <c r="DB129" i="27" a="1"/>
  <c r="DB129" i="27" s="1"/>
  <c r="DB133" i="27" a="1"/>
  <c r="DB133" i="27" s="1"/>
  <c r="DB107" i="27" a="1"/>
  <c r="DB107" i="27" s="1"/>
  <c r="DB78" i="27" a="1"/>
  <c r="DB78" i="27" s="1"/>
  <c r="DB83" i="27" a="1"/>
  <c r="DB83" i="27" s="1"/>
  <c r="DB92" i="27" a="1"/>
  <c r="DB92" i="27" s="1"/>
  <c r="DB93" i="27" a="1"/>
  <c r="DB93" i="27" s="1"/>
  <c r="DB94" i="27" a="1"/>
  <c r="DB94" i="27" s="1"/>
  <c r="DB95" i="27" a="1"/>
  <c r="DB95" i="27" s="1"/>
  <c r="DB96" i="27" a="1"/>
  <c r="DB96" i="27" s="1"/>
  <c r="DB103" i="27" a="1"/>
  <c r="DB103" i="27" s="1"/>
  <c r="DB108" i="27" a="1"/>
  <c r="DB108" i="27" s="1"/>
  <c r="DB111" i="27" a="1"/>
  <c r="DB111" i="27" s="1"/>
  <c r="DB122" i="27" a="1"/>
  <c r="DB122" i="27" s="1"/>
  <c r="DB123" i="27" a="1"/>
  <c r="DB123" i="27" s="1"/>
  <c r="DB89" i="27" a="1"/>
  <c r="DB89" i="27" s="1"/>
  <c r="DB97" i="27" a="1"/>
  <c r="DB97" i="27" s="1"/>
  <c r="DB110" i="27" a="1"/>
  <c r="DB110" i="27" s="1"/>
  <c r="DB124" i="27" a="1"/>
  <c r="DB124" i="27" s="1"/>
  <c r="DB125" i="27" a="1"/>
  <c r="DB125" i="27" s="1"/>
  <c r="DB126" i="27" a="1"/>
  <c r="DB126" i="27" s="1"/>
  <c r="DB130" i="27" a="1"/>
  <c r="DB130" i="27" s="1"/>
  <c r="DB134" i="27" a="1"/>
  <c r="DB134" i="27" s="1"/>
  <c r="DB105" i="27" a="1"/>
  <c r="DB105" i="27" s="1"/>
  <c r="DB88" i="27" a="1"/>
  <c r="DB88" i="27" s="1"/>
  <c r="DB90" i="27" a="1"/>
  <c r="DB90" i="27" s="1"/>
  <c r="DB91" i="27" a="1"/>
  <c r="DB91" i="27" s="1"/>
  <c r="DB99" i="27" a="1"/>
  <c r="DB99" i="27" s="1"/>
  <c r="DB117" i="27" a="1"/>
  <c r="DB117" i="27" s="1"/>
  <c r="DB109" i="27" a="1"/>
  <c r="DB109" i="27" s="1"/>
  <c r="DB115" i="27" a="1"/>
  <c r="DB115" i="27" s="1"/>
  <c r="DB116" i="27" a="1"/>
  <c r="DB116" i="27" s="1"/>
  <c r="DB119" i="27" a="1"/>
  <c r="DB119" i="27" s="1"/>
  <c r="DB127" i="27" a="1"/>
  <c r="DB127" i="27" s="1"/>
  <c r="DB131" i="27" a="1"/>
  <c r="DB131" i="27" s="1"/>
  <c r="DB135" i="27" a="1"/>
  <c r="DB135" i="27" s="1"/>
  <c r="DB139" i="27" a="1"/>
  <c r="DB139" i="27" s="1"/>
  <c r="DB140" i="27" a="1"/>
  <c r="DB140" i="27" s="1"/>
  <c r="DB118" i="27" a="1"/>
  <c r="DB118" i="27" s="1"/>
  <c r="DP4" i="27"/>
  <c r="DP135" i="27" s="1"/>
  <c r="DD8" i="27" a="1"/>
  <c r="DD8" i="27" s="1"/>
  <c r="DD21" i="27" a="1"/>
  <c r="DD21" i="27" s="1"/>
  <c r="DD20" i="27" a="1"/>
  <c r="DD20" i="27" s="1"/>
  <c r="DD28" i="27" a="1"/>
  <c r="DD28" i="27" s="1"/>
  <c r="DD7" i="27" a="1"/>
  <c r="DD7" i="27" s="1"/>
  <c r="DD19" i="27" a="1"/>
  <c r="DD19" i="27" s="1"/>
  <c r="DD27" i="27" a="1"/>
  <c r="DD27" i="27" s="1"/>
  <c r="DD39" i="27" a="1"/>
  <c r="DD39" i="27" s="1"/>
  <c r="DD40" i="27" a="1"/>
  <c r="DD40" i="27" s="1"/>
  <c r="DD42" i="27" a="1"/>
  <c r="DD42" i="27" s="1"/>
  <c r="DD43" i="27" a="1"/>
  <c r="DD43" i="27" s="1"/>
  <c r="DD6" i="27" a="1"/>
  <c r="DD6" i="27" s="1"/>
  <c r="DD23" i="27" a="1"/>
  <c r="DD23" i="27" s="1"/>
  <c r="DD26" i="27" a="1"/>
  <c r="DD26" i="27" s="1"/>
  <c r="DD41" i="27" a="1"/>
  <c r="DD41" i="27" s="1"/>
  <c r="DD14" i="27" a="1"/>
  <c r="DD14" i="27" s="1"/>
  <c r="DD18" i="27" a="1"/>
  <c r="DD18" i="27" s="1"/>
  <c r="DD25" i="27" a="1"/>
  <c r="DD25" i="27" s="1"/>
  <c r="DD38" i="27" a="1"/>
  <c r="DD38" i="27" s="1"/>
  <c r="DD50" i="27" a="1"/>
  <c r="DD50" i="27" s="1"/>
  <c r="DD12" i="27" a="1"/>
  <c r="DD12" i="27" s="1"/>
  <c r="DD13" i="27" a="1"/>
  <c r="DD13" i="27" s="1"/>
  <c r="DD16" i="27" a="1"/>
  <c r="DD16" i="27" s="1"/>
  <c r="DD17" i="27" a="1"/>
  <c r="DD17" i="27" s="1"/>
  <c r="DD29" i="27" a="1"/>
  <c r="DD29" i="27" s="1"/>
  <c r="DD33" i="27" a="1"/>
  <c r="DD33" i="27" s="1"/>
  <c r="DD35" i="27" a="1"/>
  <c r="DD35" i="27" s="1"/>
  <c r="DD36" i="27" a="1"/>
  <c r="DD36" i="27" s="1"/>
  <c r="DD37" i="27" a="1"/>
  <c r="DD37" i="27" s="1"/>
  <c r="DD49" i="27" a="1"/>
  <c r="DD49" i="27" s="1"/>
  <c r="DD11" i="27" a="1"/>
  <c r="DD11" i="27" s="1"/>
  <c r="DD24" i="27" a="1"/>
  <c r="DD24" i="27" s="1"/>
  <c r="DD45" i="27" a="1"/>
  <c r="DD45" i="27" s="1"/>
  <c r="DD47" i="27" a="1"/>
  <c r="DD47" i="27" s="1"/>
  <c r="DD52" i="27" a="1"/>
  <c r="DD52" i="27" s="1"/>
  <c r="DD32" i="27" a="1"/>
  <c r="DD32" i="27" s="1"/>
  <c r="DD56" i="27" a="1"/>
  <c r="DD56" i="27" s="1"/>
  <c r="DD57" i="27" a="1"/>
  <c r="DD57" i="27" s="1"/>
  <c r="DD15" i="27" a="1"/>
  <c r="DD15" i="27" s="1"/>
  <c r="DD48" i="27" a="1"/>
  <c r="DD48" i="27" s="1"/>
  <c r="DD75" i="27" a="1"/>
  <c r="DD75" i="27" s="1"/>
  <c r="DD77" i="27" a="1"/>
  <c r="DD77" i="27" s="1"/>
  <c r="DD44" i="27" a="1"/>
  <c r="DD44" i="27" s="1"/>
  <c r="DD55" i="27" a="1"/>
  <c r="DD55" i="27" s="1"/>
  <c r="DD63" i="27" a="1"/>
  <c r="DD63" i="27" s="1"/>
  <c r="DD76" i="27" a="1"/>
  <c r="DD76" i="27" s="1"/>
  <c r="DD51" i="27" a="1"/>
  <c r="DD51" i="27" s="1"/>
  <c r="DD64" i="27" a="1"/>
  <c r="DD64" i="27" s="1"/>
  <c r="DD67" i="27" a="1"/>
  <c r="DD67" i="27" s="1"/>
  <c r="DD30" i="27" a="1"/>
  <c r="DD30" i="27" s="1"/>
  <c r="DD34" i="27" a="1"/>
  <c r="DD34" i="27" s="1"/>
  <c r="DD53" i="27" a="1"/>
  <c r="DD53" i="27" s="1"/>
  <c r="DD54" i="27" a="1"/>
  <c r="DD54" i="27" s="1"/>
  <c r="DD61" i="27" a="1"/>
  <c r="DD61" i="27" s="1"/>
  <c r="DD62" i="27" a="1"/>
  <c r="DD62" i="27" s="1"/>
  <c r="DD66" i="27" a="1"/>
  <c r="DD66" i="27" s="1"/>
  <c r="DD68" i="27" a="1"/>
  <c r="DD68" i="27" s="1"/>
  <c r="DD69" i="27" a="1"/>
  <c r="DD69" i="27" s="1"/>
  <c r="DD80" i="27" a="1"/>
  <c r="DD80" i="27" s="1"/>
  <c r="DD81" i="27" a="1"/>
  <c r="DD81" i="27" s="1"/>
  <c r="DD9" i="27" a="1"/>
  <c r="DD9" i="27" s="1"/>
  <c r="DD46" i="27" a="1"/>
  <c r="DD46" i="27" s="1"/>
  <c r="DD60" i="27" a="1"/>
  <c r="DD60" i="27" s="1"/>
  <c r="DD65" i="27" a="1"/>
  <c r="DD65" i="27" s="1"/>
  <c r="DD70" i="27" a="1"/>
  <c r="DD70" i="27" s="1"/>
  <c r="DD71" i="27" a="1"/>
  <c r="DD71" i="27" s="1"/>
  <c r="DD83" i="27" a="1"/>
  <c r="DD83" i="27" s="1"/>
  <c r="DD22" i="27" a="1"/>
  <c r="DD22" i="27" s="1"/>
  <c r="DD31" i="27" a="1"/>
  <c r="DD31" i="27" s="1"/>
  <c r="DD59" i="27" a="1"/>
  <c r="DD59" i="27" s="1"/>
  <c r="DD72" i="27" a="1"/>
  <c r="DD72" i="27" s="1"/>
  <c r="DD73" i="27" a="1"/>
  <c r="DD73" i="27" s="1"/>
  <c r="DD82" i="27" a="1"/>
  <c r="DD82" i="27" s="1"/>
  <c r="DD84" i="27" a="1"/>
  <c r="DD84" i="27" s="1"/>
  <c r="DD90" i="27" a="1"/>
  <c r="DD90" i="27" s="1"/>
  <c r="DD102" i="27" a="1"/>
  <c r="DD102" i="27" s="1"/>
  <c r="DD105" i="27" a="1"/>
  <c r="DD105" i="27" s="1"/>
  <c r="DD107" i="27" a="1"/>
  <c r="DD107" i="27" s="1"/>
  <c r="DD86" i="27" a="1"/>
  <c r="DD86" i="27" s="1"/>
  <c r="DD97" i="27" a="1"/>
  <c r="DD97" i="27" s="1"/>
  <c r="DD10" i="27" a="1"/>
  <c r="DD10" i="27" s="1"/>
  <c r="DD109" i="27" a="1"/>
  <c r="DD109" i="27" s="1"/>
  <c r="DD116" i="27" a="1"/>
  <c r="DD116" i="27" s="1"/>
  <c r="DD117" i="27" a="1"/>
  <c r="DD117" i="27" s="1"/>
  <c r="DD118" i="27" a="1"/>
  <c r="DD118" i="27" s="1"/>
  <c r="DD119" i="27" a="1"/>
  <c r="DD119" i="27" s="1"/>
  <c r="DD127" i="27" a="1"/>
  <c r="DD127" i="27" s="1"/>
  <c r="DD131" i="27" a="1"/>
  <c r="DD131" i="27" s="1"/>
  <c r="DD135" i="27" a="1"/>
  <c r="DD135" i="27" s="1"/>
  <c r="DD139" i="27" a="1"/>
  <c r="DD139" i="27" s="1"/>
  <c r="DD140" i="27" a="1"/>
  <c r="DD140" i="27" s="1"/>
  <c r="DD103" i="27" a="1"/>
  <c r="DD103" i="27" s="1"/>
  <c r="DD85" i="27" a="1"/>
  <c r="DD85" i="27" s="1"/>
  <c r="DD101" i="27" a="1"/>
  <c r="DD101" i="27" s="1"/>
  <c r="DD115" i="27" a="1"/>
  <c r="DD115" i="27" s="1"/>
  <c r="DD58" i="27" a="1"/>
  <c r="DD58" i="27" s="1"/>
  <c r="DD74" i="27" a="1"/>
  <c r="DD74" i="27" s="1"/>
  <c r="DD79" i="27" a="1"/>
  <c r="DD79" i="27" s="1"/>
  <c r="DD98" i="27" a="1"/>
  <c r="DD98" i="27" s="1"/>
  <c r="DD113" i="27" a="1"/>
  <c r="DD113" i="27" s="1"/>
  <c r="DD114" i="27" a="1"/>
  <c r="DD114" i="27" s="1"/>
  <c r="DD138" i="27" a="1"/>
  <c r="DD138" i="27" s="1"/>
  <c r="DD87" i="27" a="1"/>
  <c r="DD87" i="27" s="1"/>
  <c r="DD104" i="27" a="1"/>
  <c r="DD104" i="27" s="1"/>
  <c r="DD106" i="27" a="1"/>
  <c r="DD106" i="27" s="1"/>
  <c r="DD120" i="27" a="1"/>
  <c r="DD120" i="27" s="1"/>
  <c r="DD128" i="27" a="1"/>
  <c r="DD128" i="27" s="1"/>
  <c r="DD132" i="27" a="1"/>
  <c r="DD132" i="27" s="1"/>
  <c r="DD136" i="27" a="1"/>
  <c r="DD136" i="27" s="1"/>
  <c r="DD137" i="27" a="1"/>
  <c r="DD137" i="27" s="1"/>
  <c r="DD95" i="27" a="1"/>
  <c r="DD95" i="27" s="1"/>
  <c r="DD78" i="27" a="1"/>
  <c r="DD78" i="27" s="1"/>
  <c r="DD93" i="27" a="1"/>
  <c r="DD93" i="27" s="1"/>
  <c r="DD94" i="27" a="1"/>
  <c r="DD94" i="27" s="1"/>
  <c r="DD96" i="27" a="1"/>
  <c r="DD96" i="27" s="1"/>
  <c r="DD100" i="27" a="1"/>
  <c r="DD100" i="27" s="1"/>
  <c r="DD108" i="27" a="1"/>
  <c r="DD108" i="27" s="1"/>
  <c r="DD111" i="27" a="1"/>
  <c r="DD111" i="27" s="1"/>
  <c r="DD112" i="27" a="1"/>
  <c r="DD112" i="27" s="1"/>
  <c r="DD121" i="27" a="1"/>
  <c r="DD121" i="27" s="1"/>
  <c r="DD122" i="27" a="1"/>
  <c r="DD122" i="27" s="1"/>
  <c r="DD110" i="27" a="1"/>
  <c r="DD110" i="27" s="1"/>
  <c r="DD88" i="27" a="1"/>
  <c r="DD88" i="27" s="1"/>
  <c r="DD89" i="27" a="1"/>
  <c r="DD89" i="27" s="1"/>
  <c r="DD91" i="27" a="1"/>
  <c r="DD91" i="27" s="1"/>
  <c r="DD99" i="27" a="1"/>
  <c r="DD99" i="27" s="1"/>
  <c r="DD124" i="27" a="1"/>
  <c r="DD124" i="27" s="1"/>
  <c r="DD125" i="27" a="1"/>
  <c r="DD125" i="27" s="1"/>
  <c r="DD126" i="27" a="1"/>
  <c r="DD126" i="27" s="1"/>
  <c r="DD130" i="27" a="1"/>
  <c r="DD130" i="27" s="1"/>
  <c r="DD134" i="27" a="1"/>
  <c r="DD134" i="27" s="1"/>
  <c r="DD92" i="27" a="1"/>
  <c r="DD92" i="27" s="1"/>
  <c r="DD123" i="27" a="1"/>
  <c r="DD123" i="27" s="1"/>
  <c r="DD133" i="27" a="1"/>
  <c r="DD133" i="27" s="1"/>
  <c r="DD129" i="27" a="1"/>
  <c r="DD129" i="27" s="1"/>
  <c r="DI4" i="27"/>
  <c r="DI135" i="27" s="1"/>
  <c r="CW8" i="27" a="1"/>
  <c r="CW8" i="27" s="1"/>
  <c r="CW24" i="27" a="1"/>
  <c r="CW24" i="27" s="1"/>
  <c r="CW28" i="27" a="1"/>
  <c r="CW28" i="27" s="1"/>
  <c r="CW44" i="27" a="1"/>
  <c r="CW44" i="27" s="1"/>
  <c r="CW6" i="27" a="1"/>
  <c r="CW6" i="27" s="1"/>
  <c r="CW7" i="27" a="1"/>
  <c r="CW7" i="27" s="1"/>
  <c r="CW20" i="27" a="1"/>
  <c r="CW20" i="27" s="1"/>
  <c r="CW27" i="27" a="1"/>
  <c r="CW27" i="27" s="1"/>
  <c r="CW40" i="27" a="1"/>
  <c r="CW40" i="27" s="1"/>
  <c r="CW41" i="27" a="1"/>
  <c r="CW41" i="27" s="1"/>
  <c r="CW19" i="27" a="1"/>
  <c r="CW19" i="27" s="1"/>
  <c r="CW39" i="27" a="1"/>
  <c r="CW39" i="27" s="1"/>
  <c r="CW14" i="27" a="1"/>
  <c r="CW14" i="27" s="1"/>
  <c r="CW15" i="27" a="1"/>
  <c r="CW15" i="27" s="1"/>
  <c r="CW18" i="27" a="1"/>
  <c r="CW18" i="27" s="1"/>
  <c r="CW23" i="27" a="1"/>
  <c r="CW23" i="27" s="1"/>
  <c r="CW26" i="27" a="1"/>
  <c r="CW26" i="27" s="1"/>
  <c r="CW30" i="27" a="1"/>
  <c r="CW30" i="27" s="1"/>
  <c r="CW34" i="27" a="1"/>
  <c r="CW34" i="27" s="1"/>
  <c r="CW35" i="27" a="1"/>
  <c r="CW35" i="27" s="1"/>
  <c r="CW38" i="27" a="1"/>
  <c r="CW38" i="27" s="1"/>
  <c r="CW12" i="27" a="1"/>
  <c r="CW12" i="27" s="1"/>
  <c r="CW13" i="27" a="1"/>
  <c r="CW13" i="27" s="1"/>
  <c r="CW16" i="27" a="1"/>
  <c r="CW16" i="27" s="1"/>
  <c r="CW17" i="27" a="1"/>
  <c r="CW17" i="27" s="1"/>
  <c r="CW31" i="27" a="1"/>
  <c r="CW31" i="27" s="1"/>
  <c r="CW33" i="27" a="1"/>
  <c r="CW33" i="27" s="1"/>
  <c r="CW36" i="27" a="1"/>
  <c r="CW36" i="27" s="1"/>
  <c r="CW37" i="27" a="1"/>
  <c r="CW37" i="27" s="1"/>
  <c r="CW49" i="27" a="1"/>
  <c r="CW49" i="27" s="1"/>
  <c r="CW51" i="27" a="1"/>
  <c r="CW51" i="27" s="1"/>
  <c r="CW52" i="27" a="1"/>
  <c r="CW52" i="27" s="1"/>
  <c r="CW10" i="27" a="1"/>
  <c r="CW10" i="27" s="1"/>
  <c r="CW11" i="27" a="1"/>
  <c r="CW11" i="27" s="1"/>
  <c r="CW25" i="27" a="1"/>
  <c r="CW25" i="27" s="1"/>
  <c r="CW32" i="27" a="1"/>
  <c r="CW32" i="27" s="1"/>
  <c r="CW47" i="27" a="1"/>
  <c r="CW47" i="27" s="1"/>
  <c r="CW48" i="27" a="1"/>
  <c r="CW48" i="27" s="1"/>
  <c r="CW53" i="27" a="1"/>
  <c r="CW53" i="27" s="1"/>
  <c r="CW21" i="27" a="1"/>
  <c r="CW21" i="27" s="1"/>
  <c r="CW45" i="27" a="1"/>
  <c r="CW45" i="27" s="1"/>
  <c r="CW56" i="27" a="1"/>
  <c r="CW56" i="27" s="1"/>
  <c r="CW77" i="27" a="1"/>
  <c r="CW77" i="27" s="1"/>
  <c r="CW29" i="27" a="1"/>
  <c r="CW29" i="27" s="1"/>
  <c r="CW43" i="27" a="1"/>
  <c r="CW43" i="27" s="1"/>
  <c r="CW50" i="27" a="1"/>
  <c r="CW50" i="27" s="1"/>
  <c r="CW55" i="27" a="1"/>
  <c r="CW55" i="27" s="1"/>
  <c r="CW63" i="27" a="1"/>
  <c r="CW63" i="27" s="1"/>
  <c r="CW78" i="27" a="1"/>
  <c r="CW78" i="27" s="1"/>
  <c r="CW46" i="27" a="1"/>
  <c r="CW46" i="27" s="1"/>
  <c r="CW54" i="27" a="1"/>
  <c r="CW54" i="27" s="1"/>
  <c r="CW64" i="27" a="1"/>
  <c r="CW64" i="27" s="1"/>
  <c r="CW65" i="27" a="1"/>
  <c r="CW65" i="27" s="1"/>
  <c r="CW66" i="27" a="1"/>
  <c r="CW66" i="27" s="1"/>
  <c r="CW68" i="27" a="1"/>
  <c r="CW68" i="27" s="1"/>
  <c r="CW69" i="27" a="1"/>
  <c r="CW69" i="27" s="1"/>
  <c r="CW80" i="27" a="1"/>
  <c r="CW80" i="27" s="1"/>
  <c r="CW62" i="27" a="1"/>
  <c r="CW62" i="27" s="1"/>
  <c r="CW67" i="27" a="1"/>
  <c r="CW67" i="27" s="1"/>
  <c r="CW70" i="27" a="1"/>
  <c r="CW70" i="27" s="1"/>
  <c r="CW71" i="27" a="1"/>
  <c r="CW71" i="27" s="1"/>
  <c r="CW9" i="27" a="1"/>
  <c r="CW9" i="27" s="1"/>
  <c r="CW42" i="27" a="1"/>
  <c r="CW42" i="27" s="1"/>
  <c r="CW60" i="27" a="1"/>
  <c r="CW60" i="27" s="1"/>
  <c r="CW61" i="27" a="1"/>
  <c r="CW61" i="27" s="1"/>
  <c r="CW72" i="27" a="1"/>
  <c r="CW72" i="27" s="1"/>
  <c r="CW73" i="27" a="1"/>
  <c r="CW73" i="27" s="1"/>
  <c r="CW82" i="27" a="1"/>
  <c r="CW82" i="27" s="1"/>
  <c r="CW22" i="27" a="1"/>
  <c r="CW22" i="27" s="1"/>
  <c r="CW74" i="27" a="1"/>
  <c r="CW74" i="27" s="1"/>
  <c r="CW84" i="27" a="1"/>
  <c r="CW84" i="27" s="1"/>
  <c r="CW85" i="27" a="1"/>
  <c r="CW85" i="27" s="1"/>
  <c r="CW86" i="27" a="1"/>
  <c r="CW86" i="27" s="1"/>
  <c r="CW58" i="27" a="1"/>
  <c r="CW58" i="27" s="1"/>
  <c r="CW59" i="27" a="1"/>
  <c r="CW59" i="27" s="1"/>
  <c r="CW57" i="27" a="1"/>
  <c r="CW57" i="27" s="1"/>
  <c r="CW83" i="27" a="1"/>
  <c r="CW83" i="27" s="1"/>
  <c r="CW99" i="27" a="1"/>
  <c r="CW99" i="27" s="1"/>
  <c r="CW102" i="27" a="1"/>
  <c r="CW102" i="27" s="1"/>
  <c r="CW116" i="27" a="1"/>
  <c r="CW116" i="27" s="1"/>
  <c r="CW117" i="27" a="1"/>
  <c r="CW117" i="27" s="1"/>
  <c r="CW119" i="27" a="1"/>
  <c r="CW119" i="27" s="1"/>
  <c r="CW140" i="27" a="1"/>
  <c r="CW140" i="27" s="1"/>
  <c r="CW136" i="27" a="1"/>
  <c r="CW136" i="27" s="1"/>
  <c r="CW139" i="27" a="1"/>
  <c r="CW139" i="27" s="1"/>
  <c r="CW92" i="27" a="1"/>
  <c r="CW92" i="27" s="1"/>
  <c r="CW105" i="27" a="1"/>
  <c r="CW105" i="27" s="1"/>
  <c r="CW107" i="27" a="1"/>
  <c r="CW107" i="27" s="1"/>
  <c r="CW115" i="27" a="1"/>
  <c r="CW115" i="27" s="1"/>
  <c r="CW120" i="27" a="1"/>
  <c r="CW120" i="27" s="1"/>
  <c r="CW128" i="27" a="1"/>
  <c r="CW128" i="27" s="1"/>
  <c r="CW132" i="27" a="1"/>
  <c r="CW132" i="27" s="1"/>
  <c r="CW101" i="27" a="1"/>
  <c r="CW101" i="27" s="1"/>
  <c r="CW109" i="27" a="1"/>
  <c r="CW109" i="27" s="1"/>
  <c r="CW113" i="27" a="1"/>
  <c r="CW113" i="27" s="1"/>
  <c r="CW114" i="27" a="1"/>
  <c r="CW114" i="27" s="1"/>
  <c r="CW121" i="27" a="1"/>
  <c r="CW121" i="27" s="1"/>
  <c r="CW138" i="27" a="1"/>
  <c r="CW138" i="27" s="1"/>
  <c r="CW137" i="27" a="1"/>
  <c r="CW137" i="27" s="1"/>
  <c r="CW103" i="27" a="1"/>
  <c r="CW103" i="27" s="1"/>
  <c r="CW94" i="27" a="1"/>
  <c r="CW94" i="27" s="1"/>
  <c r="CW129" i="27" a="1"/>
  <c r="CW129" i="27" s="1"/>
  <c r="CW133" i="27" a="1"/>
  <c r="CW133" i="27" s="1"/>
  <c r="CW108" i="27" a="1"/>
  <c r="CW108" i="27" s="1"/>
  <c r="CW75" i="27" a="1"/>
  <c r="CW75" i="27" s="1"/>
  <c r="CW81" i="27" a="1"/>
  <c r="CW81" i="27" s="1"/>
  <c r="CW93" i="27" a="1"/>
  <c r="CW93" i="27" s="1"/>
  <c r="CW95" i="27" a="1"/>
  <c r="CW95" i="27" s="1"/>
  <c r="CW96" i="27" a="1"/>
  <c r="CW96" i="27" s="1"/>
  <c r="CW98" i="27" a="1"/>
  <c r="CW98" i="27" s="1"/>
  <c r="CW104" i="27" a="1"/>
  <c r="CW104" i="27" s="1"/>
  <c r="CW111" i="27" a="1"/>
  <c r="CW111" i="27" s="1"/>
  <c r="CW112" i="27" a="1"/>
  <c r="CW112" i="27" s="1"/>
  <c r="CW122" i="27" a="1"/>
  <c r="CW122" i="27" s="1"/>
  <c r="CW123" i="27" a="1"/>
  <c r="CW123" i="27" s="1"/>
  <c r="CW87" i="27" a="1"/>
  <c r="CW87" i="27" s="1"/>
  <c r="CW90" i="27" a="1"/>
  <c r="CW90" i="27" s="1"/>
  <c r="CW110" i="27" a="1"/>
  <c r="CW110" i="27" s="1"/>
  <c r="CW91" i="27" a="1"/>
  <c r="CW91" i="27" s="1"/>
  <c r="CW97" i="27" a="1"/>
  <c r="CW97" i="27" s="1"/>
  <c r="CW100" i="27" a="1"/>
  <c r="CW100" i="27" s="1"/>
  <c r="CW106" i="27" a="1"/>
  <c r="CW106" i="27" s="1"/>
  <c r="CW124" i="27" a="1"/>
  <c r="CW124" i="27" s="1"/>
  <c r="CW126" i="27" a="1"/>
  <c r="CW126" i="27" s="1"/>
  <c r="CW130" i="27" a="1"/>
  <c r="CW130" i="27" s="1"/>
  <c r="CW134" i="27" a="1"/>
  <c r="CW134" i="27" s="1"/>
  <c r="CW76" i="27" a="1"/>
  <c r="CW76" i="27" s="1"/>
  <c r="CW88" i="27" a="1"/>
  <c r="CW88" i="27" s="1"/>
  <c r="CW79" i="27" a="1"/>
  <c r="CW79" i="27" s="1"/>
  <c r="CW89" i="27" a="1"/>
  <c r="CW89" i="27" s="1"/>
  <c r="CW118" i="27" a="1"/>
  <c r="CW118" i="27" s="1"/>
  <c r="CW127" i="27" a="1"/>
  <c r="CW127" i="27" s="1"/>
  <c r="CW131" i="27" a="1"/>
  <c r="CW131" i="27" s="1"/>
  <c r="CW135" i="27" a="1"/>
  <c r="CW135" i="27" s="1"/>
  <c r="CW125" i="27" a="1"/>
  <c r="CW125" i="27" s="1"/>
  <c r="DQ4" i="27"/>
  <c r="DQ135" i="27" s="1"/>
  <c r="DE10" i="27" a="1"/>
  <c r="DE10" i="27" s="1"/>
  <c r="DE11" i="27" a="1"/>
  <c r="DE11" i="27" s="1"/>
  <c r="DE24" i="27" a="1"/>
  <c r="DE24" i="27" s="1"/>
  <c r="DE45" i="27" a="1"/>
  <c r="DE45" i="27" s="1"/>
  <c r="DE46" i="27" a="1"/>
  <c r="DE46" i="27" s="1"/>
  <c r="DE47" i="27" a="1"/>
  <c r="DE47" i="27" s="1"/>
  <c r="DE52" i="27" a="1"/>
  <c r="DE52" i="27" s="1"/>
  <c r="DE8" i="27" a="1"/>
  <c r="DE8" i="27" s="1"/>
  <c r="DE21" i="27" a="1"/>
  <c r="DE21" i="27" s="1"/>
  <c r="DE20" i="27" a="1"/>
  <c r="DE20" i="27" s="1"/>
  <c r="DE28" i="27" a="1"/>
  <c r="DE28" i="27" s="1"/>
  <c r="DE44" i="27" a="1"/>
  <c r="DE44" i="27" s="1"/>
  <c r="DE7" i="27" a="1"/>
  <c r="DE7" i="27" s="1"/>
  <c r="DE19" i="27" a="1"/>
  <c r="DE19" i="27" s="1"/>
  <c r="DE27" i="27" a="1"/>
  <c r="DE27" i="27" s="1"/>
  <c r="DE6" i="27" a="1"/>
  <c r="DE6" i="27" s="1"/>
  <c r="DE23" i="27" a="1"/>
  <c r="DE23" i="27" s="1"/>
  <c r="DE26" i="27" a="1"/>
  <c r="DE26" i="27" s="1"/>
  <c r="DE39" i="27" a="1"/>
  <c r="DE39" i="27" s="1"/>
  <c r="DE40" i="27" a="1"/>
  <c r="DE40" i="27" s="1"/>
  <c r="DE41" i="27" a="1"/>
  <c r="DE41" i="27" s="1"/>
  <c r="DE42" i="27" a="1"/>
  <c r="DE42" i="27" s="1"/>
  <c r="DE43" i="27" a="1"/>
  <c r="DE43" i="27" s="1"/>
  <c r="DE14" i="27" a="1"/>
  <c r="DE14" i="27" s="1"/>
  <c r="DE18" i="27" a="1"/>
  <c r="DE18" i="27" s="1"/>
  <c r="DE38" i="27" a="1"/>
  <c r="DE38" i="27" s="1"/>
  <c r="DE9" i="27" a="1"/>
  <c r="DE9" i="27" s="1"/>
  <c r="DE15" i="27" a="1"/>
  <c r="DE15" i="27" s="1"/>
  <c r="DE16" i="27" a="1"/>
  <c r="DE16" i="27" s="1"/>
  <c r="DE17" i="27" a="1"/>
  <c r="DE17" i="27" s="1"/>
  <c r="DE22" i="27" a="1"/>
  <c r="DE22" i="27" s="1"/>
  <c r="DE30" i="27" a="1"/>
  <c r="DE30" i="27" s="1"/>
  <c r="DE31" i="27" a="1"/>
  <c r="DE31" i="27" s="1"/>
  <c r="DE32" i="27" a="1"/>
  <c r="DE32" i="27" s="1"/>
  <c r="DE34" i="27" a="1"/>
  <c r="DE34" i="27" s="1"/>
  <c r="DE48" i="27" a="1"/>
  <c r="DE48" i="27" s="1"/>
  <c r="DE51" i="27" a="1"/>
  <c r="DE51" i="27" s="1"/>
  <c r="DE36" i="27" a="1"/>
  <c r="DE36" i="27" s="1"/>
  <c r="DE58" i="27" a="1"/>
  <c r="DE58" i="27" s="1"/>
  <c r="DE59" i="27" a="1"/>
  <c r="DE59" i="27" s="1"/>
  <c r="DE72" i="27" a="1"/>
  <c r="DE72" i="27" s="1"/>
  <c r="DE74" i="27" a="1"/>
  <c r="DE74" i="27" s="1"/>
  <c r="DE84" i="27" a="1"/>
  <c r="DE84" i="27" s="1"/>
  <c r="DE85" i="27" a="1"/>
  <c r="DE85" i="27" s="1"/>
  <c r="DE57" i="27" a="1"/>
  <c r="DE57" i="27" s="1"/>
  <c r="DE29" i="27" a="1"/>
  <c r="DE29" i="27" s="1"/>
  <c r="DE33" i="27" a="1"/>
  <c r="DE33" i="27" s="1"/>
  <c r="DE37" i="27" a="1"/>
  <c r="DE37" i="27" s="1"/>
  <c r="DE56" i="27" a="1"/>
  <c r="DE56" i="27" s="1"/>
  <c r="DE77" i="27" a="1"/>
  <c r="DE77" i="27" s="1"/>
  <c r="DE12" i="27" a="1"/>
  <c r="DE12" i="27" s="1"/>
  <c r="DE25" i="27" a="1"/>
  <c r="DE25" i="27" s="1"/>
  <c r="DE55" i="27" a="1"/>
  <c r="DE55" i="27" s="1"/>
  <c r="DE63" i="27" a="1"/>
  <c r="DE63" i="27" s="1"/>
  <c r="DE75" i="27" a="1"/>
  <c r="DE75" i="27" s="1"/>
  <c r="DE76" i="27" a="1"/>
  <c r="DE76" i="27" s="1"/>
  <c r="DE78" i="27" a="1"/>
  <c r="DE78" i="27" s="1"/>
  <c r="DE13" i="27" a="1"/>
  <c r="DE13" i="27" s="1"/>
  <c r="DE50" i="27" a="1"/>
  <c r="DE50" i="27" s="1"/>
  <c r="DE53" i="27" a="1"/>
  <c r="DE53" i="27" s="1"/>
  <c r="DE54" i="27" a="1"/>
  <c r="DE54" i="27" s="1"/>
  <c r="DE62" i="27" a="1"/>
  <c r="DE62" i="27" s="1"/>
  <c r="DE64" i="27" a="1"/>
  <c r="DE64" i="27" s="1"/>
  <c r="DE66" i="27" a="1"/>
  <c r="DE66" i="27" s="1"/>
  <c r="DE67" i="27" a="1"/>
  <c r="DE67" i="27" s="1"/>
  <c r="DE68" i="27" a="1"/>
  <c r="DE68" i="27" s="1"/>
  <c r="DE79" i="27" a="1"/>
  <c r="DE79" i="27" s="1"/>
  <c r="DE80" i="27" a="1"/>
  <c r="DE80" i="27" s="1"/>
  <c r="DE35" i="27" a="1"/>
  <c r="DE35" i="27" s="1"/>
  <c r="DE60" i="27" a="1"/>
  <c r="DE60" i="27" s="1"/>
  <c r="DE61" i="27" a="1"/>
  <c r="DE61" i="27" s="1"/>
  <c r="DE65" i="27" a="1"/>
  <c r="DE65" i="27" s="1"/>
  <c r="DE69" i="27" a="1"/>
  <c r="DE69" i="27" s="1"/>
  <c r="DE70" i="27" a="1"/>
  <c r="DE70" i="27" s="1"/>
  <c r="DE71" i="27" a="1"/>
  <c r="DE71" i="27" s="1"/>
  <c r="DE81" i="27" a="1"/>
  <c r="DE81" i="27" s="1"/>
  <c r="DE83" i="27" a="1"/>
  <c r="DE83" i="27" s="1"/>
  <c r="DE88" i="27" a="1"/>
  <c r="DE88" i="27" s="1"/>
  <c r="DE91" i="27" a="1"/>
  <c r="DE91" i="27" s="1"/>
  <c r="DE92" i="27" a="1"/>
  <c r="DE92" i="27" s="1"/>
  <c r="DE99" i="27" a="1"/>
  <c r="DE99" i="27" s="1"/>
  <c r="DE124" i="27" a="1"/>
  <c r="DE124" i="27" s="1"/>
  <c r="DE73" i="27" a="1"/>
  <c r="DE73" i="27" s="1"/>
  <c r="DE89" i="27" a="1"/>
  <c r="DE89" i="27" s="1"/>
  <c r="DE90" i="27" a="1"/>
  <c r="DE90" i="27" s="1"/>
  <c r="DE102" i="27" a="1"/>
  <c r="DE102" i="27" s="1"/>
  <c r="DE105" i="27" a="1"/>
  <c r="DE105" i="27" s="1"/>
  <c r="DE107" i="27" a="1"/>
  <c r="DE107" i="27" s="1"/>
  <c r="DE125" i="27" a="1"/>
  <c r="DE125" i="27" s="1"/>
  <c r="DE126" i="27" a="1"/>
  <c r="DE126" i="27" s="1"/>
  <c r="DE130" i="27" a="1"/>
  <c r="DE130" i="27" s="1"/>
  <c r="DE134" i="27" a="1"/>
  <c r="DE134" i="27" s="1"/>
  <c r="DE108" i="27" a="1"/>
  <c r="DE108" i="27" s="1"/>
  <c r="DE111" i="27" a="1"/>
  <c r="DE111" i="27" s="1"/>
  <c r="DE109" i="27" a="1"/>
  <c r="DE109" i="27" s="1"/>
  <c r="DE116" i="27" a="1"/>
  <c r="DE116" i="27" s="1"/>
  <c r="DE117" i="27" a="1"/>
  <c r="DE117" i="27" s="1"/>
  <c r="DE118" i="27" a="1"/>
  <c r="DE118" i="27" s="1"/>
  <c r="DE140" i="27" a="1"/>
  <c r="DE140" i="27" s="1"/>
  <c r="DE101" i="27" a="1"/>
  <c r="DE101" i="27" s="1"/>
  <c r="DE115" i="27" a="1"/>
  <c r="DE115" i="27" s="1"/>
  <c r="DE119" i="27" a="1"/>
  <c r="DE119" i="27" s="1"/>
  <c r="DE127" i="27" a="1"/>
  <c r="DE127" i="27" s="1"/>
  <c r="DE131" i="27" a="1"/>
  <c r="DE131" i="27" s="1"/>
  <c r="DE135" i="27" a="1"/>
  <c r="DE135" i="27" s="1"/>
  <c r="DE139" i="27" a="1"/>
  <c r="DE139" i="27" s="1"/>
  <c r="DE93" i="27" a="1"/>
  <c r="DE93" i="27" s="1"/>
  <c r="DE112" i="27" a="1"/>
  <c r="DE112" i="27" s="1"/>
  <c r="DE98" i="27" a="1"/>
  <c r="DE98" i="27" s="1"/>
  <c r="DE113" i="27" a="1"/>
  <c r="DE113" i="27" s="1"/>
  <c r="DE114" i="27" a="1"/>
  <c r="DE114" i="27" s="1"/>
  <c r="DE138" i="27" a="1"/>
  <c r="DE138" i="27" s="1"/>
  <c r="DE49" i="27" a="1"/>
  <c r="DE49" i="27" s="1"/>
  <c r="DE87" i="27" a="1"/>
  <c r="DE87" i="27" s="1"/>
  <c r="DE100" i="27" a="1"/>
  <c r="DE100" i="27" s="1"/>
  <c r="DE104" i="27" a="1"/>
  <c r="DE104" i="27" s="1"/>
  <c r="DE106" i="27" a="1"/>
  <c r="DE106" i="27" s="1"/>
  <c r="DE120" i="27" a="1"/>
  <c r="DE120" i="27" s="1"/>
  <c r="DE128" i="27" a="1"/>
  <c r="DE128" i="27" s="1"/>
  <c r="DE132" i="27" a="1"/>
  <c r="DE132" i="27" s="1"/>
  <c r="DE136" i="27" a="1"/>
  <c r="DE136" i="27" s="1"/>
  <c r="DE137" i="27" a="1"/>
  <c r="DE137" i="27" s="1"/>
  <c r="DE86" i="27" a="1"/>
  <c r="DE86" i="27" s="1"/>
  <c r="DE94" i="27" a="1"/>
  <c r="DE94" i="27" s="1"/>
  <c r="DE95" i="27" a="1"/>
  <c r="DE95" i="27" s="1"/>
  <c r="DE96" i="27" a="1"/>
  <c r="DE96" i="27" s="1"/>
  <c r="DE97" i="27" a="1"/>
  <c r="DE97" i="27" s="1"/>
  <c r="DE103" i="27" a="1"/>
  <c r="DE103" i="27" s="1"/>
  <c r="DE110" i="27" a="1"/>
  <c r="DE110" i="27" s="1"/>
  <c r="DE122" i="27" a="1"/>
  <c r="DE122" i="27" s="1"/>
  <c r="DE123" i="27" a="1"/>
  <c r="DE123" i="27" s="1"/>
  <c r="DE129" i="27" a="1"/>
  <c r="DE129" i="27" s="1"/>
  <c r="DE133" i="27" a="1"/>
  <c r="DE133" i="27" s="1"/>
  <c r="DE82" i="27" a="1"/>
  <c r="DE82" i="27" s="1"/>
  <c r="DE121" i="27" a="1"/>
  <c r="DE121" i="27" s="1"/>
  <c r="DO4" i="27"/>
  <c r="DO135" i="27" s="1"/>
  <c r="DC20" i="27" a="1"/>
  <c r="DC20" i="27" s="1"/>
  <c r="DC44" i="27" a="1"/>
  <c r="DC44" i="27" s="1"/>
  <c r="DC7" i="27" a="1"/>
  <c r="DC7" i="27" s="1"/>
  <c r="DC19" i="27" a="1"/>
  <c r="DC19" i="27" s="1"/>
  <c r="DC27" i="27" a="1"/>
  <c r="DC27" i="27" s="1"/>
  <c r="DC39" i="27" a="1"/>
  <c r="DC39" i="27" s="1"/>
  <c r="DC40" i="27" a="1"/>
  <c r="DC40" i="27" s="1"/>
  <c r="DC6" i="27" a="1"/>
  <c r="DC6" i="27" s="1"/>
  <c r="DC23" i="27" a="1"/>
  <c r="DC23" i="27" s="1"/>
  <c r="DC26" i="27" a="1"/>
  <c r="DC26" i="27" s="1"/>
  <c r="DC38" i="27" a="1"/>
  <c r="DC38" i="27" s="1"/>
  <c r="DC50" i="27" a="1"/>
  <c r="DC50" i="27" s="1"/>
  <c r="DC13" i="27" a="1"/>
  <c r="DC13" i="27" s="1"/>
  <c r="DC14" i="27" a="1"/>
  <c r="DC14" i="27" s="1"/>
  <c r="DC18" i="27" a="1"/>
  <c r="DC18" i="27" s="1"/>
  <c r="DC25" i="27" a="1"/>
  <c r="DC25" i="27" s="1"/>
  <c r="DC33" i="27" a="1"/>
  <c r="DC33" i="27" s="1"/>
  <c r="DC36" i="27" a="1"/>
  <c r="DC36" i="27" s="1"/>
  <c r="DC37" i="27" a="1"/>
  <c r="DC37" i="27" s="1"/>
  <c r="DC12" i="27" a="1"/>
  <c r="DC12" i="27" s="1"/>
  <c r="DC15" i="27" a="1"/>
  <c r="DC15" i="27" s="1"/>
  <c r="DC16" i="27" a="1"/>
  <c r="DC16" i="27" s="1"/>
  <c r="DC17" i="27" a="1"/>
  <c r="DC17" i="27" s="1"/>
  <c r="DC29" i="27" a="1"/>
  <c r="DC29" i="27" s="1"/>
  <c r="DC30" i="27" a="1"/>
  <c r="DC30" i="27" s="1"/>
  <c r="DC32" i="27" a="1"/>
  <c r="DC32" i="27" s="1"/>
  <c r="DC34" i="27" a="1"/>
  <c r="DC34" i="27" s="1"/>
  <c r="DC35" i="27" a="1"/>
  <c r="DC35" i="27" s="1"/>
  <c r="DC49" i="27" a="1"/>
  <c r="DC49" i="27" s="1"/>
  <c r="DC51" i="27" a="1"/>
  <c r="DC51" i="27" s="1"/>
  <c r="DC9" i="27" a="1"/>
  <c r="DC9" i="27" s="1"/>
  <c r="DC10" i="27" a="1"/>
  <c r="DC10" i="27" s="1"/>
  <c r="DC11" i="27" a="1"/>
  <c r="DC11" i="27" s="1"/>
  <c r="DC22" i="27" a="1"/>
  <c r="DC22" i="27" s="1"/>
  <c r="DC31" i="27" a="1"/>
  <c r="DC31" i="27" s="1"/>
  <c r="DC46" i="27" a="1"/>
  <c r="DC46" i="27" s="1"/>
  <c r="DC47" i="27" a="1"/>
  <c r="DC47" i="27" s="1"/>
  <c r="DC48" i="27" a="1"/>
  <c r="DC48" i="27" s="1"/>
  <c r="DC53" i="27" a="1"/>
  <c r="DC53" i="27" s="1"/>
  <c r="DC8" i="27" a="1"/>
  <c r="DC8" i="27" s="1"/>
  <c r="DC28" i="27" a="1"/>
  <c r="DC28" i="27" s="1"/>
  <c r="DC77" i="27" a="1"/>
  <c r="DC77" i="27" s="1"/>
  <c r="DC24" i="27" a="1"/>
  <c r="DC24" i="27" s="1"/>
  <c r="DC55" i="27" a="1"/>
  <c r="DC55" i="27" s="1"/>
  <c r="DC63" i="27" a="1"/>
  <c r="DC63" i="27" s="1"/>
  <c r="DC64" i="27" a="1"/>
  <c r="DC64" i="27" s="1"/>
  <c r="DC67" i="27" a="1"/>
  <c r="DC67" i="27" s="1"/>
  <c r="DC76" i="27" a="1"/>
  <c r="DC76" i="27" s="1"/>
  <c r="DC41" i="27" a="1"/>
  <c r="DC41" i="27" s="1"/>
  <c r="DC52" i="27" a="1"/>
  <c r="DC52" i="27" s="1"/>
  <c r="DC54" i="27" a="1"/>
  <c r="DC54" i="27" s="1"/>
  <c r="DC68" i="27" a="1"/>
  <c r="DC68" i="27" s="1"/>
  <c r="DC61" i="27" a="1"/>
  <c r="DC61" i="27" s="1"/>
  <c r="DC62" i="27" a="1"/>
  <c r="DC62" i="27" s="1"/>
  <c r="DC66" i="27" a="1"/>
  <c r="DC66" i="27" s="1"/>
  <c r="DC69" i="27" a="1"/>
  <c r="DC69" i="27" s="1"/>
  <c r="DC70" i="27" a="1"/>
  <c r="DC70" i="27" s="1"/>
  <c r="DC71" i="27" a="1"/>
  <c r="DC71" i="27" s="1"/>
  <c r="DC21" i="27" a="1"/>
  <c r="DC21" i="27" s="1"/>
  <c r="DC43" i="27" a="1"/>
  <c r="DC43" i="27" s="1"/>
  <c r="DC60" i="27" a="1"/>
  <c r="DC60" i="27" s="1"/>
  <c r="DC65" i="27" a="1"/>
  <c r="DC65" i="27" s="1"/>
  <c r="DC72" i="27" a="1"/>
  <c r="DC72" i="27" s="1"/>
  <c r="DC82" i="27" a="1"/>
  <c r="DC82" i="27" s="1"/>
  <c r="DC83" i="27" a="1"/>
  <c r="DC83" i="27" s="1"/>
  <c r="DC84" i="27" a="1"/>
  <c r="DC84" i="27" s="1"/>
  <c r="DC59" i="27" a="1"/>
  <c r="DC59" i="27" s="1"/>
  <c r="DC73" i="27" a="1"/>
  <c r="DC73" i="27" s="1"/>
  <c r="DC74" i="27" a="1"/>
  <c r="DC74" i="27" s="1"/>
  <c r="DC42" i="27" a="1"/>
  <c r="DC42" i="27" s="1"/>
  <c r="DC58" i="27" a="1"/>
  <c r="DC58" i="27" s="1"/>
  <c r="DC85" i="27" a="1"/>
  <c r="DC85" i="27" s="1"/>
  <c r="DC109" i="27" a="1"/>
  <c r="DC109" i="27" s="1"/>
  <c r="DC116" i="27" a="1"/>
  <c r="DC116" i="27" s="1"/>
  <c r="DC119" i="27" a="1"/>
  <c r="DC119" i="27" s="1"/>
  <c r="DC127" i="27" a="1"/>
  <c r="DC127" i="27" s="1"/>
  <c r="DC131" i="27" a="1"/>
  <c r="DC131" i="27" s="1"/>
  <c r="DC135" i="27" a="1"/>
  <c r="DC135" i="27" s="1"/>
  <c r="DC139" i="27" a="1"/>
  <c r="DC139" i="27" s="1"/>
  <c r="DC140" i="27" a="1"/>
  <c r="DC140" i="27" s="1"/>
  <c r="DC57" i="27" a="1"/>
  <c r="DC57" i="27" s="1"/>
  <c r="DC80" i="27" a="1"/>
  <c r="DC80" i="27" s="1"/>
  <c r="DC101" i="27" a="1"/>
  <c r="DC101" i="27" s="1"/>
  <c r="DC114" i="27" a="1"/>
  <c r="DC114" i="27" s="1"/>
  <c r="DC115" i="27" a="1"/>
  <c r="DC115" i="27" s="1"/>
  <c r="DC138" i="27" a="1"/>
  <c r="DC138" i="27" s="1"/>
  <c r="DC79" i="27" a="1"/>
  <c r="DC79" i="27" s="1"/>
  <c r="DC87" i="27" a="1"/>
  <c r="DC87" i="27" s="1"/>
  <c r="DC98" i="27" a="1"/>
  <c r="DC98" i="27" s="1"/>
  <c r="DC113" i="27" a="1"/>
  <c r="DC113" i="27" s="1"/>
  <c r="DC120" i="27" a="1"/>
  <c r="DC120" i="27" s="1"/>
  <c r="DC132" i="27" a="1"/>
  <c r="DC132" i="27" s="1"/>
  <c r="DC45" i="27" a="1"/>
  <c r="DC45" i="27" s="1"/>
  <c r="DC100" i="27" a="1"/>
  <c r="DC100" i="27" s="1"/>
  <c r="DC104" i="27" a="1"/>
  <c r="DC104" i="27" s="1"/>
  <c r="DC106" i="27" a="1"/>
  <c r="DC106" i="27" s="1"/>
  <c r="DC112" i="27" a="1"/>
  <c r="DC112" i="27" s="1"/>
  <c r="DC121" i="27" a="1"/>
  <c r="DC121" i="27" s="1"/>
  <c r="DC128" i="27" a="1"/>
  <c r="DC128" i="27" s="1"/>
  <c r="DC136" i="27" a="1"/>
  <c r="DC136" i="27" s="1"/>
  <c r="DC137" i="27" a="1"/>
  <c r="DC137" i="27" s="1"/>
  <c r="DC88" i="27" a="1"/>
  <c r="DC88" i="27" s="1"/>
  <c r="DC78" i="27" a="1"/>
  <c r="DC78" i="27" s="1"/>
  <c r="DC92" i="27" a="1"/>
  <c r="DC92" i="27" s="1"/>
  <c r="DC93" i="27" a="1"/>
  <c r="DC93" i="27" s="1"/>
  <c r="DC94" i="27" a="1"/>
  <c r="DC94" i="27" s="1"/>
  <c r="DC95" i="27" a="1"/>
  <c r="DC95" i="27" s="1"/>
  <c r="DC96" i="27" a="1"/>
  <c r="DC96" i="27" s="1"/>
  <c r="DC108" i="27" a="1"/>
  <c r="DC108" i="27" s="1"/>
  <c r="DC111" i="27" a="1"/>
  <c r="DC111" i="27" s="1"/>
  <c r="DC122" i="27" a="1"/>
  <c r="DC122" i="27" s="1"/>
  <c r="DC129" i="27" a="1"/>
  <c r="DC129" i="27" s="1"/>
  <c r="DC133" i="27" a="1"/>
  <c r="DC133" i="27" s="1"/>
  <c r="DC75" i="27" a="1"/>
  <c r="DC75" i="27" s="1"/>
  <c r="DC86" i="27" a="1"/>
  <c r="DC86" i="27" s="1"/>
  <c r="DC89" i="27" a="1"/>
  <c r="DC89" i="27" s="1"/>
  <c r="DC97" i="27" a="1"/>
  <c r="DC97" i="27" s="1"/>
  <c r="DC103" i="27" a="1"/>
  <c r="DC103" i="27" s="1"/>
  <c r="DC110" i="27" a="1"/>
  <c r="DC110" i="27" s="1"/>
  <c r="DC123" i="27" a="1"/>
  <c r="DC123" i="27" s="1"/>
  <c r="DC124" i="27" a="1"/>
  <c r="DC124" i="27" s="1"/>
  <c r="DC126" i="27" a="1"/>
  <c r="DC126" i="27" s="1"/>
  <c r="DC130" i="27" a="1"/>
  <c r="DC130" i="27" s="1"/>
  <c r="DC134" i="27" a="1"/>
  <c r="DC134" i="27" s="1"/>
  <c r="DC91" i="27" a="1"/>
  <c r="DC91" i="27" s="1"/>
  <c r="DC56" i="27" a="1"/>
  <c r="DC56" i="27" s="1"/>
  <c r="DC81" i="27" a="1"/>
  <c r="DC81" i="27" s="1"/>
  <c r="DC90" i="27" a="1"/>
  <c r="DC90" i="27" s="1"/>
  <c r="DC102" i="27" a="1"/>
  <c r="DC102" i="27" s="1"/>
  <c r="DC105" i="27" a="1"/>
  <c r="DC105" i="27" s="1"/>
  <c r="DC107" i="27" a="1"/>
  <c r="DC107" i="27" s="1"/>
  <c r="DC117" i="27" a="1"/>
  <c r="DC117" i="27" s="1"/>
  <c r="DC118" i="27" a="1"/>
  <c r="DC118" i="27" s="1"/>
  <c r="DC99" i="27" a="1"/>
  <c r="DC99" i="27" s="1"/>
  <c r="DC125" i="27" a="1"/>
  <c r="DC125" i="27" s="1"/>
  <c r="DM4" i="27"/>
  <c r="DM135" i="27" s="1"/>
  <c r="DA14" i="27" a="1"/>
  <c r="DA14" i="27" s="1"/>
  <c r="DA18" i="27" a="1"/>
  <c r="DA18" i="27" s="1"/>
  <c r="DA23" i="27" a="1"/>
  <c r="DA23" i="27" s="1"/>
  <c r="DA38" i="27" a="1"/>
  <c r="DA38" i="27" s="1"/>
  <c r="DA50" i="27" a="1"/>
  <c r="DA50" i="27" s="1"/>
  <c r="DA13" i="27" a="1"/>
  <c r="DA13" i="27" s="1"/>
  <c r="DA15" i="27" a="1"/>
  <c r="DA15" i="27" s="1"/>
  <c r="DA17" i="27" a="1"/>
  <c r="DA17" i="27" s="1"/>
  <c r="DA25" i="27" a="1"/>
  <c r="DA25" i="27" s="1"/>
  <c r="DA30" i="27" a="1"/>
  <c r="DA30" i="27" s="1"/>
  <c r="DA33" i="27" a="1"/>
  <c r="DA33" i="27" s="1"/>
  <c r="DA34" i="27" a="1"/>
  <c r="DA34" i="27" s="1"/>
  <c r="DA36" i="27" a="1"/>
  <c r="DA36" i="27" s="1"/>
  <c r="DA37" i="27" a="1"/>
  <c r="DA37" i="27" s="1"/>
  <c r="DA10" i="27" a="1"/>
  <c r="DA10" i="27" s="1"/>
  <c r="DA11" i="27" a="1"/>
  <c r="DA11" i="27" s="1"/>
  <c r="DA12" i="27" a="1"/>
  <c r="DA12" i="27" s="1"/>
  <c r="DA16" i="27" a="1"/>
  <c r="DA16" i="27" s="1"/>
  <c r="DA29" i="27" a="1"/>
  <c r="DA29" i="27" s="1"/>
  <c r="DA32" i="27" a="1"/>
  <c r="DA32" i="27" s="1"/>
  <c r="DA35" i="27" a="1"/>
  <c r="DA35" i="27" s="1"/>
  <c r="DA46" i="27" a="1"/>
  <c r="DA46" i="27" s="1"/>
  <c r="DA47" i="27" a="1"/>
  <c r="DA47" i="27" s="1"/>
  <c r="DA9" i="27" a="1"/>
  <c r="DA9" i="27" s="1"/>
  <c r="DA22" i="27" a="1"/>
  <c r="DA22" i="27" s="1"/>
  <c r="DA31" i="27" a="1"/>
  <c r="DA31" i="27" s="1"/>
  <c r="DA8" i="27" a="1"/>
  <c r="DA8" i="27" s="1"/>
  <c r="DA21" i="27" a="1"/>
  <c r="DA21" i="27" s="1"/>
  <c r="DA24" i="27" a="1"/>
  <c r="DA24" i="27" s="1"/>
  <c r="DA45" i="27" a="1"/>
  <c r="DA45" i="27" s="1"/>
  <c r="DA20" i="27" a="1"/>
  <c r="DA20" i="27" s="1"/>
  <c r="DA28" i="27" a="1"/>
  <c r="DA28" i="27" s="1"/>
  <c r="DA44" i="27" a="1"/>
  <c r="DA44" i="27" s="1"/>
  <c r="DA6" i="27" a="1"/>
  <c r="DA6" i="27" s="1"/>
  <c r="DA7" i="27" a="1"/>
  <c r="DA7" i="27" s="1"/>
  <c r="DA19" i="27" a="1"/>
  <c r="DA19" i="27" s="1"/>
  <c r="DA26" i="27" a="1"/>
  <c r="DA26" i="27" s="1"/>
  <c r="DA39" i="27" a="1"/>
  <c r="DA39" i="27" s="1"/>
  <c r="DA42" i="27" a="1"/>
  <c r="DA42" i="27" s="1"/>
  <c r="DA48" i="27" a="1"/>
  <c r="DA48" i="27" s="1"/>
  <c r="DA52" i="27" a="1"/>
  <c r="DA52" i="27" s="1"/>
  <c r="DA65" i="27" a="1"/>
  <c r="DA65" i="27" s="1"/>
  <c r="DA70" i="27" a="1"/>
  <c r="DA70" i="27" s="1"/>
  <c r="DA80" i="27" a="1"/>
  <c r="DA80" i="27" s="1"/>
  <c r="DA82" i="27" a="1"/>
  <c r="DA82" i="27" s="1"/>
  <c r="DA41" i="27" a="1"/>
  <c r="DA41" i="27" s="1"/>
  <c r="DA51" i="27" a="1"/>
  <c r="DA51" i="27" s="1"/>
  <c r="DA53" i="27" a="1"/>
  <c r="DA53" i="27" s="1"/>
  <c r="DA60" i="27" a="1"/>
  <c r="DA60" i="27" s="1"/>
  <c r="DA61" i="27" a="1"/>
  <c r="DA61" i="27" s="1"/>
  <c r="DA66" i="27" a="1"/>
  <c r="DA66" i="27" s="1"/>
  <c r="DA69" i="27" a="1"/>
  <c r="DA69" i="27" s="1"/>
  <c r="DA71" i="27" a="1"/>
  <c r="DA71" i="27" s="1"/>
  <c r="DA59" i="27" a="1"/>
  <c r="DA59" i="27" s="1"/>
  <c r="DA72" i="27" a="1"/>
  <c r="DA72" i="27" s="1"/>
  <c r="DA73" i="27" a="1"/>
  <c r="DA73" i="27" s="1"/>
  <c r="DA83" i="27" a="1"/>
  <c r="DA83" i="27" s="1"/>
  <c r="DA84" i="27" a="1"/>
  <c r="DA84" i="27" s="1"/>
  <c r="DA43" i="27" a="1"/>
  <c r="DA43" i="27" s="1"/>
  <c r="DA57" i="27" a="1"/>
  <c r="DA57" i="27" s="1"/>
  <c r="DA74" i="27" a="1"/>
  <c r="DA74" i="27" s="1"/>
  <c r="DA58" i="27" a="1"/>
  <c r="DA58" i="27" s="1"/>
  <c r="DA75" i="27" a="1"/>
  <c r="DA75" i="27" s="1"/>
  <c r="DA49" i="27" a="1"/>
  <c r="DA49" i="27" s="1"/>
  <c r="DA56" i="27" a="1"/>
  <c r="DA56" i="27" s="1"/>
  <c r="DA78" i="27" a="1"/>
  <c r="DA78" i="27" s="1"/>
  <c r="DA27" i="27" a="1"/>
  <c r="DA27" i="27" s="1"/>
  <c r="DA64" i="27" a="1"/>
  <c r="DA64" i="27" s="1"/>
  <c r="DA76" i="27" a="1"/>
  <c r="DA76" i="27" s="1"/>
  <c r="DA77" i="27" a="1"/>
  <c r="DA77" i="27" s="1"/>
  <c r="DA79" i="27" a="1"/>
  <c r="DA79" i="27" s="1"/>
  <c r="DA40" i="27" a="1"/>
  <c r="DA40" i="27" s="1"/>
  <c r="DA85" i="27" a="1"/>
  <c r="DA85" i="27" s="1"/>
  <c r="DA98" i="27" a="1"/>
  <c r="DA98" i="27" s="1"/>
  <c r="DA112" i="27" a="1"/>
  <c r="DA112" i="27" s="1"/>
  <c r="DA113" i="27" a="1"/>
  <c r="DA113" i="27" s="1"/>
  <c r="DA137" i="27" a="1"/>
  <c r="DA137" i="27" s="1"/>
  <c r="DA93" i="27" a="1"/>
  <c r="DA93" i="27" s="1"/>
  <c r="DA94" i="27" a="1"/>
  <c r="DA94" i="27" s="1"/>
  <c r="DA95" i="27" a="1"/>
  <c r="DA95" i="27" s="1"/>
  <c r="DA100" i="27" a="1"/>
  <c r="DA100" i="27" s="1"/>
  <c r="DA104" i="27" a="1"/>
  <c r="DA104" i="27" s="1"/>
  <c r="DA106" i="27" a="1"/>
  <c r="DA106" i="27" s="1"/>
  <c r="DA121" i="27" a="1"/>
  <c r="DA121" i="27" s="1"/>
  <c r="DA123" i="27" a="1"/>
  <c r="DA123" i="27" s="1"/>
  <c r="DA129" i="27" a="1"/>
  <c r="DA129" i="27" s="1"/>
  <c r="DA133" i="27" a="1"/>
  <c r="DA133" i="27" s="1"/>
  <c r="DA62" i="27" a="1"/>
  <c r="DA62" i="27" s="1"/>
  <c r="DA92" i="27" a="1"/>
  <c r="DA92" i="27" s="1"/>
  <c r="DA96" i="27" a="1"/>
  <c r="DA96" i="27" s="1"/>
  <c r="DA97" i="27" a="1"/>
  <c r="DA97" i="27" s="1"/>
  <c r="DA103" i="27" a="1"/>
  <c r="DA103" i="27" s="1"/>
  <c r="DA108" i="27" a="1"/>
  <c r="DA108" i="27" s="1"/>
  <c r="DA111" i="27" a="1"/>
  <c r="DA111" i="27" s="1"/>
  <c r="DA122" i="27" a="1"/>
  <c r="DA122" i="27" s="1"/>
  <c r="DA134" i="27" a="1"/>
  <c r="DA134" i="27" s="1"/>
  <c r="DA54" i="27" a="1"/>
  <c r="DA54" i="27" s="1"/>
  <c r="DA89" i="27" a="1"/>
  <c r="DA89" i="27" s="1"/>
  <c r="DA90" i="27" a="1"/>
  <c r="DA90" i="27" s="1"/>
  <c r="DA110" i="27" a="1"/>
  <c r="DA110" i="27" s="1"/>
  <c r="DA124" i="27" a="1"/>
  <c r="DA124" i="27" s="1"/>
  <c r="DA125" i="27" a="1"/>
  <c r="DA125" i="27" s="1"/>
  <c r="DA126" i="27" a="1"/>
  <c r="DA126" i="27" s="1"/>
  <c r="DA130" i="27" a="1"/>
  <c r="DA130" i="27" s="1"/>
  <c r="DA63" i="27" a="1"/>
  <c r="DA63" i="27" s="1"/>
  <c r="DA67" i="27" a="1"/>
  <c r="DA67" i="27" s="1"/>
  <c r="DA86" i="27" a="1"/>
  <c r="DA86" i="27" s="1"/>
  <c r="DA88" i="27" a="1"/>
  <c r="DA88" i="27" s="1"/>
  <c r="DA91" i="27" a="1"/>
  <c r="DA91" i="27" s="1"/>
  <c r="DA99" i="27" a="1"/>
  <c r="DA99" i="27" s="1"/>
  <c r="DA117" i="27" a="1"/>
  <c r="DA117" i="27" s="1"/>
  <c r="DA55" i="27" a="1"/>
  <c r="DA55" i="27" s="1"/>
  <c r="DA102" i="27" a="1"/>
  <c r="DA102" i="27" s="1"/>
  <c r="DA105" i="27" a="1"/>
  <c r="DA105" i="27" s="1"/>
  <c r="DA107" i="27" a="1"/>
  <c r="DA107" i="27" s="1"/>
  <c r="DA118" i="27" a="1"/>
  <c r="DA118" i="27" s="1"/>
  <c r="DA127" i="27" a="1"/>
  <c r="DA127" i="27" s="1"/>
  <c r="DA131" i="27" a="1"/>
  <c r="DA131" i="27" s="1"/>
  <c r="DA135" i="27" a="1"/>
  <c r="DA135" i="27" s="1"/>
  <c r="DA140" i="27" a="1"/>
  <c r="DA140" i="27" s="1"/>
  <c r="DA68" i="27" a="1"/>
  <c r="DA68" i="27" s="1"/>
  <c r="DA81" i="27" a="1"/>
  <c r="DA81" i="27" s="1"/>
  <c r="DA87" i="27" a="1"/>
  <c r="DA87" i="27" s="1"/>
  <c r="DA101" i="27" a="1"/>
  <c r="DA101" i="27" s="1"/>
  <c r="DA114" i="27" a="1"/>
  <c r="DA114" i="27" s="1"/>
  <c r="DA128" i="27" a="1"/>
  <c r="DA128" i="27" s="1"/>
  <c r="DA132" i="27" a="1"/>
  <c r="DA132" i="27" s="1"/>
  <c r="DA136" i="27" a="1"/>
  <c r="DA136" i="27" s="1"/>
  <c r="DA138" i="27" a="1"/>
  <c r="DA138" i="27" s="1"/>
  <c r="DA109" i="27" a="1"/>
  <c r="DA109" i="27" s="1"/>
  <c r="DA115" i="27" a="1"/>
  <c r="DA115" i="27" s="1"/>
  <c r="DA119" i="27" a="1"/>
  <c r="DA119" i="27" s="1"/>
  <c r="DA116" i="27" a="1"/>
  <c r="DA116" i="27" s="1"/>
  <c r="DA120" i="27" a="1"/>
  <c r="DA120" i="27" s="1"/>
  <c r="DA139" i="27" a="1"/>
  <c r="DA139" i="27" s="1"/>
  <c r="DT4" i="27"/>
  <c r="DT135" i="27" s="1"/>
  <c r="DH18" i="27" a="1"/>
  <c r="DH18" i="27" s="1"/>
  <c r="DH19" i="27" a="1"/>
  <c r="DH19" i="27" s="1"/>
  <c r="DH26" i="27" a="1"/>
  <c r="DH26" i="27" s="1"/>
  <c r="DH39" i="27" a="1"/>
  <c r="DH39" i="27" s="1"/>
  <c r="DH40" i="27" a="1"/>
  <c r="DH40" i="27" s="1"/>
  <c r="DH41" i="27" a="1"/>
  <c r="DH41" i="27" s="1"/>
  <c r="DH42" i="27" a="1"/>
  <c r="DH42" i="27" s="1"/>
  <c r="DH14" i="27" a="1"/>
  <c r="DH14" i="27" s="1"/>
  <c r="DH25" i="27" a="1"/>
  <c r="DH25" i="27" s="1"/>
  <c r="DH29" i="27" a="1"/>
  <c r="DH29" i="27" s="1"/>
  <c r="DH38" i="27" a="1"/>
  <c r="DH38" i="27" s="1"/>
  <c r="DH12" i="27" a="1"/>
  <c r="DH12" i="27" s="1"/>
  <c r="DH13" i="27" a="1"/>
  <c r="DH13" i="27" s="1"/>
  <c r="DH17" i="27" a="1"/>
  <c r="DH17" i="27" s="1"/>
  <c r="DH22" i="27" a="1"/>
  <c r="DH22" i="27" s="1"/>
  <c r="DH30" i="27" a="1"/>
  <c r="DH30" i="27" s="1"/>
  <c r="DH33" i="27" a="1"/>
  <c r="DH33" i="27" s="1"/>
  <c r="DH34" i="27" a="1"/>
  <c r="DH34" i="27" s="1"/>
  <c r="DH35" i="27" a="1"/>
  <c r="DH35" i="27" s="1"/>
  <c r="DH37" i="27" a="1"/>
  <c r="DH37" i="27" s="1"/>
  <c r="DH49" i="27" a="1"/>
  <c r="DH49" i="27" s="1"/>
  <c r="DH50" i="27" a="1"/>
  <c r="DH50" i="27" s="1"/>
  <c r="DH11" i="27" a="1"/>
  <c r="DH11" i="27" s="1"/>
  <c r="DH15" i="27" a="1"/>
  <c r="DH15" i="27" s="1"/>
  <c r="DH16" i="27" a="1"/>
  <c r="DH16" i="27" s="1"/>
  <c r="DH32" i="27" a="1"/>
  <c r="DH32" i="27" s="1"/>
  <c r="DH36" i="27" a="1"/>
  <c r="DH36" i="27" s="1"/>
  <c r="DH8" i="27" a="1"/>
  <c r="DH8" i="27" s="1"/>
  <c r="DH9" i="27" a="1"/>
  <c r="DH9" i="27" s="1"/>
  <c r="DH10" i="27" a="1"/>
  <c r="DH10" i="27" s="1"/>
  <c r="DH21" i="27" a="1"/>
  <c r="DH21" i="27" s="1"/>
  <c r="DH24" i="27" a="1"/>
  <c r="DH24" i="27" s="1"/>
  <c r="DH31" i="27" a="1"/>
  <c r="DH31" i="27" s="1"/>
  <c r="DH46" i="27" a="1"/>
  <c r="DH46" i="27" s="1"/>
  <c r="DH28" i="27" a="1"/>
  <c r="DH28" i="27" s="1"/>
  <c r="DH44" i="27" a="1"/>
  <c r="DH44" i="27" s="1"/>
  <c r="DH45" i="27" a="1"/>
  <c r="DH45" i="27" s="1"/>
  <c r="DH6" i="27" a="1"/>
  <c r="DH6" i="27" s="1"/>
  <c r="DH7" i="27" a="1"/>
  <c r="DH7" i="27" s="1"/>
  <c r="DH23" i="27" a="1"/>
  <c r="DH23" i="27" s="1"/>
  <c r="DH27" i="27" a="1"/>
  <c r="DH27" i="27" s="1"/>
  <c r="DH43" i="27" a="1"/>
  <c r="DH43" i="27" s="1"/>
  <c r="DH54" i="27" a="1"/>
  <c r="DH54" i="27" s="1"/>
  <c r="DH62" i="27" a="1"/>
  <c r="DH62" i="27" s="1"/>
  <c r="DH63" i="27" a="1"/>
  <c r="DH63" i="27" s="1"/>
  <c r="DH78" i="27" a="1"/>
  <c r="DH78" i="27" s="1"/>
  <c r="DH53" i="27" a="1"/>
  <c r="DH53" i="27" s="1"/>
  <c r="DH64" i="27" a="1"/>
  <c r="DH64" i="27" s="1"/>
  <c r="DH65" i="27" a="1"/>
  <c r="DH65" i="27" s="1"/>
  <c r="DH67" i="27" a="1"/>
  <c r="DH67" i="27" s="1"/>
  <c r="DH68" i="27" a="1"/>
  <c r="DH68" i="27" s="1"/>
  <c r="DH60" i="27" a="1"/>
  <c r="DH60" i="27" s="1"/>
  <c r="DH61" i="27" a="1"/>
  <c r="DH61" i="27" s="1"/>
  <c r="DH66" i="27" a="1"/>
  <c r="DH66" i="27" s="1"/>
  <c r="DH69" i="27" a="1"/>
  <c r="DH69" i="27" s="1"/>
  <c r="DH70" i="27" a="1"/>
  <c r="DH70" i="27" s="1"/>
  <c r="DH82" i="27" a="1"/>
  <c r="DH82" i="27" s="1"/>
  <c r="DH20" i="27" a="1"/>
  <c r="DH20" i="27" s="1"/>
  <c r="DH48" i="27" a="1"/>
  <c r="DH48" i="27" s="1"/>
  <c r="DH59" i="27" a="1"/>
  <c r="DH59" i="27" s="1"/>
  <c r="DH71" i="27" a="1"/>
  <c r="DH71" i="27" s="1"/>
  <c r="DH72" i="27" a="1"/>
  <c r="DH72" i="27" s="1"/>
  <c r="DH73" i="27" a="1"/>
  <c r="DH73" i="27" s="1"/>
  <c r="DH57" i="27" a="1"/>
  <c r="DH57" i="27" s="1"/>
  <c r="DH84" i="27" a="1"/>
  <c r="DH84" i="27" s="1"/>
  <c r="DH47" i="27" a="1"/>
  <c r="DH47" i="27" s="1"/>
  <c r="DH51" i="27" a="1"/>
  <c r="DH51" i="27" s="1"/>
  <c r="DH52" i="27" a="1"/>
  <c r="DH52" i="27" s="1"/>
  <c r="DH58" i="27" a="1"/>
  <c r="DH58" i="27" s="1"/>
  <c r="DH55" i="27" a="1"/>
  <c r="DH55" i="27" s="1"/>
  <c r="DH56" i="27" a="1"/>
  <c r="DH56" i="27" s="1"/>
  <c r="DH74" i="27" a="1"/>
  <c r="DH74" i="27" s="1"/>
  <c r="DH75" i="27" a="1"/>
  <c r="DH75" i="27" s="1"/>
  <c r="DH76" i="27" a="1"/>
  <c r="DH76" i="27" s="1"/>
  <c r="DH104" i="27" a="1"/>
  <c r="DH104" i="27" s="1"/>
  <c r="DH106" i="27" a="1"/>
  <c r="DH106" i="27" s="1"/>
  <c r="DH113" i="27" a="1"/>
  <c r="DH113" i="27" s="1"/>
  <c r="DH114" i="27" a="1"/>
  <c r="DH114" i="27" s="1"/>
  <c r="DH119" i="27" a="1"/>
  <c r="DH119" i="27" s="1"/>
  <c r="DH138" i="27" a="1"/>
  <c r="DH138" i="27" s="1"/>
  <c r="DH137" i="27" a="1"/>
  <c r="DH137" i="27" s="1"/>
  <c r="DH100" i="27" a="1"/>
  <c r="DH100" i="27" s="1"/>
  <c r="DH108" i="27" a="1"/>
  <c r="DH108" i="27" s="1"/>
  <c r="DH112" i="27" a="1"/>
  <c r="DH112" i="27" s="1"/>
  <c r="DH120" i="27" a="1"/>
  <c r="DH120" i="27" s="1"/>
  <c r="DH83" i="27" a="1"/>
  <c r="DH83" i="27" s="1"/>
  <c r="DH77" i="27" a="1"/>
  <c r="DH77" i="27" s="1"/>
  <c r="DH81" i="27" a="1"/>
  <c r="DH81" i="27" s="1"/>
  <c r="DH93" i="27" a="1"/>
  <c r="DH93" i="27" s="1"/>
  <c r="DH110" i="27" a="1"/>
  <c r="DH110" i="27" s="1"/>
  <c r="DH121" i="27" a="1"/>
  <c r="DH121" i="27" s="1"/>
  <c r="DH128" i="27" a="1"/>
  <c r="DH128" i="27" s="1"/>
  <c r="DH132" i="27" a="1"/>
  <c r="DH132" i="27" s="1"/>
  <c r="DH136" i="27" a="1"/>
  <c r="DH136" i="27" s="1"/>
  <c r="DH80" i="27" a="1"/>
  <c r="DH80" i="27" s="1"/>
  <c r="DH92" i="27" a="1"/>
  <c r="DH92" i="27" s="1"/>
  <c r="DH94" i="27" a="1"/>
  <c r="DH94" i="27" s="1"/>
  <c r="DH95" i="27" a="1"/>
  <c r="DH95" i="27" s="1"/>
  <c r="DH97" i="27" a="1"/>
  <c r="DH97" i="27" s="1"/>
  <c r="DH103" i="27" a="1"/>
  <c r="DH103" i="27" s="1"/>
  <c r="DH111" i="27" a="1"/>
  <c r="DH111" i="27" s="1"/>
  <c r="DH122" i="27" a="1"/>
  <c r="DH122" i="27" s="1"/>
  <c r="DH123" i="27" a="1"/>
  <c r="DH123" i="27" s="1"/>
  <c r="DH87" i="27" a="1"/>
  <c r="DH87" i="27" s="1"/>
  <c r="DH90" i="27" a="1"/>
  <c r="DH90" i="27" s="1"/>
  <c r="DH96" i="27" a="1"/>
  <c r="DH96" i="27" s="1"/>
  <c r="DH99" i="27" a="1"/>
  <c r="DH99" i="27" s="1"/>
  <c r="DH105" i="27" a="1"/>
  <c r="DH105" i="27" s="1"/>
  <c r="DH125" i="27" a="1"/>
  <c r="DH125" i="27" s="1"/>
  <c r="DH129" i="27" a="1"/>
  <c r="DH129" i="27" s="1"/>
  <c r="DH133" i="27" a="1"/>
  <c r="DH133" i="27" s="1"/>
  <c r="DH79" i="27" a="1"/>
  <c r="DH79" i="27" s="1"/>
  <c r="DH85" i="27" a="1"/>
  <c r="DH85" i="27" s="1"/>
  <c r="DH86" i="27" a="1"/>
  <c r="DH86" i="27" s="1"/>
  <c r="DH88" i="27" a="1"/>
  <c r="DH88" i="27" s="1"/>
  <c r="DH89" i="27" a="1"/>
  <c r="DH89" i="27" s="1"/>
  <c r="DH91" i="27" a="1"/>
  <c r="DH91" i="27" s="1"/>
  <c r="DH102" i="27" a="1"/>
  <c r="DH102" i="27" s="1"/>
  <c r="DH107" i="27" a="1"/>
  <c r="DH107" i="27" s="1"/>
  <c r="DH109" i="27" a="1"/>
  <c r="DH109" i="27" s="1"/>
  <c r="DH124" i="27" a="1"/>
  <c r="DH124" i="27" s="1"/>
  <c r="DH126" i="27" a="1"/>
  <c r="DH126" i="27" s="1"/>
  <c r="DH130" i="27" a="1"/>
  <c r="DH130" i="27" s="1"/>
  <c r="DH134" i="27" a="1"/>
  <c r="DH134" i="27" s="1"/>
  <c r="DH101" i="27" a="1"/>
  <c r="DH101" i="27" s="1"/>
  <c r="DH98" i="27" a="1"/>
  <c r="DH98" i="27" s="1"/>
  <c r="DH116" i="27" a="1"/>
  <c r="DH116" i="27" s="1"/>
  <c r="DH127" i="27" a="1"/>
  <c r="DH127" i="27" s="1"/>
  <c r="DH131" i="27" a="1"/>
  <c r="DH131" i="27" s="1"/>
  <c r="DH135" i="27" a="1"/>
  <c r="DH135" i="27" s="1"/>
  <c r="DH115" i="27" a="1"/>
  <c r="DH115" i="27" s="1"/>
  <c r="DH139" i="27" a="1"/>
  <c r="DH139" i="27" s="1"/>
  <c r="DH117" i="27" a="1"/>
  <c r="DH117" i="27" s="1"/>
  <c r="DH140" i="27" a="1"/>
  <c r="DH140" i="27" s="1"/>
  <c r="DH118" i="27" a="1"/>
  <c r="DH118" i="27" s="1"/>
  <c r="DR4" i="27"/>
  <c r="DR135" i="27" s="1"/>
  <c r="DF13" i="27" a="1"/>
  <c r="DF13" i="27" s="1"/>
  <c r="DF15" i="27" a="1"/>
  <c r="DF15" i="27" s="1"/>
  <c r="DF16" i="27" a="1"/>
  <c r="DF16" i="27" s="1"/>
  <c r="DF17" i="27" a="1"/>
  <c r="DF17" i="27" s="1"/>
  <c r="DF22" i="27" a="1"/>
  <c r="DF22" i="27" s="1"/>
  <c r="DF30" i="27" a="1"/>
  <c r="DF30" i="27" s="1"/>
  <c r="DF32" i="27" a="1"/>
  <c r="DF32" i="27" s="1"/>
  <c r="DF34" i="27" a="1"/>
  <c r="DF34" i="27" s="1"/>
  <c r="DF36" i="27" a="1"/>
  <c r="DF36" i="27" s="1"/>
  <c r="DF9" i="27" a="1"/>
  <c r="DF9" i="27" s="1"/>
  <c r="DF10" i="27" a="1"/>
  <c r="DF10" i="27" s="1"/>
  <c r="DF11" i="27" a="1"/>
  <c r="DF11" i="27" s="1"/>
  <c r="DF24" i="27" a="1"/>
  <c r="DF24" i="27" s="1"/>
  <c r="DF31" i="27" a="1"/>
  <c r="DF31" i="27" s="1"/>
  <c r="DF8" i="27" a="1"/>
  <c r="DF8" i="27" s="1"/>
  <c r="DF21" i="27" a="1"/>
  <c r="DF21" i="27" s="1"/>
  <c r="DF45" i="27" a="1"/>
  <c r="DF45" i="27" s="1"/>
  <c r="DF20" i="27" a="1"/>
  <c r="DF20" i="27" s="1"/>
  <c r="DF28" i="27" a="1"/>
  <c r="DF28" i="27" s="1"/>
  <c r="DF27" i="27" a="1"/>
  <c r="DF27" i="27" s="1"/>
  <c r="DF6" i="27" a="1"/>
  <c r="DF6" i="27" s="1"/>
  <c r="DF7" i="27" a="1"/>
  <c r="DF7" i="27" s="1"/>
  <c r="DF19" i="27" a="1"/>
  <c r="DF19" i="27" s="1"/>
  <c r="DF23" i="27" a="1"/>
  <c r="DF23" i="27" s="1"/>
  <c r="DF39" i="27" a="1"/>
  <c r="DF39" i="27" s="1"/>
  <c r="DF40" i="27" a="1"/>
  <c r="DF40" i="27" s="1"/>
  <c r="DF41" i="27" a="1"/>
  <c r="DF41" i="27" s="1"/>
  <c r="DF42" i="27" a="1"/>
  <c r="DF42" i="27" s="1"/>
  <c r="DF43" i="27" a="1"/>
  <c r="DF43" i="27" s="1"/>
  <c r="DF12" i="27" a="1"/>
  <c r="DF12" i="27" s="1"/>
  <c r="DF25" i="27" a="1"/>
  <c r="DF25" i="27" s="1"/>
  <c r="DF29" i="27" a="1"/>
  <c r="DF29" i="27" s="1"/>
  <c r="DF33" i="27" a="1"/>
  <c r="DF33" i="27" s="1"/>
  <c r="DF35" i="27" a="1"/>
  <c r="DF35" i="27" s="1"/>
  <c r="DF37" i="27" a="1"/>
  <c r="DF37" i="27" s="1"/>
  <c r="DF49" i="27" a="1"/>
  <c r="DF49" i="27" s="1"/>
  <c r="DF50" i="27" a="1"/>
  <c r="DF50" i="27" s="1"/>
  <c r="DF61" i="27" a="1"/>
  <c r="DF61" i="27" s="1"/>
  <c r="DF73" i="27" a="1"/>
  <c r="DF73" i="27" s="1"/>
  <c r="DF81" i="27" a="1"/>
  <c r="DF81" i="27" s="1"/>
  <c r="DF82" i="27" a="1"/>
  <c r="DF82" i="27" s="1"/>
  <c r="DF59" i="27" a="1"/>
  <c r="DF59" i="27" s="1"/>
  <c r="DF72" i="27" a="1"/>
  <c r="DF72" i="27" s="1"/>
  <c r="DF48" i="27" a="1"/>
  <c r="DF48" i="27" s="1"/>
  <c r="DF57" i="27" a="1"/>
  <c r="DF57" i="27" s="1"/>
  <c r="DF58" i="27" a="1"/>
  <c r="DF58" i="27" s="1"/>
  <c r="DF74" i="27" a="1"/>
  <c r="DF74" i="27" s="1"/>
  <c r="DF44" i="27" a="1"/>
  <c r="DF44" i="27" s="1"/>
  <c r="DF52" i="27" a="1"/>
  <c r="DF52" i="27" s="1"/>
  <c r="DF38" i="27" a="1"/>
  <c r="DF38" i="27" s="1"/>
  <c r="DF47" i="27" a="1"/>
  <c r="DF47" i="27" s="1"/>
  <c r="DF51" i="27" a="1"/>
  <c r="DF51" i="27" s="1"/>
  <c r="DF55" i="27" a="1"/>
  <c r="DF55" i="27" s="1"/>
  <c r="DF56" i="27" a="1"/>
  <c r="DF56" i="27" s="1"/>
  <c r="DF63" i="27" a="1"/>
  <c r="DF63" i="27" s="1"/>
  <c r="DF75" i="27" a="1"/>
  <c r="DF75" i="27" s="1"/>
  <c r="DF76" i="27" a="1"/>
  <c r="DF76" i="27" s="1"/>
  <c r="DF77" i="27" a="1"/>
  <c r="DF77" i="27" s="1"/>
  <c r="DF26" i="27" a="1"/>
  <c r="DF26" i="27" s="1"/>
  <c r="DF78" i="27" a="1"/>
  <c r="DF78" i="27" s="1"/>
  <c r="DF46" i="27" a="1"/>
  <c r="DF46" i="27" s="1"/>
  <c r="DF53" i="27" a="1"/>
  <c r="DF53" i="27" s="1"/>
  <c r="DF54" i="27" a="1"/>
  <c r="DF54" i="27" s="1"/>
  <c r="DF62" i="27" a="1"/>
  <c r="DF62" i="27" s="1"/>
  <c r="DF66" i="27" a="1"/>
  <c r="DF66" i="27" s="1"/>
  <c r="DF67" i="27" a="1"/>
  <c r="DF67" i="27" s="1"/>
  <c r="DF68" i="27" a="1"/>
  <c r="DF68" i="27" s="1"/>
  <c r="DF79" i="27" a="1"/>
  <c r="DF79" i="27" s="1"/>
  <c r="DF80" i="27" a="1"/>
  <c r="DF80" i="27" s="1"/>
  <c r="DF87" i="27" a="1"/>
  <c r="DF87" i="27" s="1"/>
  <c r="DF94" i="27" a="1"/>
  <c r="DF94" i="27" s="1"/>
  <c r="DF95" i="27" a="1"/>
  <c r="DF95" i="27" s="1"/>
  <c r="DF96" i="27" a="1"/>
  <c r="DF96" i="27" s="1"/>
  <c r="DF103" i="27" a="1"/>
  <c r="DF103" i="27" s="1"/>
  <c r="DF110" i="27" a="1"/>
  <c r="DF110" i="27" s="1"/>
  <c r="DF111" i="27" a="1"/>
  <c r="DF111" i="27" s="1"/>
  <c r="DF123" i="27" a="1"/>
  <c r="DF123" i="27" s="1"/>
  <c r="DF129" i="27" a="1"/>
  <c r="DF129" i="27" s="1"/>
  <c r="DF133" i="27" a="1"/>
  <c r="DF133" i="27" s="1"/>
  <c r="DF106" i="27" a="1"/>
  <c r="DF106" i="27" s="1"/>
  <c r="DF65" i="27" a="1"/>
  <c r="DF65" i="27" s="1"/>
  <c r="DF69" i="27" a="1"/>
  <c r="DF69" i="27" s="1"/>
  <c r="DF86" i="27" a="1"/>
  <c r="DF86" i="27" s="1"/>
  <c r="DF88" i="27" a="1"/>
  <c r="DF88" i="27" s="1"/>
  <c r="DF91" i="27" a="1"/>
  <c r="DF91" i="27" s="1"/>
  <c r="DF92" i="27" a="1"/>
  <c r="DF92" i="27" s="1"/>
  <c r="DF97" i="27" a="1"/>
  <c r="DF97" i="27" s="1"/>
  <c r="DF99" i="27" a="1"/>
  <c r="DF99" i="27" s="1"/>
  <c r="DF122" i="27" a="1"/>
  <c r="DF122" i="27" s="1"/>
  <c r="DF14" i="27" a="1"/>
  <c r="DF14" i="27" s="1"/>
  <c r="DF90" i="27" a="1"/>
  <c r="DF90" i="27" s="1"/>
  <c r="DF105" i="27" a="1"/>
  <c r="DF105" i="27" s="1"/>
  <c r="DF107" i="27" a="1"/>
  <c r="DF107" i="27" s="1"/>
  <c r="DF124" i="27" a="1"/>
  <c r="DF124" i="27" s="1"/>
  <c r="DF125" i="27" a="1"/>
  <c r="DF125" i="27" s="1"/>
  <c r="DF126" i="27" a="1"/>
  <c r="DF126" i="27" s="1"/>
  <c r="DF130" i="27" a="1"/>
  <c r="DF130" i="27" s="1"/>
  <c r="DF134" i="27" a="1"/>
  <c r="DF134" i="27" s="1"/>
  <c r="DF18" i="27" a="1"/>
  <c r="DF18" i="27" s="1"/>
  <c r="DF70" i="27" a="1"/>
  <c r="DF70" i="27" s="1"/>
  <c r="DF85" i="27" a="1"/>
  <c r="DF85" i="27" s="1"/>
  <c r="DF89" i="27" a="1"/>
  <c r="DF89" i="27" s="1"/>
  <c r="DF102" i="27" a="1"/>
  <c r="DF102" i="27" s="1"/>
  <c r="DF109" i="27" a="1"/>
  <c r="DF109" i="27" s="1"/>
  <c r="DF117" i="27" a="1"/>
  <c r="DF117" i="27" s="1"/>
  <c r="DF118" i="27" a="1"/>
  <c r="DF118" i="27" s="1"/>
  <c r="DF83" i="27" a="1"/>
  <c r="DF83" i="27" s="1"/>
  <c r="DF84" i="27" a="1"/>
  <c r="DF84" i="27" s="1"/>
  <c r="DF101" i="27" a="1"/>
  <c r="DF101" i="27" s="1"/>
  <c r="DF115" i="27" a="1"/>
  <c r="DF115" i="27" s="1"/>
  <c r="DF116" i="27" a="1"/>
  <c r="DF116" i="27" s="1"/>
  <c r="DF139" i="27" a="1"/>
  <c r="DF139" i="27" s="1"/>
  <c r="DF140" i="27" a="1"/>
  <c r="DF140" i="27" s="1"/>
  <c r="DF71" i="27" a="1"/>
  <c r="DF71" i="27" s="1"/>
  <c r="DF98" i="27" a="1"/>
  <c r="DF98" i="27" s="1"/>
  <c r="DF113" i="27" a="1"/>
  <c r="DF113" i="27" s="1"/>
  <c r="DF119" i="27" a="1"/>
  <c r="DF119" i="27" s="1"/>
  <c r="DF127" i="27" a="1"/>
  <c r="DF127" i="27" s="1"/>
  <c r="DF131" i="27" a="1"/>
  <c r="DF131" i="27" s="1"/>
  <c r="DF135" i="27" a="1"/>
  <c r="DF135" i="27" s="1"/>
  <c r="DF138" i="27" a="1"/>
  <c r="DF138" i="27" s="1"/>
  <c r="DF60" i="27" a="1"/>
  <c r="DF60" i="27" s="1"/>
  <c r="DF64" i="27" a="1"/>
  <c r="DF64" i="27" s="1"/>
  <c r="DF93" i="27" a="1"/>
  <c r="DF93" i="27" s="1"/>
  <c r="DF100" i="27" a="1"/>
  <c r="DF100" i="27" s="1"/>
  <c r="DF108" i="27" a="1"/>
  <c r="DF108" i="27" s="1"/>
  <c r="DF112" i="27" a="1"/>
  <c r="DF112" i="27" s="1"/>
  <c r="DF121" i="27" a="1"/>
  <c r="DF121" i="27" s="1"/>
  <c r="DF128" i="27" a="1"/>
  <c r="DF128" i="27" s="1"/>
  <c r="DF132" i="27" a="1"/>
  <c r="DF132" i="27" s="1"/>
  <c r="DF136" i="27" a="1"/>
  <c r="DF136" i="27" s="1"/>
  <c r="DF104" i="27" a="1"/>
  <c r="DF104" i="27" s="1"/>
  <c r="DF137" i="27" a="1"/>
  <c r="DF137" i="27" s="1"/>
  <c r="DF120" i="27" a="1"/>
  <c r="DF120" i="27" s="1"/>
  <c r="DF114" i="27" a="1"/>
  <c r="DF114" i="27" s="1"/>
  <c r="DL4" i="27"/>
  <c r="DL135" i="27" s="1"/>
  <c r="CZ12" i="27" a="1"/>
  <c r="CZ12" i="27" s="1"/>
  <c r="CZ13" i="27" a="1"/>
  <c r="CZ13" i="27" s="1"/>
  <c r="CZ15" i="27" a="1"/>
  <c r="CZ15" i="27" s="1"/>
  <c r="CZ16" i="27" a="1"/>
  <c r="CZ16" i="27" s="1"/>
  <c r="CZ17" i="27" a="1"/>
  <c r="CZ17" i="27" s="1"/>
  <c r="CZ25" i="27" a="1"/>
  <c r="CZ25" i="27" s="1"/>
  <c r="CZ35" i="27" a="1"/>
  <c r="CZ35" i="27" s="1"/>
  <c r="CZ36" i="27" a="1"/>
  <c r="CZ36" i="27" s="1"/>
  <c r="CZ49" i="27" a="1"/>
  <c r="CZ49" i="27" s="1"/>
  <c r="CZ10" i="27" a="1"/>
  <c r="CZ10" i="27" s="1"/>
  <c r="CZ11" i="27" a="1"/>
  <c r="CZ11" i="27" s="1"/>
  <c r="CZ22" i="27" a="1"/>
  <c r="CZ22" i="27" s="1"/>
  <c r="CZ29" i="27" a="1"/>
  <c r="CZ29" i="27" s="1"/>
  <c r="CZ31" i="27" a="1"/>
  <c r="CZ31" i="27" s="1"/>
  <c r="CZ32" i="27" a="1"/>
  <c r="CZ32" i="27" s="1"/>
  <c r="CZ9" i="27" a="1"/>
  <c r="CZ9" i="27" s="1"/>
  <c r="CZ53" i="27" a="1"/>
  <c r="CZ53" i="27" s="1"/>
  <c r="CZ8" i="27" a="1"/>
  <c r="CZ8" i="27" s="1"/>
  <c r="CZ21" i="27" a="1"/>
  <c r="CZ21" i="27" s="1"/>
  <c r="CZ24" i="27" a="1"/>
  <c r="CZ24" i="27" s="1"/>
  <c r="CZ20" i="27" a="1"/>
  <c r="CZ20" i="27" s="1"/>
  <c r="CZ28" i="27" a="1"/>
  <c r="CZ28" i="27" s="1"/>
  <c r="CZ44" i="27" a="1"/>
  <c r="CZ44" i="27" s="1"/>
  <c r="CZ6" i="27" a="1"/>
  <c r="CZ6" i="27" s="1"/>
  <c r="CZ27" i="27" a="1"/>
  <c r="CZ27" i="27" s="1"/>
  <c r="CZ39" i="27" a="1"/>
  <c r="CZ39" i="27" s="1"/>
  <c r="CZ40" i="27" a="1"/>
  <c r="CZ40" i="27" s="1"/>
  <c r="CZ41" i="27" a="1"/>
  <c r="CZ41" i="27" s="1"/>
  <c r="CZ42" i="27" a="1"/>
  <c r="CZ42" i="27" s="1"/>
  <c r="CZ43" i="27" a="1"/>
  <c r="CZ43" i="27" s="1"/>
  <c r="CZ18" i="27" a="1"/>
  <c r="CZ18" i="27" s="1"/>
  <c r="CZ23" i="27" a="1"/>
  <c r="CZ23" i="27" s="1"/>
  <c r="CZ30" i="27" a="1"/>
  <c r="CZ30" i="27" s="1"/>
  <c r="CZ33" i="27" a="1"/>
  <c r="CZ33" i="27" s="1"/>
  <c r="CZ34" i="27" a="1"/>
  <c r="CZ34" i="27" s="1"/>
  <c r="CZ37" i="27" a="1"/>
  <c r="CZ37" i="27" s="1"/>
  <c r="CZ38" i="27" a="1"/>
  <c r="CZ38" i="27" s="1"/>
  <c r="CZ50" i="27" a="1"/>
  <c r="CZ50" i="27" s="1"/>
  <c r="CZ51" i="27" a="1"/>
  <c r="CZ51" i="27" s="1"/>
  <c r="CZ19" i="27" a="1"/>
  <c r="CZ19" i="27" s="1"/>
  <c r="CZ60" i="27" a="1"/>
  <c r="CZ60" i="27" s="1"/>
  <c r="CZ61" i="27" a="1"/>
  <c r="CZ61" i="27" s="1"/>
  <c r="CZ66" i="27" a="1"/>
  <c r="CZ66" i="27" s="1"/>
  <c r="CZ72" i="27" a="1"/>
  <c r="CZ72" i="27" s="1"/>
  <c r="CZ73" i="27" a="1"/>
  <c r="CZ73" i="27" s="1"/>
  <c r="CZ81" i="27" a="1"/>
  <c r="CZ81" i="27" s="1"/>
  <c r="CZ83" i="27" a="1"/>
  <c r="CZ83" i="27" s="1"/>
  <c r="CZ85" i="27" a="1"/>
  <c r="CZ85" i="27" s="1"/>
  <c r="CZ7" i="27" a="1"/>
  <c r="CZ7" i="27" s="1"/>
  <c r="CZ47" i="27" a="1"/>
  <c r="CZ47" i="27" s="1"/>
  <c r="CZ59" i="27" a="1"/>
  <c r="CZ59" i="27" s="1"/>
  <c r="CZ57" i="27" a="1"/>
  <c r="CZ57" i="27" s="1"/>
  <c r="CZ74" i="27" a="1"/>
  <c r="CZ74" i="27" s="1"/>
  <c r="CZ75" i="27" a="1"/>
  <c r="CZ75" i="27" s="1"/>
  <c r="CZ46" i="27" a="1"/>
  <c r="CZ46" i="27" s="1"/>
  <c r="CZ58" i="27" a="1"/>
  <c r="CZ58" i="27" s="1"/>
  <c r="CZ26" i="27" a="1"/>
  <c r="CZ26" i="27" s="1"/>
  <c r="CZ56" i="27" a="1"/>
  <c r="CZ56" i="27" s="1"/>
  <c r="CZ76" i="27" a="1"/>
  <c r="CZ76" i="27" s="1"/>
  <c r="CZ78" i="27" a="1"/>
  <c r="CZ78" i="27" s="1"/>
  <c r="CZ54" i="27" a="1"/>
  <c r="CZ54" i="27" s="1"/>
  <c r="CZ55" i="27" a="1"/>
  <c r="CZ55" i="27" s="1"/>
  <c r="CZ64" i="27" a="1"/>
  <c r="CZ64" i="27" s="1"/>
  <c r="CZ68" i="27" a="1"/>
  <c r="CZ68" i="27" s="1"/>
  <c r="CZ77" i="27" a="1"/>
  <c r="CZ77" i="27" s="1"/>
  <c r="CZ79" i="27" a="1"/>
  <c r="CZ79" i="27" s="1"/>
  <c r="CZ14" i="27" a="1"/>
  <c r="CZ14" i="27" s="1"/>
  <c r="CZ45" i="27" a="1"/>
  <c r="CZ45" i="27" s="1"/>
  <c r="CZ62" i="27" a="1"/>
  <c r="CZ62" i="27" s="1"/>
  <c r="CZ63" i="27" a="1"/>
  <c r="CZ63" i="27" s="1"/>
  <c r="CZ65" i="27" a="1"/>
  <c r="CZ65" i="27" s="1"/>
  <c r="CZ67" i="27" a="1"/>
  <c r="CZ67" i="27" s="1"/>
  <c r="CZ80" i="27" a="1"/>
  <c r="CZ80" i="27" s="1"/>
  <c r="CZ52" i="27" a="1"/>
  <c r="CZ52" i="27" s="1"/>
  <c r="CZ69" i="27" a="1"/>
  <c r="CZ69" i="27" s="1"/>
  <c r="CZ84" i="27" a="1"/>
  <c r="CZ84" i="27" s="1"/>
  <c r="CZ94" i="27" a="1"/>
  <c r="CZ94" i="27" s="1"/>
  <c r="CZ95" i="27" a="1"/>
  <c r="CZ95" i="27" s="1"/>
  <c r="CZ96" i="27" a="1"/>
  <c r="CZ96" i="27" s="1"/>
  <c r="CZ97" i="27" a="1"/>
  <c r="CZ97" i="27" s="1"/>
  <c r="CZ100" i="27" a="1"/>
  <c r="CZ100" i="27" s="1"/>
  <c r="CZ104" i="27" a="1"/>
  <c r="CZ104" i="27" s="1"/>
  <c r="CZ106" i="27" a="1"/>
  <c r="CZ106" i="27" s="1"/>
  <c r="CZ122" i="27" a="1"/>
  <c r="CZ122" i="27" s="1"/>
  <c r="CZ123" i="27" a="1"/>
  <c r="CZ123" i="27" s="1"/>
  <c r="CZ129" i="27" a="1"/>
  <c r="CZ129" i="27" s="1"/>
  <c r="CZ133" i="27" a="1"/>
  <c r="CZ133" i="27" s="1"/>
  <c r="CZ90" i="27" a="1"/>
  <c r="CZ90" i="27" s="1"/>
  <c r="CZ92" i="27" a="1"/>
  <c r="CZ92" i="27" s="1"/>
  <c r="CZ103" i="27" a="1"/>
  <c r="CZ103" i="27" s="1"/>
  <c r="CZ108" i="27" a="1"/>
  <c r="CZ108" i="27" s="1"/>
  <c r="CZ111" i="27" a="1"/>
  <c r="CZ111" i="27" s="1"/>
  <c r="CZ125" i="27" a="1"/>
  <c r="CZ125" i="27" s="1"/>
  <c r="CZ126" i="27" a="1"/>
  <c r="CZ126" i="27" s="1"/>
  <c r="CZ130" i="27" a="1"/>
  <c r="CZ130" i="27" s="1"/>
  <c r="CZ134" i="27" a="1"/>
  <c r="CZ134" i="27" s="1"/>
  <c r="CZ70" i="27" a="1"/>
  <c r="CZ70" i="27" s="1"/>
  <c r="CZ89" i="27" a="1"/>
  <c r="CZ89" i="27" s="1"/>
  <c r="CZ110" i="27" a="1"/>
  <c r="CZ110" i="27" s="1"/>
  <c r="CZ124" i="27" a="1"/>
  <c r="CZ124" i="27" s="1"/>
  <c r="CZ135" i="27" a="1"/>
  <c r="CZ135" i="27" s="1"/>
  <c r="CZ82" i="27" a="1"/>
  <c r="CZ82" i="27" s="1"/>
  <c r="CZ86" i="27" a="1"/>
  <c r="CZ86" i="27" s="1"/>
  <c r="CZ88" i="27" a="1"/>
  <c r="CZ88" i="27" s="1"/>
  <c r="CZ91" i="27" a="1"/>
  <c r="CZ91" i="27" s="1"/>
  <c r="CZ99" i="27" a="1"/>
  <c r="CZ99" i="27" s="1"/>
  <c r="CZ117" i="27" a="1"/>
  <c r="CZ117" i="27" s="1"/>
  <c r="CZ118" i="27" a="1"/>
  <c r="CZ118" i="27" s="1"/>
  <c r="CZ127" i="27" a="1"/>
  <c r="CZ127" i="27" s="1"/>
  <c r="CZ131" i="27" a="1"/>
  <c r="CZ131" i="27" s="1"/>
  <c r="CZ71" i="27" a="1"/>
  <c r="CZ71" i="27" s="1"/>
  <c r="CZ87" i="27" a="1"/>
  <c r="CZ87" i="27" s="1"/>
  <c r="CZ102" i="27" a="1"/>
  <c r="CZ102" i="27" s="1"/>
  <c r="CZ105" i="27" a="1"/>
  <c r="CZ105" i="27" s="1"/>
  <c r="CZ107" i="27" a="1"/>
  <c r="CZ107" i="27" s="1"/>
  <c r="CZ115" i="27" a="1"/>
  <c r="CZ115" i="27" s="1"/>
  <c r="CZ119" i="27" a="1"/>
  <c r="CZ119" i="27" s="1"/>
  <c r="CZ139" i="27" a="1"/>
  <c r="CZ139" i="27" s="1"/>
  <c r="CZ140" i="27" a="1"/>
  <c r="CZ140" i="27" s="1"/>
  <c r="CZ48" i="27" a="1"/>
  <c r="CZ48" i="27" s="1"/>
  <c r="CZ101" i="27" a="1"/>
  <c r="CZ101" i="27" s="1"/>
  <c r="CZ109" i="27" a="1"/>
  <c r="CZ109" i="27" s="1"/>
  <c r="CZ116" i="27" a="1"/>
  <c r="CZ116" i="27" s="1"/>
  <c r="CZ120" i="27" a="1"/>
  <c r="CZ120" i="27" s="1"/>
  <c r="CZ93" i="27" a="1"/>
  <c r="CZ93" i="27" s="1"/>
  <c r="CZ98" i="27" a="1"/>
  <c r="CZ98" i="27" s="1"/>
  <c r="CZ112" i="27" a="1"/>
  <c r="CZ112" i="27" s="1"/>
  <c r="CZ121" i="27" a="1"/>
  <c r="CZ121" i="27" s="1"/>
  <c r="CZ137" i="27" a="1"/>
  <c r="CZ137" i="27" s="1"/>
  <c r="CZ113" i="27" a="1"/>
  <c r="CZ113" i="27" s="1"/>
  <c r="CZ138" i="27" a="1"/>
  <c r="CZ138" i="27" s="1"/>
  <c r="CZ128" i="27" a="1"/>
  <c r="CZ128" i="27" s="1"/>
  <c r="CZ132" i="27" a="1"/>
  <c r="CZ132" i="27" s="1"/>
  <c r="CZ136" i="27" a="1"/>
  <c r="CZ136" i="27" s="1"/>
  <c r="CZ114" i="27" a="1"/>
  <c r="CZ114" i="27" s="1"/>
  <c r="DS4" i="27"/>
  <c r="DS135" i="27" s="1"/>
  <c r="DG14" i="27" a="1"/>
  <c r="DG14" i="27" s="1"/>
  <c r="DG25" i="27" a="1"/>
  <c r="DG25" i="27" s="1"/>
  <c r="DG29" i="27" a="1"/>
  <c r="DG29" i="27" s="1"/>
  <c r="DG12" i="27" a="1"/>
  <c r="DG12" i="27" s="1"/>
  <c r="DG13" i="27" a="1"/>
  <c r="DG13" i="27" s="1"/>
  <c r="DG15" i="27" a="1"/>
  <c r="DG15" i="27" s="1"/>
  <c r="DG16" i="27" a="1"/>
  <c r="DG16" i="27" s="1"/>
  <c r="DG17" i="27" a="1"/>
  <c r="DG17" i="27" s="1"/>
  <c r="DG22" i="27" a="1"/>
  <c r="DG22" i="27" s="1"/>
  <c r="DG30" i="27" a="1"/>
  <c r="DG30" i="27" s="1"/>
  <c r="DG33" i="27" a="1"/>
  <c r="DG33" i="27" s="1"/>
  <c r="DG34" i="27" a="1"/>
  <c r="DG34" i="27" s="1"/>
  <c r="DG35" i="27" a="1"/>
  <c r="DG35" i="27" s="1"/>
  <c r="DG37" i="27" a="1"/>
  <c r="DG37" i="27" s="1"/>
  <c r="DG9" i="27" a="1"/>
  <c r="DG9" i="27" s="1"/>
  <c r="DG11" i="27" a="1"/>
  <c r="DG11" i="27" s="1"/>
  <c r="DG24" i="27" a="1"/>
  <c r="DG24" i="27" s="1"/>
  <c r="DG32" i="27" a="1"/>
  <c r="DG32" i="27" s="1"/>
  <c r="DG36" i="27" a="1"/>
  <c r="DG36" i="27" s="1"/>
  <c r="DG47" i="27" a="1"/>
  <c r="DG47" i="27" s="1"/>
  <c r="DG48" i="27" a="1"/>
  <c r="DG48" i="27" s="1"/>
  <c r="DG51" i="27" a="1"/>
  <c r="DG51" i="27" s="1"/>
  <c r="DG8" i="27" a="1"/>
  <c r="DG8" i="27" s="1"/>
  <c r="DG10" i="27" a="1"/>
  <c r="DG10" i="27" s="1"/>
  <c r="DG21" i="27" a="1"/>
  <c r="DG21" i="27" s="1"/>
  <c r="DG31" i="27" a="1"/>
  <c r="DG31" i="27" s="1"/>
  <c r="DG28" i="27" a="1"/>
  <c r="DG28" i="27" s="1"/>
  <c r="DG44" i="27" a="1"/>
  <c r="DG44" i="27" s="1"/>
  <c r="DG20" i="27" a="1"/>
  <c r="DG20" i="27" s="1"/>
  <c r="DG18" i="27" a="1"/>
  <c r="DG18" i="27" s="1"/>
  <c r="DG26" i="27" a="1"/>
  <c r="DG26" i="27" s="1"/>
  <c r="DG38" i="27" a="1"/>
  <c r="DG38" i="27" s="1"/>
  <c r="DG40" i="27" a="1"/>
  <c r="DG40" i="27" s="1"/>
  <c r="DG6" i="27" a="1"/>
  <c r="DG6" i="27" s="1"/>
  <c r="DG23" i="27" a="1"/>
  <c r="DG23" i="27" s="1"/>
  <c r="DG42" i="27" a="1"/>
  <c r="DG42" i="27" s="1"/>
  <c r="DG49" i="27" a="1"/>
  <c r="DG49" i="27" s="1"/>
  <c r="DG53" i="27" a="1"/>
  <c r="DG53" i="27" s="1"/>
  <c r="DG60" i="27" a="1"/>
  <c r="DG60" i="27" s="1"/>
  <c r="DG64" i="27" a="1"/>
  <c r="DG64" i="27" s="1"/>
  <c r="DG65" i="27" a="1"/>
  <c r="DG65" i="27" s="1"/>
  <c r="DG66" i="27" a="1"/>
  <c r="DG66" i="27" s="1"/>
  <c r="DG67" i="27" a="1"/>
  <c r="DG67" i="27" s="1"/>
  <c r="DG19" i="27" a="1"/>
  <c r="DG19" i="27" s="1"/>
  <c r="DG45" i="27" a="1"/>
  <c r="DG45" i="27" s="1"/>
  <c r="DG61" i="27" a="1"/>
  <c r="DG61" i="27" s="1"/>
  <c r="DG69" i="27" a="1"/>
  <c r="DG69" i="27" s="1"/>
  <c r="DG70" i="27" a="1"/>
  <c r="DG70" i="27" s="1"/>
  <c r="DG71" i="27" a="1"/>
  <c r="DG71" i="27" s="1"/>
  <c r="DG7" i="27" a="1"/>
  <c r="DG7" i="27" s="1"/>
  <c r="DG59" i="27" a="1"/>
  <c r="DG59" i="27" s="1"/>
  <c r="DG72" i="27" a="1"/>
  <c r="DG72" i="27" s="1"/>
  <c r="DG73" i="27" a="1"/>
  <c r="DG73" i="27" s="1"/>
  <c r="DG81" i="27" a="1"/>
  <c r="DG81" i="27" s="1"/>
  <c r="DG41" i="27" a="1"/>
  <c r="DG41" i="27" s="1"/>
  <c r="DG57" i="27" a="1"/>
  <c r="DG57" i="27" s="1"/>
  <c r="DG58" i="27" a="1"/>
  <c r="DG58" i="27" s="1"/>
  <c r="DG52" i="27" a="1"/>
  <c r="DG52" i="27" s="1"/>
  <c r="DG74" i="27" a="1"/>
  <c r="DG74" i="27" s="1"/>
  <c r="DG55" i="27" a="1"/>
  <c r="DG55" i="27" s="1"/>
  <c r="DG56" i="27" a="1"/>
  <c r="DG56" i="27" s="1"/>
  <c r="DG75" i="27" a="1"/>
  <c r="DG75" i="27" s="1"/>
  <c r="DG76" i="27" a="1"/>
  <c r="DG76" i="27" s="1"/>
  <c r="DG39" i="27" a="1"/>
  <c r="DG39" i="27" s="1"/>
  <c r="DG43" i="27" a="1"/>
  <c r="DG43" i="27" s="1"/>
  <c r="DG50" i="27" a="1"/>
  <c r="DG50" i="27" s="1"/>
  <c r="DG63" i="27" a="1"/>
  <c r="DG63" i="27" s="1"/>
  <c r="DG77" i="27" a="1"/>
  <c r="DG77" i="27" s="1"/>
  <c r="DG78" i="27" a="1"/>
  <c r="DG78" i="27" s="1"/>
  <c r="DG93" i="27" a="1"/>
  <c r="DG93" i="27" s="1"/>
  <c r="DG100" i="27" a="1"/>
  <c r="DG100" i="27" s="1"/>
  <c r="DG108" i="27" a="1"/>
  <c r="DG108" i="27" s="1"/>
  <c r="DG112" i="27" a="1"/>
  <c r="DG112" i="27" s="1"/>
  <c r="DG120" i="27" a="1"/>
  <c r="DG120" i="27" s="1"/>
  <c r="DG121" i="27" a="1"/>
  <c r="DG121" i="27" s="1"/>
  <c r="DG137" i="27" a="1"/>
  <c r="DG137" i="27" s="1"/>
  <c r="DG136" i="27" a="1"/>
  <c r="DG136" i="27" s="1"/>
  <c r="DG95" i="27" a="1"/>
  <c r="DG95" i="27" s="1"/>
  <c r="DG110" i="27" a="1"/>
  <c r="DG110" i="27" s="1"/>
  <c r="DG128" i="27" a="1"/>
  <c r="DG128" i="27" s="1"/>
  <c r="DG132" i="27" a="1"/>
  <c r="DG132" i="27" s="1"/>
  <c r="DG80" i="27" a="1"/>
  <c r="DG80" i="27" s="1"/>
  <c r="DG87" i="27" a="1"/>
  <c r="DG87" i="27" s="1"/>
  <c r="DG92" i="27" a="1"/>
  <c r="DG92" i="27" s="1"/>
  <c r="DG94" i="27" a="1"/>
  <c r="DG94" i="27" s="1"/>
  <c r="DG96" i="27" a="1"/>
  <c r="DG96" i="27" s="1"/>
  <c r="DG97" i="27" a="1"/>
  <c r="DG97" i="27" s="1"/>
  <c r="DG103" i="27" a="1"/>
  <c r="DG103" i="27" s="1"/>
  <c r="DG111" i="27" a="1"/>
  <c r="DG111" i="27" s="1"/>
  <c r="DG122" i="27" a="1"/>
  <c r="DG122" i="27" s="1"/>
  <c r="DG123" i="27" a="1"/>
  <c r="DG123" i="27" s="1"/>
  <c r="DG129" i="27" a="1"/>
  <c r="DG129" i="27" s="1"/>
  <c r="DG133" i="27" a="1"/>
  <c r="DG133" i="27" s="1"/>
  <c r="DG98" i="27" a="1"/>
  <c r="DG98" i="27" s="1"/>
  <c r="DG62" i="27" a="1"/>
  <c r="DG62" i="27" s="1"/>
  <c r="DG86" i="27" a="1"/>
  <c r="DG86" i="27" s="1"/>
  <c r="DG88" i="27" a="1"/>
  <c r="DG88" i="27" s="1"/>
  <c r="DG90" i="27" a="1"/>
  <c r="DG90" i="27" s="1"/>
  <c r="DG91" i="27" a="1"/>
  <c r="DG91" i="27" s="1"/>
  <c r="DG99" i="27" a="1"/>
  <c r="DG99" i="27" s="1"/>
  <c r="DG105" i="27" a="1"/>
  <c r="DG105" i="27" s="1"/>
  <c r="DG124" i="27" a="1"/>
  <c r="DG124" i="27" s="1"/>
  <c r="DG125" i="27" a="1"/>
  <c r="DG125" i="27" s="1"/>
  <c r="DG126" i="27" a="1"/>
  <c r="DG126" i="27" s="1"/>
  <c r="DG130" i="27" a="1"/>
  <c r="DG130" i="27" s="1"/>
  <c r="DG134" i="27" a="1"/>
  <c r="DG134" i="27" s="1"/>
  <c r="DG46" i="27" a="1"/>
  <c r="DG46" i="27" s="1"/>
  <c r="DG54" i="27" a="1"/>
  <c r="DG54" i="27" s="1"/>
  <c r="DG79" i="27" a="1"/>
  <c r="DG79" i="27" s="1"/>
  <c r="DG85" i="27" a="1"/>
  <c r="DG85" i="27" s="1"/>
  <c r="DG89" i="27" a="1"/>
  <c r="DG89" i="27" s="1"/>
  <c r="DG102" i="27" a="1"/>
  <c r="DG102" i="27" s="1"/>
  <c r="DG107" i="27" a="1"/>
  <c r="DG107" i="27" s="1"/>
  <c r="DG109" i="27" a="1"/>
  <c r="DG109" i="27" s="1"/>
  <c r="DG118" i="27" a="1"/>
  <c r="DG118" i="27" s="1"/>
  <c r="DG27" i="27" a="1"/>
  <c r="DG27" i="27" s="1"/>
  <c r="DG83" i="27" a="1"/>
  <c r="DG83" i="27" s="1"/>
  <c r="DG84" i="27" a="1"/>
  <c r="DG84" i="27" s="1"/>
  <c r="DG101" i="27" a="1"/>
  <c r="DG101" i="27" s="1"/>
  <c r="DG115" i="27" a="1"/>
  <c r="DG115" i="27" s="1"/>
  <c r="DG117" i="27" a="1"/>
  <c r="DG117" i="27" s="1"/>
  <c r="DG139" i="27" a="1"/>
  <c r="DG139" i="27" s="1"/>
  <c r="DG140" i="27" a="1"/>
  <c r="DG140" i="27" s="1"/>
  <c r="DG68" i="27" a="1"/>
  <c r="DG68" i="27" s="1"/>
  <c r="DG82" i="27" a="1"/>
  <c r="DG82" i="27" s="1"/>
  <c r="DG104" i="27" a="1"/>
  <c r="DG104" i="27" s="1"/>
  <c r="DG106" i="27" a="1"/>
  <c r="DG106" i="27" s="1"/>
  <c r="DG113" i="27" a="1"/>
  <c r="DG113" i="27" s="1"/>
  <c r="DG114" i="27" a="1"/>
  <c r="DG114" i="27" s="1"/>
  <c r="DG119" i="27" a="1"/>
  <c r="DG119" i="27" s="1"/>
  <c r="DG127" i="27" a="1"/>
  <c r="DG127" i="27" s="1"/>
  <c r="DG138" i="27" a="1"/>
  <c r="DG138" i="27" s="1"/>
  <c r="DG116" i="27" a="1"/>
  <c r="DG116" i="27" s="1"/>
  <c r="DG131" i="27" a="1"/>
  <c r="DG131" i="27" s="1"/>
  <c r="DG135" i="27" a="1"/>
  <c r="DG135" i="27" s="1"/>
  <c r="DK4" i="27"/>
  <c r="DK135" i="27" s="1"/>
  <c r="CY9" i="27" a="1"/>
  <c r="CY9" i="27" s="1"/>
  <c r="CY10" i="27" a="1"/>
  <c r="CY10" i="27" s="1"/>
  <c r="CY22" i="27" a="1"/>
  <c r="CY22" i="27" s="1"/>
  <c r="CY29" i="27" a="1"/>
  <c r="CY29" i="27" s="1"/>
  <c r="CY31" i="27" a="1"/>
  <c r="CY31" i="27" s="1"/>
  <c r="CY32" i="27" a="1"/>
  <c r="CY32" i="27" s="1"/>
  <c r="CY46" i="27" a="1"/>
  <c r="CY46" i="27" s="1"/>
  <c r="CY48" i="27" a="1"/>
  <c r="CY48" i="27" s="1"/>
  <c r="CY52" i="27" a="1"/>
  <c r="CY52" i="27" s="1"/>
  <c r="CY53" i="27" a="1"/>
  <c r="CY53" i="27" s="1"/>
  <c r="CY21" i="27" a="1"/>
  <c r="CY21" i="27" s="1"/>
  <c r="CY8" i="27" a="1"/>
  <c r="CY8" i="27" s="1"/>
  <c r="CY24" i="27" a="1"/>
  <c r="CY24" i="27" s="1"/>
  <c r="CY28" i="27" a="1"/>
  <c r="CY28" i="27" s="1"/>
  <c r="CY45" i="27" a="1"/>
  <c r="CY45" i="27" s="1"/>
  <c r="CY20" i="27" a="1"/>
  <c r="CY20" i="27" s="1"/>
  <c r="CY6" i="27" a="1"/>
  <c r="CY6" i="27" s="1"/>
  <c r="CY7" i="27" a="1"/>
  <c r="CY7" i="27" s="1"/>
  <c r="CY27" i="27" a="1"/>
  <c r="CY27" i="27" s="1"/>
  <c r="CY39" i="27" a="1"/>
  <c r="CY39" i="27" s="1"/>
  <c r="CY40" i="27" a="1"/>
  <c r="CY40" i="27" s="1"/>
  <c r="CY41" i="27" a="1"/>
  <c r="CY41" i="27" s="1"/>
  <c r="CY42" i="27" a="1"/>
  <c r="CY42" i="27" s="1"/>
  <c r="CY43" i="27" a="1"/>
  <c r="CY43" i="27" s="1"/>
  <c r="CY14" i="27" a="1"/>
  <c r="CY14" i="27" s="1"/>
  <c r="CY19" i="27" a="1"/>
  <c r="CY19" i="27" s="1"/>
  <c r="CY26" i="27" a="1"/>
  <c r="CY26" i="27" s="1"/>
  <c r="CY30" i="27" a="1"/>
  <c r="CY30" i="27" s="1"/>
  <c r="CY50" i="27" a="1"/>
  <c r="CY50" i="27" s="1"/>
  <c r="CY11" i="27" a="1"/>
  <c r="CY11" i="27" s="1"/>
  <c r="CY12" i="27" a="1"/>
  <c r="CY12" i="27" s="1"/>
  <c r="CY13" i="27" a="1"/>
  <c r="CY13" i="27" s="1"/>
  <c r="CY16" i="27" a="1"/>
  <c r="CY16" i="27" s="1"/>
  <c r="CY17" i="27" a="1"/>
  <c r="CY17" i="27" s="1"/>
  <c r="CY25" i="27" a="1"/>
  <c r="CY25" i="27" s="1"/>
  <c r="CY35" i="27" a="1"/>
  <c r="CY35" i="27" s="1"/>
  <c r="CY36" i="27" a="1"/>
  <c r="CY36" i="27" s="1"/>
  <c r="CY47" i="27" a="1"/>
  <c r="CY47" i="27" s="1"/>
  <c r="CY49" i="27" a="1"/>
  <c r="CY49" i="27" s="1"/>
  <c r="CY15" i="27" a="1"/>
  <c r="CY15" i="27" s="1"/>
  <c r="CY44" i="27" a="1"/>
  <c r="CY44" i="27" s="1"/>
  <c r="CY51" i="27" a="1"/>
  <c r="CY51" i="27" s="1"/>
  <c r="CY59" i="27" a="1"/>
  <c r="CY59" i="27" s="1"/>
  <c r="CY84" i="27" a="1"/>
  <c r="CY84" i="27" s="1"/>
  <c r="CY33" i="27" a="1"/>
  <c r="CY33" i="27" s="1"/>
  <c r="CY37" i="27" a="1"/>
  <c r="CY37" i="27" s="1"/>
  <c r="CY57" i="27" a="1"/>
  <c r="CY57" i="27" s="1"/>
  <c r="CY58" i="27" a="1"/>
  <c r="CY58" i="27" s="1"/>
  <c r="CY74" i="27" a="1"/>
  <c r="CY74" i="27" s="1"/>
  <c r="CY75" i="27" a="1"/>
  <c r="CY75" i="27" s="1"/>
  <c r="CY76" i="27" a="1"/>
  <c r="CY76" i="27" s="1"/>
  <c r="CY34" i="27" a="1"/>
  <c r="CY34" i="27" s="1"/>
  <c r="CY38" i="27" a="1"/>
  <c r="CY38" i="27" s="1"/>
  <c r="CY55" i="27" a="1"/>
  <c r="CY55" i="27" s="1"/>
  <c r="CY56" i="27" a="1"/>
  <c r="CY56" i="27" s="1"/>
  <c r="CY78" i="27" a="1"/>
  <c r="CY78" i="27" s="1"/>
  <c r="CY54" i="27" a="1"/>
  <c r="CY54" i="27" s="1"/>
  <c r="CY63" i="27" a="1"/>
  <c r="CY63" i="27" s="1"/>
  <c r="CY64" i="27" a="1"/>
  <c r="CY64" i="27" s="1"/>
  <c r="CY68" i="27" a="1"/>
  <c r="CY68" i="27" s="1"/>
  <c r="CY77" i="27" a="1"/>
  <c r="CY77" i="27" s="1"/>
  <c r="CY79" i="27" a="1"/>
  <c r="CY79" i="27" s="1"/>
  <c r="CY80" i="27" a="1"/>
  <c r="CY80" i="27" s="1"/>
  <c r="CY62" i="27" a="1"/>
  <c r="CY62" i="27" s="1"/>
  <c r="CY65" i="27" a="1"/>
  <c r="CY65" i="27" s="1"/>
  <c r="CY67" i="27" a="1"/>
  <c r="CY67" i="27" s="1"/>
  <c r="CY18" i="27" a="1"/>
  <c r="CY18" i="27" s="1"/>
  <c r="CY60" i="27" a="1"/>
  <c r="CY60" i="27" s="1"/>
  <c r="CY66" i="27" a="1"/>
  <c r="CY66" i="27" s="1"/>
  <c r="CY69" i="27" a="1"/>
  <c r="CY69" i="27" s="1"/>
  <c r="CY70" i="27" a="1"/>
  <c r="CY70" i="27" s="1"/>
  <c r="CY71" i="27" a="1"/>
  <c r="CY71" i="27" s="1"/>
  <c r="CY82" i="27" a="1"/>
  <c r="CY82" i="27" s="1"/>
  <c r="CY83" i="27" a="1"/>
  <c r="CY83" i="27" s="1"/>
  <c r="CY61" i="27" a="1"/>
  <c r="CY61" i="27" s="1"/>
  <c r="CY73" i="27" a="1"/>
  <c r="CY73" i="27" s="1"/>
  <c r="CY90" i="27" a="1"/>
  <c r="CY90" i="27" s="1"/>
  <c r="CY92" i="27" a="1"/>
  <c r="CY92" i="27" s="1"/>
  <c r="CY103" i="27" a="1"/>
  <c r="CY103" i="27" s="1"/>
  <c r="CY108" i="27" a="1"/>
  <c r="CY108" i="27" s="1"/>
  <c r="CY111" i="27" a="1"/>
  <c r="CY111" i="27" s="1"/>
  <c r="CY124" i="27" a="1"/>
  <c r="CY124" i="27" s="1"/>
  <c r="CY125" i="27" a="1"/>
  <c r="CY125" i="27" s="1"/>
  <c r="CY140" i="27" a="1"/>
  <c r="CY140" i="27" s="1"/>
  <c r="CY86" i="27" a="1"/>
  <c r="CY86" i="27" s="1"/>
  <c r="CY88" i="27" a="1"/>
  <c r="CY88" i="27" s="1"/>
  <c r="CY89" i="27" a="1"/>
  <c r="CY89" i="27" s="1"/>
  <c r="CY91" i="27" a="1"/>
  <c r="CY91" i="27" s="1"/>
  <c r="CY110" i="27" a="1"/>
  <c r="CY110" i="27" s="1"/>
  <c r="CY118" i="27" a="1"/>
  <c r="CY118" i="27" s="1"/>
  <c r="CY93" i="27" a="1"/>
  <c r="CY93" i="27" s="1"/>
  <c r="CY98" i="27" a="1"/>
  <c r="CY98" i="27" s="1"/>
  <c r="CY87" i="27" a="1"/>
  <c r="CY87" i="27" s="1"/>
  <c r="CY99" i="27" a="1"/>
  <c r="CY99" i="27" s="1"/>
  <c r="CY117" i="27" a="1"/>
  <c r="CY117" i="27" s="1"/>
  <c r="CY127" i="27" a="1"/>
  <c r="CY127" i="27" s="1"/>
  <c r="CY131" i="27" a="1"/>
  <c r="CY131" i="27" s="1"/>
  <c r="CY135" i="27" a="1"/>
  <c r="CY135" i="27" s="1"/>
  <c r="CY139" i="27" a="1"/>
  <c r="CY139" i="27" s="1"/>
  <c r="CY85" i="27" a="1"/>
  <c r="CY85" i="27" s="1"/>
  <c r="CY112" i="27" a="1"/>
  <c r="CY112" i="27" s="1"/>
  <c r="CY102" i="27" a="1"/>
  <c r="CY102" i="27" s="1"/>
  <c r="CY105" i="27" a="1"/>
  <c r="CY105" i="27" s="1"/>
  <c r="CY107" i="27" a="1"/>
  <c r="CY107" i="27" s="1"/>
  <c r="CY115" i="27" a="1"/>
  <c r="CY115" i="27" s="1"/>
  <c r="CY116" i="27" a="1"/>
  <c r="CY116" i="27" s="1"/>
  <c r="CY119" i="27" a="1"/>
  <c r="CY119" i="27" s="1"/>
  <c r="CY104" i="27" a="1"/>
  <c r="CY104" i="27" s="1"/>
  <c r="CY23" i="27" a="1"/>
  <c r="CY23" i="27" s="1"/>
  <c r="CY101" i="27" a="1"/>
  <c r="CY101" i="27" s="1"/>
  <c r="CY109" i="27" a="1"/>
  <c r="CY109" i="27" s="1"/>
  <c r="CY113" i="27" a="1"/>
  <c r="CY113" i="27" s="1"/>
  <c r="CY120" i="27" a="1"/>
  <c r="CY120" i="27" s="1"/>
  <c r="CY138" i="27" a="1"/>
  <c r="CY138" i="27" s="1"/>
  <c r="CY72" i="27" a="1"/>
  <c r="CY72" i="27" s="1"/>
  <c r="CY81" i="27" a="1"/>
  <c r="CY81" i="27" s="1"/>
  <c r="CY114" i="27" a="1"/>
  <c r="CY114" i="27" s="1"/>
  <c r="CY121" i="27" a="1"/>
  <c r="CY121" i="27" s="1"/>
  <c r="CY128" i="27" a="1"/>
  <c r="CY128" i="27" s="1"/>
  <c r="CY132" i="27" a="1"/>
  <c r="CY132" i="27" s="1"/>
  <c r="CY136" i="27" a="1"/>
  <c r="CY136" i="27" s="1"/>
  <c r="CY94" i="27" a="1"/>
  <c r="CY94" i="27" s="1"/>
  <c r="CY95" i="27" a="1"/>
  <c r="CY95" i="27" s="1"/>
  <c r="CY96" i="27" a="1"/>
  <c r="CY96" i="27" s="1"/>
  <c r="CY97" i="27" a="1"/>
  <c r="CY97" i="27" s="1"/>
  <c r="CY100" i="27" a="1"/>
  <c r="CY100" i="27" s="1"/>
  <c r="CY106" i="27" a="1"/>
  <c r="CY106" i="27" s="1"/>
  <c r="CY122" i="27" a="1"/>
  <c r="CY122" i="27" s="1"/>
  <c r="CY123" i="27" a="1"/>
  <c r="CY123" i="27" s="1"/>
  <c r="CY126" i="27" a="1"/>
  <c r="CY126" i="27" s="1"/>
  <c r="CY130" i="27" a="1"/>
  <c r="CY130" i="27" s="1"/>
  <c r="CY134" i="27" a="1"/>
  <c r="CY134" i="27" s="1"/>
  <c r="CY133" i="27" a="1"/>
  <c r="CY133" i="27" s="1"/>
  <c r="CY129" i="27" a="1"/>
  <c r="CY129" i="27" s="1"/>
  <c r="CY137" i="27" a="1"/>
  <c r="CY137" i="27" s="1"/>
  <c r="BT17" i="27"/>
  <c r="I131" i="31"/>
  <c r="I131" i="12"/>
  <c r="I131" i="30"/>
  <c r="O118" i="12"/>
  <c r="X118" i="31"/>
  <c r="M118" i="31"/>
  <c r="N12" i="13"/>
  <c r="M9" i="13"/>
  <c r="D131" i="30"/>
  <c r="J72" i="31"/>
  <c r="D34" i="12"/>
  <c r="D45" i="12"/>
  <c r="D125" i="12"/>
  <c r="D66" i="12"/>
  <c r="D98" i="12"/>
  <c r="D122" i="12"/>
  <c r="D16" i="12"/>
  <c r="BD6" i="27"/>
  <c r="AV6" i="27"/>
  <c r="D56" i="12"/>
  <c r="J6" i="30"/>
  <c r="D99" i="12"/>
  <c r="J59" i="30"/>
  <c r="D111" i="12"/>
  <c r="BD7" i="27"/>
  <c r="D30" i="12"/>
  <c r="D46" i="12"/>
  <c r="D130" i="12"/>
  <c r="D25" i="12"/>
  <c r="D41" i="12"/>
  <c r="D89" i="12"/>
  <c r="D105" i="12"/>
  <c r="D138" i="12"/>
  <c r="D87" i="12"/>
  <c r="D91" i="12"/>
  <c r="D84" i="12"/>
  <c r="D19" i="12"/>
  <c r="D28" i="12"/>
  <c r="D72" i="12"/>
  <c r="D6" i="12"/>
  <c r="D54" i="12"/>
  <c r="D33" i="12"/>
  <c r="D49" i="12"/>
  <c r="D65" i="12"/>
  <c r="D97" i="12"/>
  <c r="D7" i="12"/>
  <c r="D136" i="12"/>
  <c r="D27" i="12"/>
  <c r="D112" i="12"/>
  <c r="J109" i="30"/>
  <c r="D38" i="12"/>
  <c r="D70" i="12"/>
  <c r="D81" i="12"/>
  <c r="D39" i="12"/>
  <c r="D103" i="12"/>
  <c r="D64" i="12"/>
  <c r="D126" i="12"/>
  <c r="D101" i="12"/>
  <c r="D134" i="12"/>
  <c r="D123" i="12"/>
  <c r="D116" i="12"/>
  <c r="D108" i="12"/>
  <c r="D115" i="12"/>
  <c r="D40" i="12"/>
  <c r="E131" i="31"/>
  <c r="E131" i="30"/>
  <c r="D137" i="12"/>
  <c r="J6" i="31"/>
  <c r="J79" i="31"/>
  <c r="D22" i="12"/>
  <c r="D86" i="12"/>
  <c r="D71" i="12"/>
  <c r="D107" i="12"/>
  <c r="D76" i="12"/>
  <c r="J43" i="30"/>
  <c r="J42" i="31"/>
  <c r="D5" i="12"/>
  <c r="D21" i="12"/>
  <c r="D85" i="12"/>
  <c r="D117" i="12"/>
  <c r="D79" i="12"/>
  <c r="J68" i="31"/>
  <c r="D14" i="12"/>
  <c r="D62" i="12"/>
  <c r="D94" i="12"/>
  <c r="D110" i="12"/>
  <c r="D57" i="12"/>
  <c r="D121" i="12"/>
  <c r="D23" i="12"/>
  <c r="D55" i="12"/>
  <c r="D119" i="12"/>
  <c r="D48" i="12"/>
  <c r="D132" i="12"/>
  <c r="D43" i="12"/>
  <c r="D24" i="12"/>
  <c r="D35" i="12"/>
  <c r="J52" i="30"/>
  <c r="J72" i="30"/>
  <c r="D104" i="12"/>
  <c r="D131" i="31"/>
  <c r="J113" i="31"/>
  <c r="J65" i="30"/>
  <c r="J42" i="30"/>
  <c r="J97" i="30"/>
  <c r="J107" i="31"/>
  <c r="J113" i="30"/>
  <c r="AW4" i="27"/>
  <c r="AW133" i="27" s="1"/>
  <c r="AK45" i="27" a="1"/>
  <c r="AK45" i="27" s="1"/>
  <c r="AK44" i="27" a="1"/>
  <c r="AK44" i="27" s="1"/>
  <c r="AK8" i="27" a="1"/>
  <c r="AK8" i="27" s="1"/>
  <c r="AK61" i="27" a="1"/>
  <c r="AK61" i="27" s="1"/>
  <c r="AK70" i="27" a="1"/>
  <c r="AK70" i="27" s="1"/>
  <c r="AK74" i="27" a="1"/>
  <c r="AK74" i="27" s="1"/>
  <c r="AK81" i="27" a="1"/>
  <c r="AK81" i="27" s="1"/>
  <c r="AK54" i="27" a="1"/>
  <c r="AK54" i="27" s="1"/>
  <c r="AK67" i="27" a="1"/>
  <c r="AK67" i="27" s="1"/>
  <c r="AK96" i="27" a="1"/>
  <c r="AK96" i="27" s="1"/>
  <c r="AK109" i="27" a="1"/>
  <c r="AK109" i="27" s="1"/>
  <c r="AK111" i="27" a="1"/>
  <c r="AK111" i="27" s="1"/>
  <c r="AK59" i="27" a="1"/>
  <c r="AK59" i="27" s="1"/>
  <c r="AK115" i="27" a="1"/>
  <c r="AK115" i="27" s="1"/>
  <c r="AK99" i="27" a="1"/>
  <c r="AK99" i="27" s="1"/>
  <c r="AK101" i="27" a="1"/>
  <c r="AK101" i="27" s="1"/>
  <c r="J65" i="31"/>
  <c r="J97" i="31"/>
  <c r="J94" i="30"/>
  <c r="J107" i="30"/>
  <c r="J68" i="30"/>
  <c r="J57" i="31"/>
  <c r="J43" i="31"/>
  <c r="J94" i="31"/>
  <c r="U113" i="31"/>
  <c r="U113" i="30"/>
  <c r="U52" i="31"/>
  <c r="U52" i="30"/>
  <c r="U68" i="31"/>
  <c r="U68" i="30"/>
  <c r="U57" i="31"/>
  <c r="U57" i="30"/>
  <c r="J57" i="30"/>
  <c r="U97" i="31"/>
  <c r="U97" i="30"/>
  <c r="U43" i="30"/>
  <c r="U43" i="31"/>
  <c r="U6" i="31"/>
  <c r="U6" i="30"/>
  <c r="U72" i="31"/>
  <c r="U72" i="30"/>
  <c r="U59" i="30"/>
  <c r="U59" i="31"/>
  <c r="U107" i="30"/>
  <c r="U107" i="31"/>
  <c r="U65" i="31"/>
  <c r="U65" i="30"/>
  <c r="U79" i="30"/>
  <c r="U79" i="31"/>
  <c r="J79" i="30"/>
  <c r="U109" i="31"/>
  <c r="U109" i="30"/>
  <c r="U42" i="31"/>
  <c r="U42" i="30"/>
  <c r="U94" i="30"/>
  <c r="U94" i="31"/>
  <c r="J109" i="31"/>
  <c r="J59" i="31"/>
  <c r="J52" i="31"/>
  <c r="DO24" i="27"/>
  <c r="DJ24" i="27"/>
  <c r="DP24" i="27"/>
  <c r="DI24" i="27"/>
  <c r="DQ24" i="27"/>
  <c r="DM24" i="27"/>
  <c r="DT24" i="27"/>
  <c r="DL24" i="27"/>
  <c r="DR24" i="27"/>
  <c r="DN24" i="27"/>
  <c r="DL48" i="27"/>
  <c r="DP48" i="27"/>
  <c r="DT48" i="27"/>
  <c r="DQ48" i="27"/>
  <c r="DI48" i="27"/>
  <c r="DN48" i="27"/>
  <c r="DS48" i="27"/>
  <c r="DM48" i="27"/>
  <c r="DR48" i="27"/>
  <c r="DJ48" i="27"/>
  <c r="DO48" i="27"/>
  <c r="DI72" i="27"/>
  <c r="DM72" i="27"/>
  <c r="DQ72" i="27"/>
  <c r="DN72" i="27"/>
  <c r="DS72" i="27"/>
  <c r="DP72" i="27"/>
  <c r="DL72" i="27"/>
  <c r="DR72" i="27"/>
  <c r="DT72" i="27"/>
  <c r="DJ72" i="27"/>
  <c r="DO72" i="27"/>
  <c r="DI96" i="27"/>
  <c r="DM96" i="27"/>
  <c r="DQ96" i="27"/>
  <c r="DN96" i="27"/>
  <c r="DS96" i="27"/>
  <c r="DP96" i="27"/>
  <c r="DO96" i="27"/>
  <c r="DL96" i="27"/>
  <c r="DR96" i="27"/>
  <c r="DT96" i="27"/>
  <c r="DJ96" i="27"/>
  <c r="DI120" i="27"/>
  <c r="DM120" i="27"/>
  <c r="DQ120" i="27"/>
  <c r="DP120" i="27"/>
  <c r="DJ120" i="27"/>
  <c r="DR120" i="27"/>
  <c r="DS120" i="27"/>
  <c r="DL120" i="27"/>
  <c r="DT120" i="27"/>
  <c r="DN120" i="27"/>
  <c r="DO120" i="27"/>
  <c r="DI109" i="27"/>
  <c r="DM109" i="27"/>
  <c r="DQ109" i="27"/>
  <c r="DJ109" i="27"/>
  <c r="DO109" i="27"/>
  <c r="DT109" i="27"/>
  <c r="DN109" i="27"/>
  <c r="DR109" i="27"/>
  <c r="DS109" i="27"/>
  <c r="DL109" i="27"/>
  <c r="DP109" i="27"/>
  <c r="DO19" i="27"/>
  <c r="DL19" i="27"/>
  <c r="DQ19" i="27"/>
  <c r="DM19" i="27"/>
  <c r="DT19" i="27"/>
  <c r="DI19" i="27"/>
  <c r="DP19" i="27"/>
  <c r="DN19" i="27"/>
  <c r="DJ19" i="27"/>
  <c r="DR19" i="27"/>
  <c r="DL43" i="27"/>
  <c r="DP43" i="27"/>
  <c r="DT43" i="27"/>
  <c r="DM43" i="27"/>
  <c r="DR43" i="27"/>
  <c r="DJ43" i="27"/>
  <c r="DO43" i="27"/>
  <c r="DI43" i="27"/>
  <c r="DS43" i="27"/>
  <c r="DN43" i="27"/>
  <c r="DQ43" i="27"/>
  <c r="DK43" i="27"/>
  <c r="DL67" i="27"/>
  <c r="DP67" i="27"/>
  <c r="DT67" i="27"/>
  <c r="DJ67" i="27"/>
  <c r="DO67" i="27"/>
  <c r="DI67" i="27"/>
  <c r="DQ67" i="27"/>
  <c r="DM67" i="27"/>
  <c r="DS67" i="27"/>
  <c r="DN67" i="27"/>
  <c r="DR67" i="27"/>
  <c r="DI91" i="27"/>
  <c r="DM91" i="27"/>
  <c r="DQ91" i="27"/>
  <c r="DJ91" i="27"/>
  <c r="DO91" i="27"/>
  <c r="DT91" i="27"/>
  <c r="DL91" i="27"/>
  <c r="DR91" i="27"/>
  <c r="DP91" i="27"/>
  <c r="DS91" i="27"/>
  <c r="DN91" i="27"/>
  <c r="DI121" i="27"/>
  <c r="DM121" i="27"/>
  <c r="DQ121" i="27"/>
  <c r="DJ121" i="27"/>
  <c r="DO121" i="27"/>
  <c r="DT121" i="27"/>
  <c r="DL121" i="27"/>
  <c r="DS121" i="27"/>
  <c r="DP121" i="27"/>
  <c r="DR121" i="27"/>
  <c r="DN121" i="27"/>
  <c r="DO20" i="27"/>
  <c r="DS20" i="27"/>
  <c r="DJ20" i="27"/>
  <c r="DP20" i="27"/>
  <c r="DN20" i="27"/>
  <c r="DL20" i="27"/>
  <c r="DR20" i="27"/>
  <c r="DQ20" i="27"/>
  <c r="DI20" i="27"/>
  <c r="DM20" i="27"/>
  <c r="DT20" i="27"/>
  <c r="DL44" i="27"/>
  <c r="DP44" i="27"/>
  <c r="DT44" i="27"/>
  <c r="DQ44" i="27"/>
  <c r="DI44" i="27"/>
  <c r="DN44" i="27"/>
  <c r="DS44" i="27"/>
  <c r="DR44" i="27"/>
  <c r="DM44" i="27"/>
  <c r="DO44" i="27"/>
  <c r="DJ44" i="27"/>
  <c r="DL68" i="27"/>
  <c r="DP68" i="27"/>
  <c r="DT68" i="27"/>
  <c r="DI68" i="27"/>
  <c r="DN68" i="27"/>
  <c r="DS68" i="27"/>
  <c r="DR68" i="27"/>
  <c r="DO68" i="27"/>
  <c r="DJ68" i="27"/>
  <c r="DQ68" i="27"/>
  <c r="DM68" i="27"/>
  <c r="DI92" i="27"/>
  <c r="DM92" i="27"/>
  <c r="DQ92" i="27"/>
  <c r="DN92" i="27"/>
  <c r="DS92" i="27"/>
  <c r="DP92" i="27"/>
  <c r="DJ92" i="27"/>
  <c r="DT92" i="27"/>
  <c r="DR92" i="27"/>
  <c r="DL92" i="27"/>
  <c r="DO92" i="27"/>
  <c r="DI116" i="27"/>
  <c r="DM116" i="27"/>
  <c r="DQ116" i="27"/>
  <c r="DK116" i="27"/>
  <c r="DP116" i="27"/>
  <c r="DO116" i="27"/>
  <c r="DJ116" i="27"/>
  <c r="DS116" i="27"/>
  <c r="DL116" i="27"/>
  <c r="DT116" i="27"/>
  <c r="DR116" i="27"/>
  <c r="DN116" i="27"/>
  <c r="DJ6" i="27"/>
  <c r="DN6" i="27"/>
  <c r="DR6" i="27"/>
  <c r="DP6" i="27"/>
  <c r="DI6" i="27"/>
  <c r="DO6" i="27"/>
  <c r="DQ6" i="27"/>
  <c r="DL6" i="27"/>
  <c r="DS6" i="27"/>
  <c r="DM6" i="27"/>
  <c r="DT6" i="27"/>
  <c r="DO27" i="27"/>
  <c r="DS27" i="27"/>
  <c r="DL27" i="27"/>
  <c r="DQ27" i="27"/>
  <c r="DI27" i="27"/>
  <c r="DP27" i="27"/>
  <c r="DM27" i="27"/>
  <c r="DT27" i="27"/>
  <c r="DR27" i="27"/>
  <c r="DJ27" i="27"/>
  <c r="DN27" i="27"/>
  <c r="DL51" i="27"/>
  <c r="DP51" i="27"/>
  <c r="DT51" i="27"/>
  <c r="DM51" i="27"/>
  <c r="DR51" i="27"/>
  <c r="DJ51" i="27"/>
  <c r="DO51" i="27"/>
  <c r="DI51" i="27"/>
  <c r="DS51" i="27"/>
  <c r="DN51" i="27"/>
  <c r="DQ51" i="27"/>
  <c r="DI75" i="27"/>
  <c r="DM75" i="27"/>
  <c r="DQ75" i="27"/>
  <c r="DJ75" i="27"/>
  <c r="DO75" i="27"/>
  <c r="DT75" i="27"/>
  <c r="DL75" i="27"/>
  <c r="DR75" i="27"/>
  <c r="DN75" i="27"/>
  <c r="DS75" i="27"/>
  <c r="DP75" i="27"/>
  <c r="DI99" i="27"/>
  <c r="DM99" i="27"/>
  <c r="DQ99" i="27"/>
  <c r="DJ99" i="27"/>
  <c r="DO99" i="27"/>
  <c r="DT99" i="27"/>
  <c r="DL99" i="27"/>
  <c r="DR99" i="27"/>
  <c r="DS99" i="27"/>
  <c r="DN99" i="27"/>
  <c r="DP99" i="27"/>
  <c r="DI123" i="27"/>
  <c r="DM123" i="27"/>
  <c r="DQ123" i="27"/>
  <c r="DL123" i="27"/>
  <c r="DR123" i="27"/>
  <c r="DJ123" i="27"/>
  <c r="DP123" i="27"/>
  <c r="DT123" i="27"/>
  <c r="DN123" i="27"/>
  <c r="DO123" i="27"/>
  <c r="DS123" i="27"/>
  <c r="DO17" i="27"/>
  <c r="DS17" i="27"/>
  <c r="DI17" i="27"/>
  <c r="DN17" i="27"/>
  <c r="DT17" i="27"/>
  <c r="DP17" i="27"/>
  <c r="DL17" i="27"/>
  <c r="DR17" i="27"/>
  <c r="DJ17" i="27"/>
  <c r="DQ17" i="27"/>
  <c r="DM17" i="27"/>
  <c r="DL41" i="27"/>
  <c r="DP41" i="27"/>
  <c r="DT41" i="27"/>
  <c r="DJ41" i="27"/>
  <c r="DO41" i="27"/>
  <c r="DM41" i="27"/>
  <c r="DR41" i="27"/>
  <c r="DQ41" i="27"/>
  <c r="DI41" i="27"/>
  <c r="DS41" i="27"/>
  <c r="DN41" i="27"/>
  <c r="DL65" i="27"/>
  <c r="DP65" i="27"/>
  <c r="DT65" i="27"/>
  <c r="DM65" i="27"/>
  <c r="DR65" i="27"/>
  <c r="DK65" i="27"/>
  <c r="DS65" i="27"/>
  <c r="DI65" i="27"/>
  <c r="DO65" i="27"/>
  <c r="DJ65" i="27"/>
  <c r="DQ65" i="27"/>
  <c r="DN65" i="27"/>
  <c r="DI89" i="27"/>
  <c r="DM89" i="27"/>
  <c r="DQ89" i="27"/>
  <c r="DL89" i="27"/>
  <c r="DR89" i="27"/>
  <c r="DJ89" i="27"/>
  <c r="DO89" i="27"/>
  <c r="DT89" i="27"/>
  <c r="DN89" i="27"/>
  <c r="DK89" i="27"/>
  <c r="DP89" i="27"/>
  <c r="DS89" i="27"/>
  <c r="DI113" i="27"/>
  <c r="DM113" i="27"/>
  <c r="DQ113" i="27"/>
  <c r="DJ113" i="27"/>
  <c r="DO113" i="27"/>
  <c r="DT113" i="27"/>
  <c r="DP113" i="27"/>
  <c r="DR113" i="27"/>
  <c r="DS113" i="27"/>
  <c r="DN113" i="27"/>
  <c r="DL113" i="27"/>
  <c r="DI138" i="27"/>
  <c r="DM138" i="27"/>
  <c r="DQ138" i="27"/>
  <c r="DN138" i="27"/>
  <c r="DS138" i="27"/>
  <c r="DO138" i="27"/>
  <c r="DJ138" i="27"/>
  <c r="DP138" i="27"/>
  <c r="DR138" i="27"/>
  <c r="DL138" i="27"/>
  <c r="DT138" i="27"/>
  <c r="DI124" i="27"/>
  <c r="DM124" i="27"/>
  <c r="DQ124" i="27"/>
  <c r="DP124" i="27"/>
  <c r="DL124" i="27"/>
  <c r="DS124" i="27"/>
  <c r="DR124" i="27"/>
  <c r="DJ124" i="27"/>
  <c r="DT124" i="27"/>
  <c r="DO124" i="27"/>
  <c r="DN124" i="27"/>
  <c r="DI130" i="27"/>
  <c r="DM130" i="27"/>
  <c r="DQ130" i="27"/>
  <c r="DN130" i="27"/>
  <c r="DS130" i="27"/>
  <c r="DK130" i="27"/>
  <c r="DR130" i="27"/>
  <c r="DL130" i="27"/>
  <c r="DT130" i="27"/>
  <c r="DO130" i="27"/>
  <c r="DJ130" i="27"/>
  <c r="DP130" i="27"/>
  <c r="DI100" i="27"/>
  <c r="DM100" i="27"/>
  <c r="DQ100" i="27"/>
  <c r="DN100" i="27"/>
  <c r="DS100" i="27"/>
  <c r="DK100" i="27"/>
  <c r="DP100" i="27"/>
  <c r="DJ100" i="27"/>
  <c r="DT100" i="27"/>
  <c r="DL100" i="27"/>
  <c r="DO100" i="27"/>
  <c r="DR100" i="27"/>
  <c r="DI106" i="27"/>
  <c r="DM106" i="27"/>
  <c r="DQ106" i="27"/>
  <c r="DN106" i="27"/>
  <c r="DS106" i="27"/>
  <c r="DO106" i="27"/>
  <c r="DP106" i="27"/>
  <c r="DJ106" i="27"/>
  <c r="DR106" i="27"/>
  <c r="DK106" i="27"/>
  <c r="DL106" i="27"/>
  <c r="DT106" i="27"/>
  <c r="DI76" i="27"/>
  <c r="DM76" i="27"/>
  <c r="DQ76" i="27"/>
  <c r="DN76" i="27"/>
  <c r="DS76" i="27"/>
  <c r="DK76" i="27"/>
  <c r="DP76" i="27"/>
  <c r="DL76" i="27"/>
  <c r="DR76" i="27"/>
  <c r="DO76" i="27"/>
  <c r="DT76" i="27"/>
  <c r="DJ76" i="27"/>
  <c r="DO30" i="27"/>
  <c r="DS30" i="27"/>
  <c r="DM30" i="27"/>
  <c r="DR30" i="27"/>
  <c r="DI30" i="27"/>
  <c r="DP30" i="27"/>
  <c r="DL30" i="27"/>
  <c r="DT30" i="27"/>
  <c r="DJ30" i="27"/>
  <c r="DQ30" i="27"/>
  <c r="DN30" i="27"/>
  <c r="DL54" i="27"/>
  <c r="DP54" i="27"/>
  <c r="DT54" i="27"/>
  <c r="DQ54" i="27"/>
  <c r="DI54" i="27"/>
  <c r="DO54" i="27"/>
  <c r="DM54" i="27"/>
  <c r="DS54" i="27"/>
  <c r="DN54" i="27"/>
  <c r="DR54" i="27"/>
  <c r="DJ54" i="27"/>
  <c r="DI78" i="27"/>
  <c r="DM78" i="27"/>
  <c r="DQ78" i="27"/>
  <c r="DK78" i="27"/>
  <c r="DP78" i="27"/>
  <c r="DN78" i="27"/>
  <c r="DS78" i="27"/>
  <c r="DJ78" i="27"/>
  <c r="DO78" i="27"/>
  <c r="DT78" i="27"/>
  <c r="DL78" i="27"/>
  <c r="DR78" i="27"/>
  <c r="DI102" i="27"/>
  <c r="DM102" i="27"/>
  <c r="DQ102" i="27"/>
  <c r="DP102" i="27"/>
  <c r="DN102" i="27"/>
  <c r="DS102" i="27"/>
  <c r="DR102" i="27"/>
  <c r="DL102" i="27"/>
  <c r="DO102" i="27"/>
  <c r="DT102" i="27"/>
  <c r="DJ102" i="27"/>
  <c r="DI126" i="27"/>
  <c r="DM126" i="27"/>
  <c r="DQ126" i="27"/>
  <c r="DN126" i="27"/>
  <c r="DS126" i="27"/>
  <c r="DK126" i="27"/>
  <c r="DR126" i="27"/>
  <c r="DL126" i="27"/>
  <c r="DT126" i="27"/>
  <c r="DJ126" i="27"/>
  <c r="DO126" i="27"/>
  <c r="DP126" i="27"/>
  <c r="DI140" i="27"/>
  <c r="DM140" i="27"/>
  <c r="DQ140" i="27"/>
  <c r="DP140" i="27"/>
  <c r="DL140" i="27"/>
  <c r="DS140" i="27"/>
  <c r="DN140" i="27"/>
  <c r="DT140" i="27"/>
  <c r="DO140" i="27"/>
  <c r="DJ140" i="27"/>
  <c r="DR140" i="27"/>
  <c r="DO25" i="27"/>
  <c r="DS25" i="27"/>
  <c r="DI25" i="27"/>
  <c r="DN25" i="27"/>
  <c r="DT25" i="27"/>
  <c r="DL25" i="27"/>
  <c r="DR25" i="27"/>
  <c r="DP25" i="27"/>
  <c r="DM25" i="27"/>
  <c r="DJ25" i="27"/>
  <c r="DQ25" i="27"/>
  <c r="DL49" i="27"/>
  <c r="DP49" i="27"/>
  <c r="DT49" i="27"/>
  <c r="DJ49" i="27"/>
  <c r="DO49" i="27"/>
  <c r="DM49" i="27"/>
  <c r="DR49" i="27"/>
  <c r="DK49" i="27"/>
  <c r="DQ49" i="27"/>
  <c r="DI49" i="27"/>
  <c r="DS49" i="27"/>
  <c r="DN49" i="27"/>
  <c r="DI73" i="27"/>
  <c r="DM73" i="27"/>
  <c r="DQ73" i="27"/>
  <c r="DL73" i="27"/>
  <c r="DR73" i="27"/>
  <c r="DJ73" i="27"/>
  <c r="DO73" i="27"/>
  <c r="DT73" i="27"/>
  <c r="DP73" i="27"/>
  <c r="DN73" i="27"/>
  <c r="DS73" i="27"/>
  <c r="DI97" i="27"/>
  <c r="DM97" i="27"/>
  <c r="DQ97" i="27"/>
  <c r="DL97" i="27"/>
  <c r="DR97" i="27"/>
  <c r="DJ97" i="27"/>
  <c r="DO97" i="27"/>
  <c r="DT97" i="27"/>
  <c r="DN97" i="27"/>
  <c r="DP97" i="27"/>
  <c r="DS97" i="27"/>
  <c r="DI133" i="27"/>
  <c r="DM133" i="27"/>
  <c r="DQ133" i="27"/>
  <c r="DJ133" i="27"/>
  <c r="DO133" i="27"/>
  <c r="DT133" i="27"/>
  <c r="DR133" i="27"/>
  <c r="DL133" i="27"/>
  <c r="DS133" i="27"/>
  <c r="DN133" i="27"/>
  <c r="DP133" i="27"/>
  <c r="DO26" i="27"/>
  <c r="DS26" i="27"/>
  <c r="DM26" i="27"/>
  <c r="DR26" i="27"/>
  <c r="DN26" i="27"/>
  <c r="DJ26" i="27"/>
  <c r="DQ26" i="27"/>
  <c r="DP26" i="27"/>
  <c r="DI26" i="27"/>
  <c r="DL26" i="27"/>
  <c r="DT26" i="27"/>
  <c r="DL50" i="27"/>
  <c r="DP50" i="27"/>
  <c r="DT50" i="27"/>
  <c r="DI50" i="27"/>
  <c r="DN50" i="27"/>
  <c r="DS50" i="27"/>
  <c r="DQ50" i="27"/>
  <c r="DJ50" i="27"/>
  <c r="DO50" i="27"/>
  <c r="DR50" i="27"/>
  <c r="DM50" i="27"/>
  <c r="DI74" i="27"/>
  <c r="DM74" i="27"/>
  <c r="DQ74" i="27"/>
  <c r="DP74" i="27"/>
  <c r="DN74" i="27"/>
  <c r="DS74" i="27"/>
  <c r="DJ74" i="27"/>
  <c r="DO74" i="27"/>
  <c r="DT74" i="27"/>
  <c r="DR74" i="27"/>
  <c r="DL74" i="27"/>
  <c r="DI98" i="27"/>
  <c r="DM98" i="27"/>
  <c r="DQ98" i="27"/>
  <c r="DK98" i="27"/>
  <c r="DP98" i="27"/>
  <c r="DN98" i="27"/>
  <c r="DS98" i="27"/>
  <c r="DL98" i="27"/>
  <c r="DR98" i="27"/>
  <c r="DT98" i="27"/>
  <c r="DJ98" i="27"/>
  <c r="DO98" i="27"/>
  <c r="DI122" i="27"/>
  <c r="DM122" i="27"/>
  <c r="DQ122" i="27"/>
  <c r="DN122" i="27"/>
  <c r="DS122" i="27"/>
  <c r="DO122" i="27"/>
  <c r="DL122" i="27"/>
  <c r="DP122" i="27"/>
  <c r="DT122" i="27"/>
  <c r="DJ122" i="27"/>
  <c r="DR122" i="27"/>
  <c r="DO9" i="27"/>
  <c r="DS9" i="27"/>
  <c r="DL9" i="27"/>
  <c r="DQ9" i="27"/>
  <c r="DI9" i="27"/>
  <c r="DN9" i="27"/>
  <c r="DT9" i="27"/>
  <c r="DR9" i="27"/>
  <c r="DM9" i="27"/>
  <c r="DJ9" i="27"/>
  <c r="DP9" i="27"/>
  <c r="DO33" i="27"/>
  <c r="DS33" i="27"/>
  <c r="DI33" i="27"/>
  <c r="DN33" i="27"/>
  <c r="DT33" i="27"/>
  <c r="DP33" i="27"/>
  <c r="DL33" i="27"/>
  <c r="DR33" i="27"/>
  <c r="DQ33" i="27"/>
  <c r="DJ33" i="27"/>
  <c r="DM33" i="27"/>
  <c r="DL57" i="27"/>
  <c r="DP57" i="27"/>
  <c r="DT57" i="27"/>
  <c r="DM57" i="27"/>
  <c r="DR57" i="27"/>
  <c r="DI57" i="27"/>
  <c r="DO57" i="27"/>
  <c r="DS57" i="27"/>
  <c r="DN57" i="27"/>
  <c r="DJ57" i="27"/>
  <c r="DQ57" i="27"/>
  <c r="DI81" i="27"/>
  <c r="DM81" i="27"/>
  <c r="DQ81" i="27"/>
  <c r="DL81" i="27"/>
  <c r="DR81" i="27"/>
  <c r="DJ81" i="27"/>
  <c r="DO81" i="27"/>
  <c r="DT81" i="27"/>
  <c r="DP81" i="27"/>
  <c r="DS81" i="27"/>
  <c r="DN81" i="27"/>
  <c r="DI105" i="27"/>
  <c r="DM105" i="27"/>
  <c r="DQ105" i="27"/>
  <c r="DJ105" i="27"/>
  <c r="DO105" i="27"/>
  <c r="DT105" i="27"/>
  <c r="DL105" i="27"/>
  <c r="DS105" i="27"/>
  <c r="DP105" i="27"/>
  <c r="DR105" i="27"/>
  <c r="DN105" i="27"/>
  <c r="DI129" i="27"/>
  <c r="DM129" i="27"/>
  <c r="DQ129" i="27"/>
  <c r="DJ129" i="27"/>
  <c r="DO129" i="27"/>
  <c r="DT129" i="27"/>
  <c r="DP129" i="27"/>
  <c r="DN129" i="27"/>
  <c r="DR129" i="27"/>
  <c r="DS129" i="27"/>
  <c r="DL129" i="27"/>
  <c r="DO23" i="27"/>
  <c r="DS23" i="27"/>
  <c r="DL23" i="27"/>
  <c r="DQ23" i="27"/>
  <c r="DN23" i="27"/>
  <c r="DJ23" i="27"/>
  <c r="DR23" i="27"/>
  <c r="DI23" i="27"/>
  <c r="DP23" i="27"/>
  <c r="DT23" i="27"/>
  <c r="DM23" i="27"/>
  <c r="DL47" i="27"/>
  <c r="DP47" i="27"/>
  <c r="DT47" i="27"/>
  <c r="DM47" i="27"/>
  <c r="DR47" i="27"/>
  <c r="DJ47" i="27"/>
  <c r="DO47" i="27"/>
  <c r="DN47" i="27"/>
  <c r="DI47" i="27"/>
  <c r="DS47" i="27"/>
  <c r="DQ47" i="27"/>
  <c r="DI71" i="27"/>
  <c r="DM71" i="27"/>
  <c r="DQ71" i="27"/>
  <c r="DJ71" i="27"/>
  <c r="DO71" i="27"/>
  <c r="DT71" i="27"/>
  <c r="DL71" i="27"/>
  <c r="DR71" i="27"/>
  <c r="DN71" i="27"/>
  <c r="DS71" i="27"/>
  <c r="DP71" i="27"/>
  <c r="DI95" i="27"/>
  <c r="DM95" i="27"/>
  <c r="DQ95" i="27"/>
  <c r="DJ95" i="27"/>
  <c r="DO95" i="27"/>
  <c r="DT95" i="27"/>
  <c r="DL95" i="27"/>
  <c r="DR95" i="27"/>
  <c r="DP95" i="27"/>
  <c r="DK95" i="27"/>
  <c r="DN95" i="27"/>
  <c r="DS95" i="27"/>
  <c r="DI119" i="27"/>
  <c r="DM119" i="27"/>
  <c r="DQ119" i="27"/>
  <c r="DL119" i="27"/>
  <c r="DR119" i="27"/>
  <c r="DO119" i="27"/>
  <c r="DT119" i="27"/>
  <c r="DN119" i="27"/>
  <c r="DS119" i="27"/>
  <c r="DJ119" i="27"/>
  <c r="DP119" i="27"/>
  <c r="DI127" i="27"/>
  <c r="DM127" i="27"/>
  <c r="DQ127" i="27"/>
  <c r="DL127" i="27"/>
  <c r="DR127" i="27"/>
  <c r="DN127" i="27"/>
  <c r="DT127" i="27"/>
  <c r="DO127" i="27"/>
  <c r="DP127" i="27"/>
  <c r="DS127" i="27"/>
  <c r="DJ127" i="27"/>
  <c r="DO16" i="27"/>
  <c r="DS16" i="27"/>
  <c r="DJ16" i="27"/>
  <c r="DP16" i="27"/>
  <c r="DM16" i="27"/>
  <c r="DT16" i="27"/>
  <c r="DI16" i="27"/>
  <c r="DQ16" i="27"/>
  <c r="DN16" i="27"/>
  <c r="DR16" i="27"/>
  <c r="DL16" i="27"/>
  <c r="DO22" i="27"/>
  <c r="DS22" i="27"/>
  <c r="DM22" i="27"/>
  <c r="DR22" i="27"/>
  <c r="DL22" i="27"/>
  <c r="DT22" i="27"/>
  <c r="DI22" i="27"/>
  <c r="DP22" i="27"/>
  <c r="DN22" i="27"/>
  <c r="DQ22" i="27"/>
  <c r="DJ22" i="27"/>
  <c r="DI137" i="27"/>
  <c r="DM137" i="27"/>
  <c r="DQ137" i="27"/>
  <c r="DJ137" i="27"/>
  <c r="DO137" i="27"/>
  <c r="DT137" i="27"/>
  <c r="DL137" i="27"/>
  <c r="DS137" i="27"/>
  <c r="DN137" i="27"/>
  <c r="DP137" i="27"/>
  <c r="DR137" i="27"/>
  <c r="DO10" i="27"/>
  <c r="DS10" i="27"/>
  <c r="DJ10" i="27"/>
  <c r="DP10" i="27"/>
  <c r="DM10" i="27"/>
  <c r="DR10" i="27"/>
  <c r="DQ10" i="27"/>
  <c r="DL10" i="27"/>
  <c r="DT10" i="27"/>
  <c r="DI10" i="27"/>
  <c r="DN10" i="27"/>
  <c r="DO12" i="27"/>
  <c r="DS12" i="27"/>
  <c r="DJ12" i="27"/>
  <c r="DP12" i="27"/>
  <c r="DL12" i="27"/>
  <c r="DR12" i="27"/>
  <c r="DN12" i="27"/>
  <c r="DM12" i="27"/>
  <c r="DT12" i="27"/>
  <c r="DI12" i="27"/>
  <c r="DQ12" i="27"/>
  <c r="DL36" i="27"/>
  <c r="DP36" i="27"/>
  <c r="DT36" i="27"/>
  <c r="DQ36" i="27"/>
  <c r="DI36" i="27"/>
  <c r="DN36" i="27"/>
  <c r="DS36" i="27"/>
  <c r="DR36" i="27"/>
  <c r="DM36" i="27"/>
  <c r="DO36" i="27"/>
  <c r="DJ36" i="27"/>
  <c r="DL60" i="27"/>
  <c r="DP60" i="27"/>
  <c r="DT60" i="27"/>
  <c r="DI60" i="27"/>
  <c r="DN60" i="27"/>
  <c r="DS60" i="27"/>
  <c r="DO60" i="27"/>
  <c r="DR60" i="27"/>
  <c r="DM60" i="27"/>
  <c r="DJ60" i="27"/>
  <c r="DQ60" i="27"/>
  <c r="DI84" i="27"/>
  <c r="DM84" i="27"/>
  <c r="DQ84" i="27"/>
  <c r="DN84" i="27"/>
  <c r="DS84" i="27"/>
  <c r="DK84" i="27"/>
  <c r="DP84" i="27"/>
  <c r="DJ84" i="27"/>
  <c r="DT84" i="27"/>
  <c r="DO84" i="27"/>
  <c r="DR84" i="27"/>
  <c r="DL84" i="27"/>
  <c r="DI108" i="27"/>
  <c r="DM108" i="27"/>
  <c r="DQ108" i="27"/>
  <c r="DK108" i="27"/>
  <c r="DP108" i="27"/>
  <c r="DL108" i="27"/>
  <c r="DS108" i="27"/>
  <c r="DJ108" i="27"/>
  <c r="DT108" i="27"/>
  <c r="DN108" i="27"/>
  <c r="DR108" i="27"/>
  <c r="DO108" i="27"/>
  <c r="DI132" i="27"/>
  <c r="DM132" i="27"/>
  <c r="DQ132" i="27"/>
  <c r="DP132" i="27"/>
  <c r="DO132" i="27"/>
  <c r="DJ132" i="27"/>
  <c r="DR132" i="27"/>
  <c r="DL132" i="27"/>
  <c r="DS132" i="27"/>
  <c r="DN132" i="27"/>
  <c r="DT132" i="27"/>
  <c r="DO7" i="27"/>
  <c r="DS7" i="27"/>
  <c r="DI7" i="27"/>
  <c r="DN7" i="27"/>
  <c r="DT7" i="27"/>
  <c r="DL7" i="27"/>
  <c r="DQ7" i="27"/>
  <c r="DJ7" i="27"/>
  <c r="DP7" i="27"/>
  <c r="DM7" i="27"/>
  <c r="DR7" i="27"/>
  <c r="DO31" i="27"/>
  <c r="DS31" i="27"/>
  <c r="DL31" i="27"/>
  <c r="DQ31" i="27"/>
  <c r="DJ31" i="27"/>
  <c r="DR31" i="27"/>
  <c r="DN31" i="27"/>
  <c r="DM31" i="27"/>
  <c r="DT31" i="27"/>
  <c r="DI31" i="27"/>
  <c r="DP31" i="27"/>
  <c r="DL55" i="27"/>
  <c r="DP55" i="27"/>
  <c r="DT55" i="27"/>
  <c r="DJ55" i="27"/>
  <c r="DO55" i="27"/>
  <c r="DK55" i="27"/>
  <c r="DR55" i="27"/>
  <c r="DN55" i="27"/>
  <c r="DI55" i="27"/>
  <c r="DQ55" i="27"/>
  <c r="DM55" i="27"/>
  <c r="DS55" i="27"/>
  <c r="DI79" i="27"/>
  <c r="DM79" i="27"/>
  <c r="DQ79" i="27"/>
  <c r="DJ79" i="27"/>
  <c r="DO79" i="27"/>
  <c r="DT79" i="27"/>
  <c r="DL79" i="27"/>
  <c r="DR79" i="27"/>
  <c r="DN79" i="27"/>
  <c r="DS79" i="27"/>
  <c r="DP79" i="27"/>
  <c r="DI103" i="27"/>
  <c r="DM103" i="27"/>
  <c r="DQ103" i="27"/>
  <c r="DJ103" i="27"/>
  <c r="DO103" i="27"/>
  <c r="DT103" i="27"/>
  <c r="DL103" i="27"/>
  <c r="DR103" i="27"/>
  <c r="DP103" i="27"/>
  <c r="DN103" i="27"/>
  <c r="DS103" i="27"/>
  <c r="DK103" i="27"/>
  <c r="DO8" i="27"/>
  <c r="DS8" i="27"/>
  <c r="DM8" i="27"/>
  <c r="DR8" i="27"/>
  <c r="DJ8" i="27"/>
  <c r="DP8" i="27"/>
  <c r="DI8" i="27"/>
  <c r="DT8" i="27"/>
  <c r="DN8" i="27"/>
  <c r="DL8" i="27"/>
  <c r="DQ8" i="27"/>
  <c r="DO32" i="27"/>
  <c r="DS32" i="27"/>
  <c r="DJ32" i="27"/>
  <c r="DP32" i="27"/>
  <c r="DM32" i="27"/>
  <c r="DT32" i="27"/>
  <c r="DI32" i="27"/>
  <c r="DQ32" i="27"/>
  <c r="DN32" i="27"/>
  <c r="DL32" i="27"/>
  <c r="DR32" i="27"/>
  <c r="DL56" i="27"/>
  <c r="DP56" i="27"/>
  <c r="DT56" i="27"/>
  <c r="DI56" i="27"/>
  <c r="DN56" i="27"/>
  <c r="DS56" i="27"/>
  <c r="DM56" i="27"/>
  <c r="DJ56" i="27"/>
  <c r="DQ56" i="27"/>
  <c r="DK56" i="27"/>
  <c r="DR56" i="27"/>
  <c r="DO56" i="27"/>
  <c r="DI80" i="27"/>
  <c r="DM80" i="27"/>
  <c r="DQ80" i="27"/>
  <c r="DN80" i="27"/>
  <c r="DS80" i="27"/>
  <c r="DK80" i="27"/>
  <c r="DP80" i="27"/>
  <c r="DL80" i="27"/>
  <c r="DR80" i="27"/>
  <c r="DJ80" i="27"/>
  <c r="DO80" i="27"/>
  <c r="DT80" i="27"/>
  <c r="DI104" i="27"/>
  <c r="DM104" i="27"/>
  <c r="DQ104" i="27"/>
  <c r="DN104" i="27"/>
  <c r="DS104" i="27"/>
  <c r="DK104" i="27"/>
  <c r="DP104" i="27"/>
  <c r="DO104" i="27"/>
  <c r="DR104" i="27"/>
  <c r="DT104" i="27"/>
  <c r="DJ104" i="27"/>
  <c r="DL104" i="27"/>
  <c r="DI128" i="27"/>
  <c r="DM128" i="27"/>
  <c r="DQ128" i="27"/>
  <c r="DK128" i="27"/>
  <c r="DP128" i="27"/>
  <c r="DO128" i="27"/>
  <c r="DJ128" i="27"/>
  <c r="DR128" i="27"/>
  <c r="DN128" i="27"/>
  <c r="DS128" i="27"/>
  <c r="DT128" i="27"/>
  <c r="DL128" i="27"/>
  <c r="DO15" i="27"/>
  <c r="DS15" i="27"/>
  <c r="DL15" i="27"/>
  <c r="DQ15" i="27"/>
  <c r="DJ15" i="27"/>
  <c r="DR15" i="27"/>
  <c r="DN15" i="27"/>
  <c r="DT15" i="27"/>
  <c r="DM15" i="27"/>
  <c r="DP15" i="27"/>
  <c r="DI15" i="27"/>
  <c r="DL39" i="27"/>
  <c r="DP39" i="27"/>
  <c r="DT39" i="27"/>
  <c r="DM39" i="27"/>
  <c r="DR39" i="27"/>
  <c r="DJ39" i="27"/>
  <c r="DO39" i="27"/>
  <c r="DN39" i="27"/>
  <c r="DI39" i="27"/>
  <c r="DS39" i="27"/>
  <c r="DQ39" i="27"/>
  <c r="DL63" i="27"/>
  <c r="DP63" i="27"/>
  <c r="DT63" i="27"/>
  <c r="DJ63" i="27"/>
  <c r="DO63" i="27"/>
  <c r="DN63" i="27"/>
  <c r="DR63" i="27"/>
  <c r="DM63" i="27"/>
  <c r="DS63" i="27"/>
  <c r="DI63" i="27"/>
  <c r="DQ63" i="27"/>
  <c r="DI87" i="27"/>
  <c r="DM87" i="27"/>
  <c r="DQ87" i="27"/>
  <c r="DJ87" i="27"/>
  <c r="DO87" i="27"/>
  <c r="DT87" i="27"/>
  <c r="DL87" i="27"/>
  <c r="DR87" i="27"/>
  <c r="DP87" i="27"/>
  <c r="DK87" i="27"/>
  <c r="DN87" i="27"/>
  <c r="DS87" i="27"/>
  <c r="DI111" i="27"/>
  <c r="DM111" i="27"/>
  <c r="DQ111" i="27"/>
  <c r="DL111" i="27"/>
  <c r="DR111" i="27"/>
  <c r="DK111" i="27"/>
  <c r="DS111" i="27"/>
  <c r="DN111" i="27"/>
  <c r="DO111" i="27"/>
  <c r="DT111" i="27"/>
  <c r="DJ111" i="27"/>
  <c r="DP111" i="27"/>
  <c r="DI136" i="27"/>
  <c r="DM136" i="27"/>
  <c r="DQ136" i="27"/>
  <c r="DK136" i="27"/>
  <c r="DP136" i="27"/>
  <c r="DJ136" i="27"/>
  <c r="DR136" i="27"/>
  <c r="DL136" i="27"/>
  <c r="DS136" i="27"/>
  <c r="DN136" i="27"/>
  <c r="DT136" i="27"/>
  <c r="DO136" i="27"/>
  <c r="DO29" i="27"/>
  <c r="DS29" i="27"/>
  <c r="DI29" i="27"/>
  <c r="DN29" i="27"/>
  <c r="DT29" i="27"/>
  <c r="DM29" i="27"/>
  <c r="DJ29" i="27"/>
  <c r="DQ29" i="27"/>
  <c r="DP29" i="27"/>
  <c r="DR29" i="27"/>
  <c r="DL29" i="27"/>
  <c r="DL53" i="27"/>
  <c r="DP53" i="27"/>
  <c r="DT53" i="27"/>
  <c r="DM53" i="27"/>
  <c r="DR53" i="27"/>
  <c r="DN53" i="27"/>
  <c r="DJ53" i="27"/>
  <c r="DQ53" i="27"/>
  <c r="DS53" i="27"/>
  <c r="DO53" i="27"/>
  <c r="DI53" i="27"/>
  <c r="DI77" i="27"/>
  <c r="DM77" i="27"/>
  <c r="DQ77" i="27"/>
  <c r="DL77" i="27"/>
  <c r="DR77" i="27"/>
  <c r="DJ77" i="27"/>
  <c r="DO77" i="27"/>
  <c r="DT77" i="27"/>
  <c r="DP77" i="27"/>
  <c r="DN77" i="27"/>
  <c r="DS77" i="27"/>
  <c r="DI101" i="27"/>
  <c r="DM101" i="27"/>
  <c r="DQ101" i="27"/>
  <c r="DL101" i="27"/>
  <c r="DR101" i="27"/>
  <c r="DJ101" i="27"/>
  <c r="DO101" i="27"/>
  <c r="DT101" i="27"/>
  <c r="DS101" i="27"/>
  <c r="DK101" i="27"/>
  <c r="DN101" i="27"/>
  <c r="DP101" i="27"/>
  <c r="DI125" i="27"/>
  <c r="DM125" i="27"/>
  <c r="DQ125" i="27"/>
  <c r="DJ125" i="27"/>
  <c r="DO125" i="27"/>
  <c r="DT125" i="27"/>
  <c r="DN125" i="27"/>
  <c r="DP125" i="27"/>
  <c r="DR125" i="27"/>
  <c r="DK125" i="27"/>
  <c r="DL125" i="27"/>
  <c r="DS125" i="27"/>
  <c r="DL52" i="27"/>
  <c r="DP52" i="27"/>
  <c r="DT52" i="27"/>
  <c r="DK52" i="27"/>
  <c r="DQ52" i="27"/>
  <c r="DI52" i="27"/>
  <c r="DN52" i="27"/>
  <c r="DS52" i="27"/>
  <c r="DR52" i="27"/>
  <c r="DM52" i="27"/>
  <c r="DO52" i="27"/>
  <c r="DJ52" i="27"/>
  <c r="DL58" i="27"/>
  <c r="DP58" i="27"/>
  <c r="DT58" i="27"/>
  <c r="DQ58" i="27"/>
  <c r="DJ58" i="27"/>
  <c r="DR58" i="27"/>
  <c r="DN58" i="27"/>
  <c r="DI58" i="27"/>
  <c r="DO58" i="27"/>
  <c r="DM58" i="27"/>
  <c r="DS58" i="27"/>
  <c r="DO28" i="27"/>
  <c r="DS28" i="27"/>
  <c r="DJ28" i="27"/>
  <c r="DP28" i="27"/>
  <c r="DL28" i="27"/>
  <c r="DR28" i="27"/>
  <c r="DN28" i="27"/>
  <c r="DT28" i="27"/>
  <c r="DM28" i="27"/>
  <c r="DQ28" i="27"/>
  <c r="DI28" i="27"/>
  <c r="DO34" i="27"/>
  <c r="DS34" i="27"/>
  <c r="DM34" i="27"/>
  <c r="DR34" i="27"/>
  <c r="DJ34" i="27"/>
  <c r="DQ34" i="27"/>
  <c r="DN34" i="27"/>
  <c r="DT34" i="27"/>
  <c r="DL34" i="27"/>
  <c r="DP34" i="27"/>
  <c r="DI34" i="27"/>
  <c r="DL46" i="27"/>
  <c r="DP46" i="27"/>
  <c r="DT46" i="27"/>
  <c r="DI46" i="27"/>
  <c r="DN46" i="27"/>
  <c r="DS46" i="27"/>
  <c r="DQ46" i="27"/>
  <c r="DO46" i="27"/>
  <c r="DJ46" i="27"/>
  <c r="DM46" i="27"/>
  <c r="DR46" i="27"/>
  <c r="DI82" i="27"/>
  <c r="DM82" i="27"/>
  <c r="DQ82" i="27"/>
  <c r="DP82" i="27"/>
  <c r="DN82" i="27"/>
  <c r="DS82" i="27"/>
  <c r="DJ82" i="27"/>
  <c r="DO82" i="27"/>
  <c r="DL82" i="27"/>
  <c r="DR82" i="27"/>
  <c r="DT82" i="27"/>
  <c r="DO18" i="27"/>
  <c r="DS18" i="27"/>
  <c r="DM18" i="27"/>
  <c r="DR18" i="27"/>
  <c r="DJ18" i="27"/>
  <c r="DQ18" i="27"/>
  <c r="DN18" i="27"/>
  <c r="DL18" i="27"/>
  <c r="DT18" i="27"/>
  <c r="DI18" i="27"/>
  <c r="DP18" i="27"/>
  <c r="DL42" i="27"/>
  <c r="DP42" i="27"/>
  <c r="DT42" i="27"/>
  <c r="DI42" i="27"/>
  <c r="DN42" i="27"/>
  <c r="DS42" i="27"/>
  <c r="DQ42" i="27"/>
  <c r="DJ42" i="27"/>
  <c r="DO42" i="27"/>
  <c r="DR42" i="27"/>
  <c r="DM42" i="27"/>
  <c r="DL66" i="27"/>
  <c r="DP66" i="27"/>
  <c r="DT66" i="27"/>
  <c r="DK66" i="27"/>
  <c r="DQ66" i="27"/>
  <c r="DN66" i="27"/>
  <c r="DJ66" i="27"/>
  <c r="DR66" i="27"/>
  <c r="DM66" i="27"/>
  <c r="DS66" i="27"/>
  <c r="DO66" i="27"/>
  <c r="DI66" i="27"/>
  <c r="DI90" i="27"/>
  <c r="DM90" i="27"/>
  <c r="DQ90" i="27"/>
  <c r="DP90" i="27"/>
  <c r="DN90" i="27"/>
  <c r="DS90" i="27"/>
  <c r="DL90" i="27"/>
  <c r="DO90" i="27"/>
  <c r="DR90" i="27"/>
  <c r="DT90" i="27"/>
  <c r="DJ90" i="27"/>
  <c r="DI114" i="27"/>
  <c r="DM114" i="27"/>
  <c r="DQ114" i="27"/>
  <c r="DN114" i="27"/>
  <c r="DS114" i="27"/>
  <c r="DK114" i="27"/>
  <c r="DR114" i="27"/>
  <c r="DO114" i="27"/>
  <c r="DP114" i="27"/>
  <c r="DJ114" i="27"/>
  <c r="DL114" i="27"/>
  <c r="DT114" i="27"/>
  <c r="DI139" i="27"/>
  <c r="DM139" i="27"/>
  <c r="DQ139" i="27"/>
  <c r="DL139" i="27"/>
  <c r="DR139" i="27"/>
  <c r="DJ139" i="27"/>
  <c r="DP139" i="27"/>
  <c r="DK139" i="27"/>
  <c r="DS139" i="27"/>
  <c r="DN139" i="27"/>
  <c r="DT139" i="27"/>
  <c r="DO139" i="27"/>
  <c r="DO13" i="27"/>
  <c r="DS13" i="27"/>
  <c r="DI13" i="27"/>
  <c r="DN13" i="27"/>
  <c r="DT13" i="27"/>
  <c r="DM13" i="27"/>
  <c r="DJ13" i="27"/>
  <c r="DQ13" i="27"/>
  <c r="DP13" i="27"/>
  <c r="DL13" i="27"/>
  <c r="DR13" i="27"/>
  <c r="DL37" i="27"/>
  <c r="DP37" i="27"/>
  <c r="DT37" i="27"/>
  <c r="DJ37" i="27"/>
  <c r="DO37" i="27"/>
  <c r="DM37" i="27"/>
  <c r="DR37" i="27"/>
  <c r="DQ37" i="27"/>
  <c r="DN37" i="27"/>
  <c r="DS37" i="27"/>
  <c r="DI37" i="27"/>
  <c r="DL61" i="27"/>
  <c r="DP61" i="27"/>
  <c r="DT61" i="27"/>
  <c r="DM61" i="27"/>
  <c r="DR61" i="27"/>
  <c r="DJ61" i="27"/>
  <c r="DQ61" i="27"/>
  <c r="DN61" i="27"/>
  <c r="DI61" i="27"/>
  <c r="DO61" i="27"/>
  <c r="DS61" i="27"/>
  <c r="DK61" i="27"/>
  <c r="DI85" i="27"/>
  <c r="DM85" i="27"/>
  <c r="DQ85" i="27"/>
  <c r="DL85" i="27"/>
  <c r="DR85" i="27"/>
  <c r="DJ85" i="27"/>
  <c r="DO85" i="27"/>
  <c r="DT85" i="27"/>
  <c r="DS85" i="27"/>
  <c r="DP85" i="27"/>
  <c r="DN85" i="27"/>
  <c r="DI115" i="27"/>
  <c r="DM115" i="27"/>
  <c r="DQ115" i="27"/>
  <c r="DL115" i="27"/>
  <c r="DR115" i="27"/>
  <c r="DN115" i="27"/>
  <c r="DT115" i="27"/>
  <c r="DO115" i="27"/>
  <c r="DJ115" i="27"/>
  <c r="DP115" i="27"/>
  <c r="DS115" i="27"/>
  <c r="DO14" i="27"/>
  <c r="DS14" i="27"/>
  <c r="DM14" i="27"/>
  <c r="DR14" i="27"/>
  <c r="DI14" i="27"/>
  <c r="DP14" i="27"/>
  <c r="DL14" i="27"/>
  <c r="DT14" i="27"/>
  <c r="DQ14" i="27"/>
  <c r="DJ14" i="27"/>
  <c r="DN14" i="27"/>
  <c r="DL38" i="27"/>
  <c r="DP38" i="27"/>
  <c r="DT38" i="27"/>
  <c r="DI38" i="27"/>
  <c r="DN38" i="27"/>
  <c r="DS38" i="27"/>
  <c r="DQ38" i="27"/>
  <c r="DO38" i="27"/>
  <c r="DJ38" i="27"/>
  <c r="DM38" i="27"/>
  <c r="DR38" i="27"/>
  <c r="DL62" i="27"/>
  <c r="DP62" i="27"/>
  <c r="DT62" i="27"/>
  <c r="DQ62" i="27"/>
  <c r="DM62" i="27"/>
  <c r="DS62" i="27"/>
  <c r="DI62" i="27"/>
  <c r="DO62" i="27"/>
  <c r="DJ62" i="27"/>
  <c r="DR62" i="27"/>
  <c r="DN62" i="27"/>
  <c r="DI86" i="27"/>
  <c r="DM86" i="27"/>
  <c r="DQ86" i="27"/>
  <c r="DK86" i="27"/>
  <c r="DP86" i="27"/>
  <c r="DN86" i="27"/>
  <c r="DS86" i="27"/>
  <c r="DR86" i="27"/>
  <c r="DT86" i="27"/>
  <c r="DJ86" i="27"/>
  <c r="DL86" i="27"/>
  <c r="DO86" i="27"/>
  <c r="DI110" i="27"/>
  <c r="DM110" i="27"/>
  <c r="DQ110" i="27"/>
  <c r="DN110" i="27"/>
  <c r="DS110" i="27"/>
  <c r="DJ110" i="27"/>
  <c r="DP110" i="27"/>
  <c r="DO110" i="27"/>
  <c r="DR110" i="27"/>
  <c r="DL110" i="27"/>
  <c r="DT110" i="27"/>
  <c r="DI134" i="27"/>
  <c r="DM134" i="27"/>
  <c r="DQ134" i="27"/>
  <c r="DN134" i="27"/>
  <c r="DS134" i="27"/>
  <c r="DL134" i="27"/>
  <c r="DT134" i="27"/>
  <c r="DO134" i="27"/>
  <c r="DJ134" i="27"/>
  <c r="DP134" i="27"/>
  <c r="DR134" i="27"/>
  <c r="DO21" i="27"/>
  <c r="DS21" i="27"/>
  <c r="DI21" i="27"/>
  <c r="DN21" i="27"/>
  <c r="DT21" i="27"/>
  <c r="DJ21" i="27"/>
  <c r="DQ21" i="27"/>
  <c r="DM21" i="27"/>
  <c r="DR21" i="27"/>
  <c r="DL21" i="27"/>
  <c r="DP21" i="27"/>
  <c r="DL45" i="27"/>
  <c r="DP45" i="27"/>
  <c r="DT45" i="27"/>
  <c r="DJ45" i="27"/>
  <c r="DO45" i="27"/>
  <c r="DM45" i="27"/>
  <c r="DR45" i="27"/>
  <c r="DQ45" i="27"/>
  <c r="DN45" i="27"/>
  <c r="DI45" i="27"/>
  <c r="DS45" i="27"/>
  <c r="DL69" i="27"/>
  <c r="DP69" i="27"/>
  <c r="DT69" i="27"/>
  <c r="DM69" i="27"/>
  <c r="DR69" i="27"/>
  <c r="DN69" i="27"/>
  <c r="DJ69" i="27"/>
  <c r="DQ69" i="27"/>
  <c r="DS69" i="27"/>
  <c r="DI69" i="27"/>
  <c r="DO69" i="27"/>
  <c r="DI93" i="27"/>
  <c r="DM93" i="27"/>
  <c r="DQ93" i="27"/>
  <c r="DL93" i="27"/>
  <c r="DR93" i="27"/>
  <c r="DJ93" i="27"/>
  <c r="DO93" i="27"/>
  <c r="DT93" i="27"/>
  <c r="DS93" i="27"/>
  <c r="DK93" i="27"/>
  <c r="DN93" i="27"/>
  <c r="DP93" i="27"/>
  <c r="DI117" i="27"/>
  <c r="DM117" i="27"/>
  <c r="DQ117" i="27"/>
  <c r="DJ117" i="27"/>
  <c r="DO117" i="27"/>
  <c r="DT117" i="27"/>
  <c r="DR117" i="27"/>
  <c r="DP117" i="27"/>
  <c r="DS117" i="27"/>
  <c r="DL117" i="27"/>
  <c r="DN117" i="27"/>
  <c r="DO11" i="27"/>
  <c r="DS11" i="27"/>
  <c r="DI11" i="27"/>
  <c r="DN11" i="27"/>
  <c r="DL11" i="27"/>
  <c r="DQ11" i="27"/>
  <c r="DP11" i="27"/>
  <c r="DJ11" i="27"/>
  <c r="DT11" i="27"/>
  <c r="DR11" i="27"/>
  <c r="DM11" i="27"/>
  <c r="DL35" i="27"/>
  <c r="DP35" i="27"/>
  <c r="DT35" i="27"/>
  <c r="DM35" i="27"/>
  <c r="DR35" i="27"/>
  <c r="DI35" i="27"/>
  <c r="DO35" i="27"/>
  <c r="DS35" i="27"/>
  <c r="DN35" i="27"/>
  <c r="DQ35" i="27"/>
  <c r="DJ35" i="27"/>
  <c r="DL59" i="27"/>
  <c r="DP59" i="27"/>
  <c r="DT59" i="27"/>
  <c r="DJ59" i="27"/>
  <c r="DO59" i="27"/>
  <c r="DM59" i="27"/>
  <c r="DS59" i="27"/>
  <c r="DI59" i="27"/>
  <c r="DQ59" i="27"/>
  <c r="DK59" i="27"/>
  <c r="DR59" i="27"/>
  <c r="DN59" i="27"/>
  <c r="DI83" i="27"/>
  <c r="DM83" i="27"/>
  <c r="DQ83" i="27"/>
  <c r="DJ83" i="27"/>
  <c r="DO83" i="27"/>
  <c r="DT83" i="27"/>
  <c r="DL83" i="27"/>
  <c r="DR83" i="27"/>
  <c r="DN83" i="27"/>
  <c r="DP83" i="27"/>
  <c r="DS83" i="27"/>
  <c r="DI107" i="27"/>
  <c r="DM107" i="27"/>
  <c r="DQ107" i="27"/>
  <c r="DL107" i="27"/>
  <c r="DR107" i="27"/>
  <c r="DJ107" i="27"/>
  <c r="DP107" i="27"/>
  <c r="DN107" i="27"/>
  <c r="DO107" i="27"/>
  <c r="DK107" i="27"/>
  <c r="DS107" i="27"/>
  <c r="DT107" i="27"/>
  <c r="DI131" i="27"/>
  <c r="DM131" i="27"/>
  <c r="DQ131" i="27"/>
  <c r="DL131" i="27"/>
  <c r="DR131" i="27"/>
  <c r="DN131" i="27"/>
  <c r="DT131" i="27"/>
  <c r="DO131" i="27"/>
  <c r="DJ131" i="27"/>
  <c r="DP131" i="27"/>
  <c r="DS131" i="27"/>
  <c r="DI88" i="27"/>
  <c r="DM88" i="27"/>
  <c r="DQ88" i="27"/>
  <c r="DN88" i="27"/>
  <c r="DS88" i="27"/>
  <c r="DK88" i="27"/>
  <c r="DP88" i="27"/>
  <c r="DO88" i="27"/>
  <c r="DJ88" i="27"/>
  <c r="DL88" i="27"/>
  <c r="DR88" i="27"/>
  <c r="DT88" i="27"/>
  <c r="DI94" i="27"/>
  <c r="DM94" i="27"/>
  <c r="DQ94" i="27"/>
  <c r="DP94" i="27"/>
  <c r="DN94" i="27"/>
  <c r="DS94" i="27"/>
  <c r="DR94" i="27"/>
  <c r="DJ94" i="27"/>
  <c r="DL94" i="27"/>
  <c r="DO94" i="27"/>
  <c r="DT94" i="27"/>
  <c r="DL64" i="27"/>
  <c r="DP64" i="27"/>
  <c r="DT64" i="27"/>
  <c r="DI64" i="27"/>
  <c r="DN64" i="27"/>
  <c r="DS64" i="27"/>
  <c r="DJ64" i="27"/>
  <c r="DQ64" i="27"/>
  <c r="DM64" i="27"/>
  <c r="DO64" i="27"/>
  <c r="DR64" i="27"/>
  <c r="DL70" i="27"/>
  <c r="DP70" i="27"/>
  <c r="DQ70" i="27"/>
  <c r="DI70" i="27"/>
  <c r="DO70" i="27"/>
  <c r="DM70" i="27"/>
  <c r="DS70" i="27"/>
  <c r="DN70" i="27"/>
  <c r="DT70" i="27"/>
  <c r="DJ70" i="27"/>
  <c r="DR70" i="27"/>
  <c r="DI118" i="27"/>
  <c r="DM118" i="27"/>
  <c r="DQ118" i="27"/>
  <c r="DN118" i="27"/>
  <c r="DS118" i="27"/>
  <c r="DL118" i="27"/>
  <c r="DT118" i="27"/>
  <c r="DO118" i="27"/>
  <c r="DP118" i="27"/>
  <c r="DK118" i="27"/>
  <c r="DR118" i="27"/>
  <c r="DJ118" i="27"/>
  <c r="DL40" i="27"/>
  <c r="DP40" i="27"/>
  <c r="DT40" i="27"/>
  <c r="DQ40" i="27"/>
  <c r="DI40" i="27"/>
  <c r="DN40" i="27"/>
  <c r="DS40" i="27"/>
  <c r="DM40" i="27"/>
  <c r="DR40" i="27"/>
  <c r="DJ40" i="27"/>
  <c r="DO40" i="27"/>
  <c r="DI112" i="27"/>
  <c r="DM112" i="27"/>
  <c r="DQ112" i="27"/>
  <c r="DK112" i="27"/>
  <c r="DP112" i="27"/>
  <c r="DN112" i="27"/>
  <c r="DT112" i="27"/>
  <c r="DJ112" i="27"/>
  <c r="DS112" i="27"/>
  <c r="DL112" i="27"/>
  <c r="DO112" i="27"/>
  <c r="DR112" i="27"/>
  <c r="AX26" i="27"/>
  <c r="BB26" i="27"/>
  <c r="BF26" i="27"/>
  <c r="BC26" i="27"/>
  <c r="AZ26" i="27"/>
  <c r="BG26" i="27"/>
  <c r="BA26" i="27"/>
  <c r="AV26" i="27"/>
  <c r="BE26" i="27"/>
  <c r="AY26" i="27"/>
  <c r="BD26" i="27"/>
  <c r="AV58" i="27"/>
  <c r="AZ58" i="27"/>
  <c r="BD58" i="27"/>
  <c r="AY58" i="27"/>
  <c r="BE58" i="27"/>
  <c r="BB58" i="27"/>
  <c r="BG58" i="27"/>
  <c r="BA58" i="27"/>
  <c r="BC58" i="27"/>
  <c r="BF58" i="27"/>
  <c r="AX58" i="27"/>
  <c r="AX18" i="27"/>
  <c r="BB18" i="27"/>
  <c r="BF18" i="27"/>
  <c r="BC18" i="27"/>
  <c r="AV18" i="27"/>
  <c r="BD18" i="27"/>
  <c r="AZ18" i="27"/>
  <c r="BG18" i="27"/>
  <c r="AY18" i="27"/>
  <c r="BE18" i="27"/>
  <c r="BA18" i="27"/>
  <c r="AX34" i="27"/>
  <c r="BB34" i="27"/>
  <c r="BF34" i="27"/>
  <c r="BC34" i="27"/>
  <c r="AV34" i="27"/>
  <c r="BD34" i="27"/>
  <c r="AZ34" i="27"/>
  <c r="BE34" i="27"/>
  <c r="AY34" i="27"/>
  <c r="BA34" i="27"/>
  <c r="BG34" i="27"/>
  <c r="AV50" i="27"/>
  <c r="AZ50" i="27"/>
  <c r="BD50" i="27"/>
  <c r="AY50" i="27"/>
  <c r="BE50" i="27"/>
  <c r="BB50" i="27"/>
  <c r="BG50" i="27"/>
  <c r="BA50" i="27"/>
  <c r="BC50" i="27"/>
  <c r="BF50" i="27"/>
  <c r="AX50" i="27"/>
  <c r="AV66" i="27"/>
  <c r="AZ66" i="27"/>
  <c r="BD66" i="27"/>
  <c r="AY66" i="27"/>
  <c r="BE66" i="27"/>
  <c r="BB66" i="27"/>
  <c r="BG66" i="27"/>
  <c r="BA66" i="27"/>
  <c r="BC66" i="27"/>
  <c r="BF66" i="27"/>
  <c r="AX66" i="27"/>
  <c r="AX82" i="27"/>
  <c r="BB82" i="27"/>
  <c r="BF82" i="27"/>
  <c r="AV82" i="27"/>
  <c r="AZ82" i="27"/>
  <c r="BD82" i="27"/>
  <c r="BC82" i="27"/>
  <c r="BE82" i="27"/>
  <c r="AY82" i="27"/>
  <c r="BG82" i="27"/>
  <c r="BA82" i="27"/>
  <c r="AY98" i="27"/>
  <c r="BC98" i="27"/>
  <c r="BG98" i="27"/>
  <c r="AV98" i="27"/>
  <c r="AZ98" i="27"/>
  <c r="BD98" i="27"/>
  <c r="BA98" i="27"/>
  <c r="BE98" i="27"/>
  <c r="AX98" i="27"/>
  <c r="BB98" i="27"/>
  <c r="BF98" i="27"/>
  <c r="AY114" i="27"/>
  <c r="BC114" i="27"/>
  <c r="BG114" i="27"/>
  <c r="BA114" i="27"/>
  <c r="BE114" i="27"/>
  <c r="AZ114" i="27"/>
  <c r="BB114" i="27"/>
  <c r="AV114" i="27"/>
  <c r="BD114" i="27"/>
  <c r="AX114" i="27"/>
  <c r="BF114" i="27"/>
  <c r="AY130" i="27"/>
  <c r="BC130" i="27"/>
  <c r="BG130" i="27"/>
  <c r="AW130" i="27"/>
  <c r="BA130" i="27"/>
  <c r="BE130" i="27"/>
  <c r="AZ130" i="27"/>
  <c r="BB130" i="27"/>
  <c r="AV130" i="27"/>
  <c r="BD130" i="27"/>
  <c r="AX130" i="27"/>
  <c r="BF130" i="27"/>
  <c r="AX12" i="27"/>
  <c r="BB12" i="27"/>
  <c r="BF12" i="27"/>
  <c r="AZ12" i="27"/>
  <c r="BE12" i="27"/>
  <c r="BD12" i="27"/>
  <c r="BA12" i="27"/>
  <c r="AY12" i="27"/>
  <c r="BG12" i="27"/>
  <c r="BC12" i="27"/>
  <c r="AV12" i="27"/>
  <c r="AX28" i="27"/>
  <c r="BB28" i="27"/>
  <c r="BF28" i="27"/>
  <c r="AZ28" i="27"/>
  <c r="BE28" i="27"/>
  <c r="BD28" i="27"/>
  <c r="AV28" i="27"/>
  <c r="BG28" i="27"/>
  <c r="BA28" i="27"/>
  <c r="AY28" i="27"/>
  <c r="BC28" i="27"/>
  <c r="AV48" i="27"/>
  <c r="AZ48" i="27"/>
  <c r="BD48" i="27"/>
  <c r="BB48" i="27"/>
  <c r="BG48" i="27"/>
  <c r="AY48" i="27"/>
  <c r="BE48" i="27"/>
  <c r="BC48" i="27"/>
  <c r="BF48" i="27"/>
  <c r="AX48" i="27"/>
  <c r="BA48" i="27"/>
  <c r="AV72" i="27"/>
  <c r="AZ72" i="27"/>
  <c r="BD72" i="27"/>
  <c r="BB72" i="27"/>
  <c r="BG72" i="27"/>
  <c r="AY72" i="27"/>
  <c r="BE72" i="27"/>
  <c r="BC72" i="27"/>
  <c r="BF72" i="27"/>
  <c r="AX72" i="27"/>
  <c r="BA72" i="27"/>
  <c r="AY104" i="27"/>
  <c r="BC104" i="27"/>
  <c r="BG104" i="27"/>
  <c r="BA104" i="27"/>
  <c r="BE104" i="27"/>
  <c r="AZ104" i="27"/>
  <c r="BB104" i="27"/>
  <c r="AV104" i="27"/>
  <c r="BD104" i="27"/>
  <c r="AX104" i="27"/>
  <c r="BF104" i="27"/>
  <c r="AY137" i="27"/>
  <c r="BC137" i="27"/>
  <c r="BG137" i="27"/>
  <c r="BA137" i="27"/>
  <c r="BE137" i="27"/>
  <c r="AV137" i="27"/>
  <c r="BD137" i="27"/>
  <c r="AX137" i="27"/>
  <c r="BF137" i="27"/>
  <c r="AZ137" i="27"/>
  <c r="BB137" i="27"/>
  <c r="AX19" i="27"/>
  <c r="BB19" i="27"/>
  <c r="BF19" i="27"/>
  <c r="AV19" i="27"/>
  <c r="BA19" i="27"/>
  <c r="BG19" i="27"/>
  <c r="AY19" i="27"/>
  <c r="BE19" i="27"/>
  <c r="BC19" i="27"/>
  <c r="AZ19" i="27"/>
  <c r="BD19" i="27"/>
  <c r="AX35" i="27"/>
  <c r="AV35" i="27"/>
  <c r="BA35" i="27"/>
  <c r="BE35" i="27"/>
  <c r="AY35" i="27"/>
  <c r="BD35" i="27"/>
  <c r="BF35" i="27"/>
  <c r="BB35" i="27"/>
  <c r="AZ35" i="27"/>
  <c r="BC35" i="27"/>
  <c r="BG35" i="27"/>
  <c r="AV51" i="27"/>
  <c r="AZ51" i="27"/>
  <c r="BD51" i="27"/>
  <c r="AX51" i="27"/>
  <c r="BC51" i="27"/>
  <c r="BA51" i="27"/>
  <c r="BF51" i="27"/>
  <c r="AY51" i="27"/>
  <c r="BB51" i="27"/>
  <c r="BE51" i="27"/>
  <c r="BG51" i="27"/>
  <c r="AV67" i="27"/>
  <c r="AZ67" i="27"/>
  <c r="BD67" i="27"/>
  <c r="AX67" i="27"/>
  <c r="BC67" i="27"/>
  <c r="BA67" i="27"/>
  <c r="BF67" i="27"/>
  <c r="AY67" i="27"/>
  <c r="BB67" i="27"/>
  <c r="BE67" i="27"/>
  <c r="BG67" i="27"/>
  <c r="AX83" i="27"/>
  <c r="BB83" i="27"/>
  <c r="BF83" i="27"/>
  <c r="AV83" i="27"/>
  <c r="AZ83" i="27"/>
  <c r="BD83" i="27"/>
  <c r="AY83" i="27"/>
  <c r="BG83" i="27"/>
  <c r="BA83" i="27"/>
  <c r="BC83" i="27"/>
  <c r="BE83" i="27"/>
  <c r="AY99" i="27"/>
  <c r="BC99" i="27"/>
  <c r="BG99" i="27"/>
  <c r="AV99" i="27"/>
  <c r="AZ99" i="27"/>
  <c r="BD99" i="27"/>
  <c r="BA99" i="27"/>
  <c r="BE99" i="27"/>
  <c r="AX99" i="27"/>
  <c r="BB99" i="27"/>
  <c r="BF99" i="27"/>
  <c r="AY115" i="27"/>
  <c r="BC115" i="27"/>
  <c r="BG115" i="27"/>
  <c r="BA115" i="27"/>
  <c r="BE115" i="27"/>
  <c r="AV115" i="27"/>
  <c r="BD115" i="27"/>
  <c r="AX115" i="27"/>
  <c r="BF115" i="27"/>
  <c r="AZ115" i="27"/>
  <c r="BB115" i="27"/>
  <c r="AY131" i="27"/>
  <c r="BC131" i="27"/>
  <c r="BG131" i="27"/>
  <c r="BA131" i="27"/>
  <c r="BE131" i="27"/>
  <c r="AV131" i="27"/>
  <c r="BD131" i="27"/>
  <c r="AX131" i="27"/>
  <c r="BF131" i="27"/>
  <c r="AZ131" i="27"/>
  <c r="BB131" i="27"/>
  <c r="AV44" i="27"/>
  <c r="AZ44" i="27"/>
  <c r="BD44" i="27"/>
  <c r="BB44" i="27"/>
  <c r="BG44" i="27"/>
  <c r="AY44" i="27"/>
  <c r="BE44" i="27"/>
  <c r="AX44" i="27"/>
  <c r="BA44" i="27"/>
  <c r="BC44" i="27"/>
  <c r="BF44" i="27"/>
  <c r="AX84" i="27"/>
  <c r="BB84" i="27"/>
  <c r="BF84" i="27"/>
  <c r="AV84" i="27"/>
  <c r="AZ84" i="27"/>
  <c r="BD84" i="27"/>
  <c r="BC84" i="27"/>
  <c r="BE84" i="27"/>
  <c r="AY84" i="27"/>
  <c r="BG84" i="27"/>
  <c r="BA84" i="27"/>
  <c r="AY116" i="27"/>
  <c r="BC116" i="27"/>
  <c r="BG116" i="27"/>
  <c r="BA116" i="27"/>
  <c r="BE116" i="27"/>
  <c r="AZ116" i="27"/>
  <c r="BB116" i="27"/>
  <c r="AV116" i="27"/>
  <c r="BD116" i="27"/>
  <c r="AX116" i="27"/>
  <c r="BF116" i="27"/>
  <c r="AX33" i="27"/>
  <c r="BB33" i="27"/>
  <c r="BF33" i="27"/>
  <c r="AY33" i="27"/>
  <c r="BD33" i="27"/>
  <c r="BA33" i="27"/>
  <c r="BC33" i="27"/>
  <c r="BG33" i="27"/>
  <c r="BE33" i="27"/>
  <c r="AV33" i="27"/>
  <c r="AZ33" i="27"/>
  <c r="AY97" i="27"/>
  <c r="BC97" i="27"/>
  <c r="BG97" i="27"/>
  <c r="AV97" i="27"/>
  <c r="AZ97" i="27"/>
  <c r="BD97" i="27"/>
  <c r="BA97" i="27"/>
  <c r="BE97" i="27"/>
  <c r="AX97" i="27"/>
  <c r="BB97" i="27"/>
  <c r="BF97" i="27"/>
  <c r="AX13" i="27"/>
  <c r="BB13" i="27"/>
  <c r="BF13" i="27"/>
  <c r="AY13" i="27"/>
  <c r="BD13" i="27"/>
  <c r="AZ13" i="27"/>
  <c r="BG13" i="27"/>
  <c r="AV13" i="27"/>
  <c r="BC13" i="27"/>
  <c r="BA13" i="27"/>
  <c r="BE13" i="27"/>
  <c r="AV77" i="27"/>
  <c r="AZ77" i="27"/>
  <c r="BD77" i="27"/>
  <c r="BA77" i="27"/>
  <c r="BF77" i="27"/>
  <c r="AX77" i="27"/>
  <c r="BC77" i="27"/>
  <c r="BG77" i="27"/>
  <c r="AY77" i="27"/>
  <c r="BB77" i="27"/>
  <c r="BE77" i="27"/>
  <c r="AV53" i="27"/>
  <c r="AZ53" i="27"/>
  <c r="BD53" i="27"/>
  <c r="BA53" i="27"/>
  <c r="BF53" i="27"/>
  <c r="AX53" i="27"/>
  <c r="BC53" i="27"/>
  <c r="BG53" i="27"/>
  <c r="AY53" i="27"/>
  <c r="BB53" i="27"/>
  <c r="BE53" i="27"/>
  <c r="AX25" i="27"/>
  <c r="BB25" i="27"/>
  <c r="BF25" i="27"/>
  <c r="AY25" i="27"/>
  <c r="BD25" i="27"/>
  <c r="BE25" i="27"/>
  <c r="BC25" i="27"/>
  <c r="AZ25" i="27"/>
  <c r="BG25" i="27"/>
  <c r="AV25" i="27"/>
  <c r="BA25" i="27"/>
  <c r="AV73" i="27"/>
  <c r="AZ73" i="27"/>
  <c r="BD73" i="27"/>
  <c r="BA73" i="27"/>
  <c r="BF73" i="27"/>
  <c r="AX73" i="27"/>
  <c r="BC73" i="27"/>
  <c r="BB73" i="27"/>
  <c r="BE73" i="27"/>
  <c r="BG73" i="27"/>
  <c r="AY73" i="27"/>
  <c r="BA41" i="27"/>
  <c r="BE41" i="27"/>
  <c r="AV41" i="27"/>
  <c r="BB41" i="27"/>
  <c r="BG41" i="27"/>
  <c r="AX41" i="27"/>
  <c r="BD41" i="27"/>
  <c r="AZ41" i="27"/>
  <c r="AY41" i="27"/>
  <c r="BC41" i="27"/>
  <c r="BF41" i="27"/>
  <c r="AX22" i="27"/>
  <c r="BB22" i="27"/>
  <c r="BF22" i="27"/>
  <c r="BC22" i="27"/>
  <c r="AY22" i="27"/>
  <c r="BE22" i="27"/>
  <c r="BA22" i="27"/>
  <c r="BG22" i="27"/>
  <c r="AZ22" i="27"/>
  <c r="AV22" i="27"/>
  <c r="BD22" i="27"/>
  <c r="BA38" i="27"/>
  <c r="BE38" i="27"/>
  <c r="AZ38" i="27"/>
  <c r="BF38" i="27"/>
  <c r="AX38" i="27"/>
  <c r="BD38" i="27"/>
  <c r="BB38" i="27"/>
  <c r="BG38" i="27"/>
  <c r="AV38" i="27"/>
  <c r="AY38" i="27"/>
  <c r="BC38" i="27"/>
  <c r="AV54" i="27"/>
  <c r="AZ54" i="27"/>
  <c r="BD54" i="27"/>
  <c r="AY54" i="27"/>
  <c r="BE54" i="27"/>
  <c r="BB54" i="27"/>
  <c r="BG54" i="27"/>
  <c r="BF54" i="27"/>
  <c r="AX54" i="27"/>
  <c r="BA54" i="27"/>
  <c r="BC54" i="27"/>
  <c r="AV70" i="27"/>
  <c r="AZ70" i="27"/>
  <c r="BD70" i="27"/>
  <c r="AY70" i="27"/>
  <c r="BE70" i="27"/>
  <c r="BB70" i="27"/>
  <c r="BG70" i="27"/>
  <c r="BF70" i="27"/>
  <c r="AX70" i="27"/>
  <c r="BA70" i="27"/>
  <c r="BC70" i="27"/>
  <c r="AX86" i="27"/>
  <c r="BB86" i="27"/>
  <c r="BF86" i="27"/>
  <c r="AV86" i="27"/>
  <c r="AZ86" i="27"/>
  <c r="BD86" i="27"/>
  <c r="BC86" i="27"/>
  <c r="BE86" i="27"/>
  <c r="AY86" i="27"/>
  <c r="BG86" i="27"/>
  <c r="BA86" i="27"/>
  <c r="AY102" i="27"/>
  <c r="BC102" i="27"/>
  <c r="BG102" i="27"/>
  <c r="BA102" i="27"/>
  <c r="BE102" i="27"/>
  <c r="AX102" i="27"/>
  <c r="BB102" i="27"/>
  <c r="BF102" i="27"/>
  <c r="BD102" i="27"/>
  <c r="AV102" i="27"/>
  <c r="AZ102" i="27"/>
  <c r="AY118" i="27"/>
  <c r="BC118" i="27"/>
  <c r="BG118" i="27"/>
  <c r="BA118" i="27"/>
  <c r="BE118" i="27"/>
  <c r="AZ118" i="27"/>
  <c r="BB118" i="27"/>
  <c r="AV118" i="27"/>
  <c r="BD118" i="27"/>
  <c r="AX118" i="27"/>
  <c r="BF118" i="27"/>
  <c r="AY134" i="27"/>
  <c r="BC134" i="27"/>
  <c r="BG134" i="27"/>
  <c r="BA134" i="27"/>
  <c r="BE134" i="27"/>
  <c r="AZ134" i="27"/>
  <c r="BB134" i="27"/>
  <c r="AV134" i="27"/>
  <c r="BD134" i="27"/>
  <c r="AX134" i="27"/>
  <c r="BF134" i="27"/>
  <c r="AX16" i="27"/>
  <c r="BB16" i="27"/>
  <c r="BF16" i="27"/>
  <c r="AZ16" i="27"/>
  <c r="BE16" i="27"/>
  <c r="AY16" i="27"/>
  <c r="BG16" i="27"/>
  <c r="AV16" i="27"/>
  <c r="BC16" i="27"/>
  <c r="BA16" i="27"/>
  <c r="BD16" i="27"/>
  <c r="AX32" i="27"/>
  <c r="BB32" i="27"/>
  <c r="BF32" i="27"/>
  <c r="AZ32" i="27"/>
  <c r="BE32" i="27"/>
  <c r="AY32" i="27"/>
  <c r="BG32" i="27"/>
  <c r="AV32" i="27"/>
  <c r="BD32" i="27"/>
  <c r="BA32" i="27"/>
  <c r="BC32" i="27"/>
  <c r="AV52" i="27"/>
  <c r="AZ52" i="27"/>
  <c r="BD52" i="27"/>
  <c r="BB52" i="27"/>
  <c r="BG52" i="27"/>
  <c r="AY52" i="27"/>
  <c r="BE52" i="27"/>
  <c r="AX52" i="27"/>
  <c r="BA52" i="27"/>
  <c r="BC52" i="27"/>
  <c r="BF52" i="27"/>
  <c r="AX80" i="27"/>
  <c r="BB80" i="27"/>
  <c r="BF80" i="27"/>
  <c r="AV80" i="27"/>
  <c r="AZ80" i="27"/>
  <c r="BD80" i="27"/>
  <c r="BC80" i="27"/>
  <c r="BE80" i="27"/>
  <c r="AY80" i="27"/>
  <c r="BG80" i="27"/>
  <c r="BA80" i="27"/>
  <c r="AY112" i="27"/>
  <c r="BC112" i="27"/>
  <c r="BG112" i="27"/>
  <c r="BA112" i="27"/>
  <c r="BE112" i="27"/>
  <c r="AZ112" i="27"/>
  <c r="BB112" i="27"/>
  <c r="AV112" i="27"/>
  <c r="BD112" i="27"/>
  <c r="AX112" i="27"/>
  <c r="BF112" i="27"/>
  <c r="AX7" i="27"/>
  <c r="BB7" i="27"/>
  <c r="BF7" i="27"/>
  <c r="AV7" i="27"/>
  <c r="BA7" i="27"/>
  <c r="BG7" i="27"/>
  <c r="AY7" i="27"/>
  <c r="BC7" i="27"/>
  <c r="AZ7" i="27"/>
  <c r="BE7" i="27"/>
  <c r="AX23" i="27"/>
  <c r="BB23" i="27"/>
  <c r="BF23" i="27"/>
  <c r="AV23" i="27"/>
  <c r="BA23" i="27"/>
  <c r="BG23" i="27"/>
  <c r="AZ23" i="27"/>
  <c r="BD23" i="27"/>
  <c r="BC23" i="27"/>
  <c r="AY23" i="27"/>
  <c r="BE23" i="27"/>
  <c r="BA39" i="27"/>
  <c r="BE39" i="27"/>
  <c r="AY39" i="27"/>
  <c r="BD39" i="27"/>
  <c r="AZ39" i="27"/>
  <c r="BG39" i="27"/>
  <c r="AV39" i="27"/>
  <c r="BC39" i="27"/>
  <c r="AX39" i="27"/>
  <c r="BB39" i="27"/>
  <c r="BF39" i="27"/>
  <c r="AV55" i="27"/>
  <c r="AZ55" i="27"/>
  <c r="BD55" i="27"/>
  <c r="AX55" i="27"/>
  <c r="BC55" i="27"/>
  <c r="BA55" i="27"/>
  <c r="BF55" i="27"/>
  <c r="BE55" i="27"/>
  <c r="BG55" i="27"/>
  <c r="AY55" i="27"/>
  <c r="BB55" i="27"/>
  <c r="AV71" i="27"/>
  <c r="AZ71" i="27"/>
  <c r="BD71" i="27"/>
  <c r="AX71" i="27"/>
  <c r="BC71" i="27"/>
  <c r="BA71" i="27"/>
  <c r="BF71" i="27"/>
  <c r="BE71" i="27"/>
  <c r="BG71" i="27"/>
  <c r="AY71" i="27"/>
  <c r="BB71" i="27"/>
  <c r="AX87" i="27"/>
  <c r="BB87" i="27"/>
  <c r="BF87" i="27"/>
  <c r="AV87" i="27"/>
  <c r="AZ87" i="27"/>
  <c r="BD87" i="27"/>
  <c r="AY87" i="27"/>
  <c r="BG87" i="27"/>
  <c r="BA87" i="27"/>
  <c r="BC87" i="27"/>
  <c r="BE87" i="27"/>
  <c r="AY103" i="27"/>
  <c r="BC103" i="27"/>
  <c r="BG103" i="27"/>
  <c r="BA103" i="27"/>
  <c r="BE103" i="27"/>
  <c r="AX103" i="27"/>
  <c r="BD103" i="27"/>
  <c r="AV103" i="27"/>
  <c r="BF103" i="27"/>
  <c r="AZ103" i="27"/>
  <c r="BB103" i="27"/>
  <c r="AY119" i="27"/>
  <c r="BC119" i="27"/>
  <c r="BG119" i="27"/>
  <c r="BA119" i="27"/>
  <c r="BE119" i="27"/>
  <c r="AV119" i="27"/>
  <c r="BD119" i="27"/>
  <c r="AX119" i="27"/>
  <c r="BF119" i="27"/>
  <c r="AZ119" i="27"/>
  <c r="BB119" i="27"/>
  <c r="AY136" i="27"/>
  <c r="BC136" i="27"/>
  <c r="BG136" i="27"/>
  <c r="BA136" i="27"/>
  <c r="BE136" i="27"/>
  <c r="AZ136" i="27"/>
  <c r="BB136" i="27"/>
  <c r="AV136" i="27"/>
  <c r="BD136" i="27"/>
  <c r="AX136" i="27"/>
  <c r="BF136" i="27"/>
  <c r="AV56" i="27"/>
  <c r="AZ56" i="27"/>
  <c r="BD56" i="27"/>
  <c r="BB56" i="27"/>
  <c r="BG56" i="27"/>
  <c r="AY56" i="27"/>
  <c r="BE56" i="27"/>
  <c r="BC56" i="27"/>
  <c r="BF56" i="27"/>
  <c r="AX56" i="27"/>
  <c r="BA56" i="27"/>
  <c r="AX92" i="27"/>
  <c r="BB92" i="27"/>
  <c r="BF92" i="27"/>
  <c r="AV92" i="27"/>
  <c r="AZ92" i="27"/>
  <c r="BD92" i="27"/>
  <c r="BC92" i="27"/>
  <c r="BE92" i="27"/>
  <c r="AY92" i="27"/>
  <c r="BG92" i="27"/>
  <c r="BA92" i="27"/>
  <c r="AY124" i="27"/>
  <c r="BC124" i="27"/>
  <c r="BG124" i="27"/>
  <c r="BA124" i="27"/>
  <c r="BE124" i="27"/>
  <c r="AZ124" i="27"/>
  <c r="BB124" i="27"/>
  <c r="AV124" i="27"/>
  <c r="BD124" i="27"/>
  <c r="AX124" i="27"/>
  <c r="BF124" i="27"/>
  <c r="AV49" i="27"/>
  <c r="AZ49" i="27"/>
  <c r="BD49" i="27"/>
  <c r="BA49" i="27"/>
  <c r="BF49" i="27"/>
  <c r="AX49" i="27"/>
  <c r="BC49" i="27"/>
  <c r="BB49" i="27"/>
  <c r="BE49" i="27"/>
  <c r="BG49" i="27"/>
  <c r="AY49" i="27"/>
  <c r="AY113" i="27"/>
  <c r="BC113" i="27"/>
  <c r="BG113" i="27"/>
  <c r="BA113" i="27"/>
  <c r="BE113" i="27"/>
  <c r="AV113" i="27"/>
  <c r="BD113" i="27"/>
  <c r="AX113" i="27"/>
  <c r="BF113" i="27"/>
  <c r="AZ113" i="27"/>
  <c r="BB113" i="27"/>
  <c r="AX29" i="27"/>
  <c r="BB29" i="27"/>
  <c r="BF29" i="27"/>
  <c r="AY29" i="27"/>
  <c r="BD29" i="27"/>
  <c r="AZ29" i="27"/>
  <c r="BG29" i="27"/>
  <c r="BC29" i="27"/>
  <c r="AV29" i="27"/>
  <c r="BA29" i="27"/>
  <c r="BE29" i="27"/>
  <c r="AX93" i="27"/>
  <c r="BB93" i="27"/>
  <c r="BF93" i="27"/>
  <c r="AV93" i="27"/>
  <c r="AZ93" i="27"/>
  <c r="BD93" i="27"/>
  <c r="AY93" i="27"/>
  <c r="BG93" i="27"/>
  <c r="BA93" i="27"/>
  <c r="BC93" i="27"/>
  <c r="BE93" i="27"/>
  <c r="AX85" i="27"/>
  <c r="BB85" i="27"/>
  <c r="BF85" i="27"/>
  <c r="AV85" i="27"/>
  <c r="AZ85" i="27"/>
  <c r="BD85" i="27"/>
  <c r="AY85" i="27"/>
  <c r="BG85" i="27"/>
  <c r="BA85" i="27"/>
  <c r="BC85" i="27"/>
  <c r="BE85" i="27"/>
  <c r="AV57" i="27"/>
  <c r="AZ57" i="27"/>
  <c r="BD57" i="27"/>
  <c r="BA57" i="27"/>
  <c r="BF57" i="27"/>
  <c r="AX57" i="27"/>
  <c r="BC57" i="27"/>
  <c r="BB57" i="27"/>
  <c r="BE57" i="27"/>
  <c r="BG57" i="27"/>
  <c r="AY57" i="27"/>
  <c r="AY138" i="27"/>
  <c r="BC138" i="27"/>
  <c r="BG138" i="27"/>
  <c r="BA138" i="27"/>
  <c r="BE138" i="27"/>
  <c r="AZ138" i="27"/>
  <c r="BB138" i="27"/>
  <c r="AV138" i="27"/>
  <c r="BD138" i="27"/>
  <c r="AX138" i="27"/>
  <c r="BF138" i="27"/>
  <c r="AY105" i="27"/>
  <c r="BC105" i="27"/>
  <c r="BG105" i="27"/>
  <c r="BA105" i="27"/>
  <c r="BE105" i="27"/>
  <c r="AV105" i="27"/>
  <c r="BD105" i="27"/>
  <c r="AX105" i="27"/>
  <c r="BF105" i="27"/>
  <c r="AZ105" i="27"/>
  <c r="BB105" i="27"/>
  <c r="BA37" i="27"/>
  <c r="BE37" i="27"/>
  <c r="AV37" i="27"/>
  <c r="BB37" i="27"/>
  <c r="BG37" i="27"/>
  <c r="BC37" i="27"/>
  <c r="AY37" i="27"/>
  <c r="BF37" i="27"/>
  <c r="BD37" i="27"/>
  <c r="AX37" i="27"/>
  <c r="AZ37" i="27"/>
  <c r="AX10" i="27"/>
  <c r="BB10" i="27"/>
  <c r="BF10" i="27"/>
  <c r="BC10" i="27"/>
  <c r="AZ10" i="27"/>
  <c r="BG10" i="27"/>
  <c r="AV10" i="27"/>
  <c r="BD10" i="27"/>
  <c r="BA10" i="27"/>
  <c r="AY10" i="27"/>
  <c r="BE10" i="27"/>
  <c r="AZ42" i="27"/>
  <c r="BD42" i="27"/>
  <c r="AY42" i="27"/>
  <c r="BE42" i="27"/>
  <c r="AV42" i="27"/>
  <c r="BB42" i="27"/>
  <c r="BG42" i="27"/>
  <c r="BA42" i="27"/>
  <c r="BC42" i="27"/>
  <c r="BF42" i="27"/>
  <c r="AX42" i="27"/>
  <c r="AV74" i="27"/>
  <c r="AZ74" i="27"/>
  <c r="BD74" i="27"/>
  <c r="AY74" i="27"/>
  <c r="BE74" i="27"/>
  <c r="BB74" i="27"/>
  <c r="BG74" i="27"/>
  <c r="BA74" i="27"/>
  <c r="BC74" i="27"/>
  <c r="BF74" i="27"/>
  <c r="AX74" i="27"/>
  <c r="AX90" i="27"/>
  <c r="BB90" i="27"/>
  <c r="BF90" i="27"/>
  <c r="AV90" i="27"/>
  <c r="AZ90" i="27"/>
  <c r="BD90" i="27"/>
  <c r="BC90" i="27"/>
  <c r="BE90" i="27"/>
  <c r="AY90" i="27"/>
  <c r="BG90" i="27"/>
  <c r="BA90" i="27"/>
  <c r="AY106" i="27"/>
  <c r="BC106" i="27"/>
  <c r="BG106" i="27"/>
  <c r="BA106" i="27"/>
  <c r="BE106" i="27"/>
  <c r="AZ106" i="27"/>
  <c r="BB106" i="27"/>
  <c r="AV106" i="27"/>
  <c r="BD106" i="27"/>
  <c r="AX106" i="27"/>
  <c r="BF106" i="27"/>
  <c r="AY122" i="27"/>
  <c r="BC122" i="27"/>
  <c r="BG122" i="27"/>
  <c r="BA122" i="27"/>
  <c r="BE122" i="27"/>
  <c r="AZ122" i="27"/>
  <c r="BB122" i="27"/>
  <c r="AV122" i="27"/>
  <c r="BD122" i="27"/>
  <c r="AX122" i="27"/>
  <c r="BF122" i="27"/>
  <c r="AY139" i="27"/>
  <c r="BC139" i="27"/>
  <c r="BG139" i="27"/>
  <c r="BA139" i="27"/>
  <c r="BE139" i="27"/>
  <c r="AV139" i="27"/>
  <c r="BD139" i="27"/>
  <c r="AX139" i="27"/>
  <c r="BF139" i="27"/>
  <c r="AZ139" i="27"/>
  <c r="BB139" i="27"/>
  <c r="AX20" i="27"/>
  <c r="BB20" i="27"/>
  <c r="BF20" i="27"/>
  <c r="AZ20" i="27"/>
  <c r="BE20" i="27"/>
  <c r="BA20" i="27"/>
  <c r="BD20" i="27"/>
  <c r="BC20" i="27"/>
  <c r="AV20" i="27"/>
  <c r="AY20" i="27"/>
  <c r="BG20" i="27"/>
  <c r="BA36" i="27"/>
  <c r="BE36" i="27"/>
  <c r="AX36" i="27"/>
  <c r="BC36" i="27"/>
  <c r="AZ36" i="27"/>
  <c r="BG36" i="27"/>
  <c r="AV36" i="27"/>
  <c r="BD36" i="27"/>
  <c r="BB36" i="27"/>
  <c r="BF36" i="27"/>
  <c r="AY36" i="27"/>
  <c r="AV60" i="27"/>
  <c r="AZ60" i="27"/>
  <c r="BD60" i="27"/>
  <c r="BB60" i="27"/>
  <c r="BG60" i="27"/>
  <c r="AY60" i="27"/>
  <c r="BE60" i="27"/>
  <c r="AX60" i="27"/>
  <c r="BA60" i="27"/>
  <c r="BC60" i="27"/>
  <c r="BF60" i="27"/>
  <c r="AX88" i="27"/>
  <c r="BB88" i="27"/>
  <c r="BF88" i="27"/>
  <c r="AV88" i="27"/>
  <c r="AZ88" i="27"/>
  <c r="BD88" i="27"/>
  <c r="BC88" i="27"/>
  <c r="BE88" i="27"/>
  <c r="AY88" i="27"/>
  <c r="BG88" i="27"/>
  <c r="BA88" i="27"/>
  <c r="AY120" i="27"/>
  <c r="BC120" i="27"/>
  <c r="BG120" i="27"/>
  <c r="BA120" i="27"/>
  <c r="BE120" i="27"/>
  <c r="AZ120" i="27"/>
  <c r="BB120" i="27"/>
  <c r="AV120" i="27"/>
  <c r="BD120" i="27"/>
  <c r="AX120" i="27"/>
  <c r="BF120" i="27"/>
  <c r="AX11" i="27"/>
  <c r="BB11" i="27"/>
  <c r="BF11" i="27"/>
  <c r="AV11" i="27"/>
  <c r="BA11" i="27"/>
  <c r="BG11" i="27"/>
  <c r="BC11" i="27"/>
  <c r="AY11" i="27"/>
  <c r="BE11" i="27"/>
  <c r="BD11" i="27"/>
  <c r="AZ11" i="27"/>
  <c r="AX27" i="27"/>
  <c r="BB27" i="27"/>
  <c r="BF27" i="27"/>
  <c r="AV27" i="27"/>
  <c r="BA27" i="27"/>
  <c r="BG27" i="27"/>
  <c r="BC27" i="27"/>
  <c r="AY27" i="27"/>
  <c r="BD27" i="27"/>
  <c r="AZ27" i="27"/>
  <c r="BE27" i="27"/>
  <c r="AV43" i="27"/>
  <c r="AZ43" i="27"/>
  <c r="BD43" i="27"/>
  <c r="AX43" i="27"/>
  <c r="BC43" i="27"/>
  <c r="BA43" i="27"/>
  <c r="BF43" i="27"/>
  <c r="AY43" i="27"/>
  <c r="BB43" i="27"/>
  <c r="BE43" i="27"/>
  <c r="BG43" i="27"/>
  <c r="AV59" i="27"/>
  <c r="AZ59" i="27"/>
  <c r="BD59" i="27"/>
  <c r="AX59" i="27"/>
  <c r="BC59" i="27"/>
  <c r="BA59" i="27"/>
  <c r="BF59" i="27"/>
  <c r="AY59" i="27"/>
  <c r="BB59" i="27"/>
  <c r="BE59" i="27"/>
  <c r="BG59" i="27"/>
  <c r="AV75" i="27"/>
  <c r="AZ75" i="27"/>
  <c r="BD75" i="27"/>
  <c r="AX75" i="27"/>
  <c r="BC75" i="27"/>
  <c r="BA75" i="27"/>
  <c r="BF75" i="27"/>
  <c r="AY75" i="27"/>
  <c r="BB75" i="27"/>
  <c r="BE75" i="27"/>
  <c r="BG75" i="27"/>
  <c r="AX91" i="27"/>
  <c r="BB91" i="27"/>
  <c r="BF91" i="27"/>
  <c r="AV91" i="27"/>
  <c r="AZ91" i="27"/>
  <c r="BD91" i="27"/>
  <c r="AY91" i="27"/>
  <c r="BG91" i="27"/>
  <c r="BA91" i="27"/>
  <c r="BC91" i="27"/>
  <c r="BE91" i="27"/>
  <c r="AY107" i="27"/>
  <c r="BC107" i="27"/>
  <c r="BG107" i="27"/>
  <c r="BA107" i="27"/>
  <c r="BE107" i="27"/>
  <c r="AV107" i="27"/>
  <c r="BD107" i="27"/>
  <c r="AX107" i="27"/>
  <c r="BF107" i="27"/>
  <c r="AZ107" i="27"/>
  <c r="BB107" i="27"/>
  <c r="AY123" i="27"/>
  <c r="BC123" i="27"/>
  <c r="BG123" i="27"/>
  <c r="BA123" i="27"/>
  <c r="BE123" i="27"/>
  <c r="AV123" i="27"/>
  <c r="BD123" i="27"/>
  <c r="AX123" i="27"/>
  <c r="BF123" i="27"/>
  <c r="AZ123" i="27"/>
  <c r="BB123" i="27"/>
  <c r="AY140" i="27"/>
  <c r="BC140" i="27"/>
  <c r="BG140" i="27"/>
  <c r="BA140" i="27"/>
  <c r="BE140" i="27"/>
  <c r="AZ140" i="27"/>
  <c r="BB140" i="27"/>
  <c r="AV140" i="27"/>
  <c r="BD140" i="27"/>
  <c r="AX140" i="27"/>
  <c r="BF140" i="27"/>
  <c r="AV68" i="27"/>
  <c r="AZ68" i="27"/>
  <c r="BD68" i="27"/>
  <c r="BB68" i="27"/>
  <c r="BG68" i="27"/>
  <c r="AY68" i="27"/>
  <c r="BE68" i="27"/>
  <c r="AX68" i="27"/>
  <c r="BA68" i="27"/>
  <c r="BC68" i="27"/>
  <c r="BF68" i="27"/>
  <c r="AY100" i="27"/>
  <c r="BC100" i="27"/>
  <c r="BG100" i="27"/>
  <c r="AV100" i="27"/>
  <c r="AZ100" i="27"/>
  <c r="BD100" i="27"/>
  <c r="BA100" i="27"/>
  <c r="BE100" i="27"/>
  <c r="AX100" i="27"/>
  <c r="BB100" i="27"/>
  <c r="BF100" i="27"/>
  <c r="AY132" i="27"/>
  <c r="BC132" i="27"/>
  <c r="BG132" i="27"/>
  <c r="BA132" i="27"/>
  <c r="BE132" i="27"/>
  <c r="AZ132" i="27"/>
  <c r="BB132" i="27"/>
  <c r="AV132" i="27"/>
  <c r="BD132" i="27"/>
  <c r="AX132" i="27"/>
  <c r="BF132" i="27"/>
  <c r="AV65" i="27"/>
  <c r="AZ65" i="27"/>
  <c r="BD65" i="27"/>
  <c r="BA65" i="27"/>
  <c r="BF65" i="27"/>
  <c r="AX65" i="27"/>
  <c r="BC65" i="27"/>
  <c r="BB65" i="27"/>
  <c r="BE65" i="27"/>
  <c r="BG65" i="27"/>
  <c r="AY65" i="27"/>
  <c r="AY129" i="27"/>
  <c r="BC129" i="27"/>
  <c r="BG129" i="27"/>
  <c r="BA129" i="27"/>
  <c r="BE129" i="27"/>
  <c r="AV129" i="27"/>
  <c r="BD129" i="27"/>
  <c r="AX129" i="27"/>
  <c r="BF129" i="27"/>
  <c r="AZ129" i="27"/>
  <c r="BB129" i="27"/>
  <c r="AV45" i="27"/>
  <c r="AZ45" i="27"/>
  <c r="BD45" i="27"/>
  <c r="BA45" i="27"/>
  <c r="BF45" i="27"/>
  <c r="AX45" i="27"/>
  <c r="BC45" i="27"/>
  <c r="BG45" i="27"/>
  <c r="AY45" i="27"/>
  <c r="BB45" i="27"/>
  <c r="BE45" i="27"/>
  <c r="AY109" i="27"/>
  <c r="BC109" i="27"/>
  <c r="BG109" i="27"/>
  <c r="BA109" i="27"/>
  <c r="BE109" i="27"/>
  <c r="AV109" i="27"/>
  <c r="BD109" i="27"/>
  <c r="AX109" i="27"/>
  <c r="BF109" i="27"/>
  <c r="AZ109" i="27"/>
  <c r="BB109" i="27"/>
  <c r="AY117" i="27"/>
  <c r="BC117" i="27"/>
  <c r="BG117" i="27"/>
  <c r="BA117" i="27"/>
  <c r="BE117" i="27"/>
  <c r="AV117" i="27"/>
  <c r="BD117" i="27"/>
  <c r="AX117" i="27"/>
  <c r="BF117" i="27"/>
  <c r="AZ117" i="27"/>
  <c r="BB117" i="27"/>
  <c r="AX89" i="27"/>
  <c r="BB89" i="27"/>
  <c r="BF89" i="27"/>
  <c r="AV89" i="27"/>
  <c r="AZ89" i="27"/>
  <c r="BD89" i="27"/>
  <c r="AY89" i="27"/>
  <c r="BG89" i="27"/>
  <c r="BA89" i="27"/>
  <c r="BC89" i="27"/>
  <c r="BE89" i="27"/>
  <c r="AZ6" i="27"/>
  <c r="AX6" i="27"/>
  <c r="BB6" i="27"/>
  <c r="BF6" i="27"/>
  <c r="BE6" i="27"/>
  <c r="AY6" i="27"/>
  <c r="BG6" i="27"/>
  <c r="BA6" i="27"/>
  <c r="BC6" i="27"/>
  <c r="AX14" i="27"/>
  <c r="BB14" i="27"/>
  <c r="BF14" i="27"/>
  <c r="BC14" i="27"/>
  <c r="BA14" i="27"/>
  <c r="AY14" i="27"/>
  <c r="BE14" i="27"/>
  <c r="BD14" i="27"/>
  <c r="AV14" i="27"/>
  <c r="BG14" i="27"/>
  <c r="AZ14" i="27"/>
  <c r="AX30" i="27"/>
  <c r="BB30" i="27"/>
  <c r="BF30" i="27"/>
  <c r="BC30" i="27"/>
  <c r="BA30" i="27"/>
  <c r="AZ30" i="27"/>
  <c r="AV30" i="27"/>
  <c r="BE30" i="27"/>
  <c r="BD30" i="27"/>
  <c r="BG30" i="27"/>
  <c r="AY30" i="27"/>
  <c r="AV46" i="27"/>
  <c r="AZ46" i="27"/>
  <c r="BD46" i="27"/>
  <c r="AY46" i="27"/>
  <c r="BE46" i="27"/>
  <c r="BB46" i="27"/>
  <c r="BG46" i="27"/>
  <c r="BF46" i="27"/>
  <c r="AX46" i="27"/>
  <c r="BA46" i="27"/>
  <c r="BC46" i="27"/>
  <c r="AV62" i="27"/>
  <c r="AZ62" i="27"/>
  <c r="BD62" i="27"/>
  <c r="AY62" i="27"/>
  <c r="BE62" i="27"/>
  <c r="BB62" i="27"/>
  <c r="BG62" i="27"/>
  <c r="BF62" i="27"/>
  <c r="AX62" i="27"/>
  <c r="BA62" i="27"/>
  <c r="BC62" i="27"/>
  <c r="AX78" i="27"/>
  <c r="BB78" i="27"/>
  <c r="BF78" i="27"/>
  <c r="AV78" i="27"/>
  <c r="AZ78" i="27"/>
  <c r="BD78" i="27"/>
  <c r="BC78" i="27"/>
  <c r="BE78" i="27"/>
  <c r="AY78" i="27"/>
  <c r="BG78" i="27"/>
  <c r="BA78" i="27"/>
  <c r="AX94" i="27"/>
  <c r="BB94" i="27"/>
  <c r="AV94" i="27"/>
  <c r="AZ94" i="27"/>
  <c r="BC94" i="27"/>
  <c r="BG94" i="27"/>
  <c r="BD94" i="27"/>
  <c r="AY94" i="27"/>
  <c r="BE94" i="27"/>
  <c r="BA94" i="27"/>
  <c r="BF94" i="27"/>
  <c r="AY110" i="27"/>
  <c r="BC110" i="27"/>
  <c r="BG110" i="27"/>
  <c r="BA110" i="27"/>
  <c r="BE110" i="27"/>
  <c r="AZ110" i="27"/>
  <c r="BB110" i="27"/>
  <c r="AV110" i="27"/>
  <c r="BD110" i="27"/>
  <c r="AX110" i="27"/>
  <c r="BF110" i="27"/>
  <c r="AY126" i="27"/>
  <c r="BC126" i="27"/>
  <c r="BG126" i="27"/>
  <c r="BA126" i="27"/>
  <c r="BE126" i="27"/>
  <c r="AZ126" i="27"/>
  <c r="BB126" i="27"/>
  <c r="AV126" i="27"/>
  <c r="BD126" i="27"/>
  <c r="AX126" i="27"/>
  <c r="BF126" i="27"/>
  <c r="AX8" i="27"/>
  <c r="BB8" i="27"/>
  <c r="BF8" i="27"/>
  <c r="AZ8" i="27"/>
  <c r="BE8" i="27"/>
  <c r="AV8" i="27"/>
  <c r="BC8" i="27"/>
  <c r="AY8" i="27"/>
  <c r="BG8" i="27"/>
  <c r="BD8" i="27"/>
  <c r="BA8" i="27"/>
  <c r="AX24" i="27"/>
  <c r="BB24" i="27"/>
  <c r="BF24" i="27"/>
  <c r="AZ24" i="27"/>
  <c r="BE24" i="27"/>
  <c r="AV24" i="27"/>
  <c r="BC24" i="27"/>
  <c r="BG24" i="27"/>
  <c r="BA24" i="27"/>
  <c r="AY24" i="27"/>
  <c r="BD24" i="27"/>
  <c r="BA40" i="27"/>
  <c r="BE40" i="27"/>
  <c r="AX40" i="27"/>
  <c r="BC40" i="27"/>
  <c r="BB40" i="27"/>
  <c r="AY40" i="27"/>
  <c r="BF40" i="27"/>
  <c r="AV40" i="27"/>
  <c r="AZ40" i="27"/>
  <c r="BD40" i="27"/>
  <c r="BG40" i="27"/>
  <c r="AV64" i="27"/>
  <c r="AZ64" i="27"/>
  <c r="BD64" i="27"/>
  <c r="BB64" i="27"/>
  <c r="BG64" i="27"/>
  <c r="AY64" i="27"/>
  <c r="BE64" i="27"/>
  <c r="BC64" i="27"/>
  <c r="BF64" i="27"/>
  <c r="AX64" i="27"/>
  <c r="BA64" i="27"/>
  <c r="AY96" i="27"/>
  <c r="BC96" i="27"/>
  <c r="BG96" i="27"/>
  <c r="AV96" i="27"/>
  <c r="AZ96" i="27"/>
  <c r="BD96" i="27"/>
  <c r="BA96" i="27"/>
  <c r="BE96" i="27"/>
  <c r="AX96" i="27"/>
  <c r="BB96" i="27"/>
  <c r="BF96" i="27"/>
  <c r="AY128" i="27"/>
  <c r="BC128" i="27"/>
  <c r="BG128" i="27"/>
  <c r="BA128" i="27"/>
  <c r="BE128" i="27"/>
  <c r="AZ128" i="27"/>
  <c r="BB128" i="27"/>
  <c r="AV128" i="27"/>
  <c r="BD128" i="27"/>
  <c r="AX128" i="27"/>
  <c r="BF128" i="27"/>
  <c r="AX15" i="27"/>
  <c r="BB15" i="27"/>
  <c r="BF15" i="27"/>
  <c r="AV15" i="27"/>
  <c r="BA15" i="27"/>
  <c r="BG15" i="27"/>
  <c r="BD15" i="27"/>
  <c r="AZ15" i="27"/>
  <c r="BE15" i="27"/>
  <c r="AY15" i="27"/>
  <c r="BC15" i="27"/>
  <c r="AX31" i="27"/>
  <c r="BB31" i="27"/>
  <c r="BF31" i="27"/>
  <c r="AV31" i="27"/>
  <c r="BA31" i="27"/>
  <c r="BG31" i="27"/>
  <c r="BD31" i="27"/>
  <c r="AY31" i="27"/>
  <c r="BC31" i="27"/>
  <c r="AZ31" i="27"/>
  <c r="BE31" i="27"/>
  <c r="AV47" i="27"/>
  <c r="AZ47" i="27"/>
  <c r="BD47" i="27"/>
  <c r="AX47" i="27"/>
  <c r="BC47" i="27"/>
  <c r="BA47" i="27"/>
  <c r="BF47" i="27"/>
  <c r="BE47" i="27"/>
  <c r="BG47" i="27"/>
  <c r="AY47" i="27"/>
  <c r="BB47" i="27"/>
  <c r="AV63" i="27"/>
  <c r="AZ63" i="27"/>
  <c r="BD63" i="27"/>
  <c r="AX63" i="27"/>
  <c r="BC63" i="27"/>
  <c r="BA63" i="27"/>
  <c r="BF63" i="27"/>
  <c r="BE63" i="27"/>
  <c r="BG63" i="27"/>
  <c r="AY63" i="27"/>
  <c r="BB63" i="27"/>
  <c r="AX79" i="27"/>
  <c r="BB79" i="27"/>
  <c r="BF79" i="27"/>
  <c r="AV79" i="27"/>
  <c r="AZ79" i="27"/>
  <c r="BD79" i="27"/>
  <c r="AY79" i="27"/>
  <c r="BG79" i="27"/>
  <c r="BA79" i="27"/>
  <c r="BC79" i="27"/>
  <c r="BE79" i="27"/>
  <c r="AY95" i="27"/>
  <c r="BC95" i="27"/>
  <c r="BG95" i="27"/>
  <c r="AV95" i="27"/>
  <c r="AZ95" i="27"/>
  <c r="BD95" i="27"/>
  <c r="BA95" i="27"/>
  <c r="BE95" i="27"/>
  <c r="AX95" i="27"/>
  <c r="BB95" i="27"/>
  <c r="BF95" i="27"/>
  <c r="AY111" i="27"/>
  <c r="BC111" i="27"/>
  <c r="BG111" i="27"/>
  <c r="BA111" i="27"/>
  <c r="BE111" i="27"/>
  <c r="AV111" i="27"/>
  <c r="BD111" i="27"/>
  <c r="AX111" i="27"/>
  <c r="BF111" i="27"/>
  <c r="AZ111" i="27"/>
  <c r="BB111" i="27"/>
  <c r="AY127" i="27"/>
  <c r="BC127" i="27"/>
  <c r="BG127" i="27"/>
  <c r="BA127" i="27"/>
  <c r="BE127" i="27"/>
  <c r="AV127" i="27"/>
  <c r="BD127" i="27"/>
  <c r="AX127" i="27"/>
  <c r="BF127" i="27"/>
  <c r="AZ127" i="27"/>
  <c r="BB127" i="27"/>
  <c r="AY135" i="27"/>
  <c r="BC135" i="27"/>
  <c r="BG135" i="27"/>
  <c r="BA135" i="27"/>
  <c r="BE135" i="27"/>
  <c r="AV135" i="27"/>
  <c r="BD135" i="27"/>
  <c r="AX135" i="27"/>
  <c r="BF135" i="27"/>
  <c r="AZ135" i="27"/>
  <c r="BB135" i="27"/>
  <c r="AV76" i="27"/>
  <c r="AZ76" i="27"/>
  <c r="BD76" i="27"/>
  <c r="BB76" i="27"/>
  <c r="BG76" i="27"/>
  <c r="AY76" i="27"/>
  <c r="BE76" i="27"/>
  <c r="AX76" i="27"/>
  <c r="BA76" i="27"/>
  <c r="BC76" i="27"/>
  <c r="BF76" i="27"/>
  <c r="AY108" i="27"/>
  <c r="BC108" i="27"/>
  <c r="BG108" i="27"/>
  <c r="BA108" i="27"/>
  <c r="BE108" i="27"/>
  <c r="AZ108" i="27"/>
  <c r="BB108" i="27"/>
  <c r="AV108" i="27"/>
  <c r="BD108" i="27"/>
  <c r="AX108" i="27"/>
  <c r="BF108" i="27"/>
  <c r="AX17" i="27"/>
  <c r="BB17" i="27"/>
  <c r="BF17" i="27"/>
  <c r="AY17" i="27"/>
  <c r="BD17" i="27"/>
  <c r="BA17" i="27"/>
  <c r="BE17" i="27"/>
  <c r="AV17" i="27"/>
  <c r="BC17" i="27"/>
  <c r="AZ17" i="27"/>
  <c r="BG17" i="27"/>
  <c r="AX81" i="27"/>
  <c r="BB81" i="27"/>
  <c r="BF81" i="27"/>
  <c r="AV81" i="27"/>
  <c r="AZ81" i="27"/>
  <c r="BD81" i="27"/>
  <c r="AY81" i="27"/>
  <c r="BG81" i="27"/>
  <c r="BA81" i="27"/>
  <c r="BC81" i="27"/>
  <c r="BE81" i="27"/>
  <c r="AV61" i="27"/>
  <c r="AZ61" i="27"/>
  <c r="BD61" i="27"/>
  <c r="BA61" i="27"/>
  <c r="BF61" i="27"/>
  <c r="AX61" i="27"/>
  <c r="BC61" i="27"/>
  <c r="BG61" i="27"/>
  <c r="AY61" i="27"/>
  <c r="BB61" i="27"/>
  <c r="BE61" i="27"/>
  <c r="AY125" i="27"/>
  <c r="BC125" i="27"/>
  <c r="BG125" i="27"/>
  <c r="BA125" i="27"/>
  <c r="BE125" i="27"/>
  <c r="AV125" i="27"/>
  <c r="BD125" i="27"/>
  <c r="AX125" i="27"/>
  <c r="BF125" i="27"/>
  <c r="AZ125" i="27"/>
  <c r="BB125" i="27"/>
  <c r="AX21" i="27"/>
  <c r="BB21" i="27"/>
  <c r="BF21" i="27"/>
  <c r="AY21" i="27"/>
  <c r="BD21" i="27"/>
  <c r="AV21" i="27"/>
  <c r="BC21" i="27"/>
  <c r="AZ21" i="27"/>
  <c r="BG21" i="27"/>
  <c r="BE21" i="27"/>
  <c r="BA21" i="27"/>
  <c r="AY121" i="27"/>
  <c r="BC121" i="27"/>
  <c r="BG121" i="27"/>
  <c r="BA121" i="27"/>
  <c r="BE121" i="27"/>
  <c r="AV121" i="27"/>
  <c r="BD121" i="27"/>
  <c r="AX121" i="27"/>
  <c r="BF121" i="27"/>
  <c r="AZ121" i="27"/>
  <c r="BB121" i="27"/>
  <c r="AX9" i="27"/>
  <c r="BB9" i="27"/>
  <c r="BF9" i="27"/>
  <c r="AY9" i="27"/>
  <c r="BD9" i="27"/>
  <c r="BE9" i="27"/>
  <c r="BA9" i="27"/>
  <c r="BG9" i="27"/>
  <c r="AZ9" i="27"/>
  <c r="AV9" i="27"/>
  <c r="BC9" i="27"/>
  <c r="AV69" i="27"/>
  <c r="AZ69" i="27"/>
  <c r="BD69" i="27"/>
  <c r="BA69" i="27"/>
  <c r="BF69" i="27"/>
  <c r="AX69" i="27"/>
  <c r="BC69" i="27"/>
  <c r="BG69" i="27"/>
  <c r="AY69" i="27"/>
  <c r="BB69" i="27"/>
  <c r="BE69" i="27"/>
  <c r="AY101" i="27"/>
  <c r="BC101" i="27"/>
  <c r="BG101" i="27"/>
  <c r="AV101" i="27"/>
  <c r="BA101" i="27"/>
  <c r="BE101" i="27"/>
  <c r="AX101" i="27"/>
  <c r="BB101" i="27"/>
  <c r="BF101" i="27"/>
  <c r="AZ101" i="27"/>
  <c r="BD101" i="27"/>
  <c r="U79" i="12"/>
  <c r="U94" i="12"/>
  <c r="U65" i="12"/>
  <c r="X28" i="31"/>
  <c r="M28" i="31" s="1"/>
  <c r="P28" i="12"/>
  <c r="O28" i="30"/>
  <c r="P28" i="30"/>
  <c r="O28" i="31"/>
  <c r="P28" i="31"/>
  <c r="X76" i="31"/>
  <c r="M76" i="31" s="1"/>
  <c r="P76" i="12"/>
  <c r="O76" i="30"/>
  <c r="P76" i="30"/>
  <c r="P76" i="31"/>
  <c r="O76" i="31"/>
  <c r="X124" i="31"/>
  <c r="M124" i="31" s="1"/>
  <c r="P124" i="12"/>
  <c r="P124" i="30"/>
  <c r="O124" i="30"/>
  <c r="P124" i="31"/>
  <c r="O124" i="31"/>
  <c r="X23" i="31"/>
  <c r="M23" i="31" s="1"/>
  <c r="P23" i="12"/>
  <c r="P23" i="30"/>
  <c r="O23" i="30"/>
  <c r="P23" i="31"/>
  <c r="O23" i="31"/>
  <c r="X71" i="31"/>
  <c r="P71" i="12"/>
  <c r="O71" i="30"/>
  <c r="P71" i="30"/>
  <c r="P71" i="31"/>
  <c r="O71" i="31"/>
  <c r="P95" i="12"/>
  <c r="O95" i="30"/>
  <c r="P95" i="30"/>
  <c r="O95" i="31"/>
  <c r="P95" i="31"/>
  <c r="X24" i="31"/>
  <c r="M24" i="31" s="1"/>
  <c r="P24" i="12"/>
  <c r="P24" i="30"/>
  <c r="O24" i="30"/>
  <c r="O24" i="31"/>
  <c r="P24" i="31"/>
  <c r="X72" i="31"/>
  <c r="M72" i="31" s="1"/>
  <c r="P72" i="12"/>
  <c r="P72" i="30"/>
  <c r="O72" i="30"/>
  <c r="P72" i="31"/>
  <c r="O72" i="31"/>
  <c r="X96" i="31"/>
  <c r="M96" i="31" s="1"/>
  <c r="P96" i="12"/>
  <c r="O96" i="30"/>
  <c r="P96" i="30"/>
  <c r="P96" i="31"/>
  <c r="O96" i="31"/>
  <c r="X7" i="31"/>
  <c r="M7" i="31" s="1"/>
  <c r="P7" i="12"/>
  <c r="P7" i="30"/>
  <c r="O7" i="30"/>
  <c r="P7" i="31"/>
  <c r="O7" i="31"/>
  <c r="X31" i="31"/>
  <c r="M31" i="31" s="1"/>
  <c r="P31" i="12"/>
  <c r="P31" i="30"/>
  <c r="O31" i="30"/>
  <c r="P31" i="31"/>
  <c r="O31" i="31"/>
  <c r="X55" i="31"/>
  <c r="P55" i="12"/>
  <c r="O55" i="30"/>
  <c r="P55" i="30"/>
  <c r="P55" i="31"/>
  <c r="O55" i="31"/>
  <c r="X79" i="31"/>
  <c r="M79" i="31" s="1"/>
  <c r="P79" i="12"/>
  <c r="O79" i="30"/>
  <c r="P79" i="30"/>
  <c r="P79" i="31"/>
  <c r="O79" i="31"/>
  <c r="X103" i="31"/>
  <c r="P103" i="12"/>
  <c r="O103" i="30"/>
  <c r="P103" i="30"/>
  <c r="O103" i="31"/>
  <c r="P103" i="31"/>
  <c r="X127" i="31"/>
  <c r="M127" i="31" s="1"/>
  <c r="P127" i="12"/>
  <c r="O127" i="30"/>
  <c r="P127" i="30"/>
  <c r="O127" i="31"/>
  <c r="P127" i="31"/>
  <c r="X117" i="31"/>
  <c r="P117" i="12"/>
  <c r="O117" i="30"/>
  <c r="P117" i="30"/>
  <c r="P117" i="31"/>
  <c r="O117" i="31"/>
  <c r="O32" i="12"/>
  <c r="O128" i="12"/>
  <c r="X14" i="31"/>
  <c r="M14" i="31" s="1"/>
  <c r="P14" i="12"/>
  <c r="P14" i="30"/>
  <c r="O14" i="30"/>
  <c r="O14" i="31"/>
  <c r="P14" i="31"/>
  <c r="O73" i="12"/>
  <c r="O131" i="12"/>
  <c r="X8" i="31"/>
  <c r="P8" i="12"/>
  <c r="P8" i="30"/>
  <c r="O8" i="30"/>
  <c r="O8" i="31"/>
  <c r="P8" i="31"/>
  <c r="O16" i="12"/>
  <c r="O89" i="12"/>
  <c r="O112" i="12"/>
  <c r="O27" i="12"/>
  <c r="O75" i="12"/>
  <c r="O120" i="12"/>
  <c r="O58" i="12"/>
  <c r="O25" i="12"/>
  <c r="O33" i="12"/>
  <c r="O125" i="12"/>
  <c r="O87" i="12"/>
  <c r="U97" i="12"/>
  <c r="X34" i="31"/>
  <c r="M34" i="31" s="1"/>
  <c r="P34" i="12"/>
  <c r="O34" i="30"/>
  <c r="P34" i="30"/>
  <c r="O34" i="31"/>
  <c r="P34" i="31"/>
  <c r="X82" i="31"/>
  <c r="P82" i="12"/>
  <c r="P82" i="30"/>
  <c r="O82" i="30"/>
  <c r="P82" i="31"/>
  <c r="O82" i="31"/>
  <c r="X130" i="31"/>
  <c r="M130" i="31" s="1"/>
  <c r="P130" i="12"/>
  <c r="O130" i="30"/>
  <c r="P130" i="30"/>
  <c r="P130" i="31"/>
  <c r="O130" i="31"/>
  <c r="X29" i="31"/>
  <c r="M29" i="31" s="1"/>
  <c r="P29" i="12"/>
  <c r="P29" i="30"/>
  <c r="O29" i="30"/>
  <c r="O29" i="31"/>
  <c r="P29" i="31"/>
  <c r="X77" i="31"/>
  <c r="P77" i="12"/>
  <c r="P77" i="30"/>
  <c r="O77" i="30"/>
  <c r="O77" i="31"/>
  <c r="P77" i="31"/>
  <c r="X6" i="31"/>
  <c r="M6" i="31" s="1"/>
  <c r="P6" i="12"/>
  <c r="P6" i="30"/>
  <c r="O6" i="30"/>
  <c r="P6" i="31"/>
  <c r="O6" i="31"/>
  <c r="X54" i="31"/>
  <c r="M54" i="31" s="1"/>
  <c r="P54" i="12"/>
  <c r="P54" i="30"/>
  <c r="O54" i="30"/>
  <c r="P54" i="31"/>
  <c r="O54" i="31"/>
  <c r="P102" i="12"/>
  <c r="P102" i="30"/>
  <c r="O102" i="30"/>
  <c r="P102" i="31"/>
  <c r="O102" i="31"/>
  <c r="X13" i="31"/>
  <c r="M13" i="31" s="1"/>
  <c r="P13" i="12"/>
  <c r="P13" i="30"/>
  <c r="O13" i="30"/>
  <c r="O13" i="31"/>
  <c r="P13" i="31"/>
  <c r="P61" i="12"/>
  <c r="P61" i="30"/>
  <c r="O61" i="30"/>
  <c r="P61" i="31"/>
  <c r="O61" i="31"/>
  <c r="X109" i="31"/>
  <c r="M109" i="31" s="1"/>
  <c r="P109" i="12"/>
  <c r="P109" i="30"/>
  <c r="O109" i="30"/>
  <c r="O109" i="31"/>
  <c r="P109" i="31"/>
  <c r="X27" i="31"/>
  <c r="M27" i="31" s="1"/>
  <c r="P27" i="12"/>
  <c r="P27" i="30"/>
  <c r="O27" i="30"/>
  <c r="P27" i="31"/>
  <c r="O27" i="31"/>
  <c r="P51" i="30"/>
  <c r="O51" i="30"/>
  <c r="P51" i="12"/>
  <c r="P51" i="31"/>
  <c r="O51" i="31"/>
  <c r="X99" i="31"/>
  <c r="M99" i="31" s="1"/>
  <c r="P99" i="12"/>
  <c r="O99" i="30"/>
  <c r="P99" i="30"/>
  <c r="P99" i="31"/>
  <c r="O99" i="31"/>
  <c r="O14" i="12"/>
  <c r="O62" i="12"/>
  <c r="O110" i="12"/>
  <c r="O18" i="12"/>
  <c r="X56" i="31"/>
  <c r="P56" i="12"/>
  <c r="P56" i="30"/>
  <c r="O56" i="30"/>
  <c r="P56" i="31"/>
  <c r="O56" i="31"/>
  <c r="O52" i="12"/>
  <c r="O109" i="12"/>
  <c r="X32" i="31"/>
  <c r="M32" i="31" s="1"/>
  <c r="P32" i="12"/>
  <c r="O32" i="30"/>
  <c r="P32" i="30"/>
  <c r="O32" i="31"/>
  <c r="P32" i="31"/>
  <c r="P80" i="12"/>
  <c r="P80" i="30"/>
  <c r="O80" i="30"/>
  <c r="P80" i="31"/>
  <c r="O80" i="31"/>
  <c r="O48" i="12"/>
  <c r="O94" i="12"/>
  <c r="O5" i="12"/>
  <c r="O57" i="12"/>
  <c r="O103" i="12"/>
  <c r="O22" i="12"/>
  <c r="O115" i="12"/>
  <c r="O39" i="12"/>
  <c r="O134" i="12"/>
  <c r="U109" i="12"/>
  <c r="U72" i="12"/>
  <c r="U59" i="12"/>
  <c r="U107" i="12"/>
  <c r="X22" i="31"/>
  <c r="M22" i="31" s="1"/>
  <c r="P22" i="12"/>
  <c r="O22" i="30"/>
  <c r="P22" i="30"/>
  <c r="O22" i="31"/>
  <c r="P22" i="31"/>
  <c r="X46" i="31"/>
  <c r="M46" i="31" s="1"/>
  <c r="P46" i="12"/>
  <c r="P46" i="30"/>
  <c r="O46" i="30"/>
  <c r="O46" i="31"/>
  <c r="P46" i="31"/>
  <c r="X70" i="31"/>
  <c r="M70" i="31" s="1"/>
  <c r="P70" i="12"/>
  <c r="P70" i="30"/>
  <c r="O70" i="30"/>
  <c r="P70" i="31"/>
  <c r="O70" i="31"/>
  <c r="X94" i="31"/>
  <c r="M94" i="31" s="1"/>
  <c r="P94" i="12"/>
  <c r="O94" i="30"/>
  <c r="P94" i="30"/>
  <c r="P94" i="31"/>
  <c r="O94" i="31"/>
  <c r="P118" i="12"/>
  <c r="O118" i="30"/>
  <c r="P118" i="30"/>
  <c r="P118" i="31"/>
  <c r="O118" i="31"/>
  <c r="X107" i="31"/>
  <c r="M107" i="31" s="1"/>
  <c r="P107" i="12"/>
  <c r="O107" i="30"/>
  <c r="P107" i="30"/>
  <c r="O107" i="31"/>
  <c r="P107" i="31"/>
  <c r="X17" i="31"/>
  <c r="M17" i="31" s="1"/>
  <c r="P17" i="12"/>
  <c r="P17" i="30"/>
  <c r="O17" i="30"/>
  <c r="P17" i="31"/>
  <c r="O17" i="31"/>
  <c r="X41" i="31"/>
  <c r="M41" i="31" s="1"/>
  <c r="P41" i="12"/>
  <c r="P41" i="30"/>
  <c r="O41" i="30"/>
  <c r="P41" i="31"/>
  <c r="O41" i="31"/>
  <c r="X65" i="31"/>
  <c r="M65" i="31" s="1"/>
  <c r="P65" i="30"/>
  <c r="P65" i="12"/>
  <c r="O65" i="30"/>
  <c r="P65" i="31"/>
  <c r="O65" i="31"/>
  <c r="X89" i="31"/>
  <c r="P89" i="12"/>
  <c r="P89" i="30"/>
  <c r="O89" i="30"/>
  <c r="O89" i="31"/>
  <c r="P89" i="31"/>
  <c r="X119" i="31"/>
  <c r="M119" i="31" s="1"/>
  <c r="P119" i="12"/>
  <c r="O119" i="30"/>
  <c r="P119" i="30"/>
  <c r="O119" i="31"/>
  <c r="P119" i="31"/>
  <c r="X18" i="31"/>
  <c r="M18" i="31" s="1"/>
  <c r="P18" i="12"/>
  <c r="P18" i="30"/>
  <c r="O18" i="30"/>
  <c r="O18" i="31"/>
  <c r="P18" i="31"/>
  <c r="X42" i="31"/>
  <c r="M42" i="31" s="1"/>
  <c r="P42" i="12"/>
  <c r="O42" i="30"/>
  <c r="P42" i="30"/>
  <c r="O42" i="31"/>
  <c r="P42" i="31"/>
  <c r="X66" i="31"/>
  <c r="P66" i="12"/>
  <c r="P66" i="30"/>
  <c r="O66" i="30"/>
  <c r="O66" i="31"/>
  <c r="P66" i="31"/>
  <c r="P90" i="12"/>
  <c r="P90" i="30"/>
  <c r="O90" i="30"/>
  <c r="P90" i="31"/>
  <c r="O90" i="31"/>
  <c r="X114" i="31"/>
  <c r="P114" i="12"/>
  <c r="P114" i="30"/>
  <c r="O114" i="30"/>
  <c r="O114" i="31"/>
  <c r="P114" i="31"/>
  <c r="X4" i="31"/>
  <c r="M4" i="31" s="1"/>
  <c r="P4" i="31"/>
  <c r="P4" i="30"/>
  <c r="O4" i="31"/>
  <c r="O4" i="30"/>
  <c r="X25" i="31"/>
  <c r="M25" i="31" s="1"/>
  <c r="P25" i="12"/>
  <c r="P25" i="30"/>
  <c r="O25" i="30"/>
  <c r="P25" i="31"/>
  <c r="O25" i="31"/>
  <c r="X49" i="31"/>
  <c r="M49" i="31" s="1"/>
  <c r="P49" i="12"/>
  <c r="P49" i="30"/>
  <c r="O49" i="30"/>
  <c r="P49" i="31"/>
  <c r="O49" i="31"/>
  <c r="X73" i="31"/>
  <c r="M73" i="31" s="1"/>
  <c r="P73" i="12"/>
  <c r="P73" i="30"/>
  <c r="O73" i="30"/>
  <c r="O73" i="31"/>
  <c r="P73" i="31"/>
  <c r="X97" i="31"/>
  <c r="M97" i="31" s="1"/>
  <c r="P97" i="12"/>
  <c r="P97" i="30"/>
  <c r="O97" i="30"/>
  <c r="O97" i="31"/>
  <c r="P97" i="31"/>
  <c r="X121" i="31"/>
  <c r="M121" i="31" s="1"/>
  <c r="P121" i="12"/>
  <c r="P121" i="30"/>
  <c r="O121" i="30"/>
  <c r="P121" i="31"/>
  <c r="O121" i="31"/>
  <c r="X15" i="31"/>
  <c r="P15" i="12"/>
  <c r="P15" i="30"/>
  <c r="O15" i="30"/>
  <c r="P15" i="31"/>
  <c r="O15" i="31"/>
  <c r="X39" i="31"/>
  <c r="M39" i="31" s="1"/>
  <c r="P39" i="30"/>
  <c r="O39" i="30"/>
  <c r="P39" i="12"/>
  <c r="P39" i="31"/>
  <c r="O39" i="31"/>
  <c r="X63" i="31"/>
  <c r="P63" i="12"/>
  <c r="P63" i="30"/>
  <c r="O63" i="30"/>
  <c r="P63" i="31"/>
  <c r="O63" i="31"/>
  <c r="X87" i="31"/>
  <c r="P87" i="12"/>
  <c r="P87" i="30"/>
  <c r="O87" i="30"/>
  <c r="P87" i="31"/>
  <c r="O87" i="31"/>
  <c r="X111" i="31"/>
  <c r="P111" i="12"/>
  <c r="O111" i="30"/>
  <c r="P111" i="30"/>
  <c r="P111" i="31"/>
  <c r="O111" i="31"/>
  <c r="X136" i="31"/>
  <c r="P136" i="12"/>
  <c r="P136" i="30"/>
  <c r="O136" i="30"/>
  <c r="P136" i="31"/>
  <c r="O136" i="31"/>
  <c r="O26" i="12"/>
  <c r="O74" i="12"/>
  <c r="O98" i="12"/>
  <c r="O122" i="12"/>
  <c r="O6" i="12"/>
  <c r="O30" i="12"/>
  <c r="X122" i="31"/>
  <c r="M122" i="31" s="1"/>
  <c r="P122" i="12"/>
  <c r="O122" i="30"/>
  <c r="P122" i="30"/>
  <c r="P122" i="31"/>
  <c r="O122" i="31"/>
  <c r="X128" i="31"/>
  <c r="M128" i="31" s="1"/>
  <c r="P128" i="12"/>
  <c r="O128" i="30"/>
  <c r="P128" i="30"/>
  <c r="P128" i="31"/>
  <c r="O128" i="31"/>
  <c r="O37" i="12"/>
  <c r="O66" i="12"/>
  <c r="O124" i="12"/>
  <c r="X98" i="31"/>
  <c r="M98" i="31" s="1"/>
  <c r="P98" i="12"/>
  <c r="P98" i="30"/>
  <c r="O98" i="30"/>
  <c r="P98" i="31"/>
  <c r="O98" i="31"/>
  <c r="X104" i="31"/>
  <c r="M104" i="31" s="1"/>
  <c r="P104" i="12"/>
  <c r="P104" i="30"/>
  <c r="O104" i="30"/>
  <c r="P104" i="31"/>
  <c r="O104" i="31"/>
  <c r="X74" i="31"/>
  <c r="M74" i="31" s="1"/>
  <c r="P74" i="12"/>
  <c r="O74" i="30"/>
  <c r="P74" i="30"/>
  <c r="P74" i="31"/>
  <c r="O74" i="31"/>
  <c r="O36" i="12"/>
  <c r="O60" i="12"/>
  <c r="O83" i="12"/>
  <c r="O106" i="12"/>
  <c r="O19" i="12"/>
  <c r="O46" i="12"/>
  <c r="O69" i="12"/>
  <c r="O91" i="12"/>
  <c r="O114" i="12"/>
  <c r="O138" i="12"/>
  <c r="O47" i="12"/>
  <c r="O10" i="12"/>
  <c r="O72" i="12"/>
  <c r="O17" i="12"/>
  <c r="O67" i="12"/>
  <c r="O113" i="12"/>
  <c r="O96" i="12"/>
  <c r="O41" i="12"/>
  <c r="O8" i="12"/>
  <c r="X45" i="31"/>
  <c r="M45" i="31" s="1"/>
  <c r="P45" i="12"/>
  <c r="P45" i="30"/>
  <c r="O45" i="30"/>
  <c r="P45" i="31"/>
  <c r="O45" i="31"/>
  <c r="X21" i="31"/>
  <c r="M21" i="31" s="1"/>
  <c r="P21" i="12"/>
  <c r="P21" i="30"/>
  <c r="O21" i="30"/>
  <c r="O21" i="31"/>
  <c r="P21" i="31"/>
  <c r="U113" i="12"/>
  <c r="U52" i="12"/>
  <c r="U42" i="12"/>
  <c r="X52" i="31"/>
  <c r="M52" i="31" s="1"/>
  <c r="P52" i="12"/>
  <c r="P52" i="30"/>
  <c r="O52" i="30"/>
  <c r="O52" i="31"/>
  <c r="P52" i="31"/>
  <c r="X100" i="31"/>
  <c r="M100" i="31" s="1"/>
  <c r="P100" i="12"/>
  <c r="P100" i="30"/>
  <c r="O100" i="30"/>
  <c r="O100" i="31"/>
  <c r="P100" i="31"/>
  <c r="X138" i="31"/>
  <c r="M138" i="31" s="1"/>
  <c r="P138" i="12"/>
  <c r="O138" i="30"/>
  <c r="P138" i="30"/>
  <c r="P138" i="31"/>
  <c r="O138" i="31"/>
  <c r="X47" i="31"/>
  <c r="M47" i="31" s="1"/>
  <c r="P47" i="12"/>
  <c r="P47" i="30"/>
  <c r="O47" i="30"/>
  <c r="O47" i="31"/>
  <c r="P47" i="31"/>
  <c r="X131" i="31"/>
  <c r="M131" i="31" s="1"/>
  <c r="P131" i="12"/>
  <c r="O131" i="30"/>
  <c r="P131" i="30"/>
  <c r="P131" i="31"/>
  <c r="O131" i="31"/>
  <c r="X48" i="31"/>
  <c r="P48" i="30"/>
  <c r="O48" i="30"/>
  <c r="P48" i="12"/>
  <c r="O48" i="31"/>
  <c r="P48" i="31"/>
  <c r="X120" i="31"/>
  <c r="M120" i="31" s="1"/>
  <c r="O120" i="30"/>
  <c r="P120" i="12"/>
  <c r="P120" i="30"/>
  <c r="P120" i="31"/>
  <c r="O120" i="31"/>
  <c r="X69" i="31"/>
  <c r="P69" i="12"/>
  <c r="P69" i="30"/>
  <c r="O69" i="30"/>
  <c r="P69" i="31"/>
  <c r="O69" i="31"/>
  <c r="P93" i="12"/>
  <c r="O93" i="30"/>
  <c r="P93" i="30"/>
  <c r="P93" i="31"/>
  <c r="O93" i="31"/>
  <c r="X125" i="31"/>
  <c r="M125" i="31" s="1"/>
  <c r="P125" i="12"/>
  <c r="P125" i="30"/>
  <c r="O125" i="30"/>
  <c r="P125" i="31"/>
  <c r="O125" i="31"/>
  <c r="O56" i="12"/>
  <c r="O104" i="12"/>
  <c r="O12" i="12"/>
  <c r="X20" i="31"/>
  <c r="P20" i="12"/>
  <c r="O20" i="30"/>
  <c r="P20" i="30"/>
  <c r="O20" i="31"/>
  <c r="P20" i="31"/>
  <c r="O45" i="12"/>
  <c r="X135" i="31"/>
  <c r="M135" i="31" s="1"/>
  <c r="P135" i="12"/>
  <c r="O135" i="30"/>
  <c r="P135" i="30"/>
  <c r="P135" i="31"/>
  <c r="O135" i="31"/>
  <c r="O42" i="12"/>
  <c r="O65" i="12"/>
  <c r="O136" i="12"/>
  <c r="O97" i="12"/>
  <c r="O7" i="12"/>
  <c r="O105" i="12"/>
  <c r="O84" i="12"/>
  <c r="O130" i="12"/>
  <c r="U57" i="12"/>
  <c r="X10" i="31"/>
  <c r="M10" i="31" s="1"/>
  <c r="P10" i="12"/>
  <c r="P10" i="30"/>
  <c r="O10" i="30"/>
  <c r="O10" i="31"/>
  <c r="P10" i="31"/>
  <c r="X58" i="31"/>
  <c r="P58" i="12"/>
  <c r="P58" i="30"/>
  <c r="O58" i="30"/>
  <c r="O58" i="31"/>
  <c r="P58" i="31"/>
  <c r="X106" i="31"/>
  <c r="M106" i="31" s="1"/>
  <c r="P106" i="12"/>
  <c r="P106" i="30"/>
  <c r="O106" i="30"/>
  <c r="P106" i="31"/>
  <c r="O106" i="31"/>
  <c r="X5" i="31"/>
  <c r="M5" i="31" s="1"/>
  <c r="P5" i="12"/>
  <c r="P5" i="30"/>
  <c r="O5" i="30"/>
  <c r="P5" i="31"/>
  <c r="O5" i="31"/>
  <c r="P53" i="12"/>
  <c r="O53" i="30"/>
  <c r="P53" i="30"/>
  <c r="P53" i="31"/>
  <c r="O53" i="31"/>
  <c r="X101" i="31"/>
  <c r="M101" i="31" s="1"/>
  <c r="P101" i="12"/>
  <c r="P101" i="30"/>
  <c r="O101" i="30"/>
  <c r="P101" i="31"/>
  <c r="O101" i="31"/>
  <c r="X30" i="31"/>
  <c r="M30" i="31" s="1"/>
  <c r="P30" i="12"/>
  <c r="P30" i="30"/>
  <c r="O30" i="30"/>
  <c r="O30" i="31"/>
  <c r="P30" i="31"/>
  <c r="P78" i="12"/>
  <c r="P78" i="30"/>
  <c r="O78" i="30"/>
  <c r="O78" i="31"/>
  <c r="P78" i="31"/>
  <c r="X126" i="31"/>
  <c r="M126" i="31" s="1"/>
  <c r="P126" i="12"/>
  <c r="O126" i="30"/>
  <c r="P126" i="30"/>
  <c r="P126" i="31"/>
  <c r="O126" i="31"/>
  <c r="X37" i="31"/>
  <c r="M37" i="31" s="1"/>
  <c r="P37" i="12"/>
  <c r="P37" i="30"/>
  <c r="O37" i="30"/>
  <c r="O37" i="31"/>
  <c r="P37" i="31"/>
  <c r="X85" i="31"/>
  <c r="P85" i="12"/>
  <c r="O85" i="30"/>
  <c r="P85" i="30"/>
  <c r="O85" i="31"/>
  <c r="P85" i="31"/>
  <c r="X134" i="31"/>
  <c r="M134" i="31" s="1"/>
  <c r="P134" i="12"/>
  <c r="P134" i="30"/>
  <c r="O134" i="30"/>
  <c r="P134" i="31"/>
  <c r="O134" i="31"/>
  <c r="X75" i="31"/>
  <c r="P75" i="12"/>
  <c r="P75" i="30"/>
  <c r="O75" i="30"/>
  <c r="O75" i="31"/>
  <c r="P75" i="31"/>
  <c r="X123" i="31"/>
  <c r="M123" i="31" s="1"/>
  <c r="P123" i="12"/>
  <c r="O123" i="30"/>
  <c r="P123" i="30"/>
  <c r="O123" i="31"/>
  <c r="P123" i="31"/>
  <c r="O38" i="12"/>
  <c r="O86" i="12"/>
  <c r="O135" i="12"/>
  <c r="P50" i="12"/>
  <c r="P50" i="30"/>
  <c r="O50" i="30"/>
  <c r="O50" i="31"/>
  <c r="P50" i="31"/>
  <c r="O21" i="12"/>
  <c r="O81" i="12"/>
  <c r="X26" i="31"/>
  <c r="M26" i="31" s="1"/>
  <c r="P26" i="12"/>
  <c r="O26" i="30"/>
  <c r="P26" i="30"/>
  <c r="O26" i="31"/>
  <c r="P26" i="31"/>
  <c r="P44" i="12"/>
  <c r="P44" i="30"/>
  <c r="O44" i="30"/>
  <c r="O44" i="31"/>
  <c r="P44" i="31"/>
  <c r="O23" i="12"/>
  <c r="O71" i="12"/>
  <c r="O34" i="12"/>
  <c r="O79" i="12"/>
  <c r="O126" i="12"/>
  <c r="O70" i="12"/>
  <c r="O107" i="12"/>
  <c r="O43" i="12"/>
  <c r="O137" i="12"/>
  <c r="U43" i="12"/>
  <c r="U6" i="12"/>
  <c r="U99" i="12"/>
  <c r="U68" i="12"/>
  <c r="X16" i="31"/>
  <c r="M16" i="31" s="1"/>
  <c r="P16" i="12"/>
  <c r="O16" i="30"/>
  <c r="P16" i="30"/>
  <c r="O16" i="31"/>
  <c r="P16" i="31"/>
  <c r="X40" i="31"/>
  <c r="P40" i="12"/>
  <c r="P40" i="30"/>
  <c r="O40" i="30"/>
  <c r="O40" i="31"/>
  <c r="P40" i="31"/>
  <c r="X64" i="31"/>
  <c r="M64" i="31" s="1"/>
  <c r="P64" i="12"/>
  <c r="P64" i="30"/>
  <c r="O64" i="30"/>
  <c r="P64" i="31"/>
  <c r="O64" i="31"/>
  <c r="X88" i="31"/>
  <c r="M88" i="31" s="1"/>
  <c r="P88" i="12"/>
  <c r="P88" i="30"/>
  <c r="O88" i="30"/>
  <c r="P88" i="31"/>
  <c r="O88" i="31"/>
  <c r="X112" i="31"/>
  <c r="M112" i="31" s="1"/>
  <c r="P112" i="12"/>
  <c r="P112" i="30"/>
  <c r="O112" i="30"/>
  <c r="O112" i="31"/>
  <c r="P112" i="31"/>
  <c r="X137" i="31"/>
  <c r="M137" i="31" s="1"/>
  <c r="P137" i="12"/>
  <c r="P137" i="30"/>
  <c r="O137" i="30"/>
  <c r="P137" i="31"/>
  <c r="O137" i="31"/>
  <c r="P11" i="12"/>
  <c r="P11" i="30"/>
  <c r="O11" i="30"/>
  <c r="P11" i="31"/>
  <c r="O11" i="31"/>
  <c r="X35" i="31"/>
  <c r="M35" i="31" s="1"/>
  <c r="P35" i="12"/>
  <c r="P35" i="30"/>
  <c r="O35" i="30"/>
  <c r="P35" i="31"/>
  <c r="O35" i="31"/>
  <c r="X59" i="31"/>
  <c r="M59" i="31" s="1"/>
  <c r="P59" i="12"/>
  <c r="O59" i="30"/>
  <c r="P59" i="30"/>
  <c r="P59" i="31"/>
  <c r="O59" i="31"/>
  <c r="X83" i="31"/>
  <c r="M83" i="31" s="1"/>
  <c r="P83" i="30"/>
  <c r="O83" i="30"/>
  <c r="P83" i="12"/>
  <c r="P83" i="31"/>
  <c r="O83" i="31"/>
  <c r="X113" i="31"/>
  <c r="M113" i="31" s="1"/>
  <c r="P113" i="12"/>
  <c r="O113" i="30"/>
  <c r="P113" i="30"/>
  <c r="P113" i="31"/>
  <c r="O113" i="31"/>
  <c r="X12" i="31"/>
  <c r="P12" i="12"/>
  <c r="O12" i="30"/>
  <c r="P12" i="30"/>
  <c r="O12" i="31"/>
  <c r="P12" i="31"/>
  <c r="X36" i="31"/>
  <c r="M36" i="31" s="1"/>
  <c r="P36" i="12"/>
  <c r="O36" i="30"/>
  <c r="P36" i="30"/>
  <c r="O36" i="31"/>
  <c r="P36" i="31"/>
  <c r="X60" i="31"/>
  <c r="M60" i="31" s="1"/>
  <c r="P60" i="12"/>
  <c r="P60" i="30"/>
  <c r="O60" i="30"/>
  <c r="P60" i="31"/>
  <c r="O60" i="31"/>
  <c r="X84" i="31"/>
  <c r="M84" i="31" s="1"/>
  <c r="P84" i="12"/>
  <c r="P84" i="30"/>
  <c r="O84" i="30"/>
  <c r="P84" i="31"/>
  <c r="O84" i="31"/>
  <c r="X108" i="31"/>
  <c r="M108" i="31" s="1"/>
  <c r="P108" i="12"/>
  <c r="P108" i="30"/>
  <c r="O108" i="30"/>
  <c r="P108" i="31"/>
  <c r="O108" i="31"/>
  <c r="X132" i="31"/>
  <c r="P132" i="12"/>
  <c r="P132" i="30"/>
  <c r="O132" i="30"/>
  <c r="O132" i="31"/>
  <c r="P132" i="31"/>
  <c r="X19" i="31"/>
  <c r="M19" i="31" s="1"/>
  <c r="P19" i="12"/>
  <c r="P19" i="30"/>
  <c r="O19" i="30"/>
  <c r="P19" i="31"/>
  <c r="O19" i="31"/>
  <c r="X43" i="31"/>
  <c r="M43" i="31" s="1"/>
  <c r="P43" i="12"/>
  <c r="P43" i="30"/>
  <c r="O43" i="30"/>
  <c r="P43" i="31"/>
  <c r="O43" i="31"/>
  <c r="X67" i="31"/>
  <c r="M67" i="31" s="1"/>
  <c r="P67" i="12"/>
  <c r="P67" i="30"/>
  <c r="O67" i="30"/>
  <c r="P67" i="31"/>
  <c r="O67" i="31"/>
  <c r="X91" i="31"/>
  <c r="M91" i="31" s="1"/>
  <c r="P91" i="12"/>
  <c r="P91" i="30"/>
  <c r="O91" i="30"/>
  <c r="P91" i="31"/>
  <c r="O91" i="31"/>
  <c r="X115" i="31"/>
  <c r="P115" i="12"/>
  <c r="O115" i="30"/>
  <c r="P115" i="30"/>
  <c r="P115" i="31"/>
  <c r="O115" i="31"/>
  <c r="P9" i="12"/>
  <c r="P9" i="30"/>
  <c r="O9" i="30"/>
  <c r="O9" i="31"/>
  <c r="P9" i="31"/>
  <c r="X33" i="31"/>
  <c r="M33" i="31" s="1"/>
  <c r="P33" i="12"/>
  <c r="P33" i="30"/>
  <c r="O33" i="30"/>
  <c r="P33" i="31"/>
  <c r="O33" i="31"/>
  <c r="X57" i="31"/>
  <c r="M57" i="31" s="1"/>
  <c r="P57" i="12"/>
  <c r="P57" i="30"/>
  <c r="O57" i="30"/>
  <c r="P57" i="31"/>
  <c r="O57" i="31"/>
  <c r="X81" i="31"/>
  <c r="M81" i="31" s="1"/>
  <c r="P81" i="12"/>
  <c r="P81" i="30"/>
  <c r="O81" i="30"/>
  <c r="O81" i="31"/>
  <c r="P81" i="31"/>
  <c r="X105" i="31"/>
  <c r="P105" i="12"/>
  <c r="P105" i="30"/>
  <c r="O105" i="30"/>
  <c r="O105" i="31"/>
  <c r="P105" i="31"/>
  <c r="P129" i="12"/>
  <c r="O129" i="30"/>
  <c r="P129" i="30"/>
  <c r="P129" i="31"/>
  <c r="O129" i="31"/>
  <c r="O20" i="12"/>
  <c r="O68" i="12"/>
  <c r="O92" i="12"/>
  <c r="O116" i="12"/>
  <c r="O133" i="12"/>
  <c r="O24" i="12"/>
  <c r="X86" i="31"/>
  <c r="M86" i="31" s="1"/>
  <c r="P86" i="12"/>
  <c r="O86" i="30"/>
  <c r="P86" i="30"/>
  <c r="P86" i="31"/>
  <c r="O86" i="31"/>
  <c r="X92" i="31"/>
  <c r="M92" i="31" s="1"/>
  <c r="P92" i="12"/>
  <c r="P92" i="30"/>
  <c r="O92" i="30"/>
  <c r="O92" i="31"/>
  <c r="P92" i="31"/>
  <c r="O29" i="12"/>
  <c r="O59" i="12"/>
  <c r="O88" i="12"/>
  <c r="O117" i="12"/>
  <c r="X62" i="31"/>
  <c r="M62" i="31" s="1"/>
  <c r="P62" i="30"/>
  <c r="P62" i="12"/>
  <c r="O62" i="30"/>
  <c r="P62" i="31"/>
  <c r="O62" i="31"/>
  <c r="X68" i="31"/>
  <c r="M68" i="31" s="1"/>
  <c r="P68" i="30"/>
  <c r="P68" i="12"/>
  <c r="O68" i="30"/>
  <c r="O68" i="31"/>
  <c r="P68" i="31"/>
  <c r="X116" i="31"/>
  <c r="P116" i="12"/>
  <c r="P116" i="30"/>
  <c r="O116" i="30"/>
  <c r="P116" i="31"/>
  <c r="O116" i="31"/>
  <c r="X38" i="31"/>
  <c r="M38" i="31" s="1"/>
  <c r="P38" i="12"/>
  <c r="O38" i="30"/>
  <c r="P38" i="30"/>
  <c r="O38" i="31"/>
  <c r="P38" i="31"/>
  <c r="O31" i="12"/>
  <c r="O54" i="12"/>
  <c r="O77" i="12"/>
  <c r="O100" i="12"/>
  <c r="O123" i="12"/>
  <c r="O13" i="12"/>
  <c r="O40" i="12"/>
  <c r="O63" i="12"/>
  <c r="O85" i="12"/>
  <c r="O108" i="12"/>
  <c r="O132" i="12"/>
  <c r="O35" i="12"/>
  <c r="O82" i="12"/>
  <c r="O127" i="12"/>
  <c r="O49" i="12"/>
  <c r="O119" i="12"/>
  <c r="O55" i="12"/>
  <c r="O101" i="12"/>
  <c r="X110" i="31"/>
  <c r="M110" i="31" s="1"/>
  <c r="P110" i="12"/>
  <c r="P110" i="30"/>
  <c r="O110" i="30"/>
  <c r="O110" i="31"/>
  <c r="P110" i="31"/>
  <c r="E32" i="12"/>
  <c r="E32" i="30"/>
  <c r="D32" i="30"/>
  <c r="E32" i="31"/>
  <c r="D32" i="31"/>
  <c r="E64" i="12"/>
  <c r="E64" i="30"/>
  <c r="D64" i="30"/>
  <c r="E64" i="31"/>
  <c r="D64" i="31"/>
  <c r="E96" i="12"/>
  <c r="D96" i="30"/>
  <c r="E96" i="30"/>
  <c r="E96" i="31"/>
  <c r="D96" i="31"/>
  <c r="E128" i="12"/>
  <c r="E128" i="30"/>
  <c r="D128" i="30"/>
  <c r="E128" i="31"/>
  <c r="D128" i="31"/>
  <c r="E26" i="12"/>
  <c r="E26" i="30"/>
  <c r="D26" i="30"/>
  <c r="E26" i="31"/>
  <c r="D26" i="31"/>
  <c r="E70" i="12"/>
  <c r="E70" i="30"/>
  <c r="D70" i="30"/>
  <c r="E70" i="31"/>
  <c r="D70" i="31"/>
  <c r="E135" i="12"/>
  <c r="E135" i="30"/>
  <c r="D135" i="30"/>
  <c r="D135" i="31"/>
  <c r="E135" i="31"/>
  <c r="E33" i="12"/>
  <c r="E33" i="30"/>
  <c r="D33" i="30"/>
  <c r="D33" i="31"/>
  <c r="E33" i="31"/>
  <c r="E65" i="12"/>
  <c r="E65" i="30"/>
  <c r="D65" i="30"/>
  <c r="D65" i="31"/>
  <c r="E65" i="31"/>
  <c r="E97" i="12"/>
  <c r="E97" i="30"/>
  <c r="D97" i="30"/>
  <c r="D97" i="31"/>
  <c r="E97" i="31"/>
  <c r="E129" i="12"/>
  <c r="E129" i="30"/>
  <c r="D129" i="30"/>
  <c r="E129" i="31"/>
  <c r="D129" i="31"/>
  <c r="E114" i="12"/>
  <c r="E114" i="30"/>
  <c r="D114" i="30"/>
  <c r="M114" i="31"/>
  <c r="E114" i="31"/>
  <c r="D114" i="31"/>
  <c r="E95" i="12"/>
  <c r="E95" i="30"/>
  <c r="D95" i="30"/>
  <c r="D95" i="31"/>
  <c r="E95" i="31"/>
  <c r="J92" i="27"/>
  <c r="D90" i="12"/>
  <c r="E75" i="12"/>
  <c r="E75" i="30"/>
  <c r="D75" i="30"/>
  <c r="D75" i="31"/>
  <c r="M75" i="31"/>
  <c r="E75" i="31"/>
  <c r="J55" i="27"/>
  <c r="D53" i="12"/>
  <c r="E51" i="12"/>
  <c r="E51" i="30"/>
  <c r="D51" i="30"/>
  <c r="D51" i="31"/>
  <c r="E51" i="31"/>
  <c r="E71" i="12"/>
  <c r="E71" i="30"/>
  <c r="D71" i="30"/>
  <c r="D71" i="31"/>
  <c r="E71" i="31"/>
  <c r="M71" i="31"/>
  <c r="E39" i="12"/>
  <c r="D39" i="30"/>
  <c r="E39" i="30"/>
  <c r="E39" i="31"/>
  <c r="D39" i="31"/>
  <c r="J46" i="27"/>
  <c r="D44" i="12"/>
  <c r="E36" i="12"/>
  <c r="E36" i="30"/>
  <c r="D36" i="30"/>
  <c r="E36" i="31"/>
  <c r="D36" i="31"/>
  <c r="E68" i="30"/>
  <c r="E68" i="12"/>
  <c r="D68" i="30"/>
  <c r="E68" i="31"/>
  <c r="D68" i="31"/>
  <c r="E100" i="12"/>
  <c r="E100" i="30"/>
  <c r="D100" i="30"/>
  <c r="E100" i="31"/>
  <c r="D100" i="31"/>
  <c r="D132" i="30"/>
  <c r="E132" i="30"/>
  <c r="E132" i="12"/>
  <c r="E132" i="31"/>
  <c r="M132" i="31"/>
  <c r="D132" i="31"/>
  <c r="E50" i="12"/>
  <c r="E50" i="30"/>
  <c r="D50" i="30"/>
  <c r="E50" i="31"/>
  <c r="D50" i="31"/>
  <c r="E110" i="12"/>
  <c r="E110" i="30"/>
  <c r="D110" i="30"/>
  <c r="E110" i="31"/>
  <c r="D110" i="31"/>
  <c r="E5" i="30"/>
  <c r="E5" i="12"/>
  <c r="D5" i="30"/>
  <c r="E5" i="31"/>
  <c r="D5" i="31"/>
  <c r="E37" i="12"/>
  <c r="E37" i="30"/>
  <c r="D37" i="30"/>
  <c r="D37" i="31"/>
  <c r="E37" i="31"/>
  <c r="E69" i="12"/>
  <c r="D69" i="30"/>
  <c r="E69" i="30"/>
  <c r="M69" i="31"/>
  <c r="D69" i="31"/>
  <c r="E69" i="31"/>
  <c r="E101" i="12"/>
  <c r="E101" i="30"/>
  <c r="D101" i="30"/>
  <c r="D101" i="31"/>
  <c r="E101" i="31"/>
  <c r="E134" i="12"/>
  <c r="E134" i="30"/>
  <c r="D134" i="30"/>
  <c r="E134" i="31"/>
  <c r="D134" i="31"/>
  <c r="E90" i="12"/>
  <c r="E90" i="30"/>
  <c r="D90" i="30"/>
  <c r="E90" i="31"/>
  <c r="D90" i="31"/>
  <c r="E111" i="30"/>
  <c r="E111" i="12"/>
  <c r="D111" i="30"/>
  <c r="D111" i="31"/>
  <c r="M111" i="31"/>
  <c r="E111" i="31"/>
  <c r="J80" i="27"/>
  <c r="D78" i="12"/>
  <c r="E27" i="12"/>
  <c r="D27" i="30"/>
  <c r="E27" i="30"/>
  <c r="D27" i="31"/>
  <c r="E27" i="31"/>
  <c r="J11" i="27"/>
  <c r="D9" i="12"/>
  <c r="E55" i="30"/>
  <c r="E55" i="12"/>
  <c r="D55" i="30"/>
  <c r="D55" i="31"/>
  <c r="E55" i="31"/>
  <c r="M55" i="31"/>
  <c r="E103" i="12"/>
  <c r="E103" i="30"/>
  <c r="D103" i="30"/>
  <c r="D103" i="31"/>
  <c r="E103" i="31"/>
  <c r="M103" i="31"/>
  <c r="E35" i="12"/>
  <c r="D35" i="30"/>
  <c r="E35" i="30"/>
  <c r="D35" i="31"/>
  <c r="E35" i="31"/>
  <c r="E8" i="12"/>
  <c r="E8" i="30"/>
  <c r="D8" i="30"/>
  <c r="E8" i="31"/>
  <c r="D8" i="31"/>
  <c r="M8" i="31"/>
  <c r="E24" i="12"/>
  <c r="E24" i="30"/>
  <c r="D24" i="30"/>
  <c r="E24" i="31"/>
  <c r="D24" i="31"/>
  <c r="E40" i="12"/>
  <c r="E40" i="30"/>
  <c r="D40" i="30"/>
  <c r="E40" i="31"/>
  <c r="D40" i="31"/>
  <c r="M40" i="31"/>
  <c r="E56" i="12"/>
  <c r="E56" i="30"/>
  <c r="D56" i="30"/>
  <c r="D56" i="31"/>
  <c r="E56" i="31"/>
  <c r="M56" i="31"/>
  <c r="E72" i="12"/>
  <c r="D72" i="30"/>
  <c r="E72" i="30"/>
  <c r="E72" i="31"/>
  <c r="D72" i="31"/>
  <c r="E88" i="30"/>
  <c r="E88" i="12"/>
  <c r="D88" i="30"/>
  <c r="E88" i="31"/>
  <c r="D88" i="31"/>
  <c r="E104" i="12"/>
  <c r="D104" i="30"/>
  <c r="E104" i="30"/>
  <c r="E104" i="31"/>
  <c r="D104" i="31"/>
  <c r="E120" i="12"/>
  <c r="E120" i="30"/>
  <c r="D120" i="30"/>
  <c r="D120" i="31"/>
  <c r="E120" i="31"/>
  <c r="E137" i="12"/>
  <c r="D137" i="30"/>
  <c r="E137" i="30"/>
  <c r="D137" i="31"/>
  <c r="E137" i="31"/>
  <c r="E18" i="12"/>
  <c r="E18" i="30"/>
  <c r="D18" i="30"/>
  <c r="E18" i="31"/>
  <c r="D18" i="31"/>
  <c r="E34" i="12"/>
  <c r="E34" i="30"/>
  <c r="D34" i="30"/>
  <c r="D34" i="31"/>
  <c r="E34" i="31"/>
  <c r="E58" i="12"/>
  <c r="E58" i="30"/>
  <c r="D58" i="30"/>
  <c r="E58" i="31"/>
  <c r="M58" i="31"/>
  <c r="D58" i="31"/>
  <c r="E86" i="12"/>
  <c r="E86" i="30"/>
  <c r="D86" i="30"/>
  <c r="D86" i="31"/>
  <c r="E86" i="31"/>
  <c r="E118" i="12"/>
  <c r="E118" i="30"/>
  <c r="D118" i="30"/>
  <c r="E118" i="31"/>
  <c r="D118" i="31"/>
  <c r="E9" i="12"/>
  <c r="E9" i="30"/>
  <c r="D9" i="30"/>
  <c r="D9" i="31"/>
  <c r="E9" i="31"/>
  <c r="E25" i="12"/>
  <c r="E25" i="30"/>
  <c r="D25" i="30"/>
  <c r="D25" i="31"/>
  <c r="E25" i="31"/>
  <c r="E41" i="12"/>
  <c r="E41" i="30"/>
  <c r="D41" i="30"/>
  <c r="D41" i="31"/>
  <c r="E41" i="31"/>
  <c r="E57" i="12"/>
  <c r="E57" i="30"/>
  <c r="D57" i="30"/>
  <c r="D57" i="31"/>
  <c r="E57" i="31"/>
  <c r="E73" i="12"/>
  <c r="D73" i="30"/>
  <c r="E73" i="30"/>
  <c r="D73" i="31"/>
  <c r="E73" i="31"/>
  <c r="E89" i="30"/>
  <c r="E89" i="12"/>
  <c r="D89" i="30"/>
  <c r="M89" i="31"/>
  <c r="D89" i="31"/>
  <c r="E89" i="31"/>
  <c r="E105" i="12"/>
  <c r="D105" i="30"/>
  <c r="E105" i="30"/>
  <c r="M105" i="31"/>
  <c r="D105" i="31"/>
  <c r="E105" i="31"/>
  <c r="E121" i="12"/>
  <c r="E121" i="30"/>
  <c r="D121" i="30"/>
  <c r="D121" i="31"/>
  <c r="E121" i="31"/>
  <c r="E138" i="12"/>
  <c r="D138" i="30"/>
  <c r="E138" i="30"/>
  <c r="D138" i="31"/>
  <c r="E138" i="31"/>
  <c r="E66" i="12"/>
  <c r="E66" i="30"/>
  <c r="D66" i="30"/>
  <c r="E66" i="31"/>
  <c r="M66" i="31"/>
  <c r="D66" i="31"/>
  <c r="E98" i="30"/>
  <c r="D98" i="30"/>
  <c r="E98" i="12"/>
  <c r="E98" i="31"/>
  <c r="D98" i="31"/>
  <c r="E130" i="12"/>
  <c r="D130" i="30"/>
  <c r="E130" i="30"/>
  <c r="D130" i="31"/>
  <c r="E130" i="31"/>
  <c r="E63" i="12"/>
  <c r="E63" i="30"/>
  <c r="D63" i="30"/>
  <c r="E63" i="31"/>
  <c r="M63" i="31"/>
  <c r="D63" i="31"/>
  <c r="E127" i="30"/>
  <c r="E127" i="12"/>
  <c r="D127" i="30"/>
  <c r="D127" i="31"/>
  <c r="E127" i="31"/>
  <c r="J52" i="27"/>
  <c r="D50" i="12"/>
  <c r="E43" i="12"/>
  <c r="D43" i="30"/>
  <c r="E43" i="30"/>
  <c r="D43" i="31"/>
  <c r="E43" i="31"/>
  <c r="E107" i="12"/>
  <c r="E107" i="30"/>
  <c r="D107" i="30"/>
  <c r="D107" i="31"/>
  <c r="E107" i="31"/>
  <c r="J63" i="27"/>
  <c r="D61" i="12"/>
  <c r="J95" i="27"/>
  <c r="D93" i="12"/>
  <c r="E115" i="12"/>
  <c r="E115" i="30"/>
  <c r="D115" i="30"/>
  <c r="M115" i="31"/>
  <c r="D115" i="31"/>
  <c r="E115" i="31"/>
  <c r="J97" i="27"/>
  <c r="D95" i="12"/>
  <c r="E87" i="12"/>
  <c r="E87" i="30"/>
  <c r="D87" i="30"/>
  <c r="D87" i="31"/>
  <c r="E87" i="31"/>
  <c r="M87" i="31"/>
  <c r="J13" i="27"/>
  <c r="D11" i="12"/>
  <c r="D4" i="30"/>
  <c r="E4" i="31"/>
  <c r="D4" i="31"/>
  <c r="E4" i="30"/>
  <c r="E16" i="12"/>
  <c r="E16" i="30"/>
  <c r="D16" i="30"/>
  <c r="E16" i="31"/>
  <c r="D16" i="31"/>
  <c r="E48" i="30"/>
  <c r="D48" i="30"/>
  <c r="E48" i="12"/>
  <c r="E48" i="31"/>
  <c r="M48" i="31"/>
  <c r="D48" i="31"/>
  <c r="E80" i="12"/>
  <c r="D80" i="30"/>
  <c r="E80" i="30"/>
  <c r="E80" i="31"/>
  <c r="D80" i="31"/>
  <c r="E112" i="30"/>
  <c r="E112" i="12"/>
  <c r="D112" i="30"/>
  <c r="E112" i="31"/>
  <c r="D112" i="31"/>
  <c r="E10" i="12"/>
  <c r="D10" i="30"/>
  <c r="E10" i="30"/>
  <c r="E10" i="31"/>
  <c r="D10" i="31"/>
  <c r="E46" i="12"/>
  <c r="E46" i="30"/>
  <c r="D46" i="30"/>
  <c r="E46" i="31"/>
  <c r="D46" i="31"/>
  <c r="E102" i="12"/>
  <c r="E102" i="30"/>
  <c r="D102" i="30"/>
  <c r="E102" i="31"/>
  <c r="D102" i="31"/>
  <c r="E17" i="12"/>
  <c r="E17" i="30"/>
  <c r="D17" i="30"/>
  <c r="D17" i="31"/>
  <c r="E17" i="31"/>
  <c r="E49" i="12"/>
  <c r="E49" i="30"/>
  <c r="D49" i="30"/>
  <c r="E49" i="31"/>
  <c r="D49" i="31"/>
  <c r="E81" i="12"/>
  <c r="E81" i="30"/>
  <c r="D81" i="30"/>
  <c r="D81" i="31"/>
  <c r="E81" i="31"/>
  <c r="E113" i="12"/>
  <c r="E113" i="30"/>
  <c r="D113" i="30"/>
  <c r="E113" i="31"/>
  <c r="D113" i="31"/>
  <c r="E42" i="12"/>
  <c r="E42" i="30"/>
  <c r="D42" i="30"/>
  <c r="D42" i="31"/>
  <c r="E42" i="31"/>
  <c r="E82" i="12"/>
  <c r="E82" i="30"/>
  <c r="D82" i="30"/>
  <c r="D82" i="31"/>
  <c r="M82" i="31"/>
  <c r="E82" i="31"/>
  <c r="E31" i="12"/>
  <c r="D31" i="30"/>
  <c r="E31" i="30"/>
  <c r="E31" i="31"/>
  <c r="D31" i="31"/>
  <c r="E11" i="12"/>
  <c r="D11" i="30"/>
  <c r="E11" i="30"/>
  <c r="D11" i="31"/>
  <c r="E11" i="31"/>
  <c r="E23" i="12"/>
  <c r="D23" i="30"/>
  <c r="E23" i="30"/>
  <c r="D23" i="31"/>
  <c r="E23" i="31"/>
  <c r="J82" i="27"/>
  <c r="D80" i="12"/>
  <c r="J53" i="27"/>
  <c r="D51" i="12"/>
  <c r="E20" i="12"/>
  <c r="E20" i="30"/>
  <c r="D20" i="30"/>
  <c r="E20" i="31"/>
  <c r="M20" i="31"/>
  <c r="D20" i="31"/>
  <c r="E52" i="12"/>
  <c r="E52" i="30"/>
  <c r="D52" i="30"/>
  <c r="E52" i="31"/>
  <c r="D52" i="31"/>
  <c r="E84" i="30"/>
  <c r="D84" i="30"/>
  <c r="E84" i="12"/>
  <c r="E84" i="31"/>
  <c r="D84" i="31"/>
  <c r="E116" i="12"/>
  <c r="D116" i="30"/>
  <c r="E116" i="30"/>
  <c r="E116" i="31"/>
  <c r="D116" i="31"/>
  <c r="M116" i="31"/>
  <c r="E14" i="12"/>
  <c r="E14" i="30"/>
  <c r="D14" i="30"/>
  <c r="E14" i="31"/>
  <c r="D14" i="31"/>
  <c r="E30" i="12"/>
  <c r="E30" i="30"/>
  <c r="D30" i="30"/>
  <c r="E30" i="31"/>
  <c r="D30" i="31"/>
  <c r="E78" i="12"/>
  <c r="E78" i="30"/>
  <c r="D78" i="30"/>
  <c r="E78" i="31"/>
  <c r="D78" i="31"/>
  <c r="E21" i="12"/>
  <c r="E21" i="30"/>
  <c r="D21" i="30"/>
  <c r="D21" i="31"/>
  <c r="E21" i="31"/>
  <c r="E53" i="12"/>
  <c r="E53" i="30"/>
  <c r="D53" i="30"/>
  <c r="D53" i="31"/>
  <c r="E53" i="31"/>
  <c r="E85" i="12"/>
  <c r="E85" i="30"/>
  <c r="D85" i="30"/>
  <c r="M85" i="31"/>
  <c r="D85" i="31"/>
  <c r="E85" i="31"/>
  <c r="E117" i="12"/>
  <c r="E117" i="30"/>
  <c r="D117" i="30"/>
  <c r="M117" i="31"/>
  <c r="D117" i="31"/>
  <c r="E117" i="31"/>
  <c r="E54" i="30"/>
  <c r="E54" i="12"/>
  <c r="D54" i="30"/>
  <c r="E54" i="31"/>
  <c r="D54" i="31"/>
  <c r="E122" i="30"/>
  <c r="E122" i="12"/>
  <c r="D122" i="30"/>
  <c r="E122" i="31"/>
  <c r="D122" i="31"/>
  <c r="E47" i="12"/>
  <c r="E47" i="30"/>
  <c r="D47" i="30"/>
  <c r="D47" i="31"/>
  <c r="E47" i="31"/>
  <c r="E91" i="12"/>
  <c r="E91" i="30"/>
  <c r="D91" i="30"/>
  <c r="D91" i="31"/>
  <c r="E91" i="31"/>
  <c r="E83" i="12"/>
  <c r="E83" i="30"/>
  <c r="D83" i="30"/>
  <c r="D83" i="31"/>
  <c r="E83" i="31"/>
  <c r="E136" i="12"/>
  <c r="D136" i="30"/>
  <c r="E136" i="30"/>
  <c r="E136" i="31"/>
  <c r="D136" i="31"/>
  <c r="M136" i="31"/>
  <c r="E12" i="12"/>
  <c r="E12" i="30"/>
  <c r="D12" i="30"/>
  <c r="E12" i="31"/>
  <c r="D12" i="31"/>
  <c r="M12" i="31"/>
  <c r="E28" i="12"/>
  <c r="E28" i="30"/>
  <c r="D28" i="30"/>
  <c r="E28" i="31"/>
  <c r="D28" i="31"/>
  <c r="E44" i="12"/>
  <c r="D44" i="30"/>
  <c r="E44" i="30"/>
  <c r="E44" i="31"/>
  <c r="D44" i="31"/>
  <c r="E60" i="12"/>
  <c r="D60" i="30"/>
  <c r="E60" i="30"/>
  <c r="E60" i="31"/>
  <c r="D60" i="31"/>
  <c r="E76" i="12"/>
  <c r="E76" i="30"/>
  <c r="D76" i="30"/>
  <c r="E76" i="31"/>
  <c r="D76" i="31"/>
  <c r="E92" i="12"/>
  <c r="E92" i="30"/>
  <c r="D92" i="30"/>
  <c r="E92" i="31"/>
  <c r="D92" i="31"/>
  <c r="E108" i="30"/>
  <c r="E108" i="12"/>
  <c r="D108" i="30"/>
  <c r="E108" i="31"/>
  <c r="D108" i="31"/>
  <c r="E124" i="12"/>
  <c r="E124" i="30"/>
  <c r="D124" i="30"/>
  <c r="E124" i="31"/>
  <c r="D124" i="31"/>
  <c r="E6" i="12"/>
  <c r="E6" i="30"/>
  <c r="D6" i="30"/>
  <c r="E6" i="31"/>
  <c r="D6" i="31"/>
  <c r="E22" i="12"/>
  <c r="E22" i="30"/>
  <c r="D22" i="30"/>
  <c r="D22" i="31"/>
  <c r="E22" i="31"/>
  <c r="E38" i="12"/>
  <c r="E38" i="30"/>
  <c r="D38" i="30"/>
  <c r="E38" i="31"/>
  <c r="D38" i="31"/>
  <c r="E62" i="12"/>
  <c r="E62" i="30"/>
  <c r="D62" i="30"/>
  <c r="D62" i="31"/>
  <c r="E62" i="31"/>
  <c r="E94" i="30"/>
  <c r="E94" i="12"/>
  <c r="D94" i="30"/>
  <c r="D94" i="31"/>
  <c r="E94" i="31"/>
  <c r="E126" i="30"/>
  <c r="E126" i="12"/>
  <c r="D126" i="30"/>
  <c r="E126" i="31"/>
  <c r="D126" i="31"/>
  <c r="E13" i="12"/>
  <c r="E13" i="30"/>
  <c r="D13" i="30"/>
  <c r="D13" i="31"/>
  <c r="E13" i="31"/>
  <c r="E29" i="12"/>
  <c r="E29" i="30"/>
  <c r="D29" i="30"/>
  <c r="D29" i="31"/>
  <c r="E29" i="31"/>
  <c r="E45" i="12"/>
  <c r="E45" i="30"/>
  <c r="D45" i="30"/>
  <c r="E45" i="31"/>
  <c r="D45" i="31"/>
  <c r="D61" i="30"/>
  <c r="E61" i="30"/>
  <c r="E61" i="12"/>
  <c r="E61" i="31"/>
  <c r="D61" i="31"/>
  <c r="D77" i="30"/>
  <c r="E77" i="30"/>
  <c r="E77" i="12"/>
  <c r="M77" i="31"/>
  <c r="E77" i="31"/>
  <c r="D77" i="31"/>
  <c r="E93" i="12"/>
  <c r="D93" i="30"/>
  <c r="E93" i="30"/>
  <c r="E93" i="31"/>
  <c r="D93" i="31"/>
  <c r="E109" i="30"/>
  <c r="E109" i="12"/>
  <c r="D109" i="30"/>
  <c r="D109" i="31"/>
  <c r="E109" i="31"/>
  <c r="E125" i="12"/>
  <c r="E125" i="30"/>
  <c r="D125" i="30"/>
  <c r="E125" i="31"/>
  <c r="D125" i="31"/>
  <c r="E133" i="12"/>
  <c r="D133" i="30"/>
  <c r="E133" i="30"/>
  <c r="M133" i="31"/>
  <c r="D133" i="31"/>
  <c r="E133" i="31"/>
  <c r="E74" i="12"/>
  <c r="E74" i="30"/>
  <c r="D74" i="30"/>
  <c r="E74" i="31"/>
  <c r="D74" i="31"/>
  <c r="E106" i="30"/>
  <c r="D106" i="30"/>
  <c r="E106" i="12"/>
  <c r="E106" i="31"/>
  <c r="D106" i="31"/>
  <c r="E15" i="12"/>
  <c r="D15" i="30"/>
  <c r="E15" i="30"/>
  <c r="E15" i="31"/>
  <c r="M15" i="31"/>
  <c r="D15" i="31"/>
  <c r="E79" i="30"/>
  <c r="E79" i="12"/>
  <c r="D79" i="30"/>
  <c r="D79" i="31"/>
  <c r="E79" i="31"/>
  <c r="J104" i="27"/>
  <c r="D102" i="12"/>
  <c r="J120" i="27"/>
  <c r="D118" i="12"/>
  <c r="E59" i="12"/>
  <c r="E59" i="30"/>
  <c r="D59" i="30"/>
  <c r="E59" i="31"/>
  <c r="D59" i="31"/>
  <c r="E123" i="30"/>
  <c r="E123" i="12"/>
  <c r="D123" i="30"/>
  <c r="D123" i="31"/>
  <c r="E123" i="31"/>
  <c r="J131" i="27"/>
  <c r="D129" i="12"/>
  <c r="E19" i="12"/>
  <c r="D19" i="30"/>
  <c r="E19" i="30"/>
  <c r="D19" i="31"/>
  <c r="E19" i="31"/>
  <c r="E119" i="30"/>
  <c r="E119" i="12"/>
  <c r="D119" i="30"/>
  <c r="D119" i="31"/>
  <c r="E119" i="31"/>
  <c r="E7" i="12"/>
  <c r="D7" i="30"/>
  <c r="E7" i="30"/>
  <c r="E7" i="31"/>
  <c r="D7" i="31"/>
  <c r="E67" i="12"/>
  <c r="E67" i="30"/>
  <c r="D67" i="30"/>
  <c r="D67" i="31"/>
  <c r="E67" i="31"/>
  <c r="E99" i="12"/>
  <c r="E99" i="30"/>
  <c r="D99" i="30"/>
  <c r="D99" i="31"/>
  <c r="E99" i="31"/>
  <c r="BW63" i="27"/>
  <c r="BW46" i="27"/>
  <c r="EC62" i="27"/>
  <c r="BW131" i="27"/>
  <c r="BW95" i="27"/>
  <c r="BW52" i="27"/>
  <c r="BW97" i="27"/>
  <c r="BW53" i="27"/>
  <c r="BW80" i="27"/>
  <c r="BW82" i="27"/>
  <c r="BW13" i="27"/>
  <c r="BW104" i="27"/>
  <c r="BW120" i="27"/>
  <c r="BW92" i="27"/>
  <c r="BV52" i="27"/>
  <c r="BV63" i="27"/>
  <c r="BV13" i="27"/>
  <c r="BV11" i="27"/>
  <c r="BV55" i="27"/>
  <c r="BV80" i="27"/>
  <c r="BV53" i="27"/>
  <c r="BV46" i="27"/>
  <c r="BV82" i="27"/>
  <c r="BT74" i="27"/>
  <c r="BW11" i="27"/>
  <c r="EC65" i="27"/>
  <c r="EC74" i="27"/>
  <c r="E4" i="12"/>
  <c r="EC129" i="27"/>
  <c r="BT124" i="27"/>
  <c r="EC125" i="27"/>
  <c r="EC80" i="27"/>
  <c r="BT94" i="27"/>
  <c r="EC136" i="27"/>
  <c r="BT137" i="27"/>
  <c r="EC37" i="27"/>
  <c r="BT114" i="27"/>
  <c r="BT28" i="27"/>
  <c r="EC44" i="27"/>
  <c r="BT115" i="27"/>
  <c r="BT82" i="27"/>
  <c r="EC101" i="27"/>
  <c r="BT21" i="27"/>
  <c r="BT34" i="27"/>
  <c r="BT11" i="27"/>
  <c r="BT40" i="27"/>
  <c r="BT100" i="27"/>
  <c r="BT76" i="27"/>
  <c r="BT51" i="27"/>
  <c r="BT9" i="27"/>
  <c r="BT23" i="27"/>
  <c r="BT46" i="27"/>
  <c r="EC48" i="27"/>
  <c r="BT27" i="27"/>
  <c r="BT123" i="27"/>
  <c r="BT89" i="27"/>
  <c r="BT73" i="27"/>
  <c r="BT120" i="27"/>
  <c r="BT128" i="27"/>
  <c r="BT125" i="27"/>
  <c r="BT10" i="27"/>
  <c r="BT119" i="27"/>
  <c r="EC108" i="27"/>
  <c r="BT87" i="27"/>
  <c r="BT53" i="27"/>
  <c r="BT78" i="27"/>
  <c r="BT109" i="27"/>
  <c r="BT129" i="27"/>
  <c r="BT15" i="27"/>
  <c r="BT127" i="27"/>
  <c r="BT56" i="27"/>
  <c r="BT25" i="27"/>
  <c r="BT49" i="27"/>
  <c r="BT97" i="27"/>
  <c r="BT20" i="27"/>
  <c r="BT44" i="27"/>
  <c r="BT92" i="27"/>
  <c r="BT116" i="27"/>
  <c r="BT6" i="27"/>
  <c r="P4" i="12"/>
  <c r="BT99" i="27"/>
  <c r="BT41" i="27"/>
  <c r="BT65" i="27"/>
  <c r="BT113" i="27"/>
  <c r="BT138" i="27"/>
  <c r="EC24" i="27"/>
  <c r="BT12" i="27"/>
  <c r="BT36" i="27"/>
  <c r="BT60" i="27"/>
  <c r="BT84" i="27"/>
  <c r="BT108" i="27"/>
  <c r="BT132" i="27"/>
  <c r="BT18" i="27"/>
  <c r="BT66" i="27"/>
  <c r="BT139" i="27"/>
  <c r="BT7" i="27"/>
  <c r="BT55" i="27"/>
  <c r="BT79" i="27"/>
  <c r="BT103" i="27"/>
  <c r="BT26" i="27"/>
  <c r="BT50" i="27"/>
  <c r="BT98" i="27"/>
  <c r="BT122" i="27"/>
  <c r="BT33" i="27"/>
  <c r="BT57" i="27"/>
  <c r="BT81" i="27"/>
  <c r="BT105" i="27"/>
  <c r="BT71" i="27"/>
  <c r="BT95" i="27"/>
  <c r="BT42" i="27"/>
  <c r="BT24" i="27"/>
  <c r="BT72" i="27"/>
  <c r="BT96" i="27"/>
  <c r="BT13" i="27"/>
  <c r="BT37" i="27"/>
  <c r="BT61" i="27"/>
  <c r="BT85" i="27"/>
  <c r="BT32" i="27"/>
  <c r="BT80" i="27"/>
  <c r="BT104" i="27"/>
  <c r="BT39" i="27"/>
  <c r="BT63" i="27"/>
  <c r="BT136" i="27"/>
  <c r="BT29" i="27"/>
  <c r="BT77" i="27"/>
  <c r="BT101" i="27"/>
  <c r="O4" i="12"/>
  <c r="BT48" i="27"/>
  <c r="BT30" i="27"/>
  <c r="BT54" i="27"/>
  <c r="BT102" i="27"/>
  <c r="BT126" i="27"/>
  <c r="BT64" i="27"/>
  <c r="BT140" i="27"/>
  <c r="BT19" i="27"/>
  <c r="BT43" i="27"/>
  <c r="BT67" i="27"/>
  <c r="BT91" i="27"/>
  <c r="BT121" i="27"/>
  <c r="BT38" i="27"/>
  <c r="BT62" i="27"/>
  <c r="BT86" i="27"/>
  <c r="BT110" i="27"/>
  <c r="BT134" i="27"/>
  <c r="BT45" i="27"/>
  <c r="BT69" i="27"/>
  <c r="BT93" i="27"/>
  <c r="BT117" i="27"/>
  <c r="BT35" i="27"/>
  <c r="BT59" i="27"/>
  <c r="BT83" i="27"/>
  <c r="BT107" i="27"/>
  <c r="BT131" i="27"/>
  <c r="EC113" i="27"/>
  <c r="BT70" i="27"/>
  <c r="BT106" i="27"/>
  <c r="BT135" i="27"/>
  <c r="BT47" i="27"/>
  <c r="BT90" i="27"/>
  <c r="BT112" i="27"/>
  <c r="BT118" i="27"/>
  <c r="BT52" i="27"/>
  <c r="BT88" i="27"/>
  <c r="BT22" i="27"/>
  <c r="BT58" i="27"/>
  <c r="BT130" i="27"/>
  <c r="BT31" i="27"/>
  <c r="BT16" i="27"/>
  <c r="BT133" i="27"/>
  <c r="BT68" i="27"/>
  <c r="BT75" i="27"/>
  <c r="BT111" i="27"/>
  <c r="BT8" i="27"/>
  <c r="BT14" i="27"/>
  <c r="G133" i="27"/>
  <c r="G101" i="27"/>
  <c r="G69" i="27"/>
  <c r="G6" i="27"/>
  <c r="L6" i="27" s="1" a="1"/>
  <c r="L6" i="27" s="1"/>
  <c r="G37" i="27"/>
  <c r="G66" i="27"/>
  <c r="G102" i="27"/>
  <c r="G134" i="27"/>
  <c r="G85" i="27"/>
  <c r="G137" i="27"/>
  <c r="G22" i="27"/>
  <c r="G86" i="27"/>
  <c r="G70" i="27"/>
  <c r="G114" i="27"/>
  <c r="G138" i="27"/>
  <c r="G18" i="27"/>
  <c r="G130" i="27"/>
  <c r="G29" i="27"/>
  <c r="G36" i="27"/>
  <c r="G68" i="27"/>
  <c r="G84" i="27"/>
  <c r="G116" i="27"/>
  <c r="G31" i="27"/>
  <c r="G63" i="27"/>
  <c r="G95" i="27"/>
  <c r="G127" i="27"/>
  <c r="G65" i="27"/>
  <c r="G129" i="27"/>
  <c r="G40" i="27"/>
  <c r="G56" i="27"/>
  <c r="G88" i="27"/>
  <c r="G135" i="27"/>
  <c r="G35" i="27"/>
  <c r="G67" i="27"/>
  <c r="G99" i="27"/>
  <c r="G131" i="27"/>
  <c r="G41" i="27"/>
  <c r="G105" i="27"/>
  <c r="G21" i="27"/>
  <c r="G62" i="27"/>
  <c r="G126" i="27"/>
  <c r="G58" i="27"/>
  <c r="G61" i="27"/>
  <c r="G45" i="27"/>
  <c r="G109" i="27"/>
  <c r="G46" i="27"/>
  <c r="G90" i="27"/>
  <c r="G16" i="27"/>
  <c r="G32" i="27"/>
  <c r="G48" i="27"/>
  <c r="G64" i="27"/>
  <c r="G80" i="27"/>
  <c r="G96" i="27"/>
  <c r="G112" i="27"/>
  <c r="G132" i="27"/>
  <c r="G11" i="27"/>
  <c r="G27" i="27"/>
  <c r="L27" i="27" s="1" a="1"/>
  <c r="L27" i="27" s="1"/>
  <c r="G43" i="27"/>
  <c r="G59" i="27"/>
  <c r="G75" i="27"/>
  <c r="G91" i="27"/>
  <c r="G107" i="27"/>
  <c r="G123" i="27"/>
  <c r="G140" i="27"/>
  <c r="G25" i="27"/>
  <c r="G57" i="27"/>
  <c r="G89" i="27"/>
  <c r="G121" i="27"/>
  <c r="G10" i="27"/>
  <c r="G30" i="27"/>
  <c r="G53" i="27"/>
  <c r="G74" i="27"/>
  <c r="G94" i="27"/>
  <c r="G117" i="27"/>
  <c r="G139" i="27"/>
  <c r="G78" i="27"/>
  <c r="G122" i="27"/>
  <c r="G38" i="27"/>
  <c r="G82" i="27"/>
  <c r="G125" i="27"/>
  <c r="G13" i="27"/>
  <c r="G34" i="27"/>
  <c r="G54" i="27"/>
  <c r="G77" i="27"/>
  <c r="G98" i="27"/>
  <c r="G118" i="27"/>
  <c r="G26" i="27"/>
  <c r="G110" i="27"/>
  <c r="G50" i="27"/>
  <c r="G93" i="27"/>
  <c r="G20" i="27"/>
  <c r="G52" i="27"/>
  <c r="G100" i="27"/>
  <c r="G15" i="27"/>
  <c r="G47" i="27"/>
  <c r="G79" i="27"/>
  <c r="G111" i="27"/>
  <c r="G124" i="27"/>
  <c r="G33" i="27"/>
  <c r="G97" i="27"/>
  <c r="G8" i="27"/>
  <c r="L8" i="27" s="1"/>
  <c r="G24" i="27"/>
  <c r="G72" i="27"/>
  <c r="G104" i="27"/>
  <c r="G120" i="27"/>
  <c r="G19" i="27"/>
  <c r="G51" i="27"/>
  <c r="G83" i="27"/>
  <c r="G115" i="27"/>
  <c r="G9" i="27"/>
  <c r="G73" i="27"/>
  <c r="G42" i="27"/>
  <c r="G106" i="27"/>
  <c r="G14" i="27"/>
  <c r="G12" i="27"/>
  <c r="G28" i="27"/>
  <c r="G44" i="27"/>
  <c r="G60" i="27"/>
  <c r="G76" i="27"/>
  <c r="G92" i="27"/>
  <c r="G108" i="27"/>
  <c r="G128" i="27"/>
  <c r="G7" i="27"/>
  <c r="L7" i="27" s="1" a="1"/>
  <c r="L7" i="27" s="1"/>
  <c r="G23" i="27"/>
  <c r="G39" i="27"/>
  <c r="G55" i="27"/>
  <c r="G71" i="27"/>
  <c r="G87" i="27"/>
  <c r="G103" i="27"/>
  <c r="G119" i="27"/>
  <c r="G136" i="27"/>
  <c r="G17" i="27"/>
  <c r="G49" i="27"/>
  <c r="G81" i="27"/>
  <c r="G113" i="27"/>
  <c r="AW9" i="27" l="1"/>
  <c r="AW55" i="27"/>
  <c r="AW37" i="27"/>
  <c r="AW19" i="27"/>
  <c r="AW104" i="27"/>
  <c r="AW48" i="27"/>
  <c r="AW21" i="27"/>
  <c r="AW74" i="27"/>
  <c r="AW49" i="27"/>
  <c r="AW81" i="27"/>
  <c r="AW17" i="27"/>
  <c r="AW96" i="27"/>
  <c r="AW6" i="27"/>
  <c r="AW36" i="27"/>
  <c r="AW29" i="27"/>
  <c r="AW71" i="27"/>
  <c r="AW39" i="27"/>
  <c r="AW41" i="27"/>
  <c r="AW137" i="27"/>
  <c r="AW72" i="27"/>
  <c r="AW11" i="27"/>
  <c r="AW38" i="27"/>
  <c r="AW114" i="27"/>
  <c r="DK96" i="27"/>
  <c r="DK48" i="27"/>
  <c r="DK83" i="27"/>
  <c r="DK35" i="27"/>
  <c r="DK69" i="27"/>
  <c r="DK21" i="27"/>
  <c r="DK14" i="27"/>
  <c r="DK37" i="27"/>
  <c r="DK34" i="27"/>
  <c r="DK77" i="27"/>
  <c r="DK29" i="27"/>
  <c r="DK15" i="27"/>
  <c r="DK8" i="27"/>
  <c r="DK31" i="27"/>
  <c r="DK10" i="27"/>
  <c r="DK22" i="27"/>
  <c r="DK127" i="27"/>
  <c r="DK81" i="27"/>
  <c r="DK33" i="27"/>
  <c r="DK26" i="27"/>
  <c r="DK113" i="27"/>
  <c r="DK17" i="27"/>
  <c r="DK99" i="27"/>
  <c r="DK19" i="27"/>
  <c r="DK24" i="27"/>
  <c r="DK64" i="27"/>
  <c r="DK117" i="27"/>
  <c r="DK134" i="27"/>
  <c r="DK42" i="27"/>
  <c r="DK63" i="27"/>
  <c r="DK39" i="27"/>
  <c r="DK137" i="27"/>
  <c r="DK71" i="27"/>
  <c r="DK129" i="27"/>
  <c r="DK105" i="27"/>
  <c r="DK75" i="27"/>
  <c r="DK92" i="27"/>
  <c r="DK72" i="27"/>
  <c r="DK11" i="27"/>
  <c r="DK45" i="27"/>
  <c r="DK13" i="27"/>
  <c r="DK18" i="27"/>
  <c r="DK28" i="27"/>
  <c r="DK53" i="27"/>
  <c r="DK32" i="27"/>
  <c r="DK7" i="27"/>
  <c r="DK12" i="27"/>
  <c r="DK16" i="27"/>
  <c r="DK23" i="27"/>
  <c r="DK9" i="27"/>
  <c r="DK73" i="27"/>
  <c r="DK25" i="27"/>
  <c r="DK30" i="27"/>
  <c r="DK138" i="27"/>
  <c r="DK27" i="27"/>
  <c r="DK20" i="27"/>
  <c r="DK91" i="27"/>
  <c r="DK109" i="27"/>
  <c r="DK40" i="27"/>
  <c r="DK94" i="27"/>
  <c r="DK110" i="27"/>
  <c r="DK62" i="27"/>
  <c r="DK115" i="27"/>
  <c r="DK90" i="27"/>
  <c r="DK82" i="27"/>
  <c r="DK58" i="27"/>
  <c r="DK132" i="27"/>
  <c r="DK60" i="27"/>
  <c r="DK36" i="27"/>
  <c r="DK57" i="27"/>
  <c r="DK74" i="27"/>
  <c r="DK97" i="27"/>
  <c r="DK140" i="27"/>
  <c r="DK102" i="27"/>
  <c r="DK54" i="27"/>
  <c r="DK124" i="27"/>
  <c r="DK41" i="27"/>
  <c r="DK123" i="27"/>
  <c r="DK51" i="27"/>
  <c r="DK6" i="27"/>
  <c r="DK44" i="27"/>
  <c r="DK121" i="27"/>
  <c r="DK120" i="27"/>
  <c r="DK70" i="27"/>
  <c r="DK131" i="27"/>
  <c r="DK38" i="27"/>
  <c r="DK85" i="27"/>
  <c r="DK46" i="27"/>
  <c r="DK79" i="27"/>
  <c r="DK119" i="27"/>
  <c r="DK47" i="27"/>
  <c r="DK122" i="27"/>
  <c r="DK50" i="27"/>
  <c r="DK133" i="27"/>
  <c r="DK68" i="27"/>
  <c r="DK67" i="27"/>
  <c r="DS19" i="27"/>
  <c r="DS24" i="27"/>
  <c r="CA121" i="27" a="1"/>
  <c r="CA121" i="27" s="1"/>
  <c r="CI121" i="27" a="1"/>
  <c r="CI121" i="27" s="1"/>
  <c r="CC121" i="27" a="1"/>
  <c r="CC121" i="27" s="1"/>
  <c r="CK121" i="27" a="1"/>
  <c r="CK121" i="27" s="1"/>
  <c r="CS121" i="27" a="1"/>
  <c r="CS121" i="27" s="1"/>
  <c r="CE121" i="27" a="1"/>
  <c r="CE121" i="27" s="1"/>
  <c r="CM121" i="27" a="1"/>
  <c r="CM121" i="27" s="1"/>
  <c r="CU121" i="27" a="1"/>
  <c r="CU121" i="27" s="1"/>
  <c r="CF121" i="27" a="1"/>
  <c r="CF121" i="27" s="1"/>
  <c r="CN121" i="27" a="1"/>
  <c r="CN121" i="27" s="1"/>
  <c r="CV121" i="27" a="1"/>
  <c r="CV121" i="27" s="1"/>
  <c r="BZ121" i="27" a="1"/>
  <c r="BZ121" i="27" s="1"/>
  <c r="CH121" i="27" a="1"/>
  <c r="CH121" i="27" s="1"/>
  <c r="CP121" i="27" a="1"/>
  <c r="CP121" i="27" s="1"/>
  <c r="CO121" i="27" a="1"/>
  <c r="CO121" i="27" s="1"/>
  <c r="CQ121" i="27" a="1"/>
  <c r="CQ121" i="27" s="1"/>
  <c r="CR121" i="27" a="1"/>
  <c r="CR121" i="27" s="1"/>
  <c r="CB121" i="27" a="1"/>
  <c r="CB121" i="27" s="1"/>
  <c r="CT121" i="27" a="1"/>
  <c r="CT121" i="27" s="1"/>
  <c r="CD121" i="27" a="1"/>
  <c r="CD121" i="27" s="1"/>
  <c r="CG121" i="27" a="1"/>
  <c r="CG121" i="27" s="1"/>
  <c r="CL121" i="27" a="1"/>
  <c r="CL121" i="27" s="1"/>
  <c r="CJ121" i="27" a="1"/>
  <c r="CJ121" i="27" s="1"/>
  <c r="BY121" i="27" a="1"/>
  <c r="BY121" i="27" s="1"/>
  <c r="CD18" i="27" a="1"/>
  <c r="CD18" i="27" s="1"/>
  <c r="CL18" i="27" a="1"/>
  <c r="CL18" i="27" s="1"/>
  <c r="CT18" i="27" a="1"/>
  <c r="CT18" i="27" s="1"/>
  <c r="CF18" i="27" a="1"/>
  <c r="CF18" i="27" s="1"/>
  <c r="CN18" i="27" a="1"/>
  <c r="CN18" i="27" s="1"/>
  <c r="CV18" i="27" a="1"/>
  <c r="CV18" i="27" s="1"/>
  <c r="BZ18" i="27" a="1"/>
  <c r="BZ18" i="27" s="1"/>
  <c r="CH18" i="27" a="1"/>
  <c r="CH18" i="27" s="1"/>
  <c r="CP18" i="27" a="1"/>
  <c r="CP18" i="27" s="1"/>
  <c r="CA18" i="27" a="1"/>
  <c r="CA18" i="27" s="1"/>
  <c r="CI18" i="27" a="1"/>
  <c r="CI18" i="27" s="1"/>
  <c r="CQ18" i="27" a="1"/>
  <c r="CQ18" i="27" s="1"/>
  <c r="CC18" i="27" a="1"/>
  <c r="CC18" i="27" s="1"/>
  <c r="CK18" i="27" a="1"/>
  <c r="CK18" i="27" s="1"/>
  <c r="CS18" i="27" a="1"/>
  <c r="CS18" i="27" s="1"/>
  <c r="CE18" i="27" a="1"/>
  <c r="CE18" i="27" s="1"/>
  <c r="CJ18" i="27" a="1"/>
  <c r="CJ18" i="27" s="1"/>
  <c r="CO18" i="27" a="1"/>
  <c r="CO18" i="27" s="1"/>
  <c r="CR18" i="27" a="1"/>
  <c r="CR18" i="27" s="1"/>
  <c r="CB18" i="27" a="1"/>
  <c r="CB18" i="27" s="1"/>
  <c r="CU18" i="27" a="1"/>
  <c r="CU18" i="27" s="1"/>
  <c r="CM18" i="27" a="1"/>
  <c r="CM18" i="27" s="1"/>
  <c r="CG18" i="27" a="1"/>
  <c r="CG18" i="27" s="1"/>
  <c r="BY18" i="27" a="1"/>
  <c r="BY18" i="27" s="1"/>
  <c r="CC73" i="27" a="1"/>
  <c r="CC73" i="27" s="1"/>
  <c r="CI73" i="27" a="1"/>
  <c r="CI73" i="27" s="1"/>
  <c r="CO73" i="27" a="1"/>
  <c r="CO73" i="27" s="1"/>
  <c r="CE73" i="27" a="1"/>
  <c r="CE73" i="27" s="1"/>
  <c r="CK73" i="27" a="1"/>
  <c r="CK73" i="27" s="1"/>
  <c r="CQ73" i="27" a="1"/>
  <c r="CQ73" i="27" s="1"/>
  <c r="CF73" i="27" a="1"/>
  <c r="CF73" i="27" s="1"/>
  <c r="CM73" i="27" a="1"/>
  <c r="CM73" i="27" s="1"/>
  <c r="CS73" i="27" a="1"/>
  <c r="CS73" i="27" s="1"/>
  <c r="BZ73" i="27" a="1"/>
  <c r="BZ73" i="27" s="1"/>
  <c r="CG73" i="27" a="1"/>
  <c r="CG73" i="27" s="1"/>
  <c r="CT73" i="27" a="1"/>
  <c r="CT73" i="27" s="1"/>
  <c r="CB73" i="27" a="1"/>
  <c r="CB73" i="27" s="1"/>
  <c r="CH73" i="27" a="1"/>
  <c r="CH73" i="27" s="1"/>
  <c r="CJ73" i="27" a="1"/>
  <c r="CJ73" i="27" s="1"/>
  <c r="CN73" i="27" a="1"/>
  <c r="CN73" i="27" s="1"/>
  <c r="CA73" i="27" a="1"/>
  <c r="CA73" i="27" s="1"/>
  <c r="CR73" i="27" a="1"/>
  <c r="CR73" i="27" s="1"/>
  <c r="CD73" i="27" a="1"/>
  <c r="CD73" i="27" s="1"/>
  <c r="CU73" i="27" a="1"/>
  <c r="CU73" i="27" s="1"/>
  <c r="CL73" i="27" a="1"/>
  <c r="CL73" i="27" s="1"/>
  <c r="CP73" i="27" a="1"/>
  <c r="CP73" i="27" s="1"/>
  <c r="CV73" i="27" a="1"/>
  <c r="CV73" i="27" s="1"/>
  <c r="BY73" i="27" a="1"/>
  <c r="BY73" i="27" s="1"/>
  <c r="CB133" i="27" a="1"/>
  <c r="CB133" i="27" s="1"/>
  <c r="CJ133" i="27" a="1"/>
  <c r="CJ133" i="27" s="1"/>
  <c r="CR133" i="27" a="1"/>
  <c r="CR133" i="27" s="1"/>
  <c r="CC133" i="27" a="1"/>
  <c r="CC133" i="27" s="1"/>
  <c r="CK133" i="27" a="1"/>
  <c r="CK133" i="27" s="1"/>
  <c r="CS133" i="27" a="1"/>
  <c r="CS133" i="27" s="1"/>
  <c r="CD133" i="27" a="1"/>
  <c r="CD133" i="27" s="1"/>
  <c r="CL133" i="27" a="1"/>
  <c r="CL133" i="27" s="1"/>
  <c r="CT133" i="27" a="1"/>
  <c r="CT133" i="27" s="1"/>
  <c r="CE133" i="27" a="1"/>
  <c r="CE133" i="27" s="1"/>
  <c r="CM133" i="27" a="1"/>
  <c r="CM133" i="27" s="1"/>
  <c r="CU133" i="27" a="1"/>
  <c r="CU133" i="27" s="1"/>
  <c r="CF133" i="27" a="1"/>
  <c r="CF133" i="27" s="1"/>
  <c r="CN133" i="27" a="1"/>
  <c r="CN133" i="27" s="1"/>
  <c r="CV133" i="27" a="1"/>
  <c r="CV133" i="27" s="1"/>
  <c r="CG133" i="27" a="1"/>
  <c r="CG133" i="27" s="1"/>
  <c r="CO133" i="27" a="1"/>
  <c r="CO133" i="27" s="1"/>
  <c r="CA133" i="27" a="1"/>
  <c r="CA133" i="27" s="1"/>
  <c r="CI133" i="27" a="1"/>
  <c r="CI133" i="27" s="1"/>
  <c r="CQ133" i="27" a="1"/>
  <c r="CQ133" i="27" s="1"/>
  <c r="BZ133" i="27" a="1"/>
  <c r="BZ133" i="27" s="1"/>
  <c r="CH133" i="27" a="1"/>
  <c r="CH133" i="27" s="1"/>
  <c r="CP133" i="27" a="1"/>
  <c r="CP133" i="27" s="1"/>
  <c r="BY133" i="27" a="1"/>
  <c r="BY133" i="27" s="1"/>
  <c r="CF43" i="27" a="1"/>
  <c r="CF43" i="27" s="1"/>
  <c r="CL43" i="27" a="1"/>
  <c r="CL43" i="27" s="1"/>
  <c r="CR43" i="27" a="1"/>
  <c r="CR43" i="27" s="1"/>
  <c r="CG43" i="27" a="1"/>
  <c r="CG43" i="27" s="1"/>
  <c r="CM43" i="27" a="1"/>
  <c r="CM43" i="27" s="1"/>
  <c r="CS43" i="27" a="1"/>
  <c r="CS43" i="27" s="1"/>
  <c r="CB43" i="27" a="1"/>
  <c r="CB43" i="27" s="1"/>
  <c r="CI43" i="27" a="1"/>
  <c r="CI43" i="27" s="1"/>
  <c r="CN43" i="27" a="1"/>
  <c r="CN43" i="27" s="1"/>
  <c r="CC43" i="27" a="1"/>
  <c r="CC43" i="27" s="1"/>
  <c r="CO43" i="27" a="1"/>
  <c r="CO43" i="27" s="1"/>
  <c r="CU43" i="27" a="1"/>
  <c r="CU43" i="27" s="1"/>
  <c r="CE43" i="27" a="1"/>
  <c r="CE43" i="27" s="1"/>
  <c r="CK43" i="27" a="1"/>
  <c r="CK43" i="27" s="1"/>
  <c r="CQ43" i="27" a="1"/>
  <c r="CQ43" i="27" s="1"/>
  <c r="CV43" i="27" a="1"/>
  <c r="CV43" i="27" s="1"/>
  <c r="CH43" i="27" a="1"/>
  <c r="CH43" i="27" s="1"/>
  <c r="BZ43" i="27" a="1"/>
  <c r="BZ43" i="27" s="1"/>
  <c r="CP43" i="27" a="1"/>
  <c r="CP43" i="27" s="1"/>
  <c r="CA43" i="27" a="1"/>
  <c r="CA43" i="27" s="1"/>
  <c r="CJ43" i="27" a="1"/>
  <c r="CJ43" i="27" s="1"/>
  <c r="CT43" i="27" a="1"/>
  <c r="CT43" i="27" s="1"/>
  <c r="CD43" i="27" a="1"/>
  <c r="CD43" i="27" s="1"/>
  <c r="BY43" i="27" a="1"/>
  <c r="BY43" i="27" s="1"/>
  <c r="CB79" i="27" a="1"/>
  <c r="CB79" i="27" s="1"/>
  <c r="CH79" i="27" a="1"/>
  <c r="CH79" i="27" s="1"/>
  <c r="CT79" i="27" a="1"/>
  <c r="CT79" i="27" s="1"/>
  <c r="CJ79" i="27" a="1"/>
  <c r="CJ79" i="27" s="1"/>
  <c r="CO79" i="27" a="1"/>
  <c r="CO79" i="27" s="1"/>
  <c r="CP79" i="27" a="1"/>
  <c r="CP79" i="27" s="1"/>
  <c r="BZ79" i="27" a="1"/>
  <c r="BZ79" i="27" s="1"/>
  <c r="CE79" i="27" a="1"/>
  <c r="CE79" i="27" s="1"/>
  <c r="CL79" i="27" a="1"/>
  <c r="CL79" i="27" s="1"/>
  <c r="CQ79" i="27" a="1"/>
  <c r="CQ79" i="27" s="1"/>
  <c r="CG79" i="27" a="1"/>
  <c r="CG79" i="27" s="1"/>
  <c r="CM79" i="27" a="1"/>
  <c r="CM79" i="27" s="1"/>
  <c r="CS79" i="27" a="1"/>
  <c r="CS79" i="27" s="1"/>
  <c r="CC79" i="27" a="1"/>
  <c r="CC79" i="27" s="1"/>
  <c r="CR79" i="27" a="1"/>
  <c r="CR79" i="27" s="1"/>
  <c r="CD79" i="27" a="1"/>
  <c r="CD79" i="27" s="1"/>
  <c r="CU79" i="27" a="1"/>
  <c r="CU79" i="27" s="1"/>
  <c r="CF79" i="27" a="1"/>
  <c r="CF79" i="27" s="1"/>
  <c r="CV79" i="27" a="1"/>
  <c r="CV79" i="27" s="1"/>
  <c r="CI79" i="27" a="1"/>
  <c r="CI79" i="27" s="1"/>
  <c r="CK79" i="27" a="1"/>
  <c r="CK79" i="27" s="1"/>
  <c r="CA79" i="27" a="1"/>
  <c r="CA79" i="27" s="1"/>
  <c r="CN79" i="27" a="1"/>
  <c r="CN79" i="27" s="1"/>
  <c r="BY79" i="27" a="1"/>
  <c r="BY79" i="27" s="1"/>
  <c r="CC52" i="27" a="1"/>
  <c r="CC52" i="27" s="1"/>
  <c r="CN52" i="27" a="1"/>
  <c r="CN52" i="27" s="1"/>
  <c r="CS52" i="27" a="1"/>
  <c r="CS52" i="27" s="1"/>
  <c r="CD52" i="27" a="1"/>
  <c r="CD52" i="27" s="1"/>
  <c r="CI52" i="27" a="1"/>
  <c r="CI52" i="27" s="1"/>
  <c r="CO52" i="27" a="1"/>
  <c r="CO52" i="27" s="1"/>
  <c r="CU52" i="27" a="1"/>
  <c r="CU52" i="27" s="1"/>
  <c r="CK52" i="27" a="1"/>
  <c r="CK52" i="27" s="1"/>
  <c r="CP52" i="27" a="1"/>
  <c r="CP52" i="27" s="1"/>
  <c r="CV52" i="27" a="1"/>
  <c r="CV52" i="27" s="1"/>
  <c r="BZ52" i="27" a="1"/>
  <c r="BZ52" i="27" s="1"/>
  <c r="CF52" i="27" a="1"/>
  <c r="CF52" i="27" s="1"/>
  <c r="CL52" i="27" a="1"/>
  <c r="CL52" i="27" s="1"/>
  <c r="CQ52" i="27" a="1"/>
  <c r="CQ52" i="27" s="1"/>
  <c r="CB52" i="27" a="1"/>
  <c r="CB52" i="27" s="1"/>
  <c r="CG52" i="27" a="1"/>
  <c r="CG52" i="27" s="1"/>
  <c r="CR52" i="27" a="1"/>
  <c r="CR52" i="27" s="1"/>
  <c r="CA52" i="27" a="1"/>
  <c r="CA52" i="27" s="1"/>
  <c r="CE52" i="27" a="1"/>
  <c r="CE52" i="27" s="1"/>
  <c r="CT52" i="27" a="1"/>
  <c r="CT52" i="27" s="1"/>
  <c r="CH52" i="27" a="1"/>
  <c r="CH52" i="27" s="1"/>
  <c r="CJ52" i="27" a="1"/>
  <c r="CJ52" i="27" s="1"/>
  <c r="CM52" i="27" a="1"/>
  <c r="CM52" i="27" s="1"/>
  <c r="BY52" i="27" a="1"/>
  <c r="BY52" i="27" s="1"/>
  <c r="CA86" i="27" a="1"/>
  <c r="CA86" i="27" s="1"/>
  <c r="CF86" i="27" a="1"/>
  <c r="CF86" i="27" s="1"/>
  <c r="CJ86" i="27" a="1"/>
  <c r="CJ86" i="27" s="1"/>
  <c r="CO86" i="27" a="1"/>
  <c r="CO86" i="27" s="1"/>
  <c r="CD86" i="27" a="1"/>
  <c r="CD86" i="27" s="1"/>
  <c r="CK86" i="27" a="1"/>
  <c r="CK86" i="27" s="1"/>
  <c r="CP86" i="27" a="1"/>
  <c r="CP86" i="27" s="1"/>
  <c r="CU86" i="27" a="1"/>
  <c r="CU86" i="27" s="1"/>
  <c r="CE86" i="27" a="1"/>
  <c r="CE86" i="27" s="1"/>
  <c r="CL86" i="27" a="1"/>
  <c r="CL86" i="27" s="1"/>
  <c r="CR86" i="27" a="1"/>
  <c r="CR86" i="27" s="1"/>
  <c r="CI86" i="27" a="1"/>
  <c r="CI86" i="27" s="1"/>
  <c r="CT86" i="27" a="1"/>
  <c r="CT86" i="27" s="1"/>
  <c r="BZ86" i="27" a="1"/>
  <c r="BZ86" i="27" s="1"/>
  <c r="CV86" i="27" a="1"/>
  <c r="CV86" i="27" s="1"/>
  <c r="CB86" i="27" a="1"/>
  <c r="CB86" i="27" s="1"/>
  <c r="CM86" i="27" a="1"/>
  <c r="CM86" i="27" s="1"/>
  <c r="CN86" i="27" a="1"/>
  <c r="CN86" i="27" s="1"/>
  <c r="CC86" i="27" a="1"/>
  <c r="CC86" i="27" s="1"/>
  <c r="CQ86" i="27" a="1"/>
  <c r="CQ86" i="27" s="1"/>
  <c r="CH86" i="27" a="1"/>
  <c r="CH86" i="27" s="1"/>
  <c r="CG86" i="27" a="1"/>
  <c r="CG86" i="27" s="1"/>
  <c r="CS86" i="27" a="1"/>
  <c r="CS86" i="27" s="1"/>
  <c r="BY86" i="27" a="1"/>
  <c r="BY86" i="27" s="1"/>
  <c r="CA24" i="27" a="1"/>
  <c r="CA24" i="27" s="1"/>
  <c r="CL24" i="27" a="1"/>
  <c r="CL24" i="27" s="1"/>
  <c r="CN24" i="27" a="1"/>
  <c r="CN24" i="27" s="1"/>
  <c r="CT24" i="27" a="1"/>
  <c r="CT24" i="27" s="1"/>
  <c r="CI24" i="27" a="1"/>
  <c r="CI24" i="27" s="1"/>
  <c r="CO24" i="27" a="1"/>
  <c r="CO24" i="27" s="1"/>
  <c r="CV24" i="27" a="1"/>
  <c r="CV24" i="27" s="1"/>
  <c r="CD24" i="27" a="1"/>
  <c r="CD24" i="27" s="1"/>
  <c r="CJ24" i="27" a="1"/>
  <c r="CJ24" i="27" s="1"/>
  <c r="CP24" i="27" a="1"/>
  <c r="CP24" i="27" s="1"/>
  <c r="BZ24" i="27" a="1"/>
  <c r="BZ24" i="27" s="1"/>
  <c r="CF24" i="27" a="1"/>
  <c r="CF24" i="27" s="1"/>
  <c r="CR24" i="27" a="1"/>
  <c r="CR24" i="27" s="1"/>
  <c r="CH24" i="27" a="1"/>
  <c r="CH24" i="27" s="1"/>
  <c r="CM24" i="27" a="1"/>
  <c r="CM24" i="27" s="1"/>
  <c r="CB24" i="27" a="1"/>
  <c r="CB24" i="27" s="1"/>
  <c r="CQ24" i="27" a="1"/>
  <c r="CQ24" i="27" s="1"/>
  <c r="CC24" i="27" a="1"/>
  <c r="CC24" i="27" s="1"/>
  <c r="CS24" i="27" a="1"/>
  <c r="CS24" i="27" s="1"/>
  <c r="CG24" i="27" a="1"/>
  <c r="CG24" i="27" s="1"/>
  <c r="CU24" i="27" a="1"/>
  <c r="CU24" i="27" s="1"/>
  <c r="CE24" i="27" a="1"/>
  <c r="CE24" i="27" s="1"/>
  <c r="CK24" i="27" a="1"/>
  <c r="CK24" i="27" s="1"/>
  <c r="BY24" i="27" a="1"/>
  <c r="BY24" i="27" s="1"/>
  <c r="CD33" i="27" a="1"/>
  <c r="CD33" i="27" s="1"/>
  <c r="CK33" i="27" a="1"/>
  <c r="CK33" i="27" s="1"/>
  <c r="CP33" i="27" a="1"/>
  <c r="CP33" i="27" s="1"/>
  <c r="BZ33" i="27" a="1"/>
  <c r="BZ33" i="27" s="1"/>
  <c r="CF33" i="27" a="1"/>
  <c r="CF33" i="27" s="1"/>
  <c r="CR33" i="27" a="1"/>
  <c r="CR33" i="27" s="1"/>
  <c r="CA33" i="27" a="1"/>
  <c r="CA33" i="27" s="1"/>
  <c r="CG33" i="27" a="1"/>
  <c r="CG33" i="27" s="1"/>
  <c r="CN33" i="27" a="1"/>
  <c r="CN33" i="27" s="1"/>
  <c r="CT33" i="27" a="1"/>
  <c r="CT33" i="27" s="1"/>
  <c r="CB33" i="27" a="1"/>
  <c r="CB33" i="27" s="1"/>
  <c r="CH33" i="27" a="1"/>
  <c r="CH33" i="27" s="1"/>
  <c r="CU33" i="27" a="1"/>
  <c r="CU33" i="27" s="1"/>
  <c r="CJ33" i="27" a="1"/>
  <c r="CJ33" i="27" s="1"/>
  <c r="CE33" i="27" a="1"/>
  <c r="CE33" i="27" s="1"/>
  <c r="CV33" i="27" a="1"/>
  <c r="CV33" i="27" s="1"/>
  <c r="CI33" i="27" a="1"/>
  <c r="CI33" i="27" s="1"/>
  <c r="CM33" i="27" a="1"/>
  <c r="CM33" i="27" s="1"/>
  <c r="CO33" i="27" a="1"/>
  <c r="CO33" i="27" s="1"/>
  <c r="CC33" i="27" a="1"/>
  <c r="CC33" i="27" s="1"/>
  <c r="CS33" i="27" a="1"/>
  <c r="CS33" i="27" s="1"/>
  <c r="CQ33" i="27" a="1"/>
  <c r="CQ33" i="27" s="1"/>
  <c r="CL33" i="27" a="1"/>
  <c r="CL33" i="27" s="1"/>
  <c r="BY33" i="27" a="1"/>
  <c r="BY33" i="27" s="1"/>
  <c r="CD36" i="27" a="1"/>
  <c r="CD36" i="27" s="1"/>
  <c r="CQ36" i="27" a="1"/>
  <c r="CQ36" i="27" s="1"/>
  <c r="CF36" i="27" a="1"/>
  <c r="CF36" i="27" s="1"/>
  <c r="CL36" i="27" a="1"/>
  <c r="CL36" i="27" s="1"/>
  <c r="CS36" i="27" a="1"/>
  <c r="CS36" i="27" s="1"/>
  <c r="CA36" i="27" a="1"/>
  <c r="CA36" i="27" s="1"/>
  <c r="CT36" i="27" a="1"/>
  <c r="CT36" i="27" s="1"/>
  <c r="CH36" i="27" a="1"/>
  <c r="CH36" i="27" s="1"/>
  <c r="CN36" i="27" a="1"/>
  <c r="CN36" i="27" s="1"/>
  <c r="CU36" i="27" a="1"/>
  <c r="CU36" i="27" s="1"/>
  <c r="CC36" i="27" a="1"/>
  <c r="CC36" i="27" s="1"/>
  <c r="CJ36" i="27" a="1"/>
  <c r="CJ36" i="27" s="1"/>
  <c r="CP36" i="27" a="1"/>
  <c r="CP36" i="27" s="1"/>
  <c r="CV36" i="27" a="1"/>
  <c r="CV36" i="27" s="1"/>
  <c r="CB36" i="27" a="1"/>
  <c r="CB36" i="27" s="1"/>
  <c r="CG36" i="27" a="1"/>
  <c r="CG36" i="27" s="1"/>
  <c r="CK36" i="27" a="1"/>
  <c r="CK36" i="27" s="1"/>
  <c r="CM36" i="27" a="1"/>
  <c r="CM36" i="27" s="1"/>
  <c r="BZ36" i="27" a="1"/>
  <c r="BZ36" i="27" s="1"/>
  <c r="CR36" i="27" a="1"/>
  <c r="CR36" i="27" s="1"/>
  <c r="CE36" i="27" a="1"/>
  <c r="CE36" i="27" s="1"/>
  <c r="CO36" i="27" a="1"/>
  <c r="CO36" i="27" s="1"/>
  <c r="CI36" i="27" a="1"/>
  <c r="CI36" i="27" s="1"/>
  <c r="BY36" i="27" a="1"/>
  <c r="BY36" i="27" s="1"/>
  <c r="CE109" i="27" a="1"/>
  <c r="CE109" i="27" s="1"/>
  <c r="CQ109" i="27" a="1"/>
  <c r="CQ109" i="27" s="1"/>
  <c r="CV109" i="27" a="1"/>
  <c r="CV109" i="27" s="1"/>
  <c r="BZ109" i="27" a="1"/>
  <c r="BZ109" i="27" s="1"/>
  <c r="CG109" i="27" a="1"/>
  <c r="CG109" i="27" s="1"/>
  <c r="CL109" i="27" a="1"/>
  <c r="CL109" i="27" s="1"/>
  <c r="CH109" i="27" a="1"/>
  <c r="CH109" i="27" s="1"/>
  <c r="CN109" i="27" a="1"/>
  <c r="CN109" i="27" s="1"/>
  <c r="CB109" i="27" a="1"/>
  <c r="CB109" i="27" s="1"/>
  <c r="CI109" i="27" a="1"/>
  <c r="CI109" i="27" s="1"/>
  <c r="CO109" i="27" a="1"/>
  <c r="CO109" i="27" s="1"/>
  <c r="CT109" i="27" a="1"/>
  <c r="CT109" i="27" s="1"/>
  <c r="CD109" i="27" a="1"/>
  <c r="CD109" i="27" s="1"/>
  <c r="CJ109" i="27" a="1"/>
  <c r="CJ109" i="27" s="1"/>
  <c r="CP109" i="27" a="1"/>
  <c r="CP109" i="27" s="1"/>
  <c r="CM109" i="27" a="1"/>
  <c r="CM109" i="27" s="1"/>
  <c r="CA109" i="27" a="1"/>
  <c r="CA109" i="27" s="1"/>
  <c r="CR109" i="27" a="1"/>
  <c r="CR109" i="27" s="1"/>
  <c r="CC109" i="27" a="1"/>
  <c r="CC109" i="27" s="1"/>
  <c r="CS109" i="27" a="1"/>
  <c r="CS109" i="27" s="1"/>
  <c r="CF109" i="27" a="1"/>
  <c r="CF109" i="27" s="1"/>
  <c r="CU109" i="27" a="1"/>
  <c r="CU109" i="27" s="1"/>
  <c r="CK109" i="27" a="1"/>
  <c r="CK109" i="27" s="1"/>
  <c r="BY109" i="27" a="1"/>
  <c r="BY109" i="27" s="1"/>
  <c r="CG125" i="27" a="1"/>
  <c r="CG125" i="27" s="1"/>
  <c r="CO125" i="27" a="1"/>
  <c r="CO125" i="27" s="1"/>
  <c r="CA125" i="27" a="1"/>
  <c r="CA125" i="27" s="1"/>
  <c r="CI125" i="27" a="1"/>
  <c r="CI125" i="27" s="1"/>
  <c r="CQ125" i="27" a="1"/>
  <c r="CQ125" i="27" s="1"/>
  <c r="CB125" i="27" a="1"/>
  <c r="CB125" i="27" s="1"/>
  <c r="CJ125" i="27" a="1"/>
  <c r="CJ125" i="27" s="1"/>
  <c r="CR125" i="27" a="1"/>
  <c r="CR125" i="27" s="1"/>
  <c r="CD125" i="27" a="1"/>
  <c r="CD125" i="27" s="1"/>
  <c r="CL125" i="27" a="1"/>
  <c r="CL125" i="27" s="1"/>
  <c r="CT125" i="27" a="1"/>
  <c r="CT125" i="27" s="1"/>
  <c r="CC125" i="27" a="1"/>
  <c r="CC125" i="27" s="1"/>
  <c r="CS125" i="27" a="1"/>
  <c r="CS125" i="27" s="1"/>
  <c r="CE125" i="27" a="1"/>
  <c r="CE125" i="27" s="1"/>
  <c r="CU125" i="27" a="1"/>
  <c r="CU125" i="27" s="1"/>
  <c r="CF125" i="27" a="1"/>
  <c r="CF125" i="27" s="1"/>
  <c r="CV125" i="27" a="1"/>
  <c r="CV125" i="27" s="1"/>
  <c r="CH125" i="27" a="1"/>
  <c r="CH125" i="27" s="1"/>
  <c r="CK125" i="27" a="1"/>
  <c r="CK125" i="27" s="1"/>
  <c r="CM125" i="27" a="1"/>
  <c r="CM125" i="27" s="1"/>
  <c r="BZ125" i="27" a="1"/>
  <c r="BZ125" i="27" s="1"/>
  <c r="CP125" i="27" a="1"/>
  <c r="CP125" i="27" s="1"/>
  <c r="CN125" i="27" a="1"/>
  <c r="CN125" i="27" s="1"/>
  <c r="BY125" i="27" a="1"/>
  <c r="BY125" i="27" s="1"/>
  <c r="BZ14" i="27" a="1"/>
  <c r="BZ14" i="27" s="1"/>
  <c r="CH14" i="27" a="1"/>
  <c r="CH14" i="27" s="1"/>
  <c r="CP14" i="27" a="1"/>
  <c r="CP14" i="27" s="1"/>
  <c r="CB14" i="27" a="1"/>
  <c r="CB14" i="27" s="1"/>
  <c r="CJ14" i="27" a="1"/>
  <c r="CJ14" i="27" s="1"/>
  <c r="CR14" i="27" a="1"/>
  <c r="CR14" i="27" s="1"/>
  <c r="CD14" i="27" a="1"/>
  <c r="CD14" i="27" s="1"/>
  <c r="CL14" i="27" a="1"/>
  <c r="CL14" i="27" s="1"/>
  <c r="CT14" i="27" a="1"/>
  <c r="CT14" i="27" s="1"/>
  <c r="CE14" i="27" a="1"/>
  <c r="CE14" i="27" s="1"/>
  <c r="CM14" i="27" a="1"/>
  <c r="CM14" i="27" s="1"/>
  <c r="CU14" i="27" a="1"/>
  <c r="CU14" i="27" s="1"/>
  <c r="CG14" i="27" a="1"/>
  <c r="CG14" i="27" s="1"/>
  <c r="CO14" i="27" a="1"/>
  <c r="CO14" i="27" s="1"/>
  <c r="CK14" i="27" a="1"/>
  <c r="CK14" i="27" s="1"/>
  <c r="CQ14" i="27" a="1"/>
  <c r="CQ14" i="27" s="1"/>
  <c r="CA14" i="27" a="1"/>
  <c r="CA14" i="27" s="1"/>
  <c r="CV14" i="27" a="1"/>
  <c r="CV14" i="27" s="1"/>
  <c r="CC14" i="27" a="1"/>
  <c r="CC14" i="27" s="1"/>
  <c r="CI14" i="27" a="1"/>
  <c r="CI14" i="27" s="1"/>
  <c r="CN14" i="27" a="1"/>
  <c r="CN14" i="27" s="1"/>
  <c r="CF14" i="27" a="1"/>
  <c r="CF14" i="27" s="1"/>
  <c r="CS14" i="27" a="1"/>
  <c r="CS14" i="27" s="1"/>
  <c r="BY14" i="27" a="1"/>
  <c r="BY14" i="27" s="1"/>
  <c r="CG130" i="27" a="1"/>
  <c r="CG130" i="27" s="1"/>
  <c r="CO130" i="27" a="1"/>
  <c r="CO130" i="27" s="1"/>
  <c r="BZ130" i="27" a="1"/>
  <c r="BZ130" i="27" s="1"/>
  <c r="CH130" i="27" a="1"/>
  <c r="CH130" i="27" s="1"/>
  <c r="CP130" i="27" a="1"/>
  <c r="CP130" i="27" s="1"/>
  <c r="CA130" i="27" a="1"/>
  <c r="CA130" i="27" s="1"/>
  <c r="CI130" i="27" a="1"/>
  <c r="CI130" i="27" s="1"/>
  <c r="CQ130" i="27" a="1"/>
  <c r="CQ130" i="27" s="1"/>
  <c r="CB130" i="27" a="1"/>
  <c r="CB130" i="27" s="1"/>
  <c r="CJ130" i="27" a="1"/>
  <c r="CJ130" i="27" s="1"/>
  <c r="CR130" i="27" a="1"/>
  <c r="CR130" i="27" s="1"/>
  <c r="CC130" i="27" a="1"/>
  <c r="CC130" i="27" s="1"/>
  <c r="CK130" i="27" a="1"/>
  <c r="CK130" i="27" s="1"/>
  <c r="CS130" i="27" a="1"/>
  <c r="CS130" i="27" s="1"/>
  <c r="CD130" i="27" a="1"/>
  <c r="CD130" i="27" s="1"/>
  <c r="CL130" i="27" a="1"/>
  <c r="CL130" i="27" s="1"/>
  <c r="CT130" i="27" a="1"/>
  <c r="CT130" i="27" s="1"/>
  <c r="CF130" i="27" a="1"/>
  <c r="CF130" i="27" s="1"/>
  <c r="CN130" i="27" a="1"/>
  <c r="CN130" i="27" s="1"/>
  <c r="CV130" i="27" a="1"/>
  <c r="CV130" i="27" s="1"/>
  <c r="CE130" i="27" a="1"/>
  <c r="CE130" i="27" s="1"/>
  <c r="CM130" i="27" a="1"/>
  <c r="CM130" i="27" s="1"/>
  <c r="CU130" i="27" a="1"/>
  <c r="CU130" i="27" s="1"/>
  <c r="BY130" i="27" a="1"/>
  <c r="BY130" i="27" s="1"/>
  <c r="CJ70" i="27" a="1"/>
  <c r="CJ70" i="27" s="1"/>
  <c r="CP70" i="27" a="1"/>
  <c r="CP70" i="27" s="1"/>
  <c r="CV70" i="27" a="1"/>
  <c r="CV70" i="27" s="1"/>
  <c r="CK70" i="27" a="1"/>
  <c r="CK70" i="27" s="1"/>
  <c r="CR70" i="27" a="1"/>
  <c r="CR70" i="27" s="1"/>
  <c r="BZ70" i="27" a="1"/>
  <c r="BZ70" i="27" s="1"/>
  <c r="CF70" i="27" a="1"/>
  <c r="CF70" i="27" s="1"/>
  <c r="CS70" i="27" a="1"/>
  <c r="CS70" i="27" s="1"/>
  <c r="CA70" i="27" a="1"/>
  <c r="CA70" i="27" s="1"/>
  <c r="CG70" i="27" a="1"/>
  <c r="CG70" i="27" s="1"/>
  <c r="CM70" i="27" a="1"/>
  <c r="CM70" i="27" s="1"/>
  <c r="CC70" i="27" a="1"/>
  <c r="CC70" i="27" s="1"/>
  <c r="CI70" i="27" a="1"/>
  <c r="CI70" i="27" s="1"/>
  <c r="CO70" i="27" a="1"/>
  <c r="CO70" i="27" s="1"/>
  <c r="CU70" i="27" a="1"/>
  <c r="CU70" i="27" s="1"/>
  <c r="CL70" i="27" a="1"/>
  <c r="CL70" i="27" s="1"/>
  <c r="CQ70" i="27" a="1"/>
  <c r="CQ70" i="27" s="1"/>
  <c r="CD70" i="27" a="1"/>
  <c r="CD70" i="27" s="1"/>
  <c r="CT70" i="27" a="1"/>
  <c r="CT70" i="27" s="1"/>
  <c r="CE70" i="27" a="1"/>
  <c r="CE70" i="27" s="1"/>
  <c r="CN70" i="27" a="1"/>
  <c r="CN70" i="27" s="1"/>
  <c r="CH70" i="27" a="1"/>
  <c r="CH70" i="27" s="1"/>
  <c r="CB70" i="27" a="1"/>
  <c r="CB70" i="27" s="1"/>
  <c r="BY70" i="27" a="1"/>
  <c r="BY70" i="27" s="1"/>
  <c r="CB35" i="27" a="1"/>
  <c r="CB35" i="27" s="1"/>
  <c r="CI35" i="27" a="1"/>
  <c r="CI35" i="27" s="1"/>
  <c r="CN35" i="27" a="1"/>
  <c r="CN35" i="27" s="1"/>
  <c r="CD35" i="27" a="1"/>
  <c r="CD35" i="27" s="1"/>
  <c r="CP35" i="27" a="1"/>
  <c r="CP35" i="27" s="1"/>
  <c r="CE35" i="27" a="1"/>
  <c r="CE35" i="27" s="1"/>
  <c r="CL35" i="27" a="1"/>
  <c r="CL35" i="27" s="1"/>
  <c r="CR35" i="27" a="1"/>
  <c r="CR35" i="27" s="1"/>
  <c r="BZ35" i="27" a="1"/>
  <c r="BZ35" i="27" s="1"/>
  <c r="CF35" i="27" a="1"/>
  <c r="CF35" i="27" s="1"/>
  <c r="CS35" i="27" a="1"/>
  <c r="CS35" i="27" s="1"/>
  <c r="CH35" i="27" a="1"/>
  <c r="CH35" i="27" s="1"/>
  <c r="CU35" i="27" a="1"/>
  <c r="CU35" i="27" s="1"/>
  <c r="CJ35" i="27" a="1"/>
  <c r="CJ35" i="27" s="1"/>
  <c r="CM35" i="27" a="1"/>
  <c r="CM35" i="27" s="1"/>
  <c r="CA35" i="27" a="1"/>
  <c r="CA35" i="27" s="1"/>
  <c r="CQ35" i="27" a="1"/>
  <c r="CQ35" i="27" s="1"/>
  <c r="CC35" i="27" a="1"/>
  <c r="CC35" i="27" s="1"/>
  <c r="CT35" i="27" a="1"/>
  <c r="CT35" i="27" s="1"/>
  <c r="CG35" i="27" a="1"/>
  <c r="CG35" i="27" s="1"/>
  <c r="CO35" i="27" a="1"/>
  <c r="CO35" i="27" s="1"/>
  <c r="CK35" i="27" a="1"/>
  <c r="CK35" i="27" s="1"/>
  <c r="CV35" i="27" a="1"/>
  <c r="CV35" i="27" s="1"/>
  <c r="BY35" i="27" a="1"/>
  <c r="BY35" i="27" s="1"/>
  <c r="BZ62" i="27" a="1"/>
  <c r="BZ62" i="27" s="1"/>
  <c r="CF62" i="27" a="1"/>
  <c r="CF62" i="27" s="1"/>
  <c r="CL62" i="27" a="1"/>
  <c r="CL62" i="27" s="1"/>
  <c r="CS62" i="27" a="1"/>
  <c r="CS62" i="27" s="1"/>
  <c r="CB62" i="27" a="1"/>
  <c r="CB62" i="27" s="1"/>
  <c r="CH62" i="27" a="1"/>
  <c r="CH62" i="27" s="1"/>
  <c r="CN62" i="27" a="1"/>
  <c r="CN62" i="27" s="1"/>
  <c r="CT62" i="27" a="1"/>
  <c r="CT62" i="27" s="1"/>
  <c r="CC62" i="27" a="1"/>
  <c r="CC62" i="27" s="1"/>
  <c r="CJ62" i="27" a="1"/>
  <c r="CJ62" i="27" s="1"/>
  <c r="CP62" i="27" a="1"/>
  <c r="CP62" i="27" s="1"/>
  <c r="CU62" i="27" a="1"/>
  <c r="CU62" i="27" s="1"/>
  <c r="CD62" i="27" a="1"/>
  <c r="CD62" i="27" s="1"/>
  <c r="CQ62" i="27" a="1"/>
  <c r="CQ62" i="27" s="1"/>
  <c r="CV62" i="27" a="1"/>
  <c r="CV62" i="27" s="1"/>
  <c r="CE62" i="27" a="1"/>
  <c r="CE62" i="27" s="1"/>
  <c r="CM62" i="27" a="1"/>
  <c r="CM62" i="27" s="1"/>
  <c r="CA62" i="27" a="1"/>
  <c r="CA62" i="27" s="1"/>
  <c r="CR62" i="27" a="1"/>
  <c r="CR62" i="27" s="1"/>
  <c r="CG62" i="27" a="1"/>
  <c r="CG62" i="27" s="1"/>
  <c r="CK62" i="27" a="1"/>
  <c r="CK62" i="27" s="1"/>
  <c r="CO62" i="27" a="1"/>
  <c r="CO62" i="27" s="1"/>
  <c r="CI62" i="27" a="1"/>
  <c r="CI62" i="27" s="1"/>
  <c r="BY62" i="27" a="1"/>
  <c r="BY62" i="27" s="1"/>
  <c r="CH101" i="27" a="1"/>
  <c r="CH101" i="27" s="1"/>
  <c r="CT101" i="27" a="1"/>
  <c r="CT101" i="27" s="1"/>
  <c r="CJ101" i="27" a="1"/>
  <c r="CJ101" i="27" s="1"/>
  <c r="CO101" i="27" a="1"/>
  <c r="CO101" i="27" s="1"/>
  <c r="CV101" i="27" a="1"/>
  <c r="CV101" i="27" s="1"/>
  <c r="CD101" i="27" a="1"/>
  <c r="CD101" i="27" s="1"/>
  <c r="CK101" i="27" a="1"/>
  <c r="CK101" i="27" s="1"/>
  <c r="CQ101" i="27" a="1"/>
  <c r="CQ101" i="27" s="1"/>
  <c r="CE101" i="27" a="1"/>
  <c r="CE101" i="27" s="1"/>
  <c r="CR101" i="27" a="1"/>
  <c r="CR101" i="27" s="1"/>
  <c r="CA101" i="27" a="1"/>
  <c r="CA101" i="27" s="1"/>
  <c r="CG101" i="27" a="1"/>
  <c r="CG101" i="27" s="1"/>
  <c r="CM101" i="27" a="1"/>
  <c r="CM101" i="27" s="1"/>
  <c r="CN101" i="27" a="1"/>
  <c r="CN101" i="27" s="1"/>
  <c r="BZ101" i="27" a="1"/>
  <c r="BZ101" i="27" s="1"/>
  <c r="CP101" i="27" a="1"/>
  <c r="CP101" i="27" s="1"/>
  <c r="CB101" i="27" a="1"/>
  <c r="CB101" i="27" s="1"/>
  <c r="CS101" i="27" a="1"/>
  <c r="CS101" i="27" s="1"/>
  <c r="CC101" i="27" a="1"/>
  <c r="CC101" i="27" s="1"/>
  <c r="CU101" i="27" a="1"/>
  <c r="CU101" i="27" s="1"/>
  <c r="CF101" i="27" a="1"/>
  <c r="CF101" i="27" s="1"/>
  <c r="CI101" i="27" a="1"/>
  <c r="CI101" i="27" s="1"/>
  <c r="CL101" i="27" a="1"/>
  <c r="CL101" i="27" s="1"/>
  <c r="BY101" i="27" a="1"/>
  <c r="BY101" i="27" s="1"/>
  <c r="CE32" i="27" a="1"/>
  <c r="CE32" i="27" s="1"/>
  <c r="BZ32" i="27" a="1"/>
  <c r="BZ32" i="27" s="1"/>
  <c r="CA32" i="27" a="1"/>
  <c r="CA32" i="27" s="1"/>
  <c r="CC32" i="27" a="1"/>
  <c r="CC32" i="27" s="1"/>
  <c r="CH32" i="27" a="1"/>
  <c r="CH32" i="27" s="1"/>
  <c r="CO32" i="27" a="1"/>
  <c r="CO32" i="27" s="1"/>
  <c r="CU32" i="27" a="1"/>
  <c r="CU32" i="27" s="1"/>
  <c r="CB32" i="27" a="1"/>
  <c r="CB32" i="27" s="1"/>
  <c r="CJ32" i="27" a="1"/>
  <c r="CJ32" i="27" s="1"/>
  <c r="CP32" i="27" a="1"/>
  <c r="CP32" i="27" s="1"/>
  <c r="CL32" i="27" a="1"/>
  <c r="CL32" i="27" s="1"/>
  <c r="CF32" i="27" a="1"/>
  <c r="CF32" i="27" s="1"/>
  <c r="CM32" i="27" a="1"/>
  <c r="CM32" i="27" s="1"/>
  <c r="CR32" i="27" a="1"/>
  <c r="CR32" i="27" s="1"/>
  <c r="CG32" i="27" a="1"/>
  <c r="CG32" i="27" s="1"/>
  <c r="CT32" i="27" a="1"/>
  <c r="CT32" i="27" s="1"/>
  <c r="CK32" i="27" a="1"/>
  <c r="CK32" i="27" s="1"/>
  <c r="CS32" i="27" a="1"/>
  <c r="CS32" i="27" s="1"/>
  <c r="CD32" i="27" a="1"/>
  <c r="CD32" i="27" s="1"/>
  <c r="CV32" i="27" a="1"/>
  <c r="CV32" i="27" s="1"/>
  <c r="CI32" i="27" a="1"/>
  <c r="CI32" i="27" s="1"/>
  <c r="CQ32" i="27" a="1"/>
  <c r="CQ32" i="27" s="1"/>
  <c r="CN32" i="27" a="1"/>
  <c r="CN32" i="27" s="1"/>
  <c r="BY32" i="27" a="1"/>
  <c r="BY32" i="27" s="1"/>
  <c r="CD122" i="27" a="1"/>
  <c r="CD122" i="27" s="1"/>
  <c r="CL122" i="27" a="1"/>
  <c r="CL122" i="27" s="1"/>
  <c r="CT122" i="27" a="1"/>
  <c r="CT122" i="27" s="1"/>
  <c r="CF122" i="27" a="1"/>
  <c r="CF122" i="27" s="1"/>
  <c r="CN122" i="27" a="1"/>
  <c r="CN122" i="27" s="1"/>
  <c r="CV122" i="27" a="1"/>
  <c r="CV122" i="27" s="1"/>
  <c r="CG122" i="27" a="1"/>
  <c r="CG122" i="27" s="1"/>
  <c r="CO122" i="27" a="1"/>
  <c r="CO122" i="27" s="1"/>
  <c r="CA122" i="27" a="1"/>
  <c r="CA122" i="27" s="1"/>
  <c r="CI122" i="27" a="1"/>
  <c r="CI122" i="27" s="1"/>
  <c r="CQ122" i="27" a="1"/>
  <c r="CQ122" i="27" s="1"/>
  <c r="CH122" i="27" a="1"/>
  <c r="CH122" i="27" s="1"/>
  <c r="CJ122" i="27" a="1"/>
  <c r="CJ122" i="27" s="1"/>
  <c r="CK122" i="27" a="1"/>
  <c r="CK122" i="27" s="1"/>
  <c r="CM122" i="27" a="1"/>
  <c r="CM122" i="27" s="1"/>
  <c r="BZ122" i="27" a="1"/>
  <c r="BZ122" i="27" s="1"/>
  <c r="CP122" i="27" a="1"/>
  <c r="CP122" i="27" s="1"/>
  <c r="CB122" i="27" a="1"/>
  <c r="CB122" i="27" s="1"/>
  <c r="CR122" i="27" a="1"/>
  <c r="CR122" i="27" s="1"/>
  <c r="CE122" i="27" a="1"/>
  <c r="CE122" i="27" s="1"/>
  <c r="CU122" i="27" a="1"/>
  <c r="CU122" i="27" s="1"/>
  <c r="CC122" i="27" a="1"/>
  <c r="CC122" i="27" s="1"/>
  <c r="CS122" i="27" a="1"/>
  <c r="CS122" i="27" s="1"/>
  <c r="BY122" i="27" a="1"/>
  <c r="BY122" i="27" s="1"/>
  <c r="CD139" i="27" a="1"/>
  <c r="CD139" i="27" s="1"/>
  <c r="CI139" i="27" a="1"/>
  <c r="CI139" i="27" s="1"/>
  <c r="CE139" i="27" a="1"/>
  <c r="CE139" i="27" s="1"/>
  <c r="CK139" i="27" a="1"/>
  <c r="CK139" i="27" s="1"/>
  <c r="CF139" i="27" a="1"/>
  <c r="CF139" i="27" s="1"/>
  <c r="BZ139" i="27" a="1"/>
  <c r="BZ139" i="27" s="1"/>
  <c r="CA139" i="27" a="1"/>
  <c r="CA139" i="27" s="1"/>
  <c r="CG139" i="27" a="1"/>
  <c r="CG139" i="27" s="1"/>
  <c r="CC139" i="27" a="1"/>
  <c r="CC139" i="27" s="1"/>
  <c r="CS139" i="27" a="1"/>
  <c r="CS139" i="27" s="1"/>
  <c r="CN139" i="27" a="1"/>
  <c r="CN139" i="27" s="1"/>
  <c r="CT139" i="27" a="1"/>
  <c r="CT139" i="27" s="1"/>
  <c r="CB139" i="27" a="1"/>
  <c r="CB139" i="27" s="1"/>
  <c r="CU139" i="27" a="1"/>
  <c r="CU139" i="27" s="1"/>
  <c r="CO139" i="27" a="1"/>
  <c r="CO139" i="27" s="1"/>
  <c r="CH139" i="27" a="1"/>
  <c r="CH139" i="27" s="1"/>
  <c r="CV139" i="27" a="1"/>
  <c r="CV139" i="27" s="1"/>
  <c r="CJ139" i="27" a="1"/>
  <c r="CJ139" i="27" s="1"/>
  <c r="CP139" i="27" a="1"/>
  <c r="CP139" i="27" s="1"/>
  <c r="CM139" i="27" a="1"/>
  <c r="CM139" i="27" s="1"/>
  <c r="CR139" i="27" a="1"/>
  <c r="CR139" i="27" s="1"/>
  <c r="CL139" i="27" a="1"/>
  <c r="CL139" i="27" s="1"/>
  <c r="CQ139" i="27" a="1"/>
  <c r="CQ139" i="27" s="1"/>
  <c r="BY139" i="27" a="1"/>
  <c r="BY139" i="27" s="1"/>
  <c r="CA6" i="27" a="1"/>
  <c r="CA6" i="27" s="1"/>
  <c r="CH6" i="27" a="1"/>
  <c r="CH6" i="27" s="1"/>
  <c r="CP6" i="27" a="1"/>
  <c r="CP6" i="27" s="1"/>
  <c r="CB6" i="27" a="1"/>
  <c r="CB6" i="27" s="1"/>
  <c r="CJ6" i="27" a="1"/>
  <c r="CJ6" i="27" s="1"/>
  <c r="CR6" i="27" a="1"/>
  <c r="CR6" i="27" s="1"/>
  <c r="CD6" i="27" a="1"/>
  <c r="CD6" i="27" s="1"/>
  <c r="CL6" i="27" a="1"/>
  <c r="CL6" i="27" s="1"/>
  <c r="CT6" i="27" a="1"/>
  <c r="CT6" i="27" s="1"/>
  <c r="CE6" i="27" a="1"/>
  <c r="CE6" i="27" s="1"/>
  <c r="CM6" i="27" a="1"/>
  <c r="CM6" i="27" s="1"/>
  <c r="CU6" i="27" a="1"/>
  <c r="CU6" i="27" s="1"/>
  <c r="CG6" i="27" a="1"/>
  <c r="CG6" i="27" s="1"/>
  <c r="CO6" i="27" a="1"/>
  <c r="CO6" i="27" s="1"/>
  <c r="CC6" i="27" a="1"/>
  <c r="CC6" i="27" s="1"/>
  <c r="CI6" i="27" a="1"/>
  <c r="CI6" i="27" s="1"/>
  <c r="CN6" i="27" a="1"/>
  <c r="CN6" i="27" s="1"/>
  <c r="CQ6" i="27" a="1"/>
  <c r="CQ6" i="27" s="1"/>
  <c r="CV6" i="27" a="1"/>
  <c r="CV6" i="27" s="1"/>
  <c r="CK6" i="27" a="1"/>
  <c r="CK6" i="27" s="1"/>
  <c r="CF6" i="27" a="1"/>
  <c r="CF6" i="27" s="1"/>
  <c r="CS6" i="27" a="1"/>
  <c r="CS6" i="27" s="1"/>
  <c r="BZ6" i="27" a="1"/>
  <c r="BZ6" i="27" s="1"/>
  <c r="BY6" i="27" a="1"/>
  <c r="BY6" i="27" s="1"/>
  <c r="CA78" i="27" a="1"/>
  <c r="CA78" i="27" s="1"/>
  <c r="CF78" i="27" a="1"/>
  <c r="CF78" i="27" s="1"/>
  <c r="CG78" i="27" a="1"/>
  <c r="CG78" i="27" s="1"/>
  <c r="CN78" i="27" a="1"/>
  <c r="CN78" i="27" s="1"/>
  <c r="CT78" i="27" a="1"/>
  <c r="CT78" i="27" s="1"/>
  <c r="CI78" i="27" a="1"/>
  <c r="CI78" i="27" s="1"/>
  <c r="CV78" i="27" a="1"/>
  <c r="CV78" i="27" s="1"/>
  <c r="CD78" i="27" a="1"/>
  <c r="CD78" i="27" s="1"/>
  <c r="CJ78" i="27" a="1"/>
  <c r="CJ78" i="27" s="1"/>
  <c r="CP78" i="27" a="1"/>
  <c r="CP78" i="27" s="1"/>
  <c r="BZ78" i="27" a="1"/>
  <c r="BZ78" i="27" s="1"/>
  <c r="CE78" i="27" a="1"/>
  <c r="CE78" i="27" s="1"/>
  <c r="CL78" i="27" a="1"/>
  <c r="CL78" i="27" s="1"/>
  <c r="CR78" i="27" a="1"/>
  <c r="CR78" i="27" s="1"/>
  <c r="CH78" i="27" a="1"/>
  <c r="CH78" i="27" s="1"/>
  <c r="CK78" i="27" a="1"/>
  <c r="CK78" i="27" s="1"/>
  <c r="CM78" i="27" a="1"/>
  <c r="CM78" i="27" s="1"/>
  <c r="CO78" i="27" a="1"/>
  <c r="CO78" i="27" s="1"/>
  <c r="CB78" i="27" a="1"/>
  <c r="CB78" i="27" s="1"/>
  <c r="CQ78" i="27" a="1"/>
  <c r="CQ78" i="27" s="1"/>
  <c r="CC78" i="27" a="1"/>
  <c r="CC78" i="27" s="1"/>
  <c r="CS78" i="27" a="1"/>
  <c r="CS78" i="27" s="1"/>
  <c r="CU78" i="27" a="1"/>
  <c r="CU78" i="27" s="1"/>
  <c r="BY78" i="27" a="1"/>
  <c r="BY78" i="27" s="1"/>
  <c r="CE128" i="27" a="1"/>
  <c r="CE128" i="27" s="1"/>
  <c r="CM128" i="27" a="1"/>
  <c r="CM128" i="27" s="1"/>
  <c r="CU128" i="27" a="1"/>
  <c r="CU128" i="27" s="1"/>
  <c r="CF128" i="27" a="1"/>
  <c r="CF128" i="27" s="1"/>
  <c r="CN128" i="27" a="1"/>
  <c r="CN128" i="27" s="1"/>
  <c r="CV128" i="27" a="1"/>
  <c r="CV128" i="27" s="1"/>
  <c r="CG128" i="27" a="1"/>
  <c r="CG128" i="27" s="1"/>
  <c r="CO128" i="27" a="1"/>
  <c r="CO128" i="27" s="1"/>
  <c r="BZ128" i="27" a="1"/>
  <c r="BZ128" i="27" s="1"/>
  <c r="CH128" i="27" a="1"/>
  <c r="CH128" i="27" s="1"/>
  <c r="CP128" i="27" a="1"/>
  <c r="CP128" i="27" s="1"/>
  <c r="CA128" i="27" a="1"/>
  <c r="CA128" i="27" s="1"/>
  <c r="CI128" i="27" a="1"/>
  <c r="CI128" i="27" s="1"/>
  <c r="CQ128" i="27" a="1"/>
  <c r="CQ128" i="27" s="1"/>
  <c r="CB128" i="27" a="1"/>
  <c r="CB128" i="27" s="1"/>
  <c r="CJ128" i="27" a="1"/>
  <c r="CJ128" i="27" s="1"/>
  <c r="CR128" i="27" a="1"/>
  <c r="CR128" i="27" s="1"/>
  <c r="CD128" i="27" a="1"/>
  <c r="CD128" i="27" s="1"/>
  <c r="CL128" i="27" a="1"/>
  <c r="CL128" i="27" s="1"/>
  <c r="CT128" i="27" a="1"/>
  <c r="CT128" i="27" s="1"/>
  <c r="CS128" i="27" a="1"/>
  <c r="CS128" i="27" s="1"/>
  <c r="CK128" i="27" a="1"/>
  <c r="CK128" i="27" s="1"/>
  <c r="CC128" i="27" a="1"/>
  <c r="CC128" i="27" s="1"/>
  <c r="BY128" i="27" a="1"/>
  <c r="BY128" i="27" s="1"/>
  <c r="CE23" i="27" a="1"/>
  <c r="CE23" i="27" s="1"/>
  <c r="CK23" i="27" a="1"/>
  <c r="CK23" i="27" s="1"/>
  <c r="CR23" i="27" a="1"/>
  <c r="CR23" i="27" s="1"/>
  <c r="BZ23" i="27" a="1"/>
  <c r="BZ23" i="27" s="1"/>
  <c r="CF23" i="27" a="1"/>
  <c r="CF23" i="27" s="1"/>
  <c r="CM23" i="27" a="1"/>
  <c r="CM23" i="27" s="1"/>
  <c r="CS23" i="27" a="1"/>
  <c r="CS23" i="27" s="1"/>
  <c r="CB23" i="27" a="1"/>
  <c r="CB23" i="27" s="1"/>
  <c r="CH23" i="27" a="1"/>
  <c r="CH23" i="27" s="1"/>
  <c r="CN23" i="27" a="1"/>
  <c r="CN23" i="27" s="1"/>
  <c r="CU23" i="27" a="1"/>
  <c r="CU23" i="27" s="1"/>
  <c r="CI23" i="27" a="1"/>
  <c r="CI23" i="27" s="1"/>
  <c r="CO23" i="27" a="1"/>
  <c r="CO23" i="27" s="1"/>
  <c r="CD23" i="27" a="1"/>
  <c r="CD23" i="27" s="1"/>
  <c r="CQ23" i="27" a="1"/>
  <c r="CQ23" i="27" s="1"/>
  <c r="CP23" i="27" a="1"/>
  <c r="CP23" i="27" s="1"/>
  <c r="CC23" i="27" a="1"/>
  <c r="CC23" i="27" s="1"/>
  <c r="CT23" i="27" a="1"/>
  <c r="CT23" i="27" s="1"/>
  <c r="CG23" i="27" a="1"/>
  <c r="CG23" i="27" s="1"/>
  <c r="CJ23" i="27" a="1"/>
  <c r="CJ23" i="27" s="1"/>
  <c r="CA23" i="27" a="1"/>
  <c r="CA23" i="27" s="1"/>
  <c r="CL23" i="27" a="1"/>
  <c r="CL23" i="27" s="1"/>
  <c r="CV23" i="27" a="1"/>
  <c r="CV23" i="27" s="1"/>
  <c r="BY23" i="27" a="1"/>
  <c r="BY23" i="27" s="1"/>
  <c r="CB114" i="27" a="1"/>
  <c r="CB114" i="27" s="1"/>
  <c r="CJ114" i="27" a="1"/>
  <c r="CJ114" i="27" s="1"/>
  <c r="CR114" i="27" a="1"/>
  <c r="CR114" i="27" s="1"/>
  <c r="CD114" i="27" a="1"/>
  <c r="CD114" i="27" s="1"/>
  <c r="CL114" i="27" a="1"/>
  <c r="CL114" i="27" s="1"/>
  <c r="CT114" i="27" a="1"/>
  <c r="CT114" i="27" s="1"/>
  <c r="CF114" i="27" a="1"/>
  <c r="CF114" i="27" s="1"/>
  <c r="CN114" i="27" a="1"/>
  <c r="CN114" i="27" s="1"/>
  <c r="CV114" i="27" a="1"/>
  <c r="CV114" i="27" s="1"/>
  <c r="CG114" i="27" a="1"/>
  <c r="CG114" i="27" s="1"/>
  <c r="CO114" i="27" a="1"/>
  <c r="CO114" i="27" s="1"/>
  <c r="CA114" i="27" a="1"/>
  <c r="CA114" i="27" s="1"/>
  <c r="CI114" i="27" a="1"/>
  <c r="CI114" i="27" s="1"/>
  <c r="CQ114" i="27" a="1"/>
  <c r="CQ114" i="27" s="1"/>
  <c r="CE114" i="27" a="1"/>
  <c r="CE114" i="27" s="1"/>
  <c r="CH114" i="27" a="1"/>
  <c r="CH114" i="27" s="1"/>
  <c r="CK114" i="27" a="1"/>
  <c r="CK114" i="27" s="1"/>
  <c r="CM114" i="27" a="1"/>
  <c r="CM114" i="27" s="1"/>
  <c r="CP114" i="27" a="1"/>
  <c r="CP114" i="27" s="1"/>
  <c r="CS114" i="27" a="1"/>
  <c r="CS114" i="27" s="1"/>
  <c r="CC114" i="27" a="1"/>
  <c r="CC114" i="27" s="1"/>
  <c r="BZ114" i="27" a="1"/>
  <c r="BZ114" i="27" s="1"/>
  <c r="CU114" i="27" a="1"/>
  <c r="CU114" i="27" s="1"/>
  <c r="BY114" i="27" a="1"/>
  <c r="BY114" i="27" s="1"/>
  <c r="CB8" i="27" a="1"/>
  <c r="CB8" i="27" s="1"/>
  <c r="CJ8" i="27" a="1"/>
  <c r="CJ8" i="27" s="1"/>
  <c r="CR8" i="27" a="1"/>
  <c r="CR8" i="27" s="1"/>
  <c r="CD8" i="27" a="1"/>
  <c r="CD8" i="27" s="1"/>
  <c r="CL8" i="27" a="1"/>
  <c r="CL8" i="27" s="1"/>
  <c r="CT8" i="27" a="1"/>
  <c r="CT8" i="27" s="1"/>
  <c r="CF8" i="27" a="1"/>
  <c r="CF8" i="27" s="1"/>
  <c r="CN8" i="27" a="1"/>
  <c r="CN8" i="27" s="1"/>
  <c r="CV8" i="27" a="1"/>
  <c r="CV8" i="27" s="1"/>
  <c r="CG8" i="27" a="1"/>
  <c r="CG8" i="27" s="1"/>
  <c r="CO8" i="27" a="1"/>
  <c r="CO8" i="27" s="1"/>
  <c r="CA8" i="27" a="1"/>
  <c r="CA8" i="27" s="1"/>
  <c r="CI8" i="27" a="1"/>
  <c r="CI8" i="27" s="1"/>
  <c r="CQ8" i="27" a="1"/>
  <c r="CQ8" i="27" s="1"/>
  <c r="BZ8" i="27" a="1"/>
  <c r="BZ8" i="27" s="1"/>
  <c r="CU8" i="27" a="1"/>
  <c r="CU8" i="27" s="1"/>
  <c r="CE8" i="27" a="1"/>
  <c r="CE8" i="27" s="1"/>
  <c r="CK8" i="27" a="1"/>
  <c r="CK8" i="27" s="1"/>
  <c r="CM8" i="27" a="1"/>
  <c r="CM8" i="27" s="1"/>
  <c r="CS8" i="27" a="1"/>
  <c r="CS8" i="27" s="1"/>
  <c r="CC8" i="27" a="1"/>
  <c r="CC8" i="27" s="1"/>
  <c r="CP8" i="27" a="1"/>
  <c r="CP8" i="27" s="1"/>
  <c r="CH8" i="27" a="1"/>
  <c r="CH8" i="27" s="1"/>
  <c r="BY8" i="27" a="1"/>
  <c r="BY8" i="27" s="1"/>
  <c r="BZ58" i="27" a="1"/>
  <c r="BZ58" i="27" s="1"/>
  <c r="CE58" i="27" a="1"/>
  <c r="CE58" i="27" s="1"/>
  <c r="CJ58" i="27" a="1"/>
  <c r="CJ58" i="27" s="1"/>
  <c r="CU58" i="27" a="1"/>
  <c r="CU58" i="27" s="1"/>
  <c r="CA58" i="27" a="1"/>
  <c r="CA58" i="27" s="1"/>
  <c r="CL58" i="27" a="1"/>
  <c r="CL58" i="27" s="1"/>
  <c r="CB58" i="27" a="1"/>
  <c r="CB58" i="27" s="1"/>
  <c r="CM58" i="27" a="1"/>
  <c r="CM58" i="27" s="1"/>
  <c r="CR58" i="27" a="1"/>
  <c r="CR58" i="27" s="1"/>
  <c r="CC58" i="27" a="1"/>
  <c r="CC58" i="27" s="1"/>
  <c r="CH58" i="27" a="1"/>
  <c r="CH58" i="27" s="1"/>
  <c r="CN58" i="27" a="1"/>
  <c r="CN58" i="27" s="1"/>
  <c r="CS58" i="27" a="1"/>
  <c r="CS58" i="27" s="1"/>
  <c r="CI58" i="27" a="1"/>
  <c r="CI58" i="27" s="1"/>
  <c r="CO58" i="27" a="1"/>
  <c r="CO58" i="27" s="1"/>
  <c r="CP58" i="27" a="1"/>
  <c r="CP58" i="27" s="1"/>
  <c r="CF58" i="27" a="1"/>
  <c r="CF58" i="27" s="1"/>
  <c r="CT58" i="27" a="1"/>
  <c r="CT58" i="27" s="1"/>
  <c r="CG58" i="27" a="1"/>
  <c r="CG58" i="27" s="1"/>
  <c r="CV58" i="27" a="1"/>
  <c r="CV58" i="27" s="1"/>
  <c r="CK58" i="27" a="1"/>
  <c r="CK58" i="27" s="1"/>
  <c r="CQ58" i="27" a="1"/>
  <c r="CQ58" i="27" s="1"/>
  <c r="CD58" i="27" a="1"/>
  <c r="CD58" i="27" s="1"/>
  <c r="BY58" i="27" a="1"/>
  <c r="BY58" i="27" s="1"/>
  <c r="CF118" i="27" a="1"/>
  <c r="CF118" i="27" s="1"/>
  <c r="CN118" i="27" a="1"/>
  <c r="CN118" i="27" s="1"/>
  <c r="CV118" i="27" a="1"/>
  <c r="CV118" i="27" s="1"/>
  <c r="BZ118" i="27" a="1"/>
  <c r="BZ118" i="27" s="1"/>
  <c r="CH118" i="27" a="1"/>
  <c r="CH118" i="27" s="1"/>
  <c r="CP118" i="27" a="1"/>
  <c r="CP118" i="27" s="1"/>
  <c r="CB118" i="27" a="1"/>
  <c r="CB118" i="27" s="1"/>
  <c r="CJ118" i="27" a="1"/>
  <c r="CJ118" i="27" s="1"/>
  <c r="CR118" i="27" a="1"/>
  <c r="CR118" i="27" s="1"/>
  <c r="CC118" i="27" a="1"/>
  <c r="CC118" i="27" s="1"/>
  <c r="CK118" i="27" a="1"/>
  <c r="CK118" i="27" s="1"/>
  <c r="CS118" i="27" a="1"/>
  <c r="CS118" i="27" s="1"/>
  <c r="CE118" i="27" a="1"/>
  <c r="CE118" i="27" s="1"/>
  <c r="CM118" i="27" a="1"/>
  <c r="CM118" i="27" s="1"/>
  <c r="CU118" i="27" a="1"/>
  <c r="CU118" i="27" s="1"/>
  <c r="CT118" i="27" a="1"/>
  <c r="CT118" i="27" s="1"/>
  <c r="CA118" i="27" a="1"/>
  <c r="CA118" i="27" s="1"/>
  <c r="CD118" i="27" a="1"/>
  <c r="CD118" i="27" s="1"/>
  <c r="CG118" i="27" a="1"/>
  <c r="CG118" i="27" s="1"/>
  <c r="CI118" i="27" a="1"/>
  <c r="CI118" i="27" s="1"/>
  <c r="CL118" i="27" a="1"/>
  <c r="CL118" i="27" s="1"/>
  <c r="CQ118" i="27" a="1"/>
  <c r="CQ118" i="27" s="1"/>
  <c r="CO118" i="27" a="1"/>
  <c r="CO118" i="27" s="1"/>
  <c r="BY118" i="27" a="1"/>
  <c r="BY118" i="27" s="1"/>
  <c r="CE117" i="27" a="1"/>
  <c r="CE117" i="27" s="1"/>
  <c r="CM117" i="27" a="1"/>
  <c r="CM117" i="27" s="1"/>
  <c r="CU117" i="27" a="1"/>
  <c r="CU117" i="27" s="1"/>
  <c r="CG117" i="27" a="1"/>
  <c r="CG117" i="27" s="1"/>
  <c r="CO117" i="27" a="1"/>
  <c r="CO117" i="27" s="1"/>
  <c r="CA117" i="27" a="1"/>
  <c r="CA117" i="27" s="1"/>
  <c r="CI117" i="27" a="1"/>
  <c r="CI117" i="27" s="1"/>
  <c r="CQ117" i="27" a="1"/>
  <c r="CQ117" i="27" s="1"/>
  <c r="CB117" i="27" a="1"/>
  <c r="CB117" i="27" s="1"/>
  <c r="CJ117" i="27" a="1"/>
  <c r="CJ117" i="27" s="1"/>
  <c r="CR117" i="27" a="1"/>
  <c r="CR117" i="27" s="1"/>
  <c r="CD117" i="27" a="1"/>
  <c r="CD117" i="27" s="1"/>
  <c r="CL117" i="27" a="1"/>
  <c r="CL117" i="27" s="1"/>
  <c r="CT117" i="27" a="1"/>
  <c r="CT117" i="27" s="1"/>
  <c r="BZ117" i="27" a="1"/>
  <c r="BZ117" i="27" s="1"/>
  <c r="CV117" i="27" a="1"/>
  <c r="CV117" i="27" s="1"/>
  <c r="CC117" i="27" a="1"/>
  <c r="CC117" i="27" s="1"/>
  <c r="CF117" i="27" a="1"/>
  <c r="CF117" i="27" s="1"/>
  <c r="CH117" i="27" a="1"/>
  <c r="CH117" i="27" s="1"/>
  <c r="CK117" i="27" a="1"/>
  <c r="CK117" i="27" s="1"/>
  <c r="CN117" i="27" a="1"/>
  <c r="CN117" i="27" s="1"/>
  <c r="CS117" i="27" a="1"/>
  <c r="CS117" i="27" s="1"/>
  <c r="CP117" i="27" a="1"/>
  <c r="CP117" i="27" s="1"/>
  <c r="BY117" i="27" a="1"/>
  <c r="BY117" i="27" s="1"/>
  <c r="CB38" i="27" a="1"/>
  <c r="CB38" i="27" s="1"/>
  <c r="CH38" i="27" a="1"/>
  <c r="CH38" i="27" s="1"/>
  <c r="CO38" i="27" a="1"/>
  <c r="CO38" i="27" s="1"/>
  <c r="CT38" i="27" a="1"/>
  <c r="CT38" i="27" s="1"/>
  <c r="CD38" i="27" a="1"/>
  <c r="CD38" i="27" s="1"/>
  <c r="CI38" i="27" a="1"/>
  <c r="CI38" i="27" s="1"/>
  <c r="CV38" i="27" a="1"/>
  <c r="CV38" i="27" s="1"/>
  <c r="CK38" i="27" a="1"/>
  <c r="CK38" i="27" s="1"/>
  <c r="CF38" i="27" a="1"/>
  <c r="CF38" i="27" s="1"/>
  <c r="CL38" i="27" a="1"/>
  <c r="CL38" i="27" s="1"/>
  <c r="CR38" i="27" a="1"/>
  <c r="CR38" i="27" s="1"/>
  <c r="CA38" i="27" a="1"/>
  <c r="CA38" i="27" s="1"/>
  <c r="CN38" i="27" a="1"/>
  <c r="CN38" i="27" s="1"/>
  <c r="CG38" i="27" a="1"/>
  <c r="CG38" i="27" s="1"/>
  <c r="CJ38" i="27" a="1"/>
  <c r="CJ38" i="27" s="1"/>
  <c r="CP38" i="27" a="1"/>
  <c r="CP38" i="27" s="1"/>
  <c r="BZ38" i="27" a="1"/>
  <c r="BZ38" i="27" s="1"/>
  <c r="CQ38" i="27" a="1"/>
  <c r="CQ38" i="27" s="1"/>
  <c r="CE38" i="27" a="1"/>
  <c r="CE38" i="27" s="1"/>
  <c r="CU38" i="27" a="1"/>
  <c r="CU38" i="27" s="1"/>
  <c r="CC38" i="27" a="1"/>
  <c r="CC38" i="27" s="1"/>
  <c r="CM38" i="27" a="1"/>
  <c r="CM38" i="27" s="1"/>
  <c r="CS38" i="27" a="1"/>
  <c r="CS38" i="27" s="1"/>
  <c r="BY38" i="27" a="1"/>
  <c r="BY38" i="27" s="1"/>
  <c r="BZ126" i="27" a="1"/>
  <c r="BZ126" i="27" s="1"/>
  <c r="CH126" i="27" a="1"/>
  <c r="CH126" i="27" s="1"/>
  <c r="CP126" i="27" a="1"/>
  <c r="CP126" i="27" s="1"/>
  <c r="CB126" i="27" a="1"/>
  <c r="CB126" i="27" s="1"/>
  <c r="CJ126" i="27" a="1"/>
  <c r="CJ126" i="27" s="1"/>
  <c r="CR126" i="27" a="1"/>
  <c r="CR126" i="27" s="1"/>
  <c r="CC126" i="27" a="1"/>
  <c r="CC126" i="27" s="1"/>
  <c r="CK126" i="27" a="1"/>
  <c r="CK126" i="27" s="1"/>
  <c r="CS126" i="27" a="1"/>
  <c r="CS126" i="27" s="1"/>
  <c r="CE126" i="27" a="1"/>
  <c r="CE126" i="27" s="1"/>
  <c r="CM126" i="27" a="1"/>
  <c r="CM126" i="27" s="1"/>
  <c r="CU126" i="27" a="1"/>
  <c r="CU126" i="27" s="1"/>
  <c r="CL126" i="27" a="1"/>
  <c r="CL126" i="27" s="1"/>
  <c r="CN126" i="27" a="1"/>
  <c r="CN126" i="27" s="1"/>
  <c r="CO126" i="27" a="1"/>
  <c r="CO126" i="27" s="1"/>
  <c r="CA126" i="27" a="1"/>
  <c r="CA126" i="27" s="1"/>
  <c r="CQ126" i="27" a="1"/>
  <c r="CQ126" i="27" s="1"/>
  <c r="CD126" i="27" a="1"/>
  <c r="CD126" i="27" s="1"/>
  <c r="CT126" i="27" a="1"/>
  <c r="CT126" i="27" s="1"/>
  <c r="CF126" i="27" a="1"/>
  <c r="CF126" i="27" s="1"/>
  <c r="CV126" i="27" a="1"/>
  <c r="CV126" i="27" s="1"/>
  <c r="CI126" i="27" a="1"/>
  <c r="CI126" i="27" s="1"/>
  <c r="CG126" i="27" a="1"/>
  <c r="CG126" i="27" s="1"/>
  <c r="BY126" i="27" a="1"/>
  <c r="BY126" i="27" s="1"/>
  <c r="CE77" i="27" a="1"/>
  <c r="CE77" i="27" s="1"/>
  <c r="CK77" i="27" a="1"/>
  <c r="CK77" i="27" s="1"/>
  <c r="BZ77" i="27" a="1"/>
  <c r="BZ77" i="27" s="1"/>
  <c r="CM77" i="27" a="1"/>
  <c r="CM77" i="27" s="1"/>
  <c r="CB77" i="27" a="1"/>
  <c r="CB77" i="27" s="1"/>
  <c r="CH77" i="27" a="1"/>
  <c r="CH77" i="27" s="1"/>
  <c r="CO77" i="27" a="1"/>
  <c r="CO77" i="27" s="1"/>
  <c r="CT77" i="27" a="1"/>
  <c r="CT77" i="27" s="1"/>
  <c r="CC77" i="27" a="1"/>
  <c r="CC77" i="27" s="1"/>
  <c r="CI77" i="27" a="1"/>
  <c r="CI77" i="27" s="1"/>
  <c r="CU77" i="27" a="1"/>
  <c r="CU77" i="27" s="1"/>
  <c r="CD77" i="27" a="1"/>
  <c r="CD77" i="27" s="1"/>
  <c r="CJ77" i="27" a="1"/>
  <c r="CJ77" i="27" s="1"/>
  <c r="CQ77" i="27" a="1"/>
  <c r="CQ77" i="27" s="1"/>
  <c r="CP77" i="27" a="1"/>
  <c r="CP77" i="27" s="1"/>
  <c r="CA77" i="27" a="1"/>
  <c r="CA77" i="27" s="1"/>
  <c r="CR77" i="27" a="1"/>
  <c r="CR77" i="27" s="1"/>
  <c r="CS77" i="27" a="1"/>
  <c r="CS77" i="27" s="1"/>
  <c r="CF77" i="27" a="1"/>
  <c r="CF77" i="27" s="1"/>
  <c r="CV77" i="27" a="1"/>
  <c r="CV77" i="27" s="1"/>
  <c r="CG77" i="27" a="1"/>
  <c r="CG77" i="27" s="1"/>
  <c r="CN77" i="27" a="1"/>
  <c r="CN77" i="27" s="1"/>
  <c r="CL77" i="27" a="1"/>
  <c r="CL77" i="27" s="1"/>
  <c r="BY77" i="27" a="1"/>
  <c r="BY77" i="27" s="1"/>
  <c r="CB85" i="27" a="1"/>
  <c r="CB85" i="27" s="1"/>
  <c r="CG85" i="27" a="1"/>
  <c r="CG85" i="27" s="1"/>
  <c r="CL85" i="27" a="1"/>
  <c r="CL85" i="27" s="1"/>
  <c r="CR85" i="27" a="1"/>
  <c r="CR85" i="27" s="1"/>
  <c r="CC85" i="27" a="1"/>
  <c r="CC85" i="27" s="1"/>
  <c r="CI85" i="27" a="1"/>
  <c r="CI85" i="27" s="1"/>
  <c r="CN85" i="27" a="1"/>
  <c r="CN85" i="27" s="1"/>
  <c r="CD85" i="27" a="1"/>
  <c r="CD85" i="27" s="1"/>
  <c r="CJ85" i="27" a="1"/>
  <c r="CJ85" i="27" s="1"/>
  <c r="CO85" i="27" a="1"/>
  <c r="CO85" i="27" s="1"/>
  <c r="CU85" i="27" a="1"/>
  <c r="CU85" i="27" s="1"/>
  <c r="CE85" i="27" a="1"/>
  <c r="CE85" i="27" s="1"/>
  <c r="CP85" i="27" a="1"/>
  <c r="CP85" i="27" s="1"/>
  <c r="CV85" i="27" a="1"/>
  <c r="CV85" i="27" s="1"/>
  <c r="CA85" i="27" a="1"/>
  <c r="CA85" i="27" s="1"/>
  <c r="CF85" i="27" a="1"/>
  <c r="CF85" i="27" s="1"/>
  <c r="CH85" i="27" a="1"/>
  <c r="CH85" i="27" s="1"/>
  <c r="CT85" i="27" a="1"/>
  <c r="CT85" i="27" s="1"/>
  <c r="CK85" i="27" a="1"/>
  <c r="CK85" i="27" s="1"/>
  <c r="CM85" i="27" a="1"/>
  <c r="CM85" i="27" s="1"/>
  <c r="BZ85" i="27" a="1"/>
  <c r="BZ85" i="27" s="1"/>
  <c r="CQ85" i="27" a="1"/>
  <c r="CQ85" i="27" s="1"/>
  <c r="CS85" i="27" a="1"/>
  <c r="CS85" i="27" s="1"/>
  <c r="BY85" i="27" a="1"/>
  <c r="BY85" i="27" s="1"/>
  <c r="CG98" i="27" a="1"/>
  <c r="CG98" i="27" s="1"/>
  <c r="CM98" i="27" a="1"/>
  <c r="CM98" i="27" s="1"/>
  <c r="CA98" i="27" a="1"/>
  <c r="CA98" i="27" s="1"/>
  <c r="CH98" i="27" a="1"/>
  <c r="CH98" i="27" s="1"/>
  <c r="CN98" i="27" a="1"/>
  <c r="CN98" i="27" s="1"/>
  <c r="CT98" i="27" a="1"/>
  <c r="CT98" i="27" s="1"/>
  <c r="CB98" i="27" a="1"/>
  <c r="CB98" i="27" s="1"/>
  <c r="CU98" i="27" a="1"/>
  <c r="CU98" i="27" s="1"/>
  <c r="CC98" i="27" a="1"/>
  <c r="CC98" i="27" s="1"/>
  <c r="CI98" i="27" a="1"/>
  <c r="CI98" i="27" s="1"/>
  <c r="CO98" i="27" a="1"/>
  <c r="CO98" i="27" s="1"/>
  <c r="CV98" i="27" a="1"/>
  <c r="CV98" i="27" s="1"/>
  <c r="CJ98" i="27" a="1"/>
  <c r="CJ98" i="27" s="1"/>
  <c r="CP98" i="27" a="1"/>
  <c r="CP98" i="27" s="1"/>
  <c r="CD98" i="27" a="1"/>
  <c r="CD98" i="27" s="1"/>
  <c r="CK98" i="27" a="1"/>
  <c r="CK98" i="27" s="1"/>
  <c r="CQ98" i="27" a="1"/>
  <c r="CQ98" i="27" s="1"/>
  <c r="BZ98" i="27" a="1"/>
  <c r="BZ98" i="27" s="1"/>
  <c r="CF98" i="27" a="1"/>
  <c r="CF98" i="27" s="1"/>
  <c r="CL98" i="27" a="1"/>
  <c r="CL98" i="27" s="1"/>
  <c r="CS98" i="27" a="1"/>
  <c r="CS98" i="27" s="1"/>
  <c r="CE98" i="27" a="1"/>
  <c r="CE98" i="27" s="1"/>
  <c r="CR98" i="27" a="1"/>
  <c r="CR98" i="27" s="1"/>
  <c r="BY98" i="27" a="1"/>
  <c r="BY98" i="27" s="1"/>
  <c r="CA66" i="27" a="1"/>
  <c r="CA66" i="27" s="1"/>
  <c r="CH66" i="27" a="1"/>
  <c r="CH66" i="27" s="1"/>
  <c r="CU66" i="27" a="1"/>
  <c r="CU66" i="27" s="1"/>
  <c r="CC66" i="27" a="1"/>
  <c r="CC66" i="27" s="1"/>
  <c r="CI66" i="27" a="1"/>
  <c r="CI66" i="27" s="1"/>
  <c r="CE66" i="27" a="1"/>
  <c r="CE66" i="27" s="1"/>
  <c r="CK66" i="27" a="1"/>
  <c r="CK66" i="27" s="1"/>
  <c r="CQ66" i="27" a="1"/>
  <c r="CQ66" i="27" s="1"/>
  <c r="CF66" i="27" a="1"/>
  <c r="CF66" i="27" s="1"/>
  <c r="CL66" i="27" a="1"/>
  <c r="CL66" i="27" s="1"/>
  <c r="CR66" i="27" a="1"/>
  <c r="CR66" i="27" s="1"/>
  <c r="CG66" i="27" a="1"/>
  <c r="CG66" i="27" s="1"/>
  <c r="CN66" i="27" a="1"/>
  <c r="CN66" i="27" s="1"/>
  <c r="CT66" i="27" a="1"/>
  <c r="CT66" i="27" s="1"/>
  <c r="CD66" i="27" a="1"/>
  <c r="CD66" i="27" s="1"/>
  <c r="CV66" i="27" a="1"/>
  <c r="CV66" i="27" s="1"/>
  <c r="CM66" i="27" a="1"/>
  <c r="CM66" i="27" s="1"/>
  <c r="CO66" i="27" a="1"/>
  <c r="CO66" i="27" s="1"/>
  <c r="CB66" i="27" a="1"/>
  <c r="CB66" i="27" s="1"/>
  <c r="CS66" i="27" a="1"/>
  <c r="CS66" i="27" s="1"/>
  <c r="CP66" i="27" a="1"/>
  <c r="CP66" i="27" s="1"/>
  <c r="BZ66" i="27" a="1"/>
  <c r="BZ66" i="27" s="1"/>
  <c r="CJ66" i="27" a="1"/>
  <c r="CJ66" i="27" s="1"/>
  <c r="BY66" i="27" a="1"/>
  <c r="BY66" i="27" s="1"/>
  <c r="CD116" i="27" a="1"/>
  <c r="CD116" i="27" s="1"/>
  <c r="CL116" i="27" a="1"/>
  <c r="CL116" i="27" s="1"/>
  <c r="CT116" i="27" a="1"/>
  <c r="CT116" i="27" s="1"/>
  <c r="CF116" i="27" a="1"/>
  <c r="CF116" i="27" s="1"/>
  <c r="CN116" i="27" a="1"/>
  <c r="CN116" i="27" s="1"/>
  <c r="CV116" i="27" a="1"/>
  <c r="CV116" i="27" s="1"/>
  <c r="BZ116" i="27" a="1"/>
  <c r="BZ116" i="27" s="1"/>
  <c r="CH116" i="27" a="1"/>
  <c r="CH116" i="27" s="1"/>
  <c r="CP116" i="27" a="1"/>
  <c r="CP116" i="27" s="1"/>
  <c r="CA116" i="27" a="1"/>
  <c r="CA116" i="27" s="1"/>
  <c r="CI116" i="27" a="1"/>
  <c r="CI116" i="27" s="1"/>
  <c r="CQ116" i="27" a="1"/>
  <c r="CQ116" i="27" s="1"/>
  <c r="CC116" i="27" a="1"/>
  <c r="CC116" i="27" s="1"/>
  <c r="CK116" i="27" a="1"/>
  <c r="CK116" i="27" s="1"/>
  <c r="CS116" i="27" a="1"/>
  <c r="CS116" i="27" s="1"/>
  <c r="CB116" i="27" a="1"/>
  <c r="CB116" i="27" s="1"/>
  <c r="CE116" i="27" a="1"/>
  <c r="CE116" i="27" s="1"/>
  <c r="CG116" i="27" a="1"/>
  <c r="CG116" i="27" s="1"/>
  <c r="CJ116" i="27" a="1"/>
  <c r="CJ116" i="27" s="1"/>
  <c r="CM116" i="27" a="1"/>
  <c r="CM116" i="27" s="1"/>
  <c r="CO116" i="27" a="1"/>
  <c r="CO116" i="27" s="1"/>
  <c r="CU116" i="27" a="1"/>
  <c r="CU116" i="27" s="1"/>
  <c r="CR116" i="27" a="1"/>
  <c r="CR116" i="27" s="1"/>
  <c r="BY116" i="27" a="1"/>
  <c r="BY116" i="27" s="1"/>
  <c r="CA53" i="27" a="1"/>
  <c r="CA53" i="27" s="1"/>
  <c r="CG53" i="27" a="1"/>
  <c r="CG53" i="27" s="1"/>
  <c r="CQ53" i="27" a="1"/>
  <c r="CQ53" i="27" s="1"/>
  <c r="CC53" i="27" a="1"/>
  <c r="CC53" i="27" s="1"/>
  <c r="CH53" i="27" a="1"/>
  <c r="CH53" i="27" s="1"/>
  <c r="CN53" i="27" a="1"/>
  <c r="CN53" i="27" s="1"/>
  <c r="CS53" i="27" a="1"/>
  <c r="CS53" i="27" s="1"/>
  <c r="CD53" i="27" a="1"/>
  <c r="CD53" i="27" s="1"/>
  <c r="CI53" i="27" a="1"/>
  <c r="CI53" i="27" s="1"/>
  <c r="CO53" i="27" a="1"/>
  <c r="CO53" i="27" s="1"/>
  <c r="CU53" i="27" a="1"/>
  <c r="CU53" i="27" s="1"/>
  <c r="CE53" i="27" a="1"/>
  <c r="CE53" i="27" s="1"/>
  <c r="CJ53" i="27" a="1"/>
  <c r="CJ53" i="27" s="1"/>
  <c r="CV53" i="27" a="1"/>
  <c r="CV53" i="27" s="1"/>
  <c r="CL53" i="27" a="1"/>
  <c r="CL53" i="27" s="1"/>
  <c r="CK53" i="27" a="1"/>
  <c r="CK53" i="27" s="1"/>
  <c r="BZ53" i="27" a="1"/>
  <c r="BZ53" i="27" s="1"/>
  <c r="CB53" i="27" a="1"/>
  <c r="CB53" i="27" s="1"/>
  <c r="CP53" i="27" a="1"/>
  <c r="CP53" i="27" s="1"/>
  <c r="CF53" i="27" a="1"/>
  <c r="CF53" i="27" s="1"/>
  <c r="CT53" i="27" a="1"/>
  <c r="CT53" i="27" s="1"/>
  <c r="CM53" i="27" a="1"/>
  <c r="CM53" i="27" s="1"/>
  <c r="CR53" i="27" a="1"/>
  <c r="CR53" i="27" s="1"/>
  <c r="BY53" i="27" a="1"/>
  <c r="BY53" i="27" s="1"/>
  <c r="BZ120" i="27" a="1"/>
  <c r="BZ120" i="27" s="1"/>
  <c r="CH120" i="27" a="1"/>
  <c r="CH120" i="27" s="1"/>
  <c r="CP120" i="27" a="1"/>
  <c r="CP120" i="27" s="1"/>
  <c r="CB120" i="27" a="1"/>
  <c r="CB120" i="27" s="1"/>
  <c r="CJ120" i="27" a="1"/>
  <c r="CJ120" i="27" s="1"/>
  <c r="CR120" i="27" a="1"/>
  <c r="CR120" i="27" s="1"/>
  <c r="CD120" i="27" a="1"/>
  <c r="CD120" i="27" s="1"/>
  <c r="CL120" i="27" a="1"/>
  <c r="CL120" i="27" s="1"/>
  <c r="CT120" i="27" a="1"/>
  <c r="CT120" i="27" s="1"/>
  <c r="CE120" i="27" a="1"/>
  <c r="CE120" i="27" s="1"/>
  <c r="CM120" i="27" a="1"/>
  <c r="CM120" i="27" s="1"/>
  <c r="CU120" i="27" a="1"/>
  <c r="CU120" i="27" s="1"/>
  <c r="CG120" i="27" a="1"/>
  <c r="CG120" i="27" s="1"/>
  <c r="CO120" i="27" a="1"/>
  <c r="CO120" i="27" s="1"/>
  <c r="CQ120" i="27" a="1"/>
  <c r="CQ120" i="27" s="1"/>
  <c r="CS120" i="27" a="1"/>
  <c r="CS120" i="27" s="1"/>
  <c r="CA120" i="27" a="1"/>
  <c r="CA120" i="27" s="1"/>
  <c r="CV120" i="27" a="1"/>
  <c r="CV120" i="27" s="1"/>
  <c r="CC120" i="27" a="1"/>
  <c r="CC120" i="27" s="1"/>
  <c r="CF120" i="27" a="1"/>
  <c r="CF120" i="27" s="1"/>
  <c r="CI120" i="27" a="1"/>
  <c r="CI120" i="27" s="1"/>
  <c r="CN120" i="27" a="1"/>
  <c r="CN120" i="27" s="1"/>
  <c r="CK120" i="27" a="1"/>
  <c r="CK120" i="27" s="1"/>
  <c r="BY120" i="27" a="1"/>
  <c r="BY120" i="27" s="1"/>
  <c r="CC9" i="27" a="1"/>
  <c r="CC9" i="27" s="1"/>
  <c r="CK9" i="27" a="1"/>
  <c r="CK9" i="27" s="1"/>
  <c r="CS9" i="27" a="1"/>
  <c r="CS9" i="27" s="1"/>
  <c r="CE9" i="27" a="1"/>
  <c r="CE9" i="27" s="1"/>
  <c r="CM9" i="27" a="1"/>
  <c r="CM9" i="27" s="1"/>
  <c r="CU9" i="27" a="1"/>
  <c r="CU9" i="27" s="1"/>
  <c r="CG9" i="27" a="1"/>
  <c r="CG9" i="27" s="1"/>
  <c r="CO9" i="27" a="1"/>
  <c r="CO9" i="27" s="1"/>
  <c r="BZ9" i="27" a="1"/>
  <c r="BZ9" i="27" s="1"/>
  <c r="CH9" i="27" a="1"/>
  <c r="CH9" i="27" s="1"/>
  <c r="CP9" i="27" a="1"/>
  <c r="CP9" i="27" s="1"/>
  <c r="CB9" i="27" a="1"/>
  <c r="CB9" i="27" s="1"/>
  <c r="CJ9" i="27" a="1"/>
  <c r="CJ9" i="27" s="1"/>
  <c r="CR9" i="27" a="1"/>
  <c r="CR9" i="27" s="1"/>
  <c r="CT9" i="27" a="1"/>
  <c r="CT9" i="27" s="1"/>
  <c r="CD9" i="27" a="1"/>
  <c r="CD9" i="27" s="1"/>
  <c r="CI9" i="27" a="1"/>
  <c r="CI9" i="27" s="1"/>
  <c r="CL9" i="27" a="1"/>
  <c r="CL9" i="27" s="1"/>
  <c r="CQ9" i="27" a="1"/>
  <c r="CQ9" i="27" s="1"/>
  <c r="CA9" i="27" a="1"/>
  <c r="CA9" i="27" s="1"/>
  <c r="CN9" i="27" a="1"/>
  <c r="CN9" i="27" s="1"/>
  <c r="CF9" i="27" a="1"/>
  <c r="CF9" i="27" s="1"/>
  <c r="CV9" i="27" a="1"/>
  <c r="CV9" i="27" s="1"/>
  <c r="BY9" i="27" a="1"/>
  <c r="BY9" i="27" s="1"/>
  <c r="CD21" i="27" a="1"/>
  <c r="CD21" i="27" s="1"/>
  <c r="CJ21" i="27" a="1"/>
  <c r="CJ21" i="27" s="1"/>
  <c r="CP21" i="27" a="1"/>
  <c r="CP21" i="27" s="1"/>
  <c r="CV21" i="27" a="1"/>
  <c r="CV21" i="27" s="1"/>
  <c r="BZ21" i="27" a="1"/>
  <c r="BZ21" i="27" s="1"/>
  <c r="CF21" i="27" a="1"/>
  <c r="CF21" i="27" s="1"/>
  <c r="CQ21" i="27" a="1"/>
  <c r="CQ21" i="27" s="1"/>
  <c r="CA21" i="27" a="1"/>
  <c r="CA21" i="27" s="1"/>
  <c r="CS21" i="27" a="1"/>
  <c r="CS21" i="27" s="1"/>
  <c r="CB21" i="27" a="1"/>
  <c r="CB21" i="27" s="1"/>
  <c r="CH21" i="27" a="1"/>
  <c r="CH21" i="27" s="1"/>
  <c r="CM21" i="27" a="1"/>
  <c r="CM21" i="27" s="1"/>
  <c r="CI21" i="27" a="1"/>
  <c r="CI21" i="27" s="1"/>
  <c r="CO21" i="27" a="1"/>
  <c r="CO21" i="27" s="1"/>
  <c r="CU21" i="27" a="1"/>
  <c r="CU21" i="27" s="1"/>
  <c r="CN21" i="27" a="1"/>
  <c r="CN21" i="27" s="1"/>
  <c r="CC21" i="27" a="1"/>
  <c r="CC21" i="27" s="1"/>
  <c r="CR21" i="27" a="1"/>
  <c r="CR21" i="27" s="1"/>
  <c r="CG21" i="27" a="1"/>
  <c r="CG21" i="27" s="1"/>
  <c r="CL21" i="27" a="1"/>
  <c r="CL21" i="27" s="1"/>
  <c r="CE21" i="27" a="1"/>
  <c r="CE21" i="27" s="1"/>
  <c r="CT21" i="27" a="1"/>
  <c r="CT21" i="27" s="1"/>
  <c r="CK21" i="27" a="1"/>
  <c r="CK21" i="27" s="1"/>
  <c r="BY21" i="27" a="1"/>
  <c r="BY21" i="27" s="1"/>
  <c r="CD61" i="27" a="1"/>
  <c r="CD61" i="27" s="1"/>
  <c r="CQ61" i="27" a="1"/>
  <c r="CQ61" i="27" s="1"/>
  <c r="BZ61" i="27" a="1"/>
  <c r="BZ61" i="27" s="1"/>
  <c r="CF61" i="27" a="1"/>
  <c r="CF61" i="27" s="1"/>
  <c r="CH61" i="27" a="1"/>
  <c r="CH61" i="27" s="1"/>
  <c r="CM61" i="27" a="1"/>
  <c r="CM61" i="27" s="1"/>
  <c r="CB61" i="27" a="1"/>
  <c r="CB61" i="27" s="1"/>
  <c r="CI61" i="27" a="1"/>
  <c r="CI61" i="27" s="1"/>
  <c r="CN61" i="27" a="1"/>
  <c r="CN61" i="27" s="1"/>
  <c r="CT61" i="27" a="1"/>
  <c r="CT61" i="27" s="1"/>
  <c r="CC61" i="27" a="1"/>
  <c r="CC61" i="27" s="1"/>
  <c r="CJ61" i="27" a="1"/>
  <c r="CJ61" i="27" s="1"/>
  <c r="CP61" i="27" a="1"/>
  <c r="CP61" i="27" s="1"/>
  <c r="CV61" i="27" a="1"/>
  <c r="CV61" i="27" s="1"/>
  <c r="CS61" i="27" a="1"/>
  <c r="CS61" i="27" s="1"/>
  <c r="CG61" i="27" a="1"/>
  <c r="CG61" i="27" s="1"/>
  <c r="CK61" i="27" a="1"/>
  <c r="CK61" i="27" s="1"/>
  <c r="CL61" i="27" a="1"/>
  <c r="CL61" i="27" s="1"/>
  <c r="CA61" i="27" a="1"/>
  <c r="CA61" i="27" s="1"/>
  <c r="CR61" i="27" a="1"/>
  <c r="CR61" i="27" s="1"/>
  <c r="CE61" i="27" a="1"/>
  <c r="CE61" i="27" s="1"/>
  <c r="CO61" i="27" a="1"/>
  <c r="CO61" i="27" s="1"/>
  <c r="CU61" i="27" a="1"/>
  <c r="CU61" i="27" s="1"/>
  <c r="BY61" i="27" a="1"/>
  <c r="BY61" i="27" s="1"/>
  <c r="CA127" i="27" a="1"/>
  <c r="CA127" i="27" s="1"/>
  <c r="CC127" i="27" a="1"/>
  <c r="CC127" i="27" s="1"/>
  <c r="CD127" i="27" a="1"/>
  <c r="CD127" i="27" s="1"/>
  <c r="CL127" i="27" a="1"/>
  <c r="CL127" i="27" s="1"/>
  <c r="CT127" i="27" a="1"/>
  <c r="CT127" i="27" s="1"/>
  <c r="CE127" i="27" a="1"/>
  <c r="CE127" i="27" s="1"/>
  <c r="CM127" i="27" a="1"/>
  <c r="CM127" i="27" s="1"/>
  <c r="CU127" i="27" a="1"/>
  <c r="CU127" i="27" s="1"/>
  <c r="CF127" i="27" a="1"/>
  <c r="CF127" i="27" s="1"/>
  <c r="CN127" i="27" a="1"/>
  <c r="CN127" i="27" s="1"/>
  <c r="CV127" i="27" a="1"/>
  <c r="CV127" i="27" s="1"/>
  <c r="CG127" i="27" a="1"/>
  <c r="CG127" i="27" s="1"/>
  <c r="CO127" i="27" a="1"/>
  <c r="CO127" i="27" s="1"/>
  <c r="CH127" i="27" a="1"/>
  <c r="CH127" i="27" s="1"/>
  <c r="CP127" i="27" a="1"/>
  <c r="CP127" i="27" s="1"/>
  <c r="CI127" i="27" a="1"/>
  <c r="CI127" i="27" s="1"/>
  <c r="CQ127" i="27" a="1"/>
  <c r="CQ127" i="27" s="1"/>
  <c r="CB127" i="27" a="1"/>
  <c r="CB127" i="27" s="1"/>
  <c r="CK127" i="27" a="1"/>
  <c r="CK127" i="27" s="1"/>
  <c r="CS127" i="27" a="1"/>
  <c r="CS127" i="27" s="1"/>
  <c r="BZ127" i="27" a="1"/>
  <c r="BZ127" i="27" s="1"/>
  <c r="CJ127" i="27" a="1"/>
  <c r="CJ127" i="27" s="1"/>
  <c r="CR127" i="27" a="1"/>
  <c r="CR127" i="27" s="1"/>
  <c r="BY127" i="27" a="1"/>
  <c r="BY127" i="27" s="1"/>
  <c r="CI94" i="27" a="1"/>
  <c r="CI94" i="27" s="1"/>
  <c r="CN94" i="27" a="1"/>
  <c r="CN94" i="27" s="1"/>
  <c r="CT94" i="27" a="1"/>
  <c r="CT94" i="27" s="1"/>
  <c r="CD94" i="27" a="1"/>
  <c r="CD94" i="27" s="1"/>
  <c r="CJ94" i="27" a="1"/>
  <c r="CJ94" i="27" s="1"/>
  <c r="CO94" i="27" a="1"/>
  <c r="CO94" i="27" s="1"/>
  <c r="CP94" i="27" a="1"/>
  <c r="CP94" i="27" s="1"/>
  <c r="CU94" i="27" a="1"/>
  <c r="CU94" i="27" s="1"/>
  <c r="BZ94" i="27" a="1"/>
  <c r="BZ94" i="27" s="1"/>
  <c r="CE94" i="27" a="1"/>
  <c r="CE94" i="27" s="1"/>
  <c r="CK94" i="27" a="1"/>
  <c r="CK94" i="27" s="1"/>
  <c r="CQ94" i="27" a="1"/>
  <c r="CQ94" i="27" s="1"/>
  <c r="CV94" i="27" a="1"/>
  <c r="CV94" i="27" s="1"/>
  <c r="CA94" i="27" a="1"/>
  <c r="CA94" i="27" s="1"/>
  <c r="CF94" i="27" a="1"/>
  <c r="CF94" i="27" s="1"/>
  <c r="CR94" i="27" a="1"/>
  <c r="CR94" i="27" s="1"/>
  <c r="CB94" i="27" a="1"/>
  <c r="CB94" i="27" s="1"/>
  <c r="CG94" i="27" a="1"/>
  <c r="CG94" i="27" s="1"/>
  <c r="CL94" i="27" a="1"/>
  <c r="CL94" i="27" s="1"/>
  <c r="CC94" i="27" a="1"/>
  <c r="CC94" i="27" s="1"/>
  <c r="CM94" i="27" a="1"/>
  <c r="CM94" i="27" s="1"/>
  <c r="CH94" i="27" a="1"/>
  <c r="CH94" i="27" s="1"/>
  <c r="CS94" i="27" a="1"/>
  <c r="CS94" i="27" s="1"/>
  <c r="BY94" i="27" a="1"/>
  <c r="BY94" i="27" s="1"/>
  <c r="CJ22" i="27" a="1"/>
  <c r="CJ22" i="27" s="1"/>
  <c r="CL22" i="27" a="1"/>
  <c r="CL22" i="27" s="1"/>
  <c r="CG22" i="27" a="1"/>
  <c r="CG22" i="27" s="1"/>
  <c r="CM22" i="27" a="1"/>
  <c r="CM22" i="27" s="1"/>
  <c r="CS22" i="27" a="1"/>
  <c r="CS22" i="27" s="1"/>
  <c r="CB22" i="27" a="1"/>
  <c r="CB22" i="27" s="1"/>
  <c r="CH22" i="27" a="1"/>
  <c r="CH22" i="27" s="1"/>
  <c r="CN22" i="27" a="1"/>
  <c r="CN22" i="27" s="1"/>
  <c r="CT22" i="27" a="1"/>
  <c r="CT22" i="27" s="1"/>
  <c r="CD22" i="27" a="1"/>
  <c r="CD22" i="27" s="1"/>
  <c r="CP22" i="27" a="1"/>
  <c r="CP22" i="27" s="1"/>
  <c r="CU22" i="27" a="1"/>
  <c r="CU22" i="27" s="1"/>
  <c r="CF22" i="27" a="1"/>
  <c r="CF22" i="27" s="1"/>
  <c r="CV22" i="27" a="1"/>
  <c r="CV22" i="27" s="1"/>
  <c r="CK22" i="27" a="1"/>
  <c r="CK22" i="27" s="1"/>
  <c r="BZ22" i="27" a="1"/>
  <c r="BZ22" i="27" s="1"/>
  <c r="CO22" i="27" a="1"/>
  <c r="CO22" i="27" s="1"/>
  <c r="CA22" i="27" a="1"/>
  <c r="CA22" i="27" s="1"/>
  <c r="CQ22" i="27" a="1"/>
  <c r="CQ22" i="27" s="1"/>
  <c r="CE22" i="27" a="1"/>
  <c r="CE22" i="27" s="1"/>
  <c r="CC22" i="27" a="1"/>
  <c r="CC22" i="27" s="1"/>
  <c r="CI22" i="27" a="1"/>
  <c r="CI22" i="27" s="1"/>
  <c r="CR22" i="27" a="1"/>
  <c r="CR22" i="27" s="1"/>
  <c r="BY22" i="27" a="1"/>
  <c r="BY22" i="27" s="1"/>
  <c r="CC102" i="27" a="1"/>
  <c r="CC102" i="27" s="1"/>
  <c r="CJ102" i="27" a="1"/>
  <c r="CJ102" i="27" s="1"/>
  <c r="CP102" i="27" a="1"/>
  <c r="CP102" i="27" s="1"/>
  <c r="CV102" i="27" a="1"/>
  <c r="CV102" i="27" s="1"/>
  <c r="CE102" i="27" a="1"/>
  <c r="CE102" i="27" s="1"/>
  <c r="CK102" i="27" a="1"/>
  <c r="CK102" i="27" s="1"/>
  <c r="CR102" i="27" a="1"/>
  <c r="CR102" i="27" s="1"/>
  <c r="BZ102" i="27" a="1"/>
  <c r="BZ102" i="27" s="1"/>
  <c r="CG102" i="27" a="1"/>
  <c r="CG102" i="27" s="1"/>
  <c r="CL102" i="27" a="1"/>
  <c r="CL102" i="27" s="1"/>
  <c r="CA102" i="27" a="1"/>
  <c r="CA102" i="27" s="1"/>
  <c r="CH102" i="27" a="1"/>
  <c r="CH102" i="27" s="1"/>
  <c r="CM102" i="27" a="1"/>
  <c r="CM102" i="27" s="1"/>
  <c r="CT102" i="27" a="1"/>
  <c r="CT102" i="27" s="1"/>
  <c r="CI102" i="27" a="1"/>
  <c r="CI102" i="27" s="1"/>
  <c r="CO102" i="27" a="1"/>
  <c r="CO102" i="27" s="1"/>
  <c r="CU102" i="27" a="1"/>
  <c r="CU102" i="27" s="1"/>
  <c r="CN102" i="27" a="1"/>
  <c r="CN102" i="27" s="1"/>
  <c r="CQ102" i="27" a="1"/>
  <c r="CQ102" i="27" s="1"/>
  <c r="CB102" i="27" a="1"/>
  <c r="CB102" i="27" s="1"/>
  <c r="CS102" i="27" a="1"/>
  <c r="CS102" i="27" s="1"/>
  <c r="CF102" i="27" a="1"/>
  <c r="CF102" i="27" s="1"/>
  <c r="CD102" i="27" a="1"/>
  <c r="CD102" i="27" s="1"/>
  <c r="BY102" i="27" a="1"/>
  <c r="BY102" i="27" s="1"/>
  <c r="CD138" i="27" a="1"/>
  <c r="CD138" i="27" s="1"/>
  <c r="CI138" i="27" a="1"/>
  <c r="CI138" i="27" s="1"/>
  <c r="CU138" i="27" a="1"/>
  <c r="CU138" i="27" s="1"/>
  <c r="CJ138" i="27" a="1"/>
  <c r="CJ138" i="27" s="1"/>
  <c r="CO138" i="27" a="1"/>
  <c r="CO138" i="27" s="1"/>
  <c r="CE138" i="27" a="1"/>
  <c r="CE138" i="27" s="1"/>
  <c r="CK138" i="27" a="1"/>
  <c r="CK138" i="27" s="1"/>
  <c r="CP138" i="27" a="1"/>
  <c r="CP138" i="27" s="1"/>
  <c r="CV138" i="27" a="1"/>
  <c r="CV138" i="27" s="1"/>
  <c r="CL138" i="27" a="1"/>
  <c r="CL138" i="27" s="1"/>
  <c r="CQ138" i="27" a="1"/>
  <c r="CQ138" i="27" s="1"/>
  <c r="BZ138" i="27" a="1"/>
  <c r="BZ138" i="27" s="1"/>
  <c r="CF138" i="27" a="1"/>
  <c r="CF138" i="27" s="1"/>
  <c r="CR138" i="27" a="1"/>
  <c r="CR138" i="27" s="1"/>
  <c r="CA138" i="27" a="1"/>
  <c r="CA138" i="27" s="1"/>
  <c r="CM138" i="27" a="1"/>
  <c r="CM138" i="27" s="1"/>
  <c r="CS138" i="27" a="1"/>
  <c r="CS138" i="27" s="1"/>
  <c r="CC138" i="27" a="1"/>
  <c r="CC138" i="27" s="1"/>
  <c r="CH138" i="27" a="1"/>
  <c r="CH138" i="27" s="1"/>
  <c r="CN138" i="27" a="1"/>
  <c r="CN138" i="27" s="1"/>
  <c r="CT138" i="27" a="1"/>
  <c r="CT138" i="27" s="1"/>
  <c r="CG138" i="27" a="1"/>
  <c r="CG138" i="27" s="1"/>
  <c r="CB138" i="27" a="1"/>
  <c r="CB138" i="27" s="1"/>
  <c r="BY138" i="27" a="1"/>
  <c r="BY138" i="27" s="1"/>
  <c r="CF87" i="27" a="1"/>
  <c r="CF87" i="27" s="1"/>
  <c r="CL87" i="27" a="1"/>
  <c r="CL87" i="27" s="1"/>
  <c r="CR87" i="27" a="1"/>
  <c r="CR87" i="27" s="1"/>
  <c r="CN87" i="27" a="1"/>
  <c r="CN87" i="27" s="1"/>
  <c r="CD87" i="27" a="1"/>
  <c r="CD87" i="27" s="1"/>
  <c r="CJ87" i="27" a="1"/>
  <c r="CJ87" i="27" s="1"/>
  <c r="CO87" i="27" a="1"/>
  <c r="CO87" i="27" s="1"/>
  <c r="BZ87" i="27" a="1"/>
  <c r="BZ87" i="27" s="1"/>
  <c r="CE87" i="27" a="1"/>
  <c r="CE87" i="27" s="1"/>
  <c r="CQ87" i="27" a="1"/>
  <c r="CQ87" i="27" s="1"/>
  <c r="CI87" i="27" a="1"/>
  <c r="CI87" i="27" s="1"/>
  <c r="CT87" i="27" a="1"/>
  <c r="CT87" i="27" s="1"/>
  <c r="CK87" i="27" a="1"/>
  <c r="CK87" i="27" s="1"/>
  <c r="CA87" i="27" a="1"/>
  <c r="CA87" i="27" s="1"/>
  <c r="CU87" i="27" a="1"/>
  <c r="CU87" i="27" s="1"/>
  <c r="CB87" i="27" a="1"/>
  <c r="CB87" i="27" s="1"/>
  <c r="CM87" i="27" a="1"/>
  <c r="CM87" i="27" s="1"/>
  <c r="CC87" i="27" a="1"/>
  <c r="CC87" i="27" s="1"/>
  <c r="CV87" i="27" a="1"/>
  <c r="CV87" i="27" s="1"/>
  <c r="CP87" i="27" a="1"/>
  <c r="CP87" i="27" s="1"/>
  <c r="CH87" i="27" a="1"/>
  <c r="CH87" i="27" s="1"/>
  <c r="CS87" i="27" a="1"/>
  <c r="CS87" i="27" s="1"/>
  <c r="CG87" i="27" a="1"/>
  <c r="CG87" i="27" s="1"/>
  <c r="BY87" i="27" a="1"/>
  <c r="BY87" i="27" s="1"/>
  <c r="CA75" i="27" a="1"/>
  <c r="CA75" i="27" s="1"/>
  <c r="CH75" i="27" a="1"/>
  <c r="CH75" i="27" s="1"/>
  <c r="CN75" i="27" a="1"/>
  <c r="CN75" i="27" s="1"/>
  <c r="CT75" i="27" a="1"/>
  <c r="CT75" i="27" s="1"/>
  <c r="CC75" i="27" a="1"/>
  <c r="CC75" i="27" s="1"/>
  <c r="CI75" i="27" a="1"/>
  <c r="CI75" i="27" s="1"/>
  <c r="CP75" i="27" a="1"/>
  <c r="CP75" i="27" s="1"/>
  <c r="CV75" i="27" a="1"/>
  <c r="CV75" i="27" s="1"/>
  <c r="CE75" i="27" a="1"/>
  <c r="CE75" i="27" s="1"/>
  <c r="CJ75" i="27" a="1"/>
  <c r="CJ75" i="27" s="1"/>
  <c r="CQ75" i="27" a="1"/>
  <c r="CQ75" i="27" s="1"/>
  <c r="CF75" i="27" a="1"/>
  <c r="CF75" i="27" s="1"/>
  <c r="CK75" i="27" a="1"/>
  <c r="CK75" i="27" s="1"/>
  <c r="CM75" i="27" a="1"/>
  <c r="CM75" i="27" s="1"/>
  <c r="CS75" i="27" a="1"/>
  <c r="CS75" i="27" s="1"/>
  <c r="CL75" i="27" a="1"/>
  <c r="CL75" i="27" s="1"/>
  <c r="CO75" i="27" a="1"/>
  <c r="CO75" i="27" s="1"/>
  <c r="BZ75" i="27" a="1"/>
  <c r="BZ75" i="27" s="1"/>
  <c r="CB75" i="27" a="1"/>
  <c r="CB75" i="27" s="1"/>
  <c r="CR75" i="27" a="1"/>
  <c r="CR75" i="27" s="1"/>
  <c r="CD75" i="27" a="1"/>
  <c r="CD75" i="27" s="1"/>
  <c r="CU75" i="27" a="1"/>
  <c r="CU75" i="27" s="1"/>
  <c r="CG75" i="27" a="1"/>
  <c r="CG75" i="27" s="1"/>
  <c r="BY75" i="27" a="1"/>
  <c r="BY75" i="27" s="1"/>
  <c r="BZ90" i="27" a="1"/>
  <c r="BZ90" i="27" s="1"/>
  <c r="CF90" i="27" a="1"/>
  <c r="CF90" i="27" s="1"/>
  <c r="CK90" i="27" a="1"/>
  <c r="CK90" i="27" s="1"/>
  <c r="CL90" i="27" a="1"/>
  <c r="CL90" i="27" s="1"/>
  <c r="CQ90" i="27" a="1"/>
  <c r="CQ90" i="27" s="1"/>
  <c r="CA90" i="27" a="1"/>
  <c r="CA90" i="27" s="1"/>
  <c r="CG90" i="27" a="1"/>
  <c r="CG90" i="27" s="1"/>
  <c r="CM90" i="27" a="1"/>
  <c r="CM90" i="27" s="1"/>
  <c r="CR90" i="27" a="1"/>
  <c r="CR90" i="27" s="1"/>
  <c r="CB90" i="27" a="1"/>
  <c r="CB90" i="27" s="1"/>
  <c r="CN90" i="27" a="1"/>
  <c r="CN90" i="27" s="1"/>
  <c r="CC90" i="27" a="1"/>
  <c r="CC90" i="27" s="1"/>
  <c r="CH90" i="27" a="1"/>
  <c r="CH90" i="27" s="1"/>
  <c r="CS90" i="27" a="1"/>
  <c r="CS90" i="27" s="1"/>
  <c r="CD90" i="27" a="1"/>
  <c r="CD90" i="27" s="1"/>
  <c r="CO90" i="27" a="1"/>
  <c r="CO90" i="27" s="1"/>
  <c r="CT90" i="27" a="1"/>
  <c r="CT90" i="27" s="1"/>
  <c r="CE90" i="27" a="1"/>
  <c r="CE90" i="27" s="1"/>
  <c r="CJ90" i="27" a="1"/>
  <c r="CJ90" i="27" s="1"/>
  <c r="CP90" i="27" a="1"/>
  <c r="CP90" i="27" s="1"/>
  <c r="CV90" i="27" a="1"/>
  <c r="CV90" i="27" s="1"/>
  <c r="CI90" i="27" a="1"/>
  <c r="CI90" i="27" s="1"/>
  <c r="CU90" i="27" a="1"/>
  <c r="CU90" i="27" s="1"/>
  <c r="BY90" i="27" a="1"/>
  <c r="BY90" i="27" s="1"/>
  <c r="CJ91" i="27" a="1"/>
  <c r="CJ91" i="27" s="1"/>
  <c r="CP91" i="27" a="1"/>
  <c r="CP91" i="27" s="1"/>
  <c r="CV91" i="27" a="1"/>
  <c r="CV91" i="27" s="1"/>
  <c r="BZ91" i="27" a="1"/>
  <c r="BZ91" i="27" s="1"/>
  <c r="CE91" i="27" a="1"/>
  <c r="CE91" i="27" s="1"/>
  <c r="CK91" i="27" a="1"/>
  <c r="CK91" i="27" s="1"/>
  <c r="CF91" i="27" a="1"/>
  <c r="CF91" i="27" s="1"/>
  <c r="CL91" i="27" a="1"/>
  <c r="CL91" i="27" s="1"/>
  <c r="CQ91" i="27" a="1"/>
  <c r="CQ91" i="27" s="1"/>
  <c r="CA91" i="27" a="1"/>
  <c r="CA91" i="27" s="1"/>
  <c r="CG91" i="27" a="1"/>
  <c r="CG91" i="27" s="1"/>
  <c r="CM91" i="27" a="1"/>
  <c r="CM91" i="27" s="1"/>
  <c r="CR91" i="27" a="1"/>
  <c r="CR91" i="27" s="1"/>
  <c r="CB91" i="27" a="1"/>
  <c r="CB91" i="27" s="1"/>
  <c r="CH91" i="27" a="1"/>
  <c r="CH91" i="27" s="1"/>
  <c r="CN91" i="27" a="1"/>
  <c r="CN91" i="27" s="1"/>
  <c r="CS91" i="27" a="1"/>
  <c r="CS91" i="27" s="1"/>
  <c r="CD91" i="27" a="1"/>
  <c r="CD91" i="27" s="1"/>
  <c r="CI91" i="27" a="1"/>
  <c r="CI91" i="27" s="1"/>
  <c r="CU91" i="27" a="1"/>
  <c r="CU91" i="27" s="1"/>
  <c r="CT91" i="27" a="1"/>
  <c r="CT91" i="27" s="1"/>
  <c r="CC91" i="27" a="1"/>
  <c r="CC91" i="27" s="1"/>
  <c r="CO91" i="27" a="1"/>
  <c r="CO91" i="27" s="1"/>
  <c r="BY91" i="27" a="1"/>
  <c r="BY91" i="27" s="1"/>
  <c r="CG37" i="27" a="1"/>
  <c r="CG37" i="27" s="1"/>
  <c r="CL37" i="27" a="1"/>
  <c r="CL37" i="27" s="1"/>
  <c r="CS37" i="27" a="1"/>
  <c r="CS37" i="27" s="1"/>
  <c r="CA37" i="27" a="1"/>
  <c r="CA37" i="27" s="1"/>
  <c r="CH37" i="27" a="1"/>
  <c r="CH37" i="27" s="1"/>
  <c r="CN37" i="27" a="1"/>
  <c r="CN37" i="27" s="1"/>
  <c r="CT37" i="27" a="1"/>
  <c r="CT37" i="27" s="1"/>
  <c r="CC37" i="27" a="1"/>
  <c r="CC37" i="27" s="1"/>
  <c r="CI37" i="27" a="1"/>
  <c r="CI37" i="27" s="1"/>
  <c r="CP37" i="27" a="1"/>
  <c r="CP37" i="27" s="1"/>
  <c r="CV37" i="27" a="1"/>
  <c r="CV37" i="27" s="1"/>
  <c r="CD37" i="27" a="1"/>
  <c r="CD37" i="27" s="1"/>
  <c r="CJ37" i="27" a="1"/>
  <c r="CJ37" i="27" s="1"/>
  <c r="CF37" i="27" a="1"/>
  <c r="CF37" i="27" s="1"/>
  <c r="CK37" i="27" a="1"/>
  <c r="CK37" i="27" s="1"/>
  <c r="CR37" i="27" a="1"/>
  <c r="CR37" i="27" s="1"/>
  <c r="CM37" i="27" a="1"/>
  <c r="CM37" i="27" s="1"/>
  <c r="BZ37" i="27" a="1"/>
  <c r="BZ37" i="27" s="1"/>
  <c r="CQ37" i="27" a="1"/>
  <c r="CQ37" i="27" s="1"/>
  <c r="CE37" i="27" a="1"/>
  <c r="CE37" i="27" s="1"/>
  <c r="CU37" i="27" a="1"/>
  <c r="CU37" i="27" s="1"/>
  <c r="CO37" i="27" a="1"/>
  <c r="CO37" i="27" s="1"/>
  <c r="CB37" i="27" a="1"/>
  <c r="CB37" i="27" s="1"/>
  <c r="BY37" i="27" a="1"/>
  <c r="BY37" i="27" s="1"/>
  <c r="BZ26" i="27" a="1"/>
  <c r="BZ26" i="27" s="1"/>
  <c r="CG26" i="27" a="1"/>
  <c r="CG26" i="27" s="1"/>
  <c r="CU26" i="27" a="1"/>
  <c r="CU26" i="27" s="1"/>
  <c r="CB26" i="27" a="1"/>
  <c r="CB26" i="27" s="1"/>
  <c r="CO26" i="27" a="1"/>
  <c r="CO26" i="27" s="1"/>
  <c r="CD26" i="27" a="1"/>
  <c r="CD26" i="27" s="1"/>
  <c r="CJ26" i="27" a="1"/>
  <c r="CJ26" i="27" s="1"/>
  <c r="CQ26" i="27" a="1"/>
  <c r="CQ26" i="27" s="1"/>
  <c r="CK26" i="27" a="1"/>
  <c r="CK26" i="27" s="1"/>
  <c r="CR26" i="27" a="1"/>
  <c r="CR26" i="27" s="1"/>
  <c r="CF26" i="27" a="1"/>
  <c r="CF26" i="27" s="1"/>
  <c r="CM26" i="27" a="1"/>
  <c r="CM26" i="27" s="1"/>
  <c r="CT26" i="27" a="1"/>
  <c r="CT26" i="27" s="1"/>
  <c r="CP26" i="27" a="1"/>
  <c r="CP26" i="27" s="1"/>
  <c r="CC26" i="27" a="1"/>
  <c r="CC26" i="27" s="1"/>
  <c r="CV26" i="27" a="1"/>
  <c r="CV26" i="27" s="1"/>
  <c r="CH26" i="27" a="1"/>
  <c r="CH26" i="27" s="1"/>
  <c r="CI26" i="27" a="1"/>
  <c r="CI26" i="27" s="1"/>
  <c r="CN26" i="27" a="1"/>
  <c r="CN26" i="27" s="1"/>
  <c r="CA26" i="27" a="1"/>
  <c r="CA26" i="27" s="1"/>
  <c r="CE26" i="27" a="1"/>
  <c r="CE26" i="27" s="1"/>
  <c r="CS26" i="27" a="1"/>
  <c r="CS26" i="27" s="1"/>
  <c r="CL26" i="27" a="1"/>
  <c r="CL26" i="27" s="1"/>
  <c r="BY26" i="27" a="1"/>
  <c r="BY26" i="27" s="1"/>
  <c r="CL44" i="27" a="1"/>
  <c r="CL44" i="27" s="1"/>
  <c r="CR44" i="27" a="1"/>
  <c r="CR44" i="27" s="1"/>
  <c r="CA44" i="27" a="1"/>
  <c r="CA44" i="27" s="1"/>
  <c r="CS44" i="27" a="1"/>
  <c r="CS44" i="27" s="1"/>
  <c r="CC44" i="27" a="1"/>
  <c r="CC44" i="27" s="1"/>
  <c r="CI44" i="27" a="1"/>
  <c r="CI44" i="27" s="1"/>
  <c r="CO44" i="27" a="1"/>
  <c r="CO44" i="27" s="1"/>
  <c r="CU44" i="27" a="1"/>
  <c r="CU44" i="27" s="1"/>
  <c r="CD44" i="27" a="1"/>
  <c r="CD44" i="27" s="1"/>
  <c r="CF44" i="27" a="1"/>
  <c r="CF44" i="27" s="1"/>
  <c r="CK44" i="27" a="1"/>
  <c r="CK44" i="27" s="1"/>
  <c r="CQ44" i="27" a="1"/>
  <c r="CQ44" i="27" s="1"/>
  <c r="BZ44" i="27" a="1"/>
  <c r="BZ44" i="27" s="1"/>
  <c r="CP44" i="27" a="1"/>
  <c r="CP44" i="27" s="1"/>
  <c r="CE44" i="27" a="1"/>
  <c r="CE44" i="27" s="1"/>
  <c r="CT44" i="27" a="1"/>
  <c r="CT44" i="27" s="1"/>
  <c r="CH44" i="27" a="1"/>
  <c r="CH44" i="27" s="1"/>
  <c r="CJ44" i="27" a="1"/>
  <c r="CJ44" i="27" s="1"/>
  <c r="CN44" i="27" a="1"/>
  <c r="CN44" i="27" s="1"/>
  <c r="CG44" i="27" a="1"/>
  <c r="CG44" i="27" s="1"/>
  <c r="CM44" i="27" a="1"/>
  <c r="CM44" i="27" s="1"/>
  <c r="CV44" i="27" a="1"/>
  <c r="CV44" i="27" s="1"/>
  <c r="CB44" i="27" a="1"/>
  <c r="CB44" i="27" s="1"/>
  <c r="BY44" i="27" a="1"/>
  <c r="BY44" i="27" s="1"/>
  <c r="BZ89" i="27" a="1"/>
  <c r="BZ89" i="27" s="1"/>
  <c r="CL89" i="27" a="1"/>
  <c r="CL89" i="27" s="1"/>
  <c r="CR89" i="27" a="1"/>
  <c r="CR89" i="27" s="1"/>
  <c r="CA89" i="27" a="1"/>
  <c r="CA89" i="27" s="1"/>
  <c r="CG89" i="27" a="1"/>
  <c r="CG89" i="27" s="1"/>
  <c r="CM89" i="27" a="1"/>
  <c r="CM89" i="27" s="1"/>
  <c r="CB89" i="27" a="1"/>
  <c r="CB89" i="27" s="1"/>
  <c r="CS89" i="27" a="1"/>
  <c r="CS89" i="27" s="1"/>
  <c r="CC89" i="27" a="1"/>
  <c r="CC89" i="27" s="1"/>
  <c r="CH89" i="27" a="1"/>
  <c r="CH89" i="27" s="1"/>
  <c r="CN89" i="27" a="1"/>
  <c r="CN89" i="27" s="1"/>
  <c r="CT89" i="27" a="1"/>
  <c r="CT89" i="27" s="1"/>
  <c r="CD89" i="27" a="1"/>
  <c r="CD89" i="27" s="1"/>
  <c r="CI89" i="27" a="1"/>
  <c r="CI89" i="27" s="1"/>
  <c r="CO89" i="27" a="1"/>
  <c r="CO89" i="27" s="1"/>
  <c r="CU89" i="27" a="1"/>
  <c r="CU89" i="27" s="1"/>
  <c r="CE89" i="27" a="1"/>
  <c r="CE89" i="27" s="1"/>
  <c r="CF89" i="27" a="1"/>
  <c r="CF89" i="27" s="1"/>
  <c r="CK89" i="27" a="1"/>
  <c r="CK89" i="27" s="1"/>
  <c r="CQ89" i="27" a="1"/>
  <c r="CQ89" i="27" s="1"/>
  <c r="CV89" i="27" a="1"/>
  <c r="CV89" i="27" s="1"/>
  <c r="CP89" i="27" a="1"/>
  <c r="CP89" i="27" s="1"/>
  <c r="CJ89" i="27" a="1"/>
  <c r="CJ89" i="27" s="1"/>
  <c r="BY89" i="27" a="1"/>
  <c r="BY89" i="27" s="1"/>
  <c r="CB112" i="27" a="1"/>
  <c r="CB112" i="27" s="1"/>
  <c r="CI112" i="27" a="1"/>
  <c r="CI112" i="27" s="1"/>
  <c r="CP112" i="27" a="1"/>
  <c r="CP112" i="27" s="1"/>
  <c r="CK112" i="27" a="1"/>
  <c r="CK112" i="27" s="1"/>
  <c r="CR112" i="27" a="1"/>
  <c r="CR112" i="27" s="1"/>
  <c r="CE112" i="27" a="1"/>
  <c r="CE112" i="27" s="1"/>
  <c r="CM112" i="27" a="1"/>
  <c r="CM112" i="27" s="1"/>
  <c r="CT112" i="27" a="1"/>
  <c r="CT112" i="27" s="1"/>
  <c r="CF112" i="27" a="1"/>
  <c r="CF112" i="27" s="1"/>
  <c r="CN112" i="27" a="1"/>
  <c r="CN112" i="27" s="1"/>
  <c r="CU112" i="27" a="1"/>
  <c r="CU112" i="27" s="1"/>
  <c r="CA112" i="27" a="1"/>
  <c r="CA112" i="27" s="1"/>
  <c r="CH112" i="27" a="1"/>
  <c r="CH112" i="27" s="1"/>
  <c r="CO112" i="27" a="1"/>
  <c r="CO112" i="27" s="1"/>
  <c r="CJ112" i="27" a="1"/>
  <c r="CJ112" i="27" s="1"/>
  <c r="CL112" i="27" a="1"/>
  <c r="CL112" i="27" s="1"/>
  <c r="CQ112" i="27" a="1"/>
  <c r="CQ112" i="27" s="1"/>
  <c r="BZ112" i="27" a="1"/>
  <c r="BZ112" i="27" s="1"/>
  <c r="CS112" i="27" a="1"/>
  <c r="CS112" i="27" s="1"/>
  <c r="CC112" i="27" a="1"/>
  <c r="CC112" i="27" s="1"/>
  <c r="CV112" i="27" a="1"/>
  <c r="CV112" i="27" s="1"/>
  <c r="CG112" i="27" a="1"/>
  <c r="CG112" i="27" s="1"/>
  <c r="CD112" i="27" a="1"/>
  <c r="CD112" i="27" s="1"/>
  <c r="BY112" i="27" a="1"/>
  <c r="BY112" i="27" s="1"/>
  <c r="CC29" i="27" a="1"/>
  <c r="CC29" i="27" s="1"/>
  <c r="CJ29" i="27" a="1"/>
  <c r="CJ29" i="27" s="1"/>
  <c r="CP29" i="27" a="1"/>
  <c r="CP29" i="27" s="1"/>
  <c r="CV29" i="27" a="1"/>
  <c r="CV29" i="27" s="1"/>
  <c r="CE29" i="27" a="1"/>
  <c r="CE29" i="27" s="1"/>
  <c r="CK29" i="27" a="1"/>
  <c r="CK29" i="27" s="1"/>
  <c r="CR29" i="27" a="1"/>
  <c r="CR29" i="27" s="1"/>
  <c r="BZ29" i="27" a="1"/>
  <c r="BZ29" i="27" s="1"/>
  <c r="CG29" i="27" a="1"/>
  <c r="CG29" i="27" s="1"/>
  <c r="CL29" i="27" a="1"/>
  <c r="CL29" i="27" s="1"/>
  <c r="CA29" i="27" a="1"/>
  <c r="CA29" i="27" s="1"/>
  <c r="CH29" i="27" a="1"/>
  <c r="CH29" i="27" s="1"/>
  <c r="CM29" i="27" a="1"/>
  <c r="CM29" i="27" s="1"/>
  <c r="CT29" i="27" a="1"/>
  <c r="CT29" i="27" s="1"/>
  <c r="CI29" i="27" a="1"/>
  <c r="CI29" i="27" s="1"/>
  <c r="CO29" i="27" a="1"/>
  <c r="CO29" i="27" s="1"/>
  <c r="CU29" i="27" a="1"/>
  <c r="CU29" i="27" s="1"/>
  <c r="CQ29" i="27" a="1"/>
  <c r="CQ29" i="27" s="1"/>
  <c r="CD29" i="27" a="1"/>
  <c r="CD29" i="27" s="1"/>
  <c r="CN29" i="27" a="1"/>
  <c r="CN29" i="27" s="1"/>
  <c r="CB29" i="27" a="1"/>
  <c r="CB29" i="27" s="1"/>
  <c r="CF29" i="27" a="1"/>
  <c r="CF29" i="27" s="1"/>
  <c r="CS29" i="27" a="1"/>
  <c r="CS29" i="27" s="1"/>
  <c r="BY29" i="27" a="1"/>
  <c r="BY29" i="27" s="1"/>
  <c r="CJ92" i="27" a="1"/>
  <c r="CJ92" i="27" s="1"/>
  <c r="CP92" i="27" a="1"/>
  <c r="CP92" i="27" s="1"/>
  <c r="CV92" i="27" a="1"/>
  <c r="CV92" i="27" s="1"/>
  <c r="BZ92" i="27" a="1"/>
  <c r="BZ92" i="27" s="1"/>
  <c r="CE92" i="27" a="1"/>
  <c r="CE92" i="27" s="1"/>
  <c r="CA92" i="27" a="1"/>
  <c r="CA92" i="27" s="1"/>
  <c r="CF92" i="27" a="1"/>
  <c r="CF92" i="27" s="1"/>
  <c r="CK92" i="27" a="1"/>
  <c r="CK92" i="27" s="1"/>
  <c r="CQ92" i="27" a="1"/>
  <c r="CQ92" i="27" s="1"/>
  <c r="CG92" i="27" a="1"/>
  <c r="CG92" i="27" s="1"/>
  <c r="CL92" i="27" a="1"/>
  <c r="CL92" i="27" s="1"/>
  <c r="CB92" i="27" a="1"/>
  <c r="CB92" i="27" s="1"/>
  <c r="CH92" i="27" a="1"/>
  <c r="CH92" i="27" s="1"/>
  <c r="CM92" i="27" a="1"/>
  <c r="CM92" i="27" s="1"/>
  <c r="CR92" i="27" a="1"/>
  <c r="CR92" i="27" s="1"/>
  <c r="CS92" i="27" a="1"/>
  <c r="CS92" i="27" s="1"/>
  <c r="CD92" i="27" a="1"/>
  <c r="CD92" i="27" s="1"/>
  <c r="CO92" i="27" a="1"/>
  <c r="CO92" i="27" s="1"/>
  <c r="CU92" i="27" a="1"/>
  <c r="CU92" i="27" s="1"/>
  <c r="CC92" i="27" a="1"/>
  <c r="CC92" i="27" s="1"/>
  <c r="CI92" i="27" a="1"/>
  <c r="CI92" i="27" s="1"/>
  <c r="CN92" i="27" a="1"/>
  <c r="CN92" i="27" s="1"/>
  <c r="CT92" i="27" a="1"/>
  <c r="CT92" i="27" s="1"/>
  <c r="BY92" i="27" a="1"/>
  <c r="BY92" i="27" s="1"/>
  <c r="CH69" i="27" a="1"/>
  <c r="CH69" i="27" s="1"/>
  <c r="CN69" i="27" a="1"/>
  <c r="CN69" i="27" s="1"/>
  <c r="CC69" i="27" a="1"/>
  <c r="CC69" i="27" s="1"/>
  <c r="CP69" i="27" a="1"/>
  <c r="CP69" i="27" s="1"/>
  <c r="CU69" i="27" a="1"/>
  <c r="CU69" i="27" s="1"/>
  <c r="CD69" i="27" a="1"/>
  <c r="CD69" i="27" s="1"/>
  <c r="CE69" i="27" a="1"/>
  <c r="CE69" i="27" s="1"/>
  <c r="CK69" i="27" a="1"/>
  <c r="CK69" i="27" s="1"/>
  <c r="CR69" i="27" a="1"/>
  <c r="CR69" i="27" s="1"/>
  <c r="CA69" i="27" a="1"/>
  <c r="CA69" i="27" s="1"/>
  <c r="CG69" i="27" a="1"/>
  <c r="CG69" i="27" s="1"/>
  <c r="CM69" i="27" a="1"/>
  <c r="CM69" i="27" s="1"/>
  <c r="CS69" i="27" a="1"/>
  <c r="CS69" i="27" s="1"/>
  <c r="CB69" i="27" a="1"/>
  <c r="CB69" i="27" s="1"/>
  <c r="CF69" i="27" a="1"/>
  <c r="CF69" i="27" s="1"/>
  <c r="CV69" i="27" a="1"/>
  <c r="CV69" i="27" s="1"/>
  <c r="CJ69" i="27" a="1"/>
  <c r="CJ69" i="27" s="1"/>
  <c r="CL69" i="27" a="1"/>
  <c r="CL69" i="27" s="1"/>
  <c r="BZ69" i="27" a="1"/>
  <c r="BZ69" i="27" s="1"/>
  <c r="CQ69" i="27" a="1"/>
  <c r="CQ69" i="27" s="1"/>
  <c r="CI69" i="27" a="1"/>
  <c r="CI69" i="27" s="1"/>
  <c r="CO69" i="27" a="1"/>
  <c r="CO69" i="27" s="1"/>
  <c r="CT69" i="27" a="1"/>
  <c r="CT69" i="27" s="1"/>
  <c r="BY69" i="27" a="1"/>
  <c r="BY69" i="27" s="1"/>
  <c r="CA54" i="27" a="1"/>
  <c r="CA54" i="27" s="1"/>
  <c r="CG54" i="27" a="1"/>
  <c r="CG54" i="27" s="1"/>
  <c r="CR54" i="27" a="1"/>
  <c r="CR54" i="27" s="1"/>
  <c r="CB54" i="27" a="1"/>
  <c r="CB54" i="27" s="1"/>
  <c r="CH54" i="27" a="1"/>
  <c r="CH54" i="27" s="1"/>
  <c r="CN54" i="27" a="1"/>
  <c r="CN54" i="27" s="1"/>
  <c r="CT54" i="27" a="1"/>
  <c r="CT54" i="27" s="1"/>
  <c r="CD54" i="27" a="1"/>
  <c r="CD54" i="27" s="1"/>
  <c r="CJ54" i="27" a="1"/>
  <c r="CJ54" i="27" s="1"/>
  <c r="CP54" i="27" a="1"/>
  <c r="CP54" i="27" s="1"/>
  <c r="CV54" i="27" a="1"/>
  <c r="CV54" i="27" s="1"/>
  <c r="CF54" i="27" a="1"/>
  <c r="CF54" i="27" s="1"/>
  <c r="CL54" i="27" a="1"/>
  <c r="CL54" i="27" s="1"/>
  <c r="CQ54" i="27" a="1"/>
  <c r="CQ54" i="27" s="1"/>
  <c r="BZ54" i="27" a="1"/>
  <c r="BZ54" i="27" s="1"/>
  <c r="CO54" i="27" a="1"/>
  <c r="CO54" i="27" s="1"/>
  <c r="CC54" i="27" a="1"/>
  <c r="CC54" i="27" s="1"/>
  <c r="CS54" i="27" a="1"/>
  <c r="CS54" i="27" s="1"/>
  <c r="CI54" i="27" a="1"/>
  <c r="CI54" i="27" s="1"/>
  <c r="CM54" i="27" a="1"/>
  <c r="CM54" i="27" s="1"/>
  <c r="CU54" i="27" a="1"/>
  <c r="CU54" i="27" s="1"/>
  <c r="CE54" i="27" a="1"/>
  <c r="CE54" i="27" s="1"/>
  <c r="CK54" i="27" a="1"/>
  <c r="CK54" i="27" s="1"/>
  <c r="BY54" i="27" a="1"/>
  <c r="BY54" i="27" s="1"/>
  <c r="CC136" i="27" a="1"/>
  <c r="CC136" i="27" s="1"/>
  <c r="CI136" i="27" a="1"/>
  <c r="CI136" i="27" s="1"/>
  <c r="CN136" i="27" a="1"/>
  <c r="CN136" i="27" s="1"/>
  <c r="CT136" i="27" a="1"/>
  <c r="CT136" i="27" s="1"/>
  <c r="CJ136" i="27" a="1"/>
  <c r="CJ136" i="27" s="1"/>
  <c r="CO136" i="27" a="1"/>
  <c r="CO136" i="27" s="1"/>
  <c r="CD136" i="27" a="1"/>
  <c r="CD136" i="27" s="1"/>
  <c r="CP136" i="27" a="1"/>
  <c r="CP136" i="27" s="1"/>
  <c r="CU136" i="27" a="1"/>
  <c r="CU136" i="27" s="1"/>
  <c r="CK136" i="27" a="1"/>
  <c r="CK136" i="27" s="1"/>
  <c r="CQ136" i="27" a="1"/>
  <c r="CQ136" i="27" s="1"/>
  <c r="CV136" i="27" a="1"/>
  <c r="CV136" i="27" s="1"/>
  <c r="BZ136" i="27" a="1"/>
  <c r="BZ136" i="27" s="1"/>
  <c r="CE136" i="27" a="1"/>
  <c r="CE136" i="27" s="1"/>
  <c r="CR136" i="27" a="1"/>
  <c r="CR136" i="27" s="1"/>
  <c r="CA136" i="27" a="1"/>
  <c r="CA136" i="27" s="1"/>
  <c r="CF136" i="27" a="1"/>
  <c r="CF136" i="27" s="1"/>
  <c r="CL136" i="27" a="1"/>
  <c r="CL136" i="27" s="1"/>
  <c r="CH136" i="27" a="1"/>
  <c r="CH136" i="27" s="1"/>
  <c r="CM136" i="27" a="1"/>
  <c r="CM136" i="27" s="1"/>
  <c r="CS136" i="27" a="1"/>
  <c r="CS136" i="27" s="1"/>
  <c r="CG136" i="27" a="1"/>
  <c r="CG136" i="27" s="1"/>
  <c r="BY136" i="27" a="1"/>
  <c r="BY136" i="27" s="1"/>
  <c r="CB136" i="27" a="1"/>
  <c r="CB136" i="27" s="1"/>
  <c r="CE71" i="27" a="1"/>
  <c r="CE71" i="27" s="1"/>
  <c r="CL71" i="27" a="1"/>
  <c r="CL71" i="27" s="1"/>
  <c r="CR71" i="27" a="1"/>
  <c r="CR71" i="27" s="1"/>
  <c r="CA71" i="27" a="1"/>
  <c r="CA71" i="27" s="1"/>
  <c r="CF71" i="27" a="1"/>
  <c r="CF71" i="27" s="1"/>
  <c r="CM71" i="27" a="1"/>
  <c r="CM71" i="27" s="1"/>
  <c r="CC71" i="27" a="1"/>
  <c r="CC71" i="27" s="1"/>
  <c r="CH71" i="27" a="1"/>
  <c r="CH71" i="27" s="1"/>
  <c r="CN71" i="27" a="1"/>
  <c r="CN71" i="27" s="1"/>
  <c r="CU71" i="27" a="1"/>
  <c r="CU71" i="27" s="1"/>
  <c r="CI71" i="27" a="1"/>
  <c r="CI71" i="27" s="1"/>
  <c r="CO71" i="27" a="1"/>
  <c r="CO71" i="27" s="1"/>
  <c r="CK71" i="27" a="1"/>
  <c r="CK71" i="27" s="1"/>
  <c r="CQ71" i="27" a="1"/>
  <c r="CQ71" i="27" s="1"/>
  <c r="CV71" i="27" a="1"/>
  <c r="CV71" i="27" s="1"/>
  <c r="CJ71" i="27" a="1"/>
  <c r="CJ71" i="27" s="1"/>
  <c r="BZ71" i="27" a="1"/>
  <c r="BZ71" i="27" s="1"/>
  <c r="CP71" i="27" a="1"/>
  <c r="CP71" i="27" s="1"/>
  <c r="CD71" i="27" a="1"/>
  <c r="CD71" i="27" s="1"/>
  <c r="CT71" i="27" a="1"/>
  <c r="CT71" i="27" s="1"/>
  <c r="CB71" i="27" a="1"/>
  <c r="CB71" i="27" s="1"/>
  <c r="CG71" i="27" a="1"/>
  <c r="CG71" i="27" s="1"/>
  <c r="CS71" i="27" a="1"/>
  <c r="CS71" i="27" s="1"/>
  <c r="BY71" i="27" a="1"/>
  <c r="BY71" i="27" s="1"/>
  <c r="CA132" i="27" a="1"/>
  <c r="CA132" i="27" s="1"/>
  <c r="CI132" i="27" a="1"/>
  <c r="CI132" i="27" s="1"/>
  <c r="CQ132" i="27" a="1"/>
  <c r="CQ132" i="27" s="1"/>
  <c r="CB132" i="27" a="1"/>
  <c r="CB132" i="27" s="1"/>
  <c r="CJ132" i="27" a="1"/>
  <c r="CJ132" i="27" s="1"/>
  <c r="CR132" i="27" a="1"/>
  <c r="CR132" i="27" s="1"/>
  <c r="CC132" i="27" a="1"/>
  <c r="CC132" i="27" s="1"/>
  <c r="CK132" i="27" a="1"/>
  <c r="CK132" i="27" s="1"/>
  <c r="CS132" i="27" a="1"/>
  <c r="CS132" i="27" s="1"/>
  <c r="CD132" i="27" a="1"/>
  <c r="CD132" i="27" s="1"/>
  <c r="CL132" i="27" a="1"/>
  <c r="CL132" i="27" s="1"/>
  <c r="CT132" i="27" a="1"/>
  <c r="CT132" i="27" s="1"/>
  <c r="CE132" i="27" a="1"/>
  <c r="CE132" i="27" s="1"/>
  <c r="CM132" i="27" a="1"/>
  <c r="CM132" i="27" s="1"/>
  <c r="CU132" i="27" a="1"/>
  <c r="CU132" i="27" s="1"/>
  <c r="CF132" i="27" a="1"/>
  <c r="CF132" i="27" s="1"/>
  <c r="CN132" i="27" a="1"/>
  <c r="CN132" i="27" s="1"/>
  <c r="CV132" i="27" a="1"/>
  <c r="CV132" i="27" s="1"/>
  <c r="BZ132" i="27" a="1"/>
  <c r="BZ132" i="27" s="1"/>
  <c r="CH132" i="27" a="1"/>
  <c r="CH132" i="27" s="1"/>
  <c r="CP132" i="27" a="1"/>
  <c r="CP132" i="27" s="1"/>
  <c r="CG132" i="27" a="1"/>
  <c r="CG132" i="27" s="1"/>
  <c r="CO132" i="27" a="1"/>
  <c r="CO132" i="27" s="1"/>
  <c r="BY132" i="27" a="1"/>
  <c r="BY132" i="27" s="1"/>
  <c r="CA113" i="27" a="1"/>
  <c r="CA113" i="27" s="1"/>
  <c r="CI113" i="27" a="1"/>
  <c r="CI113" i="27" s="1"/>
  <c r="CQ113" i="27" a="1"/>
  <c r="CQ113" i="27" s="1"/>
  <c r="CC113" i="27" a="1"/>
  <c r="CC113" i="27" s="1"/>
  <c r="CK113" i="27" a="1"/>
  <c r="CK113" i="27" s="1"/>
  <c r="CS113" i="27" a="1"/>
  <c r="CS113" i="27" s="1"/>
  <c r="CE113" i="27" a="1"/>
  <c r="CE113" i="27" s="1"/>
  <c r="CM113" i="27" a="1"/>
  <c r="CM113" i="27" s="1"/>
  <c r="CU113" i="27" a="1"/>
  <c r="CU113" i="27" s="1"/>
  <c r="CF113" i="27" a="1"/>
  <c r="CF113" i="27" s="1"/>
  <c r="CN113" i="27" a="1"/>
  <c r="CN113" i="27" s="1"/>
  <c r="CV113" i="27" a="1"/>
  <c r="CV113" i="27" s="1"/>
  <c r="BZ113" i="27" a="1"/>
  <c r="BZ113" i="27" s="1"/>
  <c r="CH113" i="27" a="1"/>
  <c r="CH113" i="27" s="1"/>
  <c r="CP113" i="27" a="1"/>
  <c r="CP113" i="27" s="1"/>
  <c r="CG113" i="27" a="1"/>
  <c r="CG113" i="27" s="1"/>
  <c r="CJ113" i="27" a="1"/>
  <c r="CJ113" i="27" s="1"/>
  <c r="CL113" i="27" a="1"/>
  <c r="CL113" i="27" s="1"/>
  <c r="CO113" i="27" a="1"/>
  <c r="CO113" i="27" s="1"/>
  <c r="CR113" i="27" a="1"/>
  <c r="CR113" i="27" s="1"/>
  <c r="CT113" i="27" a="1"/>
  <c r="CT113" i="27" s="1"/>
  <c r="CD113" i="27" a="1"/>
  <c r="CD113" i="27" s="1"/>
  <c r="CB113" i="27" a="1"/>
  <c r="CB113" i="27" s="1"/>
  <c r="BY113" i="27" a="1"/>
  <c r="BY113" i="27" s="1"/>
  <c r="CA15" i="27" a="1"/>
  <c r="CA15" i="27" s="1"/>
  <c r="CI15" i="27" a="1"/>
  <c r="CI15" i="27" s="1"/>
  <c r="CQ15" i="27" a="1"/>
  <c r="CQ15" i="27" s="1"/>
  <c r="CC15" i="27" a="1"/>
  <c r="CC15" i="27" s="1"/>
  <c r="CK15" i="27" a="1"/>
  <c r="CK15" i="27" s="1"/>
  <c r="CS15" i="27" a="1"/>
  <c r="CS15" i="27" s="1"/>
  <c r="CE15" i="27" a="1"/>
  <c r="CE15" i="27" s="1"/>
  <c r="CM15" i="27" a="1"/>
  <c r="CM15" i="27" s="1"/>
  <c r="CU15" i="27" a="1"/>
  <c r="CU15" i="27" s="1"/>
  <c r="CF15" i="27" a="1"/>
  <c r="CF15" i="27" s="1"/>
  <c r="CN15" i="27" a="1"/>
  <c r="CN15" i="27" s="1"/>
  <c r="CV15" i="27" a="1"/>
  <c r="CV15" i="27" s="1"/>
  <c r="BZ15" i="27" a="1"/>
  <c r="BZ15" i="27" s="1"/>
  <c r="CH15" i="27" a="1"/>
  <c r="CH15" i="27" s="1"/>
  <c r="CP15" i="27" a="1"/>
  <c r="CP15" i="27" s="1"/>
  <c r="CJ15" i="27" a="1"/>
  <c r="CJ15" i="27" s="1"/>
  <c r="CO15" i="27" a="1"/>
  <c r="CO15" i="27" s="1"/>
  <c r="CT15" i="27" a="1"/>
  <c r="CT15" i="27" s="1"/>
  <c r="CB15" i="27" a="1"/>
  <c r="CB15" i="27" s="1"/>
  <c r="CG15" i="27" a="1"/>
  <c r="CG15" i="27" s="1"/>
  <c r="CD15" i="27" a="1"/>
  <c r="CD15" i="27" s="1"/>
  <c r="CL15" i="27" a="1"/>
  <c r="CL15" i="27" s="1"/>
  <c r="CR15" i="27" a="1"/>
  <c r="CR15" i="27" s="1"/>
  <c r="BY15" i="27" a="1"/>
  <c r="BY15" i="27" s="1"/>
  <c r="CC76" i="27" a="1"/>
  <c r="CC76" i="27" s="1"/>
  <c r="CU76" i="27" a="1"/>
  <c r="CU76" i="27" s="1"/>
  <c r="CE76" i="27" a="1"/>
  <c r="CE76" i="27" s="1"/>
  <c r="CK76" i="27" a="1"/>
  <c r="CK76" i="27" s="1"/>
  <c r="CG76" i="27" a="1"/>
  <c r="CG76" i="27" s="1"/>
  <c r="CM76" i="27" a="1"/>
  <c r="CM76" i="27" s="1"/>
  <c r="CA76" i="27" a="1"/>
  <c r="CA76" i="27" s="1"/>
  <c r="CH76" i="27" a="1"/>
  <c r="CH76" i="27" s="1"/>
  <c r="CN76" i="27" a="1"/>
  <c r="CN76" i="27" s="1"/>
  <c r="CS76" i="27" a="1"/>
  <c r="CS76" i="27" s="1"/>
  <c r="CI76" i="27" a="1"/>
  <c r="CI76" i="27" s="1"/>
  <c r="CP76" i="27" a="1"/>
  <c r="CP76" i="27" s="1"/>
  <c r="CF76" i="27" a="1"/>
  <c r="CF76" i="27" s="1"/>
  <c r="CV76" i="27" a="1"/>
  <c r="CV76" i="27" s="1"/>
  <c r="CJ76" i="27" a="1"/>
  <c r="CJ76" i="27" s="1"/>
  <c r="CL76" i="27" a="1"/>
  <c r="CL76" i="27" s="1"/>
  <c r="CO76" i="27" a="1"/>
  <c r="CO76" i="27" s="1"/>
  <c r="BZ76" i="27" a="1"/>
  <c r="BZ76" i="27" s="1"/>
  <c r="CQ76" i="27" a="1"/>
  <c r="CQ76" i="27" s="1"/>
  <c r="CD76" i="27" a="1"/>
  <c r="CD76" i="27" s="1"/>
  <c r="CT76" i="27" a="1"/>
  <c r="CT76" i="27" s="1"/>
  <c r="CB76" i="27" a="1"/>
  <c r="CB76" i="27" s="1"/>
  <c r="CR76" i="27" a="1"/>
  <c r="CR76" i="27" s="1"/>
  <c r="BY76" i="27" a="1"/>
  <c r="BY76" i="27" s="1"/>
  <c r="CD82" i="27" a="1"/>
  <c r="CD82" i="27" s="1"/>
  <c r="CJ82" i="27" a="1"/>
  <c r="CJ82" i="27" s="1"/>
  <c r="CF82" i="27" a="1"/>
  <c r="CF82" i="27" s="1"/>
  <c r="CK82" i="27" a="1"/>
  <c r="CK82" i="27" s="1"/>
  <c r="CR82" i="27" a="1"/>
  <c r="CR82" i="27" s="1"/>
  <c r="BZ82" i="27" a="1"/>
  <c r="BZ82" i="27" s="1"/>
  <c r="CM82" i="27" a="1"/>
  <c r="CM82" i="27" s="1"/>
  <c r="CA82" i="27" a="1"/>
  <c r="CA82" i="27" s="1"/>
  <c r="CH82" i="27" a="1"/>
  <c r="CH82" i="27" s="1"/>
  <c r="CN82" i="27" a="1"/>
  <c r="CN82" i="27" s="1"/>
  <c r="CT82" i="27" a="1"/>
  <c r="CT82" i="27" s="1"/>
  <c r="CC82" i="27" a="1"/>
  <c r="CC82" i="27" s="1"/>
  <c r="CI82" i="27" a="1"/>
  <c r="CI82" i="27" s="1"/>
  <c r="CP82" i="27" a="1"/>
  <c r="CP82" i="27" s="1"/>
  <c r="CV82" i="27" a="1"/>
  <c r="CV82" i="27" s="1"/>
  <c r="CL82" i="27" a="1"/>
  <c r="CL82" i="27" s="1"/>
  <c r="CO82" i="27" a="1"/>
  <c r="CO82" i="27" s="1"/>
  <c r="CQ82" i="27" a="1"/>
  <c r="CQ82" i="27" s="1"/>
  <c r="CB82" i="27" a="1"/>
  <c r="CB82" i="27" s="1"/>
  <c r="CS82" i="27" a="1"/>
  <c r="CS82" i="27" s="1"/>
  <c r="CE82" i="27" a="1"/>
  <c r="CE82" i="27" s="1"/>
  <c r="CU82" i="27" a="1"/>
  <c r="CU82" i="27" s="1"/>
  <c r="CG82" i="27" a="1"/>
  <c r="CG82" i="27" s="1"/>
  <c r="BY82" i="27" a="1"/>
  <c r="BY82" i="27" s="1"/>
  <c r="BZ68" i="27" a="1"/>
  <c r="BZ68" i="27" s="1"/>
  <c r="CF68" i="27" a="1"/>
  <c r="CF68" i="27" s="1"/>
  <c r="CK68" i="27" a="1"/>
  <c r="CK68" i="27" s="1"/>
  <c r="CR68" i="27" a="1"/>
  <c r="CR68" i="27" s="1"/>
  <c r="CA68" i="27" a="1"/>
  <c r="CA68" i="27" s="1"/>
  <c r="CH68" i="27" a="1"/>
  <c r="CH68" i="27" s="1"/>
  <c r="CM68" i="27" a="1"/>
  <c r="CM68" i="27" s="1"/>
  <c r="CS68" i="27" a="1"/>
  <c r="CS68" i="27" s="1"/>
  <c r="CB68" i="27" a="1"/>
  <c r="CB68" i="27" s="1"/>
  <c r="CI68" i="27" a="1"/>
  <c r="CI68" i="27" s="1"/>
  <c r="CO68" i="27" a="1"/>
  <c r="CO68" i="27" s="1"/>
  <c r="CU68" i="27" a="1"/>
  <c r="CU68" i="27" s="1"/>
  <c r="CC68" i="27" a="1"/>
  <c r="CC68" i="27" s="1"/>
  <c r="CP68" i="27" a="1"/>
  <c r="CP68" i="27" s="1"/>
  <c r="CV68" i="27" a="1"/>
  <c r="CV68" i="27" s="1"/>
  <c r="CE68" i="27" a="1"/>
  <c r="CE68" i="27" s="1"/>
  <c r="CL68" i="27" a="1"/>
  <c r="CL68" i="27" s="1"/>
  <c r="CQ68" i="27" a="1"/>
  <c r="CQ68" i="27" s="1"/>
  <c r="CG68" i="27" a="1"/>
  <c r="CG68" i="27" s="1"/>
  <c r="CN68" i="27" a="1"/>
  <c r="CN68" i="27" s="1"/>
  <c r="CT68" i="27" a="1"/>
  <c r="CT68" i="27" s="1"/>
  <c r="CJ68" i="27" a="1"/>
  <c r="CJ68" i="27" s="1"/>
  <c r="CD68" i="27" a="1"/>
  <c r="CD68" i="27" s="1"/>
  <c r="BY68" i="27" a="1"/>
  <c r="BY68" i="27" s="1"/>
  <c r="BZ131" i="27" a="1"/>
  <c r="BZ131" i="27" s="1"/>
  <c r="CH131" i="27" a="1"/>
  <c r="CH131" i="27" s="1"/>
  <c r="CP131" i="27" a="1"/>
  <c r="CP131" i="27" s="1"/>
  <c r="CA131" i="27" a="1"/>
  <c r="CA131" i="27" s="1"/>
  <c r="CI131" i="27" a="1"/>
  <c r="CI131" i="27" s="1"/>
  <c r="CQ131" i="27" a="1"/>
  <c r="CQ131" i="27" s="1"/>
  <c r="CB131" i="27" a="1"/>
  <c r="CB131" i="27" s="1"/>
  <c r="CJ131" i="27" a="1"/>
  <c r="CJ131" i="27" s="1"/>
  <c r="CR131" i="27" a="1"/>
  <c r="CR131" i="27" s="1"/>
  <c r="CC131" i="27" a="1"/>
  <c r="CC131" i="27" s="1"/>
  <c r="CK131" i="27" a="1"/>
  <c r="CK131" i="27" s="1"/>
  <c r="CS131" i="27" a="1"/>
  <c r="CS131" i="27" s="1"/>
  <c r="CD131" i="27" a="1"/>
  <c r="CD131" i="27" s="1"/>
  <c r="CL131" i="27" a="1"/>
  <c r="CL131" i="27" s="1"/>
  <c r="CT131" i="27" a="1"/>
  <c r="CT131" i="27" s="1"/>
  <c r="CE131" i="27" a="1"/>
  <c r="CE131" i="27" s="1"/>
  <c r="CM131" i="27" a="1"/>
  <c r="CM131" i="27" s="1"/>
  <c r="CU131" i="27" a="1"/>
  <c r="CU131" i="27" s="1"/>
  <c r="CG131" i="27" a="1"/>
  <c r="CG131" i="27" s="1"/>
  <c r="CO131" i="27" a="1"/>
  <c r="CO131" i="27" s="1"/>
  <c r="CN131" i="27" a="1"/>
  <c r="CN131" i="27" s="1"/>
  <c r="CV131" i="27" a="1"/>
  <c r="CV131" i="27" s="1"/>
  <c r="CF131" i="27" a="1"/>
  <c r="CF131" i="27" s="1"/>
  <c r="BY131" i="27" a="1"/>
  <c r="BY131" i="27" s="1"/>
  <c r="BZ45" i="27" a="1"/>
  <c r="BZ45" i="27" s="1"/>
  <c r="CL45" i="27" a="1"/>
  <c r="CL45" i="27" s="1"/>
  <c r="CR45" i="27" a="1"/>
  <c r="CR45" i="27" s="1"/>
  <c r="CB45" i="27" a="1"/>
  <c r="CB45" i="27" s="1"/>
  <c r="CN45" i="27" a="1"/>
  <c r="CN45" i="27" s="1"/>
  <c r="CS45" i="27" a="1"/>
  <c r="CS45" i="27" s="1"/>
  <c r="CD45" i="27" a="1"/>
  <c r="CD45" i="27" s="1"/>
  <c r="CU45" i="27" a="1"/>
  <c r="CU45" i="27" s="1"/>
  <c r="CI45" i="27" a="1"/>
  <c r="CI45" i="27" s="1"/>
  <c r="CP45" i="27" a="1"/>
  <c r="CP45" i="27" s="1"/>
  <c r="CV45" i="27" a="1"/>
  <c r="CV45" i="27" s="1"/>
  <c r="CF45" i="27" a="1"/>
  <c r="CF45" i="27" s="1"/>
  <c r="CK45" i="27" a="1"/>
  <c r="CK45" i="27" s="1"/>
  <c r="CQ45" i="27" a="1"/>
  <c r="CQ45" i="27" s="1"/>
  <c r="CH45" i="27" a="1"/>
  <c r="CH45" i="27" s="1"/>
  <c r="CM45" i="27" a="1"/>
  <c r="CM45" i="27" s="1"/>
  <c r="CA45" i="27" a="1"/>
  <c r="CA45" i="27" s="1"/>
  <c r="CC45" i="27" a="1"/>
  <c r="CC45" i="27" s="1"/>
  <c r="CG45" i="27" a="1"/>
  <c r="CG45" i="27" s="1"/>
  <c r="CE45" i="27" a="1"/>
  <c r="CE45" i="27" s="1"/>
  <c r="CO45" i="27" a="1"/>
  <c r="CO45" i="27" s="1"/>
  <c r="CJ45" i="27" a="1"/>
  <c r="CJ45" i="27" s="1"/>
  <c r="CT45" i="27" a="1"/>
  <c r="CT45" i="27" s="1"/>
  <c r="BY45" i="27" a="1"/>
  <c r="BY45" i="27" s="1"/>
  <c r="CC67" i="27" a="1"/>
  <c r="CC67" i="27" s="1"/>
  <c r="CP67" i="27" a="1"/>
  <c r="CP67" i="27" s="1"/>
  <c r="CE67" i="27" a="1"/>
  <c r="CE67" i="27" s="1"/>
  <c r="CK67" i="27" a="1"/>
  <c r="CK67" i="27" s="1"/>
  <c r="CG67" i="27" a="1"/>
  <c r="CG67" i="27" s="1"/>
  <c r="CM67" i="27" a="1"/>
  <c r="CM67" i="27" s="1"/>
  <c r="CS67" i="27" a="1"/>
  <c r="CS67" i="27" s="1"/>
  <c r="CA67" i="27" a="1"/>
  <c r="CA67" i="27" s="1"/>
  <c r="CH67" i="27" a="1"/>
  <c r="CH67" i="27" s="1"/>
  <c r="CN67" i="27" a="1"/>
  <c r="CN67" i="27" s="1"/>
  <c r="CT67" i="27" a="1"/>
  <c r="CT67" i="27" s="1"/>
  <c r="CB67" i="27" a="1"/>
  <c r="CB67" i="27" s="1"/>
  <c r="CI67" i="27" a="1"/>
  <c r="CI67" i="27" s="1"/>
  <c r="CV67" i="27" a="1"/>
  <c r="CV67" i="27" s="1"/>
  <c r="CO67" i="27" a="1"/>
  <c r="CO67" i="27" s="1"/>
  <c r="CR67" i="27" a="1"/>
  <c r="CR67" i="27" s="1"/>
  <c r="CF67" i="27" a="1"/>
  <c r="CF67" i="27" s="1"/>
  <c r="CL67" i="27" a="1"/>
  <c r="CL67" i="27" s="1"/>
  <c r="BZ67" i="27" a="1"/>
  <c r="BZ67" i="27" s="1"/>
  <c r="CD67" i="27" a="1"/>
  <c r="CD67" i="27" s="1"/>
  <c r="CJ67" i="27" a="1"/>
  <c r="CJ67" i="27" s="1"/>
  <c r="CQ67" i="27" a="1"/>
  <c r="CQ67" i="27" s="1"/>
  <c r="CU67" i="27" a="1"/>
  <c r="CU67" i="27" s="1"/>
  <c r="BY67" i="27" a="1"/>
  <c r="BY67" i="27" s="1"/>
  <c r="CR30" i="27" a="1"/>
  <c r="CR30" i="27" s="1"/>
  <c r="BZ30" i="27" a="1"/>
  <c r="BZ30" i="27" s="1"/>
  <c r="CG30" i="27" a="1"/>
  <c r="CG30" i="27" s="1"/>
  <c r="CM30" i="27" a="1"/>
  <c r="CM30" i="27" s="1"/>
  <c r="CB30" i="27" a="1"/>
  <c r="CB30" i="27" s="1"/>
  <c r="CO30" i="27" a="1"/>
  <c r="CO30" i="27" s="1"/>
  <c r="CC30" i="27" a="1"/>
  <c r="CC30" i="27" s="1"/>
  <c r="CI30" i="27" a="1"/>
  <c r="CI30" i="27" s="1"/>
  <c r="CP30" i="27" a="1"/>
  <c r="CP30" i="27" s="1"/>
  <c r="CU30" i="27" a="1"/>
  <c r="CU30" i="27" s="1"/>
  <c r="CE30" i="27" a="1"/>
  <c r="CE30" i="27" s="1"/>
  <c r="CK30" i="27" a="1"/>
  <c r="CK30" i="27" s="1"/>
  <c r="CJ30" i="27" a="1"/>
  <c r="CJ30" i="27" s="1"/>
  <c r="CN30" i="27" a="1"/>
  <c r="CN30" i="27" s="1"/>
  <c r="CA30" i="27" a="1"/>
  <c r="CA30" i="27" s="1"/>
  <c r="CS30" i="27" a="1"/>
  <c r="CS30" i="27" s="1"/>
  <c r="CD30" i="27" a="1"/>
  <c r="CD30" i="27" s="1"/>
  <c r="CT30" i="27" a="1"/>
  <c r="CT30" i="27" s="1"/>
  <c r="CH30" i="27" a="1"/>
  <c r="CH30" i="27" s="1"/>
  <c r="CV30" i="27" a="1"/>
  <c r="CV30" i="27" s="1"/>
  <c r="CF30" i="27" a="1"/>
  <c r="CF30" i="27" s="1"/>
  <c r="CQ30" i="27" a="1"/>
  <c r="CQ30" i="27" s="1"/>
  <c r="CL30" i="27" a="1"/>
  <c r="CL30" i="27" s="1"/>
  <c r="BY30" i="27" a="1"/>
  <c r="BY30" i="27" s="1"/>
  <c r="CB63" i="27" a="1"/>
  <c r="CB63" i="27" s="1"/>
  <c r="CH63" i="27" a="1"/>
  <c r="CH63" i="27" s="1"/>
  <c r="CN63" i="27" a="1"/>
  <c r="CN63" i="27" s="1"/>
  <c r="CD63" i="27" a="1"/>
  <c r="CD63" i="27" s="1"/>
  <c r="CJ63" i="27" a="1"/>
  <c r="CJ63" i="27" s="1"/>
  <c r="CP63" i="27" a="1"/>
  <c r="CP63" i="27" s="1"/>
  <c r="CV63" i="27" a="1"/>
  <c r="CV63" i="27" s="1"/>
  <c r="CE63" i="27" a="1"/>
  <c r="CE63" i="27" s="1"/>
  <c r="CR63" i="27" a="1"/>
  <c r="CR63" i="27" s="1"/>
  <c r="CL63" i="27" a="1"/>
  <c r="CL63" i="27" s="1"/>
  <c r="CS63" i="27" a="1"/>
  <c r="CS63" i="27" s="1"/>
  <c r="CA63" i="27" a="1"/>
  <c r="CA63" i="27" s="1"/>
  <c r="CG63" i="27" a="1"/>
  <c r="CG63" i="27" s="1"/>
  <c r="CT63" i="27" a="1"/>
  <c r="CT63" i="27" s="1"/>
  <c r="CF63" i="27" a="1"/>
  <c r="CF63" i="27" s="1"/>
  <c r="CK63" i="27" a="1"/>
  <c r="CK63" i="27" s="1"/>
  <c r="CO63" i="27" a="1"/>
  <c r="CO63" i="27" s="1"/>
  <c r="BZ63" i="27" a="1"/>
  <c r="BZ63" i="27" s="1"/>
  <c r="CQ63" i="27" a="1"/>
  <c r="CQ63" i="27" s="1"/>
  <c r="CU63" i="27" a="1"/>
  <c r="CU63" i="27" s="1"/>
  <c r="CC63" i="27" a="1"/>
  <c r="CC63" i="27" s="1"/>
  <c r="CI63" i="27" a="1"/>
  <c r="CI63" i="27" s="1"/>
  <c r="CM63" i="27" a="1"/>
  <c r="CM63" i="27" s="1"/>
  <c r="BY63" i="27" a="1"/>
  <c r="BY63" i="27" s="1"/>
  <c r="CG13" i="27" a="1"/>
  <c r="CG13" i="27" s="1"/>
  <c r="CO13" i="27" a="1"/>
  <c r="CO13" i="27" s="1"/>
  <c r="CA13" i="27" a="1"/>
  <c r="CA13" i="27" s="1"/>
  <c r="CI13" i="27" a="1"/>
  <c r="CI13" i="27" s="1"/>
  <c r="CQ13" i="27" a="1"/>
  <c r="CQ13" i="27" s="1"/>
  <c r="CC13" i="27" a="1"/>
  <c r="CC13" i="27" s="1"/>
  <c r="CK13" i="27" a="1"/>
  <c r="CK13" i="27" s="1"/>
  <c r="CS13" i="27" a="1"/>
  <c r="CS13" i="27" s="1"/>
  <c r="CD13" i="27" a="1"/>
  <c r="CD13" i="27" s="1"/>
  <c r="CL13" i="27" a="1"/>
  <c r="CL13" i="27" s="1"/>
  <c r="CT13" i="27" a="1"/>
  <c r="CT13" i="27" s="1"/>
  <c r="CF13" i="27" a="1"/>
  <c r="CF13" i="27" s="1"/>
  <c r="CN13" i="27" a="1"/>
  <c r="CN13" i="27" s="1"/>
  <c r="CV13" i="27" a="1"/>
  <c r="CV13" i="27" s="1"/>
  <c r="CM13" i="27" a="1"/>
  <c r="CM13" i="27" s="1"/>
  <c r="CR13" i="27" a="1"/>
  <c r="CR13" i="27" s="1"/>
  <c r="CB13" i="27" a="1"/>
  <c r="CB13" i="27" s="1"/>
  <c r="CE13" i="27" a="1"/>
  <c r="CE13" i="27" s="1"/>
  <c r="CJ13" i="27" a="1"/>
  <c r="CJ13" i="27" s="1"/>
  <c r="CU13" i="27" a="1"/>
  <c r="CU13" i="27" s="1"/>
  <c r="BZ13" i="27" a="1"/>
  <c r="BZ13" i="27" s="1"/>
  <c r="CP13" i="27" a="1"/>
  <c r="CP13" i="27" s="1"/>
  <c r="CH13" i="27" a="1"/>
  <c r="CH13" i="27" s="1"/>
  <c r="BY13" i="27" a="1"/>
  <c r="BY13" i="27" s="1"/>
  <c r="CI105" i="27" a="1"/>
  <c r="CI105" i="27" s="1"/>
  <c r="CV105" i="27" a="1"/>
  <c r="CV105" i="27" s="1"/>
  <c r="CE105" i="27" a="1"/>
  <c r="CE105" i="27" s="1"/>
  <c r="CK105" i="27" a="1"/>
  <c r="CK105" i="27" s="1"/>
  <c r="CQ105" i="27" a="1"/>
  <c r="CQ105" i="27" s="1"/>
  <c r="BZ105" i="27" a="1"/>
  <c r="BZ105" i="27" s="1"/>
  <c r="CF105" i="27" a="1"/>
  <c r="CF105" i="27" s="1"/>
  <c r="CM105" i="27" a="1"/>
  <c r="CM105" i="27" s="1"/>
  <c r="CR105" i="27" a="1"/>
  <c r="CR105" i="27" s="1"/>
  <c r="CA105" i="27" a="1"/>
  <c r="CA105" i="27" s="1"/>
  <c r="CN105" i="27" a="1"/>
  <c r="CN105" i="27" s="1"/>
  <c r="CS105" i="27" a="1"/>
  <c r="CS105" i="27" s="1"/>
  <c r="CC105" i="27" a="1"/>
  <c r="CC105" i="27" s="1"/>
  <c r="CH105" i="27" a="1"/>
  <c r="CH105" i="27" s="1"/>
  <c r="CO105" i="27" a="1"/>
  <c r="CO105" i="27" s="1"/>
  <c r="CU105" i="27" a="1"/>
  <c r="CU105" i="27" s="1"/>
  <c r="CG105" i="27" a="1"/>
  <c r="CG105" i="27" s="1"/>
  <c r="CJ105" i="27" a="1"/>
  <c r="CJ105" i="27" s="1"/>
  <c r="CL105" i="27" a="1"/>
  <c r="CL105" i="27" s="1"/>
  <c r="CP105" i="27" a="1"/>
  <c r="CP105" i="27" s="1"/>
  <c r="CD105" i="27" a="1"/>
  <c r="CD105" i="27" s="1"/>
  <c r="CT105" i="27" a="1"/>
  <c r="CT105" i="27" s="1"/>
  <c r="CB105" i="27" a="1"/>
  <c r="CB105" i="27" s="1"/>
  <c r="BY105" i="27" a="1"/>
  <c r="BY105" i="27" s="1"/>
  <c r="CR103" i="27" a="1"/>
  <c r="CR103" i="27" s="1"/>
  <c r="BZ103" i="27" a="1"/>
  <c r="BZ103" i="27" s="1"/>
  <c r="CG103" i="27" a="1"/>
  <c r="CG103" i="27" s="1"/>
  <c r="CM103" i="27" a="1"/>
  <c r="CM103" i="27" s="1"/>
  <c r="CB103" i="27" a="1"/>
  <c r="CB103" i="27" s="1"/>
  <c r="CO103" i="27" a="1"/>
  <c r="CO103" i="27" s="1"/>
  <c r="CC103" i="27" a="1"/>
  <c r="CC103" i="27" s="1"/>
  <c r="CI103" i="27" a="1"/>
  <c r="CI103" i="27" s="1"/>
  <c r="CP103" i="27" a="1"/>
  <c r="CP103" i="27" s="1"/>
  <c r="CU103" i="27" a="1"/>
  <c r="CU103" i="27" s="1"/>
  <c r="CE103" i="27" a="1"/>
  <c r="CE103" i="27" s="1"/>
  <c r="CK103" i="27" a="1"/>
  <c r="CK103" i="27" s="1"/>
  <c r="CA103" i="27" a="1"/>
  <c r="CA103" i="27" s="1"/>
  <c r="CS103" i="27" a="1"/>
  <c r="CS103" i="27" s="1"/>
  <c r="CD103" i="27" a="1"/>
  <c r="CD103" i="27" s="1"/>
  <c r="CT103" i="27" a="1"/>
  <c r="CT103" i="27" s="1"/>
  <c r="CF103" i="27" a="1"/>
  <c r="CF103" i="27" s="1"/>
  <c r="CV103" i="27" a="1"/>
  <c r="CV103" i="27" s="1"/>
  <c r="CH103" i="27" a="1"/>
  <c r="CH103" i="27" s="1"/>
  <c r="CJ103" i="27" a="1"/>
  <c r="CJ103" i="27" s="1"/>
  <c r="CL103" i="27" a="1"/>
  <c r="CL103" i="27" s="1"/>
  <c r="CQ103" i="27" a="1"/>
  <c r="CQ103" i="27" s="1"/>
  <c r="CN103" i="27" a="1"/>
  <c r="CN103" i="27" s="1"/>
  <c r="BY103" i="27" a="1"/>
  <c r="BY103" i="27" s="1"/>
  <c r="CB108" i="27" a="1"/>
  <c r="CB108" i="27" s="1"/>
  <c r="CO108" i="27" a="1"/>
  <c r="CO108" i="27" s="1"/>
  <c r="CD108" i="27" a="1"/>
  <c r="CD108" i="27" s="1"/>
  <c r="CQ108" i="27" a="1"/>
  <c r="CQ108" i="27" s="1"/>
  <c r="BZ108" i="27" a="1"/>
  <c r="BZ108" i="27" s="1"/>
  <c r="CF108" i="27" a="1"/>
  <c r="CF108" i="27" s="1"/>
  <c r="CL108" i="27" a="1"/>
  <c r="CL108" i="27" s="1"/>
  <c r="CG108" i="27" a="1"/>
  <c r="CG108" i="27" s="1"/>
  <c r="CS108" i="27" a="1"/>
  <c r="CS108" i="27" s="1"/>
  <c r="CI108" i="27" a="1"/>
  <c r="CI108" i="27" s="1"/>
  <c r="CN108" i="27" a="1"/>
  <c r="CN108" i="27" s="1"/>
  <c r="CU108" i="27" a="1"/>
  <c r="CU108" i="27" s="1"/>
  <c r="CC108" i="27" a="1"/>
  <c r="CC108" i="27" s="1"/>
  <c r="CT108" i="27" a="1"/>
  <c r="CT108" i="27" s="1"/>
  <c r="CE108" i="27" a="1"/>
  <c r="CE108" i="27" s="1"/>
  <c r="CV108" i="27" a="1"/>
  <c r="CV108" i="27" s="1"/>
  <c r="CH108" i="27" a="1"/>
  <c r="CH108" i="27" s="1"/>
  <c r="CJ108" i="27" a="1"/>
  <c r="CJ108" i="27" s="1"/>
  <c r="CK108" i="27" a="1"/>
  <c r="CK108" i="27" s="1"/>
  <c r="CM108" i="27" a="1"/>
  <c r="CM108" i="27" s="1"/>
  <c r="CA108" i="27" a="1"/>
  <c r="CA108" i="27" s="1"/>
  <c r="CR108" i="27" a="1"/>
  <c r="CR108" i="27" s="1"/>
  <c r="CP108" i="27" a="1"/>
  <c r="CP108" i="27" s="1"/>
  <c r="BY108" i="27" a="1"/>
  <c r="BY108" i="27" s="1"/>
  <c r="CF65" i="27" a="1"/>
  <c r="CF65" i="27" s="1"/>
  <c r="CM65" i="27" a="1"/>
  <c r="CM65" i="27" s="1"/>
  <c r="CR65" i="27" a="1"/>
  <c r="CR65" i="27" s="1"/>
  <c r="CA65" i="27" a="1"/>
  <c r="CA65" i="27" s="1"/>
  <c r="CG65" i="27" a="1"/>
  <c r="CG65" i="27" s="1"/>
  <c r="CN65" i="27" a="1"/>
  <c r="CN65" i="27" s="1"/>
  <c r="CT65" i="27" a="1"/>
  <c r="CT65" i="27" s="1"/>
  <c r="CC65" i="27" a="1"/>
  <c r="CC65" i="27" s="1"/>
  <c r="CI65" i="27" a="1"/>
  <c r="CI65" i="27" s="1"/>
  <c r="CO65" i="27" a="1"/>
  <c r="CO65" i="27" s="1"/>
  <c r="CV65" i="27" a="1"/>
  <c r="CV65" i="27" s="1"/>
  <c r="CD65" i="27" a="1"/>
  <c r="CD65" i="27" s="1"/>
  <c r="CJ65" i="27" a="1"/>
  <c r="CJ65" i="27" s="1"/>
  <c r="CL65" i="27" a="1"/>
  <c r="CL65" i="27" s="1"/>
  <c r="CQ65" i="27" a="1"/>
  <c r="CQ65" i="27" s="1"/>
  <c r="CK65" i="27" a="1"/>
  <c r="CK65" i="27" s="1"/>
  <c r="CB65" i="27" a="1"/>
  <c r="CB65" i="27" s="1"/>
  <c r="CS65" i="27" a="1"/>
  <c r="CS65" i="27" s="1"/>
  <c r="CE65" i="27" a="1"/>
  <c r="CE65" i="27" s="1"/>
  <c r="CU65" i="27" a="1"/>
  <c r="CU65" i="27" s="1"/>
  <c r="CH65" i="27" a="1"/>
  <c r="CH65" i="27" s="1"/>
  <c r="BZ65" i="27" a="1"/>
  <c r="BZ65" i="27" s="1"/>
  <c r="CP65" i="27" a="1"/>
  <c r="CP65" i="27" s="1"/>
  <c r="BY65" i="27" a="1"/>
  <c r="BY65" i="27" s="1"/>
  <c r="CF20" i="27" a="1"/>
  <c r="CF20" i="27" s="1"/>
  <c r="CN20" i="27" a="1"/>
  <c r="CN20" i="27" s="1"/>
  <c r="CU20" i="27" a="1"/>
  <c r="CU20" i="27" s="1"/>
  <c r="BZ20" i="27" a="1"/>
  <c r="BZ20" i="27" s="1"/>
  <c r="CH20" i="27" a="1"/>
  <c r="CH20" i="27" s="1"/>
  <c r="CO20" i="27" a="1"/>
  <c r="CO20" i="27" s="1"/>
  <c r="CB20" i="27" a="1"/>
  <c r="CB20" i="27" s="1"/>
  <c r="CJ20" i="27" a="1"/>
  <c r="CJ20" i="27" s="1"/>
  <c r="CQ20" i="27" a="1"/>
  <c r="CQ20" i="27" s="1"/>
  <c r="CC20" i="27" a="1"/>
  <c r="CC20" i="27" s="1"/>
  <c r="CK20" i="27" a="1"/>
  <c r="CK20" i="27" s="1"/>
  <c r="CR20" i="27" a="1"/>
  <c r="CR20" i="27" s="1"/>
  <c r="CE20" i="27" a="1"/>
  <c r="CE20" i="27" s="1"/>
  <c r="CM20" i="27" a="1"/>
  <c r="CM20" i="27" s="1"/>
  <c r="CT20" i="27" a="1"/>
  <c r="CT20" i="27" s="1"/>
  <c r="CA20" i="27" a="1"/>
  <c r="CA20" i="27" s="1"/>
  <c r="CV20" i="27" a="1"/>
  <c r="CV20" i="27" s="1"/>
  <c r="CG20" i="27" a="1"/>
  <c r="CG20" i="27" s="1"/>
  <c r="CL20" i="27" a="1"/>
  <c r="CL20" i="27" s="1"/>
  <c r="CS20" i="27" a="1"/>
  <c r="CS20" i="27" s="1"/>
  <c r="CD20" i="27" a="1"/>
  <c r="CD20" i="27" s="1"/>
  <c r="CI20" i="27" a="1"/>
  <c r="CI20" i="27" s="1"/>
  <c r="CP20" i="27" a="1"/>
  <c r="CP20" i="27" s="1"/>
  <c r="BY20" i="27" a="1"/>
  <c r="BY20" i="27" s="1"/>
  <c r="CF129" i="27" a="1"/>
  <c r="CF129" i="27" s="1"/>
  <c r="CN129" i="27" a="1"/>
  <c r="CN129" i="27" s="1"/>
  <c r="CV129" i="27" a="1"/>
  <c r="CV129" i="27" s="1"/>
  <c r="CG129" i="27" a="1"/>
  <c r="CG129" i="27" s="1"/>
  <c r="CO129" i="27" a="1"/>
  <c r="CO129" i="27" s="1"/>
  <c r="BZ129" i="27" a="1"/>
  <c r="BZ129" i="27" s="1"/>
  <c r="CH129" i="27" a="1"/>
  <c r="CH129" i="27" s="1"/>
  <c r="CP129" i="27" a="1"/>
  <c r="CP129" i="27" s="1"/>
  <c r="CA129" i="27" a="1"/>
  <c r="CA129" i="27" s="1"/>
  <c r="CI129" i="27" a="1"/>
  <c r="CI129" i="27" s="1"/>
  <c r="CQ129" i="27" a="1"/>
  <c r="CQ129" i="27" s="1"/>
  <c r="CB129" i="27" a="1"/>
  <c r="CB129" i="27" s="1"/>
  <c r="CJ129" i="27" a="1"/>
  <c r="CJ129" i="27" s="1"/>
  <c r="CR129" i="27" a="1"/>
  <c r="CR129" i="27" s="1"/>
  <c r="CC129" i="27" a="1"/>
  <c r="CC129" i="27" s="1"/>
  <c r="CK129" i="27" a="1"/>
  <c r="CK129" i="27" s="1"/>
  <c r="CS129" i="27" a="1"/>
  <c r="CS129" i="27" s="1"/>
  <c r="CE129" i="27" a="1"/>
  <c r="CE129" i="27" s="1"/>
  <c r="CM129" i="27" a="1"/>
  <c r="CM129" i="27" s="1"/>
  <c r="CU129" i="27" a="1"/>
  <c r="CU129" i="27" s="1"/>
  <c r="CD129" i="27" a="1"/>
  <c r="CD129" i="27" s="1"/>
  <c r="CL129" i="27" a="1"/>
  <c r="CL129" i="27" s="1"/>
  <c r="CT129" i="27" a="1"/>
  <c r="CT129" i="27" s="1"/>
  <c r="BY129" i="27" a="1"/>
  <c r="BY129" i="27" s="1"/>
  <c r="CE123" i="27" a="1"/>
  <c r="CE123" i="27" s="1"/>
  <c r="CM123" i="27" a="1"/>
  <c r="CM123" i="27" s="1"/>
  <c r="CU123" i="27" a="1"/>
  <c r="CU123" i="27" s="1"/>
  <c r="CG123" i="27" a="1"/>
  <c r="CG123" i="27" s="1"/>
  <c r="CO123" i="27" a="1"/>
  <c r="CO123" i="27" s="1"/>
  <c r="BZ123" i="27" a="1"/>
  <c r="BZ123" i="27" s="1"/>
  <c r="CH123" i="27" a="1"/>
  <c r="CH123" i="27" s="1"/>
  <c r="CP123" i="27" a="1"/>
  <c r="CP123" i="27" s="1"/>
  <c r="CB123" i="27" a="1"/>
  <c r="CB123" i="27" s="1"/>
  <c r="CJ123" i="27" a="1"/>
  <c r="CJ123" i="27" s="1"/>
  <c r="CR123" i="27" a="1"/>
  <c r="CR123" i="27" s="1"/>
  <c r="CA123" i="27" a="1"/>
  <c r="CA123" i="27" s="1"/>
  <c r="CQ123" i="27" a="1"/>
  <c r="CQ123" i="27" s="1"/>
  <c r="CC123" i="27" a="1"/>
  <c r="CC123" i="27" s="1"/>
  <c r="CS123" i="27" a="1"/>
  <c r="CS123" i="27" s="1"/>
  <c r="CD123" i="27" a="1"/>
  <c r="CD123" i="27" s="1"/>
  <c r="CT123" i="27" a="1"/>
  <c r="CT123" i="27" s="1"/>
  <c r="CF123" i="27" a="1"/>
  <c r="CF123" i="27" s="1"/>
  <c r="CV123" i="27" a="1"/>
  <c r="CV123" i="27" s="1"/>
  <c r="CI123" i="27" a="1"/>
  <c r="CI123" i="27" s="1"/>
  <c r="CK123" i="27" a="1"/>
  <c r="CK123" i="27" s="1"/>
  <c r="CN123" i="27" a="1"/>
  <c r="CN123" i="27" s="1"/>
  <c r="CL123" i="27" a="1"/>
  <c r="CL123" i="27" s="1"/>
  <c r="BY123" i="27" a="1"/>
  <c r="BY123" i="27" s="1"/>
  <c r="CF100" i="27" a="1"/>
  <c r="CF100" i="27" s="1"/>
  <c r="CL100" i="27" a="1"/>
  <c r="CL100" i="27" s="1"/>
  <c r="CR100" i="27" a="1"/>
  <c r="CR100" i="27" s="1"/>
  <c r="BZ100" i="27" a="1"/>
  <c r="BZ100" i="27" s="1"/>
  <c r="CH100" i="27" a="1"/>
  <c r="CH100" i="27" s="1"/>
  <c r="CT100" i="27" a="1"/>
  <c r="CT100" i="27" s="1"/>
  <c r="CA100" i="27" a="1"/>
  <c r="CA100" i="27" s="1"/>
  <c r="CB100" i="27" a="1"/>
  <c r="CB100" i="27" s="1"/>
  <c r="CO100" i="27" a="1"/>
  <c r="CO100" i="27" s="1"/>
  <c r="CV100" i="27" a="1"/>
  <c r="CV100" i="27" s="1"/>
  <c r="CC100" i="27" a="1"/>
  <c r="CC100" i="27" s="1"/>
  <c r="CJ100" i="27" a="1"/>
  <c r="CJ100" i="27" s="1"/>
  <c r="CP100" i="27" a="1"/>
  <c r="CP100" i="27" s="1"/>
  <c r="CE100" i="27" a="1"/>
  <c r="CE100" i="27" s="1"/>
  <c r="CK100" i="27" a="1"/>
  <c r="CK100" i="27" s="1"/>
  <c r="CQ100" i="27" a="1"/>
  <c r="CQ100" i="27" s="1"/>
  <c r="CD100" i="27" a="1"/>
  <c r="CD100" i="27" s="1"/>
  <c r="CU100" i="27" a="1"/>
  <c r="CU100" i="27" s="1"/>
  <c r="CG100" i="27" a="1"/>
  <c r="CG100" i="27" s="1"/>
  <c r="CI100" i="27" a="1"/>
  <c r="CI100" i="27" s="1"/>
  <c r="CM100" i="27" a="1"/>
  <c r="CM100" i="27" s="1"/>
  <c r="CN100" i="27" a="1"/>
  <c r="CN100" i="27" s="1"/>
  <c r="CS100" i="27" a="1"/>
  <c r="CS100" i="27" s="1"/>
  <c r="BY100" i="27" a="1"/>
  <c r="BY100" i="27" s="1"/>
  <c r="CC115" i="27" a="1"/>
  <c r="CC115" i="27" s="1"/>
  <c r="CK115" i="27" a="1"/>
  <c r="CK115" i="27" s="1"/>
  <c r="CS115" i="27" a="1"/>
  <c r="CS115" i="27" s="1"/>
  <c r="CE115" i="27" a="1"/>
  <c r="CE115" i="27" s="1"/>
  <c r="CM115" i="27" a="1"/>
  <c r="CM115" i="27" s="1"/>
  <c r="CU115" i="27" a="1"/>
  <c r="CU115" i="27" s="1"/>
  <c r="CG115" i="27" a="1"/>
  <c r="CG115" i="27" s="1"/>
  <c r="CO115" i="27" a="1"/>
  <c r="CO115" i="27" s="1"/>
  <c r="BZ115" i="27" a="1"/>
  <c r="BZ115" i="27" s="1"/>
  <c r="CH115" i="27" a="1"/>
  <c r="CH115" i="27" s="1"/>
  <c r="CP115" i="27" a="1"/>
  <c r="CP115" i="27" s="1"/>
  <c r="CB115" i="27" a="1"/>
  <c r="CB115" i="27" s="1"/>
  <c r="CJ115" i="27" a="1"/>
  <c r="CJ115" i="27" s="1"/>
  <c r="CR115" i="27" a="1"/>
  <c r="CR115" i="27" s="1"/>
  <c r="CD115" i="27" a="1"/>
  <c r="CD115" i="27" s="1"/>
  <c r="CF115" i="27" a="1"/>
  <c r="CF115" i="27" s="1"/>
  <c r="CI115" i="27" a="1"/>
  <c r="CI115" i="27" s="1"/>
  <c r="CL115" i="27" a="1"/>
  <c r="CL115" i="27" s="1"/>
  <c r="CN115" i="27" a="1"/>
  <c r="CN115" i="27" s="1"/>
  <c r="CQ115" i="27" a="1"/>
  <c r="CQ115" i="27" s="1"/>
  <c r="CA115" i="27" a="1"/>
  <c r="CA115" i="27" s="1"/>
  <c r="CV115" i="27" a="1"/>
  <c r="CV115" i="27" s="1"/>
  <c r="CT115" i="27" a="1"/>
  <c r="CT115" i="27" s="1"/>
  <c r="BY115" i="27" a="1"/>
  <c r="BY115" i="27" s="1"/>
  <c r="CK111" i="27" a="1"/>
  <c r="CK111" i="27" s="1"/>
  <c r="CR111" i="27" a="1"/>
  <c r="CR111" i="27" s="1"/>
  <c r="CA111" i="27" a="1"/>
  <c r="CA111" i="27" s="1"/>
  <c r="CG111" i="27" a="1"/>
  <c r="CG111" i="27" s="1"/>
  <c r="CM111" i="27" a="1"/>
  <c r="CM111" i="27" s="1"/>
  <c r="CT111" i="27" a="1"/>
  <c r="CT111" i="27" s="1"/>
  <c r="CI111" i="27" a="1"/>
  <c r="CI111" i="27" s="1"/>
  <c r="CC111" i="27" a="1"/>
  <c r="CC111" i="27" s="1"/>
  <c r="CO111" i="27" a="1"/>
  <c r="CO111" i="27" s="1"/>
  <c r="CV111" i="27" a="1"/>
  <c r="CV111" i="27" s="1"/>
  <c r="CE111" i="27" a="1"/>
  <c r="CE111" i="27" s="1"/>
  <c r="CQ111" i="27" a="1"/>
  <c r="CQ111" i="27" s="1"/>
  <c r="CN111" i="27" a="1"/>
  <c r="CN111" i="27" s="1"/>
  <c r="BZ111" i="27" a="1"/>
  <c r="BZ111" i="27" s="1"/>
  <c r="CP111" i="27" a="1"/>
  <c r="CP111" i="27" s="1"/>
  <c r="CB111" i="27" a="1"/>
  <c r="CB111" i="27" s="1"/>
  <c r="CS111" i="27" a="1"/>
  <c r="CS111" i="27" s="1"/>
  <c r="CD111" i="27" a="1"/>
  <c r="CD111" i="27" s="1"/>
  <c r="CU111" i="27" a="1"/>
  <c r="CU111" i="27" s="1"/>
  <c r="CF111" i="27" a="1"/>
  <c r="CF111" i="27" s="1"/>
  <c r="CH111" i="27" a="1"/>
  <c r="CH111" i="27" s="1"/>
  <c r="CL111" i="27" a="1"/>
  <c r="CL111" i="27" s="1"/>
  <c r="CJ111" i="27" a="1"/>
  <c r="CJ111" i="27" s="1"/>
  <c r="BY111" i="27" a="1"/>
  <c r="BY111" i="27" s="1"/>
  <c r="CC95" i="27" a="1"/>
  <c r="CC95" i="27" s="1"/>
  <c r="CI95" i="27" a="1"/>
  <c r="CI95" i="27" s="1"/>
  <c r="CN95" i="27" a="1"/>
  <c r="CN95" i="27" s="1"/>
  <c r="CT95" i="27" a="1"/>
  <c r="CT95" i="27" s="1"/>
  <c r="CD95" i="27" a="1"/>
  <c r="CD95" i="27" s="1"/>
  <c r="CJ95" i="27" a="1"/>
  <c r="CJ95" i="27" s="1"/>
  <c r="CO95" i="27" a="1"/>
  <c r="CO95" i="27" s="1"/>
  <c r="CE95" i="27" a="1"/>
  <c r="CE95" i="27" s="1"/>
  <c r="CK95" i="27" a="1"/>
  <c r="CK95" i="27" s="1"/>
  <c r="CP95" i="27" a="1"/>
  <c r="CP95" i="27" s="1"/>
  <c r="CU95" i="27" a="1"/>
  <c r="CU95" i="27" s="1"/>
  <c r="CQ95" i="27" a="1"/>
  <c r="CQ95" i="27" s="1"/>
  <c r="BZ95" i="27" a="1"/>
  <c r="BZ95" i="27" s="1"/>
  <c r="CF95" i="27" a="1"/>
  <c r="CF95" i="27" s="1"/>
  <c r="CL95" i="27" a="1"/>
  <c r="CL95" i="27" s="1"/>
  <c r="CV95" i="27" a="1"/>
  <c r="CV95" i="27" s="1"/>
  <c r="CB95" i="27" a="1"/>
  <c r="CB95" i="27" s="1"/>
  <c r="CH95" i="27" a="1"/>
  <c r="CH95" i="27" s="1"/>
  <c r="CM95" i="27" a="1"/>
  <c r="CM95" i="27" s="1"/>
  <c r="CS95" i="27" a="1"/>
  <c r="CS95" i="27" s="1"/>
  <c r="CR95" i="27" a="1"/>
  <c r="CR95" i="27" s="1"/>
  <c r="CA95" i="27" a="1"/>
  <c r="CA95" i="27" s="1"/>
  <c r="BY95" i="27" a="1"/>
  <c r="BY95" i="27" s="1"/>
  <c r="CG95" i="27" a="1"/>
  <c r="CG95" i="27" s="1"/>
  <c r="CB51" i="27" a="1"/>
  <c r="CB51" i="27" s="1"/>
  <c r="CH51" i="27" a="1"/>
  <c r="CH51" i="27" s="1"/>
  <c r="CN51" i="27" a="1"/>
  <c r="CN51" i="27" s="1"/>
  <c r="CT51" i="27" a="1"/>
  <c r="CT51" i="27" s="1"/>
  <c r="CD51" i="27" a="1"/>
  <c r="CD51" i="27" s="1"/>
  <c r="CI51" i="27" a="1"/>
  <c r="CI51" i="27" s="1"/>
  <c r="CO51" i="27" a="1"/>
  <c r="CO51" i="27" s="1"/>
  <c r="CU51" i="27" a="1"/>
  <c r="CU51" i="27" s="1"/>
  <c r="CK51" i="27" a="1"/>
  <c r="CK51" i="27" s="1"/>
  <c r="CQ51" i="27" a="1"/>
  <c r="CQ51" i="27" s="1"/>
  <c r="CV51" i="27" a="1"/>
  <c r="CV51" i="27" s="1"/>
  <c r="CF51" i="27" a="1"/>
  <c r="CF51" i="27" s="1"/>
  <c r="CL51" i="27" a="1"/>
  <c r="CL51" i="27" s="1"/>
  <c r="CA51" i="27" a="1"/>
  <c r="CA51" i="27" s="1"/>
  <c r="CG51" i="27" a="1"/>
  <c r="CG51" i="27" s="1"/>
  <c r="CM51" i="27" a="1"/>
  <c r="CM51" i="27" s="1"/>
  <c r="CS51" i="27" a="1"/>
  <c r="CS51" i="27" s="1"/>
  <c r="BZ51" i="27" a="1"/>
  <c r="BZ51" i="27" s="1"/>
  <c r="CP51" i="27" a="1"/>
  <c r="CP51" i="27" s="1"/>
  <c r="CC51" i="27" a="1"/>
  <c r="CC51" i="27" s="1"/>
  <c r="CR51" i="27" a="1"/>
  <c r="CR51" i="27" s="1"/>
  <c r="CJ51" i="27" a="1"/>
  <c r="CJ51" i="27" s="1"/>
  <c r="CE51" i="27" a="1"/>
  <c r="CE51" i="27" s="1"/>
  <c r="BY51" i="27" a="1"/>
  <c r="BY51" i="27" s="1"/>
  <c r="CA107" i="27" a="1"/>
  <c r="CA107" i="27" s="1"/>
  <c r="CG107" i="27" a="1"/>
  <c r="CG107" i="27" s="1"/>
  <c r="CM107" i="27" a="1"/>
  <c r="CM107" i="27" s="1"/>
  <c r="CT107" i="27" a="1"/>
  <c r="CT107" i="27" s="1"/>
  <c r="CB107" i="27" a="1"/>
  <c r="CB107" i="27" s="1"/>
  <c r="CI107" i="27" a="1"/>
  <c r="CI107" i="27" s="1"/>
  <c r="CO107" i="27" a="1"/>
  <c r="CO107" i="27" s="1"/>
  <c r="CJ107" i="27" a="1"/>
  <c r="CJ107" i="27" s="1"/>
  <c r="CP107" i="27" a="1"/>
  <c r="CP107" i="27" s="1"/>
  <c r="CD107" i="27" a="1"/>
  <c r="CD107" i="27" s="1"/>
  <c r="CK107" i="27" a="1"/>
  <c r="CK107" i="27" s="1"/>
  <c r="CQ107" i="27" a="1"/>
  <c r="CQ107" i="27" s="1"/>
  <c r="CF107" i="27" a="1"/>
  <c r="CF107" i="27" s="1"/>
  <c r="CS107" i="27" a="1"/>
  <c r="CS107" i="27" s="1"/>
  <c r="CL107" i="27" a="1"/>
  <c r="CL107" i="27" s="1"/>
  <c r="CN107" i="27" a="1"/>
  <c r="CN107" i="27" s="1"/>
  <c r="BZ107" i="27" a="1"/>
  <c r="BZ107" i="27" s="1"/>
  <c r="CR107" i="27" a="1"/>
  <c r="CR107" i="27" s="1"/>
  <c r="CC107" i="27" a="1"/>
  <c r="CC107" i="27" s="1"/>
  <c r="CU107" i="27" a="1"/>
  <c r="CU107" i="27" s="1"/>
  <c r="CH107" i="27" a="1"/>
  <c r="CH107" i="27" s="1"/>
  <c r="CE107" i="27" a="1"/>
  <c r="CE107" i="27" s="1"/>
  <c r="CV107" i="27" a="1"/>
  <c r="CV107" i="27" s="1"/>
  <c r="BY107" i="27" a="1"/>
  <c r="BY107" i="27" s="1"/>
  <c r="CD48" i="27" a="1"/>
  <c r="CD48" i="27" s="1"/>
  <c r="CK48" i="27" a="1"/>
  <c r="CK48" i="27" s="1"/>
  <c r="CQ48" i="27" a="1"/>
  <c r="CQ48" i="27" s="1"/>
  <c r="CA48" i="27" a="1"/>
  <c r="CA48" i="27" s="1"/>
  <c r="CF48" i="27" a="1"/>
  <c r="CF48" i="27" s="1"/>
  <c r="CL48" i="27" a="1"/>
  <c r="CL48" i="27" s="1"/>
  <c r="CR48" i="27" a="1"/>
  <c r="CR48" i="27" s="1"/>
  <c r="CB48" i="27" a="1"/>
  <c r="CB48" i="27" s="1"/>
  <c r="CH48" i="27" a="1"/>
  <c r="CH48" i="27" s="1"/>
  <c r="CI48" i="27" a="1"/>
  <c r="CI48" i="27" s="1"/>
  <c r="CN48" i="27" a="1"/>
  <c r="CN48" i="27" s="1"/>
  <c r="CT48" i="27" a="1"/>
  <c r="CT48" i="27" s="1"/>
  <c r="CP48" i="27" a="1"/>
  <c r="CP48" i="27" s="1"/>
  <c r="CV48" i="27" a="1"/>
  <c r="CV48" i="27" s="1"/>
  <c r="CM48" i="27" a="1"/>
  <c r="CM48" i="27" s="1"/>
  <c r="CE48" i="27" a="1"/>
  <c r="CE48" i="27" s="1"/>
  <c r="CU48" i="27" a="1"/>
  <c r="CU48" i="27" s="1"/>
  <c r="CG48" i="27" a="1"/>
  <c r="CG48" i="27" s="1"/>
  <c r="CC48" i="27" a="1"/>
  <c r="CC48" i="27" s="1"/>
  <c r="CO48" i="27" a="1"/>
  <c r="CO48" i="27" s="1"/>
  <c r="CS48" i="27" a="1"/>
  <c r="CS48" i="27" s="1"/>
  <c r="CJ48" i="27" a="1"/>
  <c r="CJ48" i="27" s="1"/>
  <c r="BZ48" i="27" a="1"/>
  <c r="BZ48" i="27" s="1"/>
  <c r="BY48" i="27" a="1"/>
  <c r="BY48" i="27" s="1"/>
  <c r="CB96" i="27" a="1"/>
  <c r="CB96" i="27" s="1"/>
  <c r="CH96" i="27" a="1"/>
  <c r="CH96" i="27" s="1"/>
  <c r="CV96" i="27" a="1"/>
  <c r="CV96" i="27" s="1"/>
  <c r="CC96" i="27" a="1"/>
  <c r="CC96" i="27" s="1"/>
  <c r="CI96" i="27" a="1"/>
  <c r="CI96" i="27" s="1"/>
  <c r="CO96" i="27" a="1"/>
  <c r="CO96" i="27" s="1"/>
  <c r="CD96" i="27" a="1"/>
  <c r="CD96" i="27" s="1"/>
  <c r="CJ96" i="27" a="1"/>
  <c r="CJ96" i="27" s="1"/>
  <c r="CP96" i="27" a="1"/>
  <c r="CP96" i="27" s="1"/>
  <c r="CK96" i="27" a="1"/>
  <c r="CK96" i="27" s="1"/>
  <c r="CQ96" i="27" a="1"/>
  <c r="CQ96" i="27" s="1"/>
  <c r="CE96" i="27" a="1"/>
  <c r="CE96" i="27" s="1"/>
  <c r="CL96" i="27" a="1"/>
  <c r="CL96" i="27" s="1"/>
  <c r="CR96" i="27" a="1"/>
  <c r="CR96" i="27" s="1"/>
  <c r="CS96" i="27" a="1"/>
  <c r="CS96" i="27" s="1"/>
  <c r="CA96" i="27" a="1"/>
  <c r="CA96" i="27" s="1"/>
  <c r="CG96" i="27" a="1"/>
  <c r="CG96" i="27" s="1"/>
  <c r="CN96" i="27" a="1"/>
  <c r="CN96" i="27" s="1"/>
  <c r="CU96" i="27" a="1"/>
  <c r="CU96" i="27" s="1"/>
  <c r="BZ96" i="27" a="1"/>
  <c r="BZ96" i="27" s="1"/>
  <c r="CF96" i="27" a="1"/>
  <c r="CF96" i="27" s="1"/>
  <c r="CM96" i="27" a="1"/>
  <c r="CM96" i="27" s="1"/>
  <c r="CT96" i="27" a="1"/>
  <c r="CT96" i="27" s="1"/>
  <c r="BY96" i="27" a="1"/>
  <c r="BY96" i="27" s="1"/>
  <c r="CA84" i="27" a="1"/>
  <c r="CA84" i="27" s="1"/>
  <c r="CF84" i="27" a="1"/>
  <c r="CF84" i="27" s="1"/>
  <c r="CL84" i="27" a="1"/>
  <c r="CL84" i="27" s="1"/>
  <c r="CB84" i="27" a="1"/>
  <c r="CB84" i="27" s="1"/>
  <c r="CH84" i="27" a="1"/>
  <c r="CH84" i="27" s="1"/>
  <c r="CN84" i="27" a="1"/>
  <c r="CN84" i="27" s="1"/>
  <c r="CS84" i="27" a="1"/>
  <c r="CS84" i="27" s="1"/>
  <c r="CC84" i="27" a="1"/>
  <c r="CC84" i="27" s="1"/>
  <c r="CI84" i="27" a="1"/>
  <c r="CI84" i="27" s="1"/>
  <c r="CO84" i="27" a="1"/>
  <c r="CO84" i="27" s="1"/>
  <c r="CU84" i="27" a="1"/>
  <c r="CU84" i="27" s="1"/>
  <c r="CD84" i="27" a="1"/>
  <c r="CD84" i="27" s="1"/>
  <c r="CJ84" i="27" a="1"/>
  <c r="CJ84" i="27" s="1"/>
  <c r="CP84" i="27" a="1"/>
  <c r="CP84" i="27" s="1"/>
  <c r="CV84" i="27" a="1"/>
  <c r="CV84" i="27" s="1"/>
  <c r="BZ84" i="27" a="1"/>
  <c r="BZ84" i="27" s="1"/>
  <c r="CK84" i="27" a="1"/>
  <c r="CK84" i="27" s="1"/>
  <c r="CQ84" i="27" a="1"/>
  <c r="CQ84" i="27" s="1"/>
  <c r="CR84" i="27" a="1"/>
  <c r="CR84" i="27" s="1"/>
  <c r="CE84" i="27" a="1"/>
  <c r="CE84" i="27" s="1"/>
  <c r="CT84" i="27" a="1"/>
  <c r="CT84" i="27" s="1"/>
  <c r="CG84" i="27" a="1"/>
  <c r="CG84" i="27" s="1"/>
  <c r="CM84" i="27" a="1"/>
  <c r="CM84" i="27" s="1"/>
  <c r="BY84" i="27" a="1"/>
  <c r="BY84" i="27" s="1"/>
  <c r="CE97" i="27" a="1"/>
  <c r="CE97" i="27" s="1"/>
  <c r="CK97" i="27" a="1"/>
  <c r="CK97" i="27" s="1"/>
  <c r="CP97" i="27" a="1"/>
  <c r="CP97" i="27" s="1"/>
  <c r="BZ97" i="27" a="1"/>
  <c r="BZ97" i="27" s="1"/>
  <c r="CL97" i="27" a="1"/>
  <c r="CL97" i="27" s="1"/>
  <c r="CQ97" i="27" a="1"/>
  <c r="CQ97" i="27" s="1"/>
  <c r="CA97" i="27" a="1"/>
  <c r="CA97" i="27" s="1"/>
  <c r="CF97" i="27" a="1"/>
  <c r="CF97" i="27" s="1"/>
  <c r="CM97" i="27" a="1"/>
  <c r="CM97" i="27" s="1"/>
  <c r="CR97" i="27" a="1"/>
  <c r="CR97" i="27" s="1"/>
  <c r="CB97" i="27" a="1"/>
  <c r="CB97" i="27" s="1"/>
  <c r="CG97" i="27" a="1"/>
  <c r="CG97" i="27" s="1"/>
  <c r="CS97" i="27" a="1"/>
  <c r="CS97" i="27" s="1"/>
  <c r="CH97" i="27" a="1"/>
  <c r="CH97" i="27" s="1"/>
  <c r="CN97" i="27" a="1"/>
  <c r="CN97" i="27" s="1"/>
  <c r="CT97" i="27" a="1"/>
  <c r="CT97" i="27" s="1"/>
  <c r="CC97" i="27" a="1"/>
  <c r="CC97" i="27" s="1"/>
  <c r="CI97" i="27" a="1"/>
  <c r="CI97" i="27" s="1"/>
  <c r="CU97" i="27" a="1"/>
  <c r="CU97" i="27" s="1"/>
  <c r="CD97" i="27" a="1"/>
  <c r="CD97" i="27" s="1"/>
  <c r="CV97" i="27" a="1"/>
  <c r="CV97" i="27" s="1"/>
  <c r="CO97" i="27" a="1"/>
  <c r="CO97" i="27" s="1"/>
  <c r="CJ97" i="27" a="1"/>
  <c r="CJ97" i="27" s="1"/>
  <c r="BY97" i="27" a="1"/>
  <c r="BY97" i="27" s="1"/>
  <c r="CE27" i="27" a="1"/>
  <c r="CE27" i="27" s="1"/>
  <c r="CL27" i="27" a="1"/>
  <c r="CL27" i="27" s="1"/>
  <c r="CR27" i="27" a="1"/>
  <c r="CR27" i="27" s="1"/>
  <c r="BZ27" i="27" a="1"/>
  <c r="BZ27" i="27" s="1"/>
  <c r="CT27" i="27" a="1"/>
  <c r="CT27" i="27" s="1"/>
  <c r="CH27" i="27" a="1"/>
  <c r="CH27" i="27" s="1"/>
  <c r="CO27" i="27" a="1"/>
  <c r="CO27" i="27" s="1"/>
  <c r="CB27" i="27" a="1"/>
  <c r="CB27" i="27" s="1"/>
  <c r="CI27" i="27" a="1"/>
  <c r="CI27" i="27" s="1"/>
  <c r="CP27" i="27" a="1"/>
  <c r="CP27" i="27" s="1"/>
  <c r="CV27" i="27" a="1"/>
  <c r="CV27" i="27" s="1"/>
  <c r="CD27" i="27" a="1"/>
  <c r="CD27" i="27" s="1"/>
  <c r="CK27" i="27" a="1"/>
  <c r="CK27" i="27" s="1"/>
  <c r="CM27" i="27" a="1"/>
  <c r="CM27" i="27" s="1"/>
  <c r="CQ27" i="27" a="1"/>
  <c r="CQ27" i="27" s="1"/>
  <c r="CC27" i="27" a="1"/>
  <c r="CC27" i="27" s="1"/>
  <c r="CU27" i="27" a="1"/>
  <c r="CU27" i="27" s="1"/>
  <c r="CF27" i="27" a="1"/>
  <c r="CF27" i="27" s="1"/>
  <c r="CJ27" i="27" a="1"/>
  <c r="CJ27" i="27" s="1"/>
  <c r="CA27" i="27" a="1"/>
  <c r="CA27" i="27" s="1"/>
  <c r="CN27" i="27" a="1"/>
  <c r="CN27" i="27" s="1"/>
  <c r="CG27" i="27" a="1"/>
  <c r="CG27" i="27" s="1"/>
  <c r="CS27" i="27" a="1"/>
  <c r="CS27" i="27" s="1"/>
  <c r="BY27" i="27" a="1"/>
  <c r="BY27" i="27" s="1"/>
  <c r="CB16" i="27" a="1"/>
  <c r="CB16" i="27" s="1"/>
  <c r="CJ16" i="27" a="1"/>
  <c r="CJ16" i="27" s="1"/>
  <c r="CR16" i="27" a="1"/>
  <c r="CR16" i="27" s="1"/>
  <c r="CD16" i="27" a="1"/>
  <c r="CD16" i="27" s="1"/>
  <c r="CL16" i="27" a="1"/>
  <c r="CL16" i="27" s="1"/>
  <c r="CT16" i="27" a="1"/>
  <c r="CT16" i="27" s="1"/>
  <c r="CF16" i="27" a="1"/>
  <c r="CF16" i="27" s="1"/>
  <c r="CN16" i="27" a="1"/>
  <c r="CN16" i="27" s="1"/>
  <c r="CV16" i="27" a="1"/>
  <c r="CV16" i="27" s="1"/>
  <c r="CG16" i="27" a="1"/>
  <c r="CG16" i="27" s="1"/>
  <c r="CO16" i="27" a="1"/>
  <c r="CO16" i="27" s="1"/>
  <c r="CA16" i="27" a="1"/>
  <c r="CA16" i="27" s="1"/>
  <c r="CI16" i="27" a="1"/>
  <c r="CI16" i="27" s="1"/>
  <c r="CQ16" i="27" a="1"/>
  <c r="CQ16" i="27" s="1"/>
  <c r="CH16" i="27" a="1"/>
  <c r="CH16" i="27" s="1"/>
  <c r="CM16" i="27" a="1"/>
  <c r="CM16" i="27" s="1"/>
  <c r="CS16" i="27" a="1"/>
  <c r="CS16" i="27" s="1"/>
  <c r="BZ16" i="27" a="1"/>
  <c r="BZ16" i="27" s="1"/>
  <c r="CU16" i="27" a="1"/>
  <c r="CU16" i="27" s="1"/>
  <c r="CE16" i="27" a="1"/>
  <c r="CE16" i="27" s="1"/>
  <c r="CK16" i="27" a="1"/>
  <c r="CK16" i="27" s="1"/>
  <c r="CC16" i="27" a="1"/>
  <c r="CC16" i="27" s="1"/>
  <c r="CP16" i="27" a="1"/>
  <c r="CP16" i="27" s="1"/>
  <c r="BY16" i="27" a="1"/>
  <c r="BY16" i="27" s="1"/>
  <c r="CB88" i="27" a="1"/>
  <c r="CB88" i="27" s="1"/>
  <c r="CG88" i="27" a="1"/>
  <c r="CG88" i="27" s="1"/>
  <c r="CM88" i="27" a="1"/>
  <c r="CM88" i="27" s="1"/>
  <c r="CC88" i="27" a="1"/>
  <c r="CC88" i="27" s="1"/>
  <c r="CH88" i="27" a="1"/>
  <c r="CH88" i="27" s="1"/>
  <c r="CS88" i="27" a="1"/>
  <c r="CS88" i="27" s="1"/>
  <c r="CD88" i="27" a="1"/>
  <c r="CD88" i="27" s="1"/>
  <c r="CI88" i="27" a="1"/>
  <c r="CI88" i="27" s="1"/>
  <c r="CN88" i="27" a="1"/>
  <c r="CN88" i="27" s="1"/>
  <c r="CT88" i="27" a="1"/>
  <c r="CT88" i="27" s="1"/>
  <c r="CE88" i="27" a="1"/>
  <c r="CE88" i="27" s="1"/>
  <c r="CJ88" i="27" a="1"/>
  <c r="CJ88" i="27" s="1"/>
  <c r="CO88" i="27" a="1"/>
  <c r="CO88" i="27" s="1"/>
  <c r="CU88" i="27" a="1"/>
  <c r="CU88" i="27" s="1"/>
  <c r="BZ88" i="27" a="1"/>
  <c r="BZ88" i="27" s="1"/>
  <c r="CK88" i="27" a="1"/>
  <c r="CK88" i="27" s="1"/>
  <c r="CP88" i="27" a="1"/>
  <c r="CP88" i="27" s="1"/>
  <c r="CA88" i="27" a="1"/>
  <c r="CA88" i="27" s="1"/>
  <c r="CR88" i="27" a="1"/>
  <c r="CR88" i="27" s="1"/>
  <c r="CF88" i="27" a="1"/>
  <c r="CF88" i="27" s="1"/>
  <c r="CL88" i="27" a="1"/>
  <c r="CL88" i="27" s="1"/>
  <c r="CQ88" i="27" a="1"/>
  <c r="CQ88" i="27" s="1"/>
  <c r="CV88" i="27" a="1"/>
  <c r="CV88" i="27" s="1"/>
  <c r="BY88" i="27" a="1"/>
  <c r="BY88" i="27" s="1"/>
  <c r="CI135" i="27" a="1"/>
  <c r="CI135" i="27" s="1"/>
  <c r="CN135" i="27" a="1"/>
  <c r="CN135" i="27" s="1"/>
  <c r="CC135" i="27" a="1"/>
  <c r="CC135" i="27" s="1"/>
  <c r="CO135" i="27" a="1"/>
  <c r="CO135" i="27" s="1"/>
  <c r="CT135" i="27" a="1"/>
  <c r="CT135" i="27" s="1"/>
  <c r="CJ135" i="27" a="1"/>
  <c r="CJ135" i="27" s="1"/>
  <c r="CP135" i="27" a="1"/>
  <c r="CP135" i="27" s="1"/>
  <c r="CU135" i="27" a="1"/>
  <c r="CU135" i="27" s="1"/>
  <c r="CD135" i="27" a="1"/>
  <c r="CD135" i="27" s="1"/>
  <c r="CQ135" i="27" a="1"/>
  <c r="CQ135" i="27" s="1"/>
  <c r="CV135" i="27" a="1"/>
  <c r="CV135" i="27" s="1"/>
  <c r="BZ135" i="27" a="1"/>
  <c r="BZ135" i="27" s="1"/>
  <c r="CE135" i="27" a="1"/>
  <c r="CE135" i="27" s="1"/>
  <c r="CK135" i="27" a="1"/>
  <c r="CK135" i="27" s="1"/>
  <c r="CA135" i="27" a="1"/>
  <c r="CA135" i="27" s="1"/>
  <c r="CF135" i="27" a="1"/>
  <c r="CF135" i="27" s="1"/>
  <c r="CR135" i="27" a="1"/>
  <c r="CR135" i="27" s="1"/>
  <c r="CB135" i="27" a="1"/>
  <c r="CB135" i="27" s="1"/>
  <c r="CH135" i="27" a="1"/>
  <c r="CH135" i="27" s="1"/>
  <c r="CM135" i="27" a="1"/>
  <c r="CM135" i="27" s="1"/>
  <c r="CS135" i="27" a="1"/>
  <c r="CS135" i="27" s="1"/>
  <c r="CG135" i="27" a="1"/>
  <c r="CG135" i="27" s="1"/>
  <c r="CL135" i="27" a="1"/>
  <c r="CL135" i="27" s="1"/>
  <c r="BY135" i="27" a="1"/>
  <c r="BY135" i="27" s="1"/>
  <c r="CK83" i="27" a="1"/>
  <c r="CK83" i="27" s="1"/>
  <c r="CA83" i="27" a="1"/>
  <c r="CA83" i="27" s="1"/>
  <c r="CG83" i="27" a="1"/>
  <c r="CG83" i="27" s="1"/>
  <c r="CM83" i="27" a="1"/>
  <c r="CM83" i="27" s="1"/>
  <c r="CS83" i="27" a="1"/>
  <c r="CS83" i="27" s="1"/>
  <c r="CB83" i="27" a="1"/>
  <c r="CB83" i="27" s="1"/>
  <c r="CH83" i="27" a="1"/>
  <c r="CH83" i="27" s="1"/>
  <c r="CO83" i="27" a="1"/>
  <c r="CO83" i="27" s="1"/>
  <c r="CT83" i="27" a="1"/>
  <c r="CT83" i="27" s="1"/>
  <c r="CC83" i="27" a="1"/>
  <c r="CC83" i="27" s="1"/>
  <c r="CP83" i="27" a="1"/>
  <c r="CP83" i="27" s="1"/>
  <c r="CU83" i="27" a="1"/>
  <c r="CU83" i="27" s="1"/>
  <c r="CE83" i="27" a="1"/>
  <c r="CE83" i="27" s="1"/>
  <c r="CJ83" i="27" a="1"/>
  <c r="CJ83" i="27" s="1"/>
  <c r="CQ83" i="27" a="1"/>
  <c r="CQ83" i="27" s="1"/>
  <c r="CF83" i="27" a="1"/>
  <c r="CF83" i="27" s="1"/>
  <c r="CV83" i="27" a="1"/>
  <c r="CV83" i="27" s="1"/>
  <c r="CI83" i="27" a="1"/>
  <c r="CI83" i="27" s="1"/>
  <c r="CL83" i="27" a="1"/>
  <c r="CL83" i="27" s="1"/>
  <c r="CN83" i="27" a="1"/>
  <c r="CN83" i="27" s="1"/>
  <c r="BZ83" i="27" a="1"/>
  <c r="BZ83" i="27" s="1"/>
  <c r="CD83" i="27" a="1"/>
  <c r="CD83" i="27" s="1"/>
  <c r="CR83" i="27" a="1"/>
  <c r="CR83" i="27" s="1"/>
  <c r="BY83" i="27" a="1"/>
  <c r="BY83" i="27" s="1"/>
  <c r="CE110" i="27" a="1"/>
  <c r="CE110" i="27" s="1"/>
  <c r="CQ110" i="27" a="1"/>
  <c r="CQ110" i="27" s="1"/>
  <c r="BZ110" i="27" a="1"/>
  <c r="BZ110" i="27" s="1"/>
  <c r="CG110" i="27" a="1"/>
  <c r="CG110" i="27" s="1"/>
  <c r="CL110" i="27" a="1"/>
  <c r="CL110" i="27" s="1"/>
  <c r="CB110" i="27" a="1"/>
  <c r="CB110" i="27" s="1"/>
  <c r="CH110" i="27" a="1"/>
  <c r="CH110" i="27" s="1"/>
  <c r="CN110" i="27" a="1"/>
  <c r="CN110" i="27" s="1"/>
  <c r="CC110" i="27" a="1"/>
  <c r="CC110" i="27" s="1"/>
  <c r="CO110" i="27" a="1"/>
  <c r="CO110" i="27" s="1"/>
  <c r="CT110" i="27" a="1"/>
  <c r="CT110" i="27" s="1"/>
  <c r="CJ110" i="27" a="1"/>
  <c r="CJ110" i="27" s="1"/>
  <c r="CV110" i="27" a="1"/>
  <c r="CV110" i="27" s="1"/>
  <c r="CF110" i="27" a="1"/>
  <c r="CF110" i="27" s="1"/>
  <c r="CU110" i="27" a="1"/>
  <c r="CU110" i="27" s="1"/>
  <c r="CI110" i="27" a="1"/>
  <c r="CI110" i="27" s="1"/>
  <c r="CK110" i="27" a="1"/>
  <c r="CK110" i="27" s="1"/>
  <c r="CM110" i="27" a="1"/>
  <c r="CM110" i="27" s="1"/>
  <c r="CP110" i="27" a="1"/>
  <c r="CP110" i="27" s="1"/>
  <c r="CD110" i="27" a="1"/>
  <c r="CD110" i="27" s="1"/>
  <c r="CS110" i="27" a="1"/>
  <c r="CS110" i="27" s="1"/>
  <c r="CR110" i="27" a="1"/>
  <c r="CR110" i="27" s="1"/>
  <c r="CA110" i="27" a="1"/>
  <c r="CA110" i="27" s="1"/>
  <c r="BY110" i="27" a="1"/>
  <c r="BY110" i="27" s="1"/>
  <c r="CE19" i="27" a="1"/>
  <c r="CE19" i="27" s="1"/>
  <c r="CM19" i="27" a="1"/>
  <c r="CM19" i="27" s="1"/>
  <c r="CU19" i="27" a="1"/>
  <c r="CU19" i="27" s="1"/>
  <c r="CG19" i="27" a="1"/>
  <c r="CG19" i="27" s="1"/>
  <c r="CO19" i="27" a="1"/>
  <c r="CO19" i="27" s="1"/>
  <c r="CA19" i="27" a="1"/>
  <c r="CA19" i="27" s="1"/>
  <c r="CI19" i="27" a="1"/>
  <c r="CI19" i="27" s="1"/>
  <c r="CQ19" i="27" a="1"/>
  <c r="CQ19" i="27" s="1"/>
  <c r="CB19" i="27" a="1"/>
  <c r="CB19" i="27" s="1"/>
  <c r="CJ19" i="27" a="1"/>
  <c r="CJ19" i="27" s="1"/>
  <c r="CR19" i="27" a="1"/>
  <c r="CR19" i="27" s="1"/>
  <c r="CD19" i="27" a="1"/>
  <c r="CD19" i="27" s="1"/>
  <c r="CL19" i="27" a="1"/>
  <c r="CL19" i="27" s="1"/>
  <c r="CT19" i="27" a="1"/>
  <c r="CT19" i="27" s="1"/>
  <c r="CC19" i="27" a="1"/>
  <c r="CC19" i="27" s="1"/>
  <c r="CH19" i="27" a="1"/>
  <c r="CH19" i="27" s="1"/>
  <c r="CN19" i="27" a="1"/>
  <c r="CN19" i="27" s="1"/>
  <c r="CP19" i="27" a="1"/>
  <c r="CP19" i="27" s="1"/>
  <c r="BZ19" i="27" a="1"/>
  <c r="BZ19" i="27" s="1"/>
  <c r="CV19" i="27" a="1"/>
  <c r="CV19" i="27" s="1"/>
  <c r="CK19" i="27" a="1"/>
  <c r="CK19" i="27" s="1"/>
  <c r="CS19" i="27" a="1"/>
  <c r="CS19" i="27" s="1"/>
  <c r="CF19" i="27" a="1"/>
  <c r="CF19" i="27" s="1"/>
  <c r="BY19" i="27" a="1"/>
  <c r="BY19" i="27" s="1"/>
  <c r="CA104" i="27" a="1"/>
  <c r="CA104" i="27" s="1"/>
  <c r="CG104" i="27" a="1"/>
  <c r="CG104" i="27" s="1"/>
  <c r="CN104" i="27" a="1"/>
  <c r="CN104" i="27" s="1"/>
  <c r="CT104" i="27" a="1"/>
  <c r="CT104" i="27" s="1"/>
  <c r="CC104" i="27" a="1"/>
  <c r="CC104" i="27" s="1"/>
  <c r="CO104" i="27" a="1"/>
  <c r="CO104" i="27" s="1"/>
  <c r="CU104" i="27" a="1"/>
  <c r="CU104" i="27" s="1"/>
  <c r="CE104" i="27" a="1"/>
  <c r="CE104" i="27" s="1"/>
  <c r="CJ104" i="27" a="1"/>
  <c r="CJ104" i="27" s="1"/>
  <c r="CQ104" i="27" a="1"/>
  <c r="CQ104" i="27" s="1"/>
  <c r="CK104" i="27" a="1"/>
  <c r="CK104" i="27" s="1"/>
  <c r="BZ104" i="27" a="1"/>
  <c r="BZ104" i="27" s="1"/>
  <c r="CM104" i="27" a="1"/>
  <c r="CM104" i="27" s="1"/>
  <c r="CS104" i="27" a="1"/>
  <c r="CS104" i="27" s="1"/>
  <c r="CL104" i="27" a="1"/>
  <c r="CL104" i="27" s="1"/>
  <c r="CP104" i="27" a="1"/>
  <c r="CP104" i="27" s="1"/>
  <c r="CB104" i="27" a="1"/>
  <c r="CB104" i="27" s="1"/>
  <c r="CR104" i="27" a="1"/>
  <c r="CR104" i="27" s="1"/>
  <c r="CD104" i="27" a="1"/>
  <c r="CD104" i="27" s="1"/>
  <c r="CF104" i="27" a="1"/>
  <c r="CF104" i="27" s="1"/>
  <c r="CV104" i="27" a="1"/>
  <c r="CV104" i="27" s="1"/>
  <c r="CI104" i="27" a="1"/>
  <c r="CI104" i="27" s="1"/>
  <c r="CH104" i="27" a="1"/>
  <c r="CH104" i="27" s="1"/>
  <c r="BY104" i="27" a="1"/>
  <c r="BY104" i="27" s="1"/>
  <c r="CA72" i="27" a="1"/>
  <c r="CA72" i="27" s="1"/>
  <c r="CG72" i="27" a="1"/>
  <c r="CG72" i="27" s="1"/>
  <c r="CT72" i="27" a="1"/>
  <c r="CT72" i="27" s="1"/>
  <c r="CC72" i="27" a="1"/>
  <c r="CC72" i="27" s="1"/>
  <c r="CI72" i="27" a="1"/>
  <c r="CI72" i="27" s="1"/>
  <c r="CK72" i="27" a="1"/>
  <c r="CK72" i="27" s="1"/>
  <c r="CP72" i="27" a="1"/>
  <c r="CP72" i="27" s="1"/>
  <c r="CE72" i="27" a="1"/>
  <c r="CE72" i="27" s="1"/>
  <c r="CL72" i="27" a="1"/>
  <c r="CL72" i="27" s="1"/>
  <c r="CQ72" i="27" a="1"/>
  <c r="CQ72" i="27" s="1"/>
  <c r="BZ72" i="27" a="1"/>
  <c r="BZ72" i="27" s="1"/>
  <c r="CF72" i="27" a="1"/>
  <c r="CF72" i="27" s="1"/>
  <c r="CM72" i="27" a="1"/>
  <c r="CM72" i="27" s="1"/>
  <c r="CS72" i="27" a="1"/>
  <c r="CS72" i="27" s="1"/>
  <c r="CO72" i="27" a="1"/>
  <c r="CO72" i="27" s="1"/>
  <c r="CD72" i="27" a="1"/>
  <c r="CD72" i="27" s="1"/>
  <c r="CU72" i="27" a="1"/>
  <c r="CU72" i="27" s="1"/>
  <c r="CH72" i="27" a="1"/>
  <c r="CH72" i="27" s="1"/>
  <c r="CJ72" i="27" a="1"/>
  <c r="CJ72" i="27" s="1"/>
  <c r="CN72" i="27" a="1"/>
  <c r="CN72" i="27" s="1"/>
  <c r="CR72" i="27" a="1"/>
  <c r="CR72" i="27" s="1"/>
  <c r="CV72" i="27" a="1"/>
  <c r="CV72" i="27" s="1"/>
  <c r="CB72" i="27" a="1"/>
  <c r="CB72" i="27" s="1"/>
  <c r="BY72" i="27" a="1"/>
  <c r="BY72" i="27" s="1"/>
  <c r="CE57" i="27" a="1"/>
  <c r="CE57" i="27" s="1"/>
  <c r="CK57" i="27" a="1"/>
  <c r="CK57" i="27" s="1"/>
  <c r="CQ57" i="27" a="1"/>
  <c r="CQ57" i="27" s="1"/>
  <c r="CA57" i="27" a="1"/>
  <c r="CA57" i="27" s="1"/>
  <c r="CG57" i="27" a="1"/>
  <c r="CG57" i="27" s="1"/>
  <c r="CL57" i="27" a="1"/>
  <c r="CL57" i="27" s="1"/>
  <c r="CS57" i="27" a="1"/>
  <c r="CS57" i="27" s="1"/>
  <c r="CH57" i="27" a="1"/>
  <c r="CH57" i="27" s="1"/>
  <c r="CN57" i="27" a="1"/>
  <c r="CN57" i="27" s="1"/>
  <c r="CT57" i="27" a="1"/>
  <c r="CT57" i="27" s="1"/>
  <c r="CC57" i="27" a="1"/>
  <c r="CC57" i="27" s="1"/>
  <c r="CI57" i="27" a="1"/>
  <c r="CI57" i="27" s="1"/>
  <c r="CO57" i="27" a="1"/>
  <c r="CO57" i="27" s="1"/>
  <c r="CV57" i="27" a="1"/>
  <c r="CV57" i="27" s="1"/>
  <c r="CF57" i="27" a="1"/>
  <c r="CF57" i="27" s="1"/>
  <c r="CU57" i="27" a="1"/>
  <c r="CU57" i="27" s="1"/>
  <c r="CJ57" i="27" a="1"/>
  <c r="CJ57" i="27" s="1"/>
  <c r="CM57" i="27" a="1"/>
  <c r="CM57" i="27" s="1"/>
  <c r="BZ57" i="27" a="1"/>
  <c r="BZ57" i="27" s="1"/>
  <c r="CP57" i="27" a="1"/>
  <c r="CP57" i="27" s="1"/>
  <c r="CD57" i="27" a="1"/>
  <c r="CD57" i="27" s="1"/>
  <c r="CB57" i="27" a="1"/>
  <c r="CB57" i="27" s="1"/>
  <c r="CR57" i="27" a="1"/>
  <c r="CR57" i="27" s="1"/>
  <c r="BY57" i="27" a="1"/>
  <c r="BY57" i="27" s="1"/>
  <c r="CA55" i="27" a="1"/>
  <c r="CA55" i="27" s="1"/>
  <c r="CG55" i="27" a="1"/>
  <c r="CG55" i="27" s="1"/>
  <c r="CL55" i="27" a="1"/>
  <c r="CL55" i="27" s="1"/>
  <c r="CB55" i="27" a="1"/>
  <c r="CB55" i="27" s="1"/>
  <c r="CM55" i="27" a="1"/>
  <c r="CM55" i="27" s="1"/>
  <c r="CC55" i="27" a="1"/>
  <c r="CC55" i="27" s="1"/>
  <c r="CO55" i="27" a="1"/>
  <c r="CO55" i="27" s="1"/>
  <c r="CT55" i="27" a="1"/>
  <c r="CT55" i="27" s="1"/>
  <c r="CD55" i="27" a="1"/>
  <c r="CD55" i="27" s="1"/>
  <c r="CJ55" i="27" a="1"/>
  <c r="CJ55" i="27" s="1"/>
  <c r="CP55" i="27" a="1"/>
  <c r="CP55" i="27" s="1"/>
  <c r="CU55" i="27" a="1"/>
  <c r="CU55" i="27" s="1"/>
  <c r="CF55" i="27" a="1"/>
  <c r="CF55" i="27" s="1"/>
  <c r="CK55" i="27" a="1"/>
  <c r="CK55" i="27" s="1"/>
  <c r="CQ55" i="27" a="1"/>
  <c r="CQ55" i="27" s="1"/>
  <c r="CV55" i="27" a="1"/>
  <c r="CV55" i="27" s="1"/>
  <c r="CH55" i="27" a="1"/>
  <c r="CH55" i="27" s="1"/>
  <c r="BZ55" i="27" a="1"/>
  <c r="BZ55" i="27" s="1"/>
  <c r="CN55" i="27" a="1"/>
  <c r="CN55" i="27" s="1"/>
  <c r="CE55" i="27" a="1"/>
  <c r="CE55" i="27" s="1"/>
  <c r="CS55" i="27" a="1"/>
  <c r="CS55" i="27" s="1"/>
  <c r="CI55" i="27" a="1"/>
  <c r="CI55" i="27" s="1"/>
  <c r="CR55" i="27" a="1"/>
  <c r="CR55" i="27" s="1"/>
  <c r="BY55" i="27" a="1"/>
  <c r="BY55" i="27" s="1"/>
  <c r="CB60" i="27" a="1"/>
  <c r="CB60" i="27" s="1"/>
  <c r="CI60" i="27" a="1"/>
  <c r="CI60" i="27" s="1"/>
  <c r="CO60" i="27" a="1"/>
  <c r="CO60" i="27" s="1"/>
  <c r="CU60" i="27" a="1"/>
  <c r="CU60" i="27" s="1"/>
  <c r="CC60" i="27" a="1"/>
  <c r="CC60" i="27" s="1"/>
  <c r="CJ60" i="27" a="1"/>
  <c r="CJ60" i="27" s="1"/>
  <c r="BZ60" i="27" a="1"/>
  <c r="BZ60" i="27" s="1"/>
  <c r="CE60" i="27" a="1"/>
  <c r="CE60" i="27" s="1"/>
  <c r="CK60" i="27" a="1"/>
  <c r="CK60" i="27" s="1"/>
  <c r="CR60" i="27" a="1"/>
  <c r="CR60" i="27" s="1"/>
  <c r="CF60" i="27" a="1"/>
  <c r="CF60" i="27" s="1"/>
  <c r="CL60" i="27" a="1"/>
  <c r="CL60" i="27" s="1"/>
  <c r="CH60" i="27" a="1"/>
  <c r="CH60" i="27" s="1"/>
  <c r="CN60" i="27" a="1"/>
  <c r="CN60" i="27" s="1"/>
  <c r="CT60" i="27" a="1"/>
  <c r="CT60" i="27" s="1"/>
  <c r="CM60" i="27" a="1"/>
  <c r="CM60" i="27" s="1"/>
  <c r="CA60" i="27" a="1"/>
  <c r="CA60" i="27" s="1"/>
  <c r="CQ60" i="27" a="1"/>
  <c r="CQ60" i="27" s="1"/>
  <c r="CS60" i="27" a="1"/>
  <c r="CS60" i="27" s="1"/>
  <c r="CG60" i="27" a="1"/>
  <c r="CG60" i="27" s="1"/>
  <c r="CV60" i="27" a="1"/>
  <c r="CV60" i="27" s="1"/>
  <c r="CD60" i="27" a="1"/>
  <c r="CD60" i="27" s="1"/>
  <c r="CP60" i="27" a="1"/>
  <c r="CP60" i="27" s="1"/>
  <c r="BY60" i="27" a="1"/>
  <c r="BY60" i="27" s="1"/>
  <c r="CC99" i="27" a="1"/>
  <c r="CC99" i="27" s="1"/>
  <c r="CJ99" i="27" a="1"/>
  <c r="CJ99" i="27" s="1"/>
  <c r="CQ99" i="27" a="1"/>
  <c r="CQ99" i="27" s="1"/>
  <c r="CV99" i="27" a="1"/>
  <c r="CV99" i="27" s="1"/>
  <c r="CD99" i="27" a="1"/>
  <c r="CD99" i="27" s="1"/>
  <c r="CK99" i="27" a="1"/>
  <c r="CK99" i="27" s="1"/>
  <c r="CE99" i="27" a="1"/>
  <c r="CE99" i="27" s="1"/>
  <c r="CL99" i="27" a="1"/>
  <c r="CL99" i="27" s="1"/>
  <c r="CR99" i="27" a="1"/>
  <c r="CR99" i="27" s="1"/>
  <c r="CF99" i="27" a="1"/>
  <c r="CF99" i="27" s="1"/>
  <c r="CS99" i="27" a="1"/>
  <c r="CS99" i="27" s="1"/>
  <c r="BZ99" i="27" a="1"/>
  <c r="BZ99" i="27" s="1"/>
  <c r="CG99" i="27" a="1"/>
  <c r="CG99" i="27" s="1"/>
  <c r="CM99" i="27" a="1"/>
  <c r="CM99" i="27" s="1"/>
  <c r="CH99" i="27" a="1"/>
  <c r="CH99" i="27" s="1"/>
  <c r="CN99" i="27" a="1"/>
  <c r="CN99" i="27" s="1"/>
  <c r="CT99" i="27" a="1"/>
  <c r="CT99" i="27" s="1"/>
  <c r="CB99" i="27" a="1"/>
  <c r="CB99" i="27" s="1"/>
  <c r="CP99" i="27" a="1"/>
  <c r="CP99" i="27" s="1"/>
  <c r="CU99" i="27" a="1"/>
  <c r="CU99" i="27" s="1"/>
  <c r="CA99" i="27" a="1"/>
  <c r="CA99" i="27" s="1"/>
  <c r="CI99" i="27" a="1"/>
  <c r="CI99" i="27" s="1"/>
  <c r="CO99" i="27" a="1"/>
  <c r="CO99" i="27" s="1"/>
  <c r="BY99" i="27" a="1"/>
  <c r="BY99" i="27" s="1"/>
  <c r="CE49" i="27" a="1"/>
  <c r="CE49" i="27" s="1"/>
  <c r="CK49" i="27" a="1"/>
  <c r="CK49" i="27" s="1"/>
  <c r="CQ49" i="27" a="1"/>
  <c r="CQ49" i="27" s="1"/>
  <c r="CA49" i="27" a="1"/>
  <c r="CA49" i="27" s="1"/>
  <c r="CG49" i="27" a="1"/>
  <c r="CG49" i="27" s="1"/>
  <c r="CL49" i="27" a="1"/>
  <c r="CL49" i="27" s="1"/>
  <c r="CS49" i="27" a="1"/>
  <c r="CS49" i="27" s="1"/>
  <c r="CM49" i="27" a="1"/>
  <c r="CM49" i="27" s="1"/>
  <c r="CT49" i="27" a="1"/>
  <c r="CT49" i="27" s="1"/>
  <c r="CC49" i="27" a="1"/>
  <c r="CC49" i="27" s="1"/>
  <c r="CI49" i="27" a="1"/>
  <c r="CI49" i="27" s="1"/>
  <c r="CN49" i="27" a="1"/>
  <c r="CN49" i="27" s="1"/>
  <c r="CD49" i="27" a="1"/>
  <c r="CD49" i="27" s="1"/>
  <c r="CP49" i="27" a="1"/>
  <c r="CP49" i="27" s="1"/>
  <c r="CV49" i="27" a="1"/>
  <c r="CV49" i="27" s="1"/>
  <c r="CF49" i="27" a="1"/>
  <c r="CF49" i="27" s="1"/>
  <c r="CU49" i="27" a="1"/>
  <c r="CU49" i="27" s="1"/>
  <c r="CJ49" i="27" a="1"/>
  <c r="CJ49" i="27" s="1"/>
  <c r="BZ49" i="27" a="1"/>
  <c r="BZ49" i="27" s="1"/>
  <c r="CO49" i="27" a="1"/>
  <c r="CO49" i="27" s="1"/>
  <c r="CH49" i="27" a="1"/>
  <c r="CH49" i="27" s="1"/>
  <c r="CB49" i="27" a="1"/>
  <c r="CB49" i="27" s="1"/>
  <c r="CR49" i="27" a="1"/>
  <c r="CR49" i="27" s="1"/>
  <c r="BY49" i="27" a="1"/>
  <c r="BY49" i="27" s="1"/>
  <c r="CD10" i="27" a="1"/>
  <c r="CD10" i="27" s="1"/>
  <c r="CL10" i="27" a="1"/>
  <c r="CL10" i="27" s="1"/>
  <c r="CT10" i="27" a="1"/>
  <c r="CT10" i="27" s="1"/>
  <c r="CF10" i="27" a="1"/>
  <c r="CF10" i="27" s="1"/>
  <c r="CN10" i="27" a="1"/>
  <c r="CN10" i="27" s="1"/>
  <c r="CV10" i="27" a="1"/>
  <c r="CV10" i="27" s="1"/>
  <c r="BZ10" i="27" a="1"/>
  <c r="BZ10" i="27" s="1"/>
  <c r="CH10" i="27" a="1"/>
  <c r="CH10" i="27" s="1"/>
  <c r="CP10" i="27" a="1"/>
  <c r="CP10" i="27" s="1"/>
  <c r="CA10" i="27" a="1"/>
  <c r="CA10" i="27" s="1"/>
  <c r="CI10" i="27" a="1"/>
  <c r="CI10" i="27" s="1"/>
  <c r="CQ10" i="27" a="1"/>
  <c r="CQ10" i="27" s="1"/>
  <c r="CC10" i="27" a="1"/>
  <c r="CC10" i="27" s="1"/>
  <c r="CK10" i="27" a="1"/>
  <c r="CK10" i="27" s="1"/>
  <c r="CS10" i="27" a="1"/>
  <c r="CS10" i="27" s="1"/>
  <c r="CR10" i="27" a="1"/>
  <c r="CR10" i="27" s="1"/>
  <c r="CB10" i="27" a="1"/>
  <c r="CB10" i="27" s="1"/>
  <c r="CG10" i="27" a="1"/>
  <c r="CG10" i="27" s="1"/>
  <c r="CJ10" i="27" a="1"/>
  <c r="CJ10" i="27" s="1"/>
  <c r="CO10" i="27" a="1"/>
  <c r="CO10" i="27" s="1"/>
  <c r="CE10" i="27" a="1"/>
  <c r="CE10" i="27" s="1"/>
  <c r="CM10" i="27" a="1"/>
  <c r="CM10" i="27" s="1"/>
  <c r="CU10" i="27" a="1"/>
  <c r="CU10" i="27" s="1"/>
  <c r="BY10" i="27" a="1"/>
  <c r="BY10" i="27" s="1"/>
  <c r="CE11" i="27" a="1"/>
  <c r="CE11" i="27" s="1"/>
  <c r="CM11" i="27" a="1"/>
  <c r="CM11" i="27" s="1"/>
  <c r="CU11" i="27" a="1"/>
  <c r="CU11" i="27" s="1"/>
  <c r="CG11" i="27" a="1"/>
  <c r="CG11" i="27" s="1"/>
  <c r="CO11" i="27" a="1"/>
  <c r="CO11" i="27" s="1"/>
  <c r="CA11" i="27" a="1"/>
  <c r="CA11" i="27" s="1"/>
  <c r="CI11" i="27" a="1"/>
  <c r="CI11" i="27" s="1"/>
  <c r="CQ11" i="27" a="1"/>
  <c r="CQ11" i="27" s="1"/>
  <c r="CB11" i="27" a="1"/>
  <c r="CB11" i="27" s="1"/>
  <c r="CJ11" i="27" a="1"/>
  <c r="CJ11" i="27" s="1"/>
  <c r="CR11" i="27" a="1"/>
  <c r="CR11" i="27" s="1"/>
  <c r="CD11" i="27" a="1"/>
  <c r="CD11" i="27" s="1"/>
  <c r="CL11" i="27" a="1"/>
  <c r="CL11" i="27" s="1"/>
  <c r="CT11" i="27" a="1"/>
  <c r="CT11" i="27" s="1"/>
  <c r="CP11" i="27" a="1"/>
  <c r="CP11" i="27" s="1"/>
  <c r="BZ11" i="27" a="1"/>
  <c r="BZ11" i="27" s="1"/>
  <c r="CV11" i="27" a="1"/>
  <c r="CV11" i="27" s="1"/>
  <c r="CF11" i="27" a="1"/>
  <c r="CF11" i="27" s="1"/>
  <c r="CH11" i="27" a="1"/>
  <c r="CH11" i="27" s="1"/>
  <c r="CN11" i="27" a="1"/>
  <c r="CN11" i="27" s="1"/>
  <c r="CK11" i="27" a="1"/>
  <c r="CK11" i="27" s="1"/>
  <c r="CC11" i="27" a="1"/>
  <c r="CC11" i="27" s="1"/>
  <c r="CS11" i="27" a="1"/>
  <c r="CS11" i="27" s="1"/>
  <c r="BY11" i="27" a="1"/>
  <c r="BY11" i="27" s="1"/>
  <c r="CA28" i="27" a="1"/>
  <c r="CA28" i="27" s="1"/>
  <c r="CH28" i="27" a="1"/>
  <c r="CH28" i="27" s="1"/>
  <c r="CT28" i="27" a="1"/>
  <c r="CT28" i="27" s="1"/>
  <c r="CC28" i="27" a="1"/>
  <c r="CC28" i="27" s="1"/>
  <c r="CJ28" i="27" a="1"/>
  <c r="CJ28" i="27" s="1"/>
  <c r="CO28" i="27" a="1"/>
  <c r="CO28" i="27" s="1"/>
  <c r="CV28" i="27" a="1"/>
  <c r="CV28" i="27" s="1"/>
  <c r="CE28" i="27" a="1"/>
  <c r="CE28" i="27" s="1"/>
  <c r="CK28" i="27" a="1"/>
  <c r="CK28" i="27" s="1"/>
  <c r="CQ28" i="27" a="1"/>
  <c r="CQ28" i="27" s="1"/>
  <c r="CF28" i="27" a="1"/>
  <c r="CF28" i="27" s="1"/>
  <c r="CR28" i="27" a="1"/>
  <c r="CR28" i="27" s="1"/>
  <c r="BZ28" i="27" a="1"/>
  <c r="BZ28" i="27" s="1"/>
  <c r="CM28" i="27" a="1"/>
  <c r="CM28" i="27" s="1"/>
  <c r="CG28" i="27" a="1"/>
  <c r="CG28" i="27" s="1"/>
  <c r="CN28" i="27" a="1"/>
  <c r="CN28" i="27" s="1"/>
  <c r="CP28" i="27" a="1"/>
  <c r="CP28" i="27" s="1"/>
  <c r="CD28" i="27" a="1"/>
  <c r="CD28" i="27" s="1"/>
  <c r="CU28" i="27" a="1"/>
  <c r="CU28" i="27" s="1"/>
  <c r="CB28" i="27" a="1"/>
  <c r="CB28" i="27" s="1"/>
  <c r="CI28" i="27" a="1"/>
  <c r="CI28" i="27" s="1"/>
  <c r="CS28" i="27" a="1"/>
  <c r="CS28" i="27" s="1"/>
  <c r="CL28" i="27" a="1"/>
  <c r="CL28" i="27" s="1"/>
  <c r="BY28" i="27" a="1"/>
  <c r="BY28" i="27" s="1"/>
  <c r="CI137" i="27" a="1"/>
  <c r="CI137" i="27" s="1"/>
  <c r="CN137" i="27" a="1"/>
  <c r="CN137" i="27" s="1"/>
  <c r="CD137" i="27" a="1"/>
  <c r="CD137" i="27" s="1"/>
  <c r="CJ137" i="27" a="1"/>
  <c r="CJ137" i="27" s="1"/>
  <c r="CO137" i="27" a="1"/>
  <c r="CO137" i="27" s="1"/>
  <c r="CU137" i="27" a="1"/>
  <c r="CU137" i="27" s="1"/>
  <c r="CK137" i="27" a="1"/>
  <c r="CK137" i="27" s="1"/>
  <c r="CP137" i="27" a="1"/>
  <c r="CP137" i="27" s="1"/>
  <c r="CE137" i="27" a="1"/>
  <c r="CE137" i="27" s="1"/>
  <c r="CQ137" i="27" a="1"/>
  <c r="CQ137" i="27" s="1"/>
  <c r="CV137" i="27" a="1"/>
  <c r="CV137" i="27" s="1"/>
  <c r="BZ137" i="27" a="1"/>
  <c r="BZ137" i="27" s="1"/>
  <c r="CL137" i="27" a="1"/>
  <c r="CL137" i="27" s="1"/>
  <c r="CR137" i="27" a="1"/>
  <c r="CR137" i="27" s="1"/>
  <c r="CA137" i="27" a="1"/>
  <c r="CA137" i="27" s="1"/>
  <c r="CF137" i="27" a="1"/>
  <c r="CF137" i="27" s="1"/>
  <c r="CS137" i="27" a="1"/>
  <c r="CS137" i="27" s="1"/>
  <c r="CC137" i="27" a="1"/>
  <c r="CC137" i="27" s="1"/>
  <c r="CH137" i="27" a="1"/>
  <c r="CH137" i="27" s="1"/>
  <c r="CT137" i="27" a="1"/>
  <c r="CT137" i="27" s="1"/>
  <c r="CB137" i="27" a="1"/>
  <c r="CB137" i="27" s="1"/>
  <c r="CG137" i="27" a="1"/>
  <c r="CG137" i="27" s="1"/>
  <c r="CM137" i="27" a="1"/>
  <c r="CM137" i="27" s="1"/>
  <c r="BY137" i="27" a="1"/>
  <c r="BY137" i="27" s="1"/>
  <c r="BZ74" i="27" a="1"/>
  <c r="BZ74" i="27" s="1"/>
  <c r="CG74" i="27" a="1"/>
  <c r="CG74" i="27" s="1"/>
  <c r="CM74" i="27" a="1"/>
  <c r="CM74" i="27" s="1"/>
  <c r="CR74" i="27" a="1"/>
  <c r="CR74" i="27" s="1"/>
  <c r="CA74" i="27" a="1"/>
  <c r="CA74" i="27" s="1"/>
  <c r="CH74" i="27" a="1"/>
  <c r="CH74" i="27" s="1"/>
  <c r="CT74" i="27" a="1"/>
  <c r="CT74" i="27" s="1"/>
  <c r="CC74" i="27" a="1"/>
  <c r="CC74" i="27" s="1"/>
  <c r="CI74" i="27" a="1"/>
  <c r="CI74" i="27" s="1"/>
  <c r="CV74" i="27" a="1"/>
  <c r="CV74" i="27" s="1"/>
  <c r="CD74" i="27" a="1"/>
  <c r="CD74" i="27" s="1"/>
  <c r="CJ74" i="27" a="1"/>
  <c r="CJ74" i="27" s="1"/>
  <c r="CP74" i="27" a="1"/>
  <c r="CP74" i="27" s="1"/>
  <c r="CF74" i="27" a="1"/>
  <c r="CF74" i="27" s="1"/>
  <c r="CL74" i="27" a="1"/>
  <c r="CL74" i="27" s="1"/>
  <c r="CQ74" i="27" a="1"/>
  <c r="CQ74" i="27" s="1"/>
  <c r="CB74" i="27" a="1"/>
  <c r="CB74" i="27" s="1"/>
  <c r="CS74" i="27" a="1"/>
  <c r="CS74" i="27" s="1"/>
  <c r="CE74" i="27" a="1"/>
  <c r="CE74" i="27" s="1"/>
  <c r="CU74" i="27" a="1"/>
  <c r="CU74" i="27" s="1"/>
  <c r="CK74" i="27" a="1"/>
  <c r="CK74" i="27" s="1"/>
  <c r="CN74" i="27" a="1"/>
  <c r="CN74" i="27" s="1"/>
  <c r="CO74" i="27" a="1"/>
  <c r="CO74" i="27" s="1"/>
  <c r="BY74" i="27" a="1"/>
  <c r="BY74" i="27" s="1"/>
  <c r="AW26" i="27"/>
  <c r="CC59" i="27" a="1"/>
  <c r="CC59" i="27" s="1"/>
  <c r="CE59" i="27" a="1"/>
  <c r="CE59" i="27" s="1"/>
  <c r="CJ59" i="27" a="1"/>
  <c r="CJ59" i="27" s="1"/>
  <c r="CF59" i="27" a="1"/>
  <c r="CF59" i="27" s="1"/>
  <c r="CL59" i="27" a="1"/>
  <c r="CL59" i="27" s="1"/>
  <c r="CA59" i="27" a="1"/>
  <c r="CA59" i="27" s="1"/>
  <c r="CB59" i="27" a="1"/>
  <c r="CB59" i="27" s="1"/>
  <c r="CH59" i="27" a="1"/>
  <c r="CH59" i="27" s="1"/>
  <c r="CD59" i="27" a="1"/>
  <c r="CD59" i="27" s="1"/>
  <c r="CS59" i="27" a="1"/>
  <c r="CS59" i="27" s="1"/>
  <c r="CG59" i="27" a="1"/>
  <c r="CG59" i="27" s="1"/>
  <c r="CO59" i="27" a="1"/>
  <c r="CO59" i="27" s="1"/>
  <c r="CU59" i="27" a="1"/>
  <c r="CU59" i="27" s="1"/>
  <c r="CI59" i="27" a="1"/>
  <c r="CI59" i="27" s="1"/>
  <c r="CP59" i="27" a="1"/>
  <c r="CP59" i="27" s="1"/>
  <c r="CM59" i="27" a="1"/>
  <c r="CM59" i="27" s="1"/>
  <c r="CR59" i="27" a="1"/>
  <c r="CR59" i="27" s="1"/>
  <c r="CT59" i="27" a="1"/>
  <c r="CT59" i="27" s="1"/>
  <c r="CN59" i="27" a="1"/>
  <c r="CN59" i="27" s="1"/>
  <c r="BZ59" i="27" a="1"/>
  <c r="BZ59" i="27" s="1"/>
  <c r="CK59" i="27" a="1"/>
  <c r="CK59" i="27" s="1"/>
  <c r="CQ59" i="27" a="1"/>
  <c r="CQ59" i="27" s="1"/>
  <c r="CV59" i="27" a="1"/>
  <c r="CV59" i="27" s="1"/>
  <c r="BY59" i="27" a="1"/>
  <c r="BY59" i="27" s="1"/>
  <c r="CJ93" i="27" a="1"/>
  <c r="CJ93" i="27" s="1"/>
  <c r="CO93" i="27" a="1"/>
  <c r="CO93" i="27" s="1"/>
  <c r="CU93" i="27" a="1"/>
  <c r="CU93" i="27" s="1"/>
  <c r="CD93" i="27" a="1"/>
  <c r="CD93" i="27" s="1"/>
  <c r="CP93" i="27" a="1"/>
  <c r="CP93" i="27" s="1"/>
  <c r="CV93" i="27" a="1"/>
  <c r="CV93" i="27" s="1"/>
  <c r="BZ93" i="27" a="1"/>
  <c r="BZ93" i="27" s="1"/>
  <c r="CE93" i="27" a="1"/>
  <c r="CE93" i="27" s="1"/>
  <c r="CK93" i="27" a="1"/>
  <c r="CK93" i="27" s="1"/>
  <c r="CQ93" i="27" a="1"/>
  <c r="CQ93" i="27" s="1"/>
  <c r="CA93" i="27" a="1"/>
  <c r="CA93" i="27" s="1"/>
  <c r="CF93" i="27" a="1"/>
  <c r="CF93" i="27" s="1"/>
  <c r="CG93" i="27" a="1"/>
  <c r="CG93" i="27" s="1"/>
  <c r="CL93" i="27" a="1"/>
  <c r="CL93" i="27" s="1"/>
  <c r="CR93" i="27" a="1"/>
  <c r="CR93" i="27" s="1"/>
  <c r="CB93" i="27" a="1"/>
  <c r="CB93" i="27" s="1"/>
  <c r="CH93" i="27" a="1"/>
  <c r="CH93" i="27" s="1"/>
  <c r="CM93" i="27" a="1"/>
  <c r="CM93" i="27" s="1"/>
  <c r="CS93" i="27" a="1"/>
  <c r="CS93" i="27" s="1"/>
  <c r="CC93" i="27" a="1"/>
  <c r="CC93" i="27" s="1"/>
  <c r="CN93" i="27" a="1"/>
  <c r="CN93" i="27" s="1"/>
  <c r="CT93" i="27" a="1"/>
  <c r="CT93" i="27" s="1"/>
  <c r="CI93" i="27" a="1"/>
  <c r="CI93" i="27" s="1"/>
  <c r="BY93" i="27" a="1"/>
  <c r="BY93" i="27" s="1"/>
  <c r="CF50" i="27" a="1"/>
  <c r="CF50" i="27" s="1"/>
  <c r="CL50" i="27" a="1"/>
  <c r="CL50" i="27" s="1"/>
  <c r="CS50" i="27" a="1"/>
  <c r="CS50" i="27" s="1"/>
  <c r="CA50" i="27" a="1"/>
  <c r="CA50" i="27" s="1"/>
  <c r="CH50" i="27" a="1"/>
  <c r="CH50" i="27" s="1"/>
  <c r="CN50" i="27" a="1"/>
  <c r="CN50" i="27" s="1"/>
  <c r="CT50" i="27" a="1"/>
  <c r="CT50" i="27" s="1"/>
  <c r="CC50" i="27" a="1"/>
  <c r="CC50" i="27" s="1"/>
  <c r="CI50" i="27" a="1"/>
  <c r="CI50" i="27" s="1"/>
  <c r="CP50" i="27" a="1"/>
  <c r="CP50" i="27" s="1"/>
  <c r="CU50" i="27" a="1"/>
  <c r="CU50" i="27" s="1"/>
  <c r="CD50" i="27" a="1"/>
  <c r="CD50" i="27" s="1"/>
  <c r="CJ50" i="27" a="1"/>
  <c r="CJ50" i="27" s="1"/>
  <c r="CQ50" i="27" a="1"/>
  <c r="CQ50" i="27" s="1"/>
  <c r="CV50" i="27" a="1"/>
  <c r="CV50" i="27" s="1"/>
  <c r="CR50" i="27" a="1"/>
  <c r="CR50" i="27" s="1"/>
  <c r="CO50" i="27" a="1"/>
  <c r="CO50" i="27" s="1"/>
  <c r="CB50" i="27" a="1"/>
  <c r="CB50" i="27" s="1"/>
  <c r="CG50" i="27" a="1"/>
  <c r="CG50" i="27" s="1"/>
  <c r="CM50" i="27" a="1"/>
  <c r="CM50" i="27" s="1"/>
  <c r="BZ50" i="27" a="1"/>
  <c r="BZ50" i="27" s="1"/>
  <c r="CK50" i="27" a="1"/>
  <c r="CK50" i="27" s="1"/>
  <c r="CE50" i="27" a="1"/>
  <c r="CE50" i="27" s="1"/>
  <c r="BY50" i="27" a="1"/>
  <c r="BY50" i="27" s="1"/>
  <c r="CA47" i="27" a="1"/>
  <c r="CA47" i="27" s="1"/>
  <c r="CF47" i="27" a="1"/>
  <c r="CF47" i="27" s="1"/>
  <c r="CL47" i="27" a="1"/>
  <c r="CL47" i="27" s="1"/>
  <c r="CB47" i="27" a="1"/>
  <c r="CB47" i="27" s="1"/>
  <c r="CH47" i="27" a="1"/>
  <c r="CH47" i="27" s="1"/>
  <c r="CS47" i="27" a="1"/>
  <c r="CS47" i="27" s="1"/>
  <c r="CN47" i="27" a="1"/>
  <c r="CN47" i="27" s="1"/>
  <c r="CT47" i="27" a="1"/>
  <c r="CT47" i="27" s="1"/>
  <c r="CD47" i="27" a="1"/>
  <c r="CD47" i="27" s="1"/>
  <c r="CJ47" i="27" a="1"/>
  <c r="CJ47" i="27" s="1"/>
  <c r="CP47" i="27" a="1"/>
  <c r="CP47" i="27" s="1"/>
  <c r="CV47" i="27" a="1"/>
  <c r="CV47" i="27" s="1"/>
  <c r="CE47" i="27" a="1"/>
  <c r="CE47" i="27" s="1"/>
  <c r="CU47" i="27" a="1"/>
  <c r="CU47" i="27" s="1"/>
  <c r="CI47" i="27" a="1"/>
  <c r="CI47" i="27" s="1"/>
  <c r="CM47" i="27" a="1"/>
  <c r="CM47" i="27" s="1"/>
  <c r="BZ47" i="27" a="1"/>
  <c r="BZ47" i="27" s="1"/>
  <c r="CO47" i="27" a="1"/>
  <c r="CO47" i="27" s="1"/>
  <c r="CC47" i="27" a="1"/>
  <c r="CC47" i="27" s="1"/>
  <c r="CR47" i="27" a="1"/>
  <c r="CR47" i="27" s="1"/>
  <c r="CQ47" i="27" a="1"/>
  <c r="CQ47" i="27" s="1"/>
  <c r="CK47" i="27" a="1"/>
  <c r="CK47" i="27" s="1"/>
  <c r="CG47" i="27" a="1"/>
  <c r="CG47" i="27" s="1"/>
  <c r="BY47" i="27" a="1"/>
  <c r="BY47" i="27" s="1"/>
  <c r="CC134" i="27" a="1"/>
  <c r="CC134" i="27" s="1"/>
  <c r="CK134" i="27" a="1"/>
  <c r="CK134" i="27" s="1"/>
  <c r="CS134" i="27" a="1"/>
  <c r="CS134" i="27" s="1"/>
  <c r="CD134" i="27" a="1"/>
  <c r="CD134" i="27" s="1"/>
  <c r="CL134" i="27" a="1"/>
  <c r="CL134" i="27" s="1"/>
  <c r="CT134" i="27" a="1"/>
  <c r="CT134" i="27" s="1"/>
  <c r="CE134" i="27" a="1"/>
  <c r="CE134" i="27" s="1"/>
  <c r="CM134" i="27" a="1"/>
  <c r="CM134" i="27" s="1"/>
  <c r="CU134" i="27" a="1"/>
  <c r="CU134" i="27" s="1"/>
  <c r="CF134" i="27" a="1"/>
  <c r="CF134" i="27" s="1"/>
  <c r="CN134" i="27" a="1"/>
  <c r="CN134" i="27" s="1"/>
  <c r="CV134" i="27" a="1"/>
  <c r="CV134" i="27" s="1"/>
  <c r="CG134" i="27" a="1"/>
  <c r="CG134" i="27" s="1"/>
  <c r="CO134" i="27" a="1"/>
  <c r="CO134" i="27" s="1"/>
  <c r="BZ134" i="27" a="1"/>
  <c r="BZ134" i="27" s="1"/>
  <c r="CH134" i="27" a="1"/>
  <c r="CH134" i="27" s="1"/>
  <c r="CP134" i="27" a="1"/>
  <c r="CP134" i="27" s="1"/>
  <c r="CB134" i="27" a="1"/>
  <c r="CB134" i="27" s="1"/>
  <c r="CJ134" i="27" a="1"/>
  <c r="CJ134" i="27" s="1"/>
  <c r="CR134" i="27" a="1"/>
  <c r="CR134" i="27" s="1"/>
  <c r="CI134" i="27" a="1"/>
  <c r="CI134" i="27" s="1"/>
  <c r="CQ134" i="27" a="1"/>
  <c r="CQ134" i="27" s="1"/>
  <c r="CA134" i="27" a="1"/>
  <c r="CA134" i="27" s="1"/>
  <c r="BY134" i="27" a="1"/>
  <c r="BY134" i="27" s="1"/>
  <c r="CD39" i="27" a="1"/>
  <c r="CD39" i="27" s="1"/>
  <c r="CJ39" i="27" a="1"/>
  <c r="CJ39" i="27" s="1"/>
  <c r="CL39" i="27" a="1"/>
  <c r="CL39" i="27" s="1"/>
  <c r="CA39" i="27" a="1"/>
  <c r="CA39" i="27" s="1"/>
  <c r="CG39" i="27" a="1"/>
  <c r="CG39" i="27" s="1"/>
  <c r="CN39" i="27" a="1"/>
  <c r="CN39" i="27" s="1"/>
  <c r="CS39" i="27" a="1"/>
  <c r="CS39" i="27" s="1"/>
  <c r="CB39" i="27" a="1"/>
  <c r="CB39" i="27" s="1"/>
  <c r="CH39" i="27" a="1"/>
  <c r="CH39" i="27" s="1"/>
  <c r="CT39" i="27" a="1"/>
  <c r="CT39" i="27" s="1"/>
  <c r="CC39" i="27" a="1"/>
  <c r="CC39" i="27" s="1"/>
  <c r="CI39" i="27" a="1"/>
  <c r="CI39" i="27" s="1"/>
  <c r="CP39" i="27" a="1"/>
  <c r="CP39" i="27" s="1"/>
  <c r="CV39" i="27" a="1"/>
  <c r="CV39" i="27" s="1"/>
  <c r="BZ39" i="27" a="1"/>
  <c r="BZ39" i="27" s="1"/>
  <c r="CQ39" i="27" a="1"/>
  <c r="CQ39" i="27" s="1"/>
  <c r="CE39" i="27" a="1"/>
  <c r="CE39" i="27" s="1"/>
  <c r="CU39" i="27" a="1"/>
  <c r="CU39" i="27" s="1"/>
  <c r="CK39" i="27" a="1"/>
  <c r="CK39" i="27" s="1"/>
  <c r="CO39" i="27" a="1"/>
  <c r="CO39" i="27" s="1"/>
  <c r="CM39" i="27" a="1"/>
  <c r="CM39" i="27" s="1"/>
  <c r="CF39" i="27" a="1"/>
  <c r="CF39" i="27" s="1"/>
  <c r="CR39" i="27" a="1"/>
  <c r="CR39" i="27" s="1"/>
  <c r="BY39" i="27" a="1"/>
  <c r="BY39" i="27" s="1"/>
  <c r="CD81" i="27" a="1"/>
  <c r="CD81" i="27" s="1"/>
  <c r="CJ81" i="27" a="1"/>
  <c r="CJ81" i="27" s="1"/>
  <c r="CO81" i="27" a="1"/>
  <c r="CO81" i="27" s="1"/>
  <c r="CU81" i="27" a="1"/>
  <c r="CU81" i="27" s="1"/>
  <c r="CK81" i="27" a="1"/>
  <c r="CK81" i="27" s="1"/>
  <c r="CP81" i="27" a="1"/>
  <c r="CP81" i="27" s="1"/>
  <c r="CV81" i="27" a="1"/>
  <c r="CV81" i="27" s="1"/>
  <c r="CA81" i="27" a="1"/>
  <c r="CA81" i="27" s="1"/>
  <c r="CG81" i="27" a="1"/>
  <c r="CG81" i="27" s="1"/>
  <c r="CM81" i="27" a="1"/>
  <c r="CM81" i="27" s="1"/>
  <c r="CR81" i="27" a="1"/>
  <c r="CR81" i="27" s="1"/>
  <c r="CS81" i="27" a="1"/>
  <c r="CS81" i="27" s="1"/>
  <c r="CC81" i="27" a="1"/>
  <c r="CC81" i="27" s="1"/>
  <c r="CI81" i="27" a="1"/>
  <c r="CI81" i="27" s="1"/>
  <c r="CT81" i="27" a="1"/>
  <c r="CT81" i="27" s="1"/>
  <c r="CE81" i="27" a="1"/>
  <c r="CE81" i="27" s="1"/>
  <c r="CF81" i="27" a="1"/>
  <c r="CF81" i="27" s="1"/>
  <c r="CH81" i="27" a="1"/>
  <c r="CH81" i="27" s="1"/>
  <c r="CL81" i="27" a="1"/>
  <c r="CL81" i="27" s="1"/>
  <c r="CN81" i="27" a="1"/>
  <c r="CN81" i="27" s="1"/>
  <c r="CB81" i="27" a="1"/>
  <c r="CB81" i="27" s="1"/>
  <c r="CQ81" i="27" a="1"/>
  <c r="CQ81" i="27" s="1"/>
  <c r="BZ81" i="27" a="1"/>
  <c r="BZ81" i="27" s="1"/>
  <c r="BY81" i="27" a="1"/>
  <c r="BY81" i="27" s="1"/>
  <c r="CB41" i="27" a="1"/>
  <c r="CB41" i="27" s="1"/>
  <c r="CH41" i="27" a="1"/>
  <c r="CH41" i="27" s="1"/>
  <c r="CN41" i="27" a="1"/>
  <c r="CN41" i="27" s="1"/>
  <c r="CC41" i="27" a="1"/>
  <c r="CC41" i="27" s="1"/>
  <c r="CJ41" i="27" a="1"/>
  <c r="CJ41" i="27" s="1"/>
  <c r="CO41" i="27" a="1"/>
  <c r="CO41" i="27" s="1"/>
  <c r="CV41" i="27" a="1"/>
  <c r="CV41" i="27" s="1"/>
  <c r="CD41" i="27" a="1"/>
  <c r="CD41" i="27" s="1"/>
  <c r="CQ41" i="27" a="1"/>
  <c r="CQ41" i="27" s="1"/>
  <c r="BZ41" i="27" a="1"/>
  <c r="BZ41" i="27" s="1"/>
  <c r="CE41" i="27" a="1"/>
  <c r="CE41" i="27" s="1"/>
  <c r="CL41" i="27" a="1"/>
  <c r="CL41" i="27" s="1"/>
  <c r="CR41" i="27" a="1"/>
  <c r="CR41" i="27" s="1"/>
  <c r="CA41" i="27" a="1"/>
  <c r="CA41" i="27" s="1"/>
  <c r="CG41" i="27" a="1"/>
  <c r="CG41" i="27" s="1"/>
  <c r="CM41" i="27" a="1"/>
  <c r="CM41" i="27" s="1"/>
  <c r="CT41" i="27" a="1"/>
  <c r="CT41" i="27" s="1"/>
  <c r="CU41" i="27" a="1"/>
  <c r="CU41" i="27" s="1"/>
  <c r="CI41" i="27" a="1"/>
  <c r="CI41" i="27" s="1"/>
  <c r="CS41" i="27" a="1"/>
  <c r="CS41" i="27" s="1"/>
  <c r="CK41" i="27" a="1"/>
  <c r="CK41" i="27" s="1"/>
  <c r="CF41" i="27" a="1"/>
  <c r="CF41" i="27" s="1"/>
  <c r="CP41" i="27" a="1"/>
  <c r="CP41" i="27" s="1"/>
  <c r="BY41" i="27" a="1"/>
  <c r="BY41" i="27" s="1"/>
  <c r="CG119" i="27" a="1"/>
  <c r="CG119" i="27" s="1"/>
  <c r="CO119" i="27" a="1"/>
  <c r="CO119" i="27" s="1"/>
  <c r="CA119" i="27" a="1"/>
  <c r="CA119" i="27" s="1"/>
  <c r="CI119" i="27" a="1"/>
  <c r="CI119" i="27" s="1"/>
  <c r="CQ119" i="27" a="1"/>
  <c r="CQ119" i="27" s="1"/>
  <c r="CC119" i="27" a="1"/>
  <c r="CC119" i="27" s="1"/>
  <c r="CK119" i="27" a="1"/>
  <c r="CK119" i="27" s="1"/>
  <c r="CS119" i="27" a="1"/>
  <c r="CS119" i="27" s="1"/>
  <c r="CD119" i="27" a="1"/>
  <c r="CD119" i="27" s="1"/>
  <c r="CL119" i="27" a="1"/>
  <c r="CL119" i="27" s="1"/>
  <c r="CT119" i="27" a="1"/>
  <c r="CT119" i="27" s="1"/>
  <c r="CF119" i="27" a="1"/>
  <c r="CF119" i="27" s="1"/>
  <c r="CN119" i="27" a="1"/>
  <c r="CN119" i="27" s="1"/>
  <c r="CV119" i="27" a="1"/>
  <c r="CV119" i="27" s="1"/>
  <c r="CR119" i="27" a="1"/>
  <c r="CR119" i="27" s="1"/>
  <c r="BZ119" i="27" a="1"/>
  <c r="BZ119" i="27" s="1"/>
  <c r="CU119" i="27" a="1"/>
  <c r="CU119" i="27" s="1"/>
  <c r="CB119" i="27" a="1"/>
  <c r="CB119" i="27" s="1"/>
  <c r="CE119" i="27" a="1"/>
  <c r="CE119" i="27" s="1"/>
  <c r="CH119" i="27" a="1"/>
  <c r="CH119" i="27" s="1"/>
  <c r="CJ119" i="27" a="1"/>
  <c r="CJ119" i="27" s="1"/>
  <c r="CP119" i="27" a="1"/>
  <c r="CP119" i="27" s="1"/>
  <c r="CM119" i="27" a="1"/>
  <c r="CM119" i="27" s="1"/>
  <c r="BY119" i="27" a="1"/>
  <c r="BY119" i="27" s="1"/>
  <c r="BZ40" i="27" a="1"/>
  <c r="BZ40" i="27" s="1"/>
  <c r="CL40" i="27" a="1"/>
  <c r="CL40" i="27" s="1"/>
  <c r="CR40" i="27" a="1"/>
  <c r="CR40" i="27" s="1"/>
  <c r="CB40" i="27" a="1"/>
  <c r="CB40" i="27" s="1"/>
  <c r="CG40" i="27" a="1"/>
  <c r="CG40" i="27" s="1"/>
  <c r="CN40" i="27" a="1"/>
  <c r="CN40" i="27" s="1"/>
  <c r="CT40" i="27" a="1"/>
  <c r="CT40" i="27" s="1"/>
  <c r="CC40" i="27" a="1"/>
  <c r="CC40" i="27" s="1"/>
  <c r="CI40" i="27" a="1"/>
  <c r="CI40" i="27" s="1"/>
  <c r="CO40" i="27" a="1"/>
  <c r="CO40" i="27" s="1"/>
  <c r="CV40" i="27" a="1"/>
  <c r="CV40" i="27" s="1"/>
  <c r="CJ40" i="27" a="1"/>
  <c r="CJ40" i="27" s="1"/>
  <c r="CP40" i="27" a="1"/>
  <c r="CP40" i="27" s="1"/>
  <c r="CE40" i="27" a="1"/>
  <c r="CE40" i="27" s="1"/>
  <c r="CK40" i="27" a="1"/>
  <c r="CK40" i="27" s="1"/>
  <c r="CS40" i="27" a="1"/>
  <c r="CS40" i="27" s="1"/>
  <c r="CD40" i="27" a="1"/>
  <c r="CD40" i="27" s="1"/>
  <c r="CU40" i="27" a="1"/>
  <c r="CU40" i="27" s="1"/>
  <c r="CH40" i="27" a="1"/>
  <c r="CH40" i="27" s="1"/>
  <c r="CA40" i="27" a="1"/>
  <c r="CA40" i="27" s="1"/>
  <c r="CM40" i="27" a="1"/>
  <c r="CM40" i="27" s="1"/>
  <c r="CQ40" i="27" a="1"/>
  <c r="CQ40" i="27" s="1"/>
  <c r="CF40" i="27" a="1"/>
  <c r="CF40" i="27" s="1"/>
  <c r="BY40" i="27" a="1"/>
  <c r="BY40" i="27" s="1"/>
  <c r="CF124" i="27" a="1"/>
  <c r="CF124" i="27" s="1"/>
  <c r="CN124" i="27" a="1"/>
  <c r="CN124" i="27" s="1"/>
  <c r="CV124" i="27" a="1"/>
  <c r="CV124" i="27" s="1"/>
  <c r="BZ124" i="27" a="1"/>
  <c r="BZ124" i="27" s="1"/>
  <c r="CH124" i="27" a="1"/>
  <c r="CH124" i="27" s="1"/>
  <c r="CP124" i="27" a="1"/>
  <c r="CP124" i="27" s="1"/>
  <c r="CA124" i="27" a="1"/>
  <c r="CA124" i="27" s="1"/>
  <c r="CI124" i="27" a="1"/>
  <c r="CI124" i="27" s="1"/>
  <c r="CQ124" i="27" a="1"/>
  <c r="CQ124" i="27" s="1"/>
  <c r="CC124" i="27" a="1"/>
  <c r="CC124" i="27" s="1"/>
  <c r="CK124" i="27" a="1"/>
  <c r="CK124" i="27" s="1"/>
  <c r="CS124" i="27" a="1"/>
  <c r="CS124" i="27" s="1"/>
  <c r="CJ124" i="27" a="1"/>
  <c r="CJ124" i="27" s="1"/>
  <c r="CL124" i="27" a="1"/>
  <c r="CL124" i="27" s="1"/>
  <c r="CM124" i="27" a="1"/>
  <c r="CM124" i="27" s="1"/>
  <c r="CO124" i="27" a="1"/>
  <c r="CO124" i="27" s="1"/>
  <c r="CB124" i="27" a="1"/>
  <c r="CB124" i="27" s="1"/>
  <c r="CR124" i="27" a="1"/>
  <c r="CR124" i="27" s="1"/>
  <c r="CD124" i="27" a="1"/>
  <c r="CD124" i="27" s="1"/>
  <c r="CT124" i="27" a="1"/>
  <c r="CT124" i="27" s="1"/>
  <c r="CG124" i="27" a="1"/>
  <c r="CG124" i="27" s="1"/>
  <c r="CU124" i="27" a="1"/>
  <c r="CU124" i="27" s="1"/>
  <c r="CE124" i="27" a="1"/>
  <c r="CE124" i="27" s="1"/>
  <c r="BY124" i="27" a="1"/>
  <c r="BY124" i="27" s="1"/>
  <c r="CA31" i="27" a="1"/>
  <c r="CA31" i="27" s="1"/>
  <c r="CG31" i="27" a="1"/>
  <c r="CG31" i="27" s="1"/>
  <c r="CN31" i="27" a="1"/>
  <c r="CN31" i="27" s="1"/>
  <c r="CT31" i="27" a="1"/>
  <c r="CT31" i="27" s="1"/>
  <c r="CC31" i="27" a="1"/>
  <c r="CC31" i="27" s="1"/>
  <c r="CO31" i="27" a="1"/>
  <c r="CO31" i="27" s="1"/>
  <c r="CU31" i="27" a="1"/>
  <c r="CU31" i="27" s="1"/>
  <c r="CE31" i="27" a="1"/>
  <c r="CE31" i="27" s="1"/>
  <c r="CJ31" i="27" a="1"/>
  <c r="CJ31" i="27" s="1"/>
  <c r="CQ31" i="27" a="1"/>
  <c r="CQ31" i="27" s="1"/>
  <c r="CK31" i="27" a="1"/>
  <c r="CK31" i="27" s="1"/>
  <c r="BZ31" i="27" a="1"/>
  <c r="BZ31" i="27" s="1"/>
  <c r="CM31" i="27" a="1"/>
  <c r="CM31" i="27" s="1"/>
  <c r="CS31" i="27" a="1"/>
  <c r="CS31" i="27" s="1"/>
  <c r="CD31" i="27" a="1"/>
  <c r="CD31" i="27" s="1"/>
  <c r="CH31" i="27" a="1"/>
  <c r="CH31" i="27" s="1"/>
  <c r="CL31" i="27" a="1"/>
  <c r="CL31" i="27" s="1"/>
  <c r="CB31" i="27" a="1"/>
  <c r="CB31" i="27" s="1"/>
  <c r="CR31" i="27" a="1"/>
  <c r="CR31" i="27" s="1"/>
  <c r="CI31" i="27" a="1"/>
  <c r="CI31" i="27" s="1"/>
  <c r="CV31" i="27" a="1"/>
  <c r="CV31" i="27" s="1"/>
  <c r="CF31" i="27" a="1"/>
  <c r="CF31" i="27" s="1"/>
  <c r="CP31" i="27" a="1"/>
  <c r="CP31" i="27" s="1"/>
  <c r="BY31" i="27" a="1"/>
  <c r="BY31" i="27" s="1"/>
  <c r="CE106" i="27" a="1"/>
  <c r="CE106" i="27" s="1"/>
  <c r="CL106" i="27" a="1"/>
  <c r="CL106" i="27" s="1"/>
  <c r="CQ106" i="27" a="1"/>
  <c r="CQ106" i="27" s="1"/>
  <c r="CM106" i="27" a="1"/>
  <c r="CM106" i="27" s="1"/>
  <c r="CS106" i="27" a="1"/>
  <c r="CS106" i="27" s="1"/>
  <c r="CB106" i="27" a="1"/>
  <c r="CB106" i="27" s="1"/>
  <c r="CH106" i="27" a="1"/>
  <c r="CH106" i="27" s="1"/>
  <c r="CU106" i="27" a="1"/>
  <c r="CU106" i="27" s="1"/>
  <c r="CC106" i="27" a="1"/>
  <c r="CC106" i="27" s="1"/>
  <c r="CI106" i="27" a="1"/>
  <c r="CI106" i="27" s="1"/>
  <c r="CO106" i="27" a="1"/>
  <c r="CO106" i="27" s="1"/>
  <c r="CV106" i="27" a="1"/>
  <c r="CV106" i="27" s="1"/>
  <c r="CD106" i="27" a="1"/>
  <c r="CD106" i="27" s="1"/>
  <c r="CK106" i="27" a="1"/>
  <c r="CK106" i="27" s="1"/>
  <c r="CP106" i="27" a="1"/>
  <c r="CP106" i="27" s="1"/>
  <c r="BZ106" i="27" a="1"/>
  <c r="BZ106" i="27" s="1"/>
  <c r="CA106" i="27" a="1"/>
  <c r="CA106" i="27" s="1"/>
  <c r="CR106" i="27" a="1"/>
  <c r="CR106" i="27" s="1"/>
  <c r="CT106" i="27" a="1"/>
  <c r="CT106" i="27" s="1"/>
  <c r="CF106" i="27" a="1"/>
  <c r="CF106" i="27" s="1"/>
  <c r="CG106" i="27" a="1"/>
  <c r="CG106" i="27" s="1"/>
  <c r="CJ106" i="27" a="1"/>
  <c r="CJ106" i="27" s="1"/>
  <c r="CN106" i="27" a="1"/>
  <c r="CN106" i="27" s="1"/>
  <c r="BY106" i="27" a="1"/>
  <c r="BY106" i="27" s="1"/>
  <c r="CA140" i="27" a="1"/>
  <c r="CA140" i="27" s="1"/>
  <c r="CN140" i="27" a="1"/>
  <c r="CN140" i="27" s="1"/>
  <c r="CV140" i="27" a="1"/>
  <c r="CV140" i="27" s="1"/>
  <c r="CB140" i="27" a="1"/>
  <c r="CB140" i="27" s="1"/>
  <c r="CH140" i="27" a="1"/>
  <c r="CH140" i="27" s="1"/>
  <c r="CO140" i="27" a="1"/>
  <c r="CO140" i="27" s="1"/>
  <c r="CC140" i="27" a="1"/>
  <c r="CC140" i="27" s="1"/>
  <c r="CP140" i="27" a="1"/>
  <c r="CP140" i="27" s="1"/>
  <c r="CD140" i="27" a="1"/>
  <c r="CD140" i="27" s="1"/>
  <c r="CI140" i="27" a="1"/>
  <c r="CI140" i="27" s="1"/>
  <c r="CQ140" i="27" a="1"/>
  <c r="CQ140" i="27" s="1"/>
  <c r="CE140" i="27" a="1"/>
  <c r="CE140" i="27" s="1"/>
  <c r="CJ140" i="27" a="1"/>
  <c r="CJ140" i="27" s="1"/>
  <c r="CR140" i="27" a="1"/>
  <c r="CR140" i="27" s="1"/>
  <c r="CF140" i="27" a="1"/>
  <c r="CF140" i="27" s="1"/>
  <c r="CK140" i="27" a="1"/>
  <c r="CK140" i="27" s="1"/>
  <c r="CS140" i="27" a="1"/>
  <c r="CS140" i="27" s="1"/>
  <c r="CG140" i="27" a="1"/>
  <c r="CG140" i="27" s="1"/>
  <c r="CM140" i="27" a="1"/>
  <c r="CM140" i="27" s="1"/>
  <c r="CU140" i="27" a="1"/>
  <c r="CU140" i="27" s="1"/>
  <c r="BZ140" i="27" a="1"/>
  <c r="BZ140" i="27" s="1"/>
  <c r="CL140" i="27" a="1"/>
  <c r="CL140" i="27" s="1"/>
  <c r="CT140" i="27" a="1"/>
  <c r="CT140" i="27" s="1"/>
  <c r="BY140" i="27" a="1"/>
  <c r="BY140" i="27" s="1"/>
  <c r="CC80" i="27" a="1"/>
  <c r="CC80" i="27" s="1"/>
  <c r="CJ80" i="27" a="1"/>
  <c r="CJ80" i="27" s="1"/>
  <c r="CO80" i="27" a="1"/>
  <c r="CO80" i="27" s="1"/>
  <c r="CK80" i="27" a="1"/>
  <c r="CK80" i="27" s="1"/>
  <c r="CQ80" i="27" a="1"/>
  <c r="CQ80" i="27" s="1"/>
  <c r="BZ80" i="27" a="1"/>
  <c r="BZ80" i="27" s="1"/>
  <c r="CF80" i="27" a="1"/>
  <c r="CF80" i="27" s="1"/>
  <c r="CS80" i="27" a="1"/>
  <c r="CS80" i="27" s="1"/>
  <c r="CA80" i="27" a="1"/>
  <c r="CA80" i="27" s="1"/>
  <c r="CG80" i="27" a="1"/>
  <c r="CG80" i="27" s="1"/>
  <c r="CM80" i="27" a="1"/>
  <c r="CM80" i="27" s="1"/>
  <c r="CT80" i="27" a="1"/>
  <c r="CT80" i="27" s="1"/>
  <c r="CB80" i="27" a="1"/>
  <c r="CB80" i="27" s="1"/>
  <c r="CI80" i="27" a="1"/>
  <c r="CI80" i="27" s="1"/>
  <c r="CN80" i="27" a="1"/>
  <c r="CN80" i="27" s="1"/>
  <c r="CU80" i="27" a="1"/>
  <c r="CU80" i="27" s="1"/>
  <c r="CL80" i="27" a="1"/>
  <c r="CL80" i="27" s="1"/>
  <c r="CP80" i="27" a="1"/>
  <c r="CP80" i="27" s="1"/>
  <c r="CR80" i="27" a="1"/>
  <c r="CR80" i="27" s="1"/>
  <c r="CD80" i="27" a="1"/>
  <c r="CD80" i="27" s="1"/>
  <c r="CE80" i="27" a="1"/>
  <c r="CE80" i="27" s="1"/>
  <c r="CV80" i="27" a="1"/>
  <c r="CV80" i="27" s="1"/>
  <c r="CH80" i="27" a="1"/>
  <c r="CH80" i="27" s="1"/>
  <c r="BY80" i="27" a="1"/>
  <c r="BY80" i="27" s="1"/>
  <c r="CA7" i="27" a="1"/>
  <c r="CA7" i="27" s="1"/>
  <c r="CI7" i="27" a="1"/>
  <c r="CI7" i="27" s="1"/>
  <c r="CQ7" i="27" a="1"/>
  <c r="CQ7" i="27" s="1"/>
  <c r="CC7" i="27" a="1"/>
  <c r="CC7" i="27" s="1"/>
  <c r="CK7" i="27" a="1"/>
  <c r="CK7" i="27" s="1"/>
  <c r="CS7" i="27" a="1"/>
  <c r="CS7" i="27" s="1"/>
  <c r="CE7" i="27" a="1"/>
  <c r="CE7" i="27" s="1"/>
  <c r="CM7" i="27" a="1"/>
  <c r="CM7" i="27" s="1"/>
  <c r="CU7" i="27" a="1"/>
  <c r="CU7" i="27" s="1"/>
  <c r="CF7" i="27" a="1"/>
  <c r="CF7" i="27" s="1"/>
  <c r="CN7" i="27" a="1"/>
  <c r="CN7" i="27" s="1"/>
  <c r="CV7" i="27" a="1"/>
  <c r="CV7" i="27" s="1"/>
  <c r="BZ7" i="27" a="1"/>
  <c r="BZ7" i="27" s="1"/>
  <c r="CH7" i="27" a="1"/>
  <c r="CH7" i="27" s="1"/>
  <c r="CP7" i="27" a="1"/>
  <c r="CP7" i="27" s="1"/>
  <c r="CB7" i="27" a="1"/>
  <c r="CB7" i="27" s="1"/>
  <c r="CG7" i="27" a="1"/>
  <c r="CG7" i="27" s="1"/>
  <c r="CL7" i="27" a="1"/>
  <c r="CL7" i="27" s="1"/>
  <c r="CO7" i="27" a="1"/>
  <c r="CO7" i="27" s="1"/>
  <c r="CT7" i="27" a="1"/>
  <c r="CT7" i="27" s="1"/>
  <c r="CD7" i="27" a="1"/>
  <c r="CD7" i="27" s="1"/>
  <c r="CR7" i="27" a="1"/>
  <c r="CR7" i="27" s="1"/>
  <c r="CJ7" i="27" a="1"/>
  <c r="CJ7" i="27" s="1"/>
  <c r="BY7" i="27" a="1"/>
  <c r="BY7" i="27" s="1"/>
  <c r="CB25" i="27" a="1"/>
  <c r="CB25" i="27" s="1"/>
  <c r="CI25" i="27" a="1"/>
  <c r="CI25" i="27" s="1"/>
  <c r="CP25" i="27" a="1"/>
  <c r="CP25" i="27" s="1"/>
  <c r="CD25" i="27" a="1"/>
  <c r="CD25" i="27" s="1"/>
  <c r="CK25" i="27" a="1"/>
  <c r="CK25" i="27" s="1"/>
  <c r="CR25" i="27" a="1"/>
  <c r="CR25" i="27" s="1"/>
  <c r="CE25" i="27" a="1"/>
  <c r="CE25" i="27" s="1"/>
  <c r="CM25" i="27" a="1"/>
  <c r="CM25" i="27" s="1"/>
  <c r="CT25" i="27" a="1"/>
  <c r="CT25" i="27" s="1"/>
  <c r="CF25" i="27" a="1"/>
  <c r="CF25" i="27" s="1"/>
  <c r="CN25" i="27" a="1"/>
  <c r="CN25" i="27" s="1"/>
  <c r="CA25" i="27" a="1"/>
  <c r="CA25" i="27" s="1"/>
  <c r="CH25" i="27" a="1"/>
  <c r="CH25" i="27" s="1"/>
  <c r="CV25" i="27" a="1"/>
  <c r="CV25" i="27" s="1"/>
  <c r="CC25" i="27" a="1"/>
  <c r="CC25" i="27" s="1"/>
  <c r="CU25" i="27" a="1"/>
  <c r="CU25" i="27" s="1"/>
  <c r="CG25" i="27" a="1"/>
  <c r="CG25" i="27" s="1"/>
  <c r="CL25" i="27" a="1"/>
  <c r="CL25" i="27" s="1"/>
  <c r="CO25" i="27" a="1"/>
  <c r="CO25" i="27" s="1"/>
  <c r="BZ25" i="27" a="1"/>
  <c r="BZ25" i="27" s="1"/>
  <c r="CS25" i="27" a="1"/>
  <c r="CS25" i="27" s="1"/>
  <c r="CJ25" i="27" a="1"/>
  <c r="CJ25" i="27" s="1"/>
  <c r="CQ25" i="27" a="1"/>
  <c r="CQ25" i="27" s="1"/>
  <c r="BY25" i="27" a="1"/>
  <c r="BY25" i="27" s="1"/>
  <c r="CA46" i="27" a="1"/>
  <c r="CA46" i="27" s="1"/>
  <c r="CG46" i="27" a="1"/>
  <c r="CG46" i="27" s="1"/>
  <c r="CD46" i="27" a="1"/>
  <c r="CD46" i="27" s="1"/>
  <c r="CJ46" i="27" a="1"/>
  <c r="CJ46" i="27" s="1"/>
  <c r="BZ46" i="27" a="1"/>
  <c r="BZ46" i="27" s="1"/>
  <c r="CI46" i="27" a="1"/>
  <c r="CI46" i="27" s="1"/>
  <c r="CP46" i="27" a="1"/>
  <c r="CP46" i="27" s="1"/>
  <c r="CV46" i="27" a="1"/>
  <c r="CV46" i="27" s="1"/>
  <c r="CC46" i="27" a="1"/>
  <c r="CC46" i="27" s="1"/>
  <c r="CL46" i="27" a="1"/>
  <c r="CL46" i="27" s="1"/>
  <c r="CQ46" i="27" a="1"/>
  <c r="CQ46" i="27" s="1"/>
  <c r="CF46" i="27" a="1"/>
  <c r="CF46" i="27" s="1"/>
  <c r="CR46" i="27" a="1"/>
  <c r="CR46" i="27" s="1"/>
  <c r="CN46" i="27" a="1"/>
  <c r="CN46" i="27" s="1"/>
  <c r="CS46" i="27" a="1"/>
  <c r="CS46" i="27" s="1"/>
  <c r="CU46" i="27" a="1"/>
  <c r="CU46" i="27" s="1"/>
  <c r="CM46" i="27" a="1"/>
  <c r="CM46" i="27" s="1"/>
  <c r="CB46" i="27" a="1"/>
  <c r="CB46" i="27" s="1"/>
  <c r="CT46" i="27" a="1"/>
  <c r="CT46" i="27" s="1"/>
  <c r="CE46" i="27" a="1"/>
  <c r="CE46" i="27" s="1"/>
  <c r="CK46" i="27" a="1"/>
  <c r="CK46" i="27" s="1"/>
  <c r="CH46" i="27" a="1"/>
  <c r="CH46" i="27" s="1"/>
  <c r="CO46" i="27" a="1"/>
  <c r="CO46" i="27" s="1"/>
  <c r="BY46" i="27" a="1"/>
  <c r="BY46" i="27" s="1"/>
  <c r="CJ64" i="27" a="1"/>
  <c r="CJ64" i="27" s="1"/>
  <c r="CP64" i="27" a="1"/>
  <c r="CP64" i="27" s="1"/>
  <c r="CL64" i="27" a="1"/>
  <c r="CL64" i="27" s="1"/>
  <c r="CR64" i="27" a="1"/>
  <c r="CR64" i="27" s="1"/>
  <c r="CA64" i="27" a="1"/>
  <c r="CA64" i="27" s="1"/>
  <c r="CT64" i="27" a="1"/>
  <c r="CT64" i="27" s="1"/>
  <c r="CB64" i="27" a="1"/>
  <c r="CB64" i="27" s="1"/>
  <c r="CG64" i="27" a="1"/>
  <c r="CG64" i="27" s="1"/>
  <c r="CN64" i="27" a="1"/>
  <c r="CN64" i="27" s="1"/>
  <c r="CD64" i="27" a="1"/>
  <c r="CD64" i="27" s="1"/>
  <c r="CI64" i="27" a="1"/>
  <c r="CI64" i="27" s="1"/>
  <c r="CO64" i="27" a="1"/>
  <c r="CO64" i="27" s="1"/>
  <c r="CV64" i="27" a="1"/>
  <c r="CV64" i="27" s="1"/>
  <c r="BZ64" i="27" a="1"/>
  <c r="BZ64" i="27" s="1"/>
  <c r="CQ64" i="27" a="1"/>
  <c r="CQ64" i="27" s="1"/>
  <c r="CE64" i="27" a="1"/>
  <c r="CE64" i="27" s="1"/>
  <c r="CU64" i="27" a="1"/>
  <c r="CU64" i="27" s="1"/>
  <c r="CH64" i="27" a="1"/>
  <c r="CH64" i="27" s="1"/>
  <c r="CK64" i="27" a="1"/>
  <c r="CK64" i="27" s="1"/>
  <c r="CS64" i="27" a="1"/>
  <c r="CS64" i="27" s="1"/>
  <c r="CC64" i="27" a="1"/>
  <c r="CC64" i="27" s="1"/>
  <c r="CM64" i="27" a="1"/>
  <c r="CM64" i="27" s="1"/>
  <c r="CF64" i="27" a="1"/>
  <c r="CF64" i="27" s="1"/>
  <c r="BY64" i="27" a="1"/>
  <c r="BY64" i="27" s="1"/>
  <c r="CJ42" i="27" a="1"/>
  <c r="CJ42" i="27" s="1"/>
  <c r="CP42" i="27" a="1"/>
  <c r="CP42" i="27" s="1"/>
  <c r="CV42" i="27" a="1"/>
  <c r="CV42" i="27" s="1"/>
  <c r="CE42" i="27" a="1"/>
  <c r="CE42" i="27" s="1"/>
  <c r="CR42" i="27" a="1"/>
  <c r="CR42" i="27" s="1"/>
  <c r="CG42" i="27" a="1"/>
  <c r="CG42" i="27" s="1"/>
  <c r="CT42" i="27" a="1"/>
  <c r="CT42" i="27" s="1"/>
  <c r="CA42" i="27" a="1"/>
  <c r="CA42" i="27" s="1"/>
  <c r="CH42" i="27" a="1"/>
  <c r="CH42" i="27" s="1"/>
  <c r="CM42" i="27" a="1"/>
  <c r="CM42" i="27" s="1"/>
  <c r="CC42" i="27" a="1"/>
  <c r="CC42" i="27" s="1"/>
  <c r="CO42" i="27" a="1"/>
  <c r="CO42" i="27" s="1"/>
  <c r="CN42" i="27" a="1"/>
  <c r="CN42" i="27" s="1"/>
  <c r="CB42" i="27" a="1"/>
  <c r="CB42" i="27" s="1"/>
  <c r="CS42" i="27" a="1"/>
  <c r="CS42" i="27" s="1"/>
  <c r="CF42" i="27" a="1"/>
  <c r="CF42" i="27" s="1"/>
  <c r="CI42" i="27" a="1"/>
  <c r="CI42" i="27" s="1"/>
  <c r="CL42" i="27" a="1"/>
  <c r="CL42" i="27" s="1"/>
  <c r="BZ42" i="27" a="1"/>
  <c r="BZ42" i="27" s="1"/>
  <c r="CK42" i="27" a="1"/>
  <c r="CK42" i="27" s="1"/>
  <c r="CQ42" i="27" a="1"/>
  <c r="CQ42" i="27" s="1"/>
  <c r="CU42" i="27" a="1"/>
  <c r="CU42" i="27" s="1"/>
  <c r="CD42" i="27" a="1"/>
  <c r="CD42" i="27" s="1"/>
  <c r="BY42" i="27" a="1"/>
  <c r="BY42" i="27" s="1"/>
  <c r="CF12" i="27" a="1"/>
  <c r="CF12" i="27" s="1"/>
  <c r="CN12" i="27" a="1"/>
  <c r="CN12" i="27" s="1"/>
  <c r="CV12" i="27" a="1"/>
  <c r="CV12" i="27" s="1"/>
  <c r="BZ12" i="27" a="1"/>
  <c r="BZ12" i="27" s="1"/>
  <c r="CH12" i="27" a="1"/>
  <c r="CH12" i="27" s="1"/>
  <c r="CP12" i="27" a="1"/>
  <c r="CP12" i="27" s="1"/>
  <c r="CB12" i="27" a="1"/>
  <c r="CB12" i="27" s="1"/>
  <c r="CJ12" i="27" a="1"/>
  <c r="CJ12" i="27" s="1"/>
  <c r="CR12" i="27" a="1"/>
  <c r="CR12" i="27" s="1"/>
  <c r="CC12" i="27" a="1"/>
  <c r="CC12" i="27" s="1"/>
  <c r="CK12" i="27" a="1"/>
  <c r="CK12" i="27" s="1"/>
  <c r="CS12" i="27" a="1"/>
  <c r="CS12" i="27" s="1"/>
  <c r="CE12" i="27" a="1"/>
  <c r="CE12" i="27" s="1"/>
  <c r="CM12" i="27" a="1"/>
  <c r="CM12" i="27" s="1"/>
  <c r="CU12" i="27" a="1"/>
  <c r="CU12" i="27" s="1"/>
  <c r="CO12" i="27" a="1"/>
  <c r="CO12" i="27" s="1"/>
  <c r="CT12" i="27" a="1"/>
  <c r="CT12" i="27" s="1"/>
  <c r="CD12" i="27" a="1"/>
  <c r="CD12" i="27" s="1"/>
  <c r="CG12" i="27" a="1"/>
  <c r="CG12" i="27" s="1"/>
  <c r="CL12" i="27" a="1"/>
  <c r="CL12" i="27" s="1"/>
  <c r="CA12" i="27" a="1"/>
  <c r="CA12" i="27" s="1"/>
  <c r="CQ12" i="27" a="1"/>
  <c r="CQ12" i="27" s="1"/>
  <c r="CI12" i="27" a="1"/>
  <c r="CI12" i="27" s="1"/>
  <c r="BY12" i="27" a="1"/>
  <c r="BY12" i="27" s="1"/>
  <c r="BZ56" i="27" a="1"/>
  <c r="BZ56" i="27" s="1"/>
  <c r="CE56" i="27" a="1"/>
  <c r="CE56" i="27" s="1"/>
  <c r="CQ56" i="27" a="1"/>
  <c r="CQ56" i="27" s="1"/>
  <c r="CV56" i="27" a="1"/>
  <c r="CV56" i="27" s="1"/>
  <c r="CG56" i="27" a="1"/>
  <c r="CG56" i="27" s="1"/>
  <c r="CH56" i="27" a="1"/>
  <c r="CH56" i="27" s="1"/>
  <c r="CM56" i="27" a="1"/>
  <c r="CM56" i="27" s="1"/>
  <c r="CC56" i="27" a="1"/>
  <c r="CC56" i="27" s="1"/>
  <c r="CI56" i="27" a="1"/>
  <c r="CI56" i="27" s="1"/>
  <c r="CN56" i="27" a="1"/>
  <c r="CN56" i="27" s="1"/>
  <c r="CT56" i="27" a="1"/>
  <c r="CT56" i="27" s="1"/>
  <c r="CD56" i="27" a="1"/>
  <c r="CD56" i="27" s="1"/>
  <c r="CJ56" i="27" a="1"/>
  <c r="CJ56" i="27" s="1"/>
  <c r="CP56" i="27" a="1"/>
  <c r="CP56" i="27" s="1"/>
  <c r="CL56" i="27" a="1"/>
  <c r="CL56" i="27" s="1"/>
  <c r="CB56" i="27" a="1"/>
  <c r="CB56" i="27" s="1"/>
  <c r="CR56" i="27" a="1"/>
  <c r="CR56" i="27" s="1"/>
  <c r="CF56" i="27" a="1"/>
  <c r="CF56" i="27" s="1"/>
  <c r="CU56" i="27" a="1"/>
  <c r="CU56" i="27" s="1"/>
  <c r="CK56" i="27" a="1"/>
  <c r="CK56" i="27" s="1"/>
  <c r="CO56" i="27" a="1"/>
  <c r="CO56" i="27" s="1"/>
  <c r="CA56" i="27" a="1"/>
  <c r="CA56" i="27" s="1"/>
  <c r="CS56" i="27" a="1"/>
  <c r="CS56" i="27" s="1"/>
  <c r="BY56" i="27" a="1"/>
  <c r="BY56" i="27" s="1"/>
  <c r="CF34" i="27" a="1"/>
  <c r="CF34" i="27" s="1"/>
  <c r="CS34" i="27" a="1"/>
  <c r="CS34" i="27" s="1"/>
  <c r="CH34" i="27" a="1"/>
  <c r="CH34" i="27" s="1"/>
  <c r="CN34" i="27" a="1"/>
  <c r="CN34" i="27" s="1"/>
  <c r="CU34" i="27" a="1"/>
  <c r="CU34" i="27" s="1"/>
  <c r="CC34" i="27" a="1"/>
  <c r="CC34" i="27" s="1"/>
  <c r="CV34" i="27" a="1"/>
  <c r="CV34" i="27" s="1"/>
  <c r="CJ34" i="27" a="1"/>
  <c r="CJ34" i="27" s="1"/>
  <c r="CP34" i="27" a="1"/>
  <c r="CP34" i="27" s="1"/>
  <c r="BZ34" i="27" a="1"/>
  <c r="BZ34" i="27" s="1"/>
  <c r="CE34" i="27" a="1"/>
  <c r="CE34" i="27" s="1"/>
  <c r="CL34" i="27" a="1"/>
  <c r="CL34" i="27" s="1"/>
  <c r="CR34" i="27" a="1"/>
  <c r="CR34" i="27" s="1"/>
  <c r="CO34" i="27" a="1"/>
  <c r="CO34" i="27" s="1"/>
  <c r="CB34" i="27" a="1"/>
  <c r="CB34" i="27" s="1"/>
  <c r="CT34" i="27" a="1"/>
  <c r="CT34" i="27" s="1"/>
  <c r="CG34" i="27" a="1"/>
  <c r="CG34" i="27" s="1"/>
  <c r="CI34" i="27" a="1"/>
  <c r="CI34" i="27" s="1"/>
  <c r="CM34" i="27" a="1"/>
  <c r="CM34" i="27" s="1"/>
  <c r="CD34" i="27" a="1"/>
  <c r="CD34" i="27" s="1"/>
  <c r="CQ34" i="27" a="1"/>
  <c r="CQ34" i="27" s="1"/>
  <c r="CK34" i="27" a="1"/>
  <c r="CK34" i="27" s="1"/>
  <c r="CA34" i="27" a="1"/>
  <c r="CA34" i="27" s="1"/>
  <c r="BY34" i="27" a="1"/>
  <c r="BY34" i="27" s="1"/>
  <c r="CC17" i="27" a="1"/>
  <c r="CC17" i="27" s="1"/>
  <c r="CK17" i="27" a="1"/>
  <c r="CK17" i="27" s="1"/>
  <c r="CS17" i="27" a="1"/>
  <c r="CS17" i="27" s="1"/>
  <c r="CE17" i="27" a="1"/>
  <c r="CE17" i="27" s="1"/>
  <c r="CM17" i="27" a="1"/>
  <c r="CM17" i="27" s="1"/>
  <c r="CU17" i="27" a="1"/>
  <c r="CU17" i="27" s="1"/>
  <c r="CG17" i="27" a="1"/>
  <c r="CG17" i="27" s="1"/>
  <c r="CO17" i="27" a="1"/>
  <c r="CO17" i="27" s="1"/>
  <c r="BZ17" i="27" a="1"/>
  <c r="BZ17" i="27" s="1"/>
  <c r="CH17" i="27" a="1"/>
  <c r="CH17" i="27" s="1"/>
  <c r="CP17" i="27" a="1"/>
  <c r="CP17" i="27" s="1"/>
  <c r="CB17" i="27" a="1"/>
  <c r="CB17" i="27" s="1"/>
  <c r="CJ17" i="27" a="1"/>
  <c r="CJ17" i="27" s="1"/>
  <c r="CR17" i="27" a="1"/>
  <c r="CR17" i="27" s="1"/>
  <c r="CF17" i="27" a="1"/>
  <c r="CF17" i="27" s="1"/>
  <c r="CL17" i="27" a="1"/>
  <c r="CL17" i="27" s="1"/>
  <c r="CQ17" i="27" a="1"/>
  <c r="CQ17" i="27" s="1"/>
  <c r="CT17" i="27" a="1"/>
  <c r="CT17" i="27" s="1"/>
  <c r="CD17" i="27" a="1"/>
  <c r="CD17" i="27" s="1"/>
  <c r="CA17" i="27" a="1"/>
  <c r="CA17" i="27" s="1"/>
  <c r="CN17" i="27" a="1"/>
  <c r="CN17" i="27" s="1"/>
  <c r="CV17" i="27" a="1"/>
  <c r="CV17" i="27" s="1"/>
  <c r="CI17" i="27" a="1"/>
  <c r="CI17" i="27" s="1"/>
  <c r="BY17" i="27" a="1"/>
  <c r="BY17" i="27" s="1"/>
  <c r="BU140" i="27"/>
  <c r="H140" i="27"/>
  <c r="I138" i="31"/>
  <c r="I4" i="12"/>
  <c r="I95" i="31"/>
  <c r="I67" i="31"/>
  <c r="I19" i="31"/>
  <c r="I106" i="31"/>
  <c r="I133" i="31"/>
  <c r="I93" i="31"/>
  <c r="I62" i="31"/>
  <c r="I130" i="31"/>
  <c r="I66" i="31"/>
  <c r="I120" i="31"/>
  <c r="I72" i="31"/>
  <c r="I27" i="31"/>
  <c r="I100" i="31"/>
  <c r="I75" i="31"/>
  <c r="I114" i="31"/>
  <c r="I42" i="31"/>
  <c r="I97" i="31"/>
  <c r="I128" i="31"/>
  <c r="I48" i="31"/>
  <c r="I61" i="31"/>
  <c r="I73" i="31"/>
  <c r="I104" i="31"/>
  <c r="I35" i="31"/>
  <c r="I40" i="31"/>
  <c r="I132" i="31"/>
  <c r="I13" i="31"/>
  <c r="I22" i="31"/>
  <c r="I108" i="31"/>
  <c r="I28" i="31"/>
  <c r="I87" i="31"/>
  <c r="I25" i="31"/>
  <c r="I137" i="31"/>
  <c r="I88" i="31"/>
  <c r="I54" i="31"/>
  <c r="I117" i="31"/>
  <c r="I37" i="31"/>
  <c r="I110" i="31"/>
  <c r="I50" i="31"/>
  <c r="I71" i="31"/>
  <c r="I23" i="31"/>
  <c r="I24" i="31"/>
  <c r="I84" i="31"/>
  <c r="I11" i="31"/>
  <c r="I17" i="31"/>
  <c r="I16" i="31"/>
  <c r="I7" i="31"/>
  <c r="I59" i="31"/>
  <c r="I126" i="31"/>
  <c r="I60" i="31"/>
  <c r="I63" i="31"/>
  <c r="I105" i="31"/>
  <c r="I41" i="31"/>
  <c r="I86" i="31"/>
  <c r="I8" i="31"/>
  <c r="I103" i="31"/>
  <c r="I55" i="31"/>
  <c r="I83" i="31"/>
  <c r="I122" i="31"/>
  <c r="I53" i="31"/>
  <c r="I30" i="31"/>
  <c r="I116" i="31"/>
  <c r="I96" i="31"/>
  <c r="I56" i="31"/>
  <c r="I79" i="31"/>
  <c r="I38" i="31"/>
  <c r="I6" i="31"/>
  <c r="I12" i="31"/>
  <c r="I136" i="31"/>
  <c r="I47" i="31"/>
  <c r="I134" i="31"/>
  <c r="I70" i="31"/>
  <c r="I125" i="31"/>
  <c r="I77" i="31"/>
  <c r="I92" i="31"/>
  <c r="I4" i="31"/>
  <c r="I4" i="30"/>
  <c r="I115" i="31"/>
  <c r="I43" i="31"/>
  <c r="I89" i="31"/>
  <c r="I9" i="31"/>
  <c r="I18" i="31"/>
  <c r="I21" i="31"/>
  <c r="I78" i="31"/>
  <c r="I68" i="31"/>
  <c r="I39" i="31"/>
  <c r="I129" i="31"/>
  <c r="I81" i="31"/>
  <c r="I65" i="31"/>
  <c r="I26" i="31"/>
  <c r="I99" i="31"/>
  <c r="I123" i="31"/>
  <c r="I29" i="31"/>
  <c r="I124" i="31"/>
  <c r="I44" i="31"/>
  <c r="I127" i="31"/>
  <c r="I98" i="31"/>
  <c r="I91" i="31"/>
  <c r="I111" i="31"/>
  <c r="I101" i="31"/>
  <c r="I85" i="31"/>
  <c r="I14" i="31"/>
  <c r="I82" i="31"/>
  <c r="I33" i="31"/>
  <c r="I135" i="31"/>
  <c r="I112" i="31"/>
  <c r="I80" i="31"/>
  <c r="I119" i="31"/>
  <c r="I74" i="31"/>
  <c r="I94" i="31"/>
  <c r="I118" i="31"/>
  <c r="I58" i="31"/>
  <c r="I34" i="31"/>
  <c r="I90" i="31"/>
  <c r="I69" i="31"/>
  <c r="I5" i="31"/>
  <c r="I36" i="31"/>
  <c r="I20" i="31"/>
  <c r="I51" i="31"/>
  <c r="I64" i="31"/>
  <c r="I32" i="31"/>
  <c r="I15" i="31"/>
  <c r="I109" i="31"/>
  <c r="I45" i="31"/>
  <c r="I76" i="31"/>
  <c r="I107" i="31"/>
  <c r="I121" i="31"/>
  <c r="I57" i="31"/>
  <c r="I52" i="31"/>
  <c r="I31" i="31"/>
  <c r="I113" i="31"/>
  <c r="I49" i="31"/>
  <c r="I102" i="31"/>
  <c r="I46" i="31"/>
  <c r="I10" i="31"/>
  <c r="I79" i="12"/>
  <c r="I79" i="30"/>
  <c r="I38" i="12"/>
  <c r="I38" i="30"/>
  <c r="I6" i="12"/>
  <c r="I6" i="30"/>
  <c r="I12" i="30"/>
  <c r="I12" i="12"/>
  <c r="I136" i="12"/>
  <c r="I136" i="30"/>
  <c r="I47" i="30"/>
  <c r="I47" i="12"/>
  <c r="I134" i="12"/>
  <c r="I134" i="30"/>
  <c r="I70" i="12"/>
  <c r="I70" i="30"/>
  <c r="I125" i="12"/>
  <c r="I125" i="30"/>
  <c r="I77" i="30"/>
  <c r="I77" i="12"/>
  <c r="I61" i="12"/>
  <c r="I61" i="30"/>
  <c r="I92" i="30"/>
  <c r="I92" i="12"/>
  <c r="I115" i="30"/>
  <c r="I115" i="12"/>
  <c r="I43" i="30"/>
  <c r="I43" i="12"/>
  <c r="I89" i="12"/>
  <c r="I89" i="30"/>
  <c r="I73" i="30"/>
  <c r="I73" i="12"/>
  <c r="I9" i="30"/>
  <c r="I9" i="12"/>
  <c r="I18" i="12"/>
  <c r="I18" i="30"/>
  <c r="I104" i="30"/>
  <c r="I104" i="12"/>
  <c r="I35" i="30"/>
  <c r="I35" i="12"/>
  <c r="I21" i="30"/>
  <c r="I21" i="12"/>
  <c r="I78" i="12"/>
  <c r="I78" i="30"/>
  <c r="I68" i="12"/>
  <c r="I68" i="30"/>
  <c r="I39" i="30"/>
  <c r="I39" i="12"/>
  <c r="I95" i="30"/>
  <c r="I95" i="12"/>
  <c r="I129" i="12"/>
  <c r="I129" i="30"/>
  <c r="I81" i="30"/>
  <c r="I81" i="12"/>
  <c r="I65" i="12"/>
  <c r="I65" i="30"/>
  <c r="I26" i="12"/>
  <c r="I26" i="30"/>
  <c r="I99" i="30"/>
  <c r="I99" i="12"/>
  <c r="I123" i="30"/>
  <c r="I123" i="12"/>
  <c r="I29" i="12"/>
  <c r="I29" i="30"/>
  <c r="I124" i="12"/>
  <c r="I124" i="30"/>
  <c r="I44" i="30"/>
  <c r="I44" i="12"/>
  <c r="I127" i="12"/>
  <c r="I127" i="30"/>
  <c r="I98" i="12"/>
  <c r="I98" i="30"/>
  <c r="I40" i="30"/>
  <c r="I40" i="12"/>
  <c r="I91" i="12"/>
  <c r="I91" i="30"/>
  <c r="I111" i="30"/>
  <c r="I111" i="12"/>
  <c r="I101" i="12"/>
  <c r="I101" i="30"/>
  <c r="I85" i="30"/>
  <c r="I85" i="12"/>
  <c r="I14" i="12"/>
  <c r="I14" i="30"/>
  <c r="I82" i="12"/>
  <c r="I82" i="30"/>
  <c r="I33" i="12"/>
  <c r="I33" i="30"/>
  <c r="I135" i="12"/>
  <c r="I135" i="30"/>
  <c r="I112" i="12"/>
  <c r="I112" i="30"/>
  <c r="I80" i="12"/>
  <c r="I80" i="30"/>
  <c r="I119" i="30"/>
  <c r="I119" i="12"/>
  <c r="I74" i="30"/>
  <c r="I74" i="12"/>
  <c r="I94" i="12"/>
  <c r="I94" i="30"/>
  <c r="I118" i="30"/>
  <c r="I118" i="12"/>
  <c r="I58" i="30"/>
  <c r="I58" i="12"/>
  <c r="I34" i="12"/>
  <c r="I34" i="30"/>
  <c r="I90" i="12"/>
  <c r="I90" i="30"/>
  <c r="I69" i="30"/>
  <c r="I69" i="12"/>
  <c r="I5" i="12"/>
  <c r="I5" i="30"/>
  <c r="I36" i="30"/>
  <c r="I36" i="12"/>
  <c r="I20" i="30"/>
  <c r="I20" i="12"/>
  <c r="I51" i="30"/>
  <c r="I51" i="12"/>
  <c r="I64" i="12"/>
  <c r="I64" i="30"/>
  <c r="I32" i="30"/>
  <c r="I32" i="12"/>
  <c r="I15" i="12"/>
  <c r="I15" i="30"/>
  <c r="I109" i="12"/>
  <c r="I109" i="30"/>
  <c r="I45" i="12"/>
  <c r="I45" i="30"/>
  <c r="I76" i="30"/>
  <c r="I76" i="12"/>
  <c r="I107" i="30"/>
  <c r="I107" i="12"/>
  <c r="I121" i="12"/>
  <c r="I121" i="30"/>
  <c r="I57" i="12"/>
  <c r="I57" i="30"/>
  <c r="I132" i="12"/>
  <c r="I132" i="30"/>
  <c r="I52" i="12"/>
  <c r="I52" i="30"/>
  <c r="I31" i="30"/>
  <c r="I31" i="12"/>
  <c r="I113" i="12"/>
  <c r="I113" i="30"/>
  <c r="I49" i="12"/>
  <c r="I49" i="30"/>
  <c r="I102" i="12"/>
  <c r="I102" i="30"/>
  <c r="I46" i="12"/>
  <c r="I46" i="30"/>
  <c r="I10" i="30"/>
  <c r="I10" i="12"/>
  <c r="I13" i="30"/>
  <c r="I13" i="12"/>
  <c r="I22" i="12"/>
  <c r="I22" i="30"/>
  <c r="I108" i="30"/>
  <c r="I108" i="12"/>
  <c r="I28" i="30"/>
  <c r="I28" i="12"/>
  <c r="I87" i="12"/>
  <c r="I87" i="30"/>
  <c r="I25" i="12"/>
  <c r="I25" i="30"/>
  <c r="I137" i="30"/>
  <c r="I137" i="12"/>
  <c r="I88" i="30"/>
  <c r="I88" i="12"/>
  <c r="I54" i="30"/>
  <c r="I54" i="12"/>
  <c r="I117" i="12"/>
  <c r="I117" i="30"/>
  <c r="I37" i="12"/>
  <c r="I37" i="30"/>
  <c r="I110" i="12"/>
  <c r="I110" i="30"/>
  <c r="I50" i="12"/>
  <c r="I50" i="30"/>
  <c r="I71" i="12"/>
  <c r="I71" i="30"/>
  <c r="I23" i="12"/>
  <c r="I23" i="30"/>
  <c r="I24" i="30"/>
  <c r="I24" i="12"/>
  <c r="I67" i="12"/>
  <c r="I67" i="30"/>
  <c r="I19" i="12"/>
  <c r="I19" i="30"/>
  <c r="I106" i="12"/>
  <c r="I106" i="30"/>
  <c r="I133" i="30"/>
  <c r="I133" i="12"/>
  <c r="I93" i="12"/>
  <c r="I93" i="30"/>
  <c r="I62" i="30"/>
  <c r="I62" i="12"/>
  <c r="I130" i="30"/>
  <c r="I130" i="12"/>
  <c r="I66" i="30"/>
  <c r="I66" i="12"/>
  <c r="I120" i="12"/>
  <c r="I120" i="30"/>
  <c r="I72" i="12"/>
  <c r="I72" i="30"/>
  <c r="I27" i="12"/>
  <c r="I27" i="30"/>
  <c r="I100" i="30"/>
  <c r="I100" i="12"/>
  <c r="I84" i="30"/>
  <c r="I84" i="12"/>
  <c r="I75" i="12"/>
  <c r="I75" i="30"/>
  <c r="I11" i="12"/>
  <c r="I11" i="30"/>
  <c r="I114" i="12"/>
  <c r="I114" i="30"/>
  <c r="I42" i="12"/>
  <c r="I42" i="30"/>
  <c r="I97" i="12"/>
  <c r="I97" i="30"/>
  <c r="I17" i="30"/>
  <c r="I17" i="12"/>
  <c r="I128" i="12"/>
  <c r="I128" i="30"/>
  <c r="I48" i="12"/>
  <c r="I48" i="30"/>
  <c r="I16" i="12"/>
  <c r="I16" i="30"/>
  <c r="I7" i="12"/>
  <c r="I7" i="30"/>
  <c r="I59" i="30"/>
  <c r="I59" i="12"/>
  <c r="I126" i="30"/>
  <c r="I126" i="12"/>
  <c r="I60" i="12"/>
  <c r="I60" i="30"/>
  <c r="I63" i="12"/>
  <c r="I63" i="30"/>
  <c r="I138" i="30"/>
  <c r="I138" i="12"/>
  <c r="I105" i="12"/>
  <c r="I105" i="30"/>
  <c r="I41" i="12"/>
  <c r="I41" i="30"/>
  <c r="I86" i="12"/>
  <c r="I86" i="30"/>
  <c r="I8" i="12"/>
  <c r="I8" i="30"/>
  <c r="I103" i="30"/>
  <c r="I103" i="12"/>
  <c r="I55" i="30"/>
  <c r="I55" i="12"/>
  <c r="I83" i="12"/>
  <c r="I83" i="30"/>
  <c r="I122" i="30"/>
  <c r="I122" i="12"/>
  <c r="I53" i="12"/>
  <c r="I53" i="30"/>
  <c r="I30" i="12"/>
  <c r="I30" i="30"/>
  <c r="I116" i="12"/>
  <c r="I116" i="30"/>
  <c r="I96" i="30"/>
  <c r="I96" i="12"/>
  <c r="I56" i="12"/>
  <c r="I56" i="30"/>
  <c r="O12" i="13"/>
  <c r="N9" i="13"/>
  <c r="AW95" i="27"/>
  <c r="AW79" i="27"/>
  <c r="AW94" i="27"/>
  <c r="AW62" i="27"/>
  <c r="AW46" i="27"/>
  <c r="AW65" i="27"/>
  <c r="AW7" i="27"/>
  <c r="AW112" i="27"/>
  <c r="AW80" i="27"/>
  <c r="AW52" i="27"/>
  <c r="AW22" i="27"/>
  <c r="AW33" i="27"/>
  <c r="AW116" i="27"/>
  <c r="AW84" i="27"/>
  <c r="AW44" i="27"/>
  <c r="AW131" i="27"/>
  <c r="AW115" i="27"/>
  <c r="AW82" i="27"/>
  <c r="AW31" i="27"/>
  <c r="AW15" i="27"/>
  <c r="AW8" i="27"/>
  <c r="AW42" i="27"/>
  <c r="AW57" i="27"/>
  <c r="AW134" i="27"/>
  <c r="AW118" i="27"/>
  <c r="AW102" i="27"/>
  <c r="AW86" i="27"/>
  <c r="AW53" i="27"/>
  <c r="AW77" i="27"/>
  <c r="AW34" i="27"/>
  <c r="AW18" i="27"/>
  <c r="AW101" i="27"/>
  <c r="AW63" i="27"/>
  <c r="AW47" i="27"/>
  <c r="AW40" i="27"/>
  <c r="AW117" i="27"/>
  <c r="AW109" i="27"/>
  <c r="AW45" i="27"/>
  <c r="AW129" i="27"/>
  <c r="AW132" i="27"/>
  <c r="AW68" i="27"/>
  <c r="AW140" i="27"/>
  <c r="AW123" i="27"/>
  <c r="AW107" i="27"/>
  <c r="AW27" i="27"/>
  <c r="AW120" i="27"/>
  <c r="AW88" i="27"/>
  <c r="AW60" i="27"/>
  <c r="AW139" i="27"/>
  <c r="AW122" i="27"/>
  <c r="AW106" i="27"/>
  <c r="AW90" i="27"/>
  <c r="AW10" i="27"/>
  <c r="AW105" i="27"/>
  <c r="AW138" i="27"/>
  <c r="AW113" i="27"/>
  <c r="AW124" i="27"/>
  <c r="AW92" i="27"/>
  <c r="AW56" i="27"/>
  <c r="AW136" i="27"/>
  <c r="AW119" i="27"/>
  <c r="AW103" i="27"/>
  <c r="AW23" i="27"/>
  <c r="AW32" i="27"/>
  <c r="AW16" i="27"/>
  <c r="AW13" i="27"/>
  <c r="AW97" i="27"/>
  <c r="AW99" i="27"/>
  <c r="AW83" i="27"/>
  <c r="AW67" i="27"/>
  <c r="AW51" i="27"/>
  <c r="AW35" i="27"/>
  <c r="AW98" i="27"/>
  <c r="AW69" i="27"/>
  <c r="AW121" i="27"/>
  <c r="AW125" i="27"/>
  <c r="AW61" i="27"/>
  <c r="AW108" i="27"/>
  <c r="AW76" i="27"/>
  <c r="AW135" i="27"/>
  <c r="AW127" i="27"/>
  <c r="AW111" i="27"/>
  <c r="AW128" i="27"/>
  <c r="AW64" i="27"/>
  <c r="AW24" i="27"/>
  <c r="AW126" i="27"/>
  <c r="AW110" i="27"/>
  <c r="AW78" i="27"/>
  <c r="AW30" i="27"/>
  <c r="AW14" i="27"/>
  <c r="AW89" i="27"/>
  <c r="AW100" i="27"/>
  <c r="AW91" i="27"/>
  <c r="AW75" i="27"/>
  <c r="AW59" i="27"/>
  <c r="AW43" i="27"/>
  <c r="AW20" i="27"/>
  <c r="AW85" i="27"/>
  <c r="AW93" i="27"/>
  <c r="AW87" i="27"/>
  <c r="AW70" i="27"/>
  <c r="AW54" i="27"/>
  <c r="AW73" i="27"/>
  <c r="AW25" i="27"/>
  <c r="AW28" i="27"/>
  <c r="AW12" i="27"/>
  <c r="AW66" i="27"/>
  <c r="AW50" i="27"/>
  <c r="AW58" i="27"/>
  <c r="EC118" i="27"/>
  <c r="EC111" i="27"/>
  <c r="EC16" i="27"/>
  <c r="EC133" i="27"/>
  <c r="EC102" i="27"/>
  <c r="EC49" i="27"/>
  <c r="EC53" i="27"/>
  <c r="EC33" i="27"/>
  <c r="EC119" i="27"/>
  <c r="EC100" i="27"/>
  <c r="EC54" i="27"/>
  <c r="EC34" i="27"/>
  <c r="EC60" i="27"/>
  <c r="EC31" i="27"/>
  <c r="EC79" i="27"/>
  <c r="DW17" i="27" l="1"/>
  <c r="DU17" i="27" s="1"/>
  <c r="X15" i="30" s="1"/>
  <c r="P12" i="13"/>
  <c r="O9" i="13"/>
  <c r="DW74" i="27"/>
  <c r="DY74" i="27" s="1"/>
  <c r="DW57" i="27"/>
  <c r="X94" i="12"/>
  <c r="X94" i="30"/>
  <c r="X79" i="12"/>
  <c r="X79" i="30"/>
  <c r="X68" i="12"/>
  <c r="X68" i="30"/>
  <c r="X52" i="30"/>
  <c r="X52" i="12"/>
  <c r="X6" i="30"/>
  <c r="X6" i="12"/>
  <c r="X59" i="30"/>
  <c r="X59" i="12"/>
  <c r="X99" i="12"/>
  <c r="X99" i="30"/>
  <c r="X109" i="12"/>
  <c r="X109" i="30"/>
  <c r="X65" i="30"/>
  <c r="X65" i="12"/>
  <c r="X72" i="12"/>
  <c r="X42" i="30"/>
  <c r="X42" i="12"/>
  <c r="X72" i="30"/>
  <c r="X113" i="12"/>
  <c r="X113" i="30"/>
  <c r="X97" i="30"/>
  <c r="X97" i="12"/>
  <c r="DW99" i="27"/>
  <c r="DY99" i="27" s="1"/>
  <c r="EC99" i="27" s="1"/>
  <c r="X107" i="12"/>
  <c r="X107" i="30"/>
  <c r="X57" i="12"/>
  <c r="X57" i="30"/>
  <c r="X43" i="12"/>
  <c r="X43" i="30"/>
  <c r="DW129" i="27"/>
  <c r="DW63" i="27"/>
  <c r="DY63" i="27" s="1"/>
  <c r="DW93" i="27"/>
  <c r="DW105" i="27"/>
  <c r="DW124" i="27"/>
  <c r="DW137" i="27"/>
  <c r="DU137" i="27" s="1"/>
  <c r="DW94" i="27"/>
  <c r="DW34" i="27"/>
  <c r="DU34" i="27" s="1"/>
  <c r="DW75" i="27"/>
  <c r="DU75" i="27" s="1"/>
  <c r="DW107" i="27"/>
  <c r="DW76" i="27"/>
  <c r="DU76" i="27" s="1"/>
  <c r="DW119" i="27"/>
  <c r="DW28" i="27"/>
  <c r="DU28" i="27" s="1"/>
  <c r="DW82" i="27"/>
  <c r="DY82" i="27" s="1"/>
  <c r="EC82" i="27" s="1"/>
  <c r="DW33" i="27"/>
  <c r="DW128" i="27"/>
  <c r="DW40" i="27"/>
  <c r="DW18" i="27"/>
  <c r="DU18" i="27" s="1"/>
  <c r="DW11" i="27"/>
  <c r="DY11" i="27" s="1"/>
  <c r="DW21" i="27"/>
  <c r="DW51" i="27"/>
  <c r="DW114" i="27"/>
  <c r="DU114" i="27" s="1"/>
  <c r="DW9" i="27"/>
  <c r="DW12" i="27"/>
  <c r="DW27" i="27"/>
  <c r="DW23" i="27"/>
  <c r="DU23" i="27" s="1"/>
  <c r="DW140" i="27"/>
  <c r="DW69" i="27"/>
  <c r="DW120" i="27"/>
  <c r="DU120" i="27" s="1"/>
  <c r="DW46" i="27"/>
  <c r="DW50" i="27"/>
  <c r="DW139" i="27"/>
  <c r="DU139" i="27" s="1"/>
  <c r="DW45" i="27"/>
  <c r="DY45" i="27" s="1"/>
  <c r="EC45" i="27" s="1"/>
  <c r="DW36" i="27"/>
  <c r="DU36" i="27" s="1"/>
  <c r="DW84" i="27"/>
  <c r="DU84" i="27" s="1"/>
  <c r="DW134" i="27"/>
  <c r="DW117" i="27"/>
  <c r="DW55" i="27"/>
  <c r="DY55" i="27" s="1"/>
  <c r="EC55" i="27" s="1"/>
  <c r="DW100" i="27"/>
  <c r="DW106" i="27"/>
  <c r="DW47" i="27"/>
  <c r="DW115" i="27"/>
  <c r="DY115" i="27" s="1"/>
  <c r="EC115" i="27" s="1"/>
  <c r="DW73" i="27"/>
  <c r="DW123" i="27"/>
  <c r="DW111" i="27"/>
  <c r="DY111" i="27" s="1"/>
  <c r="DW54" i="27"/>
  <c r="DY54" i="27" s="1"/>
  <c r="DW30" i="27"/>
  <c r="DW66" i="27"/>
  <c r="DU66" i="27" s="1"/>
  <c r="DW78" i="27"/>
  <c r="DW89" i="27"/>
  <c r="DW10" i="27"/>
  <c r="DU10" i="27" s="1"/>
  <c r="DW125" i="27"/>
  <c r="DW113" i="27"/>
  <c r="DW37" i="27"/>
  <c r="DW65" i="27"/>
  <c r="DW15" i="27"/>
  <c r="DW44" i="27"/>
  <c r="DY44" i="27" s="1"/>
  <c r="DW138" i="27"/>
  <c r="DU138" i="27" s="1"/>
  <c r="DW31" i="27"/>
  <c r="DU31" i="27" s="1"/>
  <c r="DW6" i="27"/>
  <c r="DW41" i="27"/>
  <c r="DU41" i="27" s="1"/>
  <c r="DW98" i="27"/>
  <c r="DW42" i="27"/>
  <c r="DW81" i="27"/>
  <c r="DY81" i="27" s="1"/>
  <c r="EC81" i="27" s="1"/>
  <c r="DW122" i="27"/>
  <c r="DW95" i="27"/>
  <c r="DW102" i="27"/>
  <c r="DU102" i="27" s="1"/>
  <c r="DW85" i="27"/>
  <c r="DW88" i="27"/>
  <c r="DU88" i="27" s="1"/>
  <c r="DW13" i="27"/>
  <c r="DW92" i="27"/>
  <c r="DY92" i="27" s="1"/>
  <c r="EC92" i="27" s="1"/>
  <c r="DW29" i="27"/>
  <c r="DW7" i="27"/>
  <c r="DU7" i="27" s="1"/>
  <c r="DW126" i="27"/>
  <c r="DW70" i="27"/>
  <c r="DY70" i="27" s="1"/>
  <c r="DW135" i="27"/>
  <c r="DW90" i="27"/>
  <c r="DW112" i="27"/>
  <c r="DU112" i="27" s="1"/>
  <c r="DW53" i="27"/>
  <c r="DY53" i="27" s="1"/>
  <c r="DW127" i="27"/>
  <c r="DW72" i="27"/>
  <c r="DW43" i="27"/>
  <c r="DW91" i="27"/>
  <c r="DU91" i="27" s="1"/>
  <c r="DW38" i="27"/>
  <c r="DW86" i="27"/>
  <c r="DW59" i="27"/>
  <c r="DY59" i="27" s="1"/>
  <c r="EC59" i="27" s="1"/>
  <c r="DW116" i="27"/>
  <c r="DW87" i="27"/>
  <c r="DW109" i="27"/>
  <c r="DY109" i="27" s="1"/>
  <c r="DW56" i="27"/>
  <c r="DW79" i="27"/>
  <c r="DW26" i="27"/>
  <c r="DW108" i="27"/>
  <c r="DW48" i="27"/>
  <c r="DW19" i="27"/>
  <c r="DU19" i="27" s="1"/>
  <c r="DW121" i="27"/>
  <c r="DU121" i="27" s="1"/>
  <c r="DW39" i="27"/>
  <c r="DW49" i="27"/>
  <c r="DU49" i="27" s="1"/>
  <c r="DW24" i="27"/>
  <c r="DW80" i="27"/>
  <c r="DW32" i="27"/>
  <c r="DU32" i="27" s="1"/>
  <c r="DW25" i="27"/>
  <c r="DW132" i="27"/>
  <c r="DW103" i="27"/>
  <c r="DW83" i="27"/>
  <c r="DU83" i="27" s="1"/>
  <c r="DW131" i="27"/>
  <c r="DW101" i="27"/>
  <c r="DY101" i="27" s="1"/>
  <c r="EB101" i="27" s="1"/>
  <c r="DW104" i="27"/>
  <c r="DW97" i="27"/>
  <c r="DW71" i="27"/>
  <c r="DU71" i="27" s="1"/>
  <c r="DW20" i="27"/>
  <c r="DW60" i="27"/>
  <c r="DW67" i="27"/>
  <c r="DY67" i="27" s="1"/>
  <c r="DW62" i="27"/>
  <c r="DU62" i="27" s="1"/>
  <c r="DW110" i="27"/>
  <c r="DW35" i="27"/>
  <c r="DW22" i="27"/>
  <c r="DW64" i="27"/>
  <c r="DU64" i="27" s="1"/>
  <c r="DW136" i="27"/>
  <c r="DW77" i="27"/>
  <c r="DW58" i="27"/>
  <c r="DW61" i="27"/>
  <c r="DY61" i="27" s="1"/>
  <c r="DW68" i="27"/>
  <c r="DU68" i="27" s="1"/>
  <c r="DW133" i="27"/>
  <c r="DW118" i="27"/>
  <c r="DU118" i="27" s="1"/>
  <c r="DW52" i="27"/>
  <c r="DW96" i="27"/>
  <c r="DY96" i="27" s="1"/>
  <c r="DW8" i="27"/>
  <c r="DW16" i="27"/>
  <c r="DW130" i="27"/>
  <c r="DU130" i="27" s="1"/>
  <c r="DW14" i="27"/>
  <c r="EB96" i="27" l="1"/>
  <c r="EC96" i="27"/>
  <c r="DY17" i="27"/>
  <c r="EC17" i="27" s="1"/>
  <c r="X15" i="12"/>
  <c r="DU79" i="27"/>
  <c r="X77" i="30" s="1"/>
  <c r="DU39" i="27"/>
  <c r="X37" i="30" s="1"/>
  <c r="DU72" i="27"/>
  <c r="X70" i="12" s="1"/>
  <c r="DU122" i="27"/>
  <c r="X120" i="12" s="1"/>
  <c r="DU78" i="27"/>
  <c r="X76" i="30" s="1"/>
  <c r="DU47" i="27"/>
  <c r="X45" i="30" s="1"/>
  <c r="DU27" i="27"/>
  <c r="X25" i="12" s="1"/>
  <c r="DU40" i="27"/>
  <c r="X38" i="30" s="1"/>
  <c r="DU129" i="27"/>
  <c r="X127" i="12" s="1"/>
  <c r="DU58" i="27"/>
  <c r="X56" i="12" s="1"/>
  <c r="DU87" i="27"/>
  <c r="X85" i="30" s="1"/>
  <c r="DU127" i="27"/>
  <c r="X125" i="12" s="1"/>
  <c r="DU29" i="27"/>
  <c r="X27" i="30" s="1"/>
  <c r="DU15" i="27"/>
  <c r="X13" i="12" s="1"/>
  <c r="DU106" i="27"/>
  <c r="X104" i="12" s="1"/>
  <c r="DU12" i="27"/>
  <c r="X10" i="30" s="1"/>
  <c r="DU128" i="27"/>
  <c r="X126" i="30" s="1"/>
  <c r="DU110" i="27"/>
  <c r="X108" i="30" s="1"/>
  <c r="DU24" i="27"/>
  <c r="X22" i="30" s="1"/>
  <c r="EA61" i="27"/>
  <c r="EC61" i="27"/>
  <c r="DU16" i="27"/>
  <c r="X14" i="30" s="1"/>
  <c r="DU77" i="27"/>
  <c r="X75" i="12" s="1"/>
  <c r="DU60" i="27"/>
  <c r="X58" i="30" s="1"/>
  <c r="DU103" i="27"/>
  <c r="X101" i="30" s="1"/>
  <c r="DU136" i="27"/>
  <c r="X134" i="12" s="1"/>
  <c r="DU20" i="27"/>
  <c r="X18" i="30" s="1"/>
  <c r="DU132" i="27"/>
  <c r="X130" i="30" s="1"/>
  <c r="DU116" i="27"/>
  <c r="X114" i="12" s="1"/>
  <c r="DU42" i="27"/>
  <c r="X40" i="30" s="1"/>
  <c r="DU65" i="27"/>
  <c r="X63" i="30" s="1"/>
  <c r="DU30" i="27"/>
  <c r="X28" i="30" s="1"/>
  <c r="DU100" i="27"/>
  <c r="X98" i="12" s="1"/>
  <c r="DU50" i="27"/>
  <c r="X48" i="12" s="1"/>
  <c r="DU9" i="27"/>
  <c r="X7" i="30" s="1"/>
  <c r="DU33" i="27"/>
  <c r="X31" i="30" s="1"/>
  <c r="DU94" i="27"/>
  <c r="X92" i="30" s="1"/>
  <c r="DU57" i="27"/>
  <c r="X55" i="30" s="1"/>
  <c r="DU25" i="27"/>
  <c r="X23" i="12" s="1"/>
  <c r="DU98" i="27"/>
  <c r="X96" i="30" s="1"/>
  <c r="DU37" i="27"/>
  <c r="X35" i="30" s="1"/>
  <c r="DU22" i="27"/>
  <c r="X20" i="12" s="1"/>
  <c r="DU108" i="27"/>
  <c r="X106" i="30" s="1"/>
  <c r="DU86" i="27"/>
  <c r="X84" i="12" s="1"/>
  <c r="DU90" i="27"/>
  <c r="X88" i="30" s="1"/>
  <c r="DU113" i="27"/>
  <c r="X111" i="30" s="1"/>
  <c r="DU117" i="27"/>
  <c r="X115" i="12" s="1"/>
  <c r="DU51" i="27"/>
  <c r="X49" i="12" s="1"/>
  <c r="DU124" i="27"/>
  <c r="X122" i="12" s="1"/>
  <c r="DU48" i="27"/>
  <c r="X46" i="12" s="1"/>
  <c r="DU14" i="27"/>
  <c r="X12" i="30" s="1"/>
  <c r="DU133" i="27"/>
  <c r="X131" i="12" s="1"/>
  <c r="DU35" i="27"/>
  <c r="X33" i="30" s="1"/>
  <c r="DU26" i="27"/>
  <c r="X24" i="12" s="1"/>
  <c r="DU38" i="27"/>
  <c r="X36" i="30" s="1"/>
  <c r="DU135" i="27"/>
  <c r="X133" i="30" s="1"/>
  <c r="DU85" i="27"/>
  <c r="X83" i="12" s="1"/>
  <c r="DU6" i="27"/>
  <c r="X4" i="30" s="1"/>
  <c r="DU125" i="27"/>
  <c r="X123" i="30" s="1"/>
  <c r="DU123" i="27"/>
  <c r="X121" i="30" s="1"/>
  <c r="DU134" i="27"/>
  <c r="X132" i="30" s="1"/>
  <c r="DU69" i="27"/>
  <c r="X67" i="12" s="1"/>
  <c r="DU21" i="27"/>
  <c r="X19" i="12" s="1"/>
  <c r="DU119" i="27"/>
  <c r="X117" i="12" s="1"/>
  <c r="DU105" i="27"/>
  <c r="X103" i="12" s="1"/>
  <c r="DU73" i="27"/>
  <c r="X71" i="12" s="1"/>
  <c r="DU140" i="27"/>
  <c r="X138" i="12" s="1"/>
  <c r="DU93" i="27"/>
  <c r="X91" i="30" s="1"/>
  <c r="DU56" i="27"/>
  <c r="X54" i="30" s="1"/>
  <c r="DU43" i="27"/>
  <c r="X41" i="30" s="1"/>
  <c r="DU126" i="27"/>
  <c r="X124" i="30" s="1"/>
  <c r="DU89" i="27"/>
  <c r="X87" i="12" s="1"/>
  <c r="DU107" i="27"/>
  <c r="X105" i="12" s="1"/>
  <c r="DY120" i="27"/>
  <c r="EA120" i="27" s="1"/>
  <c r="Q12" i="13"/>
  <c r="P9" i="13"/>
  <c r="X119" i="30"/>
  <c r="X100" i="30"/>
  <c r="X39" i="30"/>
  <c r="X30" i="12"/>
  <c r="X73" i="12"/>
  <c r="X37" i="12"/>
  <c r="X128" i="30"/>
  <c r="X26" i="30"/>
  <c r="X21" i="30"/>
  <c r="X60" i="12"/>
  <c r="X34" i="30"/>
  <c r="DY57" i="27"/>
  <c r="X82" i="12"/>
  <c r="X74" i="12"/>
  <c r="X56" i="30"/>
  <c r="X89" i="30"/>
  <c r="X69" i="30"/>
  <c r="X73" i="30"/>
  <c r="X21" i="12"/>
  <c r="X135" i="12"/>
  <c r="X119" i="12"/>
  <c r="X110" i="12"/>
  <c r="X60" i="30"/>
  <c r="X62" i="12"/>
  <c r="X64" i="12"/>
  <c r="X47" i="30"/>
  <c r="X112" i="30"/>
  <c r="X135" i="30"/>
  <c r="X110" i="30"/>
  <c r="X112" i="12"/>
  <c r="X39" i="12"/>
  <c r="X5" i="30"/>
  <c r="X16" i="30"/>
  <c r="X8" i="30"/>
  <c r="X116" i="30"/>
  <c r="X66" i="30"/>
  <c r="X81" i="30"/>
  <c r="X86" i="12"/>
  <c r="X137" i="12"/>
  <c r="X29" i="30"/>
  <c r="X17" i="30"/>
  <c r="X100" i="12"/>
  <c r="X34" i="12"/>
  <c r="X136" i="12"/>
  <c r="X30" i="30"/>
  <c r="X128" i="12"/>
  <c r="X26" i="12"/>
  <c r="X69" i="12"/>
  <c r="X62" i="30"/>
  <c r="X136" i="30"/>
  <c r="X82" i="30"/>
  <c r="X74" i="30"/>
  <c r="X89" i="12"/>
  <c r="X5" i="12"/>
  <c r="X16" i="12"/>
  <c r="X8" i="12"/>
  <c r="X116" i="12"/>
  <c r="X66" i="12"/>
  <c r="X81" i="12"/>
  <c r="X86" i="30"/>
  <c r="X137" i="30"/>
  <c r="X29" i="12"/>
  <c r="X17" i="12"/>
  <c r="X64" i="30"/>
  <c r="X47" i="12"/>
  <c r="DY84" i="27"/>
  <c r="EA84" i="27" s="1"/>
  <c r="DY93" i="27"/>
  <c r="DY30" i="27"/>
  <c r="EB30" i="27" s="1"/>
  <c r="DY76" i="27"/>
  <c r="DY50" i="27"/>
  <c r="DY94" i="27"/>
  <c r="DY40" i="27"/>
  <c r="EA40" i="27" s="1"/>
  <c r="DY124" i="27"/>
  <c r="DY129" i="27"/>
  <c r="EB129" i="27" s="1"/>
  <c r="DY34" i="27"/>
  <c r="EB34" i="27" s="1"/>
  <c r="DY86" i="27"/>
  <c r="DY105" i="27"/>
  <c r="EB105" i="27" s="1"/>
  <c r="DY128" i="27"/>
  <c r="DY75" i="27"/>
  <c r="DY134" i="27"/>
  <c r="DY89" i="27"/>
  <c r="DY88" i="27"/>
  <c r="DY69" i="27"/>
  <c r="EB69" i="27" s="1"/>
  <c r="DY33" i="27"/>
  <c r="EB33" i="27" s="1"/>
  <c r="DY27" i="27"/>
  <c r="DY110" i="27"/>
  <c r="DY9" i="27"/>
  <c r="EA9" i="27" s="1"/>
  <c r="DY123" i="27"/>
  <c r="DY12" i="27"/>
  <c r="DY117" i="27"/>
  <c r="DY47" i="27"/>
  <c r="DY18" i="27"/>
  <c r="DY107" i="27"/>
  <c r="DY112" i="27"/>
  <c r="DY137" i="27"/>
  <c r="EA137" i="27" s="1"/>
  <c r="DY85" i="27"/>
  <c r="EA85" i="27" s="1"/>
  <c r="DY32" i="27"/>
  <c r="EA32" i="27" s="1"/>
  <c r="DY119" i="27"/>
  <c r="EB119" i="27" s="1"/>
  <c r="DY125" i="27"/>
  <c r="EB125" i="27" s="1"/>
  <c r="DY100" i="27"/>
  <c r="EB100" i="27" s="1"/>
  <c r="DY31" i="27"/>
  <c r="EB31" i="27" s="1"/>
  <c r="DY51" i="27"/>
  <c r="EC51" i="27" s="1"/>
  <c r="DY139" i="27"/>
  <c r="DY19" i="27"/>
  <c r="DY42" i="27"/>
  <c r="EA42" i="27" s="1"/>
  <c r="DY65" i="27"/>
  <c r="EA65" i="27" s="1"/>
  <c r="DY140" i="27"/>
  <c r="EA140" i="27" s="1"/>
  <c r="DY98" i="27"/>
  <c r="EC98" i="27" s="1"/>
  <c r="DY79" i="27"/>
  <c r="EB79" i="27" s="1"/>
  <c r="DY21" i="27"/>
  <c r="DY126" i="27"/>
  <c r="EC126" i="27" s="1"/>
  <c r="DY24" i="27"/>
  <c r="EB24" i="27" s="1"/>
  <c r="DY73" i="27"/>
  <c r="DY28" i="27"/>
  <c r="EC28" i="27" s="1"/>
  <c r="DY114" i="27"/>
  <c r="EA101" i="27"/>
  <c r="DY122" i="27"/>
  <c r="EA122" i="27" s="1"/>
  <c r="DY108" i="27"/>
  <c r="EA108" i="27" s="1"/>
  <c r="DY36" i="27"/>
  <c r="DY43" i="27"/>
  <c r="EB43" i="27" s="1"/>
  <c r="DY66" i="27"/>
  <c r="EC66" i="27" s="1"/>
  <c r="DY23" i="27"/>
  <c r="EB23" i="27" s="1"/>
  <c r="DY113" i="27"/>
  <c r="EA113" i="27" s="1"/>
  <c r="DY56" i="27"/>
  <c r="EB56" i="27" s="1"/>
  <c r="DY132" i="27"/>
  <c r="DY121" i="27"/>
  <c r="DY102" i="27"/>
  <c r="EA102" i="27" s="1"/>
  <c r="DY106" i="27"/>
  <c r="EC106" i="27" s="1"/>
  <c r="DY26" i="27"/>
  <c r="EA96" i="27"/>
  <c r="DY46" i="27"/>
  <c r="EC46" i="27" s="1"/>
  <c r="DY39" i="27"/>
  <c r="EB39" i="27" s="1"/>
  <c r="DY138" i="27"/>
  <c r="EA138" i="27" s="1"/>
  <c r="DY29" i="27"/>
  <c r="EC29" i="27" s="1"/>
  <c r="DY127" i="27"/>
  <c r="EC127" i="27" s="1"/>
  <c r="DY10" i="27"/>
  <c r="EB10" i="27" s="1"/>
  <c r="DY135" i="27"/>
  <c r="EB135" i="27" s="1"/>
  <c r="DY41" i="27"/>
  <c r="DY136" i="27"/>
  <c r="EA136" i="27" s="1"/>
  <c r="DY116" i="27"/>
  <c r="EC116" i="27" s="1"/>
  <c r="DY20" i="27"/>
  <c r="DY37" i="27"/>
  <c r="EB37" i="27" s="1"/>
  <c r="EB53" i="27"/>
  <c r="EA53" i="27"/>
  <c r="DY15" i="27"/>
  <c r="DY78" i="27"/>
  <c r="EA78" i="27" s="1"/>
  <c r="DY95" i="27"/>
  <c r="EB95" i="27" s="1"/>
  <c r="DY118" i="27"/>
  <c r="EB118" i="27" s="1"/>
  <c r="DY87" i="27"/>
  <c r="DY48" i="27"/>
  <c r="EA48" i="27" s="1"/>
  <c r="DY38" i="27"/>
  <c r="EC38" i="27" s="1"/>
  <c r="DY62" i="27"/>
  <c r="EA62" i="27" s="1"/>
  <c r="DY13" i="27"/>
  <c r="DY6" i="27"/>
  <c r="DY133" i="27"/>
  <c r="EB133" i="27" s="1"/>
  <c r="DY83" i="27"/>
  <c r="DY22" i="27"/>
  <c r="EC22" i="27" s="1"/>
  <c r="DY91" i="27"/>
  <c r="DY71" i="27"/>
  <c r="EA71" i="27" s="1"/>
  <c r="DY7" i="27"/>
  <c r="EC7" i="27" s="1"/>
  <c r="DY25" i="27"/>
  <c r="DY64" i="27"/>
  <c r="EC64" i="27" s="1"/>
  <c r="DY90" i="27"/>
  <c r="DY131" i="27"/>
  <c r="EC40" i="27"/>
  <c r="DY72" i="27"/>
  <c r="DY68" i="27"/>
  <c r="EA68" i="27" s="1"/>
  <c r="DY80" i="27"/>
  <c r="EB80" i="27" s="1"/>
  <c r="DY97" i="27"/>
  <c r="EB97" i="27" s="1"/>
  <c r="DY58" i="27"/>
  <c r="DY103" i="27"/>
  <c r="DY77" i="27"/>
  <c r="EC77" i="27" s="1"/>
  <c r="DY35" i="27"/>
  <c r="EB35" i="27" s="1"/>
  <c r="DY104" i="27"/>
  <c r="DY60" i="27"/>
  <c r="EB60" i="27" s="1"/>
  <c r="DY49" i="27"/>
  <c r="EA49" i="27" s="1"/>
  <c r="DY52" i="27"/>
  <c r="EB52" i="27" s="1"/>
  <c r="EB61" i="27"/>
  <c r="EB63" i="27"/>
  <c r="EA63" i="27"/>
  <c r="EC63" i="27"/>
  <c r="EC120" i="27"/>
  <c r="EA82" i="27"/>
  <c r="EB82" i="27"/>
  <c r="EA92" i="27"/>
  <c r="EB92" i="27"/>
  <c r="EB111" i="27"/>
  <c r="EA111" i="27"/>
  <c r="EB99" i="27"/>
  <c r="EA99" i="27"/>
  <c r="EC69" i="27"/>
  <c r="DY130" i="27"/>
  <c r="EA115" i="27"/>
  <c r="EB115" i="27"/>
  <c r="EC30" i="27"/>
  <c r="EB44" i="27"/>
  <c r="EA44" i="27"/>
  <c r="EB67" i="27"/>
  <c r="EA67" i="27"/>
  <c r="EC67" i="27"/>
  <c r="EB74" i="27"/>
  <c r="EA74" i="27"/>
  <c r="EA59" i="27"/>
  <c r="EB59" i="27"/>
  <c r="EC32" i="27"/>
  <c r="DY16" i="27"/>
  <c r="DY8" i="27"/>
  <c r="EA70" i="27"/>
  <c r="EB70" i="27"/>
  <c r="EC70" i="27"/>
  <c r="EC39" i="27"/>
  <c r="EC42" i="27"/>
  <c r="EB17" i="27"/>
  <c r="EA17" i="27"/>
  <c r="EA54" i="27"/>
  <c r="EB54" i="27"/>
  <c r="EC9" i="27"/>
  <c r="EC84" i="27"/>
  <c r="EC85" i="27"/>
  <c r="DY14" i="27"/>
  <c r="EC14" i="27" s="1"/>
  <c r="EC105" i="27"/>
  <c r="EB55" i="27"/>
  <c r="EA55" i="27"/>
  <c r="EA109" i="27"/>
  <c r="EB109" i="27"/>
  <c r="EC109" i="27"/>
  <c r="EB81" i="27"/>
  <c r="EA81" i="27"/>
  <c r="EA45" i="27"/>
  <c r="EB45" i="27"/>
  <c r="EB11" i="27"/>
  <c r="EA11" i="27"/>
  <c r="EC11" i="27"/>
  <c r="EB19" i="27" l="1"/>
  <c r="EC19" i="27"/>
  <c r="EA123" i="27"/>
  <c r="EC123" i="27"/>
  <c r="EA134" i="27"/>
  <c r="EC134" i="27"/>
  <c r="EB36" i="27"/>
  <c r="EC36" i="27"/>
  <c r="EB139" i="27"/>
  <c r="EC139" i="27"/>
  <c r="EB75" i="27"/>
  <c r="EC75" i="27"/>
  <c r="EA94" i="27"/>
  <c r="EC94" i="27"/>
  <c r="EA104" i="27"/>
  <c r="EC104" i="27"/>
  <c r="EA72" i="27"/>
  <c r="EC72" i="27"/>
  <c r="EB91" i="27"/>
  <c r="EC91" i="27"/>
  <c r="EA121" i="27"/>
  <c r="EC121" i="27"/>
  <c r="EB21" i="27"/>
  <c r="EC21" i="27"/>
  <c r="EB112" i="27"/>
  <c r="EC112" i="27"/>
  <c r="EA110" i="27"/>
  <c r="EC110" i="27"/>
  <c r="EA128" i="27"/>
  <c r="EC128" i="27"/>
  <c r="EA50" i="27"/>
  <c r="EC50" i="27"/>
  <c r="ED50" i="27" s="1"/>
  <c r="EA87" i="27"/>
  <c r="EC87" i="27"/>
  <c r="EA132" i="27"/>
  <c r="EC132" i="27"/>
  <c r="EA107" i="27"/>
  <c r="EC107" i="27"/>
  <c r="EA27" i="27"/>
  <c r="EC27" i="27"/>
  <c r="EB76" i="27"/>
  <c r="EC76" i="27"/>
  <c r="EC122" i="27"/>
  <c r="EB131" i="27"/>
  <c r="EC131" i="27"/>
  <c r="EB83" i="27"/>
  <c r="EC83" i="27"/>
  <c r="EB18" i="27"/>
  <c r="EC18" i="27"/>
  <c r="EA86" i="27"/>
  <c r="EC86" i="27"/>
  <c r="EA57" i="27"/>
  <c r="EC57" i="27"/>
  <c r="EB20" i="27"/>
  <c r="EC20" i="27"/>
  <c r="EA103" i="27"/>
  <c r="EC103" i="27"/>
  <c r="EA90" i="27"/>
  <c r="EC90" i="27"/>
  <c r="EB114" i="27"/>
  <c r="EC114" i="27"/>
  <c r="EA47" i="27"/>
  <c r="EC47" i="27"/>
  <c r="EA93" i="27"/>
  <c r="EC93" i="27"/>
  <c r="EC10" i="27"/>
  <c r="EB58" i="27"/>
  <c r="EC58" i="27"/>
  <c r="EA6" i="27"/>
  <c r="EC6" i="27"/>
  <c r="EA41" i="27"/>
  <c r="EC41" i="27"/>
  <c r="EA117" i="27"/>
  <c r="EC117" i="27"/>
  <c r="EB88" i="27"/>
  <c r="EC88" i="27"/>
  <c r="EC138" i="27"/>
  <c r="EA13" i="27"/>
  <c r="EC13" i="27"/>
  <c r="EA15" i="27"/>
  <c r="EC15" i="27"/>
  <c r="EB26" i="27"/>
  <c r="EC26" i="27"/>
  <c r="EB73" i="27"/>
  <c r="EC73" i="27"/>
  <c r="EB12" i="27"/>
  <c r="EC12" i="27"/>
  <c r="EA89" i="27"/>
  <c r="EC89" i="27"/>
  <c r="EA124" i="27"/>
  <c r="EC124" i="27"/>
  <c r="X88" i="12"/>
  <c r="X134" i="30"/>
  <c r="X114" i="30"/>
  <c r="X27" i="12"/>
  <c r="X92" i="12"/>
  <c r="X33" i="12"/>
  <c r="X76" i="12"/>
  <c r="X132" i="12"/>
  <c r="X40" i="12"/>
  <c r="X13" i="30"/>
  <c r="X101" i="12"/>
  <c r="X127" i="30"/>
  <c r="X120" i="30"/>
  <c r="X91" i="12"/>
  <c r="X45" i="12"/>
  <c r="EB120" i="27"/>
  <c r="ED120" i="27" s="1"/>
  <c r="X67" i="30"/>
  <c r="X48" i="30"/>
  <c r="X20" i="30"/>
  <c r="X46" i="30"/>
  <c r="X54" i="12"/>
  <c r="X55" i="12"/>
  <c r="X106" i="12"/>
  <c r="X126" i="12"/>
  <c r="X108" i="12"/>
  <c r="X14" i="12"/>
  <c r="X7" i="12"/>
  <c r="X122" i="30"/>
  <c r="X31" i="12"/>
  <c r="X125" i="30"/>
  <c r="X77" i="12"/>
  <c r="X111" i="12"/>
  <c r="X85" i="12"/>
  <c r="X130" i="12"/>
  <c r="X98" i="30"/>
  <c r="X35" i="12"/>
  <c r="X71" i="30"/>
  <c r="X105" i="30"/>
  <c r="X131" i="30"/>
  <c r="X83" i="30"/>
  <c r="X115" i="30"/>
  <c r="X63" i="12"/>
  <c r="X28" i="12"/>
  <c r="X117" i="30"/>
  <c r="X49" i="30"/>
  <c r="X10" i="12"/>
  <c r="X58" i="12"/>
  <c r="X96" i="12"/>
  <c r="X38" i="12"/>
  <c r="X12" i="12"/>
  <c r="X23" i="30"/>
  <c r="X104" i="30"/>
  <c r="X70" i="30"/>
  <c r="X75" i="30"/>
  <c r="X138" i="30"/>
  <c r="X123" i="12"/>
  <c r="X18" i="12"/>
  <c r="X25" i="30"/>
  <c r="X36" i="12"/>
  <c r="X22" i="12"/>
  <c r="X41" i="12"/>
  <c r="X103" i="30"/>
  <c r="X84" i="30"/>
  <c r="X19" i="30"/>
  <c r="X87" i="30"/>
  <c r="X121" i="12"/>
  <c r="X133" i="12"/>
  <c r="X4" i="12"/>
  <c r="X124" i="12"/>
  <c r="X24" i="30"/>
  <c r="X118" i="12"/>
  <c r="X118" i="30"/>
  <c r="R12" i="13"/>
  <c r="Q9" i="13"/>
  <c r="EB50" i="27"/>
  <c r="EA129" i="27"/>
  <c r="ED129" i="27" s="1"/>
  <c r="EB93" i="27"/>
  <c r="ED93" i="27" s="1"/>
  <c r="EB57" i="27"/>
  <c r="ED57" i="27" s="1"/>
  <c r="EA30" i="27"/>
  <c r="ED30" i="27" s="1"/>
  <c r="EB94" i="27"/>
  <c r="ED94" i="27" s="1"/>
  <c r="EB86" i="27"/>
  <c r="ED86" i="27" s="1"/>
  <c r="EB84" i="27"/>
  <c r="ED84" i="27" s="1"/>
  <c r="X32" i="30"/>
  <c r="X32" i="12"/>
  <c r="EB126" i="27"/>
  <c r="EA76" i="27"/>
  <c r="ED76" i="27" s="1"/>
  <c r="EB27" i="27"/>
  <c r="EB124" i="27"/>
  <c r="ED124" i="27" s="1"/>
  <c r="EB110" i="27"/>
  <c r="ED110" i="27" s="1"/>
  <c r="EB40" i="27"/>
  <c r="ED40" i="27" s="1"/>
  <c r="EB42" i="27"/>
  <c r="ED42" i="27" s="1"/>
  <c r="EB9" i="27"/>
  <c r="ED9" i="27" s="1"/>
  <c r="EA69" i="27"/>
  <c r="ED69" i="27" s="1"/>
  <c r="EA34" i="27"/>
  <c r="ED34" i="27" s="1"/>
  <c r="EA88" i="27"/>
  <c r="ED88" i="27" s="1"/>
  <c r="EB128" i="27"/>
  <c r="ED128" i="27" s="1"/>
  <c r="EA105" i="27"/>
  <c r="ED105" i="27" s="1"/>
  <c r="EB121" i="27"/>
  <c r="ED121" i="27" s="1"/>
  <c r="EB123" i="27"/>
  <c r="ED123" i="27" s="1"/>
  <c r="EB138" i="27"/>
  <c r="ED138" i="27" s="1"/>
  <c r="EA112" i="27"/>
  <c r="ED112" i="27" s="1"/>
  <c r="EA119" i="27"/>
  <c r="ED119" i="27" s="1"/>
  <c r="EB134" i="27"/>
  <c r="ED134" i="27" s="1"/>
  <c r="EB32" i="27"/>
  <c r="ED32" i="27" s="1"/>
  <c r="EA33" i="27"/>
  <c r="ED33" i="27" s="1"/>
  <c r="EB107" i="27"/>
  <c r="ED107" i="27" s="1"/>
  <c r="EB85" i="27"/>
  <c r="ED85" i="27" s="1"/>
  <c r="EA98" i="27"/>
  <c r="EA100" i="27"/>
  <c r="ED100" i="27" s="1"/>
  <c r="EA83" i="27"/>
  <c r="ED83" i="27" s="1"/>
  <c r="EA75" i="27"/>
  <c r="ED75" i="27" s="1"/>
  <c r="EB68" i="27"/>
  <c r="EB89" i="27"/>
  <c r="EA43" i="27"/>
  <c r="EB117" i="27"/>
  <c r="ED117" i="27" s="1"/>
  <c r="EB65" i="27"/>
  <c r="ED65" i="27" s="1"/>
  <c r="EB116" i="27"/>
  <c r="EA12" i="27"/>
  <c r="ED12" i="27" s="1"/>
  <c r="EA10" i="27"/>
  <c r="ED10" i="27" s="1"/>
  <c r="EA31" i="27"/>
  <c r="ED31" i="27" s="1"/>
  <c r="EA116" i="27"/>
  <c r="EB66" i="27"/>
  <c r="EB47" i="27"/>
  <c r="ED47" i="27" s="1"/>
  <c r="EA125" i="27"/>
  <c r="ED125" i="27" s="1"/>
  <c r="EB15" i="27"/>
  <c r="ED15" i="27" s="1"/>
  <c r="EA114" i="27"/>
  <c r="ED114" i="27" s="1"/>
  <c r="EA73" i="27"/>
  <c r="ED73" i="27" s="1"/>
  <c r="EB102" i="27"/>
  <c r="ED102" i="27" s="1"/>
  <c r="EA19" i="27"/>
  <c r="ED19" i="27" s="1"/>
  <c r="EA20" i="27"/>
  <c r="ED20" i="27" s="1"/>
  <c r="EA127" i="27"/>
  <c r="EA79" i="27"/>
  <c r="ED79" i="27" s="1"/>
  <c r="EB7" i="27"/>
  <c r="EB13" i="27"/>
  <c r="ED13" i="27" s="1"/>
  <c r="EA66" i="27"/>
  <c r="EB137" i="27"/>
  <c r="EC137" i="27"/>
  <c r="EC140" i="27"/>
  <c r="EB127" i="27"/>
  <c r="EA21" i="27"/>
  <c r="EB90" i="27"/>
  <c r="ED90" i="27" s="1"/>
  <c r="EB122" i="27"/>
  <c r="ED122" i="27" s="1"/>
  <c r="EA95" i="27"/>
  <c r="EA35" i="27"/>
  <c r="EC95" i="27"/>
  <c r="EA18" i="27"/>
  <c r="EB140" i="27"/>
  <c r="EB132" i="27"/>
  <c r="ED132" i="27" s="1"/>
  <c r="EA58" i="27"/>
  <c r="ED58" i="27" s="1"/>
  <c r="EA36" i="27"/>
  <c r="EA24" i="27"/>
  <c r="ED24" i="27" s="1"/>
  <c r="EB51" i="27"/>
  <c r="EA51" i="27"/>
  <c r="EC43" i="27"/>
  <c r="EA39" i="27"/>
  <c r="ED39" i="27" s="1"/>
  <c r="EB106" i="27"/>
  <c r="EA139" i="27"/>
  <c r="ED139" i="27" s="1"/>
  <c r="EB98" i="27"/>
  <c r="EA118" i="27"/>
  <c r="ED118" i="27" s="1"/>
  <c r="EB87" i="27"/>
  <c r="ED87" i="27" s="1"/>
  <c r="EB6" i="27"/>
  <c r="ED6" i="27" s="1"/>
  <c r="EA60" i="27"/>
  <c r="ED60" i="27" s="1"/>
  <c r="EA56" i="27"/>
  <c r="EA106" i="27"/>
  <c r="EB48" i="27"/>
  <c r="ED48" i="27" s="1"/>
  <c r="EC52" i="27"/>
  <c r="EA126" i="27"/>
  <c r="EA7" i="27"/>
  <c r="EB136" i="27"/>
  <c r="ED136" i="27" s="1"/>
  <c r="EC35" i="27"/>
  <c r="EA26" i="27"/>
  <c r="ED26" i="27" s="1"/>
  <c r="EC56" i="27"/>
  <c r="EB108" i="27"/>
  <c r="ED108" i="27" s="1"/>
  <c r="EC97" i="27"/>
  <c r="EB113" i="27"/>
  <c r="ED113" i="27" s="1"/>
  <c r="EA97" i="27"/>
  <c r="EB28" i="27"/>
  <c r="EA28" i="27"/>
  <c r="EA38" i="27"/>
  <c r="EB71" i="27"/>
  <c r="EC78" i="27"/>
  <c r="EC23" i="27"/>
  <c r="EA23" i="27"/>
  <c r="EC135" i="27"/>
  <c r="EC68" i="27"/>
  <c r="EA91" i="27"/>
  <c r="ED91" i="27" s="1"/>
  <c r="EB103" i="27"/>
  <c r="EA22" i="27"/>
  <c r="EB41" i="27"/>
  <c r="ED41" i="27" s="1"/>
  <c r="EB46" i="27"/>
  <c r="EA46" i="27"/>
  <c r="EA135" i="27"/>
  <c r="EB38" i="27"/>
  <c r="EB22" i="27"/>
  <c r="EB78" i="27"/>
  <c r="EA37" i="27"/>
  <c r="ED37" i="27" s="1"/>
  <c r="ED53" i="27"/>
  <c r="EB104" i="27"/>
  <c r="EA29" i="27"/>
  <c r="EB29" i="27"/>
  <c r="EA77" i="27"/>
  <c r="EA52" i="27"/>
  <c r="EA80" i="27"/>
  <c r="ED80" i="27" s="1"/>
  <c r="EC71" i="27"/>
  <c r="EB77" i="27"/>
  <c r="EA131" i="27"/>
  <c r="ED131" i="27" s="1"/>
  <c r="EA133" i="27"/>
  <c r="ED133" i="27" s="1"/>
  <c r="EB62" i="27"/>
  <c r="ED62" i="27" s="1"/>
  <c r="ED92" i="27"/>
  <c r="ED17" i="27"/>
  <c r="EB64" i="27"/>
  <c r="EA64" i="27"/>
  <c r="EB72" i="27"/>
  <c r="ED72" i="27" s="1"/>
  <c r="EB49" i="27"/>
  <c r="ED49" i="27" s="1"/>
  <c r="EC25" i="27"/>
  <c r="EA25" i="27"/>
  <c r="EB25" i="27"/>
  <c r="ED55" i="27"/>
  <c r="ED11" i="27"/>
  <c r="ED63" i="27"/>
  <c r="ED82" i="27"/>
  <c r="EB16" i="27"/>
  <c r="EA16" i="27"/>
  <c r="EB8" i="27"/>
  <c r="EA8" i="27"/>
  <c r="EC8" i="27"/>
  <c r="EA14" i="27"/>
  <c r="EB14" i="27"/>
  <c r="EB130" i="27"/>
  <c r="EA130" i="27"/>
  <c r="EC130" i="27"/>
  <c r="ED21" i="27" l="1"/>
  <c r="ED103" i="27"/>
  <c r="ED18" i="27"/>
  <c r="ED89" i="27"/>
  <c r="ED27" i="27"/>
  <c r="ED104" i="27"/>
  <c r="ED36" i="27"/>
  <c r="ED106" i="27"/>
  <c r="S104" i="12" s="1"/>
  <c r="S60" i="12"/>
  <c r="S60" i="30"/>
  <c r="S85" i="12"/>
  <c r="S85" i="30"/>
  <c r="S100" i="12"/>
  <c r="S100" i="30"/>
  <c r="S29" i="12"/>
  <c r="S29" i="30"/>
  <c r="S30" i="12"/>
  <c r="S30" i="30"/>
  <c r="S126" i="12"/>
  <c r="S126" i="30"/>
  <c r="S122" i="12"/>
  <c r="S122" i="30"/>
  <c r="S92" i="12"/>
  <c r="S92" i="30"/>
  <c r="S111" i="12"/>
  <c r="S111" i="30"/>
  <c r="S116" i="12"/>
  <c r="S116" i="30"/>
  <c r="S22" i="12"/>
  <c r="S22" i="30"/>
  <c r="S71" i="12"/>
  <c r="S71" i="30"/>
  <c r="S8" i="12"/>
  <c r="S8" i="30"/>
  <c r="S73" i="12"/>
  <c r="S73" i="30"/>
  <c r="S132" i="12"/>
  <c r="S132" i="30"/>
  <c r="S86" i="12"/>
  <c r="S86" i="30"/>
  <c r="S28" i="12"/>
  <c r="S28" i="30"/>
  <c r="S40" i="12"/>
  <c r="S40" i="30"/>
  <c r="S129" i="12"/>
  <c r="S129" i="30"/>
  <c r="S102" i="12"/>
  <c r="S102" i="30"/>
  <c r="S34" i="12"/>
  <c r="S34" i="30"/>
  <c r="S120" i="12"/>
  <c r="S120" i="30"/>
  <c r="S11" i="12"/>
  <c r="S11" i="30"/>
  <c r="S112" i="12"/>
  <c r="S112" i="30"/>
  <c r="S10" i="12"/>
  <c r="S10" i="30"/>
  <c r="S81" i="12"/>
  <c r="S81" i="30"/>
  <c r="S117" i="12"/>
  <c r="S117" i="30"/>
  <c r="S32" i="12"/>
  <c r="S32" i="30"/>
  <c r="S74" i="12"/>
  <c r="S74" i="30"/>
  <c r="S55" i="12"/>
  <c r="S55" i="30"/>
  <c r="S131" i="12"/>
  <c r="S131" i="30"/>
  <c r="S39" i="12"/>
  <c r="S39" i="30"/>
  <c r="S106" i="12"/>
  <c r="S106" i="30"/>
  <c r="S46" i="12"/>
  <c r="S46" i="30"/>
  <c r="S137" i="12"/>
  <c r="S137" i="30"/>
  <c r="S56" i="12"/>
  <c r="S56" i="30"/>
  <c r="S88" i="12"/>
  <c r="S88" i="30"/>
  <c r="S13" i="12"/>
  <c r="S13" i="30"/>
  <c r="S98" i="12"/>
  <c r="S98" i="30"/>
  <c r="S110" i="12"/>
  <c r="S110" i="30"/>
  <c r="S67" i="12"/>
  <c r="S67" i="30"/>
  <c r="S91" i="12"/>
  <c r="S91" i="30"/>
  <c r="S61" i="12"/>
  <c r="S61" i="30"/>
  <c r="S51" i="12"/>
  <c r="S51" i="30"/>
  <c r="S48" i="12"/>
  <c r="S48" i="30"/>
  <c r="S35" i="12"/>
  <c r="S35" i="30"/>
  <c r="S130" i="12"/>
  <c r="S130" i="30"/>
  <c r="S19" i="12"/>
  <c r="S19" i="30"/>
  <c r="S77" i="12"/>
  <c r="S77" i="30"/>
  <c r="S123" i="12"/>
  <c r="S123" i="30"/>
  <c r="S63" i="12"/>
  <c r="S63" i="30"/>
  <c r="S136" i="12"/>
  <c r="S136" i="30"/>
  <c r="S7" i="12"/>
  <c r="S7" i="30"/>
  <c r="S127" i="12"/>
  <c r="S127" i="30"/>
  <c r="S9" i="12"/>
  <c r="S9" i="30"/>
  <c r="S53" i="12"/>
  <c r="S53" i="30"/>
  <c r="S78" i="12"/>
  <c r="S78" i="30"/>
  <c r="S101" i="12"/>
  <c r="S101" i="30"/>
  <c r="S24" i="12"/>
  <c r="S24" i="30"/>
  <c r="S37" i="12"/>
  <c r="S37" i="30"/>
  <c r="S45" i="12"/>
  <c r="S45" i="30"/>
  <c r="S115" i="12"/>
  <c r="S115" i="30"/>
  <c r="S83" i="12"/>
  <c r="S83" i="30"/>
  <c r="S121" i="12"/>
  <c r="S121" i="30"/>
  <c r="S25" i="12"/>
  <c r="S25" i="30"/>
  <c r="S15" i="12"/>
  <c r="S15" i="30"/>
  <c r="S118" i="12"/>
  <c r="S118" i="30"/>
  <c r="S89" i="12"/>
  <c r="S89" i="30"/>
  <c r="S58" i="12"/>
  <c r="S58" i="30"/>
  <c r="S16" i="12"/>
  <c r="S16" i="30"/>
  <c r="S18" i="12"/>
  <c r="S18" i="30"/>
  <c r="S105" i="12"/>
  <c r="S105" i="30"/>
  <c r="S119" i="12"/>
  <c r="S119" i="30"/>
  <c r="S38" i="12"/>
  <c r="S38" i="30"/>
  <c r="S82" i="12"/>
  <c r="S82" i="30"/>
  <c r="S47" i="12"/>
  <c r="S47" i="30"/>
  <c r="S70" i="12"/>
  <c r="S70" i="30"/>
  <c r="S80" i="12"/>
  <c r="S80" i="30"/>
  <c r="S90" i="12"/>
  <c r="S90" i="30"/>
  <c r="S134" i="12"/>
  <c r="S134" i="30"/>
  <c r="S4" i="12"/>
  <c r="S4" i="30"/>
  <c r="S17" i="12"/>
  <c r="S17" i="30"/>
  <c r="S87" i="12"/>
  <c r="S87" i="30"/>
  <c r="S31" i="12"/>
  <c r="S31" i="30"/>
  <c r="S103" i="12"/>
  <c r="S103" i="30"/>
  <c r="S108" i="12"/>
  <c r="S108" i="30"/>
  <c r="S84" i="12"/>
  <c r="S84" i="30"/>
  <c r="S12" i="13"/>
  <c r="R9" i="13"/>
  <c r="ED116" i="27"/>
  <c r="ED7" i="27"/>
  <c r="ED43" i="27"/>
  <c r="ED126" i="27"/>
  <c r="ED68" i="27"/>
  <c r="ED98" i="27"/>
  <c r="ED66" i="27"/>
  <c r="ED135" i="27"/>
  <c r="ED140" i="27"/>
  <c r="ED127" i="27"/>
  <c r="ED95" i="27"/>
  <c r="ED38" i="27"/>
  <c r="ED137" i="27"/>
  <c r="ED77" i="27"/>
  <c r="ED35" i="27"/>
  <c r="ED56" i="27"/>
  <c r="ED51" i="27"/>
  <c r="ED52" i="27"/>
  <c r="ED71" i="27"/>
  <c r="ED97" i="27"/>
  <c r="ED23" i="27"/>
  <c r="ED28" i="27"/>
  <c r="ED46" i="27"/>
  <c r="ED22" i="27"/>
  <c r="ED78" i="27"/>
  <c r="ED29" i="27"/>
  <c r="ED25" i="27"/>
  <c r="ED14" i="27"/>
  <c r="ED64" i="27"/>
  <c r="ED16" i="27"/>
  <c r="ED130" i="27"/>
  <c r="S104" i="30" l="1"/>
  <c r="S14" i="12"/>
  <c r="S14" i="30"/>
  <c r="S26" i="12"/>
  <c r="S26" i="30"/>
  <c r="S75" i="12"/>
  <c r="S75" i="30"/>
  <c r="S96" i="12"/>
  <c r="S96" i="30"/>
  <c r="S135" i="12"/>
  <c r="S135" i="30"/>
  <c r="S21" i="12"/>
  <c r="S21" i="30"/>
  <c r="S62" i="12"/>
  <c r="S62" i="30"/>
  <c r="S66" i="12"/>
  <c r="S66" i="30"/>
  <c r="S41" i="12"/>
  <c r="S41" i="30"/>
  <c r="S95" i="12"/>
  <c r="S95" i="30"/>
  <c r="S23" i="12"/>
  <c r="S23" i="30"/>
  <c r="S27" i="12"/>
  <c r="S27" i="30"/>
  <c r="S125" i="12"/>
  <c r="S125" i="30"/>
  <c r="S5" i="12"/>
  <c r="S5" i="30"/>
  <c r="S36" i="12"/>
  <c r="S36" i="30"/>
  <c r="S69" i="12"/>
  <c r="S69" i="30"/>
  <c r="S49" i="12"/>
  <c r="S49" i="30"/>
  <c r="S114" i="12"/>
  <c r="S114" i="30"/>
  <c r="S124" i="12"/>
  <c r="S124" i="30"/>
  <c r="S93" i="12"/>
  <c r="S93" i="30"/>
  <c r="S50" i="12"/>
  <c r="S50" i="30"/>
  <c r="S20" i="12"/>
  <c r="S20" i="30"/>
  <c r="S54" i="12"/>
  <c r="S54" i="30"/>
  <c r="S133" i="12"/>
  <c r="S133" i="30"/>
  <c r="S12" i="12"/>
  <c r="S12" i="30"/>
  <c r="S76" i="12"/>
  <c r="S76" i="30"/>
  <c r="S138" i="12"/>
  <c r="S138" i="30"/>
  <c r="S128" i="12"/>
  <c r="S128" i="30"/>
  <c r="S44" i="12"/>
  <c r="S44" i="30"/>
  <c r="S33" i="12"/>
  <c r="S33" i="30"/>
  <c r="S64" i="12"/>
  <c r="S64" i="30"/>
  <c r="T12" i="13"/>
  <c r="S9" i="13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5" i="1"/>
  <c r="C139" i="1" s="1"/>
  <c r="K140" i="27" s="1"/>
  <c r="T9" i="13" l="1"/>
  <c r="U12" i="13"/>
  <c r="G139" i="1"/>
  <c r="V12" i="13" l="1"/>
  <c r="U9" i="13"/>
  <c r="C4" i="13"/>
  <c r="D4" i="13"/>
  <c r="W12" i="13" l="1"/>
  <c r="V9" i="13"/>
  <c r="G109" i="23"/>
  <c r="G117" i="23"/>
  <c r="O121" i="23"/>
  <c r="X12" i="13" l="1"/>
  <c r="W9" i="13"/>
  <c r="D121" i="23"/>
  <c r="M121" i="23"/>
  <c r="D116" i="23"/>
  <c r="D117" i="23"/>
  <c r="Q121" i="23"/>
  <c r="Q117" i="23"/>
  <c r="O117" i="23"/>
  <c r="O109" i="23"/>
  <c r="Q109" i="23"/>
  <c r="M109" i="23"/>
  <c r="D109" i="23"/>
  <c r="M117" i="23"/>
  <c r="O116" i="23"/>
  <c r="Q116" i="23"/>
  <c r="M116" i="23"/>
  <c r="G116" i="23"/>
  <c r="G121" i="23"/>
  <c r="Y12" i="13" l="1"/>
  <c r="X9" i="13"/>
  <c r="A6" i="20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D6" i="13"/>
  <c r="E6" i="13"/>
  <c r="D10" i="13" s="1"/>
  <c r="F6" i="13"/>
  <c r="G6" i="13"/>
  <c r="E10" i="13" s="1"/>
  <c r="H6" i="13"/>
  <c r="I6" i="13"/>
  <c r="F10" i="13" s="1"/>
  <c r="J6" i="13"/>
  <c r="K6" i="13"/>
  <c r="G10" i="13" s="1"/>
  <c r="L6" i="13"/>
  <c r="M6" i="13"/>
  <c r="H10" i="13" s="1"/>
  <c r="N6" i="13"/>
  <c r="O6" i="13"/>
  <c r="I10" i="13" s="1"/>
  <c r="P6" i="13"/>
  <c r="Q6" i="13"/>
  <c r="J10" i="13" s="1"/>
  <c r="R6" i="13"/>
  <c r="S6" i="13"/>
  <c r="K10" i="13" s="1"/>
  <c r="T6" i="13"/>
  <c r="U6" i="13"/>
  <c r="L10" i="13" s="1"/>
  <c r="V6" i="13"/>
  <c r="W6" i="13"/>
  <c r="M10" i="13" s="1"/>
  <c r="X6" i="13"/>
  <c r="Y6" i="13"/>
  <c r="N10" i="13" s="1"/>
  <c r="Z6" i="13"/>
  <c r="AA6" i="13"/>
  <c r="O10" i="13" s="1"/>
  <c r="AB6" i="13"/>
  <c r="AC6" i="13"/>
  <c r="P10" i="13" s="1"/>
  <c r="AD6" i="13"/>
  <c r="AE6" i="13"/>
  <c r="Q10" i="13" s="1"/>
  <c r="AF6" i="13"/>
  <c r="AG6" i="13"/>
  <c r="R10" i="13" s="1"/>
  <c r="AH6" i="13"/>
  <c r="AI6" i="13"/>
  <c r="S10" i="13" s="1"/>
  <c r="AJ6" i="13"/>
  <c r="AK6" i="13"/>
  <c r="T10" i="13" s="1"/>
  <c r="AL6" i="13"/>
  <c r="AM6" i="13"/>
  <c r="U10" i="13" s="1"/>
  <c r="AN6" i="13"/>
  <c r="AO6" i="13"/>
  <c r="V10" i="13" s="1"/>
  <c r="AP6" i="13"/>
  <c r="AQ6" i="13"/>
  <c r="W10" i="13" s="1"/>
  <c r="AR6" i="13"/>
  <c r="AS6" i="13"/>
  <c r="X10" i="13" s="1"/>
  <c r="AT6" i="13"/>
  <c r="AU6" i="13"/>
  <c r="Y10" i="13" s="1"/>
  <c r="AV6" i="13"/>
  <c r="AW6" i="13"/>
  <c r="AX6" i="13"/>
  <c r="D7" i="13"/>
  <c r="E7" i="13"/>
  <c r="D11" i="13" s="1"/>
  <c r="F7" i="13"/>
  <c r="G7" i="13"/>
  <c r="E11" i="13" s="1"/>
  <c r="H7" i="13"/>
  <c r="I7" i="13"/>
  <c r="F11" i="13" s="1"/>
  <c r="J7" i="13"/>
  <c r="K7" i="13"/>
  <c r="G11" i="13" s="1"/>
  <c r="L7" i="13"/>
  <c r="M7" i="13"/>
  <c r="H11" i="13" s="1"/>
  <c r="N7" i="13"/>
  <c r="O7" i="13"/>
  <c r="I11" i="13" s="1"/>
  <c r="P7" i="13"/>
  <c r="Q7" i="13"/>
  <c r="J11" i="13" s="1"/>
  <c r="R7" i="13"/>
  <c r="S7" i="13"/>
  <c r="K11" i="13" s="1"/>
  <c r="T7" i="13"/>
  <c r="U7" i="13"/>
  <c r="L11" i="13" s="1"/>
  <c r="V7" i="13"/>
  <c r="W7" i="13"/>
  <c r="M11" i="13" s="1"/>
  <c r="X7" i="13"/>
  <c r="Y7" i="13"/>
  <c r="N11" i="13" s="1"/>
  <c r="Z7" i="13"/>
  <c r="AA7" i="13"/>
  <c r="O11" i="13" s="1"/>
  <c r="AB7" i="13"/>
  <c r="AC7" i="13"/>
  <c r="P11" i="13" s="1"/>
  <c r="AD7" i="13"/>
  <c r="AE7" i="13"/>
  <c r="Q11" i="13" s="1"/>
  <c r="AF7" i="13"/>
  <c r="AG7" i="13"/>
  <c r="R11" i="13" s="1"/>
  <c r="AH7" i="13"/>
  <c r="AI7" i="13"/>
  <c r="S11" i="13" s="1"/>
  <c r="AJ7" i="13"/>
  <c r="AK7" i="13"/>
  <c r="T11" i="13" s="1"/>
  <c r="AL7" i="13"/>
  <c r="AM7" i="13"/>
  <c r="U11" i="13" s="1"/>
  <c r="AN7" i="13"/>
  <c r="AO7" i="13"/>
  <c r="V11" i="13" s="1"/>
  <c r="AP7" i="13"/>
  <c r="AQ7" i="13"/>
  <c r="W11" i="13" s="1"/>
  <c r="AR7" i="13"/>
  <c r="AS7" i="13"/>
  <c r="X11" i="13" s="1"/>
  <c r="AT7" i="13"/>
  <c r="AU7" i="13"/>
  <c r="Y11" i="13" s="1"/>
  <c r="AV7" i="13"/>
  <c r="AW7" i="13"/>
  <c r="AX7" i="13"/>
  <c r="C7" i="13"/>
  <c r="C11" i="13" s="1"/>
  <c r="C6" i="13"/>
  <c r="C10" i="13" s="1"/>
  <c r="C5" i="13"/>
  <c r="A139" i="1"/>
  <c r="Z10" i="13" l="1"/>
  <c r="Z11" i="13"/>
  <c r="Y9" i="13"/>
  <c r="Z12" i="13"/>
  <c r="Z9" i="13" s="1"/>
  <c r="G94" i="31"/>
  <c r="L94" i="31" s="1"/>
  <c r="N94" i="31" s="1"/>
  <c r="G68" i="31"/>
  <c r="L68" i="31" s="1"/>
  <c r="N68" i="31" s="1"/>
  <c r="G65" i="31"/>
  <c r="L65" i="31" s="1"/>
  <c r="N65" i="31" s="1"/>
  <c r="G109" i="31"/>
  <c r="L109" i="31" s="1"/>
  <c r="N109" i="31" s="1"/>
  <c r="G59" i="31"/>
  <c r="L59" i="31" s="1"/>
  <c r="N59" i="31" s="1"/>
  <c r="G57" i="31"/>
  <c r="L57" i="31" s="1"/>
  <c r="N57" i="31" s="1"/>
  <c r="G79" i="31"/>
  <c r="L79" i="31" s="1"/>
  <c r="N79" i="31" s="1"/>
  <c r="G6" i="31"/>
  <c r="L6" i="31" s="1"/>
  <c r="N6" i="31" s="1"/>
  <c r="G43" i="31"/>
  <c r="L43" i="31" s="1"/>
  <c r="N43" i="31" s="1"/>
  <c r="G99" i="31"/>
  <c r="N99" i="31" s="1"/>
  <c r="G97" i="31"/>
  <c r="L97" i="31" s="1"/>
  <c r="N97" i="31" s="1"/>
  <c r="G107" i="31"/>
  <c r="L107" i="31" s="1"/>
  <c r="N107" i="31" s="1"/>
  <c r="G113" i="31"/>
  <c r="L113" i="31" s="1"/>
  <c r="N113" i="31" s="1"/>
  <c r="G52" i="31"/>
  <c r="L52" i="31" s="1"/>
  <c r="N52" i="31" s="1"/>
  <c r="G72" i="31"/>
  <c r="L72" i="31" s="1"/>
  <c r="N72" i="31" s="1"/>
  <c r="G42" i="31"/>
  <c r="L42" i="31" s="1"/>
  <c r="N42" i="31" s="1"/>
  <c r="G72" i="30"/>
  <c r="G72" i="12"/>
  <c r="G99" i="30"/>
  <c r="G99" i="12"/>
  <c r="G59" i="30"/>
  <c r="G59" i="12"/>
  <c r="G57" i="30"/>
  <c r="G57" i="12"/>
  <c r="G79" i="30"/>
  <c r="G79" i="12"/>
  <c r="G107" i="12"/>
  <c r="G107" i="30"/>
  <c r="G42" i="12"/>
  <c r="G42" i="30"/>
  <c r="G65" i="12"/>
  <c r="G65" i="30"/>
  <c r="G94" i="12"/>
  <c r="G94" i="30"/>
  <c r="G113" i="30"/>
  <c r="G113" i="12"/>
  <c r="G43" i="12"/>
  <c r="G43" i="30"/>
  <c r="G68" i="30"/>
  <c r="G68" i="12"/>
  <c r="G97" i="30"/>
  <c r="G97" i="12"/>
  <c r="G109" i="12"/>
  <c r="G109" i="30"/>
  <c r="G6" i="30"/>
  <c r="G6" i="12"/>
  <c r="G52" i="12"/>
  <c r="G52" i="30"/>
  <c r="R114" i="30"/>
  <c r="R102" i="30"/>
  <c r="R98" i="12"/>
  <c r="R77" i="12"/>
  <c r="R59" i="12"/>
  <c r="R50" i="30"/>
  <c r="R29" i="30"/>
  <c r="R30" i="30"/>
  <c r="R135" i="30"/>
  <c r="R137" i="30"/>
  <c r="R111" i="12"/>
  <c r="R91" i="30"/>
  <c r="R80" i="12"/>
  <c r="R43" i="30"/>
  <c r="R62" i="12"/>
  <c r="R10" i="30"/>
  <c r="R13" i="30"/>
  <c r="R130" i="30"/>
  <c r="R124" i="12"/>
  <c r="R90" i="30"/>
  <c r="R73" i="12"/>
  <c r="R61" i="30"/>
  <c r="R46" i="30"/>
  <c r="R25" i="30"/>
  <c r="R26" i="30"/>
  <c r="R115" i="30"/>
  <c r="R104" i="12"/>
  <c r="R101" i="30"/>
  <c r="R79" i="30"/>
  <c r="R65" i="30"/>
  <c r="R52" i="12"/>
  <c r="R31" i="12"/>
  <c r="R34" i="30"/>
  <c r="R132" i="31"/>
  <c r="U132" i="31" s="1"/>
  <c r="R107" i="31"/>
  <c r="W107" i="31" s="1"/>
  <c r="Y107" i="31" s="1"/>
  <c r="R74" i="31"/>
  <c r="U74" i="31" s="1"/>
  <c r="R54" i="31"/>
  <c r="U54" i="31" s="1"/>
  <c r="R7" i="31"/>
  <c r="U7" i="31" s="1"/>
  <c r="R96" i="31"/>
  <c r="U96" i="31" s="1"/>
  <c r="R63" i="31"/>
  <c r="U63" i="31" s="1"/>
  <c r="R40" i="31"/>
  <c r="U40" i="31" s="1"/>
  <c r="R20" i="31"/>
  <c r="U20" i="31" s="1"/>
  <c r="R106" i="31"/>
  <c r="U106" i="31" s="1"/>
  <c r="R81" i="31"/>
  <c r="U81" i="31" s="1"/>
  <c r="R33" i="31"/>
  <c r="U33" i="31" s="1"/>
  <c r="R36" i="31"/>
  <c r="U36" i="31" s="1"/>
  <c r="R128" i="31"/>
  <c r="U128" i="31" s="1"/>
  <c r="R88" i="31"/>
  <c r="U88" i="31" s="1"/>
  <c r="R56" i="31"/>
  <c r="U56" i="31" s="1"/>
  <c r="R23" i="31"/>
  <c r="U23" i="31" s="1"/>
  <c r="R131" i="12"/>
  <c r="R99" i="30"/>
  <c r="R120" i="30"/>
  <c r="R67" i="30"/>
  <c r="R53" i="12"/>
  <c r="R42" i="12"/>
  <c r="R21" i="12"/>
  <c r="R22" i="12"/>
  <c r="R129" i="12"/>
  <c r="R108" i="12"/>
  <c r="R105" i="30"/>
  <c r="R83" i="12"/>
  <c r="R72" i="12"/>
  <c r="R55" i="12"/>
  <c r="R37" i="12"/>
  <c r="R38" i="12"/>
  <c r="R5" i="30"/>
  <c r="R126" i="30"/>
  <c r="R92" i="30"/>
  <c r="R97" i="30"/>
  <c r="R86" i="12"/>
  <c r="R49" i="30"/>
  <c r="R68" i="12"/>
  <c r="R16" i="12"/>
  <c r="R19" i="30"/>
  <c r="R128" i="30"/>
  <c r="R122" i="30"/>
  <c r="R88" i="12"/>
  <c r="R71" i="12"/>
  <c r="R56" i="30"/>
  <c r="R44" i="12"/>
  <c r="R23" i="30"/>
  <c r="R24" i="12"/>
  <c r="R114" i="31"/>
  <c r="U114" i="31" s="1"/>
  <c r="R98" i="31"/>
  <c r="U98" i="31" s="1"/>
  <c r="R59" i="31"/>
  <c r="W59" i="31" s="1"/>
  <c r="Y59" i="31" s="1"/>
  <c r="R29" i="31"/>
  <c r="U29" i="31" s="1"/>
  <c r="R135" i="31"/>
  <c r="U135" i="31" s="1"/>
  <c r="R111" i="31"/>
  <c r="U111" i="31" s="1"/>
  <c r="R80" i="31"/>
  <c r="U80" i="31" s="1"/>
  <c r="R62" i="31"/>
  <c r="U62" i="31" s="1"/>
  <c r="R13" i="31"/>
  <c r="U13" i="31" s="1"/>
  <c r="R124" i="31"/>
  <c r="U124" i="31" s="1"/>
  <c r="R73" i="31"/>
  <c r="U73" i="31" s="1"/>
  <c r="R46" i="31"/>
  <c r="U46" i="31" s="1"/>
  <c r="R26" i="31"/>
  <c r="U26" i="31" s="1"/>
  <c r="R121" i="31"/>
  <c r="U121" i="31" s="1"/>
  <c r="R95" i="31"/>
  <c r="U95" i="31" s="1"/>
  <c r="R47" i="31"/>
  <c r="U47" i="31" s="1"/>
  <c r="R14" i="31"/>
  <c r="U14" i="31" s="1"/>
  <c r="R131" i="30"/>
  <c r="R99" i="12"/>
  <c r="R120" i="12"/>
  <c r="R67" i="12"/>
  <c r="R53" i="30"/>
  <c r="R42" i="30"/>
  <c r="R21" i="30"/>
  <c r="R22" i="30"/>
  <c r="R129" i="30"/>
  <c r="R108" i="30"/>
  <c r="R105" i="12"/>
  <c r="R83" i="30"/>
  <c r="R72" i="30"/>
  <c r="R55" i="30"/>
  <c r="R37" i="30"/>
  <c r="R38" i="30"/>
  <c r="R5" i="12"/>
  <c r="R126" i="12"/>
  <c r="R92" i="12"/>
  <c r="R97" i="12"/>
  <c r="R86" i="30"/>
  <c r="R49" i="12"/>
  <c r="R68" i="30"/>
  <c r="R16" i="30"/>
  <c r="R19" i="12"/>
  <c r="R128" i="12"/>
  <c r="R122" i="12"/>
  <c r="R88" i="30"/>
  <c r="R71" i="30"/>
  <c r="R56" i="12"/>
  <c r="R44" i="30"/>
  <c r="R23" i="12"/>
  <c r="R24" i="30"/>
  <c r="R131" i="31"/>
  <c r="U131" i="31" s="1"/>
  <c r="R120" i="31"/>
  <c r="U120" i="31" s="1"/>
  <c r="R53" i="31"/>
  <c r="U53" i="31" s="1"/>
  <c r="R21" i="31"/>
  <c r="U21" i="31" s="1"/>
  <c r="R129" i="31"/>
  <c r="U129" i="31" s="1"/>
  <c r="R105" i="31"/>
  <c r="U105" i="31" s="1"/>
  <c r="R72" i="31"/>
  <c r="W72" i="31" s="1"/>
  <c r="Y72" i="31" s="1"/>
  <c r="R37" i="31"/>
  <c r="U37" i="31" s="1"/>
  <c r="R5" i="31"/>
  <c r="U5" i="31" s="1"/>
  <c r="R92" i="31"/>
  <c r="U92" i="31" s="1"/>
  <c r="R86" i="31"/>
  <c r="U86" i="31" s="1"/>
  <c r="R68" i="31"/>
  <c r="W68" i="31" s="1"/>
  <c r="Y68" i="31" s="1"/>
  <c r="R19" i="31"/>
  <c r="U19" i="31" s="1"/>
  <c r="R125" i="31"/>
  <c r="U125" i="31" s="1"/>
  <c r="R87" i="31"/>
  <c r="U87" i="31" s="1"/>
  <c r="R39" i="31"/>
  <c r="U39" i="31" s="1"/>
  <c r="R6" i="31"/>
  <c r="W6" i="31" s="1"/>
  <c r="Y6" i="31" s="1"/>
  <c r="R136" i="12"/>
  <c r="R117" i="12"/>
  <c r="R112" i="30"/>
  <c r="R93" i="30"/>
  <c r="R82" i="12"/>
  <c r="R45" i="30"/>
  <c r="R64" i="12"/>
  <c r="R12" i="12"/>
  <c r="R15" i="30"/>
  <c r="R138" i="12"/>
  <c r="R100" i="12"/>
  <c r="R94" i="30"/>
  <c r="R75" i="30"/>
  <c r="R69" i="12"/>
  <c r="R48" i="12"/>
  <c r="R27" i="30"/>
  <c r="R28" i="12"/>
  <c r="R134" i="12"/>
  <c r="R118" i="12"/>
  <c r="R110" i="30"/>
  <c r="R89" i="12"/>
  <c r="R78" i="30"/>
  <c r="R41" i="12"/>
  <c r="R60" i="30"/>
  <c r="R8" i="12"/>
  <c r="R11" i="30"/>
  <c r="R121" i="12"/>
  <c r="R113" i="30"/>
  <c r="R95" i="30"/>
  <c r="R84" i="12"/>
  <c r="R47" i="30"/>
  <c r="R66" i="12"/>
  <c r="R14" i="12"/>
  <c r="R17" i="12"/>
  <c r="R117" i="31"/>
  <c r="U117" i="31" s="1"/>
  <c r="R93" i="31"/>
  <c r="U93" i="31" s="1"/>
  <c r="R45" i="31"/>
  <c r="U45" i="31" s="1"/>
  <c r="R12" i="31"/>
  <c r="U12" i="31" s="1"/>
  <c r="R138" i="31"/>
  <c r="U138" i="31" s="1"/>
  <c r="R94" i="31"/>
  <c r="W94" i="31" s="1"/>
  <c r="Y94" i="31" s="1"/>
  <c r="R69" i="31"/>
  <c r="U69" i="31" s="1"/>
  <c r="R27" i="31"/>
  <c r="U27" i="31" s="1"/>
  <c r="R134" i="31"/>
  <c r="U134" i="31" s="1"/>
  <c r="R110" i="31"/>
  <c r="U110" i="31" s="1"/>
  <c r="R78" i="31"/>
  <c r="U78" i="31" s="1"/>
  <c r="R60" i="31"/>
  <c r="U60" i="31" s="1"/>
  <c r="R11" i="31"/>
  <c r="U11" i="31" s="1"/>
  <c r="R104" i="31"/>
  <c r="U104" i="31" s="1"/>
  <c r="R79" i="31"/>
  <c r="W79" i="31" s="1"/>
  <c r="Y79" i="31" s="1"/>
  <c r="R52" i="31"/>
  <c r="W52" i="31" s="1"/>
  <c r="Y52" i="31" s="1"/>
  <c r="R34" i="31"/>
  <c r="U34" i="31" s="1"/>
  <c r="R136" i="30"/>
  <c r="R117" i="30"/>
  <c r="R112" i="12"/>
  <c r="R93" i="12"/>
  <c r="R82" i="30"/>
  <c r="R45" i="12"/>
  <c r="R64" i="30"/>
  <c r="R12" i="30"/>
  <c r="R15" i="12"/>
  <c r="R138" i="30"/>
  <c r="R100" i="30"/>
  <c r="R94" i="12"/>
  <c r="R75" i="12"/>
  <c r="R69" i="30"/>
  <c r="R48" i="30"/>
  <c r="R27" i="12"/>
  <c r="R28" i="30"/>
  <c r="R134" i="30"/>
  <c r="R118" i="30"/>
  <c r="R110" i="12"/>
  <c r="R89" i="30"/>
  <c r="R78" i="12"/>
  <c r="R41" i="30"/>
  <c r="R60" i="12"/>
  <c r="R8" i="30"/>
  <c r="R11" i="12"/>
  <c r="R121" i="30"/>
  <c r="R113" i="12"/>
  <c r="R95" i="12"/>
  <c r="R84" i="30"/>
  <c r="R47" i="12"/>
  <c r="R66" i="30"/>
  <c r="R14" i="30"/>
  <c r="R17" i="30"/>
  <c r="R119" i="31"/>
  <c r="U119" i="31" s="1"/>
  <c r="R85" i="31"/>
  <c r="U85" i="31" s="1"/>
  <c r="R57" i="31"/>
  <c r="W57" i="31" s="1"/>
  <c r="Y57" i="31" s="1"/>
  <c r="R32" i="31"/>
  <c r="U32" i="31" s="1"/>
  <c r="R127" i="31"/>
  <c r="U127" i="31" s="1"/>
  <c r="R116" i="31"/>
  <c r="U116" i="31" s="1"/>
  <c r="R51" i="31"/>
  <c r="U51" i="31" s="1"/>
  <c r="R18" i="31"/>
  <c r="U18" i="31" s="1"/>
  <c r="R123" i="31"/>
  <c r="U123" i="31" s="1"/>
  <c r="R103" i="31"/>
  <c r="U103" i="31" s="1"/>
  <c r="R70" i="31"/>
  <c r="U70" i="31" s="1"/>
  <c r="R35" i="31"/>
  <c r="U35" i="31" s="1"/>
  <c r="R4" i="31"/>
  <c r="U4" i="31" s="1"/>
  <c r="R122" i="31"/>
  <c r="U122" i="31" s="1"/>
  <c r="R71" i="31"/>
  <c r="U71" i="31" s="1"/>
  <c r="R44" i="31"/>
  <c r="U44" i="31" s="1"/>
  <c r="R24" i="31"/>
  <c r="U24" i="31" s="1"/>
  <c r="R132" i="12"/>
  <c r="R119" i="12"/>
  <c r="R107" i="30"/>
  <c r="R85" i="12"/>
  <c r="R74" i="12"/>
  <c r="R57" i="12"/>
  <c r="R54" i="30"/>
  <c r="R32" i="12"/>
  <c r="R7" i="12"/>
  <c r="R127" i="12"/>
  <c r="R96" i="12"/>
  <c r="R116" i="30"/>
  <c r="R63" i="12"/>
  <c r="R51" i="12"/>
  <c r="R40" i="12"/>
  <c r="R18" i="12"/>
  <c r="R20" i="12"/>
  <c r="R123" i="30"/>
  <c r="R106" i="30"/>
  <c r="R103" i="30"/>
  <c r="R81" i="12"/>
  <c r="R70" i="12"/>
  <c r="R33" i="12"/>
  <c r="R35" i="30"/>
  <c r="R36" i="12"/>
  <c r="R133" i="12"/>
  <c r="R125" i="30"/>
  <c r="R109" i="12"/>
  <c r="R87" i="12"/>
  <c r="R76" i="12"/>
  <c r="R39" i="30"/>
  <c r="R58" i="12"/>
  <c r="R6" i="30"/>
  <c r="R9" i="12"/>
  <c r="R102" i="31"/>
  <c r="U102" i="31" s="1"/>
  <c r="R77" i="31"/>
  <c r="U77" i="31" s="1"/>
  <c r="R50" i="31"/>
  <c r="U50" i="31" s="1"/>
  <c r="R30" i="31"/>
  <c r="U30" i="31" s="1"/>
  <c r="R137" i="31"/>
  <c r="U137" i="31" s="1"/>
  <c r="R91" i="31"/>
  <c r="U91" i="31" s="1"/>
  <c r="R43" i="31"/>
  <c r="W43" i="31" s="1"/>
  <c r="Y43" i="31" s="1"/>
  <c r="R10" i="31"/>
  <c r="U10" i="31" s="1"/>
  <c r="R130" i="31"/>
  <c r="U130" i="31" s="1"/>
  <c r="R90" i="31"/>
  <c r="U90" i="31" s="1"/>
  <c r="R61" i="31"/>
  <c r="U61" i="31" s="1"/>
  <c r="R25" i="31"/>
  <c r="U25" i="31" s="1"/>
  <c r="R4" i="30"/>
  <c r="R113" i="31"/>
  <c r="W113" i="31" s="1"/>
  <c r="Y113" i="31" s="1"/>
  <c r="R84" i="31"/>
  <c r="U84" i="31" s="1"/>
  <c r="R66" i="31"/>
  <c r="U66" i="31" s="1"/>
  <c r="R17" i="31"/>
  <c r="U17" i="31" s="1"/>
  <c r="R132" i="30"/>
  <c r="R119" i="30"/>
  <c r="R107" i="12"/>
  <c r="R85" i="30"/>
  <c r="R74" i="30"/>
  <c r="R57" i="30"/>
  <c r="R54" i="12"/>
  <c r="R32" i="30"/>
  <c r="R7" i="30"/>
  <c r="R127" i="30"/>
  <c r="R96" i="30"/>
  <c r="R116" i="12"/>
  <c r="R63" i="30"/>
  <c r="R51" i="30"/>
  <c r="R40" i="30"/>
  <c r="R18" i="30"/>
  <c r="R20" i="30"/>
  <c r="R123" i="12"/>
  <c r="R106" i="12"/>
  <c r="R103" i="12"/>
  <c r="R81" i="30"/>
  <c r="R70" i="30"/>
  <c r="R33" i="30"/>
  <c r="R35" i="12"/>
  <c r="R36" i="30"/>
  <c r="R133" i="30"/>
  <c r="R125" i="12"/>
  <c r="R109" i="30"/>
  <c r="R87" i="30"/>
  <c r="R76" i="30"/>
  <c r="R39" i="12"/>
  <c r="R58" i="30"/>
  <c r="R6" i="12"/>
  <c r="R9" i="30"/>
  <c r="R99" i="31"/>
  <c r="W99" i="31" s="1"/>
  <c r="Y99" i="31" s="1"/>
  <c r="R67" i="31"/>
  <c r="U67" i="31" s="1"/>
  <c r="R42" i="31"/>
  <c r="W42" i="31" s="1"/>
  <c r="Y42" i="31" s="1"/>
  <c r="R22" i="31"/>
  <c r="U22" i="31" s="1"/>
  <c r="R108" i="31"/>
  <c r="U108" i="31" s="1"/>
  <c r="R83" i="31"/>
  <c r="U83" i="31" s="1"/>
  <c r="R55" i="31"/>
  <c r="U55" i="31" s="1"/>
  <c r="R38" i="31"/>
  <c r="U38" i="31" s="1"/>
  <c r="R126" i="31"/>
  <c r="U126" i="31" s="1"/>
  <c r="R97" i="31"/>
  <c r="W97" i="31" s="1"/>
  <c r="Y97" i="31" s="1"/>
  <c r="R49" i="31"/>
  <c r="U49" i="31" s="1"/>
  <c r="R16" i="31"/>
  <c r="U16" i="31" s="1"/>
  <c r="R133" i="31"/>
  <c r="U133" i="31" s="1"/>
  <c r="R109" i="31"/>
  <c r="W109" i="31" s="1"/>
  <c r="Y109" i="31" s="1"/>
  <c r="R76" i="31"/>
  <c r="U76" i="31" s="1"/>
  <c r="R58" i="31"/>
  <c r="U58" i="31" s="1"/>
  <c r="R9" i="31"/>
  <c r="U9" i="31" s="1"/>
  <c r="R114" i="12"/>
  <c r="R102" i="12"/>
  <c r="R98" i="30"/>
  <c r="R77" i="30"/>
  <c r="R59" i="30"/>
  <c r="R50" i="12"/>
  <c r="R29" i="12"/>
  <c r="R30" i="12"/>
  <c r="R135" i="12"/>
  <c r="R137" i="12"/>
  <c r="R111" i="30"/>
  <c r="R91" i="12"/>
  <c r="R80" i="30"/>
  <c r="R43" i="12"/>
  <c r="R62" i="30"/>
  <c r="R10" i="12"/>
  <c r="R13" i="12"/>
  <c r="R130" i="12"/>
  <c r="R124" i="30"/>
  <c r="R90" i="12"/>
  <c r="R73" i="30"/>
  <c r="R61" i="12"/>
  <c r="R46" i="12"/>
  <c r="R25" i="12"/>
  <c r="R26" i="12"/>
  <c r="R115" i="12"/>
  <c r="R104" i="30"/>
  <c r="R101" i="12"/>
  <c r="R79" i="12"/>
  <c r="R65" i="12"/>
  <c r="R52" i="30"/>
  <c r="R31" i="30"/>
  <c r="R34" i="12"/>
  <c r="R136" i="31"/>
  <c r="U136" i="31" s="1"/>
  <c r="R112" i="31"/>
  <c r="U112" i="31" s="1"/>
  <c r="R82" i="31"/>
  <c r="U82" i="31" s="1"/>
  <c r="R64" i="31"/>
  <c r="U64" i="31" s="1"/>
  <c r="R15" i="31"/>
  <c r="U15" i="31" s="1"/>
  <c r="R100" i="31"/>
  <c r="U100" i="31" s="1"/>
  <c r="R75" i="31"/>
  <c r="U75" i="31" s="1"/>
  <c r="R48" i="31"/>
  <c r="U48" i="31" s="1"/>
  <c r="R28" i="31"/>
  <c r="U28" i="31" s="1"/>
  <c r="R118" i="31"/>
  <c r="R89" i="31"/>
  <c r="U89" i="31" s="1"/>
  <c r="R41" i="31"/>
  <c r="U41" i="31" s="1"/>
  <c r="R8" i="31"/>
  <c r="U8" i="31" s="1"/>
  <c r="R115" i="31"/>
  <c r="U115" i="31" s="1"/>
  <c r="R101" i="31"/>
  <c r="U101" i="31" s="1"/>
  <c r="R65" i="31"/>
  <c r="W65" i="31" s="1"/>
  <c r="Y65" i="31" s="1"/>
  <c r="R31" i="31"/>
  <c r="U31" i="31" s="1"/>
  <c r="J139" i="1"/>
  <c r="BX140" i="27"/>
  <c r="Q68" i="12"/>
  <c r="Q42" i="30"/>
  <c r="Q95" i="30"/>
  <c r="Q107" i="30"/>
  <c r="Q44" i="30"/>
  <c r="Q50" i="12"/>
  <c r="Q102" i="30"/>
  <c r="Q65" i="30"/>
  <c r="Q6" i="12"/>
  <c r="Q90" i="12"/>
  <c r="Q97" i="12"/>
  <c r="Q11" i="12"/>
  <c r="Q61" i="12"/>
  <c r="Q50" i="30"/>
  <c r="Q109" i="12"/>
  <c r="Q80" i="12"/>
  <c r="U80" i="12" s="1"/>
  <c r="Q15" i="12"/>
  <c r="Q6" i="30"/>
  <c r="Q90" i="30"/>
  <c r="Q97" i="30"/>
  <c r="Q11" i="30"/>
  <c r="Q129" i="12"/>
  <c r="Q109" i="30"/>
  <c r="Q80" i="30"/>
  <c r="Q72" i="12"/>
  <c r="Q94" i="12"/>
  <c r="Q79" i="12"/>
  <c r="Q61" i="30"/>
  <c r="Q57" i="12"/>
  <c r="Q129" i="30"/>
  <c r="U129" i="30" s="1"/>
  <c r="Q59" i="12"/>
  <c r="Q9" i="12"/>
  <c r="Q118" i="12"/>
  <c r="Q72" i="30"/>
  <c r="Q94" i="30"/>
  <c r="W94" i="30" s="1"/>
  <c r="Y94" i="30" s="1"/>
  <c r="Q79" i="30"/>
  <c r="W79" i="30" s="1"/>
  <c r="Y79" i="30" s="1"/>
  <c r="Q78" i="12"/>
  <c r="Q57" i="30"/>
  <c r="Q53" i="12"/>
  <c r="Q59" i="30"/>
  <c r="Q9" i="30"/>
  <c r="Q118" i="30"/>
  <c r="Q51" i="12"/>
  <c r="Q113" i="12"/>
  <c r="Q78" i="30"/>
  <c r="Q43" i="12"/>
  <c r="Q53" i="30"/>
  <c r="Q99" i="12"/>
  <c r="Q93" i="12"/>
  <c r="Q51" i="30"/>
  <c r="Q113" i="30"/>
  <c r="W113" i="30" s="1"/>
  <c r="Y113" i="30" s="1"/>
  <c r="Q15" i="30"/>
  <c r="Q43" i="30"/>
  <c r="Q52" i="12"/>
  <c r="Q99" i="30"/>
  <c r="Q93" i="30"/>
  <c r="Q68" i="30"/>
  <c r="Q42" i="12"/>
  <c r="Q95" i="12"/>
  <c r="Q107" i="12"/>
  <c r="Q44" i="12"/>
  <c r="Q52" i="30"/>
  <c r="Q102" i="12"/>
  <c r="Q65" i="12"/>
  <c r="Q30" i="12"/>
  <c r="Q82" i="12"/>
  <c r="Q81" i="30"/>
  <c r="Q17" i="12"/>
  <c r="Q127" i="30"/>
  <c r="Q58" i="30"/>
  <c r="Q16" i="30"/>
  <c r="Q83" i="12"/>
  <c r="Q125" i="12"/>
  <c r="Q104" i="12"/>
  <c r="Q85" i="12"/>
  <c r="Q67" i="30"/>
  <c r="Q12" i="12"/>
  <c r="Q46" i="30"/>
  <c r="Q81" i="12"/>
  <c r="Q70" i="30"/>
  <c r="Q45" i="30"/>
  <c r="Q73" i="12"/>
  <c r="Q84" i="30"/>
  <c r="Q128" i="12"/>
  <c r="Q114" i="12"/>
  <c r="Q28" i="30"/>
  <c r="Q7" i="30"/>
  <c r="Q137" i="12"/>
  <c r="Q117" i="12"/>
  <c r="Q86" i="30"/>
  <c r="Q74" i="12"/>
  <c r="Q5" i="12"/>
  <c r="Q128" i="30"/>
  <c r="Q17" i="30"/>
  <c r="Q13" i="30"/>
  <c r="Q131" i="12"/>
  <c r="Q103" i="30"/>
  <c r="U103" i="30" s="1"/>
  <c r="Q133" i="30"/>
  <c r="Q67" i="12"/>
  <c r="Q12" i="30"/>
  <c r="Q41" i="30"/>
  <c r="Q119" i="12"/>
  <c r="Q88" i="12"/>
  <c r="Q45" i="12"/>
  <c r="Q122" i="12"/>
  <c r="Q31" i="12"/>
  <c r="Q38" i="30"/>
  <c r="Q116" i="12"/>
  <c r="Q114" i="30"/>
  <c r="Q28" i="12"/>
  <c r="Q7" i="12"/>
  <c r="Q106" i="30"/>
  <c r="Q88" i="30"/>
  <c r="U88" i="30" s="1"/>
  <c r="Q34" i="12"/>
  <c r="Q39" i="30"/>
  <c r="Q66" i="12"/>
  <c r="Q73" i="30"/>
  <c r="Q62" i="12"/>
  <c r="Q48" i="30"/>
  <c r="Q111" i="12"/>
  <c r="Q10" i="30"/>
  <c r="U10" i="30" s="1"/>
  <c r="Q54" i="30"/>
  <c r="Q18" i="12"/>
  <c r="Q133" i="12"/>
  <c r="Q19" i="30"/>
  <c r="Q56" i="30"/>
  <c r="Q41" i="12"/>
  <c r="Q60" i="12"/>
  <c r="Q5" i="30"/>
  <c r="Q115" i="12"/>
  <c r="Q122" i="30"/>
  <c r="Q27" i="30"/>
  <c r="Q131" i="30"/>
  <c r="Q62" i="30"/>
  <c r="Q100" i="30"/>
  <c r="Q71" i="12"/>
  <c r="Q74" i="30"/>
  <c r="Q58" i="12"/>
  <c r="Q75" i="30"/>
  <c r="Q26" i="30"/>
  <c r="Q47" i="12"/>
  <c r="Q60" i="30"/>
  <c r="Q69" i="12"/>
  <c r="Q55" i="12"/>
  <c r="Q55" i="30"/>
  <c r="Q106" i="12"/>
  <c r="Q10" i="12"/>
  <c r="Q54" i="12"/>
  <c r="Q18" i="30"/>
  <c r="Q123" i="12"/>
  <c r="Q19" i="12"/>
  <c r="Q56" i="12"/>
  <c r="Q96" i="12"/>
  <c r="Q66" i="30"/>
  <c r="Q120" i="12"/>
  <c r="Q115" i="30"/>
  <c r="Q101" i="12"/>
  <c r="Q110" i="12"/>
  <c r="Q14" i="30"/>
  <c r="Q69" i="30"/>
  <c r="Q40" i="12"/>
  <c r="Q71" i="30"/>
  <c r="Q92" i="12"/>
  <c r="Q132" i="30"/>
  <c r="Q89" i="12"/>
  <c r="Q136" i="30"/>
  <c r="Q119" i="30"/>
  <c r="Q110" i="30"/>
  <c r="Q77" i="12"/>
  <c r="Q126" i="12"/>
  <c r="Q124" i="30"/>
  <c r="Q22" i="12"/>
  <c r="Q123" i="30"/>
  <c r="Q117" i="30"/>
  <c r="Q20" i="12"/>
  <c r="Q96" i="30"/>
  <c r="Q75" i="12"/>
  <c r="Q120" i="30"/>
  <c r="U120" i="30" s="1"/>
  <c r="Q25" i="30"/>
  <c r="Q125" i="30"/>
  <c r="Q134" i="12"/>
  <c r="Q14" i="12"/>
  <c r="Q23" i="12"/>
  <c r="Q40" i="30"/>
  <c r="Q98" i="12"/>
  <c r="Q92" i="30"/>
  <c r="U92" i="30" s="1"/>
  <c r="Q134" i="30"/>
  <c r="Q4" i="30"/>
  <c r="Q105" i="12"/>
  <c r="Q100" i="12"/>
  <c r="Q34" i="30"/>
  <c r="U34" i="30" s="1"/>
  <c r="Q64" i="30"/>
  <c r="Q112" i="12"/>
  <c r="Q105" i="30"/>
  <c r="U105" i="30" s="1"/>
  <c r="Q135" i="12"/>
  <c r="Q108" i="30"/>
  <c r="Q126" i="30"/>
  <c r="Q124" i="12"/>
  <c r="Q22" i="30"/>
  <c r="Q121" i="30"/>
  <c r="Q104" i="30"/>
  <c r="Q20" i="30"/>
  <c r="Q136" i="12"/>
  <c r="Q33" i="30"/>
  <c r="Q39" i="12"/>
  <c r="Q49" i="30"/>
  <c r="Q86" i="12"/>
  <c r="Q25" i="12"/>
  <c r="Q36" i="12"/>
  <c r="Q23" i="30"/>
  <c r="Q63" i="30"/>
  <c r="Q98" i="30"/>
  <c r="Q91" i="30"/>
  <c r="Q89" i="30"/>
  <c r="Q13" i="12"/>
  <c r="Q21" i="12"/>
  <c r="Q29" i="12"/>
  <c r="Q21" i="30"/>
  <c r="Q137" i="30"/>
  <c r="U137" i="30" s="1"/>
  <c r="Q135" i="30"/>
  <c r="Q29" i="30"/>
  <c r="Q108" i="12"/>
  <c r="Q35" i="12"/>
  <c r="Q24" i="12"/>
  <c r="Q121" i="12"/>
  <c r="Q27" i="12"/>
  <c r="Q30" i="30"/>
  <c r="Q87" i="30"/>
  <c r="Q37" i="30"/>
  <c r="Q76" i="30"/>
  <c r="U76" i="30" s="1"/>
  <c r="Q49" i="12"/>
  <c r="Q103" i="12"/>
  <c r="Q130" i="30"/>
  <c r="Q36" i="30"/>
  <c r="Q47" i="30"/>
  <c r="U47" i="30" s="1"/>
  <c r="Q63" i="12"/>
  <c r="Q82" i="30"/>
  <c r="Q91" i="12"/>
  <c r="Q33" i="12"/>
  <c r="Q70" i="12"/>
  <c r="Q8" i="12"/>
  <c r="Q16" i="12"/>
  <c r="Q116" i="30"/>
  <c r="Q138" i="12"/>
  <c r="Q127" i="12"/>
  <c r="Q31" i="30"/>
  <c r="Q111" i="30"/>
  <c r="Q130" i="12"/>
  <c r="Q35" i="30"/>
  <c r="Q24" i="30"/>
  <c r="U24" i="30" s="1"/>
  <c r="Q132" i="12"/>
  <c r="Q85" i="30"/>
  <c r="Q46" i="12"/>
  <c r="Q87" i="12"/>
  <c r="Q84" i="12"/>
  <c r="Q76" i="12"/>
  <c r="Q38" i="12"/>
  <c r="Q48" i="12"/>
  <c r="Q37" i="12"/>
  <c r="Q64" i="12"/>
  <c r="Q77" i="30"/>
  <c r="Q8" i="30"/>
  <c r="Q138" i="30"/>
  <c r="Q101" i="30"/>
  <c r="Q83" i="30"/>
  <c r="U83" i="30" s="1"/>
  <c r="Q26" i="12"/>
  <c r="Q112" i="30"/>
  <c r="U112" i="30" s="1"/>
  <c r="Q32" i="12"/>
  <c r="Q32" i="30"/>
  <c r="Q4" i="12"/>
  <c r="A7" i="20"/>
  <c r="R4" i="12"/>
  <c r="A8" i="20"/>
  <c r="U135" i="30" l="1"/>
  <c r="U98" i="30"/>
  <c r="U26" i="30"/>
  <c r="U12" i="30"/>
  <c r="U71" i="30"/>
  <c r="U66" i="30"/>
  <c r="U86" i="30"/>
  <c r="W72" i="30"/>
  <c r="Y72" i="30" s="1"/>
  <c r="U62" i="30"/>
  <c r="Z57" i="31"/>
  <c r="W57" i="30"/>
  <c r="Y57" i="30" s="1"/>
  <c r="W6" i="12"/>
  <c r="Y6" i="12" s="1"/>
  <c r="U133" i="30"/>
  <c r="U69" i="30"/>
  <c r="U106" i="30"/>
  <c r="U80" i="30"/>
  <c r="W59" i="30"/>
  <c r="Y59" i="30" s="1"/>
  <c r="U78" i="30"/>
  <c r="U128" i="30"/>
  <c r="U126" i="30"/>
  <c r="U91" i="30"/>
  <c r="U11" i="12"/>
  <c r="U51" i="12"/>
  <c r="U4" i="30"/>
  <c r="U85" i="30"/>
  <c r="Z79" i="31"/>
  <c r="U70" i="30"/>
  <c r="U14" i="30"/>
  <c r="U102" i="30"/>
  <c r="U51" i="30"/>
  <c r="W6" i="30"/>
  <c r="Y6" i="30" s="1"/>
  <c r="W113" i="12"/>
  <c r="Y113" i="12" s="1"/>
  <c r="W94" i="12"/>
  <c r="Y94" i="12" s="1"/>
  <c r="U118" i="31"/>
  <c r="W118" i="31" s="1"/>
  <c r="Y118" i="31" s="1"/>
  <c r="Z97" i="31"/>
  <c r="Z43" i="31"/>
  <c r="U35" i="30"/>
  <c r="U74" i="30"/>
  <c r="U45" i="30"/>
  <c r="U130" i="30"/>
  <c r="U55" i="30"/>
  <c r="U37" i="30"/>
  <c r="U104" i="30"/>
  <c r="U131" i="30"/>
  <c r="U5" i="30"/>
  <c r="U19" i="30"/>
  <c r="U114" i="30"/>
  <c r="U127" i="30"/>
  <c r="U44" i="12"/>
  <c r="W68" i="30"/>
  <c r="Y68" i="30" s="1"/>
  <c r="U93" i="12"/>
  <c r="U9" i="30"/>
  <c r="U118" i="12"/>
  <c r="W118" i="12" s="1"/>
  <c r="Y118" i="12" s="1"/>
  <c r="W72" i="12"/>
  <c r="Y72" i="12" s="1"/>
  <c r="U44" i="30"/>
  <c r="W68" i="12"/>
  <c r="Y68" i="12" s="1"/>
  <c r="U111" i="30"/>
  <c r="U124" i="30"/>
  <c r="U119" i="30"/>
  <c r="U122" i="30"/>
  <c r="U13" i="30"/>
  <c r="U53" i="30"/>
  <c r="W59" i="12"/>
  <c r="Y59" i="12" s="1"/>
  <c r="Z65" i="31"/>
  <c r="Z52" i="31"/>
  <c r="Z113" i="31"/>
  <c r="Z94" i="31"/>
  <c r="Z59" i="31"/>
  <c r="U33" i="30"/>
  <c r="U108" i="30"/>
  <c r="U40" i="30"/>
  <c r="U96" i="30"/>
  <c r="U110" i="30"/>
  <c r="U115" i="30"/>
  <c r="U27" i="30"/>
  <c r="U67" i="30"/>
  <c r="W107" i="12"/>
  <c r="Y107" i="12" s="1"/>
  <c r="U93" i="30"/>
  <c r="W99" i="12"/>
  <c r="Y99" i="12" s="1"/>
  <c r="U9" i="12"/>
  <c r="U61" i="30"/>
  <c r="W97" i="30"/>
  <c r="Y97" i="30" s="1"/>
  <c r="W65" i="30"/>
  <c r="Y65" i="30" s="1"/>
  <c r="U23" i="30"/>
  <c r="W42" i="30"/>
  <c r="Y42" i="30" s="1"/>
  <c r="Z68" i="31"/>
  <c r="U121" i="30"/>
  <c r="U138" i="30"/>
  <c r="U63" i="30"/>
  <c r="U22" i="30"/>
  <c r="U134" i="30"/>
  <c r="U75" i="30"/>
  <c r="U100" i="30"/>
  <c r="U39" i="30"/>
  <c r="U38" i="30"/>
  <c r="U16" i="30"/>
  <c r="U81" i="30"/>
  <c r="U102" i="12"/>
  <c r="Y99" i="30"/>
  <c r="W109" i="30"/>
  <c r="Y109" i="30" s="1"/>
  <c r="U90" i="30"/>
  <c r="U95" i="30"/>
  <c r="U101" i="30"/>
  <c r="U87" i="30"/>
  <c r="Z109" i="31"/>
  <c r="Z107" i="31"/>
  <c r="U21" i="30"/>
  <c r="U117" i="30"/>
  <c r="U54" i="30"/>
  <c r="U17" i="30"/>
  <c r="U118" i="30"/>
  <c r="W118" i="30" s="1"/>
  <c r="Y118" i="30" s="1"/>
  <c r="U129" i="12"/>
  <c r="U8" i="30"/>
  <c r="U31" i="30"/>
  <c r="U89" i="30"/>
  <c r="U136" i="30"/>
  <c r="U60" i="30"/>
  <c r="U28" i="30"/>
  <c r="W52" i="30"/>
  <c r="Y52" i="30" s="1"/>
  <c r="U50" i="30"/>
  <c r="U77" i="30"/>
  <c r="U82" i="30"/>
  <c r="U123" i="30"/>
  <c r="W43" i="30"/>
  <c r="Y43" i="30" s="1"/>
  <c r="W57" i="12"/>
  <c r="Y57" i="12" s="1"/>
  <c r="U95" i="12"/>
  <c r="K138" i="12"/>
  <c r="K138" i="31"/>
  <c r="K138" i="30"/>
  <c r="U48" i="30"/>
  <c r="U7" i="30"/>
  <c r="U53" i="12"/>
  <c r="W109" i="12"/>
  <c r="Y109" i="12" s="1"/>
  <c r="V138" i="30"/>
  <c r="V138" i="12"/>
  <c r="V138" i="31"/>
  <c r="Z6" i="31"/>
  <c r="U64" i="30"/>
  <c r="U56" i="30"/>
  <c r="U46" i="30"/>
  <c r="U58" i="30"/>
  <c r="W52" i="12"/>
  <c r="Y52" i="12" s="1"/>
  <c r="W43" i="12"/>
  <c r="Y43" i="12" s="1"/>
  <c r="U50" i="12"/>
  <c r="U32" i="30"/>
  <c r="U29" i="30"/>
  <c r="U18" i="30"/>
  <c r="U73" i="30"/>
  <c r="U41" i="30"/>
  <c r="U78" i="12"/>
  <c r="U11" i="30"/>
  <c r="U61" i="12"/>
  <c r="Z42" i="31"/>
  <c r="Z72" i="31"/>
  <c r="U125" i="30"/>
  <c r="U132" i="30"/>
  <c r="U15" i="30"/>
  <c r="W107" i="30"/>
  <c r="Y107" i="30" s="1"/>
  <c r="W65" i="12"/>
  <c r="Y65" i="12" s="1"/>
  <c r="U116" i="30"/>
  <c r="U30" i="30"/>
  <c r="U25" i="30"/>
  <c r="U84" i="30"/>
  <c r="W79" i="12"/>
  <c r="Y79" i="12" s="1"/>
  <c r="W97" i="12"/>
  <c r="Y97" i="12" s="1"/>
  <c r="U49" i="30"/>
  <c r="U36" i="30"/>
  <c r="U20" i="30"/>
  <c r="W42" i="12"/>
  <c r="Y42" i="12" s="1"/>
  <c r="U90" i="12"/>
  <c r="A9" i="20"/>
  <c r="A10" i="20" l="1"/>
  <c r="A11" i="20" l="1"/>
  <c r="A12" i="20" l="1"/>
  <c r="A13" i="20" l="1"/>
  <c r="A14" i="20" l="1"/>
  <c r="A15" i="20" l="1"/>
  <c r="A16" i="20" l="1"/>
  <c r="A17" i="20" l="1"/>
  <c r="A18" i="20" l="1"/>
  <c r="A19" i="20" l="1"/>
  <c r="A20" i="20" l="1"/>
  <c r="A21" i="20" l="1"/>
  <c r="A22" i="20" l="1"/>
  <c r="A23" i="20" l="1"/>
  <c r="A24" i="20" l="1"/>
  <c r="A25" i="20" l="1"/>
  <c r="A26" i="20" l="1"/>
  <c r="A27" i="20" l="1"/>
  <c r="A28" i="20" l="1"/>
  <c r="A29" i="20" l="1"/>
  <c r="A30" i="20" l="1"/>
  <c r="A31" i="20" l="1"/>
  <c r="A32" i="20" l="1"/>
  <c r="A33" i="20" l="1"/>
  <c r="A34" i="20" l="1"/>
  <c r="A35" i="20" l="1"/>
  <c r="A36" i="20" l="1"/>
  <c r="A37" i="20" l="1"/>
  <c r="A38" i="20" l="1"/>
  <c r="A39" i="20" l="1"/>
  <c r="A40" i="20" l="1"/>
  <c r="A41" i="20" l="1"/>
  <c r="A42" i="20" l="1"/>
  <c r="A43" i="20" l="1"/>
  <c r="A44" i="20" l="1"/>
  <c r="A45" i="20" l="1"/>
  <c r="A46" i="20" l="1"/>
  <c r="A47" i="20" l="1"/>
  <c r="A48" i="20" l="1"/>
  <c r="A49" i="20" l="1"/>
  <c r="A50" i="20" l="1"/>
  <c r="A51" i="20" l="1"/>
  <c r="A52" i="20" l="1"/>
  <c r="A53" i="20" l="1"/>
  <c r="A54" i="20" l="1"/>
  <c r="A55" i="20" l="1"/>
  <c r="A56" i="20" l="1"/>
  <c r="A57" i="20" l="1"/>
  <c r="A58" i="20" l="1"/>
  <c r="A59" i="20" l="1"/>
  <c r="A60" i="20" l="1"/>
  <c r="A61" i="20" l="1"/>
  <c r="A62" i="20" l="1"/>
  <c r="A63" i="20" l="1"/>
  <c r="A64" i="20" l="1"/>
  <c r="A65" i="20" l="1"/>
  <c r="A66" i="20" l="1"/>
  <c r="A67" i="20" l="1"/>
  <c r="A68" i="20" l="1"/>
  <c r="A69" i="20" l="1"/>
  <c r="A70" i="20" l="1"/>
  <c r="A71" i="20" l="1"/>
  <c r="A72" i="20" l="1"/>
  <c r="A73" i="20" l="1"/>
  <c r="A74" i="20" l="1"/>
  <c r="A75" i="20" l="1"/>
  <c r="A76" i="20" l="1"/>
  <c r="A77" i="20" l="1"/>
  <c r="A78" i="20" l="1"/>
  <c r="A79" i="20" l="1"/>
  <c r="A80" i="20" l="1"/>
  <c r="A81" i="20" l="1"/>
  <c r="A82" i="20" l="1"/>
  <c r="A83" i="20" l="1"/>
  <c r="A84" i="20" l="1"/>
  <c r="A85" i="20" l="1"/>
  <c r="A86" i="20" l="1"/>
  <c r="A87" i="20" l="1"/>
  <c r="A88" i="20" l="1"/>
  <c r="A89" i="20" l="1"/>
  <c r="A90" i="20" l="1"/>
  <c r="A91" i="20" l="1"/>
  <c r="A92" i="20" l="1"/>
  <c r="A93" i="20" l="1"/>
  <c r="A94" i="20" l="1"/>
  <c r="A95" i="20" l="1"/>
  <c r="A96" i="20" l="1"/>
  <c r="A97" i="20" l="1"/>
  <c r="A98" i="20" l="1"/>
  <c r="A99" i="20" l="1"/>
  <c r="A100" i="20" l="1"/>
  <c r="A101" i="20" l="1"/>
  <c r="A102" i="20" l="1"/>
  <c r="A103" i="20" l="1"/>
  <c r="A104" i="20" l="1"/>
  <c r="A105" i="20" l="1"/>
  <c r="A106" i="20" l="1"/>
  <c r="A107" i="20" l="1"/>
  <c r="A108" i="20" l="1"/>
  <c r="A109" i="20" l="1"/>
  <c r="A110" i="20" l="1"/>
  <c r="A111" i="20" l="1"/>
  <c r="A112" i="20" l="1"/>
  <c r="A113" i="20" l="1"/>
  <c r="A114" i="20" l="1"/>
  <c r="A115" i="20" l="1"/>
  <c r="A116" i="20" l="1"/>
  <c r="A117" i="20" l="1"/>
  <c r="A118" i="20" l="1"/>
  <c r="A119" i="20" l="1"/>
  <c r="A120" i="20" l="1"/>
  <c r="A121" i="20" l="1"/>
  <c r="A122" i="20" l="1"/>
  <c r="C7" i="16" l="1"/>
  <c r="BP137" i="27" l="1"/>
  <c r="BP99" i="27" l="1"/>
  <c r="BP126" i="27"/>
  <c r="BP30" i="27"/>
  <c r="BP44" i="27"/>
  <c r="BP52" i="27"/>
  <c r="BP13" i="27"/>
  <c r="BP50" i="27"/>
  <c r="BP108" i="27"/>
  <c r="BP53" i="27"/>
  <c r="BP76" i="27"/>
  <c r="BP127" i="27"/>
  <c r="BP46" i="27"/>
  <c r="BP133" i="27"/>
  <c r="BP32" i="27"/>
  <c r="BP14" i="27"/>
  <c r="BP122" i="27"/>
  <c r="BP21" i="27"/>
  <c r="BP42" i="27"/>
  <c r="BP110" i="27"/>
  <c r="BP120" i="27"/>
  <c r="BP113" i="27"/>
  <c r="BP34" i="27"/>
  <c r="BP139" i="27"/>
  <c r="BP90" i="27"/>
  <c r="BP56" i="27"/>
  <c r="BP130" i="27"/>
  <c r="BP97" i="27"/>
  <c r="BP83" i="27"/>
  <c r="BP20" i="27"/>
  <c r="BP94" i="27"/>
  <c r="BP111" i="27"/>
  <c r="BP79" i="27"/>
  <c r="BP124" i="27"/>
  <c r="BP68" i="27"/>
  <c r="BP48" i="27"/>
  <c r="BP40" i="27"/>
  <c r="BP119" i="27"/>
  <c r="BP117" i="27"/>
  <c r="BP132" i="27"/>
  <c r="BP62" i="27"/>
  <c r="BP9" i="27"/>
  <c r="BP102" i="27"/>
  <c r="BP51" i="27"/>
  <c r="BP129" i="27"/>
  <c r="BP43" i="27"/>
  <c r="BP57" i="27"/>
  <c r="BP85" i="27"/>
  <c r="BP125" i="27"/>
  <c r="BP103" i="27"/>
  <c r="BP19" i="27"/>
  <c r="BP72" i="27"/>
  <c r="BP29" i="27"/>
  <c r="BP95" i="27"/>
  <c r="BP86" i="27"/>
  <c r="BP36" i="27"/>
  <c r="BP131" i="27"/>
  <c r="BP88" i="27"/>
  <c r="BP116" i="27"/>
  <c r="BP118" i="27"/>
  <c r="BP135" i="27"/>
  <c r="BP10" i="27"/>
  <c r="BP23" i="27"/>
  <c r="BP63" i="27"/>
  <c r="BP17" i="27"/>
  <c r="BP60" i="27"/>
  <c r="BP104" i="27"/>
  <c r="BP107" i="27"/>
  <c r="BP39" i="27"/>
  <c r="BP123" i="27"/>
  <c r="BP81" i="27"/>
  <c r="BP58" i="27"/>
  <c r="BP18" i="27"/>
  <c r="BP100" i="27"/>
  <c r="BP93" i="27"/>
  <c r="BP27" i="27"/>
  <c r="BP98" i="27"/>
  <c r="BP66" i="27"/>
  <c r="BP106" i="27"/>
  <c r="BP136" i="27"/>
  <c r="BP82" i="27"/>
  <c r="BP80" i="27"/>
  <c r="BP87" i="27"/>
  <c r="BP12" i="27"/>
  <c r="BP61" i="27"/>
  <c r="BP67" i="27"/>
  <c r="BP8" i="27"/>
  <c r="BP64" i="27"/>
  <c r="BP37" i="27"/>
  <c r="BP114" i="27"/>
  <c r="BP105" i="27"/>
  <c r="BP22" i="27"/>
  <c r="BP89" i="27"/>
  <c r="BP65" i="27" l="1"/>
  <c r="BP59" i="27"/>
  <c r="BP28" i="27"/>
  <c r="BP91" i="27"/>
  <c r="BP128" i="27"/>
  <c r="BP7" i="27"/>
  <c r="BP71" i="27"/>
  <c r="BP75" i="27"/>
  <c r="BP16" i="27"/>
  <c r="BP41" i="27"/>
  <c r="BP77" i="27"/>
  <c r="BP121" i="27"/>
  <c r="BP47" i="27"/>
  <c r="BP15" i="27"/>
  <c r="BP69" i="27"/>
  <c r="BP25" i="27"/>
  <c r="BP26" i="27"/>
  <c r="BP84" i="27"/>
  <c r="BP73" i="27"/>
  <c r="BP11" i="27"/>
  <c r="BP92" i="27"/>
  <c r="BP78" i="27"/>
  <c r="BP38" i="27"/>
  <c r="BP96" i="27"/>
  <c r="BP31" i="27"/>
  <c r="BP35" i="27"/>
  <c r="BP112" i="27"/>
  <c r="BP134" i="27"/>
  <c r="BP140" i="27"/>
  <c r="BP101" i="27"/>
  <c r="BP74" i="27"/>
  <c r="BP138" i="27"/>
  <c r="BP70" i="27"/>
  <c r="AD59" i="27" l="1" a="1"/>
  <c r="AD59" i="27" s="1"/>
  <c r="AE96" i="27" a="1"/>
  <c r="AE96" i="27" s="1"/>
  <c r="O96" i="27" a="1"/>
  <c r="O96" i="27" s="1"/>
  <c r="AH96" i="27" a="1"/>
  <c r="AH96" i="27" s="1"/>
  <c r="X96" i="27" a="1"/>
  <c r="X96" i="27" s="1"/>
  <c r="AE59" i="27" a="1"/>
  <c r="AE59" i="27" s="1"/>
  <c r="AF96" i="27" a="1"/>
  <c r="AF96" i="27" s="1"/>
  <c r="Y96" i="27" a="1"/>
  <c r="Y96" i="27" s="1"/>
  <c r="AC96" i="27" a="1"/>
  <c r="AC96" i="27" s="1"/>
  <c r="O59" i="27" a="1"/>
  <c r="O59" i="27" s="1"/>
  <c r="M96" i="27" a="1"/>
  <c r="M96" i="27" s="1"/>
  <c r="AD96" i="27" a="1"/>
  <c r="AD96" i="27" s="1"/>
  <c r="V96" i="27" a="1"/>
  <c r="V96" i="27" s="1"/>
  <c r="L96" i="27" a="1"/>
  <c r="L96" i="27" s="1"/>
  <c r="S59" i="27" a="1"/>
  <c r="S59" i="27" s="1"/>
  <c r="R96" i="27" a="1"/>
  <c r="R96" i="27" s="1"/>
  <c r="Z96" i="27" a="1"/>
  <c r="Z96" i="27" s="1"/>
  <c r="P96" i="27" a="1"/>
  <c r="P96" i="27" s="1"/>
  <c r="AH59" i="27" a="1"/>
  <c r="AH59" i="27" s="1"/>
  <c r="AI96" i="27" a="1"/>
  <c r="AI96" i="27" s="1"/>
  <c r="L59" i="27" a="1"/>
  <c r="L59" i="27" s="1"/>
  <c r="R59" i="27" a="1"/>
  <c r="R59" i="27" s="1"/>
  <c r="S96" i="27" a="1"/>
  <c r="S96" i="27" s="1"/>
  <c r="V59" i="27" a="1"/>
  <c r="V59" i="27" s="1"/>
  <c r="W96" i="27" a="1"/>
  <c r="W96" i="27" s="1"/>
  <c r="M59" i="27" a="1"/>
  <c r="M59" i="27" s="1"/>
  <c r="AB96" i="27" a="1"/>
  <c r="AB96" i="27" s="1"/>
  <c r="N96" i="27" a="1"/>
  <c r="N96" i="27" s="1"/>
  <c r="T96" i="27" a="1"/>
  <c r="T96" i="27" s="1"/>
  <c r="AF59" i="27" a="1"/>
  <c r="AF59" i="27" s="1"/>
  <c r="AG96" i="27" a="1"/>
  <c r="AG96" i="27" s="1"/>
  <c r="Q59" i="27" a="1"/>
  <c r="Q59" i="27" s="1"/>
  <c r="P59" i="27" a="1"/>
  <c r="P59" i="27" s="1"/>
  <c r="Q96" i="27" a="1"/>
  <c r="Q96" i="27" s="1"/>
  <c r="T59" i="27" a="1"/>
  <c r="T59" i="27" s="1"/>
  <c r="U96" i="27" a="1"/>
  <c r="U96" i="27" s="1"/>
  <c r="Z59" i="27" a="1"/>
  <c r="Z59" i="27" s="1"/>
  <c r="AA96" i="27" a="1"/>
  <c r="AA96" i="27" s="1"/>
  <c r="T135" i="27" a="1"/>
  <c r="T135" i="27" s="1"/>
  <c r="F94" i="12" l="1"/>
  <c r="L94" i="12" s="1"/>
  <c r="M94" i="12"/>
  <c r="M94" i="30"/>
  <c r="F94" i="30"/>
  <c r="L94" i="30" s="1"/>
  <c r="R101" i="27" a="1"/>
  <c r="R101" i="27" s="1"/>
  <c r="Y81" i="27" a="1"/>
  <c r="Y81" i="27" s="1"/>
  <c r="X74" i="27" a="1"/>
  <c r="X74" i="27" s="1"/>
  <c r="O101" i="27" a="1"/>
  <c r="O101" i="27" s="1"/>
  <c r="S101" i="27" a="1"/>
  <c r="S101" i="27" s="1"/>
  <c r="AC74" i="27" a="1"/>
  <c r="AC74" i="27" s="1"/>
  <c r="AF101" i="27" a="1"/>
  <c r="AF101" i="27" s="1"/>
  <c r="AA74" i="27" a="1"/>
  <c r="AA74" i="27" s="1"/>
  <c r="AB101" i="27" a="1"/>
  <c r="AB101" i="27" s="1"/>
  <c r="AF81" i="27" a="1"/>
  <c r="AF81" i="27" s="1"/>
  <c r="Y74" i="27" a="1"/>
  <c r="Y74" i="27" s="1"/>
  <c r="Z101" i="27" a="1"/>
  <c r="Z101" i="27" s="1"/>
  <c r="V74" i="27" a="1"/>
  <c r="V74" i="27" s="1"/>
  <c r="AG101" i="27" a="1"/>
  <c r="AG101" i="27" s="1"/>
  <c r="Z81" i="27" a="1"/>
  <c r="Z81" i="27" s="1"/>
  <c r="Z74" i="27" a="1"/>
  <c r="Z74" i="27" s="1"/>
  <c r="L44" i="27" a="1"/>
  <c r="L44" i="27" s="1"/>
  <c r="M101" i="27" a="1"/>
  <c r="M101" i="27" s="1"/>
  <c r="AD74" i="27" a="1"/>
  <c r="AD74" i="27" s="1"/>
  <c r="P44" i="27" a="1"/>
  <c r="P44" i="27" s="1"/>
  <c r="Q101" i="27" a="1"/>
  <c r="Q101" i="27" s="1"/>
  <c r="W74" i="27" a="1"/>
  <c r="W74" i="27" s="1"/>
  <c r="L101" i="27" a="1"/>
  <c r="L101" i="27" s="1"/>
  <c r="V67" i="27" a="1"/>
  <c r="V67" i="27" s="1"/>
  <c r="N99" i="27" a="1"/>
  <c r="N99" i="27" s="1"/>
  <c r="M99" i="27" a="1"/>
  <c r="M99" i="27" s="1"/>
  <c r="AA111" i="27" a="1"/>
  <c r="AA111" i="27" s="1"/>
  <c r="T81" i="27" a="1"/>
  <c r="T81" i="27" s="1"/>
  <c r="AD115" i="27" a="1"/>
  <c r="AD115" i="27" s="1"/>
  <c r="V99" i="27" a="1"/>
  <c r="V99" i="27" s="1"/>
  <c r="AB135" i="27" a="1"/>
  <c r="AB135" i="27" s="1"/>
  <c r="W135" i="27" a="1"/>
  <c r="W135" i="27" s="1"/>
  <c r="M135" i="27" a="1"/>
  <c r="M135" i="27" s="1"/>
  <c r="Z135" i="27" a="1"/>
  <c r="Z135" i="27" s="1"/>
  <c r="U135" i="27" a="1"/>
  <c r="U135" i="27" s="1"/>
  <c r="AI135" i="27" a="1"/>
  <c r="AI135" i="27" s="1"/>
  <c r="AA135" i="27" a="1"/>
  <c r="AA135" i="27" s="1"/>
  <c r="Y135" i="27" a="1"/>
  <c r="Y135" i="27" s="1"/>
  <c r="AA67" i="27" a="1"/>
  <c r="AA67" i="27" s="1"/>
  <c r="T54" i="27" a="1"/>
  <c r="T54" i="27" s="1"/>
  <c r="AF54" i="27" a="1"/>
  <c r="AF54" i="27" s="1"/>
  <c r="AH67" i="27" a="1"/>
  <c r="AH67" i="27" s="1"/>
  <c r="AG115" i="27" a="1"/>
  <c r="AG115" i="27" s="1"/>
  <c r="U59" i="27" a="1"/>
  <c r="U59" i="27" s="1"/>
  <c r="Y45" i="27" a="1"/>
  <c r="Y45" i="27" s="1"/>
  <c r="AI70" i="27" a="1"/>
  <c r="AI70" i="27" s="1"/>
  <c r="W111" i="27" a="1"/>
  <c r="W111" i="27" s="1"/>
  <c r="W99" i="27" a="1"/>
  <c r="W99" i="27" s="1"/>
  <c r="AI111" i="27" a="1"/>
  <c r="AI111" i="27" s="1"/>
  <c r="Z45" i="27" a="1"/>
  <c r="Z45" i="27" s="1"/>
  <c r="AF45" i="27" a="1"/>
  <c r="AF45" i="27" s="1"/>
  <c r="AA54" i="27" a="1"/>
  <c r="AA54" i="27" s="1"/>
  <c r="AE45" i="27" a="1"/>
  <c r="AE45" i="27" s="1"/>
  <c r="M70" i="27" a="1"/>
  <c r="M70" i="27" s="1"/>
  <c r="BJ96" i="27"/>
  <c r="BL96" i="27" s="1"/>
  <c r="X111" i="27" a="1"/>
  <c r="X111" i="27" s="1"/>
  <c r="Q45" i="27" a="1"/>
  <c r="Q45" i="27" s="1"/>
  <c r="AG59" i="27" a="1"/>
  <c r="AG59" i="27" s="1"/>
  <c r="M111" i="27" a="1"/>
  <c r="M111" i="27" s="1"/>
  <c r="M54" i="27" a="1"/>
  <c r="M54" i="27" s="1"/>
  <c r="AI67" i="27" a="1"/>
  <c r="AI67" i="27" s="1"/>
  <c r="N70" i="27" a="1"/>
  <c r="N70" i="27" s="1"/>
  <c r="AC115" i="27" a="1"/>
  <c r="AC115" i="27" s="1"/>
  <c r="AA115" i="27" a="1"/>
  <c r="AA115" i="27" s="1"/>
  <c r="W45" i="27" a="1"/>
  <c r="W45" i="27" s="1"/>
  <c r="AG70" i="27" a="1"/>
  <c r="AG70" i="27" s="1"/>
  <c r="AF99" i="27" a="1"/>
  <c r="AF99" i="27" s="1"/>
  <c r="W54" i="27" a="1"/>
  <c r="W54" i="27" s="1"/>
  <c r="Z115" i="27" a="1"/>
  <c r="Z115" i="27" s="1"/>
  <c r="AI54" i="27" a="1"/>
  <c r="AI54" i="27" s="1"/>
  <c r="AF115" i="27" a="1"/>
  <c r="AF115" i="27" s="1"/>
  <c r="N59" i="27" a="1"/>
  <c r="N59" i="27" s="1"/>
  <c r="AE111" i="27" a="1"/>
  <c r="AE111" i="27" s="1"/>
  <c r="AB70" i="27" a="1"/>
  <c r="AB70" i="27" s="1"/>
  <c r="AE99" i="27" a="1"/>
  <c r="AE99" i="27" s="1"/>
  <c r="L74" i="27" a="1"/>
  <c r="L74" i="27" s="1"/>
  <c r="O70" i="27" a="1"/>
  <c r="O70" i="27" s="1"/>
  <c r="N101" i="27" a="1"/>
  <c r="N101" i="27" s="1"/>
  <c r="AG74" i="27" a="1"/>
  <c r="AG74" i="27" s="1"/>
  <c r="AE44" i="27" a="1"/>
  <c r="AE44" i="27" s="1"/>
  <c r="AH101" i="27" a="1"/>
  <c r="AH101" i="27" s="1"/>
  <c r="P101" i="27" a="1"/>
  <c r="P101" i="27" s="1"/>
  <c r="Q70" i="27" a="1"/>
  <c r="Q70" i="27" s="1"/>
  <c r="X101" i="27" a="1"/>
  <c r="X101" i="27" s="1"/>
  <c r="AF74" i="27" a="1"/>
  <c r="AF74" i="27" s="1"/>
  <c r="AD61" i="27" a="1"/>
  <c r="AD61" i="27" s="1"/>
  <c r="W101" i="27" a="1"/>
  <c r="W101" i="27" s="1"/>
  <c r="AD135" i="27" a="1"/>
  <c r="AD135" i="27" s="1"/>
  <c r="R135" i="27" a="1"/>
  <c r="R135" i="27" s="1"/>
  <c r="X135" i="27" a="1"/>
  <c r="X135" i="27" s="1"/>
  <c r="T70" i="27" a="1"/>
  <c r="T70" i="27" s="1"/>
  <c r="R45" i="27" a="1"/>
  <c r="R45" i="27" s="1"/>
  <c r="AA101" i="27" a="1"/>
  <c r="AA101" i="27" s="1"/>
  <c r="AD81" i="27" a="1"/>
  <c r="AD81" i="27" s="1"/>
  <c r="O74" i="27" a="1"/>
  <c r="O74" i="27" s="1"/>
  <c r="M74" i="27" a="1"/>
  <c r="M74" i="27" s="1"/>
  <c r="AE61" i="27" a="1"/>
  <c r="AE61" i="27" s="1"/>
  <c r="AC81" i="27" a="1"/>
  <c r="AC81" i="27" s="1"/>
  <c r="U74" i="27" a="1"/>
  <c r="U74" i="27" s="1"/>
  <c r="S61" i="27" a="1"/>
  <c r="S61" i="27" s="1"/>
  <c r="AI45" i="27" a="1"/>
  <c r="AI45" i="27" s="1"/>
  <c r="N45" i="27" a="1"/>
  <c r="N45" i="27" s="1"/>
  <c r="P115" i="27" a="1"/>
  <c r="P115" i="27" s="1"/>
  <c r="AI99" i="27" a="1"/>
  <c r="AI99" i="27" s="1"/>
  <c r="L67" i="27" a="1"/>
  <c r="L67" i="27" s="1"/>
  <c r="AD67" i="27" a="1"/>
  <c r="AD67" i="27" s="1"/>
  <c r="P67" i="27" a="1"/>
  <c r="P67" i="27" s="1"/>
  <c r="Q81" i="27" a="1"/>
  <c r="Q81" i="27" s="1"/>
  <c r="N74" i="27" a="1"/>
  <c r="N74" i="27" s="1"/>
  <c r="AB54" i="27" a="1"/>
  <c r="AB54" i="27" s="1"/>
  <c r="AF61" i="27" a="1"/>
  <c r="AF61" i="27" s="1"/>
  <c r="X44" i="27" a="1"/>
  <c r="X44" i="27" s="1"/>
  <c r="P45" i="27" a="1"/>
  <c r="P45" i="27" s="1"/>
  <c r="Y101" i="27" a="1"/>
  <c r="Y101" i="27" s="1"/>
  <c r="M81" i="27" a="1"/>
  <c r="M81" i="27" s="1"/>
  <c r="X70" i="27" a="1"/>
  <c r="X70" i="27" s="1"/>
  <c r="P74" i="27" a="1"/>
  <c r="P74" i="27" s="1"/>
  <c r="N61" i="27" a="1"/>
  <c r="N61" i="27" s="1"/>
  <c r="AD44" i="27" a="1"/>
  <c r="AD44" i="27" s="1"/>
  <c r="V45" i="27" a="1"/>
  <c r="V45" i="27" s="1"/>
  <c r="AE101" i="27" a="1"/>
  <c r="AE101" i="27" s="1"/>
  <c r="AE74" i="27" a="1"/>
  <c r="AE74" i="27" s="1"/>
  <c r="Y54" i="27" a="1"/>
  <c r="Y54" i="27" s="1"/>
  <c r="AG61" i="27" a="1"/>
  <c r="AG61" i="27" s="1"/>
  <c r="AD101" i="27" a="1"/>
  <c r="AD101" i="27" s="1"/>
  <c r="AG81" i="27" a="1"/>
  <c r="AG81" i="27" s="1"/>
  <c r="AI74" i="27" a="1"/>
  <c r="AI74" i="27" s="1"/>
  <c r="U45" i="27" a="1"/>
  <c r="U45" i="27" s="1"/>
  <c r="T101" i="27" a="1"/>
  <c r="T101" i="27" s="1"/>
  <c r="AE81" i="27" a="1"/>
  <c r="AE81" i="27" s="1"/>
  <c r="S70" i="27" a="1"/>
  <c r="S70" i="27" s="1"/>
  <c r="S74" i="27" a="1"/>
  <c r="S74" i="27" s="1"/>
  <c r="AC44" i="27" a="1"/>
  <c r="AC44" i="27" s="1"/>
  <c r="V101" i="27" a="1"/>
  <c r="V101" i="27" s="1"/>
  <c r="R70" i="27" a="1"/>
  <c r="R70" i="27" s="1"/>
  <c r="AH74" i="27" a="1"/>
  <c r="AH74" i="27" s="1"/>
  <c r="X54" i="27" a="1"/>
  <c r="X54" i="27" s="1"/>
  <c r="AB61" i="27" a="1"/>
  <c r="AB61" i="27" s="1"/>
  <c r="T44" i="27" a="1"/>
  <c r="T44" i="27" s="1"/>
  <c r="U101" i="27" a="1"/>
  <c r="U101" i="27" s="1"/>
  <c r="O111" i="27" a="1"/>
  <c r="O111" i="27" s="1"/>
  <c r="AH111" i="27" a="1"/>
  <c r="AH111" i="27" s="1"/>
  <c r="L111" i="27" a="1"/>
  <c r="L111" i="27" s="1"/>
  <c r="T111" i="27" a="1"/>
  <c r="T111" i="27" s="1"/>
  <c r="Z67" i="27" a="1"/>
  <c r="Z67" i="27" s="1"/>
  <c r="N67" i="27" a="1"/>
  <c r="N67" i="27" s="1"/>
  <c r="R99" i="27" a="1"/>
  <c r="R99" i="27" s="1"/>
  <c r="S115" i="27" a="1"/>
  <c r="S115" i="27" s="1"/>
  <c r="AH115" i="27" a="1"/>
  <c r="AH115" i="27" s="1"/>
  <c r="AE67" i="27" a="1"/>
  <c r="AE67" i="27" s="1"/>
  <c r="T99" i="27" a="1"/>
  <c r="T99" i="27" s="1"/>
  <c r="AA99" i="27" a="1"/>
  <c r="AA99" i="27" s="1"/>
  <c r="U115" i="27" a="1"/>
  <c r="U115" i="27" s="1"/>
  <c r="O115" i="27" a="1"/>
  <c r="O115" i="27" s="1"/>
  <c r="P111" i="27" a="1"/>
  <c r="P111" i="27" s="1"/>
  <c r="Q111" i="27" a="1"/>
  <c r="Q111" i="27" s="1"/>
  <c r="R67" i="27" a="1"/>
  <c r="R67" i="27" s="1"/>
  <c r="Y67" i="27" a="1"/>
  <c r="Y67" i="27" s="1"/>
  <c r="U67" i="27" a="1"/>
  <c r="U67" i="27" s="1"/>
  <c r="AC67" i="27" a="1"/>
  <c r="AC67" i="27" s="1"/>
  <c r="P99" i="27" a="1"/>
  <c r="P99" i="27" s="1"/>
  <c r="AB99" i="27" a="1"/>
  <c r="AB99" i="27" s="1"/>
  <c r="L115" i="27" a="1"/>
  <c r="L115" i="27" s="1"/>
  <c r="V115" i="27" a="1"/>
  <c r="V115" i="27" s="1"/>
  <c r="N111" i="27" a="1"/>
  <c r="N111" i="27" s="1"/>
  <c r="AF135" i="27" a="1"/>
  <c r="AF135" i="27" s="1"/>
  <c r="AC135" i="27" a="1"/>
  <c r="AC135" i="27" s="1"/>
  <c r="O135" i="27" a="1"/>
  <c r="O135" i="27" s="1"/>
  <c r="V135" i="27" a="1"/>
  <c r="V135" i="27" s="1"/>
  <c r="P135" i="27" a="1"/>
  <c r="P135" i="27" s="1"/>
  <c r="AD45" i="27" a="1"/>
  <c r="AD45" i="27" s="1"/>
  <c r="Z54" i="27" a="1"/>
  <c r="Z54" i="27" s="1"/>
  <c r="X67" i="27" a="1"/>
  <c r="X67" i="27" s="1"/>
  <c r="L54" i="27" a="1"/>
  <c r="L54" i="27" s="1"/>
  <c r="U111" i="27" a="1"/>
  <c r="U111" i="27" s="1"/>
  <c r="O45" i="27" a="1"/>
  <c r="O45" i="27" s="1"/>
  <c r="V70" i="27" a="1"/>
  <c r="V70" i="27" s="1"/>
  <c r="U99" i="27" a="1"/>
  <c r="U99" i="27" s="1"/>
  <c r="P54" i="27" a="1"/>
  <c r="P54" i="27" s="1"/>
  <c r="Q115" i="27" a="1"/>
  <c r="Q115" i="27" s="1"/>
  <c r="M115" i="27" a="1"/>
  <c r="M115" i="27" s="1"/>
  <c r="AB45" i="27" a="1"/>
  <c r="AB45" i="27" s="1"/>
  <c r="AH70" i="27" a="1"/>
  <c r="AH70" i="27" s="1"/>
  <c r="AG99" i="27" a="1"/>
  <c r="AG99" i="27" s="1"/>
  <c r="N54" i="27" a="1"/>
  <c r="N54" i="27" s="1"/>
  <c r="AA70" i="27" a="1"/>
  <c r="AA70" i="27" s="1"/>
  <c r="AC54" i="27" a="1"/>
  <c r="AC54" i="27" s="1"/>
  <c r="W67" i="27" a="1"/>
  <c r="W67" i="27" s="1"/>
  <c r="T115" i="27" a="1"/>
  <c r="T115" i="27" s="1"/>
  <c r="U54" i="27" a="1"/>
  <c r="U54" i="27" s="1"/>
  <c r="S67" i="27" a="1"/>
  <c r="S67" i="27" s="1"/>
  <c r="AB115" i="27" a="1"/>
  <c r="AB115" i="27" s="1"/>
  <c r="V54" i="27" a="1"/>
  <c r="V54" i="27" s="1"/>
  <c r="T67" i="27" a="1"/>
  <c r="T67" i="27" s="1"/>
  <c r="W115" i="27" a="1"/>
  <c r="W115" i="27" s="1"/>
  <c r="S111" i="27" a="1"/>
  <c r="S111" i="27" s="1"/>
  <c r="L45" i="27" a="1"/>
  <c r="L45" i="27" s="1"/>
  <c r="P70" i="27" a="1"/>
  <c r="P70" i="27" s="1"/>
  <c r="S99" i="27" a="1"/>
  <c r="S99" i="27" s="1"/>
  <c r="O99" i="27" a="1"/>
  <c r="O99" i="27" s="1"/>
  <c r="AH54" i="27" a="1"/>
  <c r="AH54" i="27" s="1"/>
  <c r="AF67" i="27" a="1"/>
  <c r="AF67" i="27" s="1"/>
  <c r="AI115" i="27" a="1"/>
  <c r="AI115" i="27" s="1"/>
  <c r="V111" i="27" a="1"/>
  <c r="V111" i="27" s="1"/>
  <c r="S45" i="27" a="1"/>
  <c r="S45" i="27" s="1"/>
  <c r="U70" i="27" a="1"/>
  <c r="U70" i="27" s="1"/>
  <c r="AA59" i="27" a="1"/>
  <c r="AA59" i="27" s="1"/>
  <c r="Z99" i="27" a="1"/>
  <c r="Z99" i="27" s="1"/>
  <c r="R111" i="27" a="1"/>
  <c r="R111" i="27" s="1"/>
  <c r="S54" i="27" a="1"/>
  <c r="S54" i="27" s="1"/>
  <c r="M67" i="27" a="1"/>
  <c r="M67" i="27" s="1"/>
  <c r="Y115" i="27" a="1"/>
  <c r="Y115" i="27" s="1"/>
  <c r="AG45" i="27" a="1"/>
  <c r="AG45" i="27" s="1"/>
  <c r="AE70" i="27" a="1"/>
  <c r="AE70" i="27" s="1"/>
  <c r="Y59" i="27" a="1"/>
  <c r="Y59" i="27" s="1"/>
  <c r="L99" i="27" a="1"/>
  <c r="L99" i="27" s="1"/>
  <c r="AG54" i="27" a="1"/>
  <c r="AG54" i="27" s="1"/>
  <c r="O67" i="27" a="1"/>
  <c r="O67" i="27" s="1"/>
  <c r="X115" i="27" a="1"/>
  <c r="X115" i="27" s="1"/>
  <c r="N115" i="27" a="1"/>
  <c r="N115" i="27" s="1"/>
  <c r="AD111" i="27" a="1"/>
  <c r="AD111" i="27" s="1"/>
  <c r="AC45" i="27" a="1"/>
  <c r="AC45" i="27" s="1"/>
  <c r="W70" i="27" a="1"/>
  <c r="W70" i="27" s="1"/>
  <c r="AC59" i="27" a="1"/>
  <c r="AC59" i="27" s="1"/>
  <c r="Q54" i="27" a="1"/>
  <c r="Q54" i="27" s="1"/>
  <c r="AC111" i="27" a="1"/>
  <c r="AC111" i="27" s="1"/>
  <c r="X45" i="27" a="1"/>
  <c r="X45" i="27" s="1"/>
  <c r="AD70" i="27" a="1"/>
  <c r="AD70" i="27" s="1"/>
  <c r="AB59" i="27" a="1"/>
  <c r="AB59" i="27" s="1"/>
  <c r="AC99" i="27" a="1"/>
  <c r="AC99" i="27" s="1"/>
  <c r="Y111" i="27" a="1"/>
  <c r="Y111" i="27" s="1"/>
  <c r="T45" i="27" a="1"/>
  <c r="T45" i="27" s="1"/>
  <c r="Z70" i="27" a="1"/>
  <c r="Z70" i="27" s="1"/>
  <c r="X59" i="27" a="1"/>
  <c r="X59" i="27" s="1"/>
  <c r="Y99" i="27" a="1"/>
  <c r="Y99" i="27" s="1"/>
  <c r="AE54" i="27" a="1"/>
  <c r="AE54" i="27" s="1"/>
  <c r="AG67" i="27" a="1"/>
  <c r="AG67" i="27" s="1"/>
  <c r="Z111" i="27" a="1"/>
  <c r="Z111" i="27" s="1"/>
  <c r="M45" i="27" a="1"/>
  <c r="M45" i="27" s="1"/>
  <c r="Y70" i="27" a="1"/>
  <c r="Y70" i="27" s="1"/>
  <c r="W59" i="27" a="1"/>
  <c r="W59" i="27" s="1"/>
  <c r="X99" i="27" a="1"/>
  <c r="X99" i="27" s="1"/>
  <c r="R115" i="27" a="1"/>
  <c r="R115" i="27" s="1"/>
  <c r="AF111" i="27" a="1"/>
  <c r="AF111" i="27" s="1"/>
  <c r="AA45" i="27" a="1"/>
  <c r="AA45" i="27" s="1"/>
  <c r="AC70" i="27" a="1"/>
  <c r="AC70" i="27" s="1"/>
  <c r="AI59" i="27" a="1"/>
  <c r="AI59" i="27" s="1"/>
  <c r="AH99" i="27" a="1"/>
  <c r="AH99" i="27" s="1"/>
  <c r="O54" i="27" a="1"/>
  <c r="O54" i="27" s="1"/>
  <c r="L70" i="27" a="1"/>
  <c r="L70" i="27" s="1"/>
  <c r="AD54" i="27" a="1"/>
  <c r="AD54" i="27" s="1"/>
  <c r="AB67" i="27" a="1"/>
  <c r="AB67" i="27" s="1"/>
  <c r="AE115" i="27" a="1"/>
  <c r="AE115" i="27" s="1"/>
  <c r="AB81" i="27" a="1"/>
  <c r="AB81" i="27" s="1"/>
  <c r="Q74" i="27" a="1"/>
  <c r="Q74" i="27" s="1"/>
  <c r="AI61" i="27" a="1"/>
  <c r="AI61" i="27" s="1"/>
  <c r="O44" i="27" a="1"/>
  <c r="O44" i="27" s="1"/>
  <c r="R74" i="27" a="1"/>
  <c r="R74" i="27" s="1"/>
  <c r="AB44" i="27" a="1"/>
  <c r="AB44" i="27" s="1"/>
  <c r="AC101" i="27" a="1"/>
  <c r="AC101" i="27" s="1"/>
  <c r="T74" i="27" a="1"/>
  <c r="T74" i="27" s="1"/>
  <c r="AI101" i="27" a="1"/>
  <c r="AI101" i="27" s="1"/>
  <c r="AF70" i="27" a="1"/>
  <c r="AF70" i="27" s="1"/>
  <c r="R54" i="27" a="1"/>
  <c r="R54" i="27" s="1"/>
  <c r="P81" i="27" a="1"/>
  <c r="P81" i="27" s="1"/>
  <c r="AB74" i="27" a="1"/>
  <c r="AB74" i="27" s="1"/>
  <c r="Z61" i="27" a="1"/>
  <c r="Z61" i="27" s="1"/>
  <c r="AH45" i="27" a="1"/>
  <c r="AH45" i="27" s="1"/>
  <c r="AI81" i="27" a="1"/>
  <c r="AI81" i="27" s="1"/>
  <c r="AB111" i="27" a="1"/>
  <c r="AB111" i="27" s="1"/>
  <c r="AG111" i="27" a="1"/>
  <c r="AG111" i="27" s="1"/>
  <c r="Q99" i="27" a="1"/>
  <c r="Q99" i="27" s="1"/>
  <c r="AD99" i="27" a="1"/>
  <c r="AD99" i="27" s="1"/>
  <c r="Q67" i="27" a="1"/>
  <c r="Q67" i="27" s="1"/>
  <c r="N135" i="27" a="1"/>
  <c r="N135" i="27" s="1"/>
  <c r="AG135" i="27" a="1"/>
  <c r="AG135" i="27" s="1"/>
  <c r="AE135" i="27" a="1"/>
  <c r="AE135" i="27" s="1"/>
  <c r="S135" i="27" a="1"/>
  <c r="S135" i="27" s="1"/>
  <c r="L135" i="27" a="1"/>
  <c r="L135" i="27" s="1"/>
  <c r="Q135" i="27" a="1"/>
  <c r="Q135" i="27" s="1"/>
  <c r="AH135" i="27" a="1"/>
  <c r="AH135" i="27" s="1"/>
  <c r="AC8" i="27" a="1"/>
  <c r="AC8" i="27" s="1"/>
  <c r="AD8" i="27" a="1"/>
  <c r="AD8" i="27" s="1"/>
  <c r="X8" i="27" a="1"/>
  <c r="X8" i="27" s="1"/>
  <c r="AB8" i="27" a="1"/>
  <c r="AB8" i="27" s="1"/>
  <c r="AI8" i="27" a="1"/>
  <c r="AI8" i="27" s="1"/>
  <c r="Y8" i="27" a="1"/>
  <c r="Y8" i="27" s="1"/>
  <c r="R8" i="27" a="1"/>
  <c r="R8" i="27" s="1"/>
  <c r="AG8" i="27" a="1"/>
  <c r="AG8" i="27" s="1"/>
  <c r="O8" i="27" a="1"/>
  <c r="O8" i="27" s="1"/>
  <c r="AH8" i="27" a="1"/>
  <c r="AH8" i="27" s="1"/>
  <c r="N8" i="27" a="1"/>
  <c r="N8" i="27" s="1"/>
  <c r="Q8" i="27" a="1"/>
  <c r="Q8" i="27" s="1"/>
  <c r="V8" i="27" a="1"/>
  <c r="V8" i="27" s="1"/>
  <c r="W8" i="27" a="1"/>
  <c r="W8" i="27" s="1"/>
  <c r="U8" i="27" a="1"/>
  <c r="U8" i="27" s="1"/>
  <c r="Z8" i="27" a="1"/>
  <c r="Z8" i="27" s="1"/>
  <c r="AF8" i="27" a="1"/>
  <c r="AF8" i="27" s="1"/>
  <c r="T8" i="27" a="1"/>
  <c r="T8" i="27" s="1"/>
  <c r="AA8" i="27" a="1"/>
  <c r="AA8" i="27" s="1"/>
  <c r="S8" i="27" a="1"/>
  <c r="S8" i="27" s="1"/>
  <c r="AE8" i="27" a="1"/>
  <c r="AE8" i="27" s="1"/>
  <c r="M8" i="27" a="1"/>
  <c r="M8" i="27" s="1"/>
  <c r="P8" i="27" a="1"/>
  <c r="P8" i="27" s="1"/>
  <c r="F43" i="12" l="1"/>
  <c r="N94" i="30"/>
  <c r="Z94" i="30" s="1"/>
  <c r="M57" i="30"/>
  <c r="N94" i="12"/>
  <c r="Z94" i="12" s="1"/>
  <c r="M57" i="12"/>
  <c r="M52" i="12"/>
  <c r="F52" i="12"/>
  <c r="L52" i="12" s="1"/>
  <c r="M52" i="30"/>
  <c r="F52" i="30"/>
  <c r="L52" i="30" s="1"/>
  <c r="M65" i="12"/>
  <c r="F65" i="12"/>
  <c r="L65" i="12" s="1"/>
  <c r="F65" i="30"/>
  <c r="L65" i="30" s="1"/>
  <c r="M65" i="30"/>
  <c r="M97" i="12"/>
  <c r="F97" i="12"/>
  <c r="L97" i="12" s="1"/>
  <c r="M97" i="30"/>
  <c r="F97" i="30"/>
  <c r="L97" i="30" s="1"/>
  <c r="F72" i="12"/>
  <c r="L72" i="12" s="1"/>
  <c r="M72" i="12"/>
  <c r="F72" i="30"/>
  <c r="L72" i="30" s="1"/>
  <c r="M72" i="30"/>
  <c r="F57" i="12"/>
  <c r="L57" i="12" s="1"/>
  <c r="L43" i="12"/>
  <c r="M43" i="12"/>
  <c r="F43" i="30"/>
  <c r="L43" i="30" s="1"/>
  <c r="M43" i="30"/>
  <c r="M6" i="12"/>
  <c r="F6" i="12"/>
  <c r="L6" i="12" s="1"/>
  <c r="F6" i="30"/>
  <c r="L6" i="30" s="1"/>
  <c r="M6" i="30"/>
  <c r="F113" i="12"/>
  <c r="L113" i="12" s="1"/>
  <c r="M113" i="12"/>
  <c r="M113" i="30"/>
  <c r="F113" i="30"/>
  <c r="L113" i="30" s="1"/>
  <c r="M109" i="12"/>
  <c r="F109" i="12"/>
  <c r="L109" i="12" s="1"/>
  <c r="M109" i="30"/>
  <c r="F109" i="30"/>
  <c r="L109" i="30" s="1"/>
  <c r="M99" i="12"/>
  <c r="F99" i="12"/>
  <c r="L99" i="12" s="1"/>
  <c r="M99" i="30"/>
  <c r="F99" i="30"/>
  <c r="L99" i="30" s="1"/>
  <c r="F57" i="30"/>
  <c r="L57" i="30" s="1"/>
  <c r="M68" i="12"/>
  <c r="M68" i="30"/>
  <c r="F68" i="12"/>
  <c r="L68" i="12" s="1"/>
  <c r="F68" i="30"/>
  <c r="L68" i="30" s="1"/>
  <c r="BJ59" i="27"/>
  <c r="BL59" i="27" s="1"/>
  <c r="BN59" i="27" s="1"/>
  <c r="T51" i="27" a="1"/>
  <c r="T51" i="27" s="1"/>
  <c r="AF35" i="27" a="1"/>
  <c r="AF35" i="27" s="1"/>
  <c r="AH11" i="27" a="1"/>
  <c r="AH11" i="27" s="1"/>
  <c r="N103" i="27" a="1"/>
  <c r="N103" i="27" s="1"/>
  <c r="AH37" i="27" a="1"/>
  <c r="AH37" i="27" s="1"/>
  <c r="L71" i="27" a="1"/>
  <c r="L71" i="27" s="1"/>
  <c r="R85" i="27" a="1"/>
  <c r="R85" i="27" s="1"/>
  <c r="P52" i="27" a="1"/>
  <c r="P52" i="27" s="1"/>
  <c r="P123" i="27" a="1"/>
  <c r="P123" i="27" s="1"/>
  <c r="L23" i="27" a="1"/>
  <c r="L23" i="27" s="1"/>
  <c r="Z50" i="27" a="1"/>
  <c r="Z50" i="27" s="1"/>
  <c r="V30" i="27" a="1"/>
  <c r="V30" i="27" s="1"/>
  <c r="X34" i="27" a="1"/>
  <c r="X34" i="27" s="1"/>
  <c r="Z63" i="27" a="1"/>
  <c r="Z63" i="27" s="1"/>
  <c r="V85" i="27" a="1"/>
  <c r="V85" i="27" s="1"/>
  <c r="P71" i="27" a="1"/>
  <c r="P71" i="27" s="1"/>
  <c r="X35" i="27" a="1"/>
  <c r="X35" i="27" s="1"/>
  <c r="T23" i="27" a="1"/>
  <c r="T23" i="27" s="1"/>
  <c r="L52" i="27" a="1"/>
  <c r="L52" i="27" s="1"/>
  <c r="N95" i="27" a="1"/>
  <c r="N95" i="27" s="1"/>
  <c r="S79" i="27" a="1"/>
  <c r="S79" i="27" s="1"/>
  <c r="AG34" i="27" a="1"/>
  <c r="AG34" i="27" s="1"/>
  <c r="AA123" i="27" a="1"/>
  <c r="AA123" i="27" s="1"/>
  <c r="AI91" i="27" a="1"/>
  <c r="AI91" i="27" s="1"/>
  <c r="U127" i="27" a="1"/>
  <c r="U127" i="27" s="1"/>
  <c r="W83" i="27" a="1"/>
  <c r="W83" i="27" s="1"/>
  <c r="AE86" i="27" a="1"/>
  <c r="AE86" i="27" s="1"/>
  <c r="U119" i="27" a="1"/>
  <c r="U119" i="27" s="1"/>
  <c r="Y38" i="27" a="1"/>
  <c r="Y38" i="27" s="1"/>
  <c r="AC43" i="27" a="1"/>
  <c r="AC43" i="27" s="1"/>
  <c r="Y50" i="27" a="1"/>
  <c r="Y50" i="27" s="1"/>
  <c r="R63" i="27" a="1"/>
  <c r="R63" i="27" s="1"/>
  <c r="T75" i="27" a="1"/>
  <c r="T75" i="27" s="1"/>
  <c r="S35" i="27" a="1"/>
  <c r="S35" i="27" s="1"/>
  <c r="W63" i="27" a="1"/>
  <c r="W63" i="27" s="1"/>
  <c r="AC51" i="27" a="1"/>
  <c r="AC51" i="27" s="1"/>
  <c r="AI131" i="27" a="1"/>
  <c r="AI131" i="27" s="1"/>
  <c r="L51" i="27" a="1"/>
  <c r="L51" i="27" s="1"/>
  <c r="AH27" i="27" a="1"/>
  <c r="AH27" i="27" s="1"/>
  <c r="L35" i="27" a="1"/>
  <c r="L35" i="27" s="1"/>
  <c r="AH51" i="27" a="1"/>
  <c r="AH51" i="27" s="1"/>
  <c r="L47" i="27" a="1"/>
  <c r="L47" i="27" s="1"/>
  <c r="R62" i="27" a="1"/>
  <c r="R62" i="27" s="1"/>
  <c r="Z107" i="27" a="1"/>
  <c r="Z107" i="27" s="1"/>
  <c r="N31" i="27" a="1"/>
  <c r="N31" i="27" s="1"/>
  <c r="R119" i="27" a="1"/>
  <c r="R119" i="27" s="1"/>
  <c r="R19" i="27" a="1"/>
  <c r="R19" i="27" s="1"/>
  <c r="X50" i="27" a="1"/>
  <c r="X50" i="27" s="1"/>
  <c r="T87" i="27" a="1"/>
  <c r="T87" i="27" s="1"/>
  <c r="L37" i="27" a="1"/>
  <c r="L37" i="27" s="1"/>
  <c r="T83" i="27" a="1"/>
  <c r="T83" i="27" s="1"/>
  <c r="AD119" i="27" a="1"/>
  <c r="AD119" i="27" s="1"/>
  <c r="AF136" i="27" a="1"/>
  <c r="AF136" i="27" s="1"/>
  <c r="Z11" i="27" a="1"/>
  <c r="Z11" i="27" s="1"/>
  <c r="X83" i="27" a="1"/>
  <c r="X83" i="27" s="1"/>
  <c r="AB85" i="27" a="1"/>
  <c r="AB85" i="27" s="1"/>
  <c r="AF107" i="27" a="1"/>
  <c r="AF107" i="27" s="1"/>
  <c r="AB39" i="27" a="1"/>
  <c r="AB39" i="27" s="1"/>
  <c r="X38" i="27" a="1"/>
  <c r="X38" i="27" s="1"/>
  <c r="P108" i="27" a="1"/>
  <c r="P108" i="27" s="1"/>
  <c r="L63" i="27" a="1"/>
  <c r="L63" i="27" s="1"/>
  <c r="AF55" i="27" a="1"/>
  <c r="AF55" i="27" s="1"/>
  <c r="AG38" i="27" a="1"/>
  <c r="AG38" i="27" s="1"/>
  <c r="O34" i="27" a="1"/>
  <c r="O34" i="27" s="1"/>
  <c r="AH23" i="27" a="1"/>
  <c r="AH23" i="27" s="1"/>
  <c r="S71" i="27" a="1"/>
  <c r="S71" i="27" s="1"/>
  <c r="AF51" i="27" a="1"/>
  <c r="AF51" i="27" s="1"/>
  <c r="Q71" i="27" a="1"/>
  <c r="Q71" i="27" s="1"/>
  <c r="U50" i="27" a="1"/>
  <c r="U50" i="27" s="1"/>
  <c r="AG39" i="27" a="1"/>
  <c r="AG39" i="27" s="1"/>
  <c r="M11" i="27" a="1"/>
  <c r="M11" i="27" s="1"/>
  <c r="AE136" i="27" a="1"/>
  <c r="AE136" i="27" s="1"/>
  <c r="M18" i="27" a="1"/>
  <c r="M18" i="27" s="1"/>
  <c r="AF87" i="27" a="1"/>
  <c r="AF87" i="27" s="1"/>
  <c r="N136" i="27" a="1"/>
  <c r="N136" i="27" s="1"/>
  <c r="P27" i="27" a="1"/>
  <c r="P27" i="27" s="1"/>
  <c r="R47" i="27" a="1"/>
  <c r="R47" i="27" s="1"/>
  <c r="AH107" i="27" a="1"/>
  <c r="AH107" i="27" s="1"/>
  <c r="T39" i="27" a="1"/>
  <c r="T39" i="27" s="1"/>
  <c r="V31" i="27" a="1"/>
  <c r="V31" i="27" s="1"/>
  <c r="P127" i="27" a="1"/>
  <c r="P127" i="27" s="1"/>
  <c r="N19" i="27" a="1"/>
  <c r="N19" i="27" s="1"/>
  <c r="AH52" i="27" a="1"/>
  <c r="AH52" i="27" s="1"/>
  <c r="N37" i="27" a="1"/>
  <c r="N37" i="27" s="1"/>
  <c r="AF23" i="27" a="1"/>
  <c r="AF23" i="27" s="1"/>
  <c r="AD11" i="27" a="1"/>
  <c r="AD11" i="27" s="1"/>
  <c r="X87" i="27" a="1"/>
  <c r="X87" i="27" s="1"/>
  <c r="Z23" i="27" a="1"/>
  <c r="Z23" i="27" s="1"/>
  <c r="T127" i="27" a="1"/>
  <c r="T127" i="27" s="1"/>
  <c r="L107" i="27" a="1"/>
  <c r="L107" i="27" s="1"/>
  <c r="T50" i="27" a="1"/>
  <c r="T50" i="27" s="1"/>
  <c r="AB63" i="27" a="1"/>
  <c r="AB63" i="27" s="1"/>
  <c r="AB75" i="27" a="1"/>
  <c r="AB75" i="27" s="1"/>
  <c r="Z34" i="27" a="1"/>
  <c r="Z34" i="27" s="1"/>
  <c r="L11" i="27" a="1"/>
  <c r="L11" i="27" s="1"/>
  <c r="N47" i="27" a="1"/>
  <c r="N47" i="27" s="1"/>
  <c r="AH71" i="27" a="1"/>
  <c r="AH71" i="27" s="1"/>
  <c r="L55" i="27" a="1"/>
  <c r="L55" i="27" s="1"/>
  <c r="T43" i="27" a="1"/>
  <c r="T43" i="27" s="1"/>
  <c r="N127" i="27" a="1"/>
  <c r="N127" i="27" s="1"/>
  <c r="AF11" i="27" a="1"/>
  <c r="AF11" i="27" s="1"/>
  <c r="P86" i="27" a="1"/>
  <c r="P86" i="27" s="1"/>
  <c r="V34" i="27" a="1"/>
  <c r="V34" i="27" s="1"/>
  <c r="V71" i="27" a="1"/>
  <c r="V71" i="27" s="1"/>
  <c r="N119" i="27" a="1"/>
  <c r="N119" i="27" s="1"/>
  <c r="P95" i="27" a="1"/>
  <c r="P95" i="27" s="1"/>
  <c r="N55" i="27" a="1"/>
  <c r="N55" i="27" s="1"/>
  <c r="AB23" i="27" a="1"/>
  <c r="AB23" i="27" s="1"/>
  <c r="N79" i="27" a="1"/>
  <c r="N79" i="27" s="1"/>
  <c r="AB104" i="27" a="1"/>
  <c r="AB104" i="27" s="1"/>
  <c r="Z119" i="27" a="1"/>
  <c r="Z119" i="27" s="1"/>
  <c r="Z38" i="27" a="1"/>
  <c r="Z38" i="27" s="1"/>
  <c r="AH50" i="27" a="1"/>
  <c r="AH50" i="27" s="1"/>
  <c r="X95" i="27" a="1"/>
  <c r="X95" i="27" s="1"/>
  <c r="R11" i="27" a="1"/>
  <c r="R11" i="27" s="1"/>
  <c r="V87" i="27" a="1"/>
  <c r="V87" i="27" s="1"/>
  <c r="AH47" i="27" a="1"/>
  <c r="AH47" i="27" s="1"/>
  <c r="X131" i="27" a="1"/>
  <c r="X131" i="27" s="1"/>
  <c r="AB35" i="27" a="1"/>
  <c r="AB35" i="27" s="1"/>
  <c r="R37" i="27" a="1"/>
  <c r="R37" i="27" s="1"/>
  <c r="X91" i="27" a="1"/>
  <c r="X91" i="27" s="1"/>
  <c r="R104" i="27" a="1"/>
  <c r="R104" i="27" s="1"/>
  <c r="L85" i="27" a="1"/>
  <c r="L85" i="27" s="1"/>
  <c r="P38" i="27" a="1"/>
  <c r="P38" i="27" s="1"/>
  <c r="P131" i="27" a="1"/>
  <c r="P131" i="27" s="1"/>
  <c r="P107" i="27" a="1"/>
  <c r="P107" i="27" s="1"/>
  <c r="AD34" i="27" a="1"/>
  <c r="AD34" i="27" s="1"/>
  <c r="Z71" i="27" a="1"/>
  <c r="Z71" i="27" s="1"/>
  <c r="V104" i="27" a="1"/>
  <c r="V104" i="27" s="1"/>
  <c r="AB27" i="27" a="1"/>
  <c r="AB27" i="27" s="1"/>
  <c r="AF95" i="27" a="1"/>
  <c r="AF95" i="27" s="1"/>
  <c r="N38" i="27" a="1"/>
  <c r="N38" i="27" s="1"/>
  <c r="R43" i="27" a="1"/>
  <c r="R43" i="27" s="1"/>
  <c r="V62" i="27" a="1"/>
  <c r="V62" i="27" s="1"/>
  <c r="AF39" i="27" a="1"/>
  <c r="AF39" i="27" s="1"/>
  <c r="R23" i="27" a="1"/>
  <c r="R23" i="27" s="1"/>
  <c r="V103" i="27" a="1"/>
  <c r="V103" i="27" s="1"/>
  <c r="X71" i="27" a="1"/>
  <c r="X71" i="27" s="1"/>
  <c r="N35" i="27" a="1"/>
  <c r="N35" i="27" s="1"/>
  <c r="P15" i="27" a="1"/>
  <c r="P15" i="27" s="1"/>
  <c r="N50" i="27" a="1"/>
  <c r="N50" i="27" s="1"/>
  <c r="AD30" i="27" a="1"/>
  <c r="AD30" i="27" s="1"/>
  <c r="Z47" i="27" a="1"/>
  <c r="Z47" i="27" s="1"/>
  <c r="AB86" i="27" a="1"/>
  <c r="AB86" i="27" s="1"/>
  <c r="AH62" i="27" a="1"/>
  <c r="AH62" i="27" s="1"/>
  <c r="T104" i="27" a="1"/>
  <c r="T104" i="27" s="1"/>
  <c r="N97" i="27" a="1"/>
  <c r="N97" i="27" s="1"/>
  <c r="Z37" i="27" a="1"/>
  <c r="Z37" i="27" s="1"/>
  <c r="N62" i="27" a="1"/>
  <c r="N62" i="27" s="1"/>
  <c r="AF63" i="27" a="1"/>
  <c r="AF63" i="27" s="1"/>
  <c r="AB83" i="27" a="1"/>
  <c r="AB83" i="27" s="1"/>
  <c r="V35" i="27" a="1"/>
  <c r="V35" i="27" s="1"/>
  <c r="AH104" i="27" a="1"/>
  <c r="AH104" i="27" s="1"/>
  <c r="L95" i="27" a="1"/>
  <c r="L95" i="27" s="1"/>
  <c r="R39" i="27" a="1"/>
  <c r="R39" i="27" s="1"/>
  <c r="P83" i="27" a="1"/>
  <c r="P83" i="27" s="1"/>
  <c r="T85" i="27" a="1"/>
  <c r="T85" i="27" s="1"/>
  <c r="L83" i="27" a="1"/>
  <c r="L83" i="27" s="1"/>
  <c r="AB38" i="27" a="1"/>
  <c r="AB38" i="27" s="1"/>
  <c r="AH43" i="27" a="1"/>
  <c r="AH43" i="27" s="1"/>
  <c r="AH127" i="27" a="1"/>
  <c r="AH127" i="27" s="1"/>
  <c r="P37" i="27" a="1"/>
  <c r="P37" i="27" s="1"/>
  <c r="AD108" i="27" a="1"/>
  <c r="AD108" i="27" s="1"/>
  <c r="AF62" i="27" a="1"/>
  <c r="AF62" i="27" s="1"/>
  <c r="AF119" i="27" a="1"/>
  <c r="AF119" i="27" s="1"/>
  <c r="V123" i="27" a="1"/>
  <c r="V123" i="27" s="1"/>
  <c r="AF27" i="27" a="1"/>
  <c r="AF27" i="27" s="1"/>
  <c r="Z39" i="27" a="1"/>
  <c r="Z39" i="27" s="1"/>
  <c r="R30" i="27" a="1"/>
  <c r="R30" i="27" s="1"/>
  <c r="AD31" i="27" a="1"/>
  <c r="AD31" i="27" s="1"/>
  <c r="M52" i="27" a="1"/>
  <c r="M52" i="27" s="1"/>
  <c r="O108" i="27" a="1"/>
  <c r="O108" i="27" s="1"/>
  <c r="O55" i="27" a="1"/>
  <c r="O55" i="27" s="1"/>
  <c r="R35" i="27" a="1"/>
  <c r="R35" i="27" s="1"/>
  <c r="U23" i="27" a="1"/>
  <c r="U23" i="27" s="1"/>
  <c r="S30" i="27" a="1"/>
  <c r="S30" i="27" s="1"/>
  <c r="W87" i="27" a="1"/>
  <c r="W87" i="27" s="1"/>
  <c r="AG127" i="27" a="1"/>
  <c r="AG127" i="27" s="1"/>
  <c r="M136" i="27" a="1"/>
  <c r="M136" i="27" s="1"/>
  <c r="AA51" i="27" a="1"/>
  <c r="AA51" i="27" s="1"/>
  <c r="W43" i="27" a="1"/>
  <c r="W43" i="27" s="1"/>
  <c r="AC107" i="27" a="1"/>
  <c r="AC107" i="27" s="1"/>
  <c r="AI50" i="27" a="1"/>
  <c r="AI50" i="27" s="1"/>
  <c r="AI31" i="27" a="1"/>
  <c r="AI31" i="27" s="1"/>
  <c r="O87" i="27" a="1"/>
  <c r="O87" i="27" s="1"/>
  <c r="AG86" i="27" a="1"/>
  <c r="AG86" i="27" s="1"/>
  <c r="Y11" i="27" a="1"/>
  <c r="Y11" i="27" s="1"/>
  <c r="AA87" i="27" a="1"/>
  <c r="AA87" i="27" s="1"/>
  <c r="T52" i="27" a="1"/>
  <c r="T52" i="27" s="1"/>
  <c r="AF47" i="27" a="1"/>
  <c r="AF47" i="27" s="1"/>
  <c r="S62" i="27" a="1"/>
  <c r="S62" i="27" s="1"/>
  <c r="AG63" i="27" a="1"/>
  <c r="AG63" i="27" s="1"/>
  <c r="W95" i="27" a="1"/>
  <c r="W95" i="27" s="1"/>
  <c r="AA75" i="27" a="1"/>
  <c r="AA75" i="27" s="1"/>
  <c r="AD85" i="27" a="1"/>
  <c r="AD85" i="27" s="1"/>
  <c r="R55" i="27" a="1"/>
  <c r="R55" i="27" s="1"/>
  <c r="O18" i="27" a="1"/>
  <c r="O18" i="27" s="1"/>
  <c r="T95" i="27" a="1"/>
  <c r="T95" i="27" s="1"/>
  <c r="AA31" i="27" a="1"/>
  <c r="AA31" i="27" s="1"/>
  <c r="O51" i="27" a="1"/>
  <c r="O51" i="27" s="1"/>
  <c r="AG131" i="27" a="1"/>
  <c r="AG131" i="27" s="1"/>
  <c r="P103" i="27" a="1"/>
  <c r="P103" i="27" s="1"/>
  <c r="AG136" i="27" a="1"/>
  <c r="AG136" i="27" s="1"/>
  <c r="M71" i="27" a="1"/>
  <c r="M71" i="27" s="1"/>
  <c r="W104" i="27" a="1"/>
  <c r="W104" i="27" s="1"/>
  <c r="Y119" i="27" a="1"/>
  <c r="Y119" i="27" s="1"/>
  <c r="AG123" i="27" a="1"/>
  <c r="AG123" i="27" s="1"/>
  <c r="S27" i="27" a="1"/>
  <c r="S27" i="27" s="1"/>
  <c r="M95" i="27" a="1"/>
  <c r="M95" i="27" s="1"/>
  <c r="AE97" i="27" a="1"/>
  <c r="AE97" i="27" s="1"/>
  <c r="AG85" i="27" a="1"/>
  <c r="AG85" i="27" s="1"/>
  <c r="AI52" i="27" a="1"/>
  <c r="AI52" i="27" s="1"/>
  <c r="M15" i="27" a="1"/>
  <c r="M15" i="27" s="1"/>
  <c r="AI136" i="27" a="1"/>
  <c r="AI136" i="27" s="1"/>
  <c r="W11" i="27" a="1"/>
  <c r="W11" i="27" s="1"/>
  <c r="Y23" i="27" a="1"/>
  <c r="Y23" i="27" s="1"/>
  <c r="W107" i="27" a="1"/>
  <c r="W107" i="27" s="1"/>
  <c r="AC11" i="27" a="1"/>
  <c r="AC11" i="27" s="1"/>
  <c r="U15" i="27" a="1"/>
  <c r="U15" i="27" s="1"/>
  <c r="AG108" i="27" a="1"/>
  <c r="AG108" i="27" s="1"/>
  <c r="U71" i="27" a="1"/>
  <c r="U71" i="27" s="1"/>
  <c r="U86" i="27" a="1"/>
  <c r="U86" i="27" s="1"/>
  <c r="O127" i="27" a="1"/>
  <c r="O127" i="27" s="1"/>
  <c r="N34" i="27" a="1"/>
  <c r="N34" i="27" s="1"/>
  <c r="AC71" i="27" a="1"/>
  <c r="AC71" i="27" s="1"/>
  <c r="Q18" i="27" a="1"/>
  <c r="Q18" i="27" s="1"/>
  <c r="O83" i="27" a="1"/>
  <c r="O83" i="27" s="1"/>
  <c r="AI79" i="27" a="1"/>
  <c r="AI79" i="27" s="1"/>
  <c r="U47" i="27" a="1"/>
  <c r="U47" i="27" s="1"/>
  <c r="O79" i="27" a="1"/>
  <c r="O79" i="27" s="1"/>
  <c r="AI23" i="27" a="1"/>
  <c r="AI23" i="27" s="1"/>
  <c r="X18" i="27" a="1"/>
  <c r="X18" i="27" s="1"/>
  <c r="U30" i="27" a="1"/>
  <c r="U30" i="27" s="1"/>
  <c r="AG31" i="27" a="1"/>
  <c r="AG31" i="27" s="1"/>
  <c r="W62" i="27" a="1"/>
  <c r="W62" i="27" s="1"/>
  <c r="O119" i="27" a="1"/>
  <c r="O119" i="27" s="1"/>
  <c r="AC31" i="27" a="1"/>
  <c r="AC31" i="27" s="1"/>
  <c r="AC19" i="27" a="1"/>
  <c r="AC19" i="27" s="1"/>
  <c r="W51" i="27" a="1"/>
  <c r="W51" i="27" s="1"/>
  <c r="S47" i="27" a="1"/>
  <c r="S47" i="27" s="1"/>
  <c r="S15" i="27" a="1"/>
  <c r="S15" i="27" s="1"/>
  <c r="AG51" i="27" a="1"/>
  <c r="AG51" i="27" s="1"/>
  <c r="AB15" i="27" a="1"/>
  <c r="AB15" i="27" s="1"/>
  <c r="U95" i="27" a="1"/>
  <c r="U95" i="27" s="1"/>
  <c r="R51" i="27" a="1"/>
  <c r="R51" i="27" s="1"/>
  <c r="T103" i="27" a="1"/>
  <c r="T103" i="27" s="1"/>
  <c r="Q127" i="27" a="1"/>
  <c r="Q127" i="27" s="1"/>
  <c r="AH75" i="27" a="1"/>
  <c r="AH75" i="27" s="1"/>
  <c r="AA47" i="27" a="1"/>
  <c r="AA47" i="27" s="1"/>
  <c r="M107" i="27" a="1"/>
  <c r="M107" i="27" s="1"/>
  <c r="W91" i="27" a="1"/>
  <c r="W91" i="27" s="1"/>
  <c r="AC131" i="27" a="1"/>
  <c r="AC131" i="27" s="1"/>
  <c r="AG103" i="27" a="1"/>
  <c r="AG103" i="27" s="1"/>
  <c r="M104" i="27" a="1"/>
  <c r="M104" i="27" s="1"/>
  <c r="U39" i="27" a="1"/>
  <c r="U39" i="27" s="1"/>
  <c r="W85" i="27" a="1"/>
  <c r="W85" i="27" s="1"/>
  <c r="AI55" i="27" a="1"/>
  <c r="AI55" i="27" s="1"/>
  <c r="Y51" i="27" a="1"/>
  <c r="Y51" i="27" s="1"/>
  <c r="AC86" i="27" a="1"/>
  <c r="AC86" i="27" s="1"/>
  <c r="O11" i="27" a="1"/>
  <c r="O11" i="27" s="1"/>
  <c r="Y87" i="27" a="1"/>
  <c r="Y87" i="27" s="1"/>
  <c r="AC52" i="27" a="1"/>
  <c r="AC52" i="27" s="1"/>
  <c r="V47" i="27" a="1"/>
  <c r="V47" i="27" s="1"/>
  <c r="AD63" i="27" a="1"/>
  <c r="AD63" i="27" s="1"/>
  <c r="O75" i="27" a="1"/>
  <c r="O75" i="27" s="1"/>
  <c r="W30" i="27" a="1"/>
  <c r="W30" i="27" s="1"/>
  <c r="Q83" i="27" a="1"/>
  <c r="Q83" i="27" s="1"/>
  <c r="AD104" i="27" a="1"/>
  <c r="AD104" i="27" s="1"/>
  <c r="U55" i="27" a="1"/>
  <c r="U55" i="27" s="1"/>
  <c r="AI87" i="27" a="1"/>
  <c r="AI87" i="27" s="1"/>
  <c r="AG47" i="27" a="1"/>
  <c r="AG47" i="27" s="1"/>
  <c r="AA131" i="27" a="1"/>
  <c r="AA131" i="27" s="1"/>
  <c r="M127" i="27" a="1"/>
  <c r="M127" i="27" s="1"/>
  <c r="V107" i="27" a="1"/>
  <c r="V107" i="27" s="1"/>
  <c r="V136" i="27" a="1"/>
  <c r="V136" i="27" s="1"/>
  <c r="AC91" i="27" a="1"/>
  <c r="AC91" i="27" s="1"/>
  <c r="Q62" i="27" a="1"/>
  <c r="Q62" i="27" s="1"/>
  <c r="AE85" i="27" a="1"/>
  <c r="AE85" i="27" s="1"/>
  <c r="M31" i="27" a="1"/>
  <c r="M31" i="27" s="1"/>
  <c r="AE131" i="27" a="1"/>
  <c r="AE131" i="27" s="1"/>
  <c r="Q103" i="27" a="1"/>
  <c r="Q103" i="27" s="1"/>
  <c r="S95" i="27" a="1"/>
  <c r="S95" i="27" s="1"/>
  <c r="M83" i="27" a="1"/>
  <c r="M83" i="27" s="1"/>
  <c r="O35" i="27" a="1"/>
  <c r="O35" i="27" s="1"/>
  <c r="Q136" i="27" a="1"/>
  <c r="Q136" i="27" s="1"/>
  <c r="O91" i="27" a="1"/>
  <c r="O91" i="27" s="1"/>
  <c r="AG27" i="27" a="1"/>
  <c r="AG27" i="27" s="1"/>
  <c r="U38" i="27" a="1"/>
  <c r="U38" i="27" s="1"/>
  <c r="AC34" i="27" a="1"/>
  <c r="AC34" i="27" s="1"/>
  <c r="M91" i="27" a="1"/>
  <c r="M91" i="27" s="1"/>
  <c r="AG50" i="27" a="1"/>
  <c r="AG50" i="27" s="1"/>
  <c r="AE18" i="27" a="1"/>
  <c r="AE18" i="27" s="1"/>
  <c r="U123" i="27" a="1"/>
  <c r="U123" i="27" s="1"/>
  <c r="AE63" i="27" a="1"/>
  <c r="AE63" i="27" s="1"/>
  <c r="Q85" i="27" a="1"/>
  <c r="Q85" i="27" s="1"/>
  <c r="Q43" i="27" a="1"/>
  <c r="Q43" i="27" s="1"/>
  <c r="AC62" i="27" a="1"/>
  <c r="AC62" i="27" s="1"/>
  <c r="Y31" i="27" a="1"/>
  <c r="Y31" i="27" s="1"/>
  <c r="AE31" i="27" a="1"/>
  <c r="AE31" i="27" s="1"/>
  <c r="AG43" i="27" a="1"/>
  <c r="AG43" i="27" s="1"/>
  <c r="AI107" i="27" a="1"/>
  <c r="AI107" i="27" s="1"/>
  <c r="S91" i="27" a="1"/>
  <c r="S91" i="27" s="1"/>
  <c r="AA62" i="27" a="1"/>
  <c r="AA62" i="27" s="1"/>
  <c r="M119" i="27" a="1"/>
  <c r="M119" i="27" s="1"/>
  <c r="AA39" i="27" a="1"/>
  <c r="AA39" i="27" s="1"/>
  <c r="AG30" i="27" a="1"/>
  <c r="AG30" i="27" s="1"/>
  <c r="Q15" i="27" a="1"/>
  <c r="Q15" i="27" s="1"/>
  <c r="BJ67" i="27"/>
  <c r="BL67" i="27" s="1"/>
  <c r="AB131" i="27" a="1"/>
  <c r="AB131" i="27" s="1"/>
  <c r="L103" i="27" a="1"/>
  <c r="L103" i="27" s="1"/>
  <c r="AF131" i="27" a="1"/>
  <c r="AF131" i="27" s="1"/>
  <c r="AH91" i="27" a="1"/>
  <c r="AH91" i="27" s="1"/>
  <c r="AF86" i="27" a="1"/>
  <c r="AF86" i="27" s="1"/>
  <c r="Z108" i="27" a="1"/>
  <c r="Z108" i="27" s="1"/>
  <c r="N23" i="27" a="1"/>
  <c r="N23" i="27" s="1"/>
  <c r="AD52" i="27" a="1"/>
  <c r="AD52" i="27" s="1"/>
  <c r="L87" i="27" a="1"/>
  <c r="L87" i="27" s="1"/>
  <c r="P31" i="27" a="1"/>
  <c r="P31" i="27" s="1"/>
  <c r="T86" i="27" a="1"/>
  <c r="T86" i="27" s="1"/>
  <c r="AH39" i="27" a="1"/>
  <c r="AH39" i="27" s="1"/>
  <c r="Z103" i="27" a="1"/>
  <c r="Z103" i="27" s="1"/>
  <c r="N104" i="27" a="1"/>
  <c r="N104" i="27" s="1"/>
  <c r="AF38" i="27" a="1"/>
  <c r="AF38" i="27" s="1"/>
  <c r="Z123" i="27" a="1"/>
  <c r="Z123" i="27" s="1"/>
  <c r="V23" i="27" a="1"/>
  <c r="V23" i="27" s="1"/>
  <c r="X123" i="27" a="1"/>
  <c r="X123" i="27" s="1"/>
  <c r="T91" i="27" a="1"/>
  <c r="T91" i="27" s="1"/>
  <c r="L15" i="27" a="1"/>
  <c r="L15" i="27" s="1"/>
  <c r="N18" i="27" a="1"/>
  <c r="N18" i="27" s="1"/>
  <c r="P85" i="27" a="1"/>
  <c r="P85" i="27" s="1"/>
  <c r="O43" i="27" a="1"/>
  <c r="O43" i="27" s="1"/>
  <c r="X62" i="27" a="1"/>
  <c r="X62" i="27" s="1"/>
  <c r="P47" i="27" a="1"/>
  <c r="P47" i="27" s="1"/>
  <c r="P43" i="27" a="1"/>
  <c r="P43" i="27" s="1"/>
  <c r="Z87" i="27" a="1"/>
  <c r="Z87" i="27" s="1"/>
  <c r="R108" i="27" a="1"/>
  <c r="R108" i="27" s="1"/>
  <c r="L123" i="27" a="1"/>
  <c r="L123" i="27" s="1"/>
  <c r="V95" i="27" a="1"/>
  <c r="V95" i="27" s="1"/>
  <c r="P55" i="27" a="1"/>
  <c r="P55" i="27" s="1"/>
  <c r="AF127" i="27" a="1"/>
  <c r="AF127" i="27" s="1"/>
  <c r="V51" i="27" a="1"/>
  <c r="V51" i="27" s="1"/>
  <c r="AF52" i="27" a="1"/>
  <c r="AF52" i="27" s="1"/>
  <c r="P136" i="27" a="1"/>
  <c r="P136" i="27" s="1"/>
  <c r="L119" i="27" a="1"/>
  <c r="L119" i="27" s="1"/>
  <c r="P11" i="27" a="1"/>
  <c r="P11" i="27" s="1"/>
  <c r="T19" i="27" a="1"/>
  <c r="T19" i="27" s="1"/>
  <c r="N86" i="27" a="1"/>
  <c r="N86" i="27" s="1"/>
  <c r="AF79" i="27" a="1"/>
  <c r="AF79" i="27" s="1"/>
  <c r="AD87" i="27" a="1"/>
  <c r="AD87" i="27" s="1"/>
  <c r="X86" i="27" a="1"/>
  <c r="X86" i="27" s="1"/>
  <c r="P23" i="27" a="1"/>
  <c r="P23" i="27" s="1"/>
  <c r="L127" i="27" a="1"/>
  <c r="L127" i="27" s="1"/>
  <c r="AD136" i="27" a="1"/>
  <c r="AD136" i="27" s="1"/>
  <c r="R71" i="27" a="1"/>
  <c r="R71" i="27" s="1"/>
  <c r="AF104" i="27" a="1"/>
  <c r="AF104" i="27" s="1"/>
  <c r="AD95" i="27" a="1"/>
  <c r="AD95" i="27" s="1"/>
  <c r="X30" i="27" a="1"/>
  <c r="X30" i="27" s="1"/>
  <c r="AB47" i="27" a="1"/>
  <c r="AB47" i="27" s="1"/>
  <c r="AH34" i="27" a="1"/>
  <c r="AH34" i="27" s="1"/>
  <c r="Z51" i="27" a="1"/>
  <c r="Z51" i="27" s="1"/>
  <c r="AB127" i="27" a="1"/>
  <c r="AB127" i="27" s="1"/>
  <c r="AD131" i="27" a="1"/>
  <c r="AD131" i="27" s="1"/>
  <c r="AH103" i="27" a="1"/>
  <c r="AH103" i="27" s="1"/>
  <c r="R79" i="27" a="1"/>
  <c r="R79" i="27" s="1"/>
  <c r="N43" i="27" a="1"/>
  <c r="N43" i="27" s="1"/>
  <c r="AF108" i="27" a="1"/>
  <c r="AF108" i="27" s="1"/>
  <c r="AB50" i="27" a="1"/>
  <c r="AB50" i="27" s="1"/>
  <c r="R123" i="27" a="1"/>
  <c r="R123" i="27" s="1"/>
  <c r="X31" i="27" a="1"/>
  <c r="X31" i="27" s="1"/>
  <c r="T79" i="27" a="1"/>
  <c r="T79" i="27" s="1"/>
  <c r="AF19" i="27" a="1"/>
  <c r="AF19" i="27" s="1"/>
  <c r="L79" i="27" a="1"/>
  <c r="L79" i="27" s="1"/>
  <c r="AD47" i="27" a="1"/>
  <c r="AD47" i="27" s="1"/>
  <c r="V55" i="27" a="1"/>
  <c r="V55" i="27" s="1"/>
  <c r="AB79" i="27" a="1"/>
  <c r="AB79" i="27" s="1"/>
  <c r="T47" i="27" a="1"/>
  <c r="T47" i="27" s="1"/>
  <c r="N15" i="27" a="1"/>
  <c r="N15" i="27" s="1"/>
  <c r="R103" i="27" a="1"/>
  <c r="R103" i="27" s="1"/>
  <c r="R34" i="27" a="1"/>
  <c r="R34" i="27" s="1"/>
  <c r="AD71" i="27" a="1"/>
  <c r="AD71" i="27" s="1"/>
  <c r="N63" i="27" a="1"/>
  <c r="N63" i="27" s="1"/>
  <c r="AH55" i="27" a="1"/>
  <c r="AH55" i="27" s="1"/>
  <c r="Z15" i="27" a="1"/>
  <c r="Z15" i="27" s="1"/>
  <c r="AB37" i="27" a="1"/>
  <c r="AB37" i="27" s="1"/>
  <c r="L136" i="27" a="1"/>
  <c r="L136" i="27" s="1"/>
  <c r="N91" i="27" a="1"/>
  <c r="N91" i="27" s="1"/>
  <c r="T71" i="27" a="1"/>
  <c r="T71" i="27" s="1"/>
  <c r="R27" i="27" a="1"/>
  <c r="R27" i="27" s="1"/>
  <c r="R75" i="27" a="1"/>
  <c r="R75" i="27" s="1"/>
  <c r="Z30" i="27" a="1"/>
  <c r="Z30" i="27" s="1"/>
  <c r="Z83" i="27" a="1"/>
  <c r="Z83" i="27" s="1"/>
  <c r="AB55" i="27" a="1"/>
  <c r="AB55" i="27" s="1"/>
  <c r="AB107" i="27" a="1"/>
  <c r="AB107" i="27" s="1"/>
  <c r="P91" i="27" a="1"/>
  <c r="P91" i="27" s="1"/>
  <c r="L104" i="27" a="1"/>
  <c r="L104" i="27" s="1"/>
  <c r="Z43" i="27" a="1"/>
  <c r="Z43" i="27" s="1"/>
  <c r="Z136" i="27" a="1"/>
  <c r="Z136" i="27" s="1"/>
  <c r="X104" i="27" a="1"/>
  <c r="X104" i="27" s="1"/>
  <c r="AB19" i="27" a="1"/>
  <c r="AB19" i="27" s="1"/>
  <c r="T37" i="27" a="1"/>
  <c r="T37" i="27" s="1"/>
  <c r="Z104" i="27" a="1"/>
  <c r="Z104" i="27" s="1"/>
  <c r="P75" i="27" a="1"/>
  <c r="P75" i="27" s="1"/>
  <c r="Z85" i="27" a="1"/>
  <c r="Z85" i="27" s="1"/>
  <c r="X19" i="27" a="1"/>
  <c r="X19" i="27" s="1"/>
  <c r="L86" i="27" a="1"/>
  <c r="L86" i="27" s="1"/>
  <c r="V27" i="27" a="1"/>
  <c r="V27" i="27" s="1"/>
  <c r="AH119" i="27" a="1"/>
  <c r="AH119" i="27" s="1"/>
  <c r="V11" i="27" a="1"/>
  <c r="V11" i="27" s="1"/>
  <c r="AH15" i="27" a="1"/>
  <c r="AH15" i="27" s="1"/>
  <c r="L34" i="27" a="1"/>
  <c r="L34" i="27" s="1"/>
  <c r="L50" i="27" a="1"/>
  <c r="L50" i="27" s="1"/>
  <c r="Z27" i="27" a="1"/>
  <c r="Z27" i="27" s="1"/>
  <c r="AB34" i="27" a="1"/>
  <c r="AB34" i="27" s="1"/>
  <c r="AF18" i="27" a="1"/>
  <c r="AF18" i="27" s="1"/>
  <c r="P63" i="27" a="1"/>
  <c r="P63" i="27" s="1"/>
  <c r="AD55" i="27" a="1"/>
  <c r="AD55" i="27" s="1"/>
  <c r="N85" i="27" a="1"/>
  <c r="N85" i="27" s="1"/>
  <c r="R31" i="27" a="1"/>
  <c r="R31" i="27" s="1"/>
  <c r="AD38" i="27" a="1"/>
  <c r="AD38" i="27" s="1"/>
  <c r="Z131" i="27" a="1"/>
  <c r="Z131" i="27" s="1"/>
  <c r="V127" i="27" a="1"/>
  <c r="V127" i="27" s="1"/>
  <c r="P34" i="27" a="1"/>
  <c r="P34" i="27" s="1"/>
  <c r="L91" i="27" a="1"/>
  <c r="L91" i="27" s="1"/>
  <c r="T119" i="27" a="1"/>
  <c r="T119" i="27" s="1"/>
  <c r="N39" i="27" a="1"/>
  <c r="N39" i="27" s="1"/>
  <c r="T30" i="27" a="1"/>
  <c r="T30" i="27" s="1"/>
  <c r="V38" i="27" a="1"/>
  <c r="V38" i="27" s="1"/>
  <c r="AA127" i="27" a="1"/>
  <c r="AA127" i="27" s="1"/>
  <c r="AB62" i="27" a="1"/>
  <c r="AB62" i="27" s="1"/>
  <c r="AF30" i="27" a="1"/>
  <c r="AF30" i="27" s="1"/>
  <c r="O103" i="27" a="1"/>
  <c r="O103" i="27" s="1"/>
  <c r="Y91" i="27" a="1"/>
  <c r="Y91" i="27" s="1"/>
  <c r="N107" i="27" a="1"/>
  <c r="N107" i="27" s="1"/>
  <c r="AD51" i="27" a="1"/>
  <c r="AD51" i="27" s="1"/>
  <c r="AH131" i="27" a="1"/>
  <c r="AH131" i="27" s="1"/>
  <c r="AD91" i="27" a="1"/>
  <c r="AD91" i="27" s="1"/>
  <c r="L19" i="27" a="1"/>
  <c r="L19" i="27" s="1"/>
  <c r="T34" i="27" a="1"/>
  <c r="T34" i="27" s="1"/>
  <c r="T15" i="27" a="1"/>
  <c r="T15" i="27" s="1"/>
  <c r="X103" i="27" a="1"/>
  <c r="X103" i="27" s="1"/>
  <c r="X55" i="27" a="1"/>
  <c r="X55" i="27" s="1"/>
  <c r="N11" i="27" a="1"/>
  <c r="N11" i="27" s="1"/>
  <c r="AD18" i="27" a="1"/>
  <c r="AD18" i="27" s="1"/>
  <c r="AB71" i="27" a="1"/>
  <c r="AB71" i="27" s="1"/>
  <c r="V52" i="27" a="1"/>
  <c r="V52" i="27" s="1"/>
  <c r="Z127" i="27" a="1"/>
  <c r="Z127" i="27" s="1"/>
  <c r="AB18" i="27" a="1"/>
  <c r="AB18" i="27" s="1"/>
  <c r="L43" i="27" a="1"/>
  <c r="L43" i="27" s="1"/>
  <c r="X43" i="27" a="1"/>
  <c r="X43" i="27" s="1"/>
  <c r="P62" i="27" a="1"/>
  <c r="P62" i="27" s="1"/>
  <c r="R52" i="27" a="1"/>
  <c r="R52" i="27" s="1"/>
  <c r="N27" i="27" a="1"/>
  <c r="N27" i="27" s="1"/>
  <c r="R91" i="27" a="1"/>
  <c r="R91" i="27" s="1"/>
  <c r="AH35" i="27" a="1"/>
  <c r="AH35" i="27" s="1"/>
  <c r="AF75" i="27" a="1"/>
  <c r="AF75" i="27" s="1"/>
  <c r="AB30" i="27" a="1"/>
  <c r="AB30" i="27" s="1"/>
  <c r="X37" i="27" a="1"/>
  <c r="X37" i="27" s="1"/>
  <c r="AD123" i="27" a="1"/>
  <c r="AD123" i="27" s="1"/>
  <c r="X75" i="27" a="1"/>
  <c r="X75" i="27" s="1"/>
  <c r="T31" i="27" a="1"/>
  <c r="T31" i="27" s="1"/>
  <c r="AF34" i="27" a="1"/>
  <c r="AF34" i="27" s="1"/>
  <c r="S127" i="27" a="1"/>
  <c r="S127" i="27" s="1"/>
  <c r="N71" i="27" a="1"/>
  <c r="N71" i="27" s="1"/>
  <c r="S51" i="27" a="1"/>
  <c r="S51" i="27" s="1"/>
  <c r="M79" i="27" a="1"/>
  <c r="M79" i="27" s="1"/>
  <c r="AI18" i="27" a="1"/>
  <c r="AI18" i="27" s="1"/>
  <c r="AE104" i="27" a="1"/>
  <c r="AE104" i="27" s="1"/>
  <c r="AH30" i="27" a="1"/>
  <c r="AH30" i="27" s="1"/>
  <c r="AE27" i="27" a="1"/>
  <c r="AE27" i="27" s="1"/>
  <c r="M19" i="27" a="1"/>
  <c r="M19" i="27" s="1"/>
  <c r="P35" i="27" a="1"/>
  <c r="P35" i="27" s="1"/>
  <c r="T136" i="27" a="1"/>
  <c r="T136" i="27" s="1"/>
  <c r="Z19" i="27" a="1"/>
  <c r="Z19" i="27" s="1"/>
  <c r="AD23" i="27" a="1"/>
  <c r="AD23" i="27" s="1"/>
  <c r="Z18" i="27" a="1"/>
  <c r="Z18" i="27" s="1"/>
  <c r="R87" i="27" a="1"/>
  <c r="R87" i="27" s="1"/>
  <c r="AF15" i="27" a="1"/>
  <c r="AF15" i="27" s="1"/>
  <c r="AD15" i="27" a="1"/>
  <c r="AD15" i="27" s="1"/>
  <c r="AB91" i="27" a="1"/>
  <c r="AB91" i="27" s="1"/>
  <c r="V63" i="27" a="1"/>
  <c r="V63" i="27" s="1"/>
  <c r="X79" i="27" a="1"/>
  <c r="X79" i="27" s="1"/>
  <c r="R131" i="27" a="1"/>
  <c r="R131" i="27" s="1"/>
  <c r="T35" i="27" a="1"/>
  <c r="T35" i="27" s="1"/>
  <c r="AB87" i="27" a="1"/>
  <c r="AB87" i="27" s="1"/>
  <c r="N131" i="27" a="1"/>
  <c r="N131" i="27" s="1"/>
  <c r="AF123" i="27" a="1"/>
  <c r="AF123" i="27" s="1"/>
  <c r="L75" i="27" a="1"/>
  <c r="L75" i="27" s="1"/>
  <c r="Z79" i="27" a="1"/>
  <c r="Z79" i="27" s="1"/>
  <c r="AH79" i="27" a="1"/>
  <c r="AH79" i="27" s="1"/>
  <c r="AB51" i="27" a="1"/>
  <c r="AB51" i="27" s="1"/>
  <c r="AD86" i="27" a="1"/>
  <c r="AD86" i="27" s="1"/>
  <c r="AB43" i="27" a="1"/>
  <c r="AB43" i="27" s="1"/>
  <c r="AB103" i="27" a="1"/>
  <c r="AB103" i="27" s="1"/>
  <c r="X108" i="27" a="1"/>
  <c r="X108" i="27" s="1"/>
  <c r="AF91" i="27" a="1"/>
  <c r="AF91" i="27" s="1"/>
  <c r="AF71" i="27" a="1"/>
  <c r="AF71" i="27" s="1"/>
  <c r="AF83" i="27" a="1"/>
  <c r="AF83" i="27" s="1"/>
  <c r="V43" i="27" a="1"/>
  <c r="V43" i="27" s="1"/>
  <c r="Z91" i="27" a="1"/>
  <c r="Z91" i="27" s="1"/>
  <c r="AB52" i="27" a="1"/>
  <c r="AB52" i="27" s="1"/>
  <c r="AF103" i="27" a="1"/>
  <c r="AF103" i="27" s="1"/>
  <c r="AB11" i="27" a="1"/>
  <c r="AB11" i="27" s="1"/>
  <c r="V15" i="27" a="1"/>
  <c r="V15" i="27" s="1"/>
  <c r="R107" i="27" a="1"/>
  <c r="R107" i="27" s="1"/>
  <c r="AD19" i="27" a="1"/>
  <c r="AD19" i="27" s="1"/>
  <c r="AH87" i="27" a="1"/>
  <c r="AH87" i="27" s="1"/>
  <c r="Z35" i="27" a="1"/>
  <c r="Z35" i="27" s="1"/>
  <c r="X27" i="27" a="1"/>
  <c r="X27" i="27" s="1"/>
  <c r="AH38" i="27" a="1"/>
  <c r="AH38" i="27" s="1"/>
  <c r="P19" i="27" a="1"/>
  <c r="P19" i="27" s="1"/>
  <c r="P51" i="27" a="1"/>
  <c r="P51" i="27" s="1"/>
  <c r="T62" i="27" a="1"/>
  <c r="T62" i="27" s="1"/>
  <c r="R18" i="27" a="1"/>
  <c r="R18" i="27" s="1"/>
  <c r="AH83" i="27" a="1"/>
  <c r="AH83" i="27" s="1"/>
  <c r="Z55" i="27" a="1"/>
  <c r="Z55" i="27" s="1"/>
  <c r="X63" i="27" a="1"/>
  <c r="X63" i="27" s="1"/>
  <c r="N30" i="27" a="1"/>
  <c r="N30" i="27" s="1"/>
  <c r="V79" i="27" a="1"/>
  <c r="V79" i="27" s="1"/>
  <c r="X52" i="27" a="1"/>
  <c r="X52" i="27" s="1"/>
  <c r="V86" i="27" a="1"/>
  <c r="V86" i="27" s="1"/>
  <c r="X23" i="27" a="1"/>
  <c r="X23" i="27" s="1"/>
  <c r="X127" i="27" a="1"/>
  <c r="X127" i="27" s="1"/>
  <c r="AD107" i="27" a="1"/>
  <c r="AD107" i="27" s="1"/>
  <c r="L108" i="27" a="1"/>
  <c r="L108" i="27" s="1"/>
  <c r="Z62" i="27" a="1"/>
  <c r="Z62" i="27" s="1"/>
  <c r="T18" i="27" a="1"/>
  <c r="T18" i="27" s="1"/>
  <c r="Z75" i="27" a="1"/>
  <c r="Z75" i="27" s="1"/>
  <c r="N83" i="27" a="1"/>
  <c r="N83" i="27" s="1"/>
  <c r="R127" i="27" a="1"/>
  <c r="R127" i="27" s="1"/>
  <c r="AD37" i="27" a="1"/>
  <c r="AD37" i="27" s="1"/>
  <c r="T108" i="27" a="1"/>
  <c r="T108" i="27" s="1"/>
  <c r="AD50" i="27" a="1"/>
  <c r="AD50" i="27" s="1"/>
  <c r="X119" i="27" a="1"/>
  <c r="X119" i="27" s="1"/>
  <c r="AB123" i="27" a="1"/>
  <c r="AB123" i="27" s="1"/>
  <c r="AD75" i="27" a="1"/>
  <c r="AD75" i="27" s="1"/>
  <c r="L30" i="27" a="1"/>
  <c r="L30" i="27" s="1"/>
  <c r="L31" i="27" a="1"/>
  <c r="L31" i="27" s="1"/>
  <c r="P87" i="27" a="1"/>
  <c r="P87" i="27" s="1"/>
  <c r="AF37" i="27" a="1"/>
  <c r="AF37" i="27" s="1"/>
  <c r="L18" i="27" a="1"/>
  <c r="L18" i="27" s="1"/>
  <c r="Z31" i="27" a="1"/>
  <c r="Z31" i="27" s="1"/>
  <c r="T131" i="27" a="1"/>
  <c r="T131" i="27" s="1"/>
  <c r="N108" i="27" a="1"/>
  <c r="N108" i="27" s="1"/>
  <c r="AH86" i="27" a="1"/>
  <c r="AH86" i="27" s="1"/>
  <c r="X39" i="27" a="1"/>
  <c r="X39" i="27" s="1"/>
  <c r="AD43" i="27" a="1"/>
  <c r="AD43" i="27" s="1"/>
  <c r="AB136" i="27" a="1"/>
  <c r="AB136" i="27" s="1"/>
  <c r="V18" i="27" a="1"/>
  <c r="V18" i="27" s="1"/>
  <c r="X11" i="27" a="1"/>
  <c r="X11" i="27" s="1"/>
  <c r="X47" i="27" a="1"/>
  <c r="X47" i="27" s="1"/>
  <c r="AF85" i="27" a="1"/>
  <c r="AF85" i="27" s="1"/>
  <c r="X51" i="27" a="1"/>
  <c r="X51" i="27" s="1"/>
  <c r="AD35" i="27" a="1"/>
  <c r="AD35" i="27" s="1"/>
  <c r="V119" i="27" a="1"/>
  <c r="V119" i="27" s="1"/>
  <c r="AH95" i="27" a="1"/>
  <c r="AH95" i="27" s="1"/>
  <c r="N75" i="27" a="1"/>
  <c r="N75" i="27" s="1"/>
  <c r="R15" i="27" a="1"/>
  <c r="R15" i="27" s="1"/>
  <c r="AB108" i="27" a="1"/>
  <c r="AB108" i="27" s="1"/>
  <c r="T123" i="27" a="1"/>
  <c r="T123" i="27" s="1"/>
  <c r="AD27" i="27" a="1"/>
  <c r="AD27" i="27" s="1"/>
  <c r="AD39" i="27" a="1"/>
  <c r="AD39" i="27" s="1"/>
  <c r="AB31" i="27" a="1"/>
  <c r="AB31" i="27" s="1"/>
  <c r="T55" i="27" a="1"/>
  <c r="T55" i="27" s="1"/>
  <c r="L131" i="27" a="1"/>
  <c r="L131" i="27" s="1"/>
  <c r="X107" i="27" a="1"/>
  <c r="X107" i="27" s="1"/>
  <c r="AH136" i="27" a="1"/>
  <c r="AH136" i="27" s="1"/>
  <c r="AB95" i="27" a="1"/>
  <c r="AB95" i="27" s="1"/>
  <c r="L39" i="27" a="1"/>
  <c r="L39" i="27" s="1"/>
  <c r="AH85" i="27" a="1"/>
  <c r="AH85" i="27" s="1"/>
  <c r="R83" i="27" a="1"/>
  <c r="R83" i="27" s="1"/>
  <c r="T38" i="27" a="1"/>
  <c r="T38" i="27" s="1"/>
  <c r="Q11" i="27" a="1"/>
  <c r="Q11" i="27" s="1"/>
  <c r="AA103" i="27" a="1"/>
  <c r="AA103" i="27" s="1"/>
  <c r="AA119" i="27" a="1"/>
  <c r="AA119" i="27" s="1"/>
  <c r="AG83" i="27" a="1"/>
  <c r="AG83" i="27" s="1"/>
  <c r="Q86" i="27" a="1"/>
  <c r="Q86" i="27" s="1"/>
  <c r="S37" i="27" a="1"/>
  <c r="S37" i="27" s="1"/>
  <c r="BJ115" i="27"/>
  <c r="BL115" i="27" s="1"/>
  <c r="BP115" i="27" s="1"/>
  <c r="BJ111" i="27"/>
  <c r="BL111" i="27" s="1"/>
  <c r="AC37" i="27" a="1"/>
  <c r="AC37" i="27" s="1"/>
  <c r="W31" i="27" a="1"/>
  <c r="W31" i="27" s="1"/>
  <c r="W71" i="27" a="1"/>
  <c r="W71" i="27" s="1"/>
  <c r="AI123" i="27" a="1"/>
  <c r="AI123" i="27" s="1"/>
  <c r="M55" i="27" a="1"/>
  <c r="M55" i="27" s="1"/>
  <c r="AH44" i="27" a="1"/>
  <c r="AH44" i="27" s="1"/>
  <c r="Y44" i="27" a="1"/>
  <c r="Y44" i="27" s="1"/>
  <c r="AH81" i="27" a="1"/>
  <c r="AH81" i="27" s="1"/>
  <c r="W81" i="27" a="1"/>
  <c r="W81" i="27" s="1"/>
  <c r="S44" i="27" a="1"/>
  <c r="S44" i="27" s="1"/>
  <c r="Q44" i="27" a="1"/>
  <c r="Q44" i="27" s="1"/>
  <c r="AH61" i="27" a="1"/>
  <c r="AH61" i="27" s="1"/>
  <c r="BJ101" i="27"/>
  <c r="BL101" i="27" s="1"/>
  <c r="U44" i="27" a="1"/>
  <c r="U44" i="27" s="1"/>
  <c r="U61" i="27" a="1"/>
  <c r="U61" i="27" s="1"/>
  <c r="S81" i="27" a="1"/>
  <c r="S81" i="27" s="1"/>
  <c r="X61" i="27" a="1"/>
  <c r="X61" i="27" s="1"/>
  <c r="X81" i="27" a="1"/>
  <c r="X81" i="27" s="1"/>
  <c r="T61" i="27" a="1"/>
  <c r="T61" i="27" s="1"/>
  <c r="W44" i="27" a="1"/>
  <c r="W44" i="27" s="1"/>
  <c r="O61" i="27" a="1"/>
  <c r="O61" i="27" s="1"/>
  <c r="AG44" i="27" a="1"/>
  <c r="AG44" i="27" s="1"/>
  <c r="AC61" i="27" a="1"/>
  <c r="AC61" i="27" s="1"/>
  <c r="L81" i="27" a="1"/>
  <c r="L81" i="27" s="1"/>
  <c r="AI44" i="27" a="1"/>
  <c r="AI44" i="27" s="1"/>
  <c r="N44" i="27" a="1"/>
  <c r="N44" i="27" s="1"/>
  <c r="AE79" i="27" a="1"/>
  <c r="AE79" i="27" s="1"/>
  <c r="Q131" i="27" a="1"/>
  <c r="Q131" i="27" s="1"/>
  <c r="Y18" i="27" a="1"/>
  <c r="Y18" i="27" s="1"/>
  <c r="S63" i="27" a="1"/>
  <c r="S63" i="27" s="1"/>
  <c r="AI38" i="27" a="1"/>
  <c r="AI38" i="27" s="1"/>
  <c r="AE107" i="27" a="1"/>
  <c r="AE107" i="27" s="1"/>
  <c r="Q108" i="27" a="1"/>
  <c r="Q108" i="27" s="1"/>
  <c r="AE71" i="27" a="1"/>
  <c r="AE71" i="27" s="1"/>
  <c r="O131" i="27" a="1"/>
  <c r="O131" i="27" s="1"/>
  <c r="U37" i="27" a="1"/>
  <c r="U37" i="27" s="1"/>
  <c r="AA104" i="27" a="1"/>
  <c r="AA104" i="27" s="1"/>
  <c r="AI63" i="27" a="1"/>
  <c r="AI63" i="27" s="1"/>
  <c r="O85" i="27" a="1"/>
  <c r="O85" i="27" s="1"/>
  <c r="AG23" i="27" a="1"/>
  <c r="AG23" i="27" s="1"/>
  <c r="S11" i="27" a="1"/>
  <c r="S11" i="27" s="1"/>
  <c r="AE87" i="27" a="1"/>
  <c r="AE87" i="27" s="1"/>
  <c r="M23" i="27" a="1"/>
  <c r="M23" i="27" s="1"/>
  <c r="V50" i="27" a="1"/>
  <c r="V50" i="27" s="1"/>
  <c r="AH18" i="27" a="1"/>
  <c r="AH18" i="27" s="1"/>
  <c r="AE123" i="27" a="1"/>
  <c r="AE123" i="27" s="1"/>
  <c r="U27" i="27" a="1"/>
  <c r="U27" i="27" s="1"/>
  <c r="AE39" i="27" a="1"/>
  <c r="AE39" i="27" s="1"/>
  <c r="L38" i="27" a="1"/>
  <c r="L38" i="27" s="1"/>
  <c r="V131" i="27" a="1"/>
  <c r="V131" i="27" s="1"/>
  <c r="AA37" i="27" a="1"/>
  <c r="AA37" i="27" s="1"/>
  <c r="Y62" i="27" a="1"/>
  <c r="Y62" i="27" s="1"/>
  <c r="O104" i="27" a="1"/>
  <c r="O104" i="27" s="1"/>
  <c r="W119" i="27" a="1"/>
  <c r="W119" i="27" s="1"/>
  <c r="T27" i="27" a="1"/>
  <c r="T27" i="27" s="1"/>
  <c r="Q95" i="27" a="1"/>
  <c r="Q95" i="27" s="1"/>
  <c r="Q52" i="27" a="1"/>
  <c r="Q52" i="27" s="1"/>
  <c r="V91" i="27" a="1"/>
  <c r="V91" i="27" s="1"/>
  <c r="AA95" i="27" a="1"/>
  <c r="AA95" i="27" s="1"/>
  <c r="AC35" i="27" a="1"/>
  <c r="AC35" i="27" s="1"/>
  <c r="AI108" i="27" a="1"/>
  <c r="AI108" i="27" s="1"/>
  <c r="Y79" i="27" a="1"/>
  <c r="Y79" i="27" s="1"/>
  <c r="U43" i="27" a="1"/>
  <c r="U43" i="27" s="1"/>
  <c r="AC108" i="27" a="1"/>
  <c r="AC108" i="27" s="1"/>
  <c r="AC79" i="27" a="1"/>
  <c r="AC79" i="27" s="1"/>
  <c r="AG37" i="27" a="1"/>
  <c r="AG37" i="27" s="1"/>
  <c r="S19" i="27" a="1"/>
  <c r="S19" i="27" s="1"/>
  <c r="W47" i="27" a="1"/>
  <c r="W47" i="27" s="1"/>
  <c r="AI103" i="27" a="1"/>
  <c r="AI103" i="27" s="1"/>
  <c r="U108" i="27" a="1"/>
  <c r="U108" i="27" s="1"/>
  <c r="M62" i="27" a="1"/>
  <c r="M62" i="27" s="1"/>
  <c r="AB119" i="27" a="1"/>
  <c r="AB119" i="27" s="1"/>
  <c r="AC39" i="27" a="1"/>
  <c r="AC39" i="27" s="1"/>
  <c r="Q38" i="27" a="1"/>
  <c r="Q38" i="27" s="1"/>
  <c r="M51" i="27" a="1"/>
  <c r="M51" i="27" s="1"/>
  <c r="AH19" i="27" a="1"/>
  <c r="AH19" i="27" s="1"/>
  <c r="U79" i="27" a="1"/>
  <c r="U79" i="27" s="1"/>
  <c r="R86" i="27" a="1"/>
  <c r="R86" i="27" s="1"/>
  <c r="AI62" i="27" a="1"/>
  <c r="AI62" i="27" s="1"/>
  <c r="N123" i="27" a="1"/>
  <c r="N123" i="27" s="1"/>
  <c r="R95" i="27" a="1"/>
  <c r="R95" i="27" s="1"/>
  <c r="Y75" i="27" a="1"/>
  <c r="Y75" i="27" s="1"/>
  <c r="X85" i="27" a="1"/>
  <c r="X85" i="27" s="1"/>
  <c r="O38" i="27" a="1"/>
  <c r="O38" i="27" s="1"/>
  <c r="AF50" i="27" a="1"/>
  <c r="AF50" i="27" s="1"/>
  <c r="Y123" i="27" a="1"/>
  <c r="Y123" i="27" s="1"/>
  <c r="AA38" i="27" a="1"/>
  <c r="AA38" i="27" s="1"/>
  <c r="AA19" i="27" a="1"/>
  <c r="AA19" i="27" s="1"/>
  <c r="AC23" i="27" a="1"/>
  <c r="AC23" i="27" s="1"/>
  <c r="AE127" i="27" a="1"/>
  <c r="AE127" i="27" s="1"/>
  <c r="U35" i="27" a="1"/>
  <c r="U35" i="27" s="1"/>
  <c r="P50" i="27" a="1"/>
  <c r="P50" i="27" s="1"/>
  <c r="O37" i="27" a="1"/>
  <c r="O37" i="27" s="1"/>
  <c r="Q91" i="27" a="1"/>
  <c r="Q91" i="27" s="1"/>
  <c r="V37" i="27" a="1"/>
  <c r="V37" i="27" s="1"/>
  <c r="Q27" i="27" a="1"/>
  <c r="Q27" i="27" s="1"/>
  <c r="AI30" i="27" a="1"/>
  <c r="AI30" i="27" s="1"/>
  <c r="U131" i="27" a="1"/>
  <c r="U131" i="27" s="1"/>
  <c r="W34" i="27" a="1"/>
  <c r="W34" i="27" s="1"/>
  <c r="AC15" i="27" a="1"/>
  <c r="AC15" i="27" s="1"/>
  <c r="T107" i="27" a="1"/>
  <c r="T107" i="27" s="1"/>
  <c r="Y95" i="27" a="1"/>
  <c r="Y95" i="27" s="1"/>
  <c r="AG87" i="27" a="1"/>
  <c r="AG87" i="27" s="1"/>
  <c r="V19" i="27" a="1"/>
  <c r="V19" i="27" s="1"/>
  <c r="T11" i="27" a="1"/>
  <c r="T11" i="27" s="1"/>
  <c r="N87" i="27" a="1"/>
  <c r="N87" i="27" s="1"/>
  <c r="AG52" i="27" a="1"/>
  <c r="AG52" i="27" s="1"/>
  <c r="W23" i="27" a="1"/>
  <c r="W23" i="27" s="1"/>
  <c r="P119" i="27" a="1"/>
  <c r="P119" i="27" s="1"/>
  <c r="AC27" i="27" a="1"/>
  <c r="AC27" i="27" s="1"/>
  <c r="P39" i="27" a="1"/>
  <c r="P39" i="27" s="1"/>
  <c r="AC85" i="27" a="1"/>
  <c r="AC85" i="27" s="1"/>
  <c r="AH31" i="27" a="1"/>
  <c r="AH31" i="27" s="1"/>
  <c r="Q39" i="27" a="1"/>
  <c r="Q39" i="27" s="1"/>
  <c r="M85" i="27" a="1"/>
  <c r="M85" i="27" s="1"/>
  <c r="M87" i="27" a="1"/>
  <c r="M87" i="27" s="1"/>
  <c r="AI86" i="27" a="1"/>
  <c r="AI86" i="27" s="1"/>
  <c r="O23" i="27" a="1"/>
  <c r="O23" i="27" s="1"/>
  <c r="S131" i="27" a="1"/>
  <c r="S131" i="27" s="1"/>
  <c r="Q35" i="27" a="1"/>
  <c r="Q35" i="27" s="1"/>
  <c r="AA107" i="27" a="1"/>
  <c r="AA107" i="27" s="1"/>
  <c r="O136" i="27" a="1"/>
  <c r="O136" i="27" s="1"/>
  <c r="O39" i="27" a="1"/>
  <c r="O39" i="27" s="1"/>
  <c r="AC55" i="27" a="1"/>
  <c r="AC55" i="27" s="1"/>
  <c r="AA15" i="27" a="1"/>
  <c r="AA15" i="27" s="1"/>
  <c r="W103" i="27" a="1"/>
  <c r="W103" i="27" s="1"/>
  <c r="S83" i="27" a="1"/>
  <c r="S83" i="27" s="1"/>
  <c r="S103" i="27" a="1"/>
  <c r="S103" i="27" s="1"/>
  <c r="AC136" i="27" a="1"/>
  <c r="AC136" i="27" s="1"/>
  <c r="AI71" i="27" a="1"/>
  <c r="AI71" i="27" s="1"/>
  <c r="Y34" i="27" a="1"/>
  <c r="Y34" i="27" s="1"/>
  <c r="U104" i="27" a="1"/>
  <c r="U104" i="27" s="1"/>
  <c r="AC119" i="27" a="1"/>
  <c r="AC119" i="27" s="1"/>
  <c r="AI27" i="27" a="1"/>
  <c r="AI27" i="27" s="1"/>
  <c r="O31" i="27" a="1"/>
  <c r="O31" i="27" s="1"/>
  <c r="M131" i="27" a="1"/>
  <c r="M131" i="27" s="1"/>
  <c r="W50" i="27" a="1"/>
  <c r="W50" i="27" s="1"/>
  <c r="W55" i="27" a="1"/>
  <c r="W55" i="27" s="1"/>
  <c r="S31" i="27" a="1"/>
  <c r="S31" i="27" s="1"/>
  <c r="M43" i="27" a="1"/>
  <c r="M43" i="27" s="1"/>
  <c r="AI37" i="27" a="1"/>
  <c r="AI37" i="27" s="1"/>
  <c r="U62" i="27" a="1"/>
  <c r="U62" i="27" s="1"/>
  <c r="W18" i="27" a="1"/>
  <c r="W18" i="27" s="1"/>
  <c r="Q123" i="27" a="1"/>
  <c r="Q123" i="27" s="1"/>
  <c r="P18" i="27" a="1"/>
  <c r="P18" i="27" s="1"/>
  <c r="AE95" i="27" a="1"/>
  <c r="AE95" i="27" s="1"/>
  <c r="W75" i="27" a="1"/>
  <c r="W75" i="27" s="1"/>
  <c r="AE55" i="27" a="1"/>
  <c r="AE55" i="27" s="1"/>
  <c r="AI127" i="27" a="1"/>
  <c r="AI127" i="27" s="1"/>
  <c r="M34" i="27" a="1"/>
  <c r="M34" i="27" s="1"/>
  <c r="O50" i="27" a="1"/>
  <c r="O50" i="27" s="1"/>
  <c r="AE38" i="27" a="1"/>
  <c r="AE38" i="27" s="1"/>
  <c r="O62" i="27" a="1"/>
  <c r="O62" i="27" s="1"/>
  <c r="O95" i="27" a="1"/>
  <c r="O95" i="27" s="1"/>
  <c r="U85" i="27" a="1"/>
  <c r="U85" i="27" s="1"/>
  <c r="Q55" i="27" a="1"/>
  <c r="Q55" i="27" s="1"/>
  <c r="BJ70" i="27"/>
  <c r="BL70" i="27" s="1"/>
  <c r="BJ54" i="27"/>
  <c r="BL54" i="27" s="1"/>
  <c r="U87" i="27" a="1"/>
  <c r="U87" i="27" s="1"/>
  <c r="AI15" i="27" a="1"/>
  <c r="AI15" i="27" s="1"/>
  <c r="AE119" i="27" a="1"/>
  <c r="AE119" i="27" s="1"/>
  <c r="M47" i="27" a="1"/>
  <c r="M47" i="27" s="1"/>
  <c r="AG107" i="27" a="1"/>
  <c r="AG107" i="27" s="1"/>
  <c r="U11" i="27" a="1"/>
  <c r="U11" i="27" s="1"/>
  <c r="AE47" i="27" a="1"/>
  <c r="AE47" i="27" s="1"/>
  <c r="X15" i="27" a="1"/>
  <c r="X15" i="27" s="1"/>
  <c r="AA27" i="27" a="1"/>
  <c r="AA27" i="27" s="1"/>
  <c r="W39" i="27" a="1"/>
  <c r="W39" i="27" s="1"/>
  <c r="U19" i="27" a="1"/>
  <c r="U19" i="27" s="1"/>
  <c r="W52" i="27" a="1"/>
  <c r="W52" i="27" s="1"/>
  <c r="AG19" i="27" a="1"/>
  <c r="AG19" i="27" s="1"/>
  <c r="AE51" i="27" a="1"/>
  <c r="AE51" i="27" s="1"/>
  <c r="Q23" i="27" a="1"/>
  <c r="Q23" i="27" s="1"/>
  <c r="Y104" i="27" a="1"/>
  <c r="Y104" i="27" s="1"/>
  <c r="S119" i="27" a="1"/>
  <c r="S119" i="27" s="1"/>
  <c r="M123" i="27" a="1"/>
  <c r="M123" i="27" s="1"/>
  <c r="V83" i="27" a="1"/>
  <c r="V83" i="27" s="1"/>
  <c r="AD62" i="27" a="1"/>
  <c r="AD62" i="27" s="1"/>
  <c r="U75" i="27" a="1"/>
  <c r="U75" i="27" s="1"/>
  <c r="P30" i="27" a="1"/>
  <c r="P30" i="27" s="1"/>
  <c r="Y19" i="27" a="1"/>
  <c r="Y19" i="27" s="1"/>
  <c r="AI11" i="27" a="1"/>
  <c r="AI11" i="27" s="1"/>
  <c r="Z52" i="27" a="1"/>
  <c r="Z52" i="27" s="1"/>
  <c r="W15" i="27" a="1"/>
  <c r="W15" i="27" s="1"/>
  <c r="AA34" i="27" a="1"/>
  <c r="AA34" i="27" s="1"/>
  <c r="AE62" i="27" a="1"/>
  <c r="AE62" i="27" s="1"/>
  <c r="U18" i="27" a="1"/>
  <c r="U18" i="27" s="1"/>
  <c r="Z86" i="27" a="1"/>
  <c r="Z86" i="27" s="1"/>
  <c r="S123" i="27" a="1"/>
  <c r="S123" i="27" s="1"/>
  <c r="W79" i="27" a="1"/>
  <c r="W79" i="27" s="1"/>
  <c r="AE23" i="27" a="1"/>
  <c r="AE23" i="27" s="1"/>
  <c r="M37" i="27" a="1"/>
  <c r="M37" i="27" s="1"/>
  <c r="U51" i="27" a="1"/>
  <c r="U51" i="27" s="1"/>
  <c r="W131" i="27" a="1"/>
  <c r="W131" i="27" s="1"/>
  <c r="U91" i="27" a="1"/>
  <c r="U91" i="27" s="1"/>
  <c r="Y85" i="27" a="1"/>
  <c r="Y85" i="27" s="1"/>
  <c r="O52" i="27" a="1"/>
  <c r="O52" i="27" s="1"/>
  <c r="AI34" i="27" a="1"/>
  <c r="AI34" i="27" s="1"/>
  <c r="AG91" i="27" a="1"/>
  <c r="AG91" i="27" s="1"/>
  <c r="AC47" i="27" a="1"/>
  <c r="AC47" i="27" s="1"/>
  <c r="Q107" i="27" a="1"/>
  <c r="Q107" i="27" s="1"/>
  <c r="AA91" i="27" a="1"/>
  <c r="AA91" i="27" s="1"/>
  <c r="Q50" i="27" a="1"/>
  <c r="Q50" i="27" s="1"/>
  <c r="M63" i="27" a="1"/>
  <c r="M63" i="27" s="1"/>
  <c r="W38" i="27" a="1"/>
  <c r="W38" i="27" s="1"/>
  <c r="S87" i="27" a="1"/>
  <c r="S87" i="27" s="1"/>
  <c r="AI51" i="27" a="1"/>
  <c r="AI51" i="27" s="1"/>
  <c r="AE52" i="27" a="1"/>
  <c r="AE52" i="27" s="1"/>
  <c r="Y47" i="27" a="1"/>
  <c r="Y47" i="27" s="1"/>
  <c r="P104" i="27" a="1"/>
  <c r="P104" i="27" s="1"/>
  <c r="Q63" i="27" a="1"/>
  <c r="Q63" i="27" s="1"/>
  <c r="AG95" i="27" a="1"/>
  <c r="AG95" i="27" s="1"/>
  <c r="M75" i="27" a="1"/>
  <c r="M75" i="27" s="1"/>
  <c r="R38" i="27" a="1"/>
  <c r="R38" i="27" s="1"/>
  <c r="T63" i="27" a="1"/>
  <c r="T63" i="27" s="1"/>
  <c r="Y55" i="27" a="1"/>
  <c r="Y55" i="27" s="1"/>
  <c r="AG79" i="27" a="1"/>
  <c r="AG79" i="27" s="1"/>
  <c r="AA52" i="27" a="1"/>
  <c r="AA52" i="27" s="1"/>
  <c r="AI43" i="27" a="1"/>
  <c r="AI43" i="27" s="1"/>
  <c r="Y35" i="27" a="1"/>
  <c r="Y35" i="27" s="1"/>
  <c r="U34" i="27" a="1"/>
  <c r="U34" i="27" s="1"/>
  <c r="V75" i="27" a="1"/>
  <c r="V75" i="27" s="1"/>
  <c r="AE15" i="27" a="1"/>
  <c r="AE15" i="27" s="1"/>
  <c r="X136" i="27" a="1"/>
  <c r="X136" i="27" s="1"/>
  <c r="AE19" i="27" a="1"/>
  <c r="AE19" i="27" s="1"/>
  <c r="AE34" i="27" a="1"/>
  <c r="AE34" i="27" s="1"/>
  <c r="AC87" i="27" a="1"/>
  <c r="AC87" i="27" s="1"/>
  <c r="AI35" i="27" a="1"/>
  <c r="AI35" i="27" s="1"/>
  <c r="R136" i="27" a="1"/>
  <c r="R136" i="27" s="1"/>
  <c r="AA11" i="27" a="1"/>
  <c r="AA11" i="27" s="1"/>
  <c r="S86" i="27" a="1"/>
  <c r="S86" i="27" s="1"/>
  <c r="AC127" i="27" a="1"/>
  <c r="AC127" i="27" s="1"/>
  <c r="AA83" i="27" a="1"/>
  <c r="AA83" i="27" s="1"/>
  <c r="AI19" i="27" a="1"/>
  <c r="AI19" i="27" s="1"/>
  <c r="N52" i="27" a="1"/>
  <c r="N52" i="27" s="1"/>
  <c r="P79" i="27" a="1"/>
  <c r="P79" i="27" s="1"/>
  <c r="AA23" i="27" a="1"/>
  <c r="AA23" i="27" s="1"/>
  <c r="AI39" i="27" a="1"/>
  <c r="AI39" i="27" s="1"/>
  <c r="AA55" i="27" a="1"/>
  <c r="AA55" i="27" s="1"/>
  <c r="AH123" i="27" a="1"/>
  <c r="AH123" i="27" s="1"/>
  <c r="AI83" i="27" a="1"/>
  <c r="AI83" i="27" s="1"/>
  <c r="O19" i="27" a="1"/>
  <c r="O19" i="27" s="1"/>
  <c r="Q79" i="27" a="1"/>
  <c r="Q79" i="27" s="1"/>
  <c r="Y52" i="27" a="1"/>
  <c r="Y52" i="27" s="1"/>
  <c r="M86" i="27" a="1"/>
  <c r="M86" i="27" s="1"/>
  <c r="AE43" i="27" a="1"/>
  <c r="AE43" i="27" s="1"/>
  <c r="O15" i="27" a="1"/>
  <c r="O15" i="27" s="1"/>
  <c r="M35" i="27" a="1"/>
  <c r="M35" i="27" s="1"/>
  <c r="Q37" i="27" a="1"/>
  <c r="Q37" i="27" s="1"/>
  <c r="AA108" i="27" a="1"/>
  <c r="AA108" i="27" s="1"/>
  <c r="S39" i="27" a="1"/>
  <c r="S39" i="27" s="1"/>
  <c r="AG55" i="27" a="1"/>
  <c r="AG55" i="27" s="1"/>
  <c r="W127" i="27" a="1"/>
  <c r="W127" i="27" s="1"/>
  <c r="S107" i="27" a="1"/>
  <c r="S107" i="27" s="1"/>
  <c r="AI75" i="27" a="1"/>
  <c r="AI75" i="27" s="1"/>
  <c r="Y43" i="27" a="1"/>
  <c r="Y43" i="27" s="1"/>
  <c r="M103" i="27" a="1"/>
  <c r="M103" i="27" s="1"/>
  <c r="Y108" i="27" a="1"/>
  <c r="Y108" i="27" s="1"/>
  <c r="AG62" i="27" a="1"/>
  <c r="AG62" i="27" s="1"/>
  <c r="Y63" i="27" a="1"/>
  <c r="Y63" i="27" s="1"/>
  <c r="AG75" i="27" a="1"/>
  <c r="AG75" i="27" s="1"/>
  <c r="AC30" i="27" a="1"/>
  <c r="AC30" i="27" s="1"/>
  <c r="U107" i="27" a="1"/>
  <c r="U107" i="27" s="1"/>
  <c r="Y136" i="27" a="1"/>
  <c r="Y136" i="27" s="1"/>
  <c r="Y27" i="27" a="1"/>
  <c r="Y27" i="27" s="1"/>
  <c r="S38" i="27" a="1"/>
  <c r="S38" i="27" s="1"/>
  <c r="W35" i="27" a="1"/>
  <c r="W35" i="27" s="1"/>
  <c r="M50" i="27" a="1"/>
  <c r="M50" i="27" s="1"/>
  <c r="AA85" i="27" a="1"/>
  <c r="AA85" i="27" s="1"/>
  <c r="M38" i="27" a="1"/>
  <c r="M38" i="27" s="1"/>
  <c r="Y127" i="27" a="1"/>
  <c r="Y127" i="27" s="1"/>
  <c r="U136" i="27" a="1"/>
  <c r="U136" i="27" s="1"/>
  <c r="Y71" i="27" a="1"/>
  <c r="Y71" i="27" s="1"/>
  <c r="AC50" i="27" a="1"/>
  <c r="AC50" i="27" s="1"/>
  <c r="AG18" i="27" a="1"/>
  <c r="AG18" i="27" s="1"/>
  <c r="O63" i="27" a="1"/>
  <c r="O63" i="27" s="1"/>
  <c r="R50" i="27" a="1"/>
  <c r="R50" i="27" s="1"/>
  <c r="Q119" i="27" a="1"/>
  <c r="Q119" i="27" s="1"/>
  <c r="AC123" i="27" a="1"/>
  <c r="AC123" i="27" s="1"/>
  <c r="O27" i="27" a="1"/>
  <c r="O27" i="27" s="1"/>
  <c r="AI95" i="27" a="1"/>
  <c r="AI95" i="27" s="1"/>
  <c r="AE35" i="27" a="1"/>
  <c r="AE35" i="27" s="1"/>
  <c r="S136" i="27" a="1"/>
  <c r="S136" i="27" s="1"/>
  <c r="AC75" i="27" a="1"/>
  <c r="AC75" i="27" s="1"/>
  <c r="O30" i="27" a="1"/>
  <c r="O30" i="27" s="1"/>
  <c r="S50" i="27" a="1"/>
  <c r="S50" i="27" s="1"/>
  <c r="BJ135" i="27"/>
  <c r="BH135" i="27" s="1"/>
  <c r="R61" i="27" a="1"/>
  <c r="R61" i="27" s="1"/>
  <c r="L61" i="27" a="1"/>
  <c r="L61" i="27" s="1"/>
  <c r="R81" i="27" a="1"/>
  <c r="R81" i="27" s="1"/>
  <c r="BJ99" i="27"/>
  <c r="BL99" i="27" s="1"/>
  <c r="M61" i="27" a="1"/>
  <c r="M61" i="27" s="1"/>
  <c r="M44" i="27" a="1"/>
  <c r="M44" i="27" s="1"/>
  <c r="Y61" i="27" a="1"/>
  <c r="Y61" i="27" s="1"/>
  <c r="V81" i="27" a="1"/>
  <c r="V81" i="27" s="1"/>
  <c r="V44" i="27" a="1"/>
  <c r="V44" i="27" s="1"/>
  <c r="AA44" i="27" a="1"/>
  <c r="AA44" i="27" s="1"/>
  <c r="W61" i="27" a="1"/>
  <c r="W61" i="27" s="1"/>
  <c r="U81" i="27" a="1"/>
  <c r="U81" i="27" s="1"/>
  <c r="Q61" i="27" a="1"/>
  <c r="Q61" i="27" s="1"/>
  <c r="O81" i="27" a="1"/>
  <c r="O81" i="27" s="1"/>
  <c r="Z44" i="27" a="1"/>
  <c r="Z44" i="27" s="1"/>
  <c r="BJ74" i="27"/>
  <c r="BL74" i="27" s="1"/>
  <c r="AF44" i="27" a="1"/>
  <c r="AF44" i="27" s="1"/>
  <c r="P61" i="27" a="1"/>
  <c r="P61" i="27" s="1"/>
  <c r="N81" i="27" a="1"/>
  <c r="N81" i="27" s="1"/>
  <c r="AA61" i="27" a="1"/>
  <c r="AA61" i="27" s="1"/>
  <c r="R44" i="27" a="1"/>
  <c r="R44" i="27" s="1"/>
  <c r="V61" i="27" a="1"/>
  <c r="V61" i="27" s="1"/>
  <c r="AA81" i="27" a="1"/>
  <c r="AA81" i="27" s="1"/>
  <c r="W37" i="27" a="1"/>
  <c r="W37" i="27" s="1"/>
  <c r="Q19" i="27" a="1"/>
  <c r="Q19" i="27" s="1"/>
  <c r="AD103" i="27" a="1"/>
  <c r="AD103" i="27" s="1"/>
  <c r="AE50" i="27" a="1"/>
  <c r="AE50" i="27" s="1"/>
  <c r="AE75" i="27" a="1"/>
  <c r="AE75" i="27" s="1"/>
  <c r="Y86" i="27" a="1"/>
  <c r="Y86" i="27" s="1"/>
  <c r="AA136" i="27" a="1"/>
  <c r="AA136" i="27" s="1"/>
  <c r="O86" i="27" a="1"/>
  <c r="O86" i="27" s="1"/>
  <c r="AF43" i="27" a="1"/>
  <c r="AF43" i="27" s="1"/>
  <c r="AE37" i="27" a="1"/>
  <c r="AE37" i="27" s="1"/>
  <c r="S104" i="27" a="1"/>
  <c r="S104" i="27" s="1"/>
  <c r="Z95" i="27" a="1"/>
  <c r="Z95" i="27" s="1"/>
  <c r="Q30" i="27" a="1"/>
  <c r="Q30" i="27" s="1"/>
  <c r="AE11" i="27" a="1"/>
  <c r="AE11" i="27" s="1"/>
  <c r="AG11" i="27" a="1"/>
  <c r="AG11" i="27" s="1"/>
  <c r="Q87" i="27" a="1"/>
  <c r="Q87" i="27" s="1"/>
  <c r="S52" i="27" a="1"/>
  <c r="S52" i="27" s="1"/>
  <c r="Q47" i="27" a="1"/>
  <c r="Q47" i="27" s="1"/>
  <c r="AH63" i="27" a="1"/>
  <c r="AH63" i="27" s="1"/>
  <c r="V39" i="27" a="1"/>
  <c r="V39" i="27" s="1"/>
  <c r="AD83" i="27" a="1"/>
  <c r="AD83" i="27" s="1"/>
  <c r="AC18" i="27" a="1"/>
  <c r="AC18" i="27" s="1"/>
  <c r="M27" i="27" a="1"/>
  <c r="M27" i="27" s="1"/>
  <c r="Q75" i="27" a="1"/>
  <c r="Q75" i="27" s="1"/>
  <c r="Y83" i="27" a="1"/>
  <c r="Y83" i="27" s="1"/>
  <c r="AD79" i="27" a="1"/>
  <c r="AD79" i="27" s="1"/>
  <c r="S43" i="27" a="1"/>
  <c r="S43" i="27" s="1"/>
  <c r="U103" i="27" a="1"/>
  <c r="U103" i="27" s="1"/>
  <c r="S23" i="27" a="1"/>
  <c r="S23" i="27" s="1"/>
  <c r="W108" i="27" a="1"/>
  <c r="W108" i="27" s="1"/>
  <c r="AF31" i="27" a="1"/>
  <c r="AF31" i="27" s="1"/>
  <c r="AD127" i="27" a="1"/>
  <c r="AD127" i="27" s="1"/>
  <c r="AH108" i="27" a="1"/>
  <c r="AH108" i="27" s="1"/>
  <c r="W136" i="27" a="1"/>
  <c r="W136" i="27" s="1"/>
  <c r="W86" i="27" a="1"/>
  <c r="W86" i="27" s="1"/>
  <c r="AE103" i="27" a="1"/>
  <c r="AE103" i="27" s="1"/>
  <c r="V108" i="27" a="1"/>
  <c r="V108" i="27" s="1"/>
  <c r="AA79" i="27" a="1"/>
  <c r="AA79" i="27" s="1"/>
  <c r="AI47" i="27" a="1"/>
  <c r="AI47" i="27" s="1"/>
  <c r="AG35" i="27" a="1"/>
  <c r="AG35" i="27" s="1"/>
  <c r="L62" i="27" a="1"/>
  <c r="L62" i="27" s="1"/>
  <c r="AA63" i="27" a="1"/>
  <c r="AA63" i="27" s="1"/>
  <c r="AC38" i="27" a="1"/>
  <c r="AC38" i="27" s="1"/>
  <c r="N51" i="27" a="1"/>
  <c r="N51" i="27" s="1"/>
  <c r="AA86" i="27" a="1"/>
  <c r="AA86" i="27" s="1"/>
  <c r="AA50" i="27" a="1"/>
  <c r="AA50" i="27" s="1"/>
  <c r="AC95" i="27" a="1"/>
  <c r="AC95" i="27" s="1"/>
  <c r="AE30" i="27" a="1"/>
  <c r="AE30" i="27" s="1"/>
  <c r="U31" i="27" a="1"/>
  <c r="U31" i="27" s="1"/>
  <c r="W19" i="27" a="1"/>
  <c r="W19" i="27" s="1"/>
  <c r="Q51" i="27" a="1"/>
  <c r="Q51" i="27" s="1"/>
  <c r="U52" i="27" a="1"/>
  <c r="U52" i="27" s="1"/>
  <c r="O47" i="27" a="1"/>
  <c r="O47" i="27" s="1"/>
  <c r="AA43" i="27" a="1"/>
  <c r="AA43" i="27" s="1"/>
  <c r="AG15" i="27" a="1"/>
  <c r="AG15" i="27" s="1"/>
  <c r="Y103" i="27" a="1"/>
  <c r="Y103" i="27" s="1"/>
  <c r="Q34" i="27" a="1"/>
  <c r="Q34" i="27" s="1"/>
  <c r="S108" i="27" a="1"/>
  <c r="S108" i="27" s="1"/>
  <c r="O71" i="27" a="1"/>
  <c r="O71" i="27" s="1"/>
  <c r="M30" i="27" a="1"/>
  <c r="M30" i="27" s="1"/>
  <c r="AC83" i="27" a="1"/>
  <c r="AC83" i="27" s="1"/>
  <c r="AA35" i="27" a="1"/>
  <c r="AA35" i="27" s="1"/>
  <c r="AE108" i="27" a="1"/>
  <c r="AE108" i="27" s="1"/>
  <c r="AA18" i="27" a="1"/>
  <c r="AA18" i="27" s="1"/>
  <c r="Y39" i="27" a="1"/>
  <c r="Y39" i="27" s="1"/>
  <c r="Y30" i="27" a="1"/>
  <c r="Y30" i="27" s="1"/>
  <c r="Y15" i="27" a="1"/>
  <c r="Y15" i="27" s="1"/>
  <c r="S34" i="27" a="1"/>
  <c r="S34" i="27" s="1"/>
  <c r="Q104" i="27" a="1"/>
  <c r="Q104" i="27" s="1"/>
  <c r="U63" i="27" a="1"/>
  <c r="U63" i="27" s="1"/>
  <c r="M39" i="27" a="1"/>
  <c r="M39" i="27" s="1"/>
  <c r="AI85" i="27" a="1"/>
  <c r="AI85" i="27" s="1"/>
  <c r="Y37" i="27" a="1"/>
  <c r="Y37" i="27" s="1"/>
  <c r="M108" i="27" a="1"/>
  <c r="M108" i="27" s="1"/>
  <c r="AG71" i="27" a="1"/>
  <c r="AG71" i="27" s="1"/>
  <c r="O123" i="27" a="1"/>
  <c r="O123" i="27" s="1"/>
  <c r="AC63" i="27" a="1"/>
  <c r="AC63" i="27" s="1"/>
  <c r="S75" i="27" a="1"/>
  <c r="S75" i="27" s="1"/>
  <c r="O107" i="27" a="1"/>
  <c r="O107" i="27" s="1"/>
  <c r="S18" i="27" a="1"/>
  <c r="S18" i="27" s="1"/>
  <c r="Q31" i="27" a="1"/>
  <c r="Q31" i="27" s="1"/>
  <c r="S85" i="27" a="1"/>
  <c r="S85" i="27" s="1"/>
  <c r="S55" i="27" a="1"/>
  <c r="S55" i="27" s="1"/>
  <c r="AC103" i="27" a="1"/>
  <c r="AC103" i="27" s="1"/>
  <c r="AA71" i="27" a="1"/>
  <c r="AA71" i="27" s="1"/>
  <c r="AI104" i="27" a="1"/>
  <c r="AI104" i="27" s="1"/>
  <c r="AI119" i="27" a="1"/>
  <c r="AI119" i="27" s="1"/>
  <c r="W27" i="27" a="1"/>
  <c r="W27" i="27" s="1"/>
  <c r="AC104" i="27" a="1"/>
  <c r="AC104" i="27" s="1"/>
  <c r="AG119" i="27" a="1"/>
  <c r="AG119" i="27" s="1"/>
  <c r="W123" i="27" a="1"/>
  <c r="W123" i="27" s="1"/>
  <c r="AA30" i="27" a="1"/>
  <c r="AA30" i="27" s="1"/>
  <c r="Y131" i="27" a="1"/>
  <c r="Y131" i="27" s="1"/>
  <c r="Y107" i="27" a="1"/>
  <c r="Y107" i="27" s="1"/>
  <c r="AE83" i="27" a="1"/>
  <c r="AE83" i="27" s="1"/>
  <c r="AE91" i="27" a="1"/>
  <c r="AE91" i="27" s="1"/>
  <c r="AG104" i="27" a="1"/>
  <c r="AG104" i="27" s="1"/>
  <c r="U83" i="27" a="1"/>
  <c r="U83" i="27" s="1"/>
  <c r="BJ45" i="27"/>
  <c r="BL45" i="27" s="1"/>
  <c r="BP45" i="27" s="1"/>
  <c r="BO96" i="27"/>
  <c r="BN96" i="27"/>
  <c r="BJ8" i="27"/>
  <c r="BL8" i="27" s="1"/>
  <c r="BO8" i="27" s="1"/>
  <c r="AB7" i="27" a="1"/>
  <c r="AB7" i="27" s="1"/>
  <c r="Y7" i="27" a="1"/>
  <c r="Y7" i="27" s="1"/>
  <c r="AG7" i="27" a="1"/>
  <c r="AG7" i="27" s="1"/>
  <c r="S7" i="27" a="1"/>
  <c r="S7" i="27" s="1"/>
  <c r="U7" i="27" a="1"/>
  <c r="U7" i="27" s="1"/>
  <c r="AA7" i="27" a="1"/>
  <c r="AA7" i="27" s="1"/>
  <c r="AE7" i="27" a="1"/>
  <c r="AE7" i="27" s="1"/>
  <c r="AD7" i="27" a="1"/>
  <c r="AD7" i="27" s="1"/>
  <c r="Z7" i="27" a="1"/>
  <c r="Z7" i="27" s="1"/>
  <c r="V7" i="27" a="1"/>
  <c r="V7" i="27" s="1"/>
  <c r="T7" i="27" a="1"/>
  <c r="T7" i="27" s="1"/>
  <c r="AH7" i="27" a="1"/>
  <c r="AH7" i="27" s="1"/>
  <c r="X7" i="27" a="1"/>
  <c r="X7" i="27" s="1"/>
  <c r="W7" i="27" a="1"/>
  <c r="W7" i="27" s="1"/>
  <c r="N7" i="27" a="1"/>
  <c r="N7" i="27" s="1"/>
  <c r="P7" i="27" a="1"/>
  <c r="P7" i="27" s="1"/>
  <c r="AF7" i="27" a="1"/>
  <c r="AF7" i="27" s="1"/>
  <c r="AC7" i="27" a="1"/>
  <c r="AC7" i="27" s="1"/>
  <c r="R7" i="27" a="1"/>
  <c r="R7" i="27" s="1"/>
  <c r="AI7" i="27" a="1"/>
  <c r="AI7" i="27" s="1"/>
  <c r="O7" i="27" a="1"/>
  <c r="O7" i="27" s="1"/>
  <c r="Q7" i="27" a="1"/>
  <c r="Q7" i="27" s="1"/>
  <c r="M7" i="27" a="1"/>
  <c r="M7" i="27" s="1"/>
  <c r="N6" i="12" l="1"/>
  <c r="Z6" i="12" s="1"/>
  <c r="N57" i="12"/>
  <c r="Z57" i="12" s="1"/>
  <c r="N99" i="30"/>
  <c r="N109" i="12"/>
  <c r="Z109" i="12" s="1"/>
  <c r="M42" i="30"/>
  <c r="N6" i="30"/>
  <c r="Z6" i="30" s="1"/>
  <c r="N43" i="30"/>
  <c r="Z43" i="30" s="1"/>
  <c r="BN8" i="27"/>
  <c r="M42" i="12"/>
  <c r="N72" i="30"/>
  <c r="Z72" i="30" s="1"/>
  <c r="N68" i="30"/>
  <c r="Z68" i="30" s="1"/>
  <c r="N57" i="30"/>
  <c r="Z57" i="30" s="1"/>
  <c r="N72" i="12"/>
  <c r="Z72" i="12" s="1"/>
  <c r="N97" i="12"/>
  <c r="Z97" i="12" s="1"/>
  <c r="N65" i="12"/>
  <c r="Z65" i="12" s="1"/>
  <c r="N68" i="12"/>
  <c r="Z68" i="12" s="1"/>
  <c r="N43" i="12"/>
  <c r="Z43" i="12" s="1"/>
  <c r="N97" i="30"/>
  <c r="Z97" i="30" s="1"/>
  <c r="N65" i="30"/>
  <c r="Z65" i="30" s="1"/>
  <c r="M59" i="12"/>
  <c r="F59" i="12"/>
  <c r="L59" i="12" s="1"/>
  <c r="M59" i="30"/>
  <c r="F59" i="30"/>
  <c r="L59" i="30" s="1"/>
  <c r="F129" i="12"/>
  <c r="F129" i="30"/>
  <c r="BO59" i="27"/>
  <c r="F102" i="12"/>
  <c r="F102" i="30"/>
  <c r="F9" i="12"/>
  <c r="F9" i="30"/>
  <c r="F50" i="12"/>
  <c r="F50" i="30"/>
  <c r="N99" i="12"/>
  <c r="N113" i="12"/>
  <c r="Z113" i="12" s="1"/>
  <c r="F42" i="12"/>
  <c r="L42" i="12" s="1"/>
  <c r="M79" i="12"/>
  <c r="F79" i="12"/>
  <c r="L79" i="12" s="1"/>
  <c r="M79" i="30"/>
  <c r="F79" i="30"/>
  <c r="L79" i="30" s="1"/>
  <c r="F93" i="12"/>
  <c r="F93" i="30"/>
  <c r="F53" i="12"/>
  <c r="F53" i="30"/>
  <c r="N109" i="30"/>
  <c r="Z109" i="30" s="1"/>
  <c r="N113" i="30"/>
  <c r="Z113" i="30" s="1"/>
  <c r="F42" i="30"/>
  <c r="L42" i="30" s="1"/>
  <c r="N52" i="12"/>
  <c r="Z52" i="12" s="1"/>
  <c r="F61" i="12"/>
  <c r="F61" i="30"/>
  <c r="N52" i="30"/>
  <c r="Z52" i="30" s="1"/>
  <c r="BJ44" i="27"/>
  <c r="BL44" i="27" s="1"/>
  <c r="BN44" i="27" s="1"/>
  <c r="AH13" i="27" a="1"/>
  <c r="AH13" i="27" s="1"/>
  <c r="AF82" i="27" a="1"/>
  <c r="AF82" i="27" s="1"/>
  <c r="L26" i="27" a="1"/>
  <c r="L26" i="27" s="1"/>
  <c r="R42" i="27" a="1"/>
  <c r="R42" i="27" s="1"/>
  <c r="P89" i="27" a="1"/>
  <c r="P89" i="27" s="1"/>
  <c r="AI22" i="27" a="1"/>
  <c r="AI22" i="27" s="1"/>
  <c r="Z122" i="27" a="1"/>
  <c r="Z122" i="27" s="1"/>
  <c r="AH137" i="27" a="1"/>
  <c r="AH137" i="27" s="1"/>
  <c r="L139" i="27" a="1"/>
  <c r="L139" i="27" s="1"/>
  <c r="U76" i="27" a="1"/>
  <c r="U76" i="27" s="1"/>
  <c r="T60" i="27" a="1"/>
  <c r="T60" i="27" s="1"/>
  <c r="AB126" i="27" a="1"/>
  <c r="AB126" i="27" s="1"/>
  <c r="AI25" i="27" a="1"/>
  <c r="AI25" i="27" s="1"/>
  <c r="L138" i="27" a="1"/>
  <c r="L138" i="27" s="1"/>
  <c r="AC112" i="27" a="1"/>
  <c r="AC112" i="27" s="1"/>
  <c r="L122" i="27" a="1"/>
  <c r="L122" i="27" s="1"/>
  <c r="T129" i="27" a="1"/>
  <c r="T129" i="27" s="1"/>
  <c r="AD65" i="27" a="1"/>
  <c r="AD65" i="27" s="1"/>
  <c r="AD10" i="27" a="1"/>
  <c r="AD10" i="27" s="1"/>
  <c r="AD68" i="27" a="1"/>
  <c r="AD68" i="27" s="1"/>
  <c r="L48" i="27" a="1"/>
  <c r="L48" i="27" s="1"/>
  <c r="Z32" i="27" a="1"/>
  <c r="Z32" i="27" s="1"/>
  <c r="V14" i="27" a="1"/>
  <c r="V14" i="27" s="1"/>
  <c r="U26" i="27" a="1"/>
  <c r="U26" i="27" s="1"/>
  <c r="S137" i="27" a="1"/>
  <c r="S137" i="27" s="1"/>
  <c r="V139" i="27" a="1"/>
  <c r="V139" i="27" s="1"/>
  <c r="N89" i="27" a="1"/>
  <c r="N89" i="27" s="1"/>
  <c r="AB93" i="27" a="1"/>
  <c r="AB93" i="27" s="1"/>
  <c r="U126" i="27" a="1"/>
  <c r="U126" i="27" s="1"/>
  <c r="Z114" i="27" a="1"/>
  <c r="Z114" i="27" s="1"/>
  <c r="AH22" i="27" a="1"/>
  <c r="AH22" i="27" s="1"/>
  <c r="R130" i="27" a="1"/>
  <c r="R130" i="27" s="1"/>
  <c r="U112" i="27" a="1"/>
  <c r="U112" i="27" s="1"/>
  <c r="AB114" i="27" a="1"/>
  <c r="AB114" i="27" s="1"/>
  <c r="AF17" i="27" a="1"/>
  <c r="AF17" i="27" s="1"/>
  <c r="T128" i="27" a="1"/>
  <c r="T128" i="27" s="1"/>
  <c r="L10" i="27" a="1"/>
  <c r="L10" i="27" s="1"/>
  <c r="AC26" i="27" a="1"/>
  <c r="AC26" i="27" s="1"/>
  <c r="AG114" i="27" a="1"/>
  <c r="AG114" i="27" s="1"/>
  <c r="AA129" i="27" a="1"/>
  <c r="AA129" i="27" s="1"/>
  <c r="Y48" i="27" a="1"/>
  <c r="Y48" i="27" s="1"/>
  <c r="AD24" i="27" a="1"/>
  <c r="AD24" i="27" s="1"/>
  <c r="X29" i="27" a="1"/>
  <c r="X29" i="27" s="1"/>
  <c r="T56" i="27" a="1"/>
  <c r="T56" i="27" s="1"/>
  <c r="AE58" i="27" a="1"/>
  <c r="AE58" i="27" s="1"/>
  <c r="T10" i="27" a="1"/>
  <c r="T10" i="27" s="1"/>
  <c r="L105" i="27" a="1"/>
  <c r="L105" i="27" s="1"/>
  <c r="L22" i="27" a="1"/>
  <c r="L22" i="27" s="1"/>
  <c r="AE93" i="27" a="1"/>
  <c r="AE93" i="27" s="1"/>
  <c r="Q53" i="27" a="1"/>
  <c r="Q53" i="27" s="1"/>
  <c r="AG102" i="27" a="1"/>
  <c r="AG102" i="27" s="1"/>
  <c r="AI90" i="27" a="1"/>
  <c r="AI90" i="27" s="1"/>
  <c r="R24" i="27" a="1"/>
  <c r="R24" i="27" s="1"/>
  <c r="N46" i="27" a="1"/>
  <c r="N46" i="27" s="1"/>
  <c r="X130" i="27" a="1"/>
  <c r="X130" i="27" s="1"/>
  <c r="Z65" i="27" a="1"/>
  <c r="Z65" i="27" s="1"/>
  <c r="X68" i="27" a="1"/>
  <c r="X68" i="27" s="1"/>
  <c r="T29" i="27" a="1"/>
  <c r="T29" i="27" s="1"/>
  <c r="AH56" i="27" a="1"/>
  <c r="AH56" i="27" s="1"/>
  <c r="AG82" i="27" a="1"/>
  <c r="AG82" i="27" s="1"/>
  <c r="N22" i="27" a="1"/>
  <c r="N22" i="27" s="1"/>
  <c r="AI112" i="27" a="1"/>
  <c r="AI112" i="27" s="1"/>
  <c r="AH89" i="27" a="1"/>
  <c r="AH89" i="27" s="1"/>
  <c r="AF125" i="27" a="1"/>
  <c r="AF125" i="27" s="1"/>
  <c r="R53" i="27" a="1"/>
  <c r="R53" i="27" s="1"/>
  <c r="L28" i="27" a="1"/>
  <c r="L28" i="27" s="1"/>
  <c r="P68" i="27" a="1"/>
  <c r="P68" i="27" s="1"/>
  <c r="AE68" i="27" a="1"/>
  <c r="AE68" i="27" s="1"/>
  <c r="Z24" i="27" a="1"/>
  <c r="Z24" i="27" s="1"/>
  <c r="AF42" i="27" a="1"/>
  <c r="AF42" i="27" s="1"/>
  <c r="W13" i="27" a="1"/>
  <c r="W13" i="27" s="1"/>
  <c r="W114" i="27" a="1"/>
  <c r="W114" i="27" s="1"/>
  <c r="L89" i="27" a="1"/>
  <c r="L89" i="27" s="1"/>
  <c r="Q14" i="27" a="1"/>
  <c r="Q14" i="27" s="1"/>
  <c r="AI129" i="27" a="1"/>
  <c r="AI129" i="27" s="1"/>
  <c r="W128" i="27" a="1"/>
  <c r="W128" i="27" s="1"/>
  <c r="AI93" i="27" a="1"/>
  <c r="AI93" i="27" s="1"/>
  <c r="Z53" i="27" a="1"/>
  <c r="Z53" i="27" s="1"/>
  <c r="AH90" i="27" a="1"/>
  <c r="AH90" i="27" s="1"/>
  <c r="AA137" i="27" a="1"/>
  <c r="AA137" i="27" s="1"/>
  <c r="W120" i="27" a="1"/>
  <c r="W120" i="27" s="1"/>
  <c r="AA76" i="27" a="1"/>
  <c r="AA76" i="27" s="1"/>
  <c r="W122" i="27" a="1"/>
  <c r="W122" i="27" s="1"/>
  <c r="S130" i="27" a="1"/>
  <c r="S130" i="27" s="1"/>
  <c r="AB56" i="27" a="1"/>
  <c r="AB56" i="27" s="1"/>
  <c r="Z12" i="27" a="1"/>
  <c r="Z12" i="27" s="1"/>
  <c r="W117" i="27" a="1"/>
  <c r="W117" i="27" s="1"/>
  <c r="N16" i="27" a="1"/>
  <c r="N16" i="27" s="1"/>
  <c r="Y16" i="27" a="1"/>
  <c r="Y16" i="27" s="1"/>
  <c r="R20" i="27" a="1"/>
  <c r="R20" i="27" s="1"/>
  <c r="U132" i="27" a="1"/>
  <c r="U132" i="27" s="1"/>
  <c r="AD49" i="27" a="1"/>
  <c r="AD49" i="27" s="1"/>
  <c r="M20" i="27" a="1"/>
  <c r="M20" i="27" s="1"/>
  <c r="W113" i="27" a="1"/>
  <c r="W113" i="27" s="1"/>
  <c r="AF118" i="27" a="1"/>
  <c r="AF118" i="27" s="1"/>
  <c r="AH117" i="27" a="1"/>
  <c r="AH117" i="27" s="1"/>
  <c r="O49" i="27" a="1"/>
  <c r="O49" i="27" s="1"/>
  <c r="W72" i="27" a="1"/>
  <c r="W72" i="27" s="1"/>
  <c r="AE117" i="27" a="1"/>
  <c r="AE117" i="27" s="1"/>
  <c r="Q118" i="27" a="1"/>
  <c r="Q118" i="27" s="1"/>
  <c r="AG117" i="27" a="1"/>
  <c r="AG117" i="27" s="1"/>
  <c r="X117" i="27" a="1"/>
  <c r="X117" i="27" s="1"/>
  <c r="V16" i="27" a="1"/>
  <c r="V16" i="27" s="1"/>
  <c r="N132" i="27" a="1"/>
  <c r="N132" i="27" s="1"/>
  <c r="T121" i="27" a="1"/>
  <c r="T121" i="27" s="1"/>
  <c r="AD117" i="27" a="1"/>
  <c r="AD117" i="27" s="1"/>
  <c r="S49" i="27" a="1"/>
  <c r="S49" i="27" s="1"/>
  <c r="AG16" i="27" a="1"/>
  <c r="AG16" i="27" s="1"/>
  <c r="T118" i="27" a="1"/>
  <c r="T118" i="27" s="1"/>
  <c r="X66" i="27" a="1"/>
  <c r="X66" i="27" s="1"/>
  <c r="AE121" i="27" a="1"/>
  <c r="AE121" i="27" s="1"/>
  <c r="L132" i="27" a="1"/>
  <c r="L132" i="27" s="1"/>
  <c r="P20" i="27" a="1"/>
  <c r="P20" i="27" s="1"/>
  <c r="M72" i="27" a="1"/>
  <c r="M72" i="27" s="1"/>
  <c r="L16" i="27" a="1"/>
  <c r="L16" i="27" s="1"/>
  <c r="X118" i="27" a="1"/>
  <c r="X118" i="27" s="1"/>
  <c r="AH40" i="27" a="1"/>
  <c r="AH40" i="27" s="1"/>
  <c r="S117" i="27" a="1"/>
  <c r="S117" i="27" s="1"/>
  <c r="V20" i="27" a="1"/>
  <c r="V20" i="27" s="1"/>
  <c r="U40" i="27" a="1"/>
  <c r="U40" i="27" s="1"/>
  <c r="T72" i="27" a="1"/>
  <c r="T72" i="27" s="1"/>
  <c r="AC118" i="27" a="1"/>
  <c r="AC118" i="27" s="1"/>
  <c r="Z121" i="27" a="1"/>
  <c r="Z121" i="27" s="1"/>
  <c r="W16" i="27" a="1"/>
  <c r="W16" i="27" s="1"/>
  <c r="AI117" i="27" a="1"/>
  <c r="AI117" i="27" s="1"/>
  <c r="L118" i="27" a="1"/>
  <c r="L118" i="27" s="1"/>
  <c r="AA112" i="27" a="1"/>
  <c r="AA112" i="27" s="1"/>
  <c r="AG14" i="27" a="1"/>
  <c r="AG14" i="27" s="1"/>
  <c r="S89" i="27" a="1"/>
  <c r="S89" i="27" s="1"/>
  <c r="AI122" i="27" a="1"/>
  <c r="AI122" i="27" s="1"/>
  <c r="AD28" i="27" a="1"/>
  <c r="AD28" i="27" s="1"/>
  <c r="AC138" i="27" a="1"/>
  <c r="AC138" i="27" s="1"/>
  <c r="AA53" i="27" a="1"/>
  <c r="AA53" i="27" s="1"/>
  <c r="V112" i="27" a="1"/>
  <c r="V112" i="27" s="1"/>
  <c r="AF60" i="27" a="1"/>
  <c r="AF60" i="27" s="1"/>
  <c r="O126" i="27" a="1"/>
  <c r="O126" i="27" s="1"/>
  <c r="L130" i="27" a="1"/>
  <c r="L130" i="27" s="1"/>
  <c r="AB92" i="27" a="1"/>
  <c r="AB92" i="27" s="1"/>
  <c r="AE12" i="27" a="1"/>
  <c r="AE12" i="27" s="1"/>
  <c r="AE89" i="27" a="1"/>
  <c r="AE89" i="27" s="1"/>
  <c r="U129" i="27" a="1"/>
  <c r="U129" i="27" s="1"/>
  <c r="O53" i="27" a="1"/>
  <c r="O53" i="27" s="1"/>
  <c r="AD94" i="27" a="1"/>
  <c r="AD94" i="27" s="1"/>
  <c r="X13" i="27" a="1"/>
  <c r="X13" i="27" s="1"/>
  <c r="AI14" i="27" a="1"/>
  <c r="AI14" i="27" s="1"/>
  <c r="Q10" i="27" a="1"/>
  <c r="Q10" i="27" s="1"/>
  <c r="AI53" i="27" a="1"/>
  <c r="AI53" i="27" s="1"/>
  <c r="W133" i="27" a="1"/>
  <c r="W133" i="27" s="1"/>
  <c r="AA26" i="27" a="1"/>
  <c r="AA26" i="27" s="1"/>
  <c r="Y26" i="27" a="1"/>
  <c r="Y26" i="27" s="1"/>
  <c r="W56" i="27" a="1"/>
  <c r="W56" i="27" s="1"/>
  <c r="Z126" i="27" a="1"/>
  <c r="Z126" i="27" s="1"/>
  <c r="AH17" i="27" a="1"/>
  <c r="AH17" i="27" s="1"/>
  <c r="L32" i="27" a="1"/>
  <c r="L32" i="27" s="1"/>
  <c r="S28" i="27" a="1"/>
  <c r="S28" i="27" s="1"/>
  <c r="R89" i="27" a="1"/>
  <c r="R89" i="27" s="1"/>
  <c r="T139" i="27" a="1"/>
  <c r="T139" i="27" s="1"/>
  <c r="Q89" i="27" a="1"/>
  <c r="Q89" i="27" s="1"/>
  <c r="AA105" i="27" a="1"/>
  <c r="AA105" i="27" s="1"/>
  <c r="AH60" i="27" a="1"/>
  <c r="AH60" i="27" s="1"/>
  <c r="Q26" i="27" a="1"/>
  <c r="Q26" i="27" s="1"/>
  <c r="AD122" i="27" a="1"/>
  <c r="AD122" i="27" s="1"/>
  <c r="T14" i="27" a="1"/>
  <c r="T14" i="27" s="1"/>
  <c r="T133" i="27" a="1"/>
  <c r="T133" i="27" s="1"/>
  <c r="AH112" i="27" a="1"/>
  <c r="AH112" i="27" s="1"/>
  <c r="T126" i="27" a="1"/>
  <c r="T126" i="27" s="1"/>
  <c r="P112" i="27" a="1"/>
  <c r="P112" i="27" s="1"/>
  <c r="M102" i="27" a="1"/>
  <c r="M102" i="27" s="1"/>
  <c r="AG68" i="27" a="1"/>
  <c r="AG68" i="27" s="1"/>
  <c r="L76" i="27" a="1"/>
  <c r="L76" i="27" s="1"/>
  <c r="X32" i="27" a="1"/>
  <c r="X32" i="27" s="1"/>
  <c r="N28" i="27" a="1"/>
  <c r="N28" i="27" s="1"/>
  <c r="P12" i="27" a="1"/>
  <c r="P12" i="27" s="1"/>
  <c r="N139" i="27" a="1"/>
  <c r="N139" i="27" s="1"/>
  <c r="AI116" i="27" a="1"/>
  <c r="AI116" i="27" s="1"/>
  <c r="V10" i="27" a="1"/>
  <c r="V10" i="27" s="1"/>
  <c r="T110" i="27" a="1"/>
  <c r="T110" i="27" s="1"/>
  <c r="M92" i="27" a="1"/>
  <c r="M92" i="27" s="1"/>
  <c r="T12" i="27" a="1"/>
  <c r="T12" i="27" s="1"/>
  <c r="AE32" i="27" a="1"/>
  <c r="AE32" i="27" s="1"/>
  <c r="AC17" i="27" a="1"/>
  <c r="AC17" i="27" s="1"/>
  <c r="X42" i="27" a="1"/>
  <c r="X42" i="27" s="1"/>
  <c r="U98" i="27" a="1"/>
  <c r="U98" i="27" s="1"/>
  <c r="T112" i="27" a="1"/>
  <c r="T112" i="27" s="1"/>
  <c r="X56" i="27" a="1"/>
  <c r="X56" i="27" s="1"/>
  <c r="V65" i="27" a="1"/>
  <c r="V65" i="27" s="1"/>
  <c r="T90" i="27" a="1"/>
  <c r="T90" i="27" s="1"/>
  <c r="AI26" i="27" a="1"/>
  <c r="AI26" i="27" s="1"/>
  <c r="AB110" i="27" a="1"/>
  <c r="AB110" i="27" s="1"/>
  <c r="O65" i="27" a="1"/>
  <c r="O65" i="27" s="1"/>
  <c r="Y90" i="27" a="1"/>
  <c r="Y90" i="27" s="1"/>
  <c r="AC24" i="27" a="1"/>
  <c r="AC24" i="27" s="1"/>
  <c r="U137" i="27" a="1"/>
  <c r="U137" i="27" s="1"/>
  <c r="AC137" i="27" a="1"/>
  <c r="AC137" i="27" s="1"/>
  <c r="Y102" i="27" a="1"/>
  <c r="Y102" i="27" s="1"/>
  <c r="AI56" i="27" a="1"/>
  <c r="AI56" i="27" s="1"/>
  <c r="T80" i="27" a="1"/>
  <c r="T80" i="27" s="1"/>
  <c r="O10" i="27" a="1"/>
  <c r="O10" i="27" s="1"/>
  <c r="W64" i="27" a="1"/>
  <c r="W64" i="27" s="1"/>
  <c r="AG106" i="27" a="1"/>
  <c r="AG106" i="27" s="1"/>
  <c r="V36" i="27" a="1"/>
  <c r="V36" i="27" s="1"/>
  <c r="N100" i="27" a="1"/>
  <c r="N100" i="27" s="1"/>
  <c r="AH32" i="27" a="1"/>
  <c r="AH32" i="27" s="1"/>
  <c r="AA60" i="27" a="1"/>
  <c r="AA60" i="27" s="1"/>
  <c r="AA58" i="27" a="1"/>
  <c r="AA58" i="27" s="1"/>
  <c r="AB138" i="27" a="1"/>
  <c r="AB138" i="27" s="1"/>
  <c r="AH14" i="27" a="1"/>
  <c r="AH14" i="27" s="1"/>
  <c r="Z133" i="27" a="1"/>
  <c r="Z133" i="27" s="1"/>
  <c r="Q65" i="27" a="1"/>
  <c r="Q65" i="27" s="1"/>
  <c r="AE138" i="27" a="1"/>
  <c r="AE138" i="27" s="1"/>
  <c r="AF106" i="27" a="1"/>
  <c r="AF106" i="27" s="1"/>
  <c r="AI133" i="27" a="1"/>
  <c r="AI133" i="27" s="1"/>
  <c r="AC46" i="27" a="1"/>
  <c r="AC46" i="27" s="1"/>
  <c r="T76" i="27" a="1"/>
  <c r="T76" i="27" s="1"/>
  <c r="AI138" i="27" a="1"/>
  <c r="AI138" i="27" s="1"/>
  <c r="Y128" i="27" a="1"/>
  <c r="Y128" i="27" s="1"/>
  <c r="U10" i="27" a="1"/>
  <c r="U10" i="27" s="1"/>
  <c r="AA36" i="27" a="1"/>
  <c r="AA36" i="27" s="1"/>
  <c r="AF129" i="27" a="1"/>
  <c r="AF129" i="27" s="1"/>
  <c r="R46" i="27" a="1"/>
  <c r="R46" i="27" s="1"/>
  <c r="AB66" i="27" a="1"/>
  <c r="AB66" i="27" s="1"/>
  <c r="X20" i="27" a="1"/>
  <c r="X20" i="27" s="1"/>
  <c r="AI16" i="27" a="1"/>
  <c r="AI16" i="27" s="1"/>
  <c r="AI132" i="27" a="1"/>
  <c r="AI132" i="27" s="1"/>
  <c r="S16" i="27" a="1"/>
  <c r="S16" i="27" s="1"/>
  <c r="M49" i="27" a="1"/>
  <c r="M49" i="27" s="1"/>
  <c r="AB132" i="27" a="1"/>
  <c r="AB132" i="27" s="1"/>
  <c r="Z132" i="27" a="1"/>
  <c r="Z132" i="27" s="1"/>
  <c r="O113" i="27" a="1"/>
  <c r="O113" i="27" s="1"/>
  <c r="V49" i="27" a="1"/>
  <c r="V49" i="27" s="1"/>
  <c r="Y117" i="27" a="1"/>
  <c r="Y117" i="27" s="1"/>
  <c r="Y40" i="27" a="1"/>
  <c r="Y40" i="27" s="1"/>
  <c r="AC132" i="27" a="1"/>
  <c r="AC132" i="27" s="1"/>
  <c r="AC49" i="27" a="1"/>
  <c r="AC49" i="27" s="1"/>
  <c r="S66" i="27" a="1"/>
  <c r="S66" i="27" s="1"/>
  <c r="AF40" i="27" a="1"/>
  <c r="AF40" i="27" s="1"/>
  <c r="AF72" i="27" a="1"/>
  <c r="AF72" i="27" s="1"/>
  <c r="Y132" i="27" a="1"/>
  <c r="Y132" i="27" s="1"/>
  <c r="Z40" i="27" a="1"/>
  <c r="Z40" i="27" s="1"/>
  <c r="U118" i="27" a="1"/>
  <c r="U118" i="27" s="1"/>
  <c r="W132" i="27" a="1"/>
  <c r="W132" i="27" s="1"/>
  <c r="Z16" i="27" a="1"/>
  <c r="Z16" i="27" s="1"/>
  <c r="AA40" i="27" a="1"/>
  <c r="AA40" i="27" s="1"/>
  <c r="X40" i="27" a="1"/>
  <c r="X40" i="27" s="1"/>
  <c r="AD40" i="27" a="1"/>
  <c r="AD40" i="27" s="1"/>
  <c r="T66" i="27" a="1"/>
  <c r="T66" i="27" s="1"/>
  <c r="S72" i="27" a="1"/>
  <c r="S72" i="27" s="1"/>
  <c r="AC40" i="27" a="1"/>
  <c r="AC40" i="27" s="1"/>
  <c r="W100" i="27" a="1"/>
  <c r="W100" i="27" s="1"/>
  <c r="R110" i="27" a="1"/>
  <c r="R110" i="27" s="1"/>
  <c r="AF102" i="27" a="1"/>
  <c r="AF102" i="27" s="1"/>
  <c r="AC65" i="27" a="1"/>
  <c r="AC65" i="27" s="1"/>
  <c r="Q90" i="27" a="1"/>
  <c r="Q90" i="27" s="1"/>
  <c r="AF134" i="27" a="1"/>
  <c r="AF134" i="27" s="1"/>
  <c r="AH80" i="27" a="1"/>
  <c r="AH80" i="27" s="1"/>
  <c r="AE26" i="27" a="1"/>
  <c r="AE26" i="27" s="1"/>
  <c r="AE105" i="27" a="1"/>
  <c r="AE105" i="27" s="1"/>
  <c r="R112" i="27" a="1"/>
  <c r="R112" i="27" s="1"/>
  <c r="W29" i="27" a="1"/>
  <c r="W29" i="27" s="1"/>
  <c r="N12" i="27" a="1"/>
  <c r="N12" i="27" s="1"/>
  <c r="AC102" i="27" a="1"/>
  <c r="AC102" i="27" s="1"/>
  <c r="T82" i="27" a="1"/>
  <c r="T82" i="27" s="1"/>
  <c r="AH10" i="27" a="1"/>
  <c r="AH10" i="27" s="1"/>
  <c r="AG126" i="27" a="1"/>
  <c r="AG126" i="27" s="1"/>
  <c r="T36" i="27" a="1"/>
  <c r="T36" i="27" s="1"/>
  <c r="Q105" i="27" a="1"/>
  <c r="Q105" i="27" s="1"/>
  <c r="L114" i="27" a="1"/>
  <c r="L114" i="27" s="1"/>
  <c r="AI82" i="27" a="1"/>
  <c r="AI82" i="27" s="1"/>
  <c r="T48" i="27" a="1"/>
  <c r="T48" i="27" s="1"/>
  <c r="AB60" i="27" a="1"/>
  <c r="AB60" i="27" s="1"/>
  <c r="T22" i="27" a="1"/>
  <c r="T22" i="27" s="1"/>
  <c r="AG112" i="27" a="1"/>
  <c r="AG112" i="27" s="1"/>
  <c r="AC13" i="27" a="1"/>
  <c r="AC13" i="27" s="1"/>
  <c r="Z137" i="27" a="1"/>
  <c r="Z137" i="27" s="1"/>
  <c r="AB69" i="27" a="1"/>
  <c r="AB69" i="27" s="1"/>
  <c r="AC110" i="27" a="1"/>
  <c r="AC110" i="27" s="1"/>
  <c r="Y125" i="27" a="1"/>
  <c r="Y125" i="27" s="1"/>
  <c r="P46" i="27" a="1"/>
  <c r="P46" i="27" s="1"/>
  <c r="W82" i="27" a="1"/>
  <c r="W82" i="27" s="1"/>
  <c r="X80" i="27" a="1"/>
  <c r="X80" i="27" s="1"/>
  <c r="S139" i="27" a="1"/>
  <c r="S139" i="27" s="1"/>
  <c r="S17" i="27" a="1"/>
  <c r="S17" i="27" s="1"/>
  <c r="Y10" i="27" a="1"/>
  <c r="Y10" i="27" s="1"/>
  <c r="T94" i="27" a="1"/>
  <c r="T94" i="27" s="1"/>
  <c r="Z76" i="27" a="1"/>
  <c r="Z76" i="27" s="1"/>
  <c r="AF105" i="27" a="1"/>
  <c r="AF105" i="27" s="1"/>
  <c r="AI42" i="27" a="1"/>
  <c r="AI42" i="27" s="1"/>
  <c r="Z100" i="27" a="1"/>
  <c r="Z100" i="27" s="1"/>
  <c r="O29" i="27" a="1"/>
  <c r="O29" i="27" s="1"/>
  <c r="AD46" i="27" a="1"/>
  <c r="AD46" i="27" s="1"/>
  <c r="AF14" i="27" a="1"/>
  <c r="AF14" i="27" s="1"/>
  <c r="O80" i="27" a="1"/>
  <c r="O80" i="27" s="1"/>
  <c r="X126" i="27" a="1"/>
  <c r="X126" i="27" s="1"/>
  <c r="S120" i="27" a="1"/>
  <c r="S120" i="27" s="1"/>
  <c r="V22" i="27" a="1"/>
  <c r="V22" i="27" s="1"/>
  <c r="AA133" i="27" a="1"/>
  <c r="AA133" i="27" s="1"/>
  <c r="AB68" i="27" a="1"/>
  <c r="AB68" i="27" s="1"/>
  <c r="R64" i="27" a="1"/>
  <c r="R64" i="27" s="1"/>
  <c r="Q130" i="27" a="1"/>
  <c r="Q130" i="27" s="1"/>
  <c r="AC92" i="27" a="1"/>
  <c r="AC92" i="27" s="1"/>
  <c r="S24" i="27" a="1"/>
  <c r="S24" i="27" s="1"/>
  <c r="AH42" i="27" a="1"/>
  <c r="AH42" i="27" s="1"/>
  <c r="AG13" i="27" a="1"/>
  <c r="AG13" i="27" s="1"/>
  <c r="AI100" i="27" a="1"/>
  <c r="AI100" i="27" s="1"/>
  <c r="P32" i="27" a="1"/>
  <c r="P32" i="27" s="1"/>
  <c r="Q56" i="27" a="1"/>
  <c r="Q56" i="27" s="1"/>
  <c r="S60" i="27" a="1"/>
  <c r="S60" i="27" s="1"/>
  <c r="X25" i="27" a="1"/>
  <c r="X25" i="27" s="1"/>
  <c r="AG60" i="27" a="1"/>
  <c r="AG60" i="27" s="1"/>
  <c r="P138" i="27" a="1"/>
  <c r="P138" i="27" s="1"/>
  <c r="M65" i="27" a="1"/>
  <c r="M65" i="27" s="1"/>
  <c r="Z14" i="27" a="1"/>
  <c r="Z14" i="27" s="1"/>
  <c r="V12" i="27" a="1"/>
  <c r="V12" i="27" s="1"/>
  <c r="N90" i="27" a="1"/>
  <c r="N90" i="27" s="1"/>
  <c r="P90" i="27" a="1"/>
  <c r="P90" i="27" s="1"/>
  <c r="AH125" i="27" a="1"/>
  <c r="AH125" i="27" s="1"/>
  <c r="L53" i="27" a="1"/>
  <c r="L53" i="27" s="1"/>
  <c r="AE10" i="27" a="1"/>
  <c r="AE10" i="27" s="1"/>
  <c r="O90" i="27" a="1"/>
  <c r="O90" i="27" s="1"/>
  <c r="AC129" i="27" a="1"/>
  <c r="AC129" i="27" s="1"/>
  <c r="AH68" i="27" a="1"/>
  <c r="AH68" i="27" s="1"/>
  <c r="AA130" i="27" a="1"/>
  <c r="AA130" i="27" s="1"/>
  <c r="AA13" i="27" a="1"/>
  <c r="AA13" i="27" s="1"/>
  <c r="V100" i="27" a="1"/>
  <c r="V100" i="27" s="1"/>
  <c r="AD32" i="27" a="1"/>
  <c r="AD32" i="27" s="1"/>
  <c r="AH25" i="27" a="1"/>
  <c r="AH25" i="27" s="1"/>
  <c r="M56" i="27" a="1"/>
  <c r="M56" i="27" s="1"/>
  <c r="W60" i="27" a="1"/>
  <c r="W60" i="27" s="1"/>
  <c r="N125" i="27" a="1"/>
  <c r="N125" i="27" s="1"/>
  <c r="W46" i="27" a="1"/>
  <c r="W46" i="27" s="1"/>
  <c r="U89" i="27" a="1"/>
  <c r="U89" i="27" s="1"/>
  <c r="AC82" i="27" a="1"/>
  <c r="AC82" i="27" s="1"/>
  <c r="AG129" i="27" a="1"/>
  <c r="AG129" i="27" s="1"/>
  <c r="Q82" i="27" a="1"/>
  <c r="Q82" i="27" s="1"/>
  <c r="AA93" i="27" a="1"/>
  <c r="AA93" i="27" s="1"/>
  <c r="O128" i="27" a="1"/>
  <c r="O128" i="27" s="1"/>
  <c r="AD22" i="27" a="1"/>
  <c r="AD22" i="27" s="1"/>
  <c r="X17" i="27" a="1"/>
  <c r="X17" i="27" s="1"/>
  <c r="AB139" i="27" a="1"/>
  <c r="AB139" i="27" s="1"/>
  <c r="AE53" i="27" a="1"/>
  <c r="AE53" i="27" s="1"/>
  <c r="L134" i="27" a="1"/>
  <c r="L134" i="27" s="1"/>
  <c r="N120" i="27" a="1"/>
  <c r="N120" i="27" s="1"/>
  <c r="AE133" i="27" a="1"/>
  <c r="AE133" i="27" s="1"/>
  <c r="Y80" i="27" a="1"/>
  <c r="Y80" i="27" s="1"/>
  <c r="V106" i="27" a="1"/>
  <c r="V106" i="27" s="1"/>
  <c r="AF64" i="27" a="1"/>
  <c r="AF64" i="27" s="1"/>
  <c r="M130" i="27" a="1"/>
  <c r="M130" i="27" s="1"/>
  <c r="P64" i="27" a="1"/>
  <c r="P64" i="27" s="1"/>
  <c r="AD26" i="27" a="1"/>
  <c r="AD26" i="27" s="1"/>
  <c r="AG92" i="27" a="1"/>
  <c r="AG92" i="27" s="1"/>
  <c r="AE116" i="27" a="1"/>
  <c r="AE116" i="27" s="1"/>
  <c r="AH26" i="27" a="1"/>
  <c r="AH26" i="27" s="1"/>
  <c r="AF128" i="27" a="1"/>
  <c r="AF128" i="27" s="1"/>
  <c r="AA10" i="27" a="1"/>
  <c r="AA10" i="27" s="1"/>
  <c r="R26" i="27" a="1"/>
  <c r="R26" i="27" s="1"/>
  <c r="AF98" i="27" a="1"/>
  <c r="AF98" i="27" s="1"/>
  <c r="AG25" i="27" a="1"/>
  <c r="AG25" i="27" s="1"/>
  <c r="AC89" i="27" a="1"/>
  <c r="AC89" i="27" s="1"/>
  <c r="AH93" i="27" a="1"/>
  <c r="AH93" i="27" s="1"/>
  <c r="AE80" i="27" a="1"/>
  <c r="AE80" i="27" s="1"/>
  <c r="S22" i="27" a="1"/>
  <c r="S22" i="27" s="1"/>
  <c r="AA80" i="27" a="1"/>
  <c r="AA80" i="27" s="1"/>
  <c r="S56" i="27" a="1"/>
  <c r="S56" i="27" s="1"/>
  <c r="AH106" i="27" a="1"/>
  <c r="AH106" i="27" s="1"/>
  <c r="AB122" i="27" a="1"/>
  <c r="AB122" i="27" s="1"/>
  <c r="AG125" i="27" a="1"/>
  <c r="AG125" i="27" s="1"/>
  <c r="AI46" i="27" a="1"/>
  <c r="AI46" i="27" s="1"/>
  <c r="S65" i="27" a="1"/>
  <c r="S65" i="27" s="1"/>
  <c r="Q69" i="27" a="1"/>
  <c r="Q69" i="27" s="1"/>
  <c r="N58" i="27" a="1"/>
  <c r="N58" i="27" s="1"/>
  <c r="M10" i="27" a="1"/>
  <c r="M10" i="27" s="1"/>
  <c r="N106" i="27" a="1"/>
  <c r="N106" i="27" s="1"/>
  <c r="O130" i="27" a="1"/>
  <c r="O130" i="27" s="1"/>
  <c r="X64" i="27" a="1"/>
  <c r="X64" i="27" s="1"/>
  <c r="AG26" i="27" a="1"/>
  <c r="AG26" i="27" s="1"/>
  <c r="N92" i="27" a="1"/>
  <c r="N92" i="27" s="1"/>
  <c r="AC64" i="27" a="1"/>
  <c r="AC64" i="27" s="1"/>
  <c r="AD14" i="27" a="1"/>
  <c r="AD14" i="27" s="1"/>
  <c r="P10" i="27" a="1"/>
  <c r="P10" i="27" s="1"/>
  <c r="V120" i="27" a="1"/>
  <c r="V120" i="27" s="1"/>
  <c r="S92" i="27" a="1"/>
  <c r="S92" i="27" s="1"/>
  <c r="AB112" i="27" a="1"/>
  <c r="AB112" i="27" s="1"/>
  <c r="V122" i="27" a="1"/>
  <c r="V122" i="27" s="1"/>
  <c r="N56" i="27" a="1"/>
  <c r="N56" i="27" s="1"/>
  <c r="Z46" i="27" a="1"/>
  <c r="Z46" i="27" s="1"/>
  <c r="Y139" i="27" a="1"/>
  <c r="Y139" i="27" s="1"/>
  <c r="X139" i="27" a="1"/>
  <c r="X139" i="27" s="1"/>
  <c r="U133" i="27" a="1"/>
  <c r="U133" i="27" s="1"/>
  <c r="P92" i="27" a="1"/>
  <c r="P92" i="27" s="1"/>
  <c r="AC105" i="27" a="1"/>
  <c r="AC105" i="27" s="1"/>
  <c r="O112" i="27" a="1"/>
  <c r="O112" i="27" s="1"/>
  <c r="R32" i="27" a="1"/>
  <c r="R32" i="27" s="1"/>
  <c r="X60" i="27" a="1"/>
  <c r="X60" i="27" s="1"/>
  <c r="AG110" i="27" a="1"/>
  <c r="AG110" i="27" s="1"/>
  <c r="AB58" i="27" a="1"/>
  <c r="AB58" i="27" s="1"/>
  <c r="Y46" i="27" a="1"/>
  <c r="Y46" i="27" s="1"/>
  <c r="R125" i="27" a="1"/>
  <c r="R125" i="27" s="1"/>
  <c r="N10" i="27" a="1"/>
  <c r="N10" i="27" s="1"/>
  <c r="N48" i="27" a="1"/>
  <c r="N48" i="27" s="1"/>
  <c r="Q116" i="27" a="1"/>
  <c r="Q116" i="27" s="1"/>
  <c r="AG105" i="27" a="1"/>
  <c r="AG105" i="27" s="1"/>
  <c r="R29" i="27" a="1"/>
  <c r="R29" i="27" s="1"/>
  <c r="Z25" i="27" a="1"/>
  <c r="Z25" i="27" s="1"/>
  <c r="AI110" i="27" a="1"/>
  <c r="AI110" i="27" s="1"/>
  <c r="N60" i="27" a="1"/>
  <c r="N60" i="27" s="1"/>
  <c r="N128" i="27" a="1"/>
  <c r="N128" i="27" s="1"/>
  <c r="AF65" i="27" a="1"/>
  <c r="AF65" i="27" s="1"/>
  <c r="AF130" i="27" a="1"/>
  <c r="AF130" i="27" s="1"/>
  <c r="M42" i="27" a="1"/>
  <c r="M42" i="27" s="1"/>
  <c r="Z13" i="27" a="1"/>
  <c r="Z13" i="27" s="1"/>
  <c r="AH69" i="27" a="1"/>
  <c r="AH69" i="27" s="1"/>
  <c r="AH102" i="27" a="1"/>
  <c r="AH102" i="27" s="1"/>
  <c r="U128" i="27" a="1"/>
  <c r="U128" i="27" s="1"/>
  <c r="P14" i="27" a="1"/>
  <c r="P14" i="27" s="1"/>
  <c r="AB17" i="27" a="1"/>
  <c r="AB17" i="27" s="1"/>
  <c r="W58" i="27" a="1"/>
  <c r="W58" i="27" s="1"/>
  <c r="P120" i="27" a="1"/>
  <c r="P120" i="27" s="1"/>
  <c r="T134" i="27" a="1"/>
  <c r="T134" i="27" s="1"/>
  <c r="Q36" i="27" a="1"/>
  <c r="Q36" i="27" s="1"/>
  <c r="O92" i="27" a="1"/>
  <c r="O92" i="27" s="1"/>
  <c r="R105" i="27" a="1"/>
  <c r="R105" i="27" s="1"/>
  <c r="N42" i="27" a="1"/>
  <c r="N42" i="27" s="1"/>
  <c r="AA100" i="27" a="1"/>
  <c r="AA100" i="27" s="1"/>
  <c r="L29" i="27" a="1"/>
  <c r="L29" i="27" s="1"/>
  <c r="T25" i="27" a="1"/>
  <c r="T25" i="27" s="1"/>
  <c r="AD12" i="27" a="1"/>
  <c r="AD12" i="27" s="1"/>
  <c r="AD82" i="27" a="1"/>
  <c r="AD82" i="27" s="1"/>
  <c r="AA138" i="27" a="1"/>
  <c r="AA138" i="27" s="1"/>
  <c r="S93" i="27" a="1"/>
  <c r="S93" i="27" s="1"/>
  <c r="S90" i="27" a="1"/>
  <c r="S90" i="27" s="1"/>
  <c r="L17" i="27" a="1"/>
  <c r="L17" i="27" s="1"/>
  <c r="Z134" i="27" a="1"/>
  <c r="Z134" i="27" s="1"/>
  <c r="AC120" i="27" a="1"/>
  <c r="AC120" i="27" s="1"/>
  <c r="AF133" i="27" a="1"/>
  <c r="AF133" i="27" s="1"/>
  <c r="AF68" i="27" a="1"/>
  <c r="AF68" i="27" s="1"/>
  <c r="Q64" i="27" a="1"/>
  <c r="Q64" i="27" s="1"/>
  <c r="AA92" i="27" a="1"/>
  <c r="AA92" i="27" s="1"/>
  <c r="AA24" i="27" a="1"/>
  <c r="AA24" i="27" s="1"/>
  <c r="S42" i="27" a="1"/>
  <c r="S42" i="27" s="1"/>
  <c r="P13" i="27" a="1"/>
  <c r="P13" i="27" s="1"/>
  <c r="AD100" i="27" a="1"/>
  <c r="AD100" i="27" s="1"/>
  <c r="M32" i="27" a="1"/>
  <c r="M32" i="27" s="1"/>
  <c r="O25" i="27" a="1"/>
  <c r="O25" i="27" s="1"/>
  <c r="AD114" i="27" a="1"/>
  <c r="AD114" i="27" s="1"/>
  <c r="M125" i="27" a="1"/>
  <c r="M125" i="27" s="1"/>
  <c r="L128" i="27" a="1"/>
  <c r="L128" i="27" s="1"/>
  <c r="M14" i="27" a="1"/>
  <c r="M14" i="27" s="1"/>
  <c r="AC53" i="27" a="1"/>
  <c r="AC53" i="27" s="1"/>
  <c r="AA48" i="27" a="1"/>
  <c r="AA48" i="27" s="1"/>
  <c r="AA126" i="27" a="1"/>
  <c r="AA126" i="27" s="1"/>
  <c r="R133" i="27" a="1"/>
  <c r="R133" i="27" s="1"/>
  <c r="AE90" i="27" a="1"/>
  <c r="AE90" i="27" s="1"/>
  <c r="Z106" i="27" a="1"/>
  <c r="Z106" i="27" s="1"/>
  <c r="AB94" i="27" a="1"/>
  <c r="AB94" i="27" s="1"/>
  <c r="AA29" i="27" a="1"/>
  <c r="AA29" i="27" s="1"/>
  <c r="AG58" i="27" a="1"/>
  <c r="AG58" i="27" s="1"/>
  <c r="X46" i="27" a="1"/>
  <c r="X46" i="27" s="1"/>
  <c r="Z82" i="27" a="1"/>
  <c r="Z82" i="27" s="1"/>
  <c r="Q12" i="27" a="1"/>
  <c r="Q12" i="27" s="1"/>
  <c r="Q17" i="27" a="1"/>
  <c r="Q17" i="27" s="1"/>
  <c r="AE139" i="27" a="1"/>
  <c r="AE139" i="27" s="1"/>
  <c r="AI106" i="27" a="1"/>
  <c r="AI106" i="27" s="1"/>
  <c r="W94" i="27" a="1"/>
  <c r="W94" i="27" s="1"/>
  <c r="AC130" i="27" a="1"/>
  <c r="AC130" i="27" s="1"/>
  <c r="X116" i="27" a="1"/>
  <c r="X116" i="27" s="1"/>
  <c r="R92" i="27" a="1"/>
  <c r="R92" i="27" s="1"/>
  <c r="AC76" i="27" a="1"/>
  <c r="AC76" i="27" s="1"/>
  <c r="M137" i="27" a="1"/>
  <c r="M137" i="27" s="1"/>
  <c r="M69" i="27" a="1"/>
  <c r="M69" i="27" s="1"/>
  <c r="AD130" i="27" a="1"/>
  <c r="AD130" i="27" s="1"/>
  <c r="AF36" i="27" a="1"/>
  <c r="AF36" i="27" s="1"/>
  <c r="Q133" i="27" a="1"/>
  <c r="Q133" i="27" s="1"/>
  <c r="AD106" i="27" a="1"/>
  <c r="AD106" i="27" s="1"/>
  <c r="S13" i="27" a="1"/>
  <c r="S13" i="27" s="1"/>
  <c r="V110" i="27" a="1"/>
  <c r="V110" i="27" s="1"/>
  <c r="AI128" i="27" a="1"/>
  <c r="AI128" i="27" s="1"/>
  <c r="AI139" i="27" a="1"/>
  <c r="AI139" i="27" s="1"/>
  <c r="AC106" i="27" a="1"/>
  <c r="AC106" i="27" s="1"/>
  <c r="O76" i="27" a="1"/>
  <c r="O76" i="27" s="1"/>
  <c r="Y24" i="27" a="1"/>
  <c r="Y24" i="27" s="1"/>
  <c r="X58" i="27" a="1"/>
  <c r="X58" i="27" s="1"/>
  <c r="AB82" i="27" a="1"/>
  <c r="AB82" i="27" s="1"/>
  <c r="AD102" i="27" a="1"/>
  <c r="AD102" i="27" s="1"/>
  <c r="AI134" i="27" a="1"/>
  <c r="AI134" i="27" s="1"/>
  <c r="AH120" i="27" a="1"/>
  <c r="AH120" i="27" s="1"/>
  <c r="W48" i="27" a="1"/>
  <c r="W48" i="27" s="1"/>
  <c r="M26" i="27" a="1"/>
  <c r="M26" i="27" s="1"/>
  <c r="V24" i="27" a="1"/>
  <c r="V24" i="27" s="1"/>
  <c r="AB42" i="27" a="1"/>
  <c r="AB42" i="27" s="1"/>
  <c r="AE112" i="27" a="1"/>
  <c r="AE112" i="27" s="1"/>
  <c r="AC100" i="27" a="1"/>
  <c r="AC100" i="27" s="1"/>
  <c r="R98" i="27" a="1"/>
  <c r="R98" i="27" s="1"/>
  <c r="AC80" i="27" a="1"/>
  <c r="AC80" i="27" s="1"/>
  <c r="L92" i="27" a="1"/>
  <c r="L92" i="27" s="1"/>
  <c r="L100" i="27" a="1"/>
  <c r="L100" i="27" s="1"/>
  <c r="W25" i="27" a="1"/>
  <c r="W25" i="27" s="1"/>
  <c r="AA12" i="27" a="1"/>
  <c r="AA12" i="27" s="1"/>
  <c r="AD110" i="27" a="1"/>
  <c r="AD110" i="27" s="1"/>
  <c r="V17" i="27" a="1"/>
  <c r="V17" i="27" s="1"/>
  <c r="AD126" i="27" a="1"/>
  <c r="AD126" i="27" s="1"/>
  <c r="Q106" i="27" a="1"/>
  <c r="Q106" i="27" s="1"/>
  <c r="U94" i="27" a="1"/>
  <c r="U94" i="27" s="1"/>
  <c r="AB76" i="27" a="1"/>
  <c r="AB76" i="27" s="1"/>
  <c r="AH122" i="27" a="1"/>
  <c r="AH122" i="27" s="1"/>
  <c r="P60" i="27" a="1"/>
  <c r="P60" i="27" s="1"/>
  <c r="S25" i="27" a="1"/>
  <c r="S25" i="27" s="1"/>
  <c r="X98" i="27" a="1"/>
  <c r="X98" i="27" s="1"/>
  <c r="O137" i="27" a="1"/>
  <c r="O137" i="27" s="1"/>
  <c r="X125" i="27" a="1"/>
  <c r="X125" i="27" s="1"/>
  <c r="N82" i="27" a="1"/>
  <c r="N82" i="27" s="1"/>
  <c r="Q125" i="27" a="1"/>
  <c r="Q125" i="27" s="1"/>
  <c r="T53" i="27" a="1"/>
  <c r="T53" i="27" s="1"/>
  <c r="U139" i="27" a="1"/>
  <c r="U139" i="27" s="1"/>
  <c r="V94" i="27" a="1"/>
  <c r="V94" i="27" s="1"/>
  <c r="X36" i="27" a="1"/>
  <c r="X36" i="27" s="1"/>
  <c r="W76" i="27" a="1"/>
  <c r="W76" i="27" s="1"/>
  <c r="T105" i="27" a="1"/>
  <c r="T105" i="27" s="1"/>
  <c r="Z42" i="27" a="1"/>
  <c r="Z42" i="27" s="1"/>
  <c r="AF100" i="27" a="1"/>
  <c r="AF100" i="27" s="1"/>
  <c r="AC29" i="27" a="1"/>
  <c r="AC29" i="27" s="1"/>
  <c r="O60" i="27" a="1"/>
  <c r="O60" i="27" s="1"/>
  <c r="R114" i="27" a="1"/>
  <c r="R114" i="27" s="1"/>
  <c r="U110" i="27" a="1"/>
  <c r="U110" i="27" s="1"/>
  <c r="AC69" i="27" a="1"/>
  <c r="AC69" i="27" s="1"/>
  <c r="AE28" i="27" a="1"/>
  <c r="AE28" i="27" s="1"/>
  <c r="AH58" i="27" a="1"/>
  <c r="AH58" i="27" s="1"/>
  <c r="AE46" i="27" a="1"/>
  <c r="AE46" i="27" s="1"/>
  <c r="AD69" i="27" a="1"/>
  <c r="AD69" i="27" s="1"/>
  <c r="W90" i="27" a="1"/>
  <c r="W90" i="27" s="1"/>
  <c r="R120" i="27" a="1"/>
  <c r="R120" i="27" s="1"/>
  <c r="AH139" i="27" a="1"/>
  <c r="AH139" i="27" s="1"/>
  <c r="O94" i="27" a="1"/>
  <c r="O94" i="27" s="1"/>
  <c r="AB64" i="27" a="1"/>
  <c r="AB64" i="27" s="1"/>
  <c r="AD92" i="27" a="1"/>
  <c r="AD92" i="27" s="1"/>
  <c r="AB24" i="27" a="1"/>
  <c r="AB24" i="27" s="1"/>
  <c r="T42" i="27" a="1"/>
  <c r="T42" i="27" s="1"/>
  <c r="U13" i="27" a="1"/>
  <c r="U13" i="27" s="1"/>
  <c r="AE100" i="27" a="1"/>
  <c r="AE100" i="27" s="1"/>
  <c r="U32" i="27" a="1"/>
  <c r="U32" i="27" s="1"/>
  <c r="AD25" i="27" a="1"/>
  <c r="AD25" i="27" s="1"/>
  <c r="AI114" i="27" a="1"/>
  <c r="AI114" i="27" s="1"/>
  <c r="P56" i="27" a="1"/>
  <c r="P56" i="27" s="1"/>
  <c r="AA69" i="27" a="1"/>
  <c r="AA69" i="27" s="1"/>
  <c r="W110" i="27" a="1"/>
  <c r="W110" i="27" s="1"/>
  <c r="X129" i="27" a="1"/>
  <c r="X129" i="27" s="1"/>
  <c r="AA46" i="27" a="1"/>
  <c r="AA46" i="27" s="1"/>
  <c r="AF89" i="27" a="1"/>
  <c r="AF89" i="27" s="1"/>
  <c r="S82" i="27" a="1"/>
  <c r="S82" i="27" s="1"/>
  <c r="V69" i="27" a="1"/>
  <c r="V69" i="27" s="1"/>
  <c r="N102" i="27" a="1"/>
  <c r="N102" i="27" s="1"/>
  <c r="AA120" i="27" a="1"/>
  <c r="AA120" i="27" s="1"/>
  <c r="V53" i="27" a="1"/>
  <c r="V53" i="27" s="1"/>
  <c r="AF22" i="27" a="1"/>
  <c r="AF22" i="27" s="1"/>
  <c r="AE22" i="27" a="1"/>
  <c r="AE22" i="27" s="1"/>
  <c r="W134" i="27" a="1"/>
  <c r="W134" i="27" s="1"/>
  <c r="Y68" i="27" a="1"/>
  <c r="Y68" i="27" s="1"/>
  <c r="O13" i="27" a="1"/>
  <c r="O13" i="27" s="1"/>
  <c r="S125" i="27" a="1"/>
  <c r="S125" i="27" s="1"/>
  <c r="S134" i="27" a="1"/>
  <c r="S134" i="27" s="1"/>
  <c r="U68" i="27" a="1"/>
  <c r="U68" i="27" s="1"/>
  <c r="Y28" i="27" a="1"/>
  <c r="Y28" i="27" s="1"/>
  <c r="R58" i="27" a="1"/>
  <c r="R58" i="27" s="1"/>
  <c r="U65" i="27" a="1"/>
  <c r="U65" i="27" s="1"/>
  <c r="AA22" i="27" a="1"/>
  <c r="AA22" i="27" s="1"/>
  <c r="AH133" i="27" a="1"/>
  <c r="AH133" i="27" s="1"/>
  <c r="N133" i="27" a="1"/>
  <c r="N133" i="27" s="1"/>
  <c r="AH110" i="27" a="1"/>
  <c r="AH110" i="27" s="1"/>
  <c r="AE92" i="27" a="1"/>
  <c r="AE92" i="27" s="1"/>
  <c r="Y120" i="27" a="1"/>
  <c r="Y120" i="27" s="1"/>
  <c r="AH53" i="27" a="1"/>
  <c r="AH53" i="27" s="1"/>
  <c r="N94" i="27" a="1"/>
  <c r="N94" i="27" s="1"/>
  <c r="O89" i="27" a="1"/>
  <c r="O89" i="27" s="1"/>
  <c r="U114" i="27" a="1"/>
  <c r="U114" i="27" s="1"/>
  <c r="M98" i="27" a="1"/>
  <c r="M98" i="27" s="1"/>
  <c r="S26" i="27" a="1"/>
  <c r="S26" i="27" s="1"/>
  <c r="U22" i="27" a="1"/>
  <c r="U22" i="27" s="1"/>
  <c r="S48" i="27" a="1"/>
  <c r="S48" i="27" s="1"/>
  <c r="U16" i="27" a="1"/>
  <c r="U16" i="27" s="1"/>
  <c r="AB113" i="27" a="1"/>
  <c r="AB113" i="27" s="1"/>
  <c r="R113" i="27" a="1"/>
  <c r="R113" i="27" s="1"/>
  <c r="U113" i="27" a="1"/>
  <c r="U113" i="27" s="1"/>
  <c r="AE66" i="27" a="1"/>
  <c r="AE66" i="27" s="1"/>
  <c r="W66" i="27" a="1"/>
  <c r="W66" i="27" s="1"/>
  <c r="AC20" i="27" a="1"/>
  <c r="AC20" i="27" s="1"/>
  <c r="AF49" i="27" a="1"/>
  <c r="AF49" i="27" s="1"/>
  <c r="AH20" i="27" a="1"/>
  <c r="AH20" i="27" s="1"/>
  <c r="V113" i="27" a="1"/>
  <c r="V113" i="27" s="1"/>
  <c r="Q16" i="27" a="1"/>
  <c r="Q16" i="27" s="1"/>
  <c r="P16" i="27" a="1"/>
  <c r="P16" i="27" s="1"/>
  <c r="P66" i="27" a="1"/>
  <c r="P66" i="27" s="1"/>
  <c r="N20" i="27" a="1"/>
  <c r="N20" i="27" s="1"/>
  <c r="V118" i="27" a="1"/>
  <c r="V118" i="27" s="1"/>
  <c r="N66" i="27" a="1"/>
  <c r="N66" i="27" s="1"/>
  <c r="M24" i="27" a="1"/>
  <c r="M24" i="27" s="1"/>
  <c r="L126" i="27" a="1"/>
  <c r="L126" i="27" s="1"/>
  <c r="AB105" i="27" a="1"/>
  <c r="AB105" i="27" s="1"/>
  <c r="Q122" i="27" a="1"/>
  <c r="Q122" i="27" s="1"/>
  <c r="AE14" i="27" a="1"/>
  <c r="AE14" i="27" s="1"/>
  <c r="AB89" i="27" a="1"/>
  <c r="AB89" i="27" s="1"/>
  <c r="Q126" i="27" a="1"/>
  <c r="Q126" i="27" s="1"/>
  <c r="AH48" i="27" a="1"/>
  <c r="AH48" i="27" s="1"/>
  <c r="U24" i="27" a="1"/>
  <c r="U24" i="27" s="1"/>
  <c r="Z102" i="27" a="1"/>
  <c r="Z102" i="27" s="1"/>
  <c r="R106" i="27" a="1"/>
  <c r="R106" i="27" s="1"/>
  <c r="AB130" i="27" a="1"/>
  <c r="AB130" i="27" s="1"/>
  <c r="AG29" i="27" a="1"/>
  <c r="AG29" i="27" s="1"/>
  <c r="P58" i="27" a="1"/>
  <c r="P58" i="27" s="1"/>
  <c r="AF53" i="27" a="1"/>
  <c r="AF53" i="27" s="1"/>
  <c r="R68" i="27" a="1"/>
  <c r="R68" i="27" s="1"/>
  <c r="AG32" i="27" a="1"/>
  <c r="AG32" i="27" s="1"/>
  <c r="AE65" i="27" a="1"/>
  <c r="AE65" i="27" s="1"/>
  <c r="V102" i="27" a="1"/>
  <c r="V102" i="27" s="1"/>
  <c r="V48" i="27" a="1"/>
  <c r="V48" i="27" s="1"/>
  <c r="W36" i="27" a="1"/>
  <c r="W36" i="27" s="1"/>
  <c r="N65" i="27" a="1"/>
  <c r="N65" i="27" s="1"/>
  <c r="AH126" i="27" a="1"/>
  <c r="AH126" i="27" s="1"/>
  <c r="Y25" i="27" a="1"/>
  <c r="Y25" i="27" s="1"/>
  <c r="R12" i="27" a="1"/>
  <c r="R12" i="27" s="1"/>
  <c r="Y137" i="27" a="1"/>
  <c r="Y137" i="27" s="1"/>
  <c r="Z138" i="27" a="1"/>
  <c r="Z138" i="27" s="1"/>
  <c r="AD116" i="27" a="1"/>
  <c r="AD116" i="27" s="1"/>
  <c r="AA94" i="27" a="1"/>
  <c r="AA94" i="27" s="1"/>
  <c r="W68" i="27" a="1"/>
  <c r="W68" i="27" s="1"/>
  <c r="AD56" i="27" a="1"/>
  <c r="AD56" i="27" s="1"/>
  <c r="T17" i="27" a="1"/>
  <c r="T17" i="27" s="1"/>
  <c r="Y60" i="27" a="1"/>
  <c r="Y60" i="27" s="1"/>
  <c r="T120" i="27" a="1"/>
  <c r="T120" i="27" s="1"/>
  <c r="AI126" i="27" a="1"/>
  <c r="AI126" i="27" s="1"/>
  <c r="AG36" i="27" a="1"/>
  <c r="AG36" i="27" s="1"/>
  <c r="T46" i="27" a="1"/>
  <c r="T46" i="27" s="1"/>
  <c r="AF120" i="27" a="1"/>
  <c r="AF120" i="27" s="1"/>
  <c r="AD76" i="27" a="1"/>
  <c r="AD76" i="27" s="1"/>
  <c r="U100" i="27" a="1"/>
  <c r="U100" i="27" s="1"/>
  <c r="R65" i="27" a="1"/>
  <c r="R65" i="27" s="1"/>
  <c r="AF80" i="27" a="1"/>
  <c r="AF80" i="27" s="1"/>
  <c r="W112" i="27" a="1"/>
  <c r="W112" i="27" s="1"/>
  <c r="N122" i="27" a="1"/>
  <c r="N122" i="27" s="1"/>
  <c r="S69" i="27" a="1"/>
  <c r="S69" i="27" s="1"/>
  <c r="AC125" i="27" a="1"/>
  <c r="AC125" i="27" s="1"/>
  <c r="X133" i="27" a="1"/>
  <c r="X133" i="27" s="1"/>
  <c r="AG94" i="27" a="1"/>
  <c r="AG94" i="27" s="1"/>
  <c r="AE129" i="27" a="1"/>
  <c r="AE129" i="27" s="1"/>
  <c r="AH94" i="27" a="1"/>
  <c r="AH94" i="27" s="1"/>
  <c r="AE94" i="27" a="1"/>
  <c r="AE94" i="27" s="1"/>
  <c r="S98" i="27" a="1"/>
  <c r="S98" i="27" s="1"/>
  <c r="L68" i="27" a="1"/>
  <c r="L68" i="27" s="1"/>
  <c r="L110" i="27" a="1"/>
  <c r="L110" i="27" s="1"/>
  <c r="W129" i="27" a="1"/>
  <c r="W129" i="27" s="1"/>
  <c r="U93" i="27" a="1"/>
  <c r="U93" i="27" s="1"/>
  <c r="P106" i="27" a="1"/>
  <c r="P106" i="27" s="1"/>
  <c r="AE128" i="27" a="1"/>
  <c r="AE128" i="27" s="1"/>
  <c r="AG64" i="27" a="1"/>
  <c r="AG64" i="27" s="1"/>
  <c r="O28" i="27" a="1"/>
  <c r="O28" i="27" s="1"/>
  <c r="R14" i="27" a="1"/>
  <c r="R14" i="27" s="1"/>
  <c r="W89" i="27" a="1"/>
  <c r="W89" i="27" s="1"/>
  <c r="AI24" i="27" a="1"/>
  <c r="AI24" i="27" s="1"/>
  <c r="AA42" i="27" a="1"/>
  <c r="AA42" i="27" s="1"/>
  <c r="Y13" i="27" a="1"/>
  <c r="Y13" i="27" s="1"/>
  <c r="AA25" i="27" a="1"/>
  <c r="AA25" i="27" s="1"/>
  <c r="O17" i="27" a="1"/>
  <c r="O17" i="27" s="1"/>
  <c r="P76" i="27" a="1"/>
  <c r="P76" i="27" s="1"/>
  <c r="AF13" i="27" a="1"/>
  <c r="AF13" i="27" s="1"/>
  <c r="Z89" i="27" a="1"/>
  <c r="Z89" i="27" s="1"/>
  <c r="R139" i="27" a="1"/>
  <c r="R139" i="27" s="1"/>
  <c r="P116" i="27" a="1"/>
  <c r="P116" i="27" s="1"/>
  <c r="V42" i="27" a="1"/>
  <c r="V42" i="27" s="1"/>
  <c r="U29" i="27" a="1"/>
  <c r="U29" i="27" s="1"/>
  <c r="AH28" i="27" a="1"/>
  <c r="AH28" i="27" s="1"/>
  <c r="M58" i="27" a="1"/>
  <c r="M58" i="27" s="1"/>
  <c r="V134" i="27" a="1"/>
  <c r="V134" i="27" s="1"/>
  <c r="AB48" i="27" a="1"/>
  <c r="AB48" i="27" s="1"/>
  <c r="Q92" i="27" a="1"/>
  <c r="Q92" i="27" s="1"/>
  <c r="AF32" i="27" a="1"/>
  <c r="AF32" i="27" s="1"/>
  <c r="L98" i="27" a="1"/>
  <c r="L98" i="27" s="1"/>
  <c r="Z110" i="27" a="1"/>
  <c r="Z110" i="27" s="1"/>
  <c r="L25" i="27" a="1"/>
  <c r="L25" i="27" s="1"/>
  <c r="P129" i="27" a="1"/>
  <c r="P129" i="27" s="1"/>
  <c r="V93" i="27" a="1"/>
  <c r="V93" i="27" s="1"/>
  <c r="Z90" i="27" a="1"/>
  <c r="Z90" i="27" s="1"/>
  <c r="AF94" i="27" a="1"/>
  <c r="AF94" i="27" s="1"/>
  <c r="X26" i="27" a="1"/>
  <c r="X26" i="27" s="1"/>
  <c r="V13" i="27" a="1"/>
  <c r="V13" i="27" s="1"/>
  <c r="X114" i="27" a="1"/>
  <c r="X114" i="27" s="1"/>
  <c r="AI98" i="27" a="1"/>
  <c r="AI98" i="27" s="1"/>
  <c r="X69" i="27" a="1"/>
  <c r="X69" i="27" s="1"/>
  <c r="X110" i="27" a="1"/>
  <c r="X110" i="27" s="1"/>
  <c r="W125" i="27" a="1"/>
  <c r="W125" i="27" s="1"/>
  <c r="V46" i="27" a="1"/>
  <c r="V46" i="27" s="1"/>
  <c r="AH82" i="27" a="1"/>
  <c r="AH82" i="27" s="1"/>
  <c r="O139" i="27" a="1"/>
  <c r="O139" i="27" s="1"/>
  <c r="AA134" i="27" a="1"/>
  <c r="AA134" i="27" s="1"/>
  <c r="R48" i="27" a="1"/>
  <c r="R48" i="27" s="1"/>
  <c r="AB106" i="27" a="1"/>
  <c r="AB106" i="27" s="1"/>
  <c r="AE29" i="27" a="1"/>
  <c r="AE29" i="27" s="1"/>
  <c r="AB25" i="27" a="1"/>
  <c r="AB25" i="27" s="1"/>
  <c r="Q98" i="27" a="1"/>
  <c r="Q98" i="27" s="1"/>
  <c r="AI137" i="27" a="1"/>
  <c r="AI137" i="27" s="1"/>
  <c r="U28" i="27" a="1"/>
  <c r="U28" i="27" s="1"/>
  <c r="AD98" i="27" a="1"/>
  <c r="AD98" i="27" s="1"/>
  <c r="S138" i="27" a="1"/>
  <c r="S138" i="27" s="1"/>
  <c r="X128" i="27" a="1"/>
  <c r="X128" i="27" s="1"/>
  <c r="AE120" i="27" a="1"/>
  <c r="AE120" i="27" s="1"/>
  <c r="P48" i="27" a="1"/>
  <c r="P48" i="27" s="1"/>
  <c r="N68" i="27" a="1"/>
  <c r="N68" i="27" s="1"/>
  <c r="Z92" i="27" a="1"/>
  <c r="Z92" i="27" s="1"/>
  <c r="Z36" i="27" a="1"/>
  <c r="Z36" i="27" s="1"/>
  <c r="L129" i="27" a="1"/>
  <c r="L129" i="27" s="1"/>
  <c r="M53" i="27" a="1"/>
  <c r="M53" i="27" s="1"/>
  <c r="AC14" i="27" a="1"/>
  <c r="AC14" i="27" s="1"/>
  <c r="AF114" i="27" a="1"/>
  <c r="AF114" i="27" s="1"/>
  <c r="U58" i="27" a="1"/>
  <c r="U58" i="27" s="1"/>
  <c r="AB90" i="27" a="1"/>
  <c r="AB90" i="27" s="1"/>
  <c r="AE106" i="27" a="1"/>
  <c r="AE106" i="27" s="1"/>
  <c r="Y36" i="27" a="1"/>
  <c r="Y36" i="27" s="1"/>
  <c r="AI36" i="27" a="1"/>
  <c r="AI36" i="27" s="1"/>
  <c r="U56" i="27" a="1"/>
  <c r="U56" i="27" s="1"/>
  <c r="P80" i="27" a="1"/>
  <c r="P80" i="27" s="1"/>
  <c r="AB128" i="27" a="1"/>
  <c r="AB128" i="27" s="1"/>
  <c r="AE69" i="27" a="1"/>
  <c r="AE69" i="27" s="1"/>
  <c r="Y58" i="27" a="1"/>
  <c r="Y58" i="27" s="1"/>
  <c r="Y64" i="27" a="1"/>
  <c r="Y64" i="27" s="1"/>
  <c r="S105" i="27" a="1"/>
  <c r="S105" i="27" s="1"/>
  <c r="R129" i="27" a="1"/>
  <c r="R129" i="27" s="1"/>
  <c r="AG22" i="27" a="1"/>
  <c r="AG22" i="27" s="1"/>
  <c r="M94" i="27" a="1"/>
  <c r="M94" i="27" s="1"/>
  <c r="M13" i="27" a="1"/>
  <c r="M13" i="27" s="1"/>
  <c r="AI58" i="27" a="1"/>
  <c r="AI58" i="27" s="1"/>
  <c r="P102" i="27" a="1"/>
  <c r="P102" i="27" s="1"/>
  <c r="X134" i="27" a="1"/>
  <c r="X134" i="27" s="1"/>
  <c r="AI48" i="27" a="1"/>
  <c r="AI48" i="27" s="1"/>
  <c r="V116" i="27" a="1"/>
  <c r="V116" i="27" s="1"/>
  <c r="Z29" i="27" a="1"/>
  <c r="Z29" i="27" s="1"/>
  <c r="N98" i="27" a="1"/>
  <c r="N98" i="27" s="1"/>
  <c r="T65" i="27" a="1"/>
  <c r="T65" i="27" s="1"/>
  <c r="M48" i="27" a="1"/>
  <c r="M48" i="27" s="1"/>
  <c r="AE122" i="27" a="1"/>
  <c r="AE122" i="27" s="1"/>
  <c r="L137" i="27" a="1"/>
  <c r="L137" i="27" s="1"/>
  <c r="L46" i="27" a="1"/>
  <c r="L46" i="27" s="1"/>
  <c r="O129" i="27" a="1"/>
  <c r="O129" i="27" s="1"/>
  <c r="N53" i="27" a="1"/>
  <c r="N53" i="27" s="1"/>
  <c r="AH64" i="27" a="1"/>
  <c r="AH64" i="27" s="1"/>
  <c r="AF92" i="27" a="1"/>
  <c r="AF92" i="27" s="1"/>
  <c r="P100" i="27" a="1"/>
  <c r="P100" i="27" s="1"/>
  <c r="AE60" i="27" a="1"/>
  <c r="AE60" i="27" s="1"/>
  <c r="Z56" i="27" a="1"/>
  <c r="Z56" i="27" s="1"/>
  <c r="Q58" i="27" a="1"/>
  <c r="Q58" i="27" s="1"/>
  <c r="AD129" i="27" a="1"/>
  <c r="AD129" i="27" s="1"/>
  <c r="U120" i="27" a="1"/>
  <c r="U120" i="27" s="1"/>
  <c r="AB133" i="27" a="1"/>
  <c r="AB133" i="27" s="1"/>
  <c r="AI130" i="27" a="1"/>
  <c r="AI130" i="27" s="1"/>
  <c r="M100" i="27" a="1"/>
  <c r="M100" i="27" s="1"/>
  <c r="L102" i="27" a="1"/>
  <c r="L102" i="27" s="1"/>
  <c r="AF90" i="27" a="1"/>
  <c r="AF90" i="27" s="1"/>
  <c r="AB26" i="27" a="1"/>
  <c r="AB26" i="27" s="1"/>
  <c r="Y100" i="27" a="1"/>
  <c r="Y100" i="27" s="1"/>
  <c r="M12" i="27" a="1"/>
  <c r="M12" i="27" s="1"/>
  <c r="M17" i="27" a="1"/>
  <c r="M17" i="27" s="1"/>
  <c r="L36" i="27" a="1"/>
  <c r="L36" i="27" s="1"/>
  <c r="T114" i="27" a="1"/>
  <c r="T114" i="27" s="1"/>
  <c r="AI125" i="27" a="1"/>
  <c r="AI125" i="27" s="1"/>
  <c r="Z69" i="27" a="1"/>
  <c r="Z69" i="27" s="1"/>
  <c r="W138" i="27" a="1"/>
  <c r="W138" i="27" s="1"/>
  <c r="R22" i="27" a="1"/>
  <c r="R22" i="27" s="1"/>
  <c r="T64" i="27" a="1"/>
  <c r="T64" i="27" s="1"/>
  <c r="Y105" i="27" a="1"/>
  <c r="Y105" i="27" s="1"/>
  <c r="P128" i="27" a="1"/>
  <c r="P128" i="27" s="1"/>
  <c r="T106" i="27" a="1"/>
  <c r="T106" i="27" s="1"/>
  <c r="T24" i="27" a="1"/>
  <c r="T24" i="27" s="1"/>
  <c r="AH46" i="27" a="1"/>
  <c r="AH46" i="27" s="1"/>
  <c r="Y82" i="27" a="1"/>
  <c r="Y82" i="27" s="1"/>
  <c r="P26" i="27" a="1"/>
  <c r="P26" i="27" s="1"/>
  <c r="AD60" i="27" a="1"/>
  <c r="AD60" i="27" s="1"/>
  <c r="S14" i="27" a="1"/>
  <c r="S14" i="27" s="1"/>
  <c r="S133" i="27" a="1"/>
  <c r="S133" i="27" s="1"/>
  <c r="AH130" i="27" a="1"/>
  <c r="AH130" i="27" s="1"/>
  <c r="Z116" i="27" a="1"/>
  <c r="Z116" i="27" s="1"/>
  <c r="L42" i="27" a="1"/>
  <c r="L42" i="27" s="1"/>
  <c r="Y122" i="27" a="1"/>
  <c r="Y122" i="27" s="1"/>
  <c r="R138" i="27" a="1"/>
  <c r="R138" i="27" s="1"/>
  <c r="R126" i="27" a="1"/>
  <c r="R126" i="27" s="1"/>
  <c r="AC22" i="27" a="1"/>
  <c r="AC22" i="27" s="1"/>
  <c r="Q112" i="27" a="1"/>
  <c r="Q112" i="27" s="1"/>
  <c r="AI29" i="27" a="1"/>
  <c r="AI29" i="27" s="1"/>
  <c r="AA98" i="27" a="1"/>
  <c r="AA98" i="27" s="1"/>
  <c r="AE137" i="27" a="1"/>
  <c r="AE137" i="27" s="1"/>
  <c r="X22" i="27" a="1"/>
  <c r="X22" i="27" s="1"/>
  <c r="V68" i="27" a="1"/>
  <c r="V68" i="27" s="1"/>
  <c r="AH16" i="27" a="1"/>
  <c r="AH16" i="27" s="1"/>
  <c r="R66" i="27" a="1"/>
  <c r="R66" i="27" s="1"/>
  <c r="T49" i="27" a="1"/>
  <c r="T49" i="27" s="1"/>
  <c r="AD16" i="27" a="1"/>
  <c r="AD16" i="27" s="1"/>
  <c r="W49" i="27" a="1"/>
  <c r="W49" i="27" s="1"/>
  <c r="AC66" i="27" a="1"/>
  <c r="AC66" i="27" s="1"/>
  <c r="AE132" i="27" a="1"/>
  <c r="AE132" i="27" s="1"/>
  <c r="X49" i="27" a="1"/>
  <c r="X49" i="27" s="1"/>
  <c r="Y72" i="27" a="1"/>
  <c r="Y72" i="27" s="1"/>
  <c r="AD20" i="27" a="1"/>
  <c r="AD20" i="27" s="1"/>
  <c r="Z117" i="27" a="1"/>
  <c r="Z117" i="27" s="1"/>
  <c r="N113" i="27" a="1"/>
  <c r="N113" i="27" s="1"/>
  <c r="W118" i="27" a="1"/>
  <c r="W118" i="27" s="1"/>
  <c r="AF113" i="27" a="1"/>
  <c r="AF113" i="27" s="1"/>
  <c r="AG113" i="27" a="1"/>
  <c r="AG113" i="27" s="1"/>
  <c r="AC16" i="27" a="1"/>
  <c r="AC16" i="27" s="1"/>
  <c r="AC117" i="27" a="1"/>
  <c r="AC117" i="27" s="1"/>
  <c r="AF117" i="27" a="1"/>
  <c r="AF117" i="27" s="1"/>
  <c r="AD132" i="27" a="1"/>
  <c r="AD132" i="27" s="1"/>
  <c r="T40" i="27" a="1"/>
  <c r="T40" i="27" s="1"/>
  <c r="O121" i="27" a="1"/>
  <c r="O121" i="27" s="1"/>
  <c r="N117" i="27" a="1"/>
  <c r="N117" i="27" s="1"/>
  <c r="O72" i="27" a="1"/>
  <c r="O72" i="27" s="1"/>
  <c r="AH121" i="27" a="1"/>
  <c r="AH121" i="27" s="1"/>
  <c r="Z66" i="27" a="1"/>
  <c r="Z66" i="27" s="1"/>
  <c r="U121" i="27" a="1"/>
  <c r="U121" i="27" s="1"/>
  <c r="V121" i="27" a="1"/>
  <c r="V121" i="27" s="1"/>
  <c r="AE113" i="27" a="1"/>
  <c r="AE113" i="27" s="1"/>
  <c r="R16" i="27" a="1"/>
  <c r="R16" i="27" s="1"/>
  <c r="AG121" i="27" a="1"/>
  <c r="AG121" i="27" s="1"/>
  <c r="Q28" i="27" a="1"/>
  <c r="Q28" i="27" s="1"/>
  <c r="N93" i="27" a="1"/>
  <c r="N93" i="27" s="1"/>
  <c r="R25" i="27" a="1"/>
  <c r="R25" i="27" s="1"/>
  <c r="U82" i="27" a="1"/>
  <c r="U82" i="27" s="1"/>
  <c r="U90" i="27" a="1"/>
  <c r="U90" i="27" s="1"/>
  <c r="S64" i="27" a="1"/>
  <c r="S64" i="27" s="1"/>
  <c r="W26" i="27" a="1"/>
  <c r="W26" i="27" s="1"/>
  <c r="Q110" i="27" a="1"/>
  <c r="Q110" i="27" s="1"/>
  <c r="O138" i="27" a="1"/>
  <c r="O138" i="27" s="1"/>
  <c r="M133" i="27" a="1"/>
  <c r="M133" i="27" s="1"/>
  <c r="M105" i="27" a="1"/>
  <c r="M105" i="27" s="1"/>
  <c r="M128" i="27" a="1"/>
  <c r="M128" i="27" s="1"/>
  <c r="R17" i="27" a="1"/>
  <c r="R17" i="27" s="1"/>
  <c r="AF139" i="27" a="1"/>
  <c r="AF139" i="27" s="1"/>
  <c r="V64" i="27" a="1"/>
  <c r="V64" i="27" s="1"/>
  <c r="AH100" i="27" a="1"/>
  <c r="AH100" i="27" s="1"/>
  <c r="R69" i="27" a="1"/>
  <c r="R69" i="27" s="1"/>
  <c r="AD58" i="27" a="1"/>
  <c r="AD58" i="27" s="1"/>
  <c r="AA65" i="27" a="1"/>
  <c r="AA65" i="27" s="1"/>
  <c r="Z93" i="27" a="1"/>
  <c r="Z93" i="27" s="1"/>
  <c r="M90" i="27" a="1"/>
  <c r="M90" i="27" s="1"/>
  <c r="AG90" i="27" a="1"/>
  <c r="AG90" i="27" s="1"/>
  <c r="M106" i="27" a="1"/>
  <c r="M106" i="27" s="1"/>
  <c r="S36" i="27" a="1"/>
  <c r="S36" i="27" s="1"/>
  <c r="AI92" i="27" a="1"/>
  <c r="AI92" i="27" s="1"/>
  <c r="AE134" i="27" a="1"/>
  <c r="AE134" i="27" s="1"/>
  <c r="M68" i="27" a="1"/>
  <c r="M68" i="27" s="1"/>
  <c r="AB100" i="27" a="1"/>
  <c r="AB100" i="27" s="1"/>
  <c r="R82" i="27" a="1"/>
  <c r="R82" i="27" s="1"/>
  <c r="AC48" i="27" a="1"/>
  <c r="AC48" i="27" s="1"/>
  <c r="AB36" i="27" a="1"/>
  <c r="AB36" i="27" s="1"/>
  <c r="Z125" i="27" a="1"/>
  <c r="Z125" i="27" s="1"/>
  <c r="W116" i="27" a="1"/>
  <c r="W116" i="27" s="1"/>
  <c r="W28" i="27" a="1"/>
  <c r="W28" i="27" s="1"/>
  <c r="AH105" i="27" a="1"/>
  <c r="AH105" i="27" s="1"/>
  <c r="AF46" i="27" a="1"/>
  <c r="AF46" i="27" s="1"/>
  <c r="X53" i="27" a="1"/>
  <c r="X53" i="27" s="1"/>
  <c r="P24" i="27" a="1"/>
  <c r="P24" i="27" s="1"/>
  <c r="AB12" i="27" a="1"/>
  <c r="AB12" i="27" s="1"/>
  <c r="S58" i="27" a="1"/>
  <c r="S58" i="27" s="1"/>
  <c r="L58" i="27" a="1"/>
  <c r="L58" i="27" s="1"/>
  <c r="AC94" i="27" a="1"/>
  <c r="AC94" i="27" s="1"/>
  <c r="P122" i="27" a="1"/>
  <c r="P122" i="27" s="1"/>
  <c r="O58" i="27" a="1"/>
  <c r="O58" i="27" s="1"/>
  <c r="Y133" i="27" a="1"/>
  <c r="Y133" i="27" s="1"/>
  <c r="M25" i="27" a="1"/>
  <c r="M25" i="27" s="1"/>
  <c r="L65" i="27" a="1"/>
  <c r="L65" i="27" s="1"/>
  <c r="W139" i="27" a="1"/>
  <c r="W139" i="27" s="1"/>
  <c r="AA114" i="27" a="1"/>
  <c r="AA114" i="27" s="1"/>
  <c r="V82" i="27" a="1"/>
  <c r="V82" i="27" s="1"/>
  <c r="X90" i="27" a="1"/>
  <c r="X90" i="27" s="1"/>
  <c r="AB14" i="27" a="1"/>
  <c r="AB14" i="27" s="1"/>
  <c r="L13" i="27" a="1"/>
  <c r="L13" i="27" s="1"/>
  <c r="O98" i="27" a="1"/>
  <c r="O98" i="27" s="1"/>
  <c r="P17" i="27" a="1"/>
  <c r="P17" i="27" s="1"/>
  <c r="S94" i="27" a="1"/>
  <c r="S94" i="27" s="1"/>
  <c r="P93" i="27" a="1"/>
  <c r="P93" i="27" s="1"/>
  <c r="AF126" i="27" a="1"/>
  <c r="AF126" i="27" s="1"/>
  <c r="T69" i="27" a="1"/>
  <c r="T69" i="27" s="1"/>
  <c r="R94" i="27" a="1"/>
  <c r="R94" i="27" s="1"/>
  <c r="AC93" i="27" a="1"/>
  <c r="AC93" i="27" s="1"/>
  <c r="Q48" i="27" a="1"/>
  <c r="Q48" i="27" s="1"/>
  <c r="X76" i="27" a="1"/>
  <c r="X76" i="27" s="1"/>
  <c r="AB53" i="27" a="1"/>
  <c r="AB53" i="27" s="1"/>
  <c r="Z105" i="27" a="1"/>
  <c r="Z105" i="27" s="1"/>
  <c r="AG133" i="27" a="1"/>
  <c r="AG133" i="27" s="1"/>
  <c r="AA90" i="27" a="1"/>
  <c r="AA90" i="27" s="1"/>
  <c r="Q42" i="27" a="1"/>
  <c r="Q42" i="27" s="1"/>
  <c r="P36" i="27" a="1"/>
  <c r="P36" i="27" s="1"/>
  <c r="L24" i="27" a="1"/>
  <c r="L24" i="27" s="1"/>
  <c r="U14" i="27" a="1"/>
  <c r="U14" i="27" s="1"/>
  <c r="W22" i="27" a="1"/>
  <c r="W22" i="27" s="1"/>
  <c r="Q32" i="27" a="1"/>
  <c r="Q32" i="27" s="1"/>
  <c r="AE102" i="27" a="1"/>
  <c r="AE102" i="27" s="1"/>
  <c r="V138" i="27" a="1"/>
  <c r="V138" i="27" s="1"/>
  <c r="Y12" i="27" a="1"/>
  <c r="Y12" i="27" s="1"/>
  <c r="AI80" i="27" a="1"/>
  <c r="AI80" i="27" s="1"/>
  <c r="M64" i="27" a="1"/>
  <c r="M64" i="27" s="1"/>
  <c r="O24" i="27" a="1"/>
  <c r="O24" i="27" s="1"/>
  <c r="O12" i="27" a="1"/>
  <c r="O12" i="27" s="1"/>
  <c r="Y69" i="27" a="1"/>
  <c r="Y69" i="27" s="1"/>
  <c r="AD120" i="27" a="1"/>
  <c r="AD120" i="27" s="1"/>
  <c r="Z64" i="27" a="1"/>
  <c r="Z64" i="27" s="1"/>
  <c r="M116" i="27" a="1"/>
  <c r="M116" i="27" s="1"/>
  <c r="AI13" i="27" a="1"/>
  <c r="AI13" i="27" s="1"/>
  <c r="R122" i="27" a="1"/>
  <c r="R122" i="27" s="1"/>
  <c r="AD93" i="27" a="1"/>
  <c r="AD93" i="27" s="1"/>
  <c r="P22" i="27" a="1"/>
  <c r="P22" i="27" s="1"/>
  <c r="AG53" i="27" a="1"/>
  <c r="AG53" i="27" s="1"/>
  <c r="AD133" i="27" a="1"/>
  <c r="AD133" i="27" s="1"/>
  <c r="Y126" i="27" a="1"/>
  <c r="Y126" i="27" s="1"/>
  <c r="P130" i="27" a="1"/>
  <c r="P130" i="27" s="1"/>
  <c r="AC116" i="27" a="1"/>
  <c r="AC116" i="27" s="1"/>
  <c r="N24" i="27" a="1"/>
  <c r="N24" i="27" s="1"/>
  <c r="U42" i="27" a="1"/>
  <c r="U42" i="27" s="1"/>
  <c r="T100" i="27" a="1"/>
  <c r="T100" i="27" s="1"/>
  <c r="O32" i="27" a="1"/>
  <c r="O32" i="27" s="1"/>
  <c r="AC60" i="27" a="1"/>
  <c r="AC60" i="27" s="1"/>
  <c r="S114" i="27" a="1"/>
  <c r="S114" i="27" s="1"/>
  <c r="Z98" i="27" a="1"/>
  <c r="Z98" i="27" s="1"/>
  <c r="N137" i="27" a="1"/>
  <c r="N137" i="27" s="1"/>
  <c r="R137" i="27" a="1"/>
  <c r="R137" i="27" s="1"/>
  <c r="AD89" i="27" a="1"/>
  <c r="AD89" i="27" s="1"/>
  <c r="L125" i="27" a="1"/>
  <c r="L125" i="27" s="1"/>
  <c r="W80" i="27" a="1"/>
  <c r="W80" i="27" s="1"/>
  <c r="O120" i="27" a="1"/>
  <c r="O120" i="27" s="1"/>
  <c r="AC68" i="27" a="1"/>
  <c r="AC68" i="27" s="1"/>
  <c r="AF122" i="27" a="1"/>
  <c r="AF122" i="27" s="1"/>
  <c r="AI69" i="27" a="1"/>
  <c r="AI69" i="27" s="1"/>
  <c r="AE98" i="27" a="1"/>
  <c r="AE98" i="27" s="1"/>
  <c r="O69" i="27" a="1"/>
  <c r="O69" i="27" s="1"/>
  <c r="AE110" i="27" a="1"/>
  <c r="AE110" i="27" s="1"/>
  <c r="O102" i="27" a="1"/>
  <c r="O102" i="27" s="1"/>
  <c r="AG128" i="27" a="1"/>
  <c r="AG128" i="27" s="1"/>
  <c r="W93" i="27" a="1"/>
  <c r="W93" i="27" s="1"/>
  <c r="Q80" i="27" a="1"/>
  <c r="Q80" i="27" s="1"/>
  <c r="R10" i="27" a="1"/>
  <c r="R10" i="27" s="1"/>
  <c r="AC126" i="27" a="1"/>
  <c r="AC126" i="27" s="1"/>
  <c r="V129" i="27" a="1"/>
  <c r="V129" i="27" s="1"/>
  <c r="L93" i="27" a="1"/>
  <c r="L93" i="27" s="1"/>
  <c r="AF93" i="27" a="1"/>
  <c r="AF93" i="27" s="1"/>
  <c r="AD36" i="27" a="1"/>
  <c r="AD36" i="27" s="1"/>
  <c r="V76" i="27" a="1"/>
  <c r="V76" i="27" s="1"/>
  <c r="U130" i="27" a="1"/>
  <c r="U130" i="27" s="1"/>
  <c r="AG76" i="27" a="1"/>
  <c r="AG76" i="27" s="1"/>
  <c r="O26" i="27" a="1"/>
  <c r="O26" i="27" s="1"/>
  <c r="T138" i="27" a="1"/>
  <c r="T138" i="27" s="1"/>
  <c r="X14" i="27" a="1"/>
  <c r="X14" i="27" s="1"/>
  <c r="AH92" i="27" a="1"/>
  <c r="AH92" i="27" s="1"/>
  <c r="AG17" i="27" a="1"/>
  <c r="AG17" i="27" s="1"/>
  <c r="AG138" i="27" a="1"/>
  <c r="AG138" i="27" s="1"/>
  <c r="O82" i="27" a="1"/>
  <c r="O82" i="27" s="1"/>
  <c r="AD17" i="27" a="1"/>
  <c r="AD17" i="27" s="1"/>
  <c r="AI10" i="27" a="1"/>
  <c r="AI10" i="27" s="1"/>
  <c r="Z94" i="27" a="1"/>
  <c r="Z94" i="27" s="1"/>
  <c r="Q13" i="27" a="1"/>
  <c r="Q13" i="27" s="1"/>
  <c r="N110" i="27" a="1"/>
  <c r="N110" i="27" s="1"/>
  <c r="V128" i="27" a="1"/>
  <c r="V128" i="27" s="1"/>
  <c r="U53" i="27" a="1"/>
  <c r="U53" i="27" s="1"/>
  <c r="V130" i="27" a="1"/>
  <c r="V130" i="27" s="1"/>
  <c r="Z130" i="27" a="1"/>
  <c r="Z130" i="27" s="1"/>
  <c r="Q76" i="27" a="1"/>
  <c r="Q76" i="27" s="1"/>
  <c r="Q120" i="27" a="1"/>
  <c r="Q120" i="27" s="1"/>
  <c r="AD29" i="27" a="1"/>
  <c r="AD29" i="27" s="1"/>
  <c r="Z22" i="27" a="1"/>
  <c r="Z22" i="27" s="1"/>
  <c r="AF116" i="27" a="1"/>
  <c r="AF116" i="27" s="1"/>
  <c r="P29" i="27" a="1"/>
  <c r="P29" i="27" s="1"/>
  <c r="U80" i="27" a="1"/>
  <c r="U80" i="27" s="1"/>
  <c r="Q68" i="27" a="1"/>
  <c r="Q68" i="27" s="1"/>
  <c r="AF24" i="27" a="1"/>
  <c r="AF24" i="27" s="1"/>
  <c r="P42" i="27" a="1"/>
  <c r="P42" i="27" s="1"/>
  <c r="AE13" i="27" a="1"/>
  <c r="AE13" i="27" s="1"/>
  <c r="N25" i="27" a="1"/>
  <c r="N25" i="27" s="1"/>
  <c r="U92" i="27" a="1"/>
  <c r="U92" i="27" s="1"/>
  <c r="N112" i="27" a="1"/>
  <c r="N112" i="27" s="1"/>
  <c r="AC32" i="27" a="1"/>
  <c r="AC32" i="27" s="1"/>
  <c r="M129" i="27" a="1"/>
  <c r="M129" i="27" s="1"/>
  <c r="S53" i="27" a="1"/>
  <c r="S53" i="27" s="1"/>
  <c r="L90" i="27" a="1"/>
  <c r="L90" i="27" s="1"/>
  <c r="V98" i="27" a="1"/>
  <c r="V98" i="27" s="1"/>
  <c r="X105" i="27" a="1"/>
  <c r="X105" i="27" s="1"/>
  <c r="L12" i="27" a="1"/>
  <c r="L12" i="27" s="1"/>
  <c r="AI12" i="27" a="1"/>
  <c r="AI12" i="27" s="1"/>
  <c r="AH138" i="27" a="1"/>
  <c r="AH138" i="27" s="1"/>
  <c r="Z10" i="27" a="1"/>
  <c r="Z10" i="27" s="1"/>
  <c r="L14" i="27" a="1"/>
  <c r="L14" i="27" s="1"/>
  <c r="S106" i="27" a="1"/>
  <c r="S106" i="27" s="1"/>
  <c r="N13" i="27" a="1"/>
  <c r="N13" i="27" s="1"/>
  <c r="N32" i="27" a="1"/>
  <c r="N32" i="27" s="1"/>
  <c r="W98" i="27" a="1"/>
  <c r="W98" i="27" s="1"/>
  <c r="AE56" i="27" a="1"/>
  <c r="AE56" i="27" s="1"/>
  <c r="Q128" i="27" a="1"/>
  <c r="Q128" i="27" s="1"/>
  <c r="V80" i="27" a="1"/>
  <c r="V80" i="27" s="1"/>
  <c r="W10" i="27" a="1"/>
  <c r="W10" i="27" s="1"/>
  <c r="L133" i="27" a="1"/>
  <c r="L133" i="27" s="1"/>
  <c r="AE130" i="27" a="1"/>
  <c r="AE130" i="27" s="1"/>
  <c r="AB116" i="27" a="1"/>
  <c r="AB116" i="27" s="1"/>
  <c r="AE24" i="27" a="1"/>
  <c r="AE24" i="27" s="1"/>
  <c r="W42" i="27" a="1"/>
  <c r="W42" i="27" s="1"/>
  <c r="T13" i="27" a="1"/>
  <c r="T13" i="27" s="1"/>
  <c r="AF29" i="27" a="1"/>
  <c r="AF29" i="27" s="1"/>
  <c r="P82" i="27" a="1"/>
  <c r="P82" i="27" s="1"/>
  <c r="AB22" i="27" a="1"/>
  <c r="AB22" i="27" s="1"/>
  <c r="Z58" i="27" a="1"/>
  <c r="Z58" i="27" s="1"/>
  <c r="AH65" i="27" a="1"/>
  <c r="AH65" i="27" s="1"/>
  <c r="AA106" i="27" a="1"/>
  <c r="AA106" i="27" s="1"/>
  <c r="Y32" i="27" a="1"/>
  <c r="Y32" i="27" s="1"/>
  <c r="AG69" i="27" a="1"/>
  <c r="AG69" i="27" s="1"/>
  <c r="W53" i="27" a="1"/>
  <c r="W53" i="27" s="1"/>
  <c r="AD53" i="27" a="1"/>
  <c r="AD53" i="27" s="1"/>
  <c r="V114" i="27" a="1"/>
  <c r="V114" i="27" s="1"/>
  <c r="AH76" i="27" a="1"/>
  <c r="AH76" i="27" s="1"/>
  <c r="AD48" i="27" a="1"/>
  <c r="AD48" i="27" s="1"/>
  <c r="AC25" i="27" a="1"/>
  <c r="AC25" i="27" s="1"/>
  <c r="X138" i="27" a="1"/>
  <c r="X138" i="27" s="1"/>
  <c r="N36" i="27" a="1"/>
  <c r="N36" i="27" s="1"/>
  <c r="S80" i="27" a="1"/>
  <c r="S80" i="27" s="1"/>
  <c r="AG46" i="27" a="1"/>
  <c r="AG46" i="27" s="1"/>
  <c r="AH129" i="27" a="1"/>
  <c r="AH129" i="27" s="1"/>
  <c r="P105" i="27" a="1"/>
  <c r="P105" i="27" s="1"/>
  <c r="S100" i="27" a="1"/>
  <c r="S100" i="27" s="1"/>
  <c r="AC128" i="27" a="1"/>
  <c r="AC128" i="27" s="1"/>
  <c r="M76" i="27" a="1"/>
  <c r="M76" i="27" s="1"/>
  <c r="AF112" i="27" a="1"/>
  <c r="AF112" i="27" s="1"/>
  <c r="N69" i="27" a="1"/>
  <c r="N69" i="27" s="1"/>
  <c r="P114" i="27" a="1"/>
  <c r="P114" i="27" s="1"/>
  <c r="M139" i="27" a="1"/>
  <c r="M139" i="27" s="1"/>
  <c r="Y134" i="27" a="1"/>
  <c r="Y134" i="27" s="1"/>
  <c r="AF69" i="27" a="1"/>
  <c r="AF69" i="27" s="1"/>
  <c r="AG12" i="27" a="1"/>
  <c r="AG12" i="27" s="1"/>
  <c r="AG56" i="27" a="1"/>
  <c r="AG56" i="27" s="1"/>
  <c r="L120" i="27" a="1"/>
  <c r="L120" i="27" s="1"/>
  <c r="O36" i="27" a="1"/>
  <c r="O36" i="27" s="1"/>
  <c r="AD112" i="27" a="1"/>
  <c r="AD112" i="27" s="1"/>
  <c r="U122" i="27" a="1"/>
  <c r="U122" i="27" s="1"/>
  <c r="AB102" i="27" a="1"/>
  <c r="AB102" i="27" s="1"/>
  <c r="AA128" i="27" a="1"/>
  <c r="AA128" i="27" s="1"/>
  <c r="AI120" i="27" a="1"/>
  <c r="AI120" i="27" s="1"/>
  <c r="X92" i="27" a="1"/>
  <c r="X92" i="27" s="1"/>
  <c r="O105" i="27" a="1"/>
  <c r="O105" i="27" s="1"/>
  <c r="AI32" i="27" a="1"/>
  <c r="AI32" i="27" s="1"/>
  <c r="AC114" i="27" a="1"/>
  <c r="AC114" i="27" s="1"/>
  <c r="R56" i="27" a="1"/>
  <c r="R56" i="27" s="1"/>
  <c r="AF110" i="27" a="1"/>
  <c r="AF110" i="27" s="1"/>
  <c r="L82" i="27" a="1"/>
  <c r="L82" i="27" s="1"/>
  <c r="R93" i="27" a="1"/>
  <c r="R93" i="27" s="1"/>
  <c r="AH128" i="27" a="1"/>
  <c r="AH128" i="27" s="1"/>
  <c r="W126" i="27" a="1"/>
  <c r="W126" i="27" s="1"/>
  <c r="P94" i="27" a="1"/>
  <c r="P94" i="27" s="1"/>
  <c r="U64" i="27" a="1"/>
  <c r="U64" i="27" s="1"/>
  <c r="T116" i="27" a="1"/>
  <c r="T116" i="27" s="1"/>
  <c r="AD105" i="27" a="1"/>
  <c r="AD105" i="27" s="1"/>
  <c r="AA122" i="27" a="1"/>
  <c r="AA122" i="27" s="1"/>
  <c r="P25" i="27" a="1"/>
  <c r="P25" i="27" s="1"/>
  <c r="Y56" i="27" a="1"/>
  <c r="Y56" i="27" s="1"/>
  <c r="O125" i="27" a="1"/>
  <c r="O125" i="27" s="1"/>
  <c r="R128" i="27" a="1"/>
  <c r="R128" i="27" s="1"/>
  <c r="Q138" i="27" a="1"/>
  <c r="Q138" i="27" s="1"/>
  <c r="S102" i="27" a="1"/>
  <c r="S102" i="27" s="1"/>
  <c r="AB134" i="27" a="1"/>
  <c r="AB134" i="27" s="1"/>
  <c r="AC134" i="27" a="1"/>
  <c r="AC134" i="27" s="1"/>
  <c r="S126" i="27" a="1"/>
  <c r="S126" i="27" s="1"/>
  <c r="M134" i="27" a="1"/>
  <c r="M134" i="27" s="1"/>
  <c r="AC90" i="27" a="1"/>
  <c r="AC90" i="27" s="1"/>
  <c r="L94" i="27" a="1"/>
  <c r="L94" i="27" s="1"/>
  <c r="AG100" i="27" a="1"/>
  <c r="AG100" i="27" s="1"/>
  <c r="U46" i="27" a="1"/>
  <c r="U46" i="27" s="1"/>
  <c r="X93" i="27" a="1"/>
  <c r="X93" i="27" s="1"/>
  <c r="N114" i="27" a="1"/>
  <c r="N114" i="27" s="1"/>
  <c r="M28" i="27" a="1"/>
  <c r="M28" i="27" s="1"/>
  <c r="W14" i="27" a="1"/>
  <c r="W14" i="27" s="1"/>
  <c r="R134" i="27" a="1"/>
  <c r="R134" i="27" s="1"/>
  <c r="AF48" i="27" a="1"/>
  <c r="AF48" i="27" s="1"/>
  <c r="U116" i="27" a="1"/>
  <c r="U116" i="27" s="1"/>
  <c r="AF26" i="27" a="1"/>
  <c r="AF26" i="27" s="1"/>
  <c r="AG65" i="27" a="1"/>
  <c r="AG65" i="27" s="1"/>
  <c r="O134" i="27" a="1"/>
  <c r="O134" i="27" s="1"/>
  <c r="R90" i="27" a="1"/>
  <c r="R90" i="27" s="1"/>
  <c r="AG93" i="27" a="1"/>
  <c r="AG93" i="27" s="1"/>
  <c r="AG130" i="27" a="1"/>
  <c r="AG130" i="27" s="1"/>
  <c r="Y116" i="27" a="1"/>
  <c r="Y116" i="27" s="1"/>
  <c r="V126" i="27" a="1"/>
  <c r="V126" i="27" s="1"/>
  <c r="AD139" i="27" a="1"/>
  <c r="AD139" i="27" s="1"/>
  <c r="U20" i="27" a="1"/>
  <c r="U20" i="27" s="1"/>
  <c r="T20" i="27" a="1"/>
  <c r="T20" i="27" s="1"/>
  <c r="M66" i="27" a="1"/>
  <c r="M66" i="27" s="1"/>
  <c r="S132" i="27" a="1"/>
  <c r="S132" i="27" s="1"/>
  <c r="P132" i="27" a="1"/>
  <c r="P132" i="27" s="1"/>
  <c r="L49" i="27" a="1"/>
  <c r="L49" i="27" s="1"/>
  <c r="AA121" i="27" a="1"/>
  <c r="AA121" i="27" s="1"/>
  <c r="L113" i="27" a="1"/>
  <c r="L113" i="27" s="1"/>
  <c r="AH118" i="27" a="1"/>
  <c r="AH118" i="27" s="1"/>
  <c r="P49" i="27" a="1"/>
  <c r="P49" i="27" s="1"/>
  <c r="AA132" i="27" a="1"/>
  <c r="AA132" i="27" s="1"/>
  <c r="Q117" i="27" a="1"/>
  <c r="Q117" i="27" s="1"/>
  <c r="U66" i="27" a="1"/>
  <c r="U66" i="27" s="1"/>
  <c r="AA49" i="27" a="1"/>
  <c r="AA49" i="27" s="1"/>
  <c r="AH72" i="27" a="1"/>
  <c r="AH72" i="27" s="1"/>
  <c r="AB16" i="27" a="1"/>
  <c r="AB16" i="27" s="1"/>
  <c r="Y113" i="27" a="1"/>
  <c r="Y113" i="27" s="1"/>
  <c r="AF66" i="27" a="1"/>
  <c r="AF66" i="27" s="1"/>
  <c r="O118" i="27" a="1"/>
  <c r="O118" i="27" s="1"/>
  <c r="AA117" i="27" a="1"/>
  <c r="AA117" i="27" s="1"/>
  <c r="N40" i="27" a="1"/>
  <c r="N40" i="27" s="1"/>
  <c r="AA118" i="27" a="1"/>
  <c r="AA118" i="27" s="1"/>
  <c r="M118" i="27" a="1"/>
  <c r="M118" i="27" s="1"/>
  <c r="M113" i="27" a="1"/>
  <c r="M113" i="27" s="1"/>
  <c r="R72" i="27" a="1"/>
  <c r="R72" i="27" s="1"/>
  <c r="O16" i="27" a="1"/>
  <c r="O16" i="27" s="1"/>
  <c r="AH132" i="27" a="1"/>
  <c r="AH132" i="27" s="1"/>
  <c r="Y118" i="27" a="1"/>
  <c r="Y118" i="27" s="1"/>
  <c r="X113" i="27" a="1"/>
  <c r="X113" i="27" s="1"/>
  <c r="Y20" i="27" a="1"/>
  <c r="Y20" i="27" s="1"/>
  <c r="AF121" i="27" a="1"/>
  <c r="AF121" i="27" s="1"/>
  <c r="R40" i="27" a="1"/>
  <c r="R40" i="27" s="1"/>
  <c r="P121" i="27" a="1"/>
  <c r="P121" i="27" s="1"/>
  <c r="S118" i="27" a="1"/>
  <c r="S118" i="27" s="1"/>
  <c r="AB121" i="27" a="1"/>
  <c r="AB121" i="27" s="1"/>
  <c r="AB72" i="27" a="1"/>
  <c r="AB72" i="27" s="1"/>
  <c r="AD121" i="27" a="1"/>
  <c r="AD121" i="27" s="1"/>
  <c r="X132" i="27" a="1"/>
  <c r="X132" i="27" s="1"/>
  <c r="W32" i="27" a="1"/>
  <c r="W32" i="27" s="1"/>
  <c r="AD125" i="27" a="1"/>
  <c r="AD125" i="27" s="1"/>
  <c r="AA89" i="27" a="1"/>
  <c r="AA89" i="27" s="1"/>
  <c r="AF58" i="27" a="1"/>
  <c r="AF58" i="27" s="1"/>
  <c r="AG139" i="27" a="1"/>
  <c r="AG139" i="27" s="1"/>
  <c r="AC139" i="27" a="1"/>
  <c r="AC139" i="27" s="1"/>
  <c r="X106" i="27" a="1"/>
  <c r="X106" i="27" s="1"/>
  <c r="W24" i="27" a="1"/>
  <c r="W24" i="27" s="1"/>
  <c r="AD42" i="27" a="1"/>
  <c r="AD42" i="27" s="1"/>
  <c r="X137" i="27" a="1"/>
  <c r="X137" i="27" s="1"/>
  <c r="Q46" i="27" a="1"/>
  <c r="Q46" i="27" s="1"/>
  <c r="W65" i="27" a="1"/>
  <c r="W65" i="27" s="1"/>
  <c r="AB98" i="27" a="1"/>
  <c r="AB98" i="27" s="1"/>
  <c r="AD138" i="27" a="1"/>
  <c r="AD138" i="27" s="1"/>
  <c r="AA68" i="27" a="1"/>
  <c r="AA68" i="27" s="1"/>
  <c r="AG42" i="27" a="1"/>
  <c r="AG42" i="27" s="1"/>
  <c r="AH98" i="27" a="1"/>
  <c r="AH98" i="27" s="1"/>
  <c r="S110" i="27" a="1"/>
  <c r="S110" i="27" s="1"/>
  <c r="AF25" i="27" a="1"/>
  <c r="AF25" i="27" s="1"/>
  <c r="M82" i="27" a="1"/>
  <c r="M82" i="27" s="1"/>
  <c r="AB65" i="27" a="1"/>
  <c r="AB65" i="27" s="1"/>
  <c r="O93" i="27" a="1"/>
  <c r="O93" i="27" s="1"/>
  <c r="O22" i="27" a="1"/>
  <c r="O22" i="27" s="1"/>
  <c r="U106" i="27" a="1"/>
  <c r="U106" i="27" s="1"/>
  <c r="AF76" i="27" a="1"/>
  <c r="AF76" i="27" s="1"/>
  <c r="N105" i="27" a="1"/>
  <c r="N105" i="27" s="1"/>
  <c r="R100" i="27" a="1"/>
  <c r="R100" i="27" s="1"/>
  <c r="S32" i="27" a="1"/>
  <c r="S32" i="27" s="1"/>
  <c r="L60" i="27" a="1"/>
  <c r="L60" i="27" s="1"/>
  <c r="AA56" i="27" a="1"/>
  <c r="AA56" i="27" s="1"/>
  <c r="T137" i="27" a="1"/>
  <c r="T137" i="27" s="1"/>
  <c r="AE25" i="27" a="1"/>
  <c r="AE25" i="27" s="1"/>
  <c r="AI89" i="27" a="1"/>
  <c r="AI89" i="27" s="1"/>
  <c r="S129" i="27" a="1"/>
  <c r="S129" i="27" s="1"/>
  <c r="AD80" i="27" a="1"/>
  <c r="AD80" i="27" s="1"/>
  <c r="P53" i="27" a="1"/>
  <c r="P53" i="27" s="1"/>
  <c r="AI17" i="27" a="1"/>
  <c r="AI17" i="27" s="1"/>
  <c r="AI68" i="27" a="1"/>
  <c r="AI68" i="27" s="1"/>
  <c r="AI64" i="27" a="1"/>
  <c r="AI64" i="27" s="1"/>
  <c r="AH116" i="27" a="1"/>
  <c r="AH116" i="27" s="1"/>
  <c r="T92" i="27" a="1"/>
  <c r="T92" i="27" s="1"/>
  <c r="AE114" i="27" a="1"/>
  <c r="AE114" i="27" s="1"/>
  <c r="AC28" i="27" a="1"/>
  <c r="AC28" i="27" s="1"/>
  <c r="AA28" i="27" a="1"/>
  <c r="AA28" i="27" s="1"/>
  <c r="M110" i="27" a="1"/>
  <c r="M110" i="27" s="1"/>
  <c r="T125" i="27" a="1"/>
  <c r="T125" i="27" s="1"/>
  <c r="AB46" i="27" a="1"/>
  <c r="AB46" i="27" s="1"/>
  <c r="T102" i="27" a="1"/>
  <c r="T102" i="27" s="1"/>
  <c r="AB10" i="27" a="1"/>
  <c r="AB10" i="27" s="1"/>
  <c r="U48" i="27" a="1"/>
  <c r="U48" i="27" s="1"/>
  <c r="AG134" i="27" a="1"/>
  <c r="AG134" i="27" s="1"/>
  <c r="AA139" i="27" a="1"/>
  <c r="AA139" i="27" s="1"/>
  <c r="R36" i="27" a="1"/>
  <c r="R36" i="27" s="1"/>
  <c r="V26" i="27" a="1"/>
  <c r="V26" i="27" s="1"/>
  <c r="AI105" i="27" a="1"/>
  <c r="AI105" i="27" s="1"/>
  <c r="X112" i="27" a="1"/>
  <c r="X112" i="27" s="1"/>
  <c r="X122" i="27" a="1"/>
  <c r="X122" i="27" s="1"/>
  <c r="V29" i="27" a="1"/>
  <c r="V29" i="27" s="1"/>
  <c r="U60" i="27" a="1"/>
  <c r="U60" i="27" s="1"/>
  <c r="V25" i="27" a="1"/>
  <c r="V25" i="27" s="1"/>
  <c r="AB28" i="27" a="1"/>
  <c r="AB28" i="27" s="1"/>
  <c r="AF12" i="27" a="1"/>
  <c r="AF12" i="27" s="1"/>
  <c r="AE125" i="27" a="1"/>
  <c r="AE125" i="27" s="1"/>
  <c r="W102" i="27" a="1"/>
  <c r="W102" i="27" s="1"/>
  <c r="O56" i="27" a="1"/>
  <c r="O56" i="27" s="1"/>
  <c r="S128" i="27" a="1"/>
  <c r="S128" i="27" s="1"/>
  <c r="N138" i="27" a="1"/>
  <c r="N138" i="27" s="1"/>
  <c r="T93" i="27" a="1"/>
  <c r="T93" i="27" s="1"/>
  <c r="W12" i="27" a="1"/>
  <c r="W12" i="27" s="1"/>
  <c r="AG80" i="27" a="1"/>
  <c r="AG80" i="27" s="1"/>
  <c r="X48" i="27" a="1"/>
  <c r="X48" i="27" s="1"/>
  <c r="Y17" i="27" a="1"/>
  <c r="Y17" i="27" s="1"/>
  <c r="AE126" i="27" a="1"/>
  <c r="AE126" i="27" s="1"/>
  <c r="AI60" i="27" a="1"/>
  <c r="AI60" i="27" s="1"/>
  <c r="U138" i="27" a="1"/>
  <c r="U138" i="27" s="1"/>
  <c r="X28" i="27" a="1"/>
  <c r="X28" i="27" s="1"/>
  <c r="L106" i="27" a="1"/>
  <c r="L106" i="27" s="1"/>
  <c r="Y94" i="27" a="1"/>
  <c r="Y94" i="27" s="1"/>
  <c r="T122" i="27" a="1"/>
  <c r="T122" i="27" s="1"/>
  <c r="Q29" i="27" a="1"/>
  <c r="Q29" i="27" s="1"/>
  <c r="M60" i="27" a="1"/>
  <c r="M60" i="27" s="1"/>
  <c r="M114" i="27" a="1"/>
  <c r="M114" i="27" s="1"/>
  <c r="U25" i="27" a="1"/>
  <c r="U25" i="27" s="1"/>
  <c r="R28" i="27" a="1"/>
  <c r="R28" i="27" s="1"/>
  <c r="AC12" i="27" a="1"/>
  <c r="AC12" i="27" s="1"/>
  <c r="T58" i="27" a="1"/>
  <c r="T58" i="27" s="1"/>
  <c r="Q114" i="27" a="1"/>
  <c r="Q114" i="27" s="1"/>
  <c r="Y129" i="27" a="1"/>
  <c r="Y129" i="27" s="1"/>
  <c r="Q139" i="27" a="1"/>
  <c r="Q139" i="27" s="1"/>
  <c r="U17" i="27" a="1"/>
  <c r="U17" i="27" s="1"/>
  <c r="AH134" i="27" a="1"/>
  <c r="AH134" i="27" s="1"/>
  <c r="P139" i="27" a="1"/>
  <c r="P139" i="27" s="1"/>
  <c r="Q129" i="27" a="1"/>
  <c r="Q129" i="27" s="1"/>
  <c r="AD134" i="27" a="1"/>
  <c r="AD134" i="27" s="1"/>
  <c r="AE64" i="27" a="1"/>
  <c r="AE64" i="27" s="1"/>
  <c r="L116" i="27" a="1"/>
  <c r="L116" i="27" s="1"/>
  <c r="N76" i="27" a="1"/>
  <c r="N76" i="27" s="1"/>
  <c r="AC36" i="27" a="1"/>
  <c r="AC36" i="27" s="1"/>
  <c r="S116" i="27" a="1"/>
  <c r="S116" i="27" s="1"/>
  <c r="S76" i="27" a="1"/>
  <c r="S76" i="27" s="1"/>
  <c r="S122" i="27" a="1"/>
  <c r="S122" i="27" s="1"/>
  <c r="R102" i="27" a="1"/>
  <c r="R102" i="27" s="1"/>
  <c r="AE17" i="27" a="1"/>
  <c r="AE17" i="27" s="1"/>
  <c r="AC56" i="27" a="1"/>
  <c r="AC56" i="27" s="1"/>
  <c r="S12" i="27" a="1"/>
  <c r="S12" i="27" s="1"/>
  <c r="O110" i="27" a="1"/>
  <c r="O110" i="27" s="1"/>
  <c r="Q102" i="27" a="1"/>
  <c r="Q102" i="27" s="1"/>
  <c r="S46" i="27" a="1"/>
  <c r="S46" i="27" s="1"/>
  <c r="P65" i="27" a="1"/>
  <c r="P65" i="27" s="1"/>
  <c r="M126" i="27" a="1"/>
  <c r="M126" i="27" s="1"/>
  <c r="Q134" i="27" a="1"/>
  <c r="Q134" i="27" s="1"/>
  <c r="R80" i="27" a="1"/>
  <c r="R80" i="27" s="1"/>
  <c r="AB29" i="27" a="1"/>
  <c r="AB29" i="27" s="1"/>
  <c r="L56" i="27" a="1"/>
  <c r="L56" i="27" s="1"/>
  <c r="T98" i="27" a="1"/>
  <c r="T98" i="27" s="1"/>
  <c r="AF137" i="27" a="1"/>
  <c r="AF137" i="27" s="1"/>
  <c r="V89" i="27" a="1"/>
  <c r="V89" i="27" s="1"/>
  <c r="AE82" i="27" a="1"/>
  <c r="AE82" i="27" s="1"/>
  <c r="O14" i="27" a="1"/>
  <c r="O14" i="27" s="1"/>
  <c r="V58" i="27" a="1"/>
  <c r="V58" i="27" s="1"/>
  <c r="Z80" i="27" a="1"/>
  <c r="Z80" i="27" s="1"/>
  <c r="Q22" i="27" a="1"/>
  <c r="Q22" i="27" s="1"/>
  <c r="N14" i="27" a="1"/>
  <c r="N14" i="27" s="1"/>
  <c r="V92" i="27" a="1"/>
  <c r="V92" i="27" s="1"/>
  <c r="AE76" i="27" a="1"/>
  <c r="AE76" i="27" s="1"/>
  <c r="O106" i="27" a="1"/>
  <c r="O106" i="27" s="1"/>
  <c r="X12" i="27" a="1"/>
  <c r="X12" i="27" s="1"/>
  <c r="AC10" i="27" a="1"/>
  <c r="AC10" i="27" s="1"/>
  <c r="N130" i="27" a="1"/>
  <c r="N130" i="27" s="1"/>
  <c r="AB125" i="27" a="1"/>
  <c r="AB125" i="27" s="1"/>
  <c r="AD128" i="27" a="1"/>
  <c r="AD128" i="27" s="1"/>
  <c r="X120" i="27" a="1"/>
  <c r="X120" i="27" s="1"/>
  <c r="M36" i="27" a="1"/>
  <c r="M36" i="27" s="1"/>
  <c r="Q24" i="27" a="1"/>
  <c r="Q24" i="27" s="1"/>
  <c r="O42" i="27" a="1"/>
  <c r="O42" i="27" s="1"/>
  <c r="Y112" i="27" a="1"/>
  <c r="Y112" i="27" s="1"/>
  <c r="X100" i="27" a="1"/>
  <c r="X100" i="27" s="1"/>
  <c r="O114" i="27" a="1"/>
  <c r="O114" i="27" s="1"/>
  <c r="AF56" i="27" a="1"/>
  <c r="AF56" i="27" s="1"/>
  <c r="P110" i="27" a="1"/>
  <c r="P110" i="27" s="1"/>
  <c r="X102" i="27" a="1"/>
  <c r="X102" i="27" s="1"/>
  <c r="M22" i="27" a="1"/>
  <c r="M22" i="27" s="1"/>
  <c r="AC42" i="27" a="1"/>
  <c r="AC42" i="27" s="1"/>
  <c r="Q100" i="27" a="1"/>
  <c r="Q100" i="27" s="1"/>
  <c r="Z28" i="27" a="1"/>
  <c r="Z28" i="27" s="1"/>
  <c r="AC98" i="27" a="1"/>
  <c r="AC98" i="27" s="1"/>
  <c r="AA14" i="27" a="1"/>
  <c r="AA14" i="27" s="1"/>
  <c r="M93" i="27" a="1"/>
  <c r="M93" i="27" s="1"/>
  <c r="U134" i="27" a="1"/>
  <c r="U134" i="27" s="1"/>
  <c r="AB129" i="27" a="1"/>
  <c r="AB129" i="27" s="1"/>
  <c r="T68" i="27" a="1"/>
  <c r="T68" i="27" s="1"/>
  <c r="Y76" i="27" a="1"/>
  <c r="Y76" i="27" s="1"/>
  <c r="O100" i="27" a="1"/>
  <c r="O100" i="27" s="1"/>
  <c r="T32" i="27" a="1"/>
  <c r="T32" i="27" s="1"/>
  <c r="Z60" i="27" a="1"/>
  <c r="Z60" i="27" s="1"/>
  <c r="P98" i="27" a="1"/>
  <c r="P98" i="27" s="1"/>
  <c r="P137" i="27" a="1"/>
  <c r="P137" i="27" s="1"/>
  <c r="Y98" i="27" a="1"/>
  <c r="Y98" i="27" s="1"/>
  <c r="Z129" i="27" a="1"/>
  <c r="Z129" i="27" s="1"/>
  <c r="AA17" i="27" a="1"/>
  <c r="AA17" i="27" s="1"/>
  <c r="Y22" i="27" a="1"/>
  <c r="Y22" i="27" s="1"/>
  <c r="AF138" i="27" a="1"/>
  <c r="AF138" i="27" s="1"/>
  <c r="Z68" i="27" a="1"/>
  <c r="Z68" i="27" s="1"/>
  <c r="AA64" i="27" a="1"/>
  <c r="AA64" i="27" s="1"/>
  <c r="AD64" i="27" a="1"/>
  <c r="AD64" i="27" s="1"/>
  <c r="O116" i="27" a="1"/>
  <c r="O116" i="27" s="1"/>
  <c r="AG24" i="27" a="1"/>
  <c r="AG24" i="27" s="1"/>
  <c r="M112" i="27" a="1"/>
  <c r="M112" i="27" s="1"/>
  <c r="W137" i="27" a="1"/>
  <c r="W137" i="27" s="1"/>
  <c r="P125" i="27" a="1"/>
  <c r="P125" i="27" s="1"/>
  <c r="M89" i="27" a="1"/>
  <c r="M89" i="27" s="1"/>
  <c r="X89" i="27" a="1"/>
  <c r="X89" i="27" s="1"/>
  <c r="Z48" i="27" a="1"/>
  <c r="Z48" i="27" s="1"/>
  <c r="P134" i="27" a="1"/>
  <c r="P134" i="27" s="1"/>
  <c r="V133" i="27" a="1"/>
  <c r="V133" i="27" s="1"/>
  <c r="X94" i="27" a="1"/>
  <c r="X94" i="27" s="1"/>
  <c r="AA116" i="27" a="1"/>
  <c r="AA116" i="27" s="1"/>
  <c r="U105" i="27" a="1"/>
  <c r="U105" i="27" s="1"/>
  <c r="S112" i="27" a="1"/>
  <c r="S112" i="27" s="1"/>
  <c r="AG122" i="27" a="1"/>
  <c r="AG122" i="27" s="1"/>
  <c r="M29" i="27" a="1"/>
  <c r="M29" i="27" s="1"/>
  <c r="W69" i="27" a="1"/>
  <c r="W69" i="27" s="1"/>
  <c r="Q25" i="27" a="1"/>
  <c r="Q25" i="27" s="1"/>
  <c r="AF28" i="27" a="1"/>
  <c r="AF28" i="27" s="1"/>
  <c r="AG137" i="27" a="1"/>
  <c r="AG137" i="27" s="1"/>
  <c r="T28" i="27" a="1"/>
  <c r="T28" i="27" s="1"/>
  <c r="AG98" i="27" a="1"/>
  <c r="AG98" i="27" s="1"/>
  <c r="AG89" i="27" a="1"/>
  <c r="AG89" i="27" s="1"/>
  <c r="M138" i="27" a="1"/>
  <c r="M138" i="27" s="1"/>
  <c r="Z139" i="27" a="1"/>
  <c r="Z139" i="27" s="1"/>
  <c r="AI65" i="27" a="1"/>
  <c r="AI65" i="27" s="1"/>
  <c r="O133" i="27" a="1"/>
  <c r="O133" i="27" s="1"/>
  <c r="AI94" i="27" a="1"/>
  <c r="AI94" i="27" s="1"/>
  <c r="AC122" i="27" a="1"/>
  <c r="AC122" i="27" s="1"/>
  <c r="X65" i="27" a="1"/>
  <c r="X65" i="27" s="1"/>
  <c r="Q93" i="27" a="1"/>
  <c r="Q93" i="27" s="1"/>
  <c r="O48" i="27" a="1"/>
  <c r="O48" i="27" s="1"/>
  <c r="N134" i="27" a="1"/>
  <c r="N134" i="27" s="1"/>
  <c r="AE36" i="27" a="1"/>
  <c r="AE36" i="27" s="1"/>
  <c r="Y92" i="27" a="1"/>
  <c r="Y92" i="27" s="1"/>
  <c r="T130" i="27" a="1"/>
  <c r="T130" i="27" s="1"/>
  <c r="Y29" i="27" a="1"/>
  <c r="Y29" i="27" s="1"/>
  <c r="AI102" i="27" a="1"/>
  <c r="AI102" i="27" s="1"/>
  <c r="R116" i="27" a="1"/>
  <c r="R116" i="27" s="1"/>
  <c r="W92" i="27" a="1"/>
  <c r="W92" i="27" s="1"/>
  <c r="AC133" i="27" a="1"/>
  <c r="AC133" i="27" s="1"/>
  <c r="L64" i="27" a="1"/>
  <c r="L64" i="27" s="1"/>
  <c r="V32" i="27" a="1"/>
  <c r="V32" i="27" s="1"/>
  <c r="V56" i="27" a="1"/>
  <c r="V56" i="27" s="1"/>
  <c r="N126" i="27" a="1"/>
  <c r="N126" i="27" s="1"/>
  <c r="AG116" i="27" a="1"/>
  <c r="AG116" i="27" s="1"/>
  <c r="Y42" i="27" a="1"/>
  <c r="Y42" i="27" s="1"/>
  <c r="R60" i="27" a="1"/>
  <c r="R60" i="27" s="1"/>
  <c r="AG28" i="27" a="1"/>
  <c r="AG28" i="27" s="1"/>
  <c r="O46" i="27" a="1"/>
  <c r="O46" i="27" s="1"/>
  <c r="Z120" i="27" a="1"/>
  <c r="Z120" i="27" s="1"/>
  <c r="X10" i="27" a="1"/>
  <c r="X10" i="27" s="1"/>
  <c r="AE48" i="27" a="1"/>
  <c r="AE48" i="27" s="1"/>
  <c r="W105" i="27" a="1"/>
  <c r="W105" i="27" s="1"/>
  <c r="L112" i="27" a="1"/>
  <c r="L112" i="27" s="1"/>
  <c r="X24" i="27" a="1"/>
  <c r="X24" i="27" s="1"/>
  <c r="AB32" i="27" a="1"/>
  <c r="AB32" i="27" s="1"/>
  <c r="V137" i="27" a="1"/>
  <c r="V137" i="27" s="1"/>
  <c r="W17" i="27" a="1"/>
  <c r="W17" i="27" s="1"/>
  <c r="M120" i="27" a="1"/>
  <c r="M120" i="27" s="1"/>
  <c r="AI76" i="27" a="1"/>
  <c r="AI76" i="27" s="1"/>
  <c r="R13" i="27" a="1"/>
  <c r="R13" i="27" s="1"/>
  <c r="AH29" i="27" a="1"/>
  <c r="AH29" i="27" s="1"/>
  <c r="V60" i="27" a="1"/>
  <c r="V60" i="27" s="1"/>
  <c r="Y110" i="27" a="1"/>
  <c r="Y110" i="27" s="1"/>
  <c r="AD137" i="27" a="1"/>
  <c r="AD137" i="27" s="1"/>
  <c r="AA125" i="27" a="1"/>
  <c r="AA125" i="27" s="1"/>
  <c r="U102" i="27" a="1"/>
  <c r="U102" i="27" s="1"/>
  <c r="V125" i="27" a="1"/>
  <c r="V125" i="27" s="1"/>
  <c r="Y130" i="27" a="1"/>
  <c r="Y130" i="27" s="1"/>
  <c r="AH24" i="27" a="1"/>
  <c r="AH24" i="27" s="1"/>
  <c r="AE42" i="27" a="1"/>
  <c r="AE42" i="27" s="1"/>
  <c r="AB13" i="27" a="1"/>
  <c r="AB13" i="27" s="1"/>
  <c r="N29" i="27" a="1"/>
  <c r="N29" i="27" s="1"/>
  <c r="Y114" i="27" a="1"/>
  <c r="Y114" i="27" s="1"/>
  <c r="AH12" i="27" a="1"/>
  <c r="AH12" i="27" s="1"/>
  <c r="Y89" i="27" a="1"/>
  <c r="Y89" i="27" s="1"/>
  <c r="Y138" i="27" a="1"/>
  <c r="Y138" i="27" s="1"/>
  <c r="U125" i="27" a="1"/>
  <c r="U125" i="27" s="1"/>
  <c r="AB80" i="27" a="1"/>
  <c r="AB80" i="27" s="1"/>
  <c r="Y53" i="27" a="1"/>
  <c r="Y53" i="27" s="1"/>
  <c r="AG10" i="27" a="1"/>
  <c r="AG10" i="27" s="1"/>
  <c r="P133" i="27" a="1"/>
  <c r="P133" i="27" s="1"/>
  <c r="S68" i="27" a="1"/>
  <c r="S68" i="27" s="1"/>
  <c r="U36" i="27" a="1"/>
  <c r="U36" i="27" s="1"/>
  <c r="N116" i="27" a="1"/>
  <c r="N116" i="27" s="1"/>
  <c r="AD13" i="27" a="1"/>
  <c r="AD13" i="27" s="1"/>
  <c r="M122" i="27" a="1"/>
  <c r="M122" i="27" s="1"/>
  <c r="AA32" i="27" a="1"/>
  <c r="AA32" i="27" s="1"/>
  <c r="U69" i="27" a="1"/>
  <c r="U69" i="27" s="1"/>
  <c r="L69" i="27" a="1"/>
  <c r="L69" i="27" s="1"/>
  <c r="V28" i="27" a="1"/>
  <c r="V28" i="27" s="1"/>
  <c r="AB137" i="27" a="1"/>
  <c r="AB137" i="27" s="1"/>
  <c r="Z128" i="27" a="1"/>
  <c r="Z128" i="27" s="1"/>
  <c r="Y65" i="27" a="1"/>
  <c r="Y65" i="27" s="1"/>
  <c r="P69" i="27" a="1"/>
  <c r="P69" i="27" s="1"/>
  <c r="V90" i="27" a="1"/>
  <c r="V90" i="27" s="1"/>
  <c r="P126" i="27" a="1"/>
  <c r="P126" i="27" s="1"/>
  <c r="AD90" i="27" a="1"/>
  <c r="AD90" i="27" s="1"/>
  <c r="O68" i="27" a="1"/>
  <c r="O68" i="27" s="1"/>
  <c r="Q94" i="27" a="1"/>
  <c r="Q94" i="27" s="1"/>
  <c r="N26" i="27" a="1"/>
  <c r="N26" i="27" s="1"/>
  <c r="V105" i="27" a="1"/>
  <c r="V105" i="27" s="1"/>
  <c r="Z112" i="27" a="1"/>
  <c r="Z112" i="27" s="1"/>
  <c r="O122" i="27" a="1"/>
  <c r="O122" i="27" s="1"/>
  <c r="S29" i="27" a="1"/>
  <c r="S29" i="27" s="1"/>
  <c r="U12" i="27" a="1"/>
  <c r="U12" i="27" s="1"/>
  <c r="AI28" i="27" a="1"/>
  <c r="AI28" i="27" s="1"/>
  <c r="AA110" i="27" a="1"/>
  <c r="AA110" i="27" s="1"/>
  <c r="T89" i="27" a="1"/>
  <c r="T89" i="27" s="1"/>
  <c r="AA102" i="27" a="1"/>
  <c r="AA102" i="27" s="1"/>
  <c r="AH114" i="27" a="1"/>
  <c r="AH114" i="27" s="1"/>
  <c r="M46" i="27" a="1"/>
  <c r="M46" i="27" s="1"/>
  <c r="N129" i="27" a="1"/>
  <c r="N129" i="27" s="1"/>
  <c r="Y93" i="27" a="1"/>
  <c r="Y93" i="27" s="1"/>
  <c r="N80" i="27" a="1"/>
  <c r="N80" i="27" s="1"/>
  <c r="L80" i="27" a="1"/>
  <c r="L80" i="27" s="1"/>
  <c r="AG48" i="27" a="1"/>
  <c r="AG48" i="27" s="1"/>
  <c r="S10" i="27" a="1"/>
  <c r="S10" i="27" s="1"/>
  <c r="Z17" i="27" a="1"/>
  <c r="Z17" i="27" s="1"/>
  <c r="N64" i="27" a="1"/>
  <c r="N64" i="27" s="1"/>
  <c r="Q60" i="27" a="1"/>
  <c r="Q60" i="27" s="1"/>
  <c r="AA82" i="27" a="1"/>
  <c r="AA82" i="27" s="1"/>
  <c r="AF10" i="27" a="1"/>
  <c r="AF10" i="27" s="1"/>
  <c r="AG120" i="27" a="1"/>
  <c r="AG120" i="27" s="1"/>
  <c r="AH36" i="27" a="1"/>
  <c r="AH36" i="27" s="1"/>
  <c r="W130" i="27" a="1"/>
  <c r="W130" i="27" s="1"/>
  <c r="AB120" i="27" a="1"/>
  <c r="AB120" i="27" s="1"/>
  <c r="Y106" i="27" a="1"/>
  <c r="Y106" i="27" s="1"/>
  <c r="T26" i="27" a="1"/>
  <c r="T26" i="27" s="1"/>
  <c r="Z26" i="27" a="1"/>
  <c r="Z26" i="27" s="1"/>
  <c r="Q137" i="27" a="1"/>
  <c r="Q137" i="27" s="1"/>
  <c r="W106" i="27" a="1"/>
  <c r="W106" i="27" s="1"/>
  <c r="O64" i="27" a="1"/>
  <c r="O64" i="27" s="1"/>
  <c r="Y14" i="27" a="1"/>
  <c r="Y14" i="27" s="1"/>
  <c r="AC58" i="27" a="1"/>
  <c r="AC58" i="27" s="1"/>
  <c r="X82" i="27" a="1"/>
  <c r="X82" i="27" s="1"/>
  <c r="M80" i="27" a="1"/>
  <c r="M80" i="27" s="1"/>
  <c r="R76" i="27" a="1"/>
  <c r="R76" i="27" s="1"/>
  <c r="N17" i="27" a="1"/>
  <c r="N17" i="27" s="1"/>
  <c r="M16" i="27" a="1"/>
  <c r="M16" i="27" s="1"/>
  <c r="AA16" i="27" a="1"/>
  <c r="AA16" i="27" s="1"/>
  <c r="AG66" i="27" a="1"/>
  <c r="AG66" i="27" s="1"/>
  <c r="L117" i="27" a="1"/>
  <c r="L117" i="27" s="1"/>
  <c r="AF16" i="27" a="1"/>
  <c r="AF16" i="27" s="1"/>
  <c r="AG49" i="27" a="1"/>
  <c r="AG49" i="27" s="1"/>
  <c r="AA20" i="27" a="1"/>
  <c r="AA20" i="27" s="1"/>
  <c r="AF20" i="27" a="1"/>
  <c r="AF20" i="27" s="1"/>
  <c r="AA124" i="27" a="1"/>
  <c r="AA124" i="27" s="1"/>
  <c r="AF88" i="27" a="1"/>
  <c r="AF88" i="27" s="1"/>
  <c r="Q124" i="27" a="1"/>
  <c r="Q124" i="27" s="1"/>
  <c r="AI88" i="27" a="1"/>
  <c r="AI88" i="27" s="1"/>
  <c r="Q88" i="27" a="1"/>
  <c r="Q88" i="27" s="1"/>
  <c r="AH124" i="27" a="1"/>
  <c r="AH124" i="27" s="1"/>
  <c r="AF124" i="27" a="1"/>
  <c r="AF124" i="27" s="1"/>
  <c r="X124" i="27" a="1"/>
  <c r="X124" i="27" s="1"/>
  <c r="AG88" i="27" a="1"/>
  <c r="AG88" i="27" s="1"/>
  <c r="W88" i="27" a="1"/>
  <c r="W88" i="27" s="1"/>
  <c r="Z78" i="27" a="1"/>
  <c r="Z78" i="27" s="1"/>
  <c r="AG78" i="27" a="1"/>
  <c r="AG78" i="27" s="1"/>
  <c r="W78" i="27" a="1"/>
  <c r="W78" i="27" s="1"/>
  <c r="S78" i="27" a="1"/>
  <c r="S78" i="27" s="1"/>
  <c r="N78" i="27" a="1"/>
  <c r="N78" i="27" s="1"/>
  <c r="Q78" i="27" a="1"/>
  <c r="Q78" i="27" s="1"/>
  <c r="AE73" i="27" a="1"/>
  <c r="AE73" i="27" s="1"/>
  <c r="AA73" i="27" a="1"/>
  <c r="AA73" i="27" s="1"/>
  <c r="AC73" i="27" a="1"/>
  <c r="AC73" i="27" s="1"/>
  <c r="W41" i="27" a="1"/>
  <c r="W41" i="27" s="1"/>
  <c r="AG41" i="27" a="1"/>
  <c r="AG41" i="27" s="1"/>
  <c r="N41" i="27" a="1"/>
  <c r="N41" i="27" s="1"/>
  <c r="Y73" i="27" a="1"/>
  <c r="Y73" i="27" s="1"/>
  <c r="P73" i="27" a="1"/>
  <c r="P73" i="27" s="1"/>
  <c r="Z41" i="27" a="1"/>
  <c r="Z41" i="27" s="1"/>
  <c r="AA41" i="27" a="1"/>
  <c r="AA41" i="27" s="1"/>
  <c r="M41" i="27" a="1"/>
  <c r="M41" i="27" s="1"/>
  <c r="U73" i="27" a="1"/>
  <c r="U73" i="27" s="1"/>
  <c r="R41" i="27" a="1"/>
  <c r="R41" i="27" s="1"/>
  <c r="AE84" i="27" a="1"/>
  <c r="AE84" i="27" s="1"/>
  <c r="P84" i="27" a="1"/>
  <c r="P84" i="27" s="1"/>
  <c r="P21" i="27" a="1"/>
  <c r="P21" i="27" s="1"/>
  <c r="R97" i="27" a="1"/>
  <c r="R97" i="27" s="1"/>
  <c r="AB97" i="27" a="1"/>
  <c r="AB97" i="27" s="1"/>
  <c r="M73" i="27" a="1"/>
  <c r="M73" i="27" s="1"/>
  <c r="W57" i="27" a="1"/>
  <c r="W57" i="27" s="1"/>
  <c r="P33" i="27" a="1"/>
  <c r="P33" i="27" s="1"/>
  <c r="Q21" i="27" a="1"/>
  <c r="Q21" i="27" s="1"/>
  <c r="AA33" i="27" a="1"/>
  <c r="AA33" i="27" s="1"/>
  <c r="AD33" i="27" a="1"/>
  <c r="AD33" i="27" s="1"/>
  <c r="U57" i="27" a="1"/>
  <c r="U57" i="27" s="1"/>
  <c r="Z21" i="27" a="1"/>
  <c r="Z21" i="27" s="1"/>
  <c r="T33" i="27" a="1"/>
  <c r="T33" i="27" s="1"/>
  <c r="Q97" i="27" a="1"/>
  <c r="Q97" i="27" s="1"/>
  <c r="N21" i="27" a="1"/>
  <c r="N21" i="27" s="1"/>
  <c r="AA57" i="27" a="1"/>
  <c r="AA57" i="27" s="1"/>
  <c r="AH84" i="27" a="1"/>
  <c r="AH84" i="27" s="1"/>
  <c r="S41" i="27" a="1"/>
  <c r="S41" i="27" s="1"/>
  <c r="O21" i="27" a="1"/>
  <c r="O21" i="27" s="1"/>
  <c r="AG97" i="27" a="1"/>
  <c r="AG97" i="27" s="1"/>
  <c r="O33" i="27" a="1"/>
  <c r="O33" i="27" s="1"/>
  <c r="N57" i="27" a="1"/>
  <c r="N57" i="27" s="1"/>
  <c r="Z97" i="27" a="1"/>
  <c r="Z97" i="27" s="1"/>
  <c r="S57" i="27" a="1"/>
  <c r="S57" i="27" s="1"/>
  <c r="AF57" i="27" a="1"/>
  <c r="AF57" i="27" s="1"/>
  <c r="U33" i="27" a="1"/>
  <c r="U33" i="27" s="1"/>
  <c r="S21" i="27" a="1"/>
  <c r="S21" i="27" s="1"/>
  <c r="AG21" i="27" a="1"/>
  <c r="AG21" i="27" s="1"/>
  <c r="Z88" i="27" a="1"/>
  <c r="Z88" i="27" s="1"/>
  <c r="AA88" i="27" a="1"/>
  <c r="AA88" i="27" s="1"/>
  <c r="L109" i="27" a="1"/>
  <c r="L109" i="27" s="1"/>
  <c r="Q109" i="27" a="1"/>
  <c r="Q109" i="27" s="1"/>
  <c r="AA109" i="27" a="1"/>
  <c r="AA109" i="27" s="1"/>
  <c r="T109" i="27" a="1"/>
  <c r="T109" i="27" s="1"/>
  <c r="AG109" i="27" a="1"/>
  <c r="AG109" i="27" s="1"/>
  <c r="AF109" i="27" a="1"/>
  <c r="AF109" i="27" s="1"/>
  <c r="AB109" i="27" a="1"/>
  <c r="AB109" i="27" s="1"/>
  <c r="T77" i="27" a="1"/>
  <c r="T77" i="27" s="1"/>
  <c r="O77" i="27" a="1"/>
  <c r="O77" i="27" s="1"/>
  <c r="L77" i="27" a="1"/>
  <c r="L77" i="27" s="1"/>
  <c r="U77" i="27" a="1"/>
  <c r="U77" i="27" s="1"/>
  <c r="AH77" i="27" a="1"/>
  <c r="AH77" i="27" s="1"/>
  <c r="N77" i="27" a="1"/>
  <c r="N77" i="27" s="1"/>
  <c r="U21" i="27" a="1"/>
  <c r="U21" i="27" s="1"/>
  <c r="AH41" i="27" a="1"/>
  <c r="AH41" i="27" s="1"/>
  <c r="Y88" i="27" a="1"/>
  <c r="Y88" i="27" s="1"/>
  <c r="BO45" i="27"/>
  <c r="BN45" i="27"/>
  <c r="BJ38" i="27"/>
  <c r="BH38" i="27" s="1"/>
  <c r="BO111" i="27"/>
  <c r="BN111" i="27"/>
  <c r="BJ83" i="27"/>
  <c r="BH83" i="27" s="1"/>
  <c r="BJ95" i="27"/>
  <c r="BL95" i="27" s="1"/>
  <c r="BJ85" i="27"/>
  <c r="BH85" i="27" s="1"/>
  <c r="BJ11" i="27"/>
  <c r="BL11" i="27" s="1"/>
  <c r="BJ107" i="27"/>
  <c r="BH107" i="27" s="1"/>
  <c r="BJ63" i="27"/>
  <c r="BL63" i="27" s="1"/>
  <c r="BJ35" i="27"/>
  <c r="BH35" i="27" s="1"/>
  <c r="BJ23" i="27"/>
  <c r="BH23" i="27" s="1"/>
  <c r="AI66" i="27" a="1"/>
  <c r="AI66" i="27" s="1"/>
  <c r="Q49" i="27" a="1"/>
  <c r="Q49" i="27" s="1"/>
  <c r="Q113" i="27" a="1"/>
  <c r="Q113" i="27" s="1"/>
  <c r="U117" i="27" a="1"/>
  <c r="U117" i="27" s="1"/>
  <c r="Q20" i="27" a="1"/>
  <c r="Q20" i="27" s="1"/>
  <c r="AB49" i="27" a="1"/>
  <c r="AB49" i="27" s="1"/>
  <c r="Z113" i="27" a="1"/>
  <c r="Z113" i="27" s="1"/>
  <c r="AI113" i="27" a="1"/>
  <c r="AI113" i="27" s="1"/>
  <c r="AG72" i="27" a="1"/>
  <c r="AG72" i="27" s="1"/>
  <c r="AE20" i="27" a="1"/>
  <c r="AE20" i="27" s="1"/>
  <c r="AI49" i="27" a="1"/>
  <c r="AI49" i="27" s="1"/>
  <c r="X16" i="27" a="1"/>
  <c r="X16" i="27" s="1"/>
  <c r="AG132" i="27" a="1"/>
  <c r="AG132" i="27" s="1"/>
  <c r="AG20" i="27" a="1"/>
  <c r="AG20" i="27" s="1"/>
  <c r="AD113" i="27" a="1"/>
  <c r="AD113" i="27" s="1"/>
  <c r="T117" i="27" a="1"/>
  <c r="T117" i="27" s="1"/>
  <c r="AE118" i="27" a="1"/>
  <c r="AE118" i="27" s="1"/>
  <c r="Q132" i="27" a="1"/>
  <c r="Q132" i="27" s="1"/>
  <c r="Q72" i="27" a="1"/>
  <c r="Q72" i="27" s="1"/>
  <c r="S40" i="27" a="1"/>
  <c r="S40" i="27" s="1"/>
  <c r="AE49" i="27" a="1"/>
  <c r="AE49" i="27" s="1"/>
  <c r="AD118" i="27" a="1"/>
  <c r="AD118" i="27" s="1"/>
  <c r="R118" i="27" a="1"/>
  <c r="R118" i="27" s="1"/>
  <c r="T16" i="27" a="1"/>
  <c r="T16" i="27" s="1"/>
  <c r="R117" i="27" a="1"/>
  <c r="R117" i="27" s="1"/>
  <c r="W121" i="27" a="1"/>
  <c r="W121" i="27" s="1"/>
  <c r="N49" i="27" a="1"/>
  <c r="N49" i="27" s="1"/>
  <c r="S121" i="27" a="1"/>
  <c r="S121" i="27" s="1"/>
  <c r="T132" i="27" a="1"/>
  <c r="T132" i="27" s="1"/>
  <c r="AI121" i="27" a="1"/>
  <c r="AI121" i="27" s="1"/>
  <c r="W20" i="27" a="1"/>
  <c r="W20" i="27" s="1"/>
  <c r="O20" i="27" a="1"/>
  <c r="O20" i="27" s="1"/>
  <c r="AG118" i="27" a="1"/>
  <c r="AG118" i="27" s="1"/>
  <c r="AI20" i="27" a="1"/>
  <c r="AI20" i="27" s="1"/>
  <c r="AE16" i="27" a="1"/>
  <c r="AE16" i="27" s="1"/>
  <c r="V132" i="27" a="1"/>
  <c r="V132" i="27" s="1"/>
  <c r="AC113" i="27" a="1"/>
  <c r="AC113" i="27" s="1"/>
  <c r="O40" i="27" a="1"/>
  <c r="O40" i="27" s="1"/>
  <c r="W40" i="27" a="1"/>
  <c r="W40" i="27" s="1"/>
  <c r="O132" i="27" a="1"/>
  <c r="O132" i="27" s="1"/>
  <c r="M40" i="27" a="1"/>
  <c r="M40" i="27" s="1"/>
  <c r="L121" i="27" a="1"/>
  <c r="L121" i="27" s="1"/>
  <c r="AB40" i="27" a="1"/>
  <c r="AB40" i="27" s="1"/>
  <c r="U72" i="27" a="1"/>
  <c r="U72" i="27" s="1"/>
  <c r="AB20" i="27" a="1"/>
  <c r="AB20" i="27" s="1"/>
  <c r="V66" i="27" a="1"/>
  <c r="V66" i="27" s="1"/>
  <c r="AE40" i="27" a="1"/>
  <c r="AE40" i="27" s="1"/>
  <c r="AH113" i="27" a="1"/>
  <c r="AH113" i="27" s="1"/>
  <c r="AD66" i="27" a="1"/>
  <c r="AD66" i="27" s="1"/>
  <c r="Y121" i="27" a="1"/>
  <c r="Y121" i="27" s="1"/>
  <c r="N72" i="27" a="1"/>
  <c r="N72" i="27" s="1"/>
  <c r="L72" i="27" a="1"/>
  <c r="L72" i="27" s="1"/>
  <c r="Z20" i="27" a="1"/>
  <c r="Z20" i="27" s="1"/>
  <c r="AH49" i="27" a="1"/>
  <c r="AH49" i="27" s="1"/>
  <c r="L40" i="27" a="1"/>
  <c r="L40" i="27" s="1"/>
  <c r="Y66" i="27" a="1"/>
  <c r="Y66" i="27" s="1"/>
  <c r="L20" i="27" a="1"/>
  <c r="L20" i="27" s="1"/>
  <c r="S20" i="27" a="1"/>
  <c r="S20" i="27" s="1"/>
  <c r="AD72" i="27" a="1"/>
  <c r="AD72" i="27" s="1"/>
  <c r="W124" i="27" a="1"/>
  <c r="W124" i="27" s="1"/>
  <c r="AB124" i="27" a="1"/>
  <c r="AB124" i="27" s="1"/>
  <c r="S88" i="27" a="1"/>
  <c r="S88" i="27" s="1"/>
  <c r="AE124" i="27" a="1"/>
  <c r="AE124" i="27" s="1"/>
  <c r="U78" i="27" a="1"/>
  <c r="U78" i="27" s="1"/>
  <c r="L78" i="27" a="1"/>
  <c r="L78" i="27" s="1"/>
  <c r="AF78" i="27" a="1"/>
  <c r="AF78" i="27" s="1"/>
  <c r="X41" i="27" a="1"/>
  <c r="X41" i="27" s="1"/>
  <c r="O78" i="27" a="1"/>
  <c r="O78" i="27" s="1"/>
  <c r="AC78" i="27" a="1"/>
  <c r="AC78" i="27" s="1"/>
  <c r="R73" i="27" a="1"/>
  <c r="R73" i="27" s="1"/>
  <c r="X73" i="27" a="1"/>
  <c r="X73" i="27" s="1"/>
  <c r="Z73" i="27" a="1"/>
  <c r="Z73" i="27" s="1"/>
  <c r="P41" i="27" a="1"/>
  <c r="P41" i="27" s="1"/>
  <c r="V73" i="27" a="1"/>
  <c r="V73" i="27" s="1"/>
  <c r="S73" i="27" a="1"/>
  <c r="S73" i="27" s="1"/>
  <c r="AC41" i="27" a="1"/>
  <c r="AC41" i="27" s="1"/>
  <c r="U84" i="27" a="1"/>
  <c r="U84" i="27" s="1"/>
  <c r="AE21" i="27" a="1"/>
  <c r="AE21" i="27" s="1"/>
  <c r="V97" i="27" a="1"/>
  <c r="V97" i="27" s="1"/>
  <c r="AC21" i="27" a="1"/>
  <c r="AC21" i="27" s="1"/>
  <c r="AC33" i="27" a="1"/>
  <c r="AC33" i="27" s="1"/>
  <c r="R57" i="27" a="1"/>
  <c r="R57" i="27" s="1"/>
  <c r="R84" i="27" a="1"/>
  <c r="R84" i="27" s="1"/>
  <c r="P57" i="27" a="1"/>
  <c r="P57" i="27" s="1"/>
  <c r="X84" i="27" a="1"/>
  <c r="X84" i="27" s="1"/>
  <c r="W21" i="27" a="1"/>
  <c r="W21" i="27" s="1"/>
  <c r="Y57" i="27" a="1"/>
  <c r="Y57" i="27" s="1"/>
  <c r="AD57" i="27" a="1"/>
  <c r="AD57" i="27" s="1"/>
  <c r="U97" i="27" a="1"/>
  <c r="U97" i="27" s="1"/>
  <c r="AH57" i="27" a="1"/>
  <c r="AH57" i="27" s="1"/>
  <c r="O57" i="27" a="1"/>
  <c r="O57" i="27" s="1"/>
  <c r="M97" i="27" a="1"/>
  <c r="M97" i="27" s="1"/>
  <c r="AD97" i="27" a="1"/>
  <c r="AD97" i="27" s="1"/>
  <c r="AA84" i="27" a="1"/>
  <c r="AA84" i="27" s="1"/>
  <c r="O97" i="27" a="1"/>
  <c r="O97" i="27" s="1"/>
  <c r="AG84" i="27" a="1"/>
  <c r="AG84" i="27" s="1"/>
  <c r="Z57" i="27" a="1"/>
  <c r="Z57" i="27" s="1"/>
  <c r="AB21" i="27" a="1"/>
  <c r="AB21" i="27" s="1"/>
  <c r="AB57" i="27" a="1"/>
  <c r="AB57" i="27" s="1"/>
  <c r="L21" i="27" a="1"/>
  <c r="L21" i="27" s="1"/>
  <c r="W33" i="27" a="1"/>
  <c r="W33" i="27" s="1"/>
  <c r="N33" i="27" a="1"/>
  <c r="N33" i="27" s="1"/>
  <c r="AF84" i="27" a="1"/>
  <c r="AF84" i="27" s="1"/>
  <c r="AA97" i="27" a="1"/>
  <c r="AA97" i="27" s="1"/>
  <c r="AI78" i="27" a="1"/>
  <c r="AI78" i="27" s="1"/>
  <c r="AB78" i="27" a="1"/>
  <c r="AB78" i="27" s="1"/>
  <c r="U109" i="27" a="1"/>
  <c r="U109" i="27" s="1"/>
  <c r="AD109" i="27" a="1"/>
  <c r="AD109" i="27" s="1"/>
  <c r="P109" i="27" a="1"/>
  <c r="P109" i="27" s="1"/>
  <c r="R109" i="27" a="1"/>
  <c r="R109" i="27" s="1"/>
  <c r="O109" i="27" a="1"/>
  <c r="O109" i="27" s="1"/>
  <c r="AC109" i="27" a="1"/>
  <c r="AC109" i="27" s="1"/>
  <c r="AF77" i="27" a="1"/>
  <c r="AF77" i="27" s="1"/>
  <c r="AD77" i="27" a="1"/>
  <c r="AD77" i="27" s="1"/>
  <c r="Y77" i="27" a="1"/>
  <c r="Y77" i="27" s="1"/>
  <c r="R77" i="27" a="1"/>
  <c r="R77" i="27" s="1"/>
  <c r="X77" i="27" a="1"/>
  <c r="X77" i="27" s="1"/>
  <c r="AC88" i="27" a="1"/>
  <c r="AC88" i="27" s="1"/>
  <c r="N73" i="27" a="1"/>
  <c r="N73" i="27" s="1"/>
  <c r="L88" i="27" a="1"/>
  <c r="L88" i="27" s="1"/>
  <c r="AB84" i="27" a="1"/>
  <c r="AB84" i="27" s="1"/>
  <c r="BO99" i="27"/>
  <c r="BN99" i="27"/>
  <c r="BL135" i="27"/>
  <c r="BP54" i="27"/>
  <c r="BO54" i="27"/>
  <c r="BN54" i="27"/>
  <c r="BO115" i="27"/>
  <c r="BN115" i="27"/>
  <c r="BJ131" i="27"/>
  <c r="BL131" i="27" s="1"/>
  <c r="BJ30" i="27"/>
  <c r="BH30" i="27" s="1"/>
  <c r="BJ108" i="27"/>
  <c r="BH108" i="27" s="1"/>
  <c r="BJ43" i="27"/>
  <c r="BH43" i="27" s="1"/>
  <c r="BJ91" i="27"/>
  <c r="BH91" i="27" s="1"/>
  <c r="BJ50" i="27"/>
  <c r="BH50" i="27" s="1"/>
  <c r="BJ104" i="27"/>
  <c r="BL104" i="27" s="1"/>
  <c r="BJ136" i="27"/>
  <c r="BH136" i="27" s="1"/>
  <c r="BJ79" i="27"/>
  <c r="BH79" i="27" s="1"/>
  <c r="BJ127" i="27"/>
  <c r="BH127" i="27" s="1"/>
  <c r="BJ123" i="27"/>
  <c r="BH123" i="27" s="1"/>
  <c r="BJ15" i="27"/>
  <c r="BH15" i="27" s="1"/>
  <c r="F13" i="12" s="1"/>
  <c r="P124" i="27" a="1"/>
  <c r="P124" i="27" s="1"/>
  <c r="AC124" i="27" a="1"/>
  <c r="AC124" i="27" s="1"/>
  <c r="V124" i="27" a="1"/>
  <c r="V124" i="27" s="1"/>
  <c r="AG124" i="27" a="1"/>
  <c r="AG124" i="27" s="1"/>
  <c r="R88" i="27" a="1"/>
  <c r="R88" i="27" s="1"/>
  <c r="M124" i="27" a="1"/>
  <c r="M124" i="27" s="1"/>
  <c r="AH88" i="27" a="1"/>
  <c r="AH88" i="27" s="1"/>
  <c r="AI124" i="27" a="1"/>
  <c r="AI124" i="27" s="1"/>
  <c r="T88" i="27" a="1"/>
  <c r="T88" i="27" s="1"/>
  <c r="V88" i="27" a="1"/>
  <c r="V88" i="27" s="1"/>
  <c r="X78" i="27" a="1"/>
  <c r="X78" i="27" s="1"/>
  <c r="P78" i="27" a="1"/>
  <c r="P78" i="27" s="1"/>
  <c r="AH78" i="27" a="1"/>
  <c r="AH78" i="27" s="1"/>
  <c r="AH73" i="27" a="1"/>
  <c r="AH73" i="27" s="1"/>
  <c r="AD73" i="27" a="1"/>
  <c r="AD73" i="27" s="1"/>
  <c r="O73" i="27" a="1"/>
  <c r="O73" i="27" s="1"/>
  <c r="AF41" i="27" a="1"/>
  <c r="AF41" i="27" s="1"/>
  <c r="AB73" i="27" a="1"/>
  <c r="AB73" i="27" s="1"/>
  <c r="U41" i="27" a="1"/>
  <c r="U41" i="27" s="1"/>
  <c r="AI41" i="27" a="1"/>
  <c r="AI41" i="27" s="1"/>
  <c r="V41" i="27" a="1"/>
  <c r="V41" i="27" s="1"/>
  <c r="AE41" i="27" a="1"/>
  <c r="AE41" i="27" s="1"/>
  <c r="Y41" i="27" a="1"/>
  <c r="Y41" i="27" s="1"/>
  <c r="Q84" i="27" a="1"/>
  <c r="Q84" i="27" s="1"/>
  <c r="W84" i="27" a="1"/>
  <c r="W84" i="27" s="1"/>
  <c r="Q33" i="27" a="1"/>
  <c r="Q33" i="27" s="1"/>
  <c r="AH97" i="27" a="1"/>
  <c r="AH97" i="27" s="1"/>
  <c r="M84" i="27" a="1"/>
  <c r="M84" i="27" s="1"/>
  <c r="Z33" i="27" a="1"/>
  <c r="Z33" i="27" s="1"/>
  <c r="L57" i="27" a="1"/>
  <c r="L57" i="27" s="1"/>
  <c r="AB33" i="27" a="1"/>
  <c r="AB33" i="27" s="1"/>
  <c r="P97" i="27" a="1"/>
  <c r="P97" i="27" s="1"/>
  <c r="AC84" i="27" a="1"/>
  <c r="AC84" i="27" s="1"/>
  <c r="M33" i="27" a="1"/>
  <c r="M33" i="27" s="1"/>
  <c r="T21" i="27" a="1"/>
  <c r="T21" i="27" s="1"/>
  <c r="R33" i="27" a="1"/>
  <c r="R33" i="27" s="1"/>
  <c r="AG57" i="27" a="1"/>
  <c r="AG57" i="27" s="1"/>
  <c r="AF33" i="27" a="1"/>
  <c r="AF33" i="27" s="1"/>
  <c r="AA21" i="27" a="1"/>
  <c r="AA21" i="27" s="1"/>
  <c r="AI33" i="27" a="1"/>
  <c r="AI33" i="27" s="1"/>
  <c r="AG33" i="27" a="1"/>
  <c r="AG33" i="27" s="1"/>
  <c r="AE57" i="27" a="1"/>
  <c r="AE57" i="27" s="1"/>
  <c r="L84" i="27" a="1"/>
  <c r="L84" i="27" s="1"/>
  <c r="S33" i="27" a="1"/>
  <c r="S33" i="27" s="1"/>
  <c r="V21" i="27" a="1"/>
  <c r="V21" i="27" s="1"/>
  <c r="Y21" i="27" a="1"/>
  <c r="Y21" i="27" s="1"/>
  <c r="R21" i="27" a="1"/>
  <c r="R21" i="27" s="1"/>
  <c r="Z84" i="27" a="1"/>
  <c r="Z84" i="27" s="1"/>
  <c r="AE33" i="27" a="1"/>
  <c r="AE33" i="27" s="1"/>
  <c r="AI21" i="27" a="1"/>
  <c r="AI21" i="27" s="1"/>
  <c r="X88" i="27" a="1"/>
  <c r="X88" i="27" s="1"/>
  <c r="Y78" i="27" a="1"/>
  <c r="Y78" i="27" s="1"/>
  <c r="N124" i="27" a="1"/>
  <c r="N124" i="27" s="1"/>
  <c r="M109" i="27" a="1"/>
  <c r="M109" i="27" s="1"/>
  <c r="X109" i="27" a="1"/>
  <c r="X109" i="27" s="1"/>
  <c r="AH109" i="27" a="1"/>
  <c r="AH109" i="27" s="1"/>
  <c r="AE109" i="27" a="1"/>
  <c r="AE109" i="27" s="1"/>
  <c r="S77" i="27" a="1"/>
  <c r="S77" i="27" s="1"/>
  <c r="M77" i="27" a="1"/>
  <c r="M77" i="27" s="1"/>
  <c r="AC77" i="27" a="1"/>
  <c r="AC77" i="27" s="1"/>
  <c r="BJ62" i="27"/>
  <c r="BH62" i="27" s="1"/>
  <c r="BJ81" i="27"/>
  <c r="BL81" i="27" s="1"/>
  <c r="BO101" i="27"/>
  <c r="BN101" i="27"/>
  <c r="BJ55" i="27"/>
  <c r="BL55" i="27" s="1"/>
  <c r="BP55" i="27" s="1"/>
  <c r="BJ37" i="27"/>
  <c r="BH37" i="27" s="1"/>
  <c r="BJ47" i="27"/>
  <c r="BH47" i="27" s="1"/>
  <c r="BJ51" i="27"/>
  <c r="BH51" i="27" s="1"/>
  <c r="BJ52" i="27"/>
  <c r="BL52" i="27" s="1"/>
  <c r="BJ71" i="27"/>
  <c r="BH71" i="27" s="1"/>
  <c r="M117" i="27" a="1"/>
  <c r="M117" i="27" s="1"/>
  <c r="S113" i="27" a="1"/>
  <c r="S113" i="27" s="1"/>
  <c r="AA66" i="27" a="1"/>
  <c r="AA66" i="27" s="1"/>
  <c r="P72" i="27" a="1"/>
  <c r="P72" i="27" s="1"/>
  <c r="Y49" i="27" a="1"/>
  <c r="Y49" i="27" s="1"/>
  <c r="L66" i="27" a="1"/>
  <c r="L66" i="27" s="1"/>
  <c r="P117" i="27" a="1"/>
  <c r="P117" i="27" s="1"/>
  <c r="Q66" i="27" a="1"/>
  <c r="Q66" i="27" s="1"/>
  <c r="AB117" i="27" a="1"/>
  <c r="AB117" i="27" s="1"/>
  <c r="AG40" i="27" a="1"/>
  <c r="AG40" i="27" s="1"/>
  <c r="AI118" i="27" a="1"/>
  <c r="AI118" i="27" s="1"/>
  <c r="O66" i="27" a="1"/>
  <c r="O66" i="27" s="1"/>
  <c r="M121" i="27" a="1"/>
  <c r="M121" i="27" s="1"/>
  <c r="N118" i="27" a="1"/>
  <c r="N118" i="27" s="1"/>
  <c r="V117" i="27" a="1"/>
  <c r="V117" i="27" s="1"/>
  <c r="P118" i="27" a="1"/>
  <c r="P118" i="27" s="1"/>
  <c r="Z118" i="27" a="1"/>
  <c r="Z118" i="27" s="1"/>
  <c r="AI40" i="27" a="1"/>
  <c r="AI40" i="27" s="1"/>
  <c r="AF132" i="27" a="1"/>
  <c r="AF132" i="27" s="1"/>
  <c r="M132" i="27" a="1"/>
  <c r="M132" i="27" s="1"/>
  <c r="R49" i="27" a="1"/>
  <c r="R49" i="27" s="1"/>
  <c r="X121" i="27" a="1"/>
  <c r="X121" i="27" s="1"/>
  <c r="V72" i="27" a="1"/>
  <c r="V72" i="27" s="1"/>
  <c r="P40" i="27" a="1"/>
  <c r="P40" i="27" s="1"/>
  <c r="O117" i="27" a="1"/>
  <c r="O117" i="27" s="1"/>
  <c r="X72" i="27" a="1"/>
  <c r="X72" i="27" s="1"/>
  <c r="AB118" i="27" a="1"/>
  <c r="AB118" i="27" s="1"/>
  <c r="V40" i="27" a="1"/>
  <c r="V40" i="27" s="1"/>
  <c r="AH66" i="27" a="1"/>
  <c r="AH66" i="27" s="1"/>
  <c r="R132" i="27" a="1"/>
  <c r="R132" i="27" s="1"/>
  <c r="Z49" i="27" a="1"/>
  <c r="Z49" i="27" s="1"/>
  <c r="P113" i="27" a="1"/>
  <c r="P113" i="27" s="1"/>
  <c r="Q121" i="27" a="1"/>
  <c r="Q121" i="27" s="1"/>
  <c r="U49" i="27" a="1"/>
  <c r="U49" i="27" s="1"/>
  <c r="AC121" i="27" a="1"/>
  <c r="AC121" i="27" s="1"/>
  <c r="R121" i="27" a="1"/>
  <c r="R121" i="27" s="1"/>
  <c r="AI72" i="27" a="1"/>
  <c r="AI72" i="27" s="1"/>
  <c r="Q40" i="27" a="1"/>
  <c r="Q40" i="27" s="1"/>
  <c r="AA113" i="27" a="1"/>
  <c r="AA113" i="27" s="1"/>
  <c r="AA72" i="27" a="1"/>
  <c r="AA72" i="27" s="1"/>
  <c r="AC72" i="27" a="1"/>
  <c r="AC72" i="27" s="1"/>
  <c r="Z72" i="27" a="1"/>
  <c r="Z72" i="27" s="1"/>
  <c r="T113" i="27" a="1"/>
  <c r="T113" i="27" s="1"/>
  <c r="AE72" i="27" a="1"/>
  <c r="AE72" i="27" s="1"/>
  <c r="N121" i="27" a="1"/>
  <c r="N121" i="27" s="1"/>
  <c r="P28" i="27" a="1"/>
  <c r="P28" i="27" s="1"/>
  <c r="P88" i="27" a="1"/>
  <c r="P88" i="27" s="1"/>
  <c r="L124" i="27" a="1"/>
  <c r="L124" i="27" s="1"/>
  <c r="S124" i="27" a="1"/>
  <c r="S124" i="27" s="1"/>
  <c r="Z124" i="27" a="1"/>
  <c r="Z124" i="27" s="1"/>
  <c r="Y124" i="27" a="1"/>
  <c r="Y124" i="27" s="1"/>
  <c r="M88" i="27" a="1"/>
  <c r="M88" i="27" s="1"/>
  <c r="R124" i="27" a="1"/>
  <c r="R124" i="27" s="1"/>
  <c r="AD88" i="27" a="1"/>
  <c r="AD88" i="27" s="1"/>
  <c r="U124" i="27" a="1"/>
  <c r="U124" i="27" s="1"/>
  <c r="T124" i="27" a="1"/>
  <c r="T124" i="27" s="1"/>
  <c r="O88" i="27" a="1"/>
  <c r="O88" i="27" s="1"/>
  <c r="AD124" i="27" a="1"/>
  <c r="AD124" i="27" s="1"/>
  <c r="N88" i="27" a="1"/>
  <c r="N88" i="27" s="1"/>
  <c r="AE88" i="27" a="1"/>
  <c r="AE88" i="27" s="1"/>
  <c r="O124" i="27" a="1"/>
  <c r="O124" i="27" s="1"/>
  <c r="AB88" i="27" a="1"/>
  <c r="AB88" i="27" s="1"/>
  <c r="R78" i="27" a="1"/>
  <c r="R78" i="27" s="1"/>
  <c r="AA78" i="27" a="1"/>
  <c r="AA78" i="27" s="1"/>
  <c r="AD78" i="27" a="1"/>
  <c r="AD78" i="27" s="1"/>
  <c r="M78" i="27" a="1"/>
  <c r="M78" i="27" s="1"/>
  <c r="L73" i="27" a="1"/>
  <c r="L73" i="27" s="1"/>
  <c r="AI73" i="27" a="1"/>
  <c r="AI73" i="27" s="1"/>
  <c r="AG73" i="27" a="1"/>
  <c r="AG73" i="27" s="1"/>
  <c r="AB41" i="27" a="1"/>
  <c r="AB41" i="27" s="1"/>
  <c r="Q73" i="27" a="1"/>
  <c r="Q73" i="27" s="1"/>
  <c r="T78" i="27" a="1"/>
  <c r="T78" i="27" s="1"/>
  <c r="T73" i="27" a="1"/>
  <c r="T73" i="27" s="1"/>
  <c r="W73" i="27" a="1"/>
  <c r="W73" i="27" s="1"/>
  <c r="O41" i="27" a="1"/>
  <c r="O41" i="27" s="1"/>
  <c r="AF73" i="27" a="1"/>
  <c r="AF73" i="27" s="1"/>
  <c r="AD41" i="27" a="1"/>
  <c r="AD41" i="27" s="1"/>
  <c r="Q41" i="27" a="1"/>
  <c r="Q41" i="27" s="1"/>
  <c r="T41" i="27" a="1"/>
  <c r="T41" i="27" s="1"/>
  <c r="M57" i="27" a="1"/>
  <c r="M57" i="27" s="1"/>
  <c r="S97" i="27" a="1"/>
  <c r="S97" i="27" s="1"/>
  <c r="V84" i="27" a="1"/>
  <c r="V84" i="27" s="1"/>
  <c r="M21" i="27" a="1"/>
  <c r="M21" i="27" s="1"/>
  <c r="Q57" i="27" a="1"/>
  <c r="Q57" i="27" s="1"/>
  <c r="AF97" i="27" a="1"/>
  <c r="AF97" i="27" s="1"/>
  <c r="W97" i="27" a="1"/>
  <c r="W97" i="27" s="1"/>
  <c r="Y84" i="27" a="1"/>
  <c r="Y84" i="27" s="1"/>
  <c r="T84" i="27" a="1"/>
  <c r="T84" i="27" s="1"/>
  <c r="V57" i="27" a="1"/>
  <c r="V57" i="27" s="1"/>
  <c r="AH21" i="27" a="1"/>
  <c r="AH21" i="27" s="1"/>
  <c r="X21" i="27" a="1"/>
  <c r="X21" i="27" s="1"/>
  <c r="AI57" i="27" a="1"/>
  <c r="AI57" i="27" s="1"/>
  <c r="AI84" i="27" a="1"/>
  <c r="AI84" i="27" s="1"/>
  <c r="Y97" i="27" a="1"/>
  <c r="Y97" i="27" s="1"/>
  <c r="X97" i="27" a="1"/>
  <c r="X97" i="27" s="1"/>
  <c r="T97" i="27" a="1"/>
  <c r="T97" i="27" s="1"/>
  <c r="AD84" i="27" a="1"/>
  <c r="AD84" i="27" s="1"/>
  <c r="AC97" i="27" a="1"/>
  <c r="AC97" i="27" s="1"/>
  <c r="V33" i="27" a="1"/>
  <c r="V33" i="27" s="1"/>
  <c r="X33" i="27" a="1"/>
  <c r="X33" i="27" s="1"/>
  <c r="AC57" i="27" a="1"/>
  <c r="AC57" i="27" s="1"/>
  <c r="L33" i="27" a="1"/>
  <c r="L33" i="27" s="1"/>
  <c r="O84" i="27" a="1"/>
  <c r="O84" i="27" s="1"/>
  <c r="L97" i="27" a="1"/>
  <c r="L97" i="27" s="1"/>
  <c r="X57" i="27" a="1"/>
  <c r="X57" i="27" s="1"/>
  <c r="Y33" i="27" a="1"/>
  <c r="Y33" i="27" s="1"/>
  <c r="AF21" i="27" a="1"/>
  <c r="AF21" i="27" s="1"/>
  <c r="S84" i="27" a="1"/>
  <c r="S84" i="27" s="1"/>
  <c r="AI97" i="27" a="1"/>
  <c r="AI97" i="27" s="1"/>
  <c r="N84" i="27" a="1"/>
  <c r="N84" i="27" s="1"/>
  <c r="U88" i="27" a="1"/>
  <c r="U88" i="27" s="1"/>
  <c r="V78" i="27" a="1"/>
  <c r="V78" i="27" s="1"/>
  <c r="AH33" i="27" a="1"/>
  <c r="AH33" i="27" s="1"/>
  <c r="AE78" i="27" a="1"/>
  <c r="AE78" i="27" s="1"/>
  <c r="V109" i="27" a="1"/>
  <c r="V109" i="27" s="1"/>
  <c r="W109" i="27" a="1"/>
  <c r="W109" i="27" s="1"/>
  <c r="S109" i="27" a="1"/>
  <c r="S109" i="27" s="1"/>
  <c r="AI109" i="27" a="1"/>
  <c r="AI109" i="27" s="1"/>
  <c r="Y109" i="27" a="1"/>
  <c r="Y109" i="27" s="1"/>
  <c r="N109" i="27" a="1"/>
  <c r="N109" i="27" s="1"/>
  <c r="Z109" i="27" a="1"/>
  <c r="Z109" i="27" s="1"/>
  <c r="AG77" i="27" a="1"/>
  <c r="AG77" i="27" s="1"/>
  <c r="AA77" i="27" a="1"/>
  <c r="AA77" i="27" s="1"/>
  <c r="P77" i="27" a="1"/>
  <c r="P77" i="27" s="1"/>
  <c r="V77" i="27" a="1"/>
  <c r="V77" i="27" s="1"/>
  <c r="W77" i="27" a="1"/>
  <c r="W77" i="27" s="1"/>
  <c r="AE77" i="27" a="1"/>
  <c r="AE77" i="27" s="1"/>
  <c r="AI77" i="27" a="1"/>
  <c r="AI77" i="27" s="1"/>
  <c r="Z77" i="27" a="1"/>
  <c r="Z77" i="27" s="1"/>
  <c r="Q77" i="27" a="1"/>
  <c r="Q77" i="27" s="1"/>
  <c r="AB77" i="27" a="1"/>
  <c r="AB77" i="27" s="1"/>
  <c r="AD21" i="27" a="1"/>
  <c r="AD21" i="27" s="1"/>
  <c r="L41" i="27" a="1"/>
  <c r="L41" i="27" s="1"/>
  <c r="T57" i="27" a="1"/>
  <c r="T57" i="27" s="1"/>
  <c r="BO74" i="27"/>
  <c r="BN74" i="27"/>
  <c r="BJ61" i="27"/>
  <c r="BL61" i="27" s="1"/>
  <c r="BO70" i="27"/>
  <c r="BN70" i="27"/>
  <c r="BJ39" i="27"/>
  <c r="BH39" i="27" s="1"/>
  <c r="BJ18" i="27"/>
  <c r="BH18" i="27" s="1"/>
  <c r="BJ31" i="27"/>
  <c r="BH31" i="27" s="1"/>
  <c r="BJ75" i="27"/>
  <c r="BH75" i="27" s="1"/>
  <c r="BJ19" i="27"/>
  <c r="BH19" i="27" s="1"/>
  <c r="BJ34" i="27"/>
  <c r="BH34" i="27" s="1"/>
  <c r="BJ86" i="27"/>
  <c r="BH86" i="27" s="1"/>
  <c r="BJ27" i="27"/>
  <c r="BH27" i="27" s="1"/>
  <c r="BJ119" i="27"/>
  <c r="BH119" i="27" s="1"/>
  <c r="BJ87" i="27"/>
  <c r="BH87" i="27" s="1"/>
  <c r="BJ103" i="27"/>
  <c r="BH103" i="27" s="1"/>
  <c r="BO67" i="27"/>
  <c r="BN67" i="27"/>
  <c r="O9" i="27" a="1"/>
  <c r="O9" i="27" s="1"/>
  <c r="AE9" i="27" a="1"/>
  <c r="AE9" i="27" s="1"/>
  <c r="AH6" i="27" a="1"/>
  <c r="AH6" i="27" s="1"/>
  <c r="AG6" i="27" a="1"/>
  <c r="AG6" i="27" s="1"/>
  <c r="AF9" i="27" a="1"/>
  <c r="AF9" i="27" s="1"/>
  <c r="AF6" i="27" a="1"/>
  <c r="AF6" i="27" s="1"/>
  <c r="T6" i="27" a="1"/>
  <c r="T6" i="27" s="1"/>
  <c r="AD6" i="27" a="1"/>
  <c r="AD6" i="27" s="1"/>
  <c r="V6" i="27" a="1"/>
  <c r="V6" i="27" s="1"/>
  <c r="W6" i="27" a="1"/>
  <c r="W6" i="27" s="1"/>
  <c r="U6" i="27" a="1"/>
  <c r="U6" i="27" s="1"/>
  <c r="S6" i="27" a="1"/>
  <c r="S6" i="27" s="1"/>
  <c r="N9" i="27" a="1"/>
  <c r="N9" i="27" s="1"/>
  <c r="AD9" i="27" a="1"/>
  <c r="AD9" i="27" s="1"/>
  <c r="Q9" i="27" a="1"/>
  <c r="Q9" i="27" s="1"/>
  <c r="X9" i="27" a="1"/>
  <c r="X9" i="27" s="1"/>
  <c r="AH9" i="27" a="1"/>
  <c r="AH9" i="27" s="1"/>
  <c r="N6" i="27" a="1"/>
  <c r="N6" i="27" s="1"/>
  <c r="AE6" i="27" a="1"/>
  <c r="AE6" i="27" s="1"/>
  <c r="P6" i="27" a="1"/>
  <c r="P6" i="27" s="1"/>
  <c r="AA9" i="27" a="1"/>
  <c r="AA9" i="27" s="1"/>
  <c r="P9" i="27" a="1"/>
  <c r="P9" i="27" s="1"/>
  <c r="AG9" i="27" a="1"/>
  <c r="AG9" i="27" s="1"/>
  <c r="S9" i="27" a="1"/>
  <c r="S9" i="27" s="1"/>
  <c r="Z9" i="27" a="1"/>
  <c r="Z9" i="27" s="1"/>
  <c r="Z6" i="27" a="1"/>
  <c r="Z6" i="27" s="1"/>
  <c r="AA6" i="27" a="1"/>
  <c r="AA6" i="27" s="1"/>
  <c r="AI6" i="27" a="1"/>
  <c r="AI6" i="27" s="1"/>
  <c r="X6" i="27" a="1"/>
  <c r="X6" i="27" s="1"/>
  <c r="R6" i="27" a="1"/>
  <c r="R6" i="27" s="1"/>
  <c r="AB6" i="27" a="1"/>
  <c r="AB6" i="27" s="1"/>
  <c r="Q6" i="27" a="1"/>
  <c r="Q6" i="27" s="1"/>
  <c r="Y6" i="27" a="1"/>
  <c r="Y6" i="27" s="1"/>
  <c r="O6" i="27" a="1"/>
  <c r="O6" i="27" s="1"/>
  <c r="AC6" i="27" a="1"/>
  <c r="AC6" i="27" s="1"/>
  <c r="AI9" i="27" a="1"/>
  <c r="AI9" i="27" s="1"/>
  <c r="R9" i="27" a="1"/>
  <c r="R9" i="27" s="1"/>
  <c r="AB9" i="27" a="1"/>
  <c r="AB9" i="27" s="1"/>
  <c r="AC9" i="27" a="1"/>
  <c r="AC9" i="27" s="1"/>
  <c r="T9" i="27" a="1"/>
  <c r="T9" i="27" s="1"/>
  <c r="Y9" i="27" a="1"/>
  <c r="Y9" i="27" s="1"/>
  <c r="U9" i="27" a="1"/>
  <c r="U9" i="27" s="1"/>
  <c r="W9" i="27" a="1"/>
  <c r="W9" i="27" s="1"/>
  <c r="V9" i="27" a="1"/>
  <c r="V9" i="27" s="1"/>
  <c r="M9" i="27" a="1"/>
  <c r="M9" i="27" s="1"/>
  <c r="BJ7" i="27"/>
  <c r="BH7" i="27" s="1"/>
  <c r="L9" i="27" a="1"/>
  <c r="L9" i="27" s="1"/>
  <c r="M6" i="27" a="1"/>
  <c r="M6" i="27" s="1"/>
  <c r="BO44" i="27" l="1"/>
  <c r="N59" i="12"/>
  <c r="Z59" i="12" s="1"/>
  <c r="N42" i="12"/>
  <c r="Z42" i="12" s="1"/>
  <c r="N42" i="30"/>
  <c r="Z42" i="30" s="1"/>
  <c r="N59" i="30"/>
  <c r="Z59" i="30" s="1"/>
  <c r="N79" i="12"/>
  <c r="Z79" i="12" s="1"/>
  <c r="F80" i="12"/>
  <c r="F80" i="30"/>
  <c r="F11" i="30"/>
  <c r="F11" i="12"/>
  <c r="F44" i="12"/>
  <c r="F44" i="30"/>
  <c r="F90" i="12"/>
  <c r="F90" i="30"/>
  <c r="F51" i="12"/>
  <c r="F51" i="30"/>
  <c r="BJ6" i="27"/>
  <c r="BH6" i="27" s="1"/>
  <c r="F133" i="30"/>
  <c r="F133" i="12"/>
  <c r="M133" i="30"/>
  <c r="M133" i="12"/>
  <c r="F107" i="12"/>
  <c r="L107" i="12" s="1"/>
  <c r="M107" i="12"/>
  <c r="M107" i="30"/>
  <c r="F107" i="30"/>
  <c r="L107" i="30" s="1"/>
  <c r="F78" i="12"/>
  <c r="F78" i="30"/>
  <c r="F95" i="12"/>
  <c r="F95" i="30"/>
  <c r="N79" i="30"/>
  <c r="Z79" i="30" s="1"/>
  <c r="L140" i="27" a="1"/>
  <c r="L140" i="27" s="1"/>
  <c r="AD140" i="27" a="1"/>
  <c r="AD140" i="27" s="1"/>
  <c r="AG140" i="27" a="1"/>
  <c r="AG140" i="27" s="1"/>
  <c r="W140" i="27" a="1"/>
  <c r="W140" i="27" s="1"/>
  <c r="BL27" i="27"/>
  <c r="BL75" i="27"/>
  <c r="BJ73" i="27"/>
  <c r="BH73" i="27" s="1"/>
  <c r="BL71" i="27"/>
  <c r="BL51" i="27"/>
  <c r="BL79" i="27"/>
  <c r="BO104" i="27"/>
  <c r="BN104" i="27"/>
  <c r="BL108" i="27"/>
  <c r="BO131" i="27"/>
  <c r="BN131" i="27"/>
  <c r="BO135" i="27"/>
  <c r="BN135" i="27"/>
  <c r="BL35" i="27"/>
  <c r="BL107" i="27"/>
  <c r="BL85" i="27"/>
  <c r="BL83" i="27"/>
  <c r="BJ109" i="27"/>
  <c r="BL109" i="27" s="1"/>
  <c r="BP109" i="27" s="1"/>
  <c r="BJ117" i="27"/>
  <c r="BH117" i="27" s="1"/>
  <c r="BJ56" i="27"/>
  <c r="BH56" i="27" s="1"/>
  <c r="BJ116" i="27"/>
  <c r="BH116" i="27" s="1"/>
  <c r="BJ106" i="27"/>
  <c r="BH106" i="27" s="1"/>
  <c r="BJ60" i="27"/>
  <c r="BH60" i="27" s="1"/>
  <c r="BJ49" i="27"/>
  <c r="BH49" i="27" s="1"/>
  <c r="BJ120" i="27"/>
  <c r="BH120" i="27" s="1"/>
  <c r="BJ133" i="27"/>
  <c r="BH133" i="27" s="1"/>
  <c r="BJ12" i="27"/>
  <c r="BH12" i="27" s="1"/>
  <c r="BJ90" i="27"/>
  <c r="BH90" i="27" s="1"/>
  <c r="BJ93" i="27"/>
  <c r="BH93" i="27" s="1"/>
  <c r="BJ24" i="27"/>
  <c r="BH24" i="27" s="1"/>
  <c r="BJ58" i="27"/>
  <c r="BH58" i="27" s="1"/>
  <c r="BJ102" i="27"/>
  <c r="BH102" i="27" s="1"/>
  <c r="BJ46" i="27"/>
  <c r="BL46" i="27" s="1"/>
  <c r="BJ129" i="27"/>
  <c r="BH129" i="27" s="1"/>
  <c r="BJ25" i="27"/>
  <c r="BH25" i="27" s="1"/>
  <c r="BJ98" i="27"/>
  <c r="BH98" i="27" s="1"/>
  <c r="BJ110" i="27"/>
  <c r="BH110" i="27" s="1"/>
  <c r="BJ68" i="27"/>
  <c r="BH68" i="27" s="1"/>
  <c r="BJ126" i="27"/>
  <c r="BH126" i="27" s="1"/>
  <c r="BJ100" i="27"/>
  <c r="BH100" i="27" s="1"/>
  <c r="BJ92" i="27"/>
  <c r="BL92" i="27" s="1"/>
  <c r="BJ17" i="27"/>
  <c r="BH17" i="27" s="1"/>
  <c r="BJ114" i="27"/>
  <c r="BH114" i="27" s="1"/>
  <c r="BJ76" i="27"/>
  <c r="BH76" i="27" s="1"/>
  <c r="BJ130" i="27"/>
  <c r="BH130" i="27" s="1"/>
  <c r="BJ118" i="27"/>
  <c r="BH118" i="27" s="1"/>
  <c r="BJ132" i="27"/>
  <c r="BH132" i="27" s="1"/>
  <c r="BJ28" i="27"/>
  <c r="BH28" i="27" s="1"/>
  <c r="BJ22" i="27"/>
  <c r="BH22" i="27" s="1"/>
  <c r="BJ10" i="27"/>
  <c r="BH10" i="27" s="1"/>
  <c r="BJ48" i="27"/>
  <c r="BH48" i="27" s="1"/>
  <c r="BJ138" i="27"/>
  <c r="BH138" i="27" s="1"/>
  <c r="BJ139" i="27"/>
  <c r="BH139" i="27" s="1"/>
  <c r="BJ26" i="27"/>
  <c r="BH26" i="27" s="1"/>
  <c r="M24" i="30" s="1"/>
  <c r="Z140" i="27" a="1"/>
  <c r="Z140" i="27" s="1"/>
  <c r="AC140" i="27" a="1"/>
  <c r="AC140" i="27" s="1"/>
  <c r="AB140" i="27" a="1"/>
  <c r="AB140" i="27" s="1"/>
  <c r="T140" i="27" a="1"/>
  <c r="T140" i="27" s="1"/>
  <c r="AE140" i="27" a="1"/>
  <c r="AE140" i="27" s="1"/>
  <c r="AI140" i="27" a="1"/>
  <c r="AI140" i="27" s="1"/>
  <c r="Y140" i="27" a="1"/>
  <c r="Y140" i="27" s="1"/>
  <c r="U140" i="27" a="1"/>
  <c r="U140" i="27" s="1"/>
  <c r="BL103" i="27"/>
  <c r="BL86" i="27"/>
  <c r="BL31" i="27"/>
  <c r="BL47" i="27"/>
  <c r="BO55" i="27"/>
  <c r="BN55" i="27"/>
  <c r="BJ57" i="27"/>
  <c r="BH57" i="27" s="1"/>
  <c r="BL15" i="27"/>
  <c r="BL136" i="27"/>
  <c r="BL50" i="27"/>
  <c r="BL30" i="27"/>
  <c r="BJ88" i="27"/>
  <c r="BH88" i="27" s="1"/>
  <c r="BJ20" i="27"/>
  <c r="BH20" i="27" s="1"/>
  <c r="BJ40" i="27"/>
  <c r="BH40" i="27" s="1"/>
  <c r="BL38" i="27"/>
  <c r="N140" i="27" a="1"/>
  <c r="N140" i="27" s="1"/>
  <c r="Q140" i="27" a="1"/>
  <c r="Q140" i="27" s="1"/>
  <c r="O140" i="27" a="1"/>
  <c r="O140" i="27" s="1"/>
  <c r="BL87" i="27"/>
  <c r="BL34" i="27"/>
  <c r="BL18" i="27"/>
  <c r="BJ41" i="27"/>
  <c r="BH41" i="27" s="1"/>
  <c r="BJ97" i="27"/>
  <c r="BL97" i="27" s="1"/>
  <c r="BJ33" i="27"/>
  <c r="BH33" i="27" s="1"/>
  <c r="BJ124" i="27"/>
  <c r="BH124" i="27" s="1"/>
  <c r="BJ66" i="27"/>
  <c r="BH66" i="27" s="1"/>
  <c r="BL37" i="27"/>
  <c r="BO81" i="27"/>
  <c r="BN81" i="27"/>
  <c r="BL62" i="27"/>
  <c r="BL123" i="27"/>
  <c r="BL91" i="27"/>
  <c r="BJ77" i="27"/>
  <c r="BH77" i="27" s="1"/>
  <c r="BJ80" i="27"/>
  <c r="BL80" i="27" s="1"/>
  <c r="BJ69" i="27"/>
  <c r="BH69" i="27" s="1"/>
  <c r="BJ112" i="27"/>
  <c r="BH112" i="27" s="1"/>
  <c r="BJ64" i="27"/>
  <c r="BH64" i="27" s="1"/>
  <c r="BJ113" i="27"/>
  <c r="BH113" i="27" s="1"/>
  <c r="BJ94" i="27"/>
  <c r="BH94" i="27" s="1"/>
  <c r="BJ82" i="27"/>
  <c r="BL82" i="27" s="1"/>
  <c r="BJ14" i="27"/>
  <c r="BH14" i="27" s="1"/>
  <c r="BJ125" i="27"/>
  <c r="BH125" i="27" s="1"/>
  <c r="BJ13" i="27"/>
  <c r="BL13" i="27" s="1"/>
  <c r="BJ65" i="27"/>
  <c r="BH65" i="27" s="1"/>
  <c r="BJ42" i="27"/>
  <c r="BH42" i="27" s="1"/>
  <c r="BJ36" i="27"/>
  <c r="BH36" i="27" s="1"/>
  <c r="BJ137" i="27"/>
  <c r="BH137" i="27" s="1"/>
  <c r="BJ128" i="27"/>
  <c r="BH128" i="27" s="1"/>
  <c r="BJ29" i="27"/>
  <c r="BH29" i="27" s="1"/>
  <c r="BJ134" i="27"/>
  <c r="BH134" i="27" s="1"/>
  <c r="BJ53" i="27"/>
  <c r="BL53" i="27" s="1"/>
  <c r="BJ32" i="27"/>
  <c r="BH32" i="27" s="1"/>
  <c r="BJ16" i="27"/>
  <c r="BH16" i="27" s="1"/>
  <c r="BJ89" i="27"/>
  <c r="BH89" i="27" s="1"/>
  <c r="BJ105" i="27"/>
  <c r="BH105" i="27" s="1"/>
  <c r="BJ122" i="27"/>
  <c r="BH122" i="27" s="1"/>
  <c r="P140" i="27" a="1"/>
  <c r="P140" i="27" s="1"/>
  <c r="V140" i="27" a="1"/>
  <c r="V140" i="27" s="1"/>
  <c r="R140" i="27" a="1"/>
  <c r="R140" i="27" s="1"/>
  <c r="AH140" i="27" a="1"/>
  <c r="AH140" i="27" s="1"/>
  <c r="X140" i="27" a="1"/>
  <c r="X140" i="27" s="1"/>
  <c r="AF140" i="27" a="1"/>
  <c r="AF140" i="27" s="1"/>
  <c r="M140" i="27" a="1"/>
  <c r="M140" i="27" s="1"/>
  <c r="AA140" i="27" a="1"/>
  <c r="AA140" i="27" s="1"/>
  <c r="S140" i="27" a="1"/>
  <c r="S140" i="27" s="1"/>
  <c r="BL119" i="27"/>
  <c r="BL19" i="27"/>
  <c r="BL39" i="27"/>
  <c r="BO61" i="27"/>
  <c r="BN61" i="27"/>
  <c r="BN52" i="27"/>
  <c r="BO52" i="27"/>
  <c r="BJ84" i="27"/>
  <c r="BH84" i="27" s="1"/>
  <c r="BL127" i="27"/>
  <c r="BL43" i="27"/>
  <c r="BJ21" i="27"/>
  <c r="BH21" i="27" s="1"/>
  <c r="BJ78" i="27"/>
  <c r="BH78" i="27" s="1"/>
  <c r="BJ72" i="27"/>
  <c r="BH72" i="27" s="1"/>
  <c r="BJ121" i="27"/>
  <c r="BH121" i="27" s="1"/>
  <c r="BL23" i="27"/>
  <c r="BN63" i="27"/>
  <c r="BO63" i="27"/>
  <c r="BN11" i="27"/>
  <c r="BO11" i="27"/>
  <c r="BN95" i="27"/>
  <c r="BO95" i="27"/>
  <c r="BL7" i="27"/>
  <c r="BJ9" i="27"/>
  <c r="BH9" i="27" s="1"/>
  <c r="BL120" i="27" l="1"/>
  <c r="BN120" i="27" s="1"/>
  <c r="W133" i="31"/>
  <c r="Y133" i="31" s="1"/>
  <c r="W133" i="30"/>
  <c r="Y133" i="30" s="1"/>
  <c r="U133" i="12"/>
  <c r="W133" i="12" s="1"/>
  <c r="BQ52" i="27"/>
  <c r="M37" i="12"/>
  <c r="F37" i="12"/>
  <c r="M37" i="30"/>
  <c r="F37" i="30"/>
  <c r="M117" i="12"/>
  <c r="F117" i="12"/>
  <c r="F117" i="30"/>
  <c r="M117" i="30"/>
  <c r="M73" i="30"/>
  <c r="M73" i="12"/>
  <c r="F73" i="12"/>
  <c r="F73" i="30"/>
  <c r="M121" i="30"/>
  <c r="F121" i="12"/>
  <c r="M121" i="12"/>
  <c r="F121" i="30"/>
  <c r="F32" i="12"/>
  <c r="F32" i="30"/>
  <c r="M32" i="30"/>
  <c r="M32" i="12"/>
  <c r="M134" i="30"/>
  <c r="F134" i="12"/>
  <c r="M134" i="12"/>
  <c r="F134" i="30"/>
  <c r="M81" i="30"/>
  <c r="M81" i="12"/>
  <c r="F81" i="12"/>
  <c r="F81" i="30"/>
  <c r="F106" i="30"/>
  <c r="M106" i="30"/>
  <c r="M106" i="12"/>
  <c r="F106" i="12"/>
  <c r="BQ63" i="27"/>
  <c r="M17" i="12"/>
  <c r="F17" i="12"/>
  <c r="M17" i="30"/>
  <c r="F17" i="30"/>
  <c r="F29" i="30"/>
  <c r="M29" i="12"/>
  <c r="M29" i="30"/>
  <c r="F29" i="12"/>
  <c r="F25" i="12"/>
  <c r="M25" i="12"/>
  <c r="M25" i="30"/>
  <c r="F25" i="30"/>
  <c r="F21" i="30"/>
  <c r="M21" i="12"/>
  <c r="F21" i="12"/>
  <c r="M21" i="30"/>
  <c r="F45" i="30"/>
  <c r="F45" i="12"/>
  <c r="M45" i="12"/>
  <c r="M45" i="30"/>
  <c r="M84" i="30"/>
  <c r="M84" i="12"/>
  <c r="F84" i="12"/>
  <c r="F84" i="30"/>
  <c r="M125" i="30"/>
  <c r="F125" i="12"/>
  <c r="M125" i="12"/>
  <c r="F125" i="30"/>
  <c r="M28" i="30"/>
  <c r="F28" i="30"/>
  <c r="M28" i="12"/>
  <c r="F28" i="12"/>
  <c r="M105" i="30"/>
  <c r="M105" i="12"/>
  <c r="F105" i="12"/>
  <c r="F105" i="30"/>
  <c r="M77" i="30"/>
  <c r="M77" i="12"/>
  <c r="F77" i="12"/>
  <c r="F77" i="30"/>
  <c r="BQ95" i="27"/>
  <c r="M101" i="30"/>
  <c r="F101" i="12"/>
  <c r="M101" i="12"/>
  <c r="F101" i="30"/>
  <c r="M41" i="30"/>
  <c r="F41" i="30"/>
  <c r="M41" i="12"/>
  <c r="F41" i="12"/>
  <c r="M89" i="30"/>
  <c r="M89" i="12"/>
  <c r="F89" i="12"/>
  <c r="F89" i="30"/>
  <c r="F60" i="30"/>
  <c r="F60" i="12"/>
  <c r="M60" i="12"/>
  <c r="M60" i="30"/>
  <c r="F35" i="30"/>
  <c r="F35" i="12"/>
  <c r="M35" i="12"/>
  <c r="M35" i="30"/>
  <c r="M16" i="30"/>
  <c r="F16" i="30"/>
  <c r="M16" i="12"/>
  <c r="F16" i="12"/>
  <c r="M85" i="30"/>
  <c r="M85" i="12"/>
  <c r="F85" i="12"/>
  <c r="F85" i="30"/>
  <c r="F48" i="30"/>
  <c r="M48" i="12"/>
  <c r="F48" i="12"/>
  <c r="M48" i="30"/>
  <c r="F13" i="30"/>
  <c r="M13" i="12"/>
  <c r="M13" i="30"/>
  <c r="M83" i="30"/>
  <c r="F83" i="12"/>
  <c r="M83" i="12"/>
  <c r="F83" i="30"/>
  <c r="F33" i="30"/>
  <c r="M33" i="12"/>
  <c r="F33" i="12"/>
  <c r="M33" i="30"/>
  <c r="F49" i="30"/>
  <c r="F49" i="12"/>
  <c r="M49" i="12"/>
  <c r="M49" i="30"/>
  <c r="N107" i="12"/>
  <c r="Z107" i="12" s="1"/>
  <c r="F5" i="30"/>
  <c r="M5" i="12"/>
  <c r="F5" i="12"/>
  <c r="M5" i="30"/>
  <c r="M36" i="12"/>
  <c r="F36" i="12"/>
  <c r="M36" i="30"/>
  <c r="F36" i="30"/>
  <c r="F69" i="30"/>
  <c r="F69" i="12"/>
  <c r="M69" i="30"/>
  <c r="M69" i="12"/>
  <c r="N107" i="30"/>
  <c r="Z107" i="30" s="1"/>
  <c r="BL72" i="27"/>
  <c r="BN43" i="27"/>
  <c r="BO43" i="27"/>
  <c r="BL84" i="27"/>
  <c r="BL105" i="27"/>
  <c r="BL29" i="27"/>
  <c r="BL42" i="27"/>
  <c r="BO13" i="27"/>
  <c r="BN13" i="27"/>
  <c r="BL64" i="27"/>
  <c r="BO30" i="27"/>
  <c r="BN30" i="27"/>
  <c r="BO136" i="27"/>
  <c r="BN136" i="27"/>
  <c r="BL57" i="27"/>
  <c r="BL138" i="27"/>
  <c r="BL28" i="27"/>
  <c r="BL76" i="27"/>
  <c r="BL68" i="27"/>
  <c r="BL129" i="27"/>
  <c r="BL102" i="27"/>
  <c r="BL90" i="27"/>
  <c r="BL106" i="27"/>
  <c r="BN75" i="27"/>
  <c r="BO75" i="27"/>
  <c r="BN23" i="27"/>
  <c r="BO23" i="27"/>
  <c r="BL78" i="27"/>
  <c r="BN39" i="27"/>
  <c r="BO39" i="27"/>
  <c r="BO119" i="27"/>
  <c r="BN119" i="27"/>
  <c r="BL89" i="27"/>
  <c r="BL128" i="27"/>
  <c r="BL65" i="27"/>
  <c r="BL125" i="27"/>
  <c r="BO82" i="27"/>
  <c r="BN82" i="27"/>
  <c r="BL112" i="27"/>
  <c r="BO80" i="27"/>
  <c r="BN80" i="27"/>
  <c r="BO123" i="27"/>
  <c r="BN123" i="27"/>
  <c r="BL66" i="27"/>
  <c r="BN18" i="27"/>
  <c r="BO18" i="27"/>
  <c r="BN87" i="27"/>
  <c r="BO87" i="27"/>
  <c r="BL40" i="27"/>
  <c r="BQ55" i="27"/>
  <c r="BN31" i="27"/>
  <c r="BO31" i="27"/>
  <c r="BN103" i="27"/>
  <c r="BO103" i="27"/>
  <c r="BL48" i="27"/>
  <c r="BL132" i="27"/>
  <c r="BL114" i="27"/>
  <c r="BN92" i="27"/>
  <c r="BO92" i="27"/>
  <c r="BL110" i="27"/>
  <c r="BL58" i="27"/>
  <c r="BL12" i="27"/>
  <c r="BL116" i="27"/>
  <c r="BN83" i="27"/>
  <c r="BO83" i="27"/>
  <c r="BO107" i="27"/>
  <c r="BN107" i="27"/>
  <c r="BQ135" i="27"/>
  <c r="BN108" i="27"/>
  <c r="BO108" i="27"/>
  <c r="BN79" i="27"/>
  <c r="BO79" i="27"/>
  <c r="BN71" i="27"/>
  <c r="BO71" i="27"/>
  <c r="BQ11" i="27"/>
  <c r="BL21" i="27"/>
  <c r="BO127" i="27"/>
  <c r="BN127" i="27"/>
  <c r="BL16" i="27"/>
  <c r="BN53" i="27"/>
  <c r="BO53" i="27"/>
  <c r="BL137" i="27"/>
  <c r="BL14" i="27"/>
  <c r="BL94" i="27"/>
  <c r="BL69" i="27"/>
  <c r="BL77" i="27"/>
  <c r="BL124" i="27"/>
  <c r="BN97" i="27"/>
  <c r="BO97" i="27"/>
  <c r="BL20" i="27"/>
  <c r="BO50" i="27"/>
  <c r="BN50" i="27"/>
  <c r="BO15" i="27"/>
  <c r="BN15" i="27"/>
  <c r="BL26" i="27"/>
  <c r="BL10" i="27"/>
  <c r="BL118" i="27"/>
  <c r="BL17" i="27"/>
  <c r="BL100" i="27"/>
  <c r="BL98" i="27"/>
  <c r="BL24" i="27"/>
  <c r="BP24" i="27" s="1"/>
  <c r="BL133" i="27"/>
  <c r="BL49" i="27"/>
  <c r="BP49" i="27" s="1"/>
  <c r="BL56" i="27"/>
  <c r="BO109" i="27"/>
  <c r="BN109" i="27"/>
  <c r="BN27" i="27"/>
  <c r="BO27" i="27"/>
  <c r="BJ140" i="27"/>
  <c r="BH140" i="27" s="1"/>
  <c r="BL121" i="27"/>
  <c r="BO19" i="27"/>
  <c r="BN19" i="27"/>
  <c r="BL122" i="27"/>
  <c r="BL32" i="27"/>
  <c r="BL134" i="27"/>
  <c r="BL36" i="27"/>
  <c r="BL113" i="27"/>
  <c r="BN91" i="27"/>
  <c r="BO91" i="27"/>
  <c r="BO62" i="27"/>
  <c r="BN62" i="27"/>
  <c r="BO37" i="27"/>
  <c r="BN37" i="27"/>
  <c r="BL33" i="27"/>
  <c r="BP33" i="27" s="1"/>
  <c r="BL41" i="27"/>
  <c r="BO34" i="27"/>
  <c r="BN34" i="27"/>
  <c r="BO38" i="27"/>
  <c r="BN38" i="27"/>
  <c r="BL88" i="27"/>
  <c r="BN47" i="27"/>
  <c r="BO47" i="27"/>
  <c r="BO86" i="27"/>
  <c r="BN86" i="27"/>
  <c r="BL139" i="27"/>
  <c r="BL22" i="27"/>
  <c r="BL130" i="27"/>
  <c r="BL126" i="27"/>
  <c r="BL25" i="27"/>
  <c r="BN46" i="27"/>
  <c r="BO46" i="27"/>
  <c r="BL93" i="27"/>
  <c r="BL60" i="27"/>
  <c r="BL117" i="27"/>
  <c r="BN85" i="27"/>
  <c r="BO85" i="27"/>
  <c r="BO35" i="27"/>
  <c r="BN35" i="27"/>
  <c r="BQ131" i="27"/>
  <c r="BQ104" i="27"/>
  <c r="BO51" i="27"/>
  <c r="BN51" i="27"/>
  <c r="BL73" i="27"/>
  <c r="BL9" i="27"/>
  <c r="BO7" i="27"/>
  <c r="BN7" i="27"/>
  <c r="F4" i="12"/>
  <c r="BL6" i="27"/>
  <c r="BP6" i="27" s="1"/>
  <c r="BO120" i="27" l="1"/>
  <c r="H53" i="12"/>
  <c r="H53" i="30"/>
  <c r="H93" i="12"/>
  <c r="H93" i="30"/>
  <c r="H61" i="12"/>
  <c r="H61" i="30"/>
  <c r="H102" i="12"/>
  <c r="H102" i="30"/>
  <c r="H50" i="12"/>
  <c r="H50" i="30"/>
  <c r="H129" i="12"/>
  <c r="H129" i="30"/>
  <c r="H133" i="12"/>
  <c r="H133" i="30"/>
  <c r="H9" i="12"/>
  <c r="H9" i="30"/>
  <c r="M118" i="12"/>
  <c r="F118" i="12"/>
  <c r="M118" i="30"/>
  <c r="F118" i="30"/>
  <c r="Y133" i="12"/>
  <c r="W101" i="31"/>
  <c r="Y101" i="31" s="1"/>
  <c r="U121" i="12"/>
  <c r="W121" i="12" s="1"/>
  <c r="W21" i="31"/>
  <c r="Y21" i="31" s="1"/>
  <c r="W5" i="30"/>
  <c r="Y5" i="30" s="1"/>
  <c r="W83" i="30"/>
  <c r="Y83" i="30" s="1"/>
  <c r="W48" i="31"/>
  <c r="Y48" i="31" s="1"/>
  <c r="W85" i="30"/>
  <c r="Y85" i="30" s="1"/>
  <c r="W69" i="31"/>
  <c r="Y69" i="31" s="1"/>
  <c r="W77" i="30"/>
  <c r="Y77" i="30" s="1"/>
  <c r="U106" i="12"/>
  <c r="W106" i="12" s="1"/>
  <c r="W81" i="31"/>
  <c r="Y81" i="31" s="1"/>
  <c r="W134" i="30"/>
  <c r="Y134" i="30" s="1"/>
  <c r="U28" i="12"/>
  <c r="W28" i="12" s="1"/>
  <c r="W117" i="31"/>
  <c r="Y117" i="31" s="1"/>
  <c r="W37" i="30"/>
  <c r="Y37" i="30" s="1"/>
  <c r="U49" i="12"/>
  <c r="W49" i="12" s="1"/>
  <c r="W84" i="31"/>
  <c r="Y84" i="31" s="1"/>
  <c r="W45" i="30"/>
  <c r="Y45" i="30" s="1"/>
  <c r="U36" i="12"/>
  <c r="W36" i="12" s="1"/>
  <c r="W60" i="31"/>
  <c r="Y60" i="31" s="1"/>
  <c r="W89" i="30"/>
  <c r="Y89" i="30" s="1"/>
  <c r="U41" i="12"/>
  <c r="W41" i="12" s="1"/>
  <c r="U33" i="12"/>
  <c r="W33" i="12" s="1"/>
  <c r="U4" i="12"/>
  <c r="W4" i="12" s="1"/>
  <c r="W74" i="30"/>
  <c r="Y74" i="30" s="1"/>
  <c r="W25" i="31"/>
  <c r="Y25" i="31" s="1"/>
  <c r="U101" i="12"/>
  <c r="W101" i="12" s="1"/>
  <c r="U29" i="12"/>
  <c r="W29" i="12" s="1"/>
  <c r="W125" i="31"/>
  <c r="Y125" i="31" s="1"/>
  <c r="W21" i="30"/>
  <c r="Y21" i="30" s="1"/>
  <c r="U5" i="12"/>
  <c r="W5" i="12" s="1"/>
  <c r="W13" i="31"/>
  <c r="Y13" i="31" s="1"/>
  <c r="W48" i="30"/>
  <c r="Y48" i="30" s="1"/>
  <c r="U85" i="12"/>
  <c r="W85" i="12" s="1"/>
  <c r="W69" i="30"/>
  <c r="Y69" i="30" s="1"/>
  <c r="U77" i="12"/>
  <c r="W77" i="12" s="1"/>
  <c r="W105" i="31"/>
  <c r="Y105" i="31" s="1"/>
  <c r="W81" i="30"/>
  <c r="Y81" i="30" s="1"/>
  <c r="U134" i="12"/>
  <c r="W134" i="12" s="1"/>
  <c r="W32" i="31"/>
  <c r="Y32" i="31" s="1"/>
  <c r="W117" i="30"/>
  <c r="Y117" i="30" s="1"/>
  <c r="U37" i="12"/>
  <c r="W37" i="12" s="1"/>
  <c r="W17" i="31"/>
  <c r="Y17" i="31" s="1"/>
  <c r="W73" i="31"/>
  <c r="Y73" i="31" s="1"/>
  <c r="W84" i="30"/>
  <c r="Y84" i="30" s="1"/>
  <c r="U45" i="12"/>
  <c r="W45" i="12" s="1"/>
  <c r="W35" i="31"/>
  <c r="Y35" i="31" s="1"/>
  <c r="W60" i="30"/>
  <c r="Y60" i="30" s="1"/>
  <c r="U89" i="12"/>
  <c r="W89" i="12" s="1"/>
  <c r="W16" i="31"/>
  <c r="Y16" i="31" s="1"/>
  <c r="W29" i="30"/>
  <c r="Y29" i="30" s="1"/>
  <c r="W96" i="31"/>
  <c r="Y96" i="31" s="1"/>
  <c r="W25" i="30"/>
  <c r="Y25" i="30" s="1"/>
  <c r="W101" i="30"/>
  <c r="Y101" i="30" s="1"/>
  <c r="W121" i="31"/>
  <c r="Y121" i="31" s="1"/>
  <c r="W125" i="30"/>
  <c r="Y125" i="30" s="1"/>
  <c r="U21" i="12"/>
  <c r="W21" i="12" s="1"/>
  <c r="W83" i="31"/>
  <c r="Y83" i="31" s="1"/>
  <c r="W13" i="30"/>
  <c r="Y13" i="30" s="1"/>
  <c r="U48" i="12"/>
  <c r="W48" i="12" s="1"/>
  <c r="U69" i="12"/>
  <c r="W69" i="12" s="1"/>
  <c r="W106" i="31"/>
  <c r="Y106" i="31" s="1"/>
  <c r="W105" i="30"/>
  <c r="Y105" i="30" s="1"/>
  <c r="U81" i="12"/>
  <c r="W81" i="12" s="1"/>
  <c r="W28" i="31"/>
  <c r="Y28" i="31" s="1"/>
  <c r="W32" i="30"/>
  <c r="Y32" i="30" s="1"/>
  <c r="U117" i="12"/>
  <c r="W117" i="12" s="1"/>
  <c r="W49" i="31"/>
  <c r="Y49" i="31" s="1"/>
  <c r="W17" i="30"/>
  <c r="Y17" i="30" s="1"/>
  <c r="W73" i="30"/>
  <c r="Y73" i="30" s="1"/>
  <c r="U84" i="12"/>
  <c r="W84" i="12" s="1"/>
  <c r="W36" i="31"/>
  <c r="Y36" i="31" s="1"/>
  <c r="W35" i="30"/>
  <c r="Y35" i="30" s="1"/>
  <c r="U60" i="12"/>
  <c r="W60" i="12" s="1"/>
  <c r="W41" i="31"/>
  <c r="Y41" i="31" s="1"/>
  <c r="W33" i="31"/>
  <c r="Y33" i="31" s="1"/>
  <c r="W16" i="30"/>
  <c r="Y16" i="30" s="1"/>
  <c r="U25" i="12"/>
  <c r="W25" i="12" s="1"/>
  <c r="W29" i="31"/>
  <c r="Y29" i="31" s="1"/>
  <c r="W121" i="30"/>
  <c r="Y121" i="30" s="1"/>
  <c r="U125" i="12"/>
  <c r="W125" i="12" s="1"/>
  <c r="W5" i="31"/>
  <c r="Y5" i="31" s="1"/>
  <c r="U83" i="12"/>
  <c r="W83" i="12" s="1"/>
  <c r="U13" i="12"/>
  <c r="W13" i="12" s="1"/>
  <c r="W85" i="31"/>
  <c r="Y85" i="31" s="1"/>
  <c r="W77" i="31"/>
  <c r="Y77" i="31" s="1"/>
  <c r="W106" i="30"/>
  <c r="Y106" i="30" s="1"/>
  <c r="U105" i="12"/>
  <c r="W105" i="12" s="1"/>
  <c r="W134" i="31"/>
  <c r="Y134" i="31" s="1"/>
  <c r="W28" i="30"/>
  <c r="Y28" i="30" s="1"/>
  <c r="U32" i="12"/>
  <c r="W32" i="12" s="1"/>
  <c r="W37" i="31"/>
  <c r="Y37" i="31" s="1"/>
  <c r="W49" i="30"/>
  <c r="Y49" i="30" s="1"/>
  <c r="U17" i="12"/>
  <c r="W17" i="12" s="1"/>
  <c r="U73" i="12"/>
  <c r="W73" i="12" s="1"/>
  <c r="W45" i="31"/>
  <c r="Y45" i="31" s="1"/>
  <c r="W36" i="30"/>
  <c r="Y36" i="30" s="1"/>
  <c r="U35" i="12"/>
  <c r="W35" i="12" s="1"/>
  <c r="W89" i="31"/>
  <c r="Y89" i="31" s="1"/>
  <c r="W41" i="30"/>
  <c r="Y41" i="30" s="1"/>
  <c r="W33" i="30"/>
  <c r="Y33" i="30" s="1"/>
  <c r="U16" i="12"/>
  <c r="W16" i="12" s="1"/>
  <c r="BQ27" i="27"/>
  <c r="BQ19" i="27"/>
  <c r="BQ15" i="27"/>
  <c r="BQ127" i="27"/>
  <c r="BQ107" i="27"/>
  <c r="BQ71" i="27"/>
  <c r="BQ108" i="27"/>
  <c r="BQ87" i="27"/>
  <c r="BQ39" i="27"/>
  <c r="BQ23" i="27"/>
  <c r="M98" i="30"/>
  <c r="F98" i="30"/>
  <c r="F98" i="12"/>
  <c r="M98" i="12"/>
  <c r="M75" i="12"/>
  <c r="F75" i="30"/>
  <c r="M75" i="30"/>
  <c r="F75" i="12"/>
  <c r="M14" i="12"/>
  <c r="M14" i="30"/>
  <c r="F14" i="30"/>
  <c r="F14" i="12"/>
  <c r="M56" i="12"/>
  <c r="F56" i="12"/>
  <c r="F56" i="30"/>
  <c r="M56" i="30"/>
  <c r="F7" i="12"/>
  <c r="M7" i="12"/>
  <c r="M7" i="30"/>
  <c r="F7" i="30"/>
  <c r="F91" i="30"/>
  <c r="M91" i="12"/>
  <c r="F91" i="12"/>
  <c r="M91" i="30"/>
  <c r="M128" i="12"/>
  <c r="F128" i="30"/>
  <c r="M128" i="30"/>
  <c r="F128" i="12"/>
  <c r="F39" i="12"/>
  <c r="M39" i="12"/>
  <c r="M39" i="30"/>
  <c r="F39" i="30"/>
  <c r="F34" i="12"/>
  <c r="M34" i="12"/>
  <c r="M34" i="30"/>
  <c r="F34" i="30"/>
  <c r="F30" i="12"/>
  <c r="M30" i="12"/>
  <c r="M30" i="30"/>
  <c r="F30" i="30"/>
  <c r="BQ79" i="27"/>
  <c r="M38" i="30"/>
  <c r="F38" i="30"/>
  <c r="F38" i="12"/>
  <c r="M38" i="12"/>
  <c r="BQ18" i="27"/>
  <c r="F110" i="12"/>
  <c r="M110" i="12"/>
  <c r="M110" i="30"/>
  <c r="F110" i="30"/>
  <c r="M123" i="30"/>
  <c r="M123" i="12"/>
  <c r="F123" i="12"/>
  <c r="F123" i="30"/>
  <c r="M126" i="12"/>
  <c r="F126" i="12"/>
  <c r="F126" i="30"/>
  <c r="M126" i="30"/>
  <c r="M76" i="12"/>
  <c r="F76" i="30"/>
  <c r="M76" i="30"/>
  <c r="F76" i="12"/>
  <c r="BQ75" i="27"/>
  <c r="M88" i="12"/>
  <c r="F88" i="12"/>
  <c r="F88" i="30"/>
  <c r="M88" i="30"/>
  <c r="F127" i="30"/>
  <c r="M127" i="30"/>
  <c r="M127" i="12"/>
  <c r="F127" i="12"/>
  <c r="M74" i="12"/>
  <c r="F74" i="12"/>
  <c r="F74" i="30"/>
  <c r="M74" i="30"/>
  <c r="M136" i="12"/>
  <c r="F136" i="12"/>
  <c r="F136" i="30"/>
  <c r="M136" i="30"/>
  <c r="M62" i="12"/>
  <c r="M62" i="30"/>
  <c r="F62" i="30"/>
  <c r="F62" i="12"/>
  <c r="F40" i="30"/>
  <c r="M40" i="12"/>
  <c r="F40" i="12"/>
  <c r="M40" i="30"/>
  <c r="M103" i="12"/>
  <c r="F103" i="30"/>
  <c r="M103" i="30"/>
  <c r="F103" i="12"/>
  <c r="M22" i="30"/>
  <c r="F22" i="30"/>
  <c r="F22" i="12"/>
  <c r="M22" i="12"/>
  <c r="F24" i="12"/>
  <c r="F24" i="30"/>
  <c r="M24" i="12"/>
  <c r="F92" i="12"/>
  <c r="M92" i="12"/>
  <c r="M92" i="30"/>
  <c r="F92" i="30"/>
  <c r="M19" i="30"/>
  <c r="F19" i="30"/>
  <c r="F19" i="12"/>
  <c r="M19" i="12"/>
  <c r="F4" i="30"/>
  <c r="M4" i="30"/>
  <c r="M4" i="12"/>
  <c r="F115" i="30"/>
  <c r="M115" i="30"/>
  <c r="F115" i="12"/>
  <c r="M115" i="12"/>
  <c r="F23" i="12"/>
  <c r="M23" i="30"/>
  <c r="M23" i="12"/>
  <c r="F23" i="30"/>
  <c r="F137" i="30"/>
  <c r="M137" i="30"/>
  <c r="M137" i="12"/>
  <c r="F137" i="12"/>
  <c r="F54" i="12"/>
  <c r="M54" i="12"/>
  <c r="F54" i="30"/>
  <c r="M54" i="30"/>
  <c r="F131" i="12"/>
  <c r="M131" i="12"/>
  <c r="M131" i="30"/>
  <c r="F131" i="30"/>
  <c r="F96" i="30"/>
  <c r="M96" i="30"/>
  <c r="F96" i="12"/>
  <c r="M96" i="12"/>
  <c r="M15" i="30"/>
  <c r="F15" i="30"/>
  <c r="F15" i="12"/>
  <c r="M15" i="12"/>
  <c r="M8" i="30"/>
  <c r="F8" i="30"/>
  <c r="M8" i="12"/>
  <c r="F8" i="12"/>
  <c r="M18" i="12"/>
  <c r="M18" i="30"/>
  <c r="F18" i="30"/>
  <c r="F18" i="12"/>
  <c r="M122" i="30"/>
  <c r="F122" i="30"/>
  <c r="M122" i="12"/>
  <c r="F122" i="12"/>
  <c r="M67" i="12"/>
  <c r="F67" i="12"/>
  <c r="F67" i="30"/>
  <c r="M67" i="30"/>
  <c r="M12" i="30"/>
  <c r="F12" i="30"/>
  <c r="M12" i="12"/>
  <c r="F12" i="12"/>
  <c r="M114" i="12"/>
  <c r="F114" i="12"/>
  <c r="F114" i="30"/>
  <c r="M114" i="30"/>
  <c r="F10" i="30"/>
  <c r="M10" i="30"/>
  <c r="M10" i="12"/>
  <c r="F10" i="12"/>
  <c r="M108" i="30"/>
  <c r="F108" i="30"/>
  <c r="M108" i="12"/>
  <c r="F108" i="12"/>
  <c r="M112" i="30"/>
  <c r="F112" i="30"/>
  <c r="M112" i="12"/>
  <c r="F112" i="12"/>
  <c r="M46" i="30"/>
  <c r="F46" i="30"/>
  <c r="F46" i="12"/>
  <c r="M46" i="12"/>
  <c r="M47" i="12"/>
  <c r="F47" i="12"/>
  <c r="M47" i="30"/>
  <c r="F47" i="30"/>
  <c r="F116" i="12"/>
  <c r="M116" i="12"/>
  <c r="F116" i="30"/>
  <c r="M116" i="30"/>
  <c r="M135" i="30"/>
  <c r="F135" i="12"/>
  <c r="F135" i="30"/>
  <c r="M135" i="12"/>
  <c r="F130" i="12"/>
  <c r="M130" i="12"/>
  <c r="M130" i="30"/>
  <c r="F130" i="30"/>
  <c r="M71" i="12"/>
  <c r="F71" i="12"/>
  <c r="F71" i="30"/>
  <c r="M71" i="30"/>
  <c r="F58" i="30"/>
  <c r="M58" i="30"/>
  <c r="F58" i="12"/>
  <c r="M58" i="12"/>
  <c r="M124" i="30"/>
  <c r="F124" i="30"/>
  <c r="F124" i="12"/>
  <c r="M124" i="12"/>
  <c r="M20" i="12"/>
  <c r="F20" i="12"/>
  <c r="M20" i="30"/>
  <c r="F20" i="30"/>
  <c r="F86" i="30"/>
  <c r="M86" i="30"/>
  <c r="F86" i="12"/>
  <c r="M86" i="12"/>
  <c r="M31" i="12"/>
  <c r="M31" i="30"/>
  <c r="F31" i="30"/>
  <c r="F31" i="12"/>
  <c r="M111" i="12"/>
  <c r="F111" i="12"/>
  <c r="M111" i="30"/>
  <c r="F111" i="30"/>
  <c r="M132" i="30"/>
  <c r="M132" i="12"/>
  <c r="F132" i="12"/>
  <c r="F132" i="30"/>
  <c r="F120" i="12"/>
  <c r="M120" i="12"/>
  <c r="F120" i="30"/>
  <c r="M120" i="30"/>
  <c r="M119" i="12"/>
  <c r="F119" i="12"/>
  <c r="F119" i="30"/>
  <c r="M119" i="30"/>
  <c r="F64" i="12"/>
  <c r="F64" i="30"/>
  <c r="M64" i="30"/>
  <c r="M64" i="12"/>
  <c r="F63" i="12"/>
  <c r="F63" i="30"/>
  <c r="M63" i="12"/>
  <c r="M63" i="30"/>
  <c r="F87" i="30"/>
  <c r="M87" i="30"/>
  <c r="F87" i="12"/>
  <c r="M87" i="12"/>
  <c r="F104" i="30"/>
  <c r="M104" i="30"/>
  <c r="F104" i="12"/>
  <c r="M104" i="12"/>
  <c r="M100" i="12"/>
  <c r="F100" i="12"/>
  <c r="M100" i="30"/>
  <c r="F100" i="30"/>
  <c r="F66" i="30"/>
  <c r="M66" i="30"/>
  <c r="F66" i="12"/>
  <c r="M66" i="12"/>
  <c r="F26" i="12"/>
  <c r="M26" i="12"/>
  <c r="M26" i="30"/>
  <c r="F26" i="30"/>
  <c r="M55" i="12"/>
  <c r="F55" i="30"/>
  <c r="M55" i="30"/>
  <c r="F55" i="12"/>
  <c r="F27" i="12"/>
  <c r="M27" i="30"/>
  <c r="M27" i="12"/>
  <c r="F27" i="30"/>
  <c r="F82" i="12"/>
  <c r="M82" i="12"/>
  <c r="F82" i="30"/>
  <c r="M82" i="30"/>
  <c r="M70" i="30"/>
  <c r="F70" i="30"/>
  <c r="M70" i="12"/>
  <c r="F70" i="12"/>
  <c r="BQ50" i="27"/>
  <c r="BQ86" i="27"/>
  <c r="BQ91" i="27"/>
  <c r="BQ51" i="27"/>
  <c r="BQ35" i="27"/>
  <c r="BO117" i="27"/>
  <c r="BN117" i="27"/>
  <c r="BO93" i="27"/>
  <c r="BN93" i="27"/>
  <c r="BO25" i="27"/>
  <c r="BN25" i="27"/>
  <c r="BO130" i="27"/>
  <c r="BN130" i="27"/>
  <c r="BN139" i="27"/>
  <c r="BO139" i="27"/>
  <c r="BO134" i="27"/>
  <c r="BN134" i="27"/>
  <c r="BN122" i="27"/>
  <c r="BO122" i="27"/>
  <c r="BO121" i="27"/>
  <c r="BN121" i="27"/>
  <c r="BQ53" i="27"/>
  <c r="BQ83" i="27"/>
  <c r="BQ120" i="27"/>
  <c r="BQ92" i="27"/>
  <c r="BQ103" i="27"/>
  <c r="BO40" i="27"/>
  <c r="BN40" i="27"/>
  <c r="BQ123" i="27"/>
  <c r="BN112" i="27"/>
  <c r="BO112" i="27"/>
  <c r="BN125" i="27"/>
  <c r="BO125" i="27"/>
  <c r="BO128" i="27"/>
  <c r="BN128" i="27"/>
  <c r="BQ119" i="27"/>
  <c r="BO78" i="27"/>
  <c r="BN78" i="27"/>
  <c r="BN90" i="27"/>
  <c r="BO90" i="27"/>
  <c r="BO129" i="27"/>
  <c r="BN129" i="27"/>
  <c r="BN76" i="27"/>
  <c r="BO76" i="27"/>
  <c r="BO138" i="27"/>
  <c r="BN138" i="27"/>
  <c r="BQ136" i="27"/>
  <c r="BO64" i="27"/>
  <c r="BN64" i="27"/>
  <c r="BO42" i="27"/>
  <c r="BN42" i="27"/>
  <c r="BO105" i="27"/>
  <c r="BN105" i="27"/>
  <c r="BQ47" i="27"/>
  <c r="BQ38" i="27"/>
  <c r="BO41" i="27"/>
  <c r="BN41" i="27"/>
  <c r="BQ37" i="27"/>
  <c r="BN36" i="27"/>
  <c r="BO36" i="27"/>
  <c r="BO49" i="27"/>
  <c r="BN49" i="27"/>
  <c r="BN24" i="27"/>
  <c r="BO24" i="27"/>
  <c r="BN100" i="27"/>
  <c r="BO100" i="27"/>
  <c r="BO118" i="27"/>
  <c r="BN118" i="27"/>
  <c r="BN26" i="27"/>
  <c r="BO26" i="27"/>
  <c r="BN77" i="27"/>
  <c r="BO77" i="27"/>
  <c r="BN94" i="27"/>
  <c r="BO94" i="27"/>
  <c r="BN137" i="27"/>
  <c r="BO137" i="27"/>
  <c r="BO16" i="27"/>
  <c r="BN16" i="27"/>
  <c r="BN116" i="27"/>
  <c r="BO116" i="27"/>
  <c r="BN12" i="27"/>
  <c r="BO12" i="27"/>
  <c r="BN110" i="27"/>
  <c r="BO110" i="27"/>
  <c r="BN114" i="27"/>
  <c r="BO114" i="27"/>
  <c r="BO48" i="27"/>
  <c r="BN48" i="27"/>
  <c r="BQ43" i="27"/>
  <c r="BQ7" i="27"/>
  <c r="BO73" i="27"/>
  <c r="BN73" i="27"/>
  <c r="BO60" i="27"/>
  <c r="BN60" i="27"/>
  <c r="BN126" i="27"/>
  <c r="BO126" i="27"/>
  <c r="BO22" i="27"/>
  <c r="BN22" i="27"/>
  <c r="BO32" i="27"/>
  <c r="BN32" i="27"/>
  <c r="F138" i="12"/>
  <c r="BL140" i="27"/>
  <c r="BQ97" i="27"/>
  <c r="BQ31" i="27"/>
  <c r="BO66" i="27"/>
  <c r="BN66" i="27"/>
  <c r="BQ80" i="27"/>
  <c r="BQ82" i="27"/>
  <c r="BO65" i="27"/>
  <c r="BN65" i="27"/>
  <c r="BN89" i="27"/>
  <c r="BO89" i="27"/>
  <c r="BN106" i="27"/>
  <c r="BO106" i="27"/>
  <c r="BO102" i="27"/>
  <c r="BN102" i="27"/>
  <c r="BN68" i="27"/>
  <c r="BO68" i="27"/>
  <c r="BN28" i="27"/>
  <c r="BO28" i="27"/>
  <c r="BN57" i="27"/>
  <c r="BO57" i="27"/>
  <c r="BQ30" i="27"/>
  <c r="BQ13" i="27"/>
  <c r="BN29" i="27"/>
  <c r="BO29" i="27"/>
  <c r="BO84" i="27"/>
  <c r="BN84" i="27"/>
  <c r="BO72" i="27"/>
  <c r="BN72" i="27"/>
  <c r="BQ85" i="27"/>
  <c r="BQ46" i="27"/>
  <c r="BN88" i="27"/>
  <c r="BO88" i="27"/>
  <c r="BQ34" i="27"/>
  <c r="BO33" i="27"/>
  <c r="BN33" i="27"/>
  <c r="BQ62" i="27"/>
  <c r="BO113" i="27"/>
  <c r="BN113" i="27"/>
  <c r="BN56" i="27"/>
  <c r="BO56" i="27"/>
  <c r="BN133" i="27"/>
  <c r="BO133" i="27"/>
  <c r="BN98" i="27"/>
  <c r="BO98" i="27"/>
  <c r="BO17" i="27"/>
  <c r="BN17" i="27"/>
  <c r="BO10" i="27"/>
  <c r="BN10" i="27"/>
  <c r="BN20" i="27"/>
  <c r="BO20" i="27"/>
  <c r="BN124" i="27"/>
  <c r="BO124" i="27"/>
  <c r="BN69" i="27"/>
  <c r="BO69" i="27"/>
  <c r="BN14" i="27"/>
  <c r="BO14" i="27"/>
  <c r="BN21" i="27"/>
  <c r="BO21" i="27"/>
  <c r="BO58" i="27"/>
  <c r="BN58" i="27"/>
  <c r="BN132" i="27"/>
  <c r="BO132" i="27"/>
  <c r="BN9" i="27"/>
  <c r="BO9" i="27"/>
  <c r="BN6" i="27"/>
  <c r="BO6" i="27"/>
  <c r="H105" i="12" l="1"/>
  <c r="H105" i="30"/>
  <c r="H44" i="12"/>
  <c r="H44" i="30"/>
  <c r="H11" i="12"/>
  <c r="H11" i="30"/>
  <c r="H80" i="12"/>
  <c r="H80" i="30"/>
  <c r="H117" i="12"/>
  <c r="H117" i="30"/>
  <c r="H49" i="12"/>
  <c r="H49" i="30"/>
  <c r="H125" i="12"/>
  <c r="H125" i="30"/>
  <c r="H121" i="12"/>
  <c r="H121" i="30"/>
  <c r="H89" i="12"/>
  <c r="H89" i="30"/>
  <c r="H77" i="12"/>
  <c r="H77" i="30"/>
  <c r="H13" i="12"/>
  <c r="H13" i="30"/>
  <c r="H33" i="12"/>
  <c r="H33" i="30"/>
  <c r="H83" i="12"/>
  <c r="H83" i="30"/>
  <c r="H78" i="12"/>
  <c r="H78" i="30"/>
  <c r="H60" i="12"/>
  <c r="H60" i="30"/>
  <c r="H5" i="12"/>
  <c r="H5" i="30"/>
  <c r="H35" i="12"/>
  <c r="H35" i="30"/>
  <c r="H101" i="12"/>
  <c r="H101" i="30"/>
  <c r="H84" i="12"/>
  <c r="H84" i="30"/>
  <c r="H21" i="12"/>
  <c r="H21" i="30"/>
  <c r="H17" i="12"/>
  <c r="H17" i="30"/>
  <c r="H28" i="12"/>
  <c r="H28" i="30"/>
  <c r="H41" i="12"/>
  <c r="H41" i="30"/>
  <c r="H90" i="12"/>
  <c r="H90" i="30"/>
  <c r="H48" i="12"/>
  <c r="H48" i="30"/>
  <c r="H73" i="12"/>
  <c r="H73" i="30"/>
  <c r="H37" i="12"/>
  <c r="H37" i="30"/>
  <c r="H25" i="12"/>
  <c r="H25" i="30"/>
  <c r="H118" i="12"/>
  <c r="H118" i="30"/>
  <c r="H16" i="12"/>
  <c r="H16" i="30"/>
  <c r="H85" i="12"/>
  <c r="H85" i="30"/>
  <c r="H32" i="12"/>
  <c r="H32" i="30"/>
  <c r="H95" i="12"/>
  <c r="H95" i="30"/>
  <c r="H36" i="12"/>
  <c r="H36" i="30"/>
  <c r="H134" i="12"/>
  <c r="H134" i="30"/>
  <c r="H81" i="12"/>
  <c r="H81" i="30"/>
  <c r="H106" i="12"/>
  <c r="H106" i="30"/>
  <c r="H29" i="12"/>
  <c r="H29" i="30"/>
  <c r="H45" i="12"/>
  <c r="H45" i="30"/>
  <c r="H51" i="12"/>
  <c r="H51" i="30"/>
  <c r="H69" i="12"/>
  <c r="H69" i="30"/>
  <c r="Y69" i="12"/>
  <c r="Y13" i="12"/>
  <c r="Y48" i="12"/>
  <c r="Y77" i="12"/>
  <c r="Y29" i="12"/>
  <c r="Y32" i="12"/>
  <c r="Y83" i="12"/>
  <c r="Y117" i="12"/>
  <c r="Y101" i="12"/>
  <c r="Y36" i="12"/>
  <c r="Y28" i="12"/>
  <c r="Y35" i="12"/>
  <c r="Y60" i="12"/>
  <c r="Y37" i="12"/>
  <c r="Y85" i="12"/>
  <c r="Y106" i="12"/>
  <c r="Y121" i="12"/>
  <c r="Y125" i="12"/>
  <c r="Y21" i="12"/>
  <c r="Y89" i="12"/>
  <c r="Y105" i="12"/>
  <c r="Y81" i="12"/>
  <c r="Y4" i="12"/>
  <c r="Y49" i="12"/>
  <c r="Y73" i="12"/>
  <c r="Y84" i="12"/>
  <c r="Y134" i="12"/>
  <c r="Y5" i="12"/>
  <c r="Y33" i="12"/>
  <c r="Y16" i="12"/>
  <c r="Y17" i="12"/>
  <c r="Y25" i="12"/>
  <c r="Y45" i="12"/>
  <c r="Y41" i="12"/>
  <c r="W27" i="30"/>
  <c r="Y27" i="30" s="1"/>
  <c r="W55" i="30"/>
  <c r="Y55" i="30" s="1"/>
  <c r="W66" i="31"/>
  <c r="Y66" i="31" s="1"/>
  <c r="W104" i="30"/>
  <c r="Y104" i="30" s="1"/>
  <c r="W63" i="31"/>
  <c r="Y63" i="31" s="1"/>
  <c r="U119" i="12"/>
  <c r="W119" i="12" s="1"/>
  <c r="W132" i="31"/>
  <c r="Y132" i="31" s="1"/>
  <c r="W111" i="30"/>
  <c r="Y111" i="30" s="1"/>
  <c r="W31" i="30"/>
  <c r="Y31" i="30" s="1"/>
  <c r="W20" i="31"/>
  <c r="Y20" i="31" s="1"/>
  <c r="U124" i="12"/>
  <c r="W124" i="12" s="1"/>
  <c r="W58" i="30"/>
  <c r="Y58" i="30" s="1"/>
  <c r="W130" i="30"/>
  <c r="Y130" i="30" s="1"/>
  <c r="U135" i="12"/>
  <c r="W135" i="12" s="1"/>
  <c r="W112" i="31"/>
  <c r="Y112" i="31" s="1"/>
  <c r="W108" i="30"/>
  <c r="Y108" i="30" s="1"/>
  <c r="U10" i="12"/>
  <c r="W10" i="12" s="1"/>
  <c r="W12" i="31"/>
  <c r="Y12" i="31" s="1"/>
  <c r="W67" i="30"/>
  <c r="Y67" i="30" s="1"/>
  <c r="U122" i="12"/>
  <c r="W122" i="12" s="1"/>
  <c r="W8" i="31"/>
  <c r="Y8" i="31" s="1"/>
  <c r="U15" i="12"/>
  <c r="W15" i="12" s="1"/>
  <c r="U96" i="12"/>
  <c r="W96" i="12" s="1"/>
  <c r="W54" i="31"/>
  <c r="Y54" i="31" s="1"/>
  <c r="W56" i="31"/>
  <c r="Y56" i="31" s="1"/>
  <c r="W14" i="30"/>
  <c r="Y14" i="30" s="1"/>
  <c r="U75" i="12"/>
  <c r="W75" i="12" s="1"/>
  <c r="U103" i="12"/>
  <c r="W103" i="12" s="1"/>
  <c r="U40" i="12"/>
  <c r="W40" i="12" s="1"/>
  <c r="W136" i="31"/>
  <c r="Y136" i="31" s="1"/>
  <c r="U74" i="12"/>
  <c r="W74" i="12" s="1"/>
  <c r="U127" i="12"/>
  <c r="W127" i="12" s="1"/>
  <c r="W76" i="31"/>
  <c r="Y76" i="31" s="1"/>
  <c r="W126" i="30"/>
  <c r="Y126" i="30" s="1"/>
  <c r="W123" i="30"/>
  <c r="Y123" i="30" s="1"/>
  <c r="W38" i="31"/>
  <c r="Y38" i="31" s="1"/>
  <c r="W30" i="30"/>
  <c r="Y30" i="30" s="1"/>
  <c r="U34" i="12"/>
  <c r="W34" i="12" s="1"/>
  <c r="W137" i="31"/>
  <c r="Y137" i="31" s="1"/>
  <c r="W128" i="30"/>
  <c r="Y128" i="30" s="1"/>
  <c r="W23" i="30"/>
  <c r="Y23" i="30" s="1"/>
  <c r="W115" i="31"/>
  <c r="Y115" i="31" s="1"/>
  <c r="W7" i="30"/>
  <c r="Y7" i="30" s="1"/>
  <c r="W4" i="30"/>
  <c r="Y4" i="30" s="1"/>
  <c r="W92" i="31"/>
  <c r="Y92" i="31" s="1"/>
  <c r="W24" i="30"/>
  <c r="Y24" i="30" s="1"/>
  <c r="U98" i="12"/>
  <c r="W98" i="12" s="1"/>
  <c r="W70" i="31"/>
  <c r="Y70" i="31" s="1"/>
  <c r="W82" i="30"/>
  <c r="Y82" i="30" s="1"/>
  <c r="U27" i="12"/>
  <c r="W27" i="12" s="1"/>
  <c r="W26" i="31"/>
  <c r="Y26" i="31" s="1"/>
  <c r="W66" i="30"/>
  <c r="Y66" i="30" s="1"/>
  <c r="W100" i="30"/>
  <c r="Y100" i="30" s="1"/>
  <c r="W87" i="31"/>
  <c r="Y87" i="31" s="1"/>
  <c r="W63" i="30"/>
  <c r="Y63" i="30" s="1"/>
  <c r="U64" i="12"/>
  <c r="W64" i="12" s="1"/>
  <c r="W120" i="31"/>
  <c r="Y120" i="31" s="1"/>
  <c r="W132" i="30"/>
  <c r="Y132" i="30" s="1"/>
  <c r="U111" i="12"/>
  <c r="W111" i="12" s="1"/>
  <c r="W86" i="31"/>
  <c r="Y86" i="31" s="1"/>
  <c r="W20" i="30"/>
  <c r="Y20" i="30" s="1"/>
  <c r="W124" i="30"/>
  <c r="Y124" i="30" s="1"/>
  <c r="W71" i="31"/>
  <c r="Y71" i="31" s="1"/>
  <c r="U130" i="12"/>
  <c r="W130" i="12" s="1"/>
  <c r="W116" i="31"/>
  <c r="Y116" i="31" s="1"/>
  <c r="W46" i="31"/>
  <c r="Y46" i="31" s="1"/>
  <c r="W112" i="30"/>
  <c r="Y112" i="30" s="1"/>
  <c r="U108" i="12"/>
  <c r="W108" i="12" s="1"/>
  <c r="W114" i="31"/>
  <c r="Y114" i="31" s="1"/>
  <c r="W12" i="30"/>
  <c r="Y12" i="30" s="1"/>
  <c r="U67" i="12"/>
  <c r="W67" i="12" s="1"/>
  <c r="W18" i="31"/>
  <c r="Y18" i="31" s="1"/>
  <c r="W8" i="30"/>
  <c r="Y8" i="30" s="1"/>
  <c r="W15" i="30"/>
  <c r="Y15" i="30" s="1"/>
  <c r="W131" i="31"/>
  <c r="Y131" i="31" s="1"/>
  <c r="W54" i="30"/>
  <c r="Y54" i="30" s="1"/>
  <c r="U56" i="12"/>
  <c r="W56" i="12" s="1"/>
  <c r="U14" i="12"/>
  <c r="W14" i="12" s="1"/>
  <c r="W22" i="31"/>
  <c r="Y22" i="31" s="1"/>
  <c r="W103" i="30"/>
  <c r="Y103" i="30" s="1"/>
  <c r="W62" i="31"/>
  <c r="Y62" i="31" s="1"/>
  <c r="W136" i="30"/>
  <c r="Y136" i="30" s="1"/>
  <c r="W88" i="31"/>
  <c r="Y88" i="31" s="1"/>
  <c r="W76" i="30"/>
  <c r="Y76" i="30" s="1"/>
  <c r="U126" i="12"/>
  <c r="W126" i="12" s="1"/>
  <c r="W110" i="31"/>
  <c r="Y110" i="31" s="1"/>
  <c r="W38" i="30"/>
  <c r="Y38" i="30" s="1"/>
  <c r="U30" i="12"/>
  <c r="W30" i="12" s="1"/>
  <c r="W39" i="31"/>
  <c r="Y39" i="31" s="1"/>
  <c r="W137" i="30"/>
  <c r="Y137" i="30" s="1"/>
  <c r="U128" i="12"/>
  <c r="W128" i="12" s="1"/>
  <c r="W91" i="31"/>
  <c r="Y91" i="31" s="1"/>
  <c r="W115" i="30"/>
  <c r="Y115" i="30" s="1"/>
  <c r="U7" i="12"/>
  <c r="W7" i="12" s="1"/>
  <c r="W19" i="31"/>
  <c r="Y19" i="31" s="1"/>
  <c r="W92" i="30"/>
  <c r="Y92" i="30" s="1"/>
  <c r="U24" i="12"/>
  <c r="W24" i="12" s="1"/>
  <c r="W47" i="31"/>
  <c r="Y47" i="31" s="1"/>
  <c r="W82" i="31"/>
  <c r="Y82" i="31" s="1"/>
  <c r="W64" i="30"/>
  <c r="Y64" i="30" s="1"/>
  <c r="W70" i="30"/>
  <c r="Y70" i="30" s="1"/>
  <c r="U82" i="12"/>
  <c r="W82" i="12" s="1"/>
  <c r="W55" i="31"/>
  <c r="Y55" i="31" s="1"/>
  <c r="U26" i="12"/>
  <c r="W26" i="12" s="1"/>
  <c r="U66" i="12"/>
  <c r="W66" i="12" s="1"/>
  <c r="W104" i="31"/>
  <c r="Y104" i="31" s="1"/>
  <c r="W87" i="30"/>
  <c r="Y87" i="30" s="1"/>
  <c r="U63" i="12"/>
  <c r="W63" i="12" s="1"/>
  <c r="W119" i="31"/>
  <c r="Y119" i="31" s="1"/>
  <c r="W120" i="30"/>
  <c r="Y120" i="30" s="1"/>
  <c r="U132" i="12"/>
  <c r="W132" i="12" s="1"/>
  <c r="W31" i="31"/>
  <c r="Y31" i="31" s="1"/>
  <c r="U86" i="12"/>
  <c r="W86" i="12" s="1"/>
  <c r="U20" i="12"/>
  <c r="W20" i="12" s="1"/>
  <c r="W58" i="31"/>
  <c r="Y58" i="31" s="1"/>
  <c r="U71" i="12"/>
  <c r="W71" i="12" s="1"/>
  <c r="W135" i="31"/>
  <c r="Y135" i="31" s="1"/>
  <c r="W116" i="30"/>
  <c r="Y116" i="30" s="1"/>
  <c r="W46" i="30"/>
  <c r="Y46" i="30" s="1"/>
  <c r="U112" i="12"/>
  <c r="W112" i="12" s="1"/>
  <c r="W10" i="31"/>
  <c r="Y10" i="31" s="1"/>
  <c r="W114" i="30"/>
  <c r="Y114" i="30" s="1"/>
  <c r="U12" i="12"/>
  <c r="W12" i="12" s="1"/>
  <c r="W122" i="31"/>
  <c r="Y122" i="31" s="1"/>
  <c r="W18" i="30"/>
  <c r="Y18" i="30" s="1"/>
  <c r="U8" i="12"/>
  <c r="W8" i="12" s="1"/>
  <c r="W131" i="30"/>
  <c r="Y131" i="30" s="1"/>
  <c r="U54" i="12"/>
  <c r="W54" i="12" s="1"/>
  <c r="W56" i="30"/>
  <c r="Y56" i="30" s="1"/>
  <c r="W75" i="31"/>
  <c r="Y75" i="31" s="1"/>
  <c r="W22" i="30"/>
  <c r="Y22" i="30" s="1"/>
  <c r="W40" i="31"/>
  <c r="Y40" i="31" s="1"/>
  <c r="W62" i="30"/>
  <c r="Y62" i="30" s="1"/>
  <c r="U136" i="12"/>
  <c r="W136" i="12" s="1"/>
  <c r="W127" i="31"/>
  <c r="Y127" i="31" s="1"/>
  <c r="W88" i="30"/>
  <c r="Y88" i="30" s="1"/>
  <c r="U76" i="12"/>
  <c r="W76" i="12" s="1"/>
  <c r="W123" i="31"/>
  <c r="Y123" i="31" s="1"/>
  <c r="W110" i="30"/>
  <c r="Y110" i="30" s="1"/>
  <c r="U38" i="12"/>
  <c r="W38" i="12" s="1"/>
  <c r="W34" i="31"/>
  <c r="Y34" i="31" s="1"/>
  <c r="U39" i="12"/>
  <c r="W39" i="12" s="1"/>
  <c r="U137" i="12"/>
  <c r="W137" i="12" s="1"/>
  <c r="W23" i="31"/>
  <c r="Y23" i="31" s="1"/>
  <c r="W91" i="30"/>
  <c r="Y91" i="30" s="1"/>
  <c r="U115" i="12"/>
  <c r="W115" i="12" s="1"/>
  <c r="W19" i="30"/>
  <c r="Y19" i="30" s="1"/>
  <c r="U92" i="12"/>
  <c r="W92" i="12" s="1"/>
  <c r="W98" i="31"/>
  <c r="Y98" i="31" s="1"/>
  <c r="W47" i="30"/>
  <c r="Y47" i="30" s="1"/>
  <c r="U100" i="12"/>
  <c r="W100" i="12" s="1"/>
  <c r="U70" i="12"/>
  <c r="W70" i="12" s="1"/>
  <c r="W27" i="31"/>
  <c r="Y27" i="31" s="1"/>
  <c r="U55" i="12"/>
  <c r="W55" i="12" s="1"/>
  <c r="W26" i="30"/>
  <c r="Y26" i="30" s="1"/>
  <c r="W100" i="31"/>
  <c r="Y100" i="31" s="1"/>
  <c r="U104" i="12"/>
  <c r="W104" i="12" s="1"/>
  <c r="U87" i="12"/>
  <c r="W87" i="12" s="1"/>
  <c r="W64" i="31"/>
  <c r="Y64" i="31" s="1"/>
  <c r="W119" i="30"/>
  <c r="Y119" i="30" s="1"/>
  <c r="U120" i="12"/>
  <c r="W120" i="12" s="1"/>
  <c r="W111" i="31"/>
  <c r="Y111" i="31" s="1"/>
  <c r="U31" i="12"/>
  <c r="W31" i="12" s="1"/>
  <c r="W86" i="30"/>
  <c r="Y86" i="30" s="1"/>
  <c r="W124" i="31"/>
  <c r="Y124" i="31" s="1"/>
  <c r="U58" i="12"/>
  <c r="W58" i="12" s="1"/>
  <c r="W71" i="30"/>
  <c r="Y71" i="30" s="1"/>
  <c r="W130" i="31"/>
  <c r="Y130" i="31" s="1"/>
  <c r="W135" i="30"/>
  <c r="Y135" i="30" s="1"/>
  <c r="U116" i="12"/>
  <c r="W116" i="12" s="1"/>
  <c r="U46" i="12"/>
  <c r="W46" i="12" s="1"/>
  <c r="W108" i="31"/>
  <c r="Y108" i="31" s="1"/>
  <c r="W10" i="30"/>
  <c r="Y10" i="30" s="1"/>
  <c r="U114" i="12"/>
  <c r="W114" i="12" s="1"/>
  <c r="W67" i="31"/>
  <c r="Y67" i="31" s="1"/>
  <c r="W122" i="30"/>
  <c r="Y122" i="30" s="1"/>
  <c r="U18" i="12"/>
  <c r="W18" i="12" s="1"/>
  <c r="W15" i="31"/>
  <c r="Y15" i="31" s="1"/>
  <c r="W96" i="30"/>
  <c r="Y96" i="30" s="1"/>
  <c r="U131" i="12"/>
  <c r="W131" i="12" s="1"/>
  <c r="W14" i="31"/>
  <c r="Y14" i="31" s="1"/>
  <c r="W75" i="30"/>
  <c r="Y75" i="30" s="1"/>
  <c r="U22" i="12"/>
  <c r="W22" i="12" s="1"/>
  <c r="W103" i="31"/>
  <c r="Y103" i="31" s="1"/>
  <c r="W40" i="30"/>
  <c r="Y40" i="30" s="1"/>
  <c r="U62" i="12"/>
  <c r="W62" i="12" s="1"/>
  <c r="W74" i="31"/>
  <c r="Y74" i="31" s="1"/>
  <c r="W127" i="30"/>
  <c r="Y127" i="30" s="1"/>
  <c r="U88" i="12"/>
  <c r="W88" i="12" s="1"/>
  <c r="W126" i="31"/>
  <c r="Y126" i="31" s="1"/>
  <c r="U123" i="12"/>
  <c r="W123" i="12" s="1"/>
  <c r="U110" i="12"/>
  <c r="W110" i="12" s="1"/>
  <c r="W30" i="31"/>
  <c r="Y30" i="31" s="1"/>
  <c r="W34" i="30"/>
  <c r="Y34" i="30" s="1"/>
  <c r="W39" i="30"/>
  <c r="Y39" i="30" s="1"/>
  <c r="W128" i="31"/>
  <c r="Y128" i="31" s="1"/>
  <c r="U23" i="12"/>
  <c r="W23" i="12" s="1"/>
  <c r="U91" i="12"/>
  <c r="W91" i="12" s="1"/>
  <c r="W7" i="31"/>
  <c r="Y7" i="31" s="1"/>
  <c r="W4" i="31"/>
  <c r="Y4" i="31" s="1"/>
  <c r="U19" i="12"/>
  <c r="W19" i="12" s="1"/>
  <c r="W24" i="31"/>
  <c r="Y24" i="31" s="1"/>
  <c r="W98" i="30"/>
  <c r="Y98" i="30" s="1"/>
  <c r="U47" i="12"/>
  <c r="W47" i="12" s="1"/>
  <c r="BQ10" i="27"/>
  <c r="BQ65" i="27"/>
  <c r="BQ66" i="27"/>
  <c r="BQ24" i="27"/>
  <c r="BQ36" i="27"/>
  <c r="BQ42" i="27"/>
  <c r="BQ17" i="27"/>
  <c r="BQ113" i="27"/>
  <c r="BQ48" i="27"/>
  <c r="M138" i="30"/>
  <c r="M138" i="12"/>
  <c r="F138" i="30"/>
  <c r="BQ16" i="27"/>
  <c r="BQ49" i="27"/>
  <c r="BQ112" i="27"/>
  <c r="BQ25" i="27"/>
  <c r="BQ117" i="27"/>
  <c r="BQ137" i="27"/>
  <c r="BQ118" i="27"/>
  <c r="BQ121" i="27"/>
  <c r="BQ134" i="27"/>
  <c r="BQ58" i="27"/>
  <c r="BQ21" i="27"/>
  <c r="BQ57" i="27"/>
  <c r="BQ78" i="27"/>
  <c r="BQ124" i="27"/>
  <c r="BQ102" i="27"/>
  <c r="BQ126" i="27"/>
  <c r="BQ122" i="27"/>
  <c r="BQ130" i="27"/>
  <c r="BQ93" i="27"/>
  <c r="BQ22" i="27"/>
  <c r="BQ60" i="27"/>
  <c r="BQ73" i="27"/>
  <c r="BQ110" i="27"/>
  <c r="BQ116" i="27"/>
  <c r="BQ77" i="27"/>
  <c r="BQ69" i="27"/>
  <c r="BQ133" i="27"/>
  <c r="BQ33" i="27"/>
  <c r="BQ88" i="27"/>
  <c r="BQ72" i="27"/>
  <c r="BQ68" i="27"/>
  <c r="BQ106" i="27"/>
  <c r="BQ89" i="27"/>
  <c r="BN140" i="27"/>
  <c r="BO140" i="27"/>
  <c r="BQ139" i="27"/>
  <c r="BQ32" i="27"/>
  <c r="BQ114" i="27"/>
  <c r="BQ12" i="27"/>
  <c r="BQ94" i="27"/>
  <c r="BQ26" i="27"/>
  <c r="BQ100" i="27"/>
  <c r="BQ41" i="27"/>
  <c r="BQ76" i="27"/>
  <c r="BQ90" i="27"/>
  <c r="BQ125" i="27"/>
  <c r="BQ40" i="27"/>
  <c r="BQ132" i="27"/>
  <c r="BQ14" i="27"/>
  <c r="BQ20" i="27"/>
  <c r="BQ98" i="27"/>
  <c r="BQ56" i="27"/>
  <c r="BQ84" i="27"/>
  <c r="BQ29" i="27"/>
  <c r="BQ28" i="27"/>
  <c r="BQ105" i="27"/>
  <c r="BQ64" i="27"/>
  <c r="BQ138" i="27"/>
  <c r="BQ129" i="27"/>
  <c r="BQ128" i="27"/>
  <c r="BQ9" i="27"/>
  <c r="BQ6" i="27"/>
  <c r="H126" i="12" l="1"/>
  <c r="H126" i="30"/>
  <c r="H137" i="12"/>
  <c r="H137" i="30"/>
  <c r="H31" i="12"/>
  <c r="H31" i="30"/>
  <c r="H20" i="12"/>
  <c r="H20" i="30"/>
  <c r="H55" i="12"/>
  <c r="H55" i="30"/>
  <c r="H23" i="12"/>
  <c r="H23" i="30"/>
  <c r="H111" i="12"/>
  <c r="H111" i="30"/>
  <c r="H131" i="12"/>
  <c r="H131" i="30"/>
  <c r="H91" i="12"/>
  <c r="H91" i="30"/>
  <c r="H19" i="12"/>
  <c r="H19" i="30"/>
  <c r="H110" i="12"/>
  <c r="H110" i="30"/>
  <c r="H15" i="12"/>
  <c r="H15" i="30"/>
  <c r="H18" i="12"/>
  <c r="H18" i="30"/>
  <c r="H67" i="12"/>
  <c r="H67" i="30"/>
  <c r="H128" i="12"/>
  <c r="H128" i="30"/>
  <c r="H56" i="12"/>
  <c r="H56" i="30"/>
  <c r="H47" i="12"/>
  <c r="H47" i="30"/>
  <c r="H40" i="12"/>
  <c r="H40" i="30"/>
  <c r="H96" i="12"/>
  <c r="H96" i="30"/>
  <c r="H98" i="12"/>
  <c r="H98" i="30"/>
  <c r="H62" i="12"/>
  <c r="H62" i="30"/>
  <c r="H12" i="12"/>
  <c r="H12" i="30"/>
  <c r="H24" i="12"/>
  <c r="H24" i="30"/>
  <c r="H87" i="12"/>
  <c r="H87" i="30"/>
  <c r="H75" i="12"/>
  <c r="H75" i="30"/>
  <c r="H120" i="12"/>
  <c r="H120" i="30"/>
  <c r="H132" i="12"/>
  <c r="H132" i="30"/>
  <c r="H14" i="12"/>
  <c r="H14" i="30"/>
  <c r="H34" i="12"/>
  <c r="H34" i="30"/>
  <c r="H74" i="12"/>
  <c r="H74" i="30"/>
  <c r="H130" i="12"/>
  <c r="H130" i="30"/>
  <c r="H92" i="12"/>
  <c r="H92" i="30"/>
  <c r="H104" i="12"/>
  <c r="H104" i="30"/>
  <c r="H114" i="12"/>
  <c r="H114" i="30"/>
  <c r="H124" i="12"/>
  <c r="H124" i="30"/>
  <c r="H119" i="12"/>
  <c r="H119" i="30"/>
  <c r="H22" i="12"/>
  <c r="H22" i="30"/>
  <c r="H39" i="12"/>
  <c r="H39" i="30"/>
  <c r="H26" i="12"/>
  <c r="H26" i="30"/>
  <c r="H38" i="12"/>
  <c r="H38" i="30"/>
  <c r="H10" i="12"/>
  <c r="H10" i="30"/>
  <c r="H66" i="12"/>
  <c r="H66" i="30"/>
  <c r="H108" i="12"/>
  <c r="H108" i="30"/>
  <c r="H100" i="12"/>
  <c r="H100" i="30"/>
  <c r="H116" i="12"/>
  <c r="H116" i="30"/>
  <c r="H64" i="12"/>
  <c r="H64" i="30"/>
  <c r="H127" i="12"/>
  <c r="H127" i="30"/>
  <c r="H4" i="12"/>
  <c r="H4" i="30"/>
  <c r="H123" i="12"/>
  <c r="H123" i="30"/>
  <c r="H112" i="12"/>
  <c r="H112" i="30"/>
  <c r="H70" i="12"/>
  <c r="H70" i="30"/>
  <c r="H71" i="12"/>
  <c r="H71" i="30"/>
  <c r="H122" i="12"/>
  <c r="H122" i="30"/>
  <c r="H135" i="12"/>
  <c r="H135" i="30"/>
  <c r="H63" i="12"/>
  <c r="H63" i="30"/>
  <c r="H54" i="12"/>
  <c r="H54" i="30"/>
  <c r="H136" i="12"/>
  <c r="H136" i="30"/>
  <c r="H103" i="12"/>
  <c r="H103" i="30"/>
  <c r="H27" i="12"/>
  <c r="H27" i="30"/>
  <c r="H7" i="12"/>
  <c r="H7" i="30"/>
  <c r="H82" i="12"/>
  <c r="H82" i="30"/>
  <c r="H88" i="12"/>
  <c r="H88" i="30"/>
  <c r="H30" i="12"/>
  <c r="H30" i="30"/>
  <c r="H86" i="12"/>
  <c r="H86" i="30"/>
  <c r="H58" i="12"/>
  <c r="H58" i="30"/>
  <c r="H76" i="12"/>
  <c r="H76" i="30"/>
  <c r="H115" i="12"/>
  <c r="H115" i="30"/>
  <c r="H46" i="12"/>
  <c r="H46" i="30"/>
  <c r="H8" i="12"/>
  <c r="H8" i="30"/>
  <c r="Y23" i="12"/>
  <c r="Y88" i="12"/>
  <c r="Y104" i="12"/>
  <c r="Y7" i="12"/>
  <c r="Y14" i="12"/>
  <c r="Y98" i="12"/>
  <c r="Y74" i="12"/>
  <c r="Y96" i="12"/>
  <c r="Y47" i="12"/>
  <c r="Y131" i="12"/>
  <c r="Y92" i="12"/>
  <c r="Y38" i="12"/>
  <c r="Y71" i="12"/>
  <c r="Y63" i="12"/>
  <c r="Y126" i="12"/>
  <c r="Y56" i="12"/>
  <c r="Y34" i="12"/>
  <c r="Y15" i="12"/>
  <c r="Y135" i="12"/>
  <c r="Y119" i="12"/>
  <c r="Y46" i="12"/>
  <c r="Y31" i="12"/>
  <c r="Y12" i="12"/>
  <c r="Y108" i="12"/>
  <c r="Y40" i="12"/>
  <c r="Y62" i="12"/>
  <c r="Y116" i="12"/>
  <c r="Y55" i="12"/>
  <c r="Y115" i="12"/>
  <c r="Y20" i="12"/>
  <c r="Y128" i="12"/>
  <c r="Y111" i="12"/>
  <c r="Y103" i="12"/>
  <c r="Y122" i="12"/>
  <c r="Y19" i="12"/>
  <c r="Y18" i="12"/>
  <c r="Y120" i="12"/>
  <c r="Y76" i="12"/>
  <c r="Y86" i="12"/>
  <c r="Y66" i="12"/>
  <c r="Y27" i="12"/>
  <c r="Y75" i="12"/>
  <c r="Y124" i="12"/>
  <c r="Y110" i="12"/>
  <c r="Y70" i="12"/>
  <c r="Y54" i="12"/>
  <c r="Y112" i="12"/>
  <c r="Y26" i="12"/>
  <c r="Y24" i="12"/>
  <c r="Y123" i="12"/>
  <c r="Y22" i="12"/>
  <c r="Y100" i="12"/>
  <c r="Y137" i="12"/>
  <c r="Y132" i="12"/>
  <c r="Y30" i="12"/>
  <c r="Y130" i="12"/>
  <c r="Y64" i="12"/>
  <c r="Y10" i="12"/>
  <c r="Y91" i="12"/>
  <c r="Y114" i="12"/>
  <c r="Y58" i="12"/>
  <c r="Y87" i="12"/>
  <c r="Y39" i="12"/>
  <c r="Y136" i="12"/>
  <c r="Y8" i="12"/>
  <c r="Y82" i="12"/>
  <c r="Y67" i="12"/>
  <c r="Y127" i="12"/>
  <c r="U138" i="12"/>
  <c r="W138" i="12" s="1"/>
  <c r="W138" i="31"/>
  <c r="Y138" i="31" s="1"/>
  <c r="W138" i="30"/>
  <c r="Y138" i="30" s="1"/>
  <c r="BQ140" i="27"/>
  <c r="H138" i="12" l="1"/>
  <c r="H138" i="30"/>
  <c r="Y138" i="12"/>
  <c r="AA99" i="31"/>
  <c r="Q118" i="23"/>
  <c r="M118" i="23" l="1"/>
  <c r="D118" i="23"/>
  <c r="G118" i="23"/>
  <c r="O118" i="23"/>
  <c r="AM124" i="27" l="1" a="1"/>
  <c r="AM124" i="27" s="1"/>
  <c r="AJ124" i="27" a="1"/>
  <c r="AJ124" i="27" s="1"/>
  <c r="AK31" i="27" l="1" a="1"/>
  <c r="AK31" i="27" s="1"/>
  <c r="AR130" i="27" a="1"/>
  <c r="AR130" i="27" s="1"/>
  <c r="AN37" i="27" a="1"/>
  <c r="AN37" i="27" s="1"/>
  <c r="AR14" i="27" a="1"/>
  <c r="AR14" i="27" s="1"/>
  <c r="AM14" i="27" a="1"/>
  <c r="AM14" i="27" s="1"/>
  <c r="AK23" i="27" a="1"/>
  <c r="AK23" i="27" s="1"/>
  <c r="AK128" i="27" a="1"/>
  <c r="AK128" i="27" s="1"/>
  <c r="AQ134" i="27" a="1"/>
  <c r="AQ134" i="27" s="1"/>
  <c r="AJ55" i="27" a="1"/>
  <c r="AJ55" i="27" s="1"/>
  <c r="AS124" i="27" a="1"/>
  <c r="AS124" i="27" s="1"/>
  <c r="AK124" i="27" a="1"/>
  <c r="AK124" i="27" s="1"/>
  <c r="AL134" i="27" a="1"/>
  <c r="AL134" i="27" s="1"/>
  <c r="AM79" i="27" a="1"/>
  <c r="AM79" i="27" s="1"/>
  <c r="AJ79" i="27" a="1"/>
  <c r="AJ79" i="27" s="1"/>
  <c r="AK89" i="27" a="1"/>
  <c r="AK89" i="27" s="1"/>
  <c r="AN90" i="27" a="1"/>
  <c r="AN90" i="27" s="1"/>
  <c r="AK84" i="27" a="1"/>
  <c r="AK84" i="27" s="1"/>
  <c r="AK90" i="27" a="1"/>
  <c r="AK90" i="27" s="1"/>
  <c r="AS7" i="27" a="1"/>
  <c r="AS7" i="27" s="1"/>
  <c r="AP130" i="27" a="1"/>
  <c r="AP130" i="27" s="1"/>
  <c r="AM98" i="27" a="1"/>
  <c r="AM98" i="27" s="1"/>
  <c r="AL14" i="27" a="1"/>
  <c r="AL14" i="27" s="1"/>
  <c r="AN14" i="27" a="1"/>
  <c r="AN14" i="27" s="1"/>
  <c r="AK14" i="27" a="1"/>
  <c r="AK14" i="27" s="1"/>
  <c r="AP89" i="27" a="1"/>
  <c r="AP89" i="27" s="1"/>
  <c r="AK25" i="27" a="1"/>
  <c r="AK25" i="27" s="1"/>
  <c r="AQ110" i="27" a="1"/>
  <c r="AQ110" i="27" s="1"/>
  <c r="AJ63" i="27" a="1"/>
  <c r="AJ63" i="27" s="1"/>
  <c r="AS52" i="27" a="1"/>
  <c r="AS52" i="27" s="1"/>
  <c r="AL95" i="27" a="1"/>
  <c r="AL95" i="27" s="1"/>
  <c r="AK82" i="27" a="1"/>
  <c r="AK82" i="27" s="1"/>
  <c r="AQ124" i="27" a="1"/>
  <c r="AQ124" i="27" s="1"/>
  <c r="AR124" i="27" a="1"/>
  <c r="AR124" i="27" s="1"/>
  <c r="AK63" i="27" a="1"/>
  <c r="AK63" i="27" s="1"/>
  <c r="AP124" i="27" a="1"/>
  <c r="AP124" i="27" s="1"/>
  <c r="AS97" i="27" a="1"/>
  <c r="AS97" i="27" s="1"/>
  <c r="AJ80" i="27" a="1"/>
  <c r="AJ80" i="27" s="1"/>
  <c r="AN95" i="27" a="1"/>
  <c r="AN95" i="27" s="1"/>
  <c r="AR80" i="27" a="1"/>
  <c r="AR80" i="27" s="1"/>
  <c r="AR95" i="27" a="1"/>
  <c r="AR95" i="27" s="1"/>
  <c r="AP95" i="27" a="1"/>
  <c r="AP95" i="27" s="1"/>
  <c r="AN55" i="27" a="1"/>
  <c r="AN55" i="27" s="1"/>
  <c r="AR63" i="27" a="1"/>
  <c r="AR63" i="27" s="1"/>
  <c r="AQ55" i="27" a="1"/>
  <c r="AQ55" i="27" s="1"/>
  <c r="AQ80" i="27" a="1"/>
  <c r="AQ80" i="27" s="1"/>
  <c r="AO95" i="27" a="1"/>
  <c r="AO95" i="27" s="1"/>
  <c r="AR82" i="27" a="1"/>
  <c r="AR82" i="27" s="1"/>
  <c r="AQ63" i="27" a="1"/>
  <c r="AQ63" i="27" s="1"/>
  <c r="AJ82" i="27" a="1"/>
  <c r="AJ82" i="27" s="1"/>
  <c r="AO52" i="27" a="1"/>
  <c r="AO52" i="27" s="1"/>
  <c r="AK55" i="27" a="1"/>
  <c r="AK55" i="27" s="1"/>
  <c r="AM80" i="27" a="1"/>
  <c r="AM80" i="27" s="1"/>
  <c r="AJ52" i="27" a="1"/>
  <c r="AJ52" i="27" s="1"/>
  <c r="AJ46" i="27" a="1"/>
  <c r="AJ46" i="27" s="1"/>
  <c r="AL52" i="27" a="1"/>
  <c r="AL52" i="27" s="1"/>
  <c r="AP63" i="27" a="1"/>
  <c r="AP63" i="27" s="1"/>
  <c r="AP82" i="27" a="1"/>
  <c r="AP82" i="27" s="1"/>
  <c r="AQ52" i="27" a="1"/>
  <c r="AQ52" i="27" s="1"/>
  <c r="AR52" i="27" a="1"/>
  <c r="AR52" i="27" s="1"/>
  <c r="AM63" i="27" l="1" a="1"/>
  <c r="AM63" i="27" s="1"/>
  <c r="AK52" i="27" a="1"/>
  <c r="AK52" i="27" s="1"/>
  <c r="AN63" i="27" a="1"/>
  <c r="AN63" i="27" s="1"/>
  <c r="AO80" i="27" a="1"/>
  <c r="AO80" i="27" s="1"/>
  <c r="AP80" i="27" a="1"/>
  <c r="AP80" i="27" s="1"/>
  <c r="AL82" i="27" a="1"/>
  <c r="AL82" i="27" s="1"/>
  <c r="AT40" i="27" a="1"/>
  <c r="AT40" i="27" s="1"/>
  <c r="AT23" i="27" a="1"/>
  <c r="AT23" i="27" s="1"/>
  <c r="AS51" i="27" a="1"/>
  <c r="AS51" i="27" s="1"/>
  <c r="AQ90" i="27" a="1"/>
  <c r="AQ90" i="27" s="1"/>
  <c r="AQ7" i="27" a="1"/>
  <c r="AQ7" i="27" s="1"/>
  <c r="AQ97" i="27" a="1"/>
  <c r="AQ97" i="27" s="1"/>
  <c r="AQ100" i="27" a="1"/>
  <c r="AQ100" i="27" s="1"/>
  <c r="AM97" i="27" a="1"/>
  <c r="AM97" i="27" s="1"/>
  <c r="AL89" i="27" a="1"/>
  <c r="AL89" i="27" s="1"/>
  <c r="AS34" i="27" a="1"/>
  <c r="AS34" i="27" s="1"/>
  <c r="AO84" i="27" a="1"/>
  <c r="AO84" i="27" s="1"/>
  <c r="AS119" i="27" a="1"/>
  <c r="AS119" i="27" s="1"/>
  <c r="AM119" i="27" a="1"/>
  <c r="AM119" i="27" s="1"/>
  <c r="AN107" i="27" a="1"/>
  <c r="AN107" i="27" s="1"/>
  <c r="AO107" i="27" a="1"/>
  <c r="AO107" i="27" s="1"/>
  <c r="AJ119" i="27" a="1"/>
  <c r="AJ119" i="27" s="1"/>
  <c r="AM107" i="27" a="1"/>
  <c r="AM107" i="27" s="1"/>
  <c r="AO79" i="27" a="1"/>
  <c r="AO79" i="27" s="1"/>
  <c r="AO7" i="27" a="1"/>
  <c r="AO7" i="27" s="1"/>
  <c r="AL79" i="27" a="1"/>
  <c r="AL79" i="27" s="1"/>
  <c r="AM110" i="27" a="1"/>
  <c r="AM110" i="27" s="1"/>
  <c r="AS130" i="27" a="1"/>
  <c r="AS130" i="27" s="1"/>
  <c r="AM82" i="27" a="1"/>
  <c r="AM82" i="27" s="1"/>
  <c r="AS82" i="27" a="1"/>
  <c r="AS82" i="27" s="1"/>
  <c r="AN82" i="27" a="1"/>
  <c r="AN82" i="27" s="1"/>
  <c r="AQ79" i="27" a="1"/>
  <c r="AQ79" i="27" s="1"/>
  <c r="AJ130" i="27" a="1"/>
  <c r="AJ130" i="27" s="1"/>
  <c r="AM23" i="27" a="1"/>
  <c r="AM23" i="27" s="1"/>
  <c r="AS90" i="27" a="1"/>
  <c r="AS90" i="27" s="1"/>
  <c r="AK86" i="27" a="1"/>
  <c r="AK86" i="27" s="1"/>
  <c r="AK137" i="27" a="1"/>
  <c r="AK137" i="27" s="1"/>
  <c r="AS79" i="27" a="1"/>
  <c r="AS79" i="27" s="1"/>
  <c r="AL110" i="27" a="1"/>
  <c r="AL110" i="27" s="1"/>
  <c r="AR7" i="27" a="1"/>
  <c r="AR7" i="27" s="1"/>
  <c r="AN124" i="27" a="1"/>
  <c r="AN124" i="27" s="1"/>
  <c r="AM7" i="27" a="1"/>
  <c r="AM7" i="27" s="1"/>
  <c r="AR66" i="27" a="1"/>
  <c r="AR66" i="27" s="1"/>
  <c r="AS25" i="27" a="1"/>
  <c r="AS25" i="27" s="1"/>
  <c r="AR83" i="27" a="1"/>
  <c r="AR83" i="27" s="1"/>
  <c r="AK123" i="27" a="1"/>
  <c r="AK123" i="27" s="1"/>
  <c r="AK39" i="27" a="1"/>
  <c r="AK39" i="27" s="1"/>
  <c r="AL125" i="27" a="1"/>
  <c r="AL125" i="27" s="1"/>
  <c r="AR110" i="27" a="1"/>
  <c r="AR110" i="27" s="1"/>
  <c r="AP128" i="27" a="1"/>
  <c r="AP128" i="27" s="1"/>
  <c r="AP134" i="27" a="1"/>
  <c r="AP134" i="27" s="1"/>
  <c r="AQ42" i="27" a="1"/>
  <c r="AQ42" i="27" s="1"/>
  <c r="AJ110" i="27" a="1"/>
  <c r="AJ110" i="27" s="1"/>
  <c r="AL16" i="27" a="1"/>
  <c r="AL16" i="27" s="1"/>
  <c r="AP24" i="27" a="1"/>
  <c r="AP24" i="27" s="1"/>
  <c r="AK103" i="27" a="1"/>
  <c r="AK103" i="27" s="1"/>
  <c r="AP100" i="27" a="1"/>
  <c r="AP100" i="27" s="1"/>
  <c r="AQ40" i="27" a="1"/>
  <c r="AQ40" i="27" s="1"/>
  <c r="AM40" i="27" a="1"/>
  <c r="AM40" i="27" s="1"/>
  <c r="AQ123" i="27" a="1"/>
  <c r="AQ123" i="27" s="1"/>
  <c r="AL98" i="27" a="1"/>
  <c r="AL98" i="27" s="1"/>
  <c r="AQ10" i="27" a="1"/>
  <c r="AQ10" i="27" s="1"/>
  <c r="AP83" i="27" a="1"/>
  <c r="AP83" i="27" s="1"/>
  <c r="AO132" i="27" a="1"/>
  <c r="AO132" i="27" s="1"/>
  <c r="AS125" i="27" a="1"/>
  <c r="AS125" i="27" s="1"/>
  <c r="AS72" i="27" a="1"/>
  <c r="AS72" i="27" s="1"/>
  <c r="AN86" i="27" a="1"/>
  <c r="AN86" i="27" s="1"/>
  <c r="AJ100" i="27" a="1"/>
  <c r="AJ100" i="27" s="1"/>
  <c r="AO128" i="27" a="1"/>
  <c r="AO128" i="27" s="1"/>
  <c r="AO42" i="27" a="1"/>
  <c r="AO42" i="27" s="1"/>
  <c r="AP79" i="27" a="1"/>
  <c r="AP79" i="27" s="1"/>
  <c r="AO35" i="27" a="1"/>
  <c r="AO35" i="27" s="1"/>
  <c r="AL130" i="27" a="1"/>
  <c r="AL130" i="27" s="1"/>
  <c r="AO34" i="27" a="1"/>
  <c r="AO34" i="27" s="1"/>
  <c r="AL124" i="27" a="1"/>
  <c r="AL124" i="27" s="1"/>
  <c r="AK130" i="27" a="1"/>
  <c r="AK130" i="27" s="1"/>
  <c r="AK110" i="27" a="1"/>
  <c r="AK110" i="27" s="1"/>
  <c r="AQ66" i="27" a="1"/>
  <c r="AQ66" i="27" s="1"/>
  <c r="AO124" i="27" a="1"/>
  <c r="AO124" i="27" s="1"/>
  <c r="AR35" i="27" a="1"/>
  <c r="AR35" i="27" s="1"/>
  <c r="AN25" i="27" a="1"/>
  <c r="AN25" i="27" s="1"/>
  <c r="AS123" i="27" a="1"/>
  <c r="AS123" i="27" s="1"/>
  <c r="AM39" i="27" a="1"/>
  <c r="AM39" i="27" s="1"/>
  <c r="AO37" i="27" a="1"/>
  <c r="AO37" i="27" s="1"/>
  <c r="AO86" i="27" a="1"/>
  <c r="AO86" i="27" s="1"/>
  <c r="AK79" i="27" a="1"/>
  <c r="AK79" i="27" s="1"/>
  <c r="AN24" i="27" a="1"/>
  <c r="AN24" i="27" s="1"/>
  <c r="AM34" i="27" a="1"/>
  <c r="AM34" i="27" s="1"/>
  <c r="AN128" i="27" a="1"/>
  <c r="AN128" i="27" s="1"/>
  <c r="AQ25" i="27" a="1"/>
  <c r="AQ25" i="27" s="1"/>
  <c r="AR24" i="27" a="1"/>
  <c r="AR24" i="27" s="1"/>
  <c r="AJ72" i="27" a="1"/>
  <c r="AJ72" i="27" s="1"/>
  <c r="AJ89" i="27" a="1"/>
  <c r="AJ89" i="27" s="1"/>
  <c r="AQ72" i="27" a="1"/>
  <c r="AQ72" i="27" s="1"/>
  <c r="AS110" i="27" a="1"/>
  <c r="AS110" i="27" s="1"/>
  <c r="AL113" i="27" a="1"/>
  <c r="AL113" i="27" s="1"/>
  <c r="AR100" i="27" a="1"/>
  <c r="AR100" i="27" s="1"/>
  <c r="AP98" i="27" a="1"/>
  <c r="AP98" i="27" s="1"/>
  <c r="AR132" i="27" a="1"/>
  <c r="AR132" i="27" s="1"/>
  <c r="AM132" i="27" a="1"/>
  <c r="AM132" i="27" s="1"/>
  <c r="AL123" i="27" a="1"/>
  <c r="AL123" i="27" s="1"/>
  <c r="AK100" i="27" a="1"/>
  <c r="AK100" i="27" s="1"/>
  <c r="AN98" i="27" a="1"/>
  <c r="AN98" i="27" s="1"/>
  <c r="AK98" i="27" a="1"/>
  <c r="AK98" i="27" s="1"/>
  <c r="AN10" i="27" a="1"/>
  <c r="AN10" i="27" s="1"/>
  <c r="AS65" i="27" a="1"/>
  <c r="AS65" i="27" s="1"/>
  <c r="AO65" i="27" a="1"/>
  <c r="AO65" i="27" s="1"/>
  <c r="AL86" i="27" a="1"/>
  <c r="AL86" i="27" s="1"/>
  <c r="AP137" i="27" a="1"/>
  <c r="AP137" i="27" s="1"/>
  <c r="AO134" i="27" a="1"/>
  <c r="AO134" i="27" s="1"/>
  <c r="AQ23" i="27" a="1"/>
  <c r="AQ23" i="27" s="1"/>
  <c r="AP14" i="27" a="1"/>
  <c r="AP14" i="27" s="1"/>
  <c r="AP103" i="27" a="1"/>
  <c r="AP103" i="27" s="1"/>
  <c r="AJ103" i="27" a="1"/>
  <c r="AJ103" i="27" s="1"/>
  <c r="AJ42" i="27" a="1"/>
  <c r="AJ42" i="27" s="1"/>
  <c r="AQ24" i="27" a="1"/>
  <c r="AQ24" i="27" s="1"/>
  <c r="AO40" i="27" a="1"/>
  <c r="AO40" i="27" s="1"/>
  <c r="AO39" i="27" a="1"/>
  <c r="AO39" i="27" s="1"/>
  <c r="AS132" i="27" a="1"/>
  <c r="AS132" i="27" s="1"/>
  <c r="AN65" i="27" a="1"/>
  <c r="AN65" i="27" s="1"/>
  <c r="AS83" i="27" a="1"/>
  <c r="AS83" i="27" s="1"/>
  <c r="AQ107" i="27" a="1"/>
  <c r="AQ107" i="27" s="1"/>
  <c r="AM86" i="27" a="1"/>
  <c r="AM86" i="27" s="1"/>
  <c r="AS134" i="27" a="1"/>
  <c r="AS134" i="27" s="1"/>
  <c r="AM130" i="27" a="1"/>
  <c r="AM130" i="27" s="1"/>
  <c r="AR72" i="27" a="1"/>
  <c r="AR72" i="27" s="1"/>
  <c r="AM128" i="27" a="1"/>
  <c r="AM128" i="27" s="1"/>
  <c r="AQ128" i="27" a="1"/>
  <c r="AQ128" i="27" s="1"/>
  <c r="AN51" i="27" a="1"/>
  <c r="AN51" i="27" s="1"/>
  <c r="AQ51" i="27" a="1"/>
  <c r="AQ51" i="27" s="1"/>
  <c r="AS89" i="27" a="1"/>
  <c r="AS89" i="27" s="1"/>
  <c r="AK16" i="27" a="1"/>
  <c r="AK16" i="27" s="1"/>
  <c r="AO90" i="27" a="1"/>
  <c r="AO90" i="27" s="1"/>
  <c r="AR89" i="27" a="1"/>
  <c r="AR89" i="27" s="1"/>
  <c r="AL132" i="27" a="1"/>
  <c r="AL132" i="27" s="1"/>
  <c r="AS39" i="27" a="1"/>
  <c r="AS39" i="27" s="1"/>
  <c r="AR65" i="27" a="1"/>
  <c r="AR65" i="27" s="1"/>
  <c r="AN84" i="27" a="1"/>
  <c r="AN84" i="27" s="1"/>
  <c r="AS37" i="27" a="1"/>
  <c r="AS37" i="27" s="1"/>
  <c r="AO123" i="27" a="1"/>
  <c r="AO123" i="27" s="1"/>
  <c r="AJ83" i="27" a="1"/>
  <c r="AJ83" i="27" s="1"/>
  <c r="AQ37" i="27" a="1"/>
  <c r="AQ37" i="27" s="1"/>
  <c r="AL119" i="27" a="1"/>
  <c r="AL119" i="27" s="1"/>
  <c r="AR34" i="27" a="1"/>
  <c r="AR34" i="27" s="1"/>
  <c r="AL37" i="27" a="1"/>
  <c r="AL37" i="27" s="1"/>
  <c r="AS86" i="27" a="1"/>
  <c r="AS86" i="27" s="1"/>
  <c r="AS107" i="27" a="1"/>
  <c r="AS107" i="27" s="1"/>
  <c r="AJ51" i="27" a="1"/>
  <c r="AJ51" i="27" s="1"/>
  <c r="AR84" i="27" a="1"/>
  <c r="AR84" i="27" s="1"/>
  <c r="AQ130" i="27" a="1"/>
  <c r="AQ130" i="27" s="1"/>
  <c r="AJ97" i="27" a="1"/>
  <c r="AJ97" i="27" s="1"/>
  <c r="AM42" i="27" a="1"/>
  <c r="AM42" i="27" s="1"/>
  <c r="AS16" i="27" a="1"/>
  <c r="AS16" i="27" s="1"/>
  <c r="AP84" i="27" a="1"/>
  <c r="AP84" i="27" s="1"/>
  <c r="AJ98" i="27" a="1"/>
  <c r="AJ98" i="27" s="1"/>
  <c r="AN134" i="27" a="1"/>
  <c r="AN134" i="27" s="1"/>
  <c r="AL137" i="27" a="1"/>
  <c r="AL137" i="27" s="1"/>
  <c r="AP52" i="27" a="1"/>
  <c r="AP52" i="27" s="1"/>
  <c r="AL46" i="27" a="1"/>
  <c r="AL46" i="27" s="1"/>
  <c r="AQ82" i="27" a="1"/>
  <c r="AQ82" i="27" s="1"/>
  <c r="AS14" i="27" a="1"/>
  <c r="AS14" i="27" s="1"/>
  <c r="AR97" i="27" a="1"/>
  <c r="AR97" i="27" s="1"/>
  <c r="AS63" i="27" a="1"/>
  <c r="AS63" i="27" s="1"/>
  <c r="AO14" i="27" a="1"/>
  <c r="AO14" i="27" s="1"/>
  <c r="AL63" i="27" a="1"/>
  <c r="AL63" i="27" s="1"/>
  <c r="AS55" i="27" a="1"/>
  <c r="AS55" i="27" s="1"/>
  <c r="AO63" i="27" a="1"/>
  <c r="AO63" i="27" s="1"/>
  <c r="AM55" i="27" a="1"/>
  <c r="AM55" i="27" s="1"/>
  <c r="AM95" i="27" a="1"/>
  <c r="AM95" i="27" s="1"/>
  <c r="AK97" i="27" a="1"/>
  <c r="AK97" i="27" s="1"/>
  <c r="AP55" i="27" a="1"/>
  <c r="AP55" i="27" s="1"/>
  <c r="AJ95" i="27" a="1"/>
  <c r="AJ95" i="27" s="1"/>
  <c r="AQ95" i="27" a="1"/>
  <c r="AQ95" i="27" s="1"/>
  <c r="AO125" i="27" a="1"/>
  <c r="AO125" i="27" s="1"/>
  <c r="AL55" i="27" a="1"/>
  <c r="AL55" i="27" s="1"/>
  <c r="AR55" i="27" a="1"/>
  <c r="AR55" i="27" s="1"/>
  <c r="AK95" i="27" a="1"/>
  <c r="AK95" i="27" s="1"/>
  <c r="AO55" i="27" a="1"/>
  <c r="AO55" i="27" s="1"/>
  <c r="AQ125" i="27" a="1"/>
  <c r="AQ125" i="27" s="1"/>
  <c r="AM31" i="27" a="1"/>
  <c r="AM31" i="27" s="1"/>
  <c r="AO82" i="27" a="1"/>
  <c r="AO82" i="27" s="1"/>
  <c r="AN46" i="27" a="1"/>
  <c r="AN46" i="27" s="1"/>
  <c r="AS46" i="27" a="1"/>
  <c r="AS46" i="27" s="1"/>
  <c r="AK46" i="27" a="1"/>
  <c r="AK46" i="27" s="1"/>
  <c r="AP46" i="27" a="1"/>
  <c r="AP46" i="27" s="1"/>
  <c r="AM46" i="27" a="1"/>
  <c r="AM46" i="27" s="1"/>
  <c r="AQ46" i="27" a="1"/>
  <c r="AQ46" i="27" s="1"/>
  <c r="AO46" i="27" a="1"/>
  <c r="AO46" i="27" s="1"/>
  <c r="AR46" i="27" a="1"/>
  <c r="AR46" i="27" s="1"/>
  <c r="AM52" i="27" a="1"/>
  <c r="AM52" i="27" s="1"/>
  <c r="AN52" i="27" a="1"/>
  <c r="AN52" i="27" s="1"/>
  <c r="AL80" i="27" a="1"/>
  <c r="AL80" i="27" s="1"/>
  <c r="AS80" i="27" a="1"/>
  <c r="AS80" i="27" s="1"/>
  <c r="AK80" i="27" a="1"/>
  <c r="AK80" i="27" s="1"/>
  <c r="AN80" i="27" a="1"/>
  <c r="AN80" i="27" s="1"/>
  <c r="AQ104" i="27" a="1"/>
  <c r="AQ104" i="27" s="1"/>
  <c r="AL104" i="27" a="1"/>
  <c r="AL104" i="27" s="1"/>
  <c r="AM103" i="27" a="1"/>
  <c r="AM103" i="27" s="1"/>
  <c r="AK72" i="27" a="1"/>
  <c r="AK72" i="27" s="1"/>
  <c r="AP23" i="27" a="1"/>
  <c r="AP23" i="27" s="1"/>
  <c r="AL53" i="27" a="1"/>
  <c r="AL53" i="27" s="1"/>
  <c r="AP120" i="27" a="1"/>
  <c r="AP120" i="27" s="1"/>
  <c r="AK120" i="27" a="1"/>
  <c r="AK120" i="27" s="1"/>
  <c r="AN120" i="27" a="1"/>
  <c r="AN120" i="27" s="1"/>
  <c r="AL72" i="27" a="1"/>
  <c r="AL72" i="27" s="1"/>
  <c r="AM104" i="27" a="1"/>
  <c r="AM104" i="27" s="1"/>
  <c r="AO104" i="27" a="1"/>
  <c r="AO104" i="27" s="1"/>
  <c r="AN103" i="27" a="1"/>
  <c r="AN103" i="27" s="1"/>
  <c r="AP53" i="27" a="1"/>
  <c r="AP53" i="27" s="1"/>
  <c r="AS53" i="27" a="1"/>
  <c r="AS53" i="27" s="1"/>
  <c r="AJ53" i="27" a="1"/>
  <c r="AJ53" i="27" s="1"/>
  <c r="AK42" i="27" a="1"/>
  <c r="AK42" i="27" s="1"/>
  <c r="AS128" i="27" a="1"/>
  <c r="AS128" i="27" s="1"/>
  <c r="AP25" i="27" a="1"/>
  <c r="AP25" i="27" s="1"/>
  <c r="AJ128" i="27" a="1"/>
  <c r="AJ128" i="27" s="1"/>
  <c r="AS120" i="27" a="1"/>
  <c r="AS120" i="27" s="1"/>
  <c r="AJ120" i="27" a="1"/>
  <c r="AJ120" i="27" s="1"/>
  <c r="AO24" i="27" a="1"/>
  <c r="AO24" i="27" s="1"/>
  <c r="AN104" i="27" a="1"/>
  <c r="AN104" i="27" s="1"/>
  <c r="AJ104" i="27" a="1"/>
  <c r="AJ104" i="27" s="1"/>
  <c r="AK104" i="27" a="1"/>
  <c r="AK104" i="27" s="1"/>
  <c r="AR104" i="27" a="1"/>
  <c r="AR104" i="27" s="1"/>
  <c r="AP72" i="27" a="1"/>
  <c r="AP72" i="27" s="1"/>
  <c r="AN53" i="27" a="1"/>
  <c r="AN53" i="27" s="1"/>
  <c r="AQ53" i="27" a="1"/>
  <c r="AQ53" i="27" s="1"/>
  <c r="AR53" i="27" a="1"/>
  <c r="AR53" i="27" s="1"/>
  <c r="AR113" i="27" a="1"/>
  <c r="AR113" i="27" s="1"/>
  <c r="AM89" i="27" a="1"/>
  <c r="AM89" i="27" s="1"/>
  <c r="AO72" i="27" a="1"/>
  <c r="AO72" i="27" s="1"/>
  <c r="AL25" i="27" a="1"/>
  <c r="AL25" i="27" s="1"/>
  <c r="AM137" i="27" a="1"/>
  <c r="AM137" i="27" s="1"/>
  <c r="AL24" i="27" a="1"/>
  <c r="AL24" i="27" s="1"/>
  <c r="AR120" i="27" a="1"/>
  <c r="AR120" i="27" s="1"/>
  <c r="AM120" i="27" a="1"/>
  <c r="AM120" i="27" s="1"/>
  <c r="AL120" i="27" a="1"/>
  <c r="AL120" i="27" s="1"/>
  <c r="AL66" i="27" a="1"/>
  <c r="AL66" i="27" s="1"/>
  <c r="AS104" i="27" a="1"/>
  <c r="AS104" i="27" s="1"/>
  <c r="AP104" i="27" a="1"/>
  <c r="AP104" i="27" s="1"/>
  <c r="AS103" i="27" a="1"/>
  <c r="AS103" i="27" s="1"/>
  <c r="AP35" i="27" a="1"/>
  <c r="AP35" i="27" s="1"/>
  <c r="AO53" i="27" a="1"/>
  <c r="AO53" i="27" s="1"/>
  <c r="AK53" i="27" a="1"/>
  <c r="AK53" i="27" s="1"/>
  <c r="AM53" i="27" a="1"/>
  <c r="AM53" i="27" s="1"/>
  <c r="AQ16" i="27" a="1"/>
  <c r="AQ16" i="27" s="1"/>
  <c r="AM24" i="27" a="1"/>
  <c r="AM24" i="27" s="1"/>
  <c r="AQ35" i="27" a="1"/>
  <c r="AQ35" i="27" s="1"/>
  <c r="AM90" i="27" a="1"/>
  <c r="AM90" i="27" s="1"/>
  <c r="AO120" i="27" a="1"/>
  <c r="AO120" i="27" s="1"/>
  <c r="AQ120" i="27" a="1"/>
  <c r="AQ120" i="27" s="1"/>
  <c r="AM51" i="27" a="1"/>
  <c r="AM51" i="27" s="1"/>
  <c r="AJ35" i="27" l="1" a="1"/>
  <c r="AJ35" i="27" s="1"/>
  <c r="AJ24" i="27" a="1"/>
  <c r="AJ24" i="27" s="1"/>
  <c r="AJ40" i="27" a="1"/>
  <c r="AJ40" i="27" s="1"/>
  <c r="AJ34" i="27" a="1"/>
  <c r="AJ34" i="27" s="1"/>
  <c r="AJ16" i="27" a="1"/>
  <c r="AJ16" i="27" s="1"/>
  <c r="AJ10" i="27" a="1"/>
  <c r="AJ10" i="27" s="1"/>
  <c r="AJ23" i="27" a="1"/>
  <c r="AJ23" i="27" s="1"/>
  <c r="AT14" i="27" a="1"/>
  <c r="AT14" i="27" s="1"/>
  <c r="AT39" i="27" a="1"/>
  <c r="AT39" i="27" s="1"/>
  <c r="AT137" i="27" a="1"/>
  <c r="AT137" i="27" s="1"/>
  <c r="AT107" i="27" a="1"/>
  <c r="AT107" i="27" s="1"/>
  <c r="AT125" i="27" a="1"/>
  <c r="AT125" i="27" s="1"/>
  <c r="AT84" i="27" a="1"/>
  <c r="AT84" i="27" s="1"/>
  <c r="AT66" i="27" a="1"/>
  <c r="AT66" i="27" s="1"/>
  <c r="AT79" i="27" a="1"/>
  <c r="AT79" i="27" s="1"/>
  <c r="AT83" i="27" a="1"/>
  <c r="AT83" i="27" s="1"/>
  <c r="AT31" i="27" a="1"/>
  <c r="AT31" i="27" s="1"/>
  <c r="AT42" i="27" a="1"/>
  <c r="AT42" i="27" s="1"/>
  <c r="AT25" i="27" a="1"/>
  <c r="AT25" i="27" s="1"/>
  <c r="AT37" i="27" a="1"/>
  <c r="AT37" i="27" s="1"/>
  <c r="AT80" i="27" a="1"/>
  <c r="AT80" i="27" s="1"/>
  <c r="AT128" i="27" a="1"/>
  <c r="AT128" i="27" s="1"/>
  <c r="AT123" i="27" a="1"/>
  <c r="AT123" i="27" s="1"/>
  <c r="AS95" i="27" a="1"/>
  <c r="AS95" i="27" s="1"/>
  <c r="AT55" i="27" a="1"/>
  <c r="AT55" i="27" s="1"/>
  <c r="AT124" i="27" a="1"/>
  <c r="AT124" i="27" s="1"/>
  <c r="AT52" i="27" a="1"/>
  <c r="AT52" i="27" s="1"/>
  <c r="AT100" i="27" a="1"/>
  <c r="AT100" i="27" s="1"/>
  <c r="AO97" i="27" a="1"/>
  <c r="AO97" i="27" s="1"/>
  <c r="AN97" i="27" a="1"/>
  <c r="AN97" i="27" s="1"/>
  <c r="AT97" i="27" a="1"/>
  <c r="AT97" i="27" s="1"/>
  <c r="AP97" i="27" a="1"/>
  <c r="AP97" i="27" s="1"/>
  <c r="AK119" i="27" a="1"/>
  <c r="AK119" i="27" s="1"/>
  <c r="AL97" i="27" a="1"/>
  <c r="AL97" i="27" s="1"/>
  <c r="AR105" i="27" a="1"/>
  <c r="AR105" i="27" s="1"/>
  <c r="AS105" i="27" a="1"/>
  <c r="AS105" i="27" s="1"/>
  <c r="AM105" i="27" a="1"/>
  <c r="AM105" i="27" s="1"/>
  <c r="AR25" i="27" a="1"/>
  <c r="AR25" i="27" s="1"/>
  <c r="AM83" i="27" a="1"/>
  <c r="AM83" i="27" s="1"/>
  <c r="AM72" i="27" a="1"/>
  <c r="AM72" i="27" s="1"/>
  <c r="AT34" i="27" a="1"/>
  <c r="AT34" i="27" s="1"/>
  <c r="AT90" i="27" a="1"/>
  <c r="AT90" i="27" s="1"/>
  <c r="AJ123" i="27" a="1"/>
  <c r="AJ123" i="27" s="1"/>
  <c r="AP123" i="27" a="1"/>
  <c r="AP123" i="27" s="1"/>
  <c r="AS66" i="27" a="1"/>
  <c r="AS66" i="27" s="1"/>
  <c r="AN83" i="27" a="1"/>
  <c r="AN83" i="27" s="1"/>
  <c r="AL34" i="27" a="1"/>
  <c r="AL34" i="27" s="1"/>
  <c r="AL107" i="27" a="1"/>
  <c r="AL107" i="27" s="1"/>
  <c r="AM66" i="27" a="1"/>
  <c r="AM66" i="27" s="1"/>
  <c r="AM10" i="27" a="1"/>
  <c r="AM10" i="27" s="1"/>
  <c r="AR86" i="27" a="1"/>
  <c r="AR86" i="27" s="1"/>
  <c r="AQ34" i="27" a="1"/>
  <c r="AQ34" i="27" s="1"/>
  <c r="AJ66" i="27" a="1"/>
  <c r="AJ66" i="27" s="1"/>
  <c r="AK65" i="27" a="1"/>
  <c r="AK65" i="27" s="1"/>
  <c r="AR107" i="27" a="1"/>
  <c r="AR107" i="27" s="1"/>
  <c r="AJ113" i="27" a="1"/>
  <c r="AJ113" i="27" s="1"/>
  <c r="AJ86" i="27" a="1"/>
  <c r="AJ86" i="27" s="1"/>
  <c r="AM25" i="27" a="1"/>
  <c r="AM25" i="27" s="1"/>
  <c r="AN31" i="27" a="1"/>
  <c r="AN31" i="27" s="1"/>
  <c r="AT103" i="27" a="1"/>
  <c r="AT103" i="27" s="1"/>
  <c r="AR10" i="27" a="1"/>
  <c r="AR10" i="27" s="1"/>
  <c r="AL103" i="27" a="1"/>
  <c r="AL103" i="27" s="1"/>
  <c r="AR125" i="27" a="1"/>
  <c r="AR125" i="27" s="1"/>
  <c r="AO83" i="27" a="1"/>
  <c r="AO83" i="27" s="1"/>
  <c r="AS100" i="27" a="1"/>
  <c r="AS100" i="27" s="1"/>
  <c r="AQ98" i="27" a="1"/>
  <c r="AQ98" i="27" s="1"/>
  <c r="AO10" i="27" a="1"/>
  <c r="AO10" i="27" s="1"/>
  <c r="AR40" i="27" a="1"/>
  <c r="AR40" i="27" s="1"/>
  <c r="AR16" i="27" a="1"/>
  <c r="AR16" i="27" s="1"/>
  <c r="AN110" i="27" a="1"/>
  <c r="AN110" i="27" s="1"/>
  <c r="AK132" i="27" a="1"/>
  <c r="AK132" i="27" s="1"/>
  <c r="AK10" i="27" a="1"/>
  <c r="AK10" i="27" s="1"/>
  <c r="AP10" i="27" a="1"/>
  <c r="AP10" i="27" s="1"/>
  <c r="AO130" i="27" a="1"/>
  <c r="AO130" i="27" s="1"/>
  <c r="AP110" i="27" a="1"/>
  <c r="AP110" i="27" s="1"/>
  <c r="AP39" i="27" a="1"/>
  <c r="AP39" i="27" s="1"/>
  <c r="AR42" i="27" a="1"/>
  <c r="AR42" i="27" s="1"/>
  <c r="AO110" i="27" a="1"/>
  <c r="AO110" i="27" s="1"/>
  <c r="AP51" i="27" a="1"/>
  <c r="AP51" i="27" s="1"/>
  <c r="AS24" i="27" a="1"/>
  <c r="AS24" i="27" s="1"/>
  <c r="AL23" i="27" a="1"/>
  <c r="AL23" i="27" s="1"/>
  <c r="AN132" i="27" a="1"/>
  <c r="AN132" i="27" s="1"/>
  <c r="AO23" i="27" a="1"/>
  <c r="AO23" i="27" s="1"/>
  <c r="AK40" i="27" a="1"/>
  <c r="AK40" i="27" s="1"/>
  <c r="AS40" i="27" a="1"/>
  <c r="AS40" i="27" s="1"/>
  <c r="AN123" i="27" a="1"/>
  <c r="AN123" i="27" s="1"/>
  <c r="AR39" i="27" a="1"/>
  <c r="AR39" i="27" s="1"/>
  <c r="AM37" i="27" a="1"/>
  <c r="AM37" i="27" s="1"/>
  <c r="AR31" i="27" a="1"/>
  <c r="AR31" i="27" s="1"/>
  <c r="AT98" i="27" a="1"/>
  <c r="AT98" i="27" s="1"/>
  <c r="AO113" i="27" a="1"/>
  <c r="AO113" i="27" s="1"/>
  <c r="AT132" i="27" a="1"/>
  <c r="AT132" i="27" s="1"/>
  <c r="AJ132" i="27" a="1"/>
  <c r="AJ132" i="27" s="1"/>
  <c r="AM65" i="27" a="1"/>
  <c r="AM65" i="27" s="1"/>
  <c r="AS23" i="27" a="1"/>
  <c r="AS23" i="27" s="1"/>
  <c r="AR103" i="27" a="1"/>
  <c r="AR103" i="27" s="1"/>
  <c r="AL39" i="27" a="1"/>
  <c r="AL39" i="27" s="1"/>
  <c r="AS84" i="27" a="1"/>
  <c r="AS84" i="27" s="1"/>
  <c r="AS113" i="27" a="1"/>
  <c r="AS113" i="27" s="1"/>
  <c r="AK83" i="27" a="1"/>
  <c r="AK83" i="27" s="1"/>
  <c r="AN39" i="27" a="1"/>
  <c r="AN39" i="27" s="1"/>
  <c r="AL40" i="27" a="1"/>
  <c r="AL40" i="27" s="1"/>
  <c r="AO16" i="27" a="1"/>
  <c r="AO16" i="27" s="1"/>
  <c r="AQ84" i="27" a="1"/>
  <c r="AQ84" i="27" s="1"/>
  <c r="AL10" i="27" a="1"/>
  <c r="AL10" i="27" s="1"/>
  <c r="AM125" i="27" a="1"/>
  <c r="AM125" i="27" s="1"/>
  <c r="AM123" i="27" a="1"/>
  <c r="AM123" i="27" s="1"/>
  <c r="AP31" i="27" a="1"/>
  <c r="AP31" i="27" s="1"/>
  <c r="AQ89" i="27" a="1"/>
  <c r="AQ89" i="27" s="1"/>
  <c r="AQ39" i="27" a="1"/>
  <c r="AQ39" i="27" s="1"/>
  <c r="AN125" i="27" a="1"/>
  <c r="AN125" i="27" s="1"/>
  <c r="AK66" i="27" a="1"/>
  <c r="AK66" i="27" s="1"/>
  <c r="AP7" i="27" a="1"/>
  <c r="AP7" i="27" s="1"/>
  <c r="AP113" i="27" a="1"/>
  <c r="AP113" i="27" s="1"/>
  <c r="AN89" i="27" a="1"/>
  <c r="AN89" i="27" s="1"/>
  <c r="AS42" i="27" a="1"/>
  <c r="AS42" i="27" s="1"/>
  <c r="AN66" i="27" a="1"/>
  <c r="AN66" i="27" s="1"/>
  <c r="AP132" i="27" a="1"/>
  <c r="AP132" i="27" s="1"/>
  <c r="AP40" i="27" a="1"/>
  <c r="AP40" i="27" s="1"/>
  <c r="AO89" i="27" a="1"/>
  <c r="AO89" i="27" s="1"/>
  <c r="AL90" i="27" a="1"/>
  <c r="AL90" i="27" s="1"/>
  <c r="AQ132" i="27" a="1"/>
  <c r="AQ132" i="27" s="1"/>
  <c r="AO31" i="27" a="1"/>
  <c r="AO31" i="27" s="1"/>
  <c r="AL7" i="27" a="1"/>
  <c r="AL7" i="27" s="1"/>
  <c r="AN23" i="27" a="1"/>
  <c r="AN23" i="27" s="1"/>
  <c r="AR134" i="27" a="1"/>
  <c r="AR134" i="27" s="1"/>
  <c r="AL83" i="27" a="1"/>
  <c r="AL83" i="27" s="1"/>
  <c r="AN119" i="27" a="1"/>
  <c r="AN119" i="27" s="1"/>
  <c r="AN100" i="27" a="1"/>
  <c r="AN100" i="27" s="1"/>
  <c r="AQ86" i="27" a="1"/>
  <c r="AQ86" i="27" s="1"/>
  <c r="AO66" i="27" a="1"/>
  <c r="AO66" i="27" s="1"/>
  <c r="AP37" i="27" a="1"/>
  <c r="AP37" i="27" s="1"/>
  <c r="AT10" i="27" a="1"/>
  <c r="AT10" i="27" s="1"/>
  <c r="AT119" i="27" a="1"/>
  <c r="AT119" i="27" s="1"/>
  <c r="AK113" i="27" a="1"/>
  <c r="AK113" i="27" s="1"/>
  <c r="AR137" i="27" a="1"/>
  <c r="AR137" i="27" s="1"/>
  <c r="AK34" i="27" a="1"/>
  <c r="AK34" i="27" s="1"/>
  <c r="AQ103" i="27" a="1"/>
  <c r="AQ103" i="27" s="1"/>
  <c r="AP125" i="27" a="1"/>
  <c r="AP125" i="27" s="1"/>
  <c r="AJ107" i="27" a="1"/>
  <c r="AJ107" i="27" s="1"/>
  <c r="AJ137" i="27" a="1"/>
  <c r="AJ137" i="27" s="1"/>
  <c r="AP34" i="27" a="1"/>
  <c r="AP34" i="27" s="1"/>
  <c r="AM100" i="27" a="1"/>
  <c r="AM100" i="27" s="1"/>
  <c r="AL42" i="27" a="1"/>
  <c r="AL42" i="27" s="1"/>
  <c r="AJ90" i="27" a="1"/>
  <c r="AJ90" i="27" s="1"/>
  <c r="AJ134" i="27" a="1"/>
  <c r="AJ134" i="27" s="1"/>
  <c r="AN72" i="27" a="1"/>
  <c r="AN72" i="27" s="1"/>
  <c r="AK35" i="27" a="1"/>
  <c r="AK35" i="27" s="1"/>
  <c r="AK24" i="27" a="1"/>
  <c r="AK24" i="27" s="1"/>
  <c r="AN113" i="27" a="1"/>
  <c r="AN113" i="27" s="1"/>
  <c r="AK37" i="27" a="1"/>
  <c r="AK37" i="27" s="1"/>
  <c r="AS137" i="27" a="1"/>
  <c r="AS137" i="27" s="1"/>
  <c r="AN137" i="27" a="1"/>
  <c r="AN137" i="27" s="1"/>
  <c r="AR51" i="27" a="1"/>
  <c r="AR51" i="27" s="1"/>
  <c r="AL100" i="27" a="1"/>
  <c r="AL100" i="27" s="1"/>
  <c r="AP66" i="27" a="1"/>
  <c r="AP66" i="27" s="1"/>
  <c r="AT7" i="27" a="1"/>
  <c r="AT7" i="27" s="1"/>
  <c r="AP42" i="27" a="1"/>
  <c r="AP42" i="27" s="1"/>
  <c r="AQ75" i="27" a="1"/>
  <c r="AQ75" i="27" s="1"/>
  <c r="AR133" i="27" a="1"/>
  <c r="AR133" i="27" s="1"/>
  <c r="AP71" i="27" a="1"/>
  <c r="AP71" i="27" s="1"/>
  <c r="AJ127" i="27" a="1"/>
  <c r="AJ127" i="27" s="1"/>
  <c r="AO18" i="27" a="1"/>
  <c r="AO18" i="27" s="1"/>
  <c r="AT56" i="27" a="1"/>
  <c r="AT56" i="27" s="1"/>
  <c r="AR71" i="27" a="1"/>
  <c r="AR71" i="27" s="1"/>
  <c r="AS78" i="27" a="1"/>
  <c r="AS78" i="27" s="1"/>
  <c r="AP90" i="27" a="1"/>
  <c r="AP90" i="27" s="1"/>
  <c r="AS21" i="27" a="1"/>
  <c r="AS21" i="27" s="1"/>
  <c r="AM113" i="27" a="1"/>
  <c r="AM113" i="27" s="1"/>
  <c r="AL26" i="27" a="1"/>
  <c r="AL26" i="27" s="1"/>
  <c r="AM139" i="27" a="1"/>
  <c r="AM139" i="27" s="1"/>
  <c r="AQ58" i="27" a="1"/>
  <c r="AQ58" i="27" s="1"/>
  <c r="AN50" i="27" a="1"/>
  <c r="AN50" i="27" s="1"/>
  <c r="AP64" i="27" a="1"/>
  <c r="AP64" i="27" s="1"/>
  <c r="AP91" i="27" a="1"/>
  <c r="AP91" i="27" s="1"/>
  <c r="AS10" i="27" a="1"/>
  <c r="AS10" i="27" s="1"/>
  <c r="AR98" i="27" a="1"/>
  <c r="AR98" i="27" s="1"/>
  <c r="AN42" i="27" a="1"/>
  <c r="AN42" i="27" s="1"/>
  <c r="AP107" i="27" a="1"/>
  <c r="AP107" i="27" s="1"/>
  <c r="AK125" i="27" a="1"/>
  <c r="AK125" i="27" s="1"/>
  <c r="AL31" i="27" a="1"/>
  <c r="AL31" i="27" s="1"/>
  <c r="AO100" i="27" a="1"/>
  <c r="AO100" i="27" s="1"/>
  <c r="AO137" i="27" a="1"/>
  <c r="AO137" i="27" s="1"/>
  <c r="AT35" i="27" a="1"/>
  <c r="AT35" i="27" s="1"/>
  <c r="AQ14" i="27" a="1"/>
  <c r="AQ14" i="27" s="1"/>
  <c r="AL51" i="27" a="1"/>
  <c r="AL51" i="27" s="1"/>
  <c r="AM134" i="27" a="1"/>
  <c r="AM134" i="27" s="1"/>
  <c r="AT72" i="27" a="1"/>
  <c r="AT72" i="27" s="1"/>
  <c r="AQ137" i="27" a="1"/>
  <c r="AQ137" i="27" s="1"/>
  <c r="AK134" i="27" a="1"/>
  <c r="AK134" i="27" s="1"/>
  <c r="AJ125" i="27" a="1"/>
  <c r="AJ125" i="27" s="1"/>
  <c r="AQ119" i="27" a="1"/>
  <c r="AQ119" i="27" s="1"/>
  <c r="AQ83" i="27" a="1"/>
  <c r="AQ83" i="27" s="1"/>
  <c r="AR123" i="27" a="1"/>
  <c r="AR123" i="27" s="1"/>
  <c r="AJ84" i="27" a="1"/>
  <c r="AJ84" i="27" s="1"/>
  <c r="AO98" i="27" a="1"/>
  <c r="AO98" i="27" s="1"/>
  <c r="AL65" i="27" a="1"/>
  <c r="AL65" i="27" s="1"/>
  <c r="AN40" i="27" a="1"/>
  <c r="AN40" i="27" s="1"/>
  <c r="AO103" i="27" a="1"/>
  <c r="AO103" i="27" s="1"/>
  <c r="AM35" i="27" a="1"/>
  <c r="AM35" i="27" s="1"/>
  <c r="AL84" i="27" a="1"/>
  <c r="AL84" i="27" s="1"/>
  <c r="AR90" i="27" a="1"/>
  <c r="AR90" i="27" s="1"/>
  <c r="AM16" i="27" a="1"/>
  <c r="AM16" i="27" s="1"/>
  <c r="AN79" i="27" a="1"/>
  <c r="AN79" i="27" s="1"/>
  <c r="AR128" i="27" a="1"/>
  <c r="AR128" i="27" s="1"/>
  <c r="AT89" i="27" a="1"/>
  <c r="AT89" i="27" s="1"/>
  <c r="AS98" i="27" a="1"/>
  <c r="AS98" i="27" s="1"/>
  <c r="AN16" i="27" a="1"/>
  <c r="AN16" i="27" s="1"/>
  <c r="AP16" i="27" a="1"/>
  <c r="AP16" i="27" s="1"/>
  <c r="AM84" i="27" a="1"/>
  <c r="AM84" i="27" s="1"/>
  <c r="AO51" i="27" a="1"/>
  <c r="AO51" i="27" s="1"/>
  <c r="AO25" i="27" a="1"/>
  <c r="AO25" i="27" s="1"/>
  <c r="AN35" i="27" a="1"/>
  <c r="AN35" i="27" s="1"/>
  <c r="AN34" i="27" a="1"/>
  <c r="AN34" i="27" s="1"/>
  <c r="AQ113" i="27" a="1"/>
  <c r="AQ113" i="27" s="1"/>
  <c r="AK51" i="27" a="1"/>
  <c r="AK51" i="27" s="1"/>
  <c r="AO21" i="27" a="1"/>
  <c r="AO21" i="27" s="1"/>
  <c r="AJ139" i="27" a="1"/>
  <c r="AJ139" i="27" s="1"/>
  <c r="AT6" i="27" a="1"/>
  <c r="AT6" i="27" s="1"/>
  <c r="AM38" i="27" a="1"/>
  <c r="AM38" i="27" s="1"/>
  <c r="AQ108" i="27" a="1"/>
  <c r="AQ108" i="27" s="1"/>
  <c r="AK18" i="27" a="1"/>
  <c r="AK18" i="27" s="1"/>
  <c r="AT19" i="27" a="1"/>
  <c r="AT19" i="27" s="1"/>
  <c r="AS19" i="27" a="1"/>
  <c r="AS19" i="27" s="1"/>
  <c r="AJ75" i="27" a="1"/>
  <c r="AJ75" i="27" s="1"/>
  <c r="AL35" i="27" a="1"/>
  <c r="AL35" i="27" s="1"/>
  <c r="AT133" i="27" a="1"/>
  <c r="AT133" i="27" s="1"/>
  <c r="AO6" i="27" a="1"/>
  <c r="AO6" i="27" s="1"/>
  <c r="AK36" i="27" a="1"/>
  <c r="AK36" i="27" s="1"/>
  <c r="AJ48" i="27" a="1"/>
  <c r="AJ48" i="27" s="1"/>
  <c r="AL128" i="27" a="1"/>
  <c r="AL128" i="27" s="1"/>
  <c r="AK107" i="27" a="1"/>
  <c r="AK107" i="27" s="1"/>
  <c r="AR79" i="27" a="1"/>
  <c r="AR79" i="27" s="1"/>
  <c r="AT73" i="27" a="1"/>
  <c r="AT73" i="27" s="1"/>
  <c r="AT20" i="27" a="1"/>
  <c r="AT20" i="27" s="1"/>
  <c r="AK64" i="27" a="1"/>
  <c r="AK64" i="27" s="1"/>
  <c r="AK129" i="27" a="1"/>
  <c r="AK129" i="27" s="1"/>
  <c r="AQ118" i="27" a="1"/>
  <c r="AQ118" i="27" s="1"/>
  <c r="AR20" i="27" a="1"/>
  <c r="AR20" i="27" s="1"/>
  <c r="AK21" i="27" a="1"/>
  <c r="AK21" i="27" s="1"/>
  <c r="AJ58" i="27" a="1"/>
  <c r="AJ58" i="27" s="1"/>
  <c r="AL78" i="27" a="1"/>
  <c r="AL78" i="27" s="1"/>
  <c r="AO62" i="27" a="1"/>
  <c r="AO62" i="27" s="1"/>
  <c r="AK12" i="27" a="1"/>
  <c r="AK12" i="27" s="1"/>
  <c r="AN91" i="27" a="1"/>
  <c r="AN91" i="27" s="1"/>
  <c r="AM75" i="27" a="1"/>
  <c r="AM75" i="27" s="1"/>
  <c r="AK26" i="27" a="1"/>
  <c r="AK26" i="27" s="1"/>
  <c r="AS108" i="27" a="1"/>
  <c r="AS108" i="27" s="1"/>
  <c r="AO71" i="27" a="1"/>
  <c r="AO71" i="27" s="1"/>
  <c r="AN85" i="27" a="1"/>
  <c r="AN85" i="27" s="1"/>
  <c r="AQ19" i="27" a="1"/>
  <c r="AQ19" i="27" s="1"/>
  <c r="AR29" i="27" a="1"/>
  <c r="AR29" i="27" s="1"/>
  <c r="AS29" i="27" a="1"/>
  <c r="AS29" i="27" s="1"/>
  <c r="AM15" i="27" a="1"/>
  <c r="AM15" i="27" s="1"/>
  <c r="AT113" i="27" a="1"/>
  <c r="AT113" i="27" s="1"/>
  <c r="AT110" i="27" a="1"/>
  <c r="AT110" i="27" s="1"/>
  <c r="AN130" i="27" a="1"/>
  <c r="AN130" i="27" s="1"/>
  <c r="AS35" i="27" a="1"/>
  <c r="AS35" i="27" s="1"/>
  <c r="AR37" i="27" a="1"/>
  <c r="AR37" i="27" s="1"/>
  <c r="AR23" i="27" a="1"/>
  <c r="AR23" i="27" s="1"/>
  <c r="AT130" i="27" a="1"/>
  <c r="AT130" i="27" s="1"/>
  <c r="AN7" i="27" a="1"/>
  <c r="AN7" i="27" s="1"/>
  <c r="AK7" i="27" a="1"/>
  <c r="AK7" i="27" s="1"/>
  <c r="AT134" i="27" a="1"/>
  <c r="AT134" i="27" s="1"/>
  <c r="AT24" i="27" a="1"/>
  <c r="AT24" i="27" s="1"/>
  <c r="AP86" i="27" a="1"/>
  <c r="AP86" i="27" s="1"/>
  <c r="AQ31" i="27" a="1"/>
  <c r="AQ31" i="27" s="1"/>
  <c r="AO41" i="27" a="1"/>
  <c r="AO41" i="27" s="1"/>
  <c r="AN41" i="27" a="1"/>
  <c r="AN41" i="27" s="1"/>
  <c r="AR41" i="27" a="1"/>
  <c r="AR41" i="27" s="1"/>
  <c r="AQ41" i="27" a="1"/>
  <c r="AQ41" i="27" s="1"/>
  <c r="AK41" i="27" a="1"/>
  <c r="AK41" i="27" s="1"/>
  <c r="AT41" i="27" a="1"/>
  <c r="AT41" i="27" s="1"/>
  <c r="AM41" i="27" a="1"/>
  <c r="AM41" i="27" s="1"/>
  <c r="AL41" i="27" a="1"/>
  <c r="AL41" i="27" s="1"/>
  <c r="AP41" i="27" a="1"/>
  <c r="AP41" i="27" s="1"/>
  <c r="AS41" i="27" a="1"/>
  <c r="AS41" i="27" s="1"/>
  <c r="AR136" i="27" a="1"/>
  <c r="AR136" i="27" s="1"/>
  <c r="AO136" i="27" a="1"/>
  <c r="AO136" i="27" s="1"/>
  <c r="AR38" i="27" a="1"/>
  <c r="AR38" i="27" s="1"/>
  <c r="AL64" i="27" a="1"/>
  <c r="AL64" i="27" s="1"/>
  <c r="AR19" i="27" a="1"/>
  <c r="AR19" i="27" s="1"/>
  <c r="AT108" i="27" a="1"/>
  <c r="AT108" i="27" s="1"/>
  <c r="AO112" i="27" a="1"/>
  <c r="AO112" i="27" s="1"/>
  <c r="AP20" i="27" a="1"/>
  <c r="AP20" i="27" s="1"/>
  <c r="AQ77" i="27" a="1"/>
  <c r="AQ77" i="27" s="1"/>
  <c r="AM112" i="27" a="1"/>
  <c r="AM112" i="27" s="1"/>
  <c r="AL129" i="27" a="1"/>
  <c r="AL129" i="27" s="1"/>
  <c r="AQ129" i="27" a="1"/>
  <c r="AQ129" i="27" s="1"/>
  <c r="AQ64" i="27" a="1"/>
  <c r="AQ64" i="27" s="1"/>
  <c r="AQ48" i="27" a="1"/>
  <c r="AQ48" i="27" s="1"/>
  <c r="AP48" i="27" a="1"/>
  <c r="AP48" i="27" s="1"/>
  <c r="AS36" i="27" a="1"/>
  <c r="AS36" i="27" s="1"/>
  <c r="AN20" i="27" a="1"/>
  <c r="AN20" i="27" s="1"/>
  <c r="AO19" i="27" a="1"/>
  <c r="AO19" i="27" s="1"/>
  <c r="AL58" i="27" a="1"/>
  <c r="AL58" i="27" s="1"/>
  <c r="AM129" i="27" a="1"/>
  <c r="AM129" i="27" s="1"/>
  <c r="AM26" i="27" a="1"/>
  <c r="AM26" i="27" s="1"/>
  <c r="AS91" i="27" a="1"/>
  <c r="AS91" i="27" s="1"/>
  <c r="AR85" i="27" a="1"/>
  <c r="AR85" i="27" s="1"/>
  <c r="AK6" i="27" a="1"/>
  <c r="AK6" i="27" s="1"/>
  <c r="AS58" i="27" a="1"/>
  <c r="AS58" i="27" s="1"/>
  <c r="AN76" i="27" a="1"/>
  <c r="AN76" i="27" s="1"/>
  <c r="AN36" i="27" a="1"/>
  <c r="AN36" i="27" s="1"/>
  <c r="AL71" i="27" a="1"/>
  <c r="AL71" i="27" s="1"/>
  <c r="AM62" i="27" a="1"/>
  <c r="AM62" i="27" s="1"/>
  <c r="AN38" i="27" a="1"/>
  <c r="AN38" i="27" s="1"/>
  <c r="AK127" i="27" a="1"/>
  <c r="AK127" i="27" s="1"/>
  <c r="AS129" i="27" a="1"/>
  <c r="AS129" i="27" s="1"/>
  <c r="AM133" i="27" a="1"/>
  <c r="AM133" i="27" s="1"/>
  <c r="AP139" i="27" a="1"/>
  <c r="AP139" i="27" s="1"/>
  <c r="AP138" i="27" a="1"/>
  <c r="AP138" i="27" s="1"/>
  <c r="AN6" i="27" a="1"/>
  <c r="AN6" i="27" s="1"/>
  <c r="AJ91" i="27" a="1"/>
  <c r="AJ91" i="27" s="1"/>
  <c r="AR138" i="27" a="1"/>
  <c r="AR138" i="27" s="1"/>
  <c r="AS138" i="27" a="1"/>
  <c r="AS138" i="27" s="1"/>
  <c r="AQ78" i="27" a="1"/>
  <c r="AQ78" i="27" s="1"/>
  <c r="AS50" i="27" a="1"/>
  <c r="AS50" i="27" s="1"/>
  <c r="AT76" i="27" a="1"/>
  <c r="AT76" i="27" s="1"/>
  <c r="AS76" i="27" a="1"/>
  <c r="AS76" i="27" s="1"/>
  <c r="AJ129" i="27" a="1"/>
  <c r="AJ129" i="27" s="1"/>
  <c r="AR33" i="27" a="1"/>
  <c r="AR33" i="27" s="1"/>
  <c r="AK112" i="27" a="1"/>
  <c r="AK112" i="27" s="1"/>
  <c r="AM50" i="27" a="1"/>
  <c r="AM50" i="27" s="1"/>
  <c r="AT26" i="27" a="1"/>
  <c r="AT26" i="27" s="1"/>
  <c r="AL112" i="27" a="1"/>
  <c r="AL112" i="27" s="1"/>
  <c r="AM12" i="27" a="1"/>
  <c r="AM12" i="27" s="1"/>
  <c r="AS64" i="27" a="1"/>
  <c r="AS64" i="27" s="1"/>
  <c r="AT138" i="27" a="1"/>
  <c r="AT138" i="27" s="1"/>
  <c r="AO20" i="27" a="1"/>
  <c r="AO20" i="27" s="1"/>
  <c r="AP58" i="27" a="1"/>
  <c r="AP58" i="27" s="1"/>
  <c r="AM131" i="27" a="1"/>
  <c r="AM131" i="27" s="1"/>
  <c r="AL131" i="27" a="1"/>
  <c r="AL131" i="27" s="1"/>
  <c r="AN131" i="27" a="1"/>
  <c r="AN131" i="27" s="1"/>
  <c r="AR131" i="27" a="1"/>
  <c r="AR131" i="27" s="1"/>
  <c r="AS131" i="27" a="1"/>
  <c r="AS131" i="27" s="1"/>
  <c r="AP131" i="27" a="1"/>
  <c r="AP131" i="27" s="1"/>
  <c r="AQ131" i="27" a="1"/>
  <c r="AQ131" i="27" s="1"/>
  <c r="AT131" i="27" a="1"/>
  <c r="AT131" i="27" s="1"/>
  <c r="AO131" i="27" a="1"/>
  <c r="AO131" i="27" s="1"/>
  <c r="AK131" i="27" a="1"/>
  <c r="AK131" i="27" s="1"/>
  <c r="AJ131" i="27" a="1"/>
  <c r="AJ131" i="27" s="1"/>
  <c r="AS27" i="27" a="1"/>
  <c r="AS27" i="27" s="1"/>
  <c r="AQ106" i="27" a="1"/>
  <c r="AQ106" i="27" s="1"/>
  <c r="AS106" i="27" a="1"/>
  <c r="AS106" i="27" s="1"/>
  <c r="AP106" i="27" a="1"/>
  <c r="AP106" i="27" s="1"/>
  <c r="AR106" i="27" a="1"/>
  <c r="AR106" i="27" s="1"/>
  <c r="AO92" i="27" a="1"/>
  <c r="AO92" i="27" s="1"/>
  <c r="AL92" i="27" a="1"/>
  <c r="AL92" i="27" s="1"/>
  <c r="AM92" i="27" a="1"/>
  <c r="AM92" i="27" s="1"/>
  <c r="AJ92" i="27" a="1"/>
  <c r="AJ92" i="27" s="1"/>
  <c r="AQ92" i="27" a="1"/>
  <c r="AQ92" i="27" s="1"/>
  <c r="AN92" i="27" a="1"/>
  <c r="AN92" i="27" s="1"/>
  <c r="AK92" i="27" a="1"/>
  <c r="AK92" i="27" s="1"/>
  <c r="AP92" i="27" a="1"/>
  <c r="AP92" i="27" s="1"/>
  <c r="AR92" i="27" a="1"/>
  <c r="AR92" i="27" s="1"/>
  <c r="AT92" i="27" a="1"/>
  <c r="AT92" i="27" s="1"/>
  <c r="AS92" i="27" a="1"/>
  <c r="AS92" i="27" s="1"/>
  <c r="AP11" i="27" a="1"/>
  <c r="AP11" i="27" s="1"/>
  <c r="AS11" i="27" a="1"/>
  <c r="AS11" i="27" s="1"/>
  <c r="AQ11" i="27" a="1"/>
  <c r="AQ11" i="27" s="1"/>
  <c r="AT11" i="27" a="1"/>
  <c r="AT11" i="27" s="1"/>
  <c r="AK11" i="27" a="1"/>
  <c r="AK11" i="27" s="1"/>
  <c r="AL11" i="27" a="1"/>
  <c r="AL11" i="27" s="1"/>
  <c r="AM11" i="27" a="1"/>
  <c r="AM11" i="27" s="1"/>
  <c r="AO11" i="27" a="1"/>
  <c r="AO11" i="27" s="1"/>
  <c r="AR11" i="27" a="1"/>
  <c r="AR11" i="27" s="1"/>
  <c r="AN11" i="27" a="1"/>
  <c r="AN11" i="27" s="1"/>
  <c r="AQ94" i="27" a="1"/>
  <c r="AQ94" i="27" s="1"/>
  <c r="AR94" i="27" a="1"/>
  <c r="AR94" i="27" s="1"/>
  <c r="AM17" i="27" a="1"/>
  <c r="AM17" i="27" s="1"/>
  <c r="AJ121" i="27" a="1"/>
  <c r="AJ121" i="27" s="1"/>
  <c r="AK121" i="27" a="1"/>
  <c r="AK121" i="27" s="1"/>
  <c r="AS49" i="27" a="1"/>
  <c r="AS49" i="27" s="1"/>
  <c r="AT68" i="27" a="1"/>
  <c r="AT68" i="27" s="1"/>
  <c r="AT13" i="27" a="1"/>
  <c r="AT13" i="27" s="1"/>
  <c r="AK13" i="27" a="1"/>
  <c r="AK13" i="27" s="1"/>
  <c r="AP13" i="27" a="1"/>
  <c r="AP13" i="27" s="1"/>
  <c r="AS13" i="27" a="1"/>
  <c r="AS13" i="27" s="1"/>
  <c r="AO13" i="27" a="1"/>
  <c r="AO13" i="27" s="1"/>
  <c r="AN13" i="27" a="1"/>
  <c r="AN13" i="27" s="1"/>
  <c r="AR13" i="27" a="1"/>
  <c r="AR13" i="27" s="1"/>
  <c r="AM13" i="27" a="1"/>
  <c r="AM13" i="27" s="1"/>
  <c r="AQ13" i="27" a="1"/>
  <c r="AQ13" i="27" s="1"/>
  <c r="AL13" i="27" a="1"/>
  <c r="AL13" i="27" s="1"/>
  <c r="AS31" i="27" a="1"/>
  <c r="AS31" i="27" s="1"/>
  <c r="AJ41" i="27" l="1" a="1"/>
  <c r="AJ41" i="27" s="1"/>
  <c r="AJ19" i="27" a="1"/>
  <c r="AJ19" i="27" s="1"/>
  <c r="AJ26" i="27" a="1"/>
  <c r="AJ26" i="27" s="1"/>
  <c r="AJ13" i="27" a="1"/>
  <c r="AJ13" i="27" s="1"/>
  <c r="AJ31" i="27" a="1"/>
  <c r="AJ31" i="27" s="1"/>
  <c r="AJ11" i="27" a="1"/>
  <c r="AJ11" i="27" s="1"/>
  <c r="AJ37" i="27" a="1"/>
  <c r="AJ37" i="27" s="1"/>
  <c r="AJ14" i="27" a="1"/>
  <c r="AJ14" i="27" s="1"/>
  <c r="AJ39" i="27" a="1"/>
  <c r="AJ39" i="27" s="1"/>
  <c r="AJ15" i="27" a="1"/>
  <c r="AJ15" i="27" s="1"/>
  <c r="AJ7" i="27" a="1"/>
  <c r="AJ7" i="27" s="1"/>
  <c r="AJ36" i="27" a="1"/>
  <c r="AJ36" i="27" s="1"/>
  <c r="AJ20" i="27" a="1"/>
  <c r="AJ20" i="27" s="1"/>
  <c r="AJ25" i="27" a="1"/>
  <c r="AJ25" i="27" s="1"/>
  <c r="AT82" i="27" a="1"/>
  <c r="AT82" i="27" s="1"/>
  <c r="AU75" i="27" a="1"/>
  <c r="AU75" i="27" s="1"/>
  <c r="AU43" i="27" a="1"/>
  <c r="AU43" i="27" s="1"/>
  <c r="AU27" i="27" a="1"/>
  <c r="AU27" i="27" s="1"/>
  <c r="AU126" i="27" a="1"/>
  <c r="AU126" i="27" s="1"/>
  <c r="AU114" i="27" a="1"/>
  <c r="AU114" i="27" s="1"/>
  <c r="AU102" i="27" a="1"/>
  <c r="AU102" i="27" s="1"/>
  <c r="AU94" i="27" a="1"/>
  <c r="AU94" i="27" s="1"/>
  <c r="AU58" i="27" a="1"/>
  <c r="AU58" i="27" s="1"/>
  <c r="AU22" i="27" a="1"/>
  <c r="AU22" i="27" s="1"/>
  <c r="AU18" i="27" a="1"/>
  <c r="AU18" i="27" s="1"/>
  <c r="AU129" i="27" a="1"/>
  <c r="AU129" i="27" s="1"/>
  <c r="AU69" i="27" a="1"/>
  <c r="AU69" i="27" s="1"/>
  <c r="AU49" i="27" a="1"/>
  <c r="AU49" i="27" s="1"/>
  <c r="AU136" i="27" a="1"/>
  <c r="AU136" i="27" s="1"/>
  <c r="AU116" i="27" a="1"/>
  <c r="AU116" i="27" s="1"/>
  <c r="AU76" i="27" a="1"/>
  <c r="AU76" i="27" s="1"/>
  <c r="AU68" i="27" a="1"/>
  <c r="AU68" i="27" s="1"/>
  <c r="AU64" i="27" a="1"/>
  <c r="AU64" i="27" s="1"/>
  <c r="AU56" i="27" a="1"/>
  <c r="AU56" i="27" s="1"/>
  <c r="AU32" i="27" a="1"/>
  <c r="AU32" i="27" s="1"/>
  <c r="AT120" i="27" a="1"/>
  <c r="AT120" i="27" s="1"/>
  <c r="AT46" i="27" a="1"/>
  <c r="AT46" i="27" s="1"/>
  <c r="AT86" i="27" a="1"/>
  <c r="AT86" i="27" s="1"/>
  <c r="AT16" i="27" a="1"/>
  <c r="AT16" i="27" s="1"/>
  <c r="AT104" i="27" a="1"/>
  <c r="AT104" i="27" s="1"/>
  <c r="AT51" i="27" a="1"/>
  <c r="AT51" i="27" s="1"/>
  <c r="AT53" i="27" a="1"/>
  <c r="AT53" i="27" s="1"/>
  <c r="AT63" i="27" a="1"/>
  <c r="AT63" i="27" s="1"/>
  <c r="AT95" i="27" a="1"/>
  <c r="AT95" i="27" s="1"/>
  <c r="AK140" i="27" a="1"/>
  <c r="AK140" i="27" s="1"/>
  <c r="AP140" i="27" a="1"/>
  <c r="AP140" i="27" s="1"/>
  <c r="AJ140" i="27" a="1"/>
  <c r="AJ140" i="27" s="1"/>
  <c r="AN140" i="27" a="1"/>
  <c r="AN140" i="27" s="1"/>
  <c r="AS140" i="27" a="1"/>
  <c r="AS140" i="27" s="1"/>
  <c r="AM140" i="27" a="1"/>
  <c r="AM140" i="27" s="1"/>
  <c r="AP105" i="27" a="1"/>
  <c r="AP105" i="27" s="1"/>
  <c r="AL93" i="27" a="1"/>
  <c r="AL93" i="27" s="1"/>
  <c r="AS122" i="27" a="1"/>
  <c r="AS122" i="27" s="1"/>
  <c r="AK69" i="27" a="1"/>
  <c r="AK69" i="27" s="1"/>
  <c r="AO121" i="27" a="1"/>
  <c r="AO121" i="27" s="1"/>
  <c r="AO27" i="27" a="1"/>
  <c r="AO27" i="27" s="1"/>
  <c r="AP94" i="27" a="1"/>
  <c r="AP94" i="27" s="1"/>
  <c r="AO106" i="27" a="1"/>
  <c r="AO106" i="27" s="1"/>
  <c r="AL17" i="27" a="1"/>
  <c r="AL17" i="27" s="1"/>
  <c r="AN17" i="27" a="1"/>
  <c r="AN17" i="27" s="1"/>
  <c r="AQ105" i="27" a="1"/>
  <c r="AQ105" i="27" s="1"/>
  <c r="AL105" i="27" a="1"/>
  <c r="AL105" i="27" s="1"/>
  <c r="AQ17" i="27" a="1"/>
  <c r="AQ17" i="27" s="1"/>
  <c r="AT105" i="27" a="1"/>
  <c r="AT105" i="27" s="1"/>
  <c r="AT121" i="27" a="1"/>
  <c r="AT121" i="27" s="1"/>
  <c r="AS126" i="27" a="1"/>
  <c r="AS126" i="27" s="1"/>
  <c r="AN105" i="27" a="1"/>
  <c r="AN105" i="27" s="1"/>
  <c r="AJ105" i="27" a="1"/>
  <c r="AJ105" i="27" s="1"/>
  <c r="AO105" i="27" a="1"/>
  <c r="AO105" i="27" s="1"/>
  <c r="AK105" i="27" a="1"/>
  <c r="AK105" i="27" s="1"/>
  <c r="AS57" i="27" a="1"/>
  <c r="AS57" i="27" s="1"/>
  <c r="AL20" i="27" a="1"/>
  <c r="AL20" i="27" s="1"/>
  <c r="AL121" i="27" a="1"/>
  <c r="AL121" i="27" s="1"/>
  <c r="AN27" i="27" a="1"/>
  <c r="AN27" i="27" s="1"/>
  <c r="AP32" i="27" a="1"/>
  <c r="AP32" i="27" s="1"/>
  <c r="AT32" i="27" a="1"/>
  <c r="AT32" i="27" s="1"/>
  <c r="AR17" i="27" a="1"/>
  <c r="AR17" i="27" s="1"/>
  <c r="AT17" i="27" a="1"/>
  <c r="AT17" i="27" s="1"/>
  <c r="AO122" i="27" a="1"/>
  <c r="AO122" i="27" s="1"/>
  <c r="AM60" i="27" a="1"/>
  <c r="AM60" i="27" s="1"/>
  <c r="AO43" i="27" a="1"/>
  <c r="AO43" i="27" s="1"/>
  <c r="AN43" i="27" a="1"/>
  <c r="AN43" i="27" s="1"/>
  <c r="AK93" i="27" a="1"/>
  <c r="AK93" i="27" s="1"/>
  <c r="AN32" i="27" a="1"/>
  <c r="AN32" i="27" s="1"/>
  <c r="AR49" i="27" a="1"/>
  <c r="AR49" i="27" s="1"/>
  <c r="AO60" i="27" a="1"/>
  <c r="AO60" i="27" s="1"/>
  <c r="AJ43" i="27" a="1"/>
  <c r="AJ43" i="27" s="1"/>
  <c r="AK60" i="27" a="1"/>
  <c r="AK60" i="27" s="1"/>
  <c r="AT57" i="27" a="1"/>
  <c r="AT57" i="27" s="1"/>
  <c r="AQ49" i="27" a="1"/>
  <c r="AQ49" i="27" s="1"/>
  <c r="AJ60" i="27" a="1"/>
  <c r="AJ60" i="27" s="1"/>
  <c r="AP60" i="27" a="1"/>
  <c r="AP60" i="27" s="1"/>
  <c r="AL60" i="27" a="1"/>
  <c r="AL60" i="27" s="1"/>
  <c r="AS69" i="27" a="1"/>
  <c r="AS69" i="27" s="1"/>
  <c r="AN69" i="27" a="1"/>
  <c r="AN69" i="27" s="1"/>
  <c r="AR69" i="27" a="1"/>
  <c r="AR69" i="27" s="1"/>
  <c r="AM43" i="27" a="1"/>
  <c r="AM43" i="27" s="1"/>
  <c r="AN93" i="27" a="1"/>
  <c r="AN93" i="27" s="1"/>
  <c r="AL69" i="27" a="1"/>
  <c r="AL69" i="27" s="1"/>
  <c r="AT49" i="27" a="1"/>
  <c r="AT49" i="27" s="1"/>
  <c r="AP121" i="27" a="1"/>
  <c r="AP121" i="27" s="1"/>
  <c r="AQ121" i="27" a="1"/>
  <c r="AQ121" i="27" s="1"/>
  <c r="AS32" i="27" a="1"/>
  <c r="AS32" i="27" s="1"/>
  <c r="AQ93" i="27" a="1"/>
  <c r="AQ93" i="27" s="1"/>
  <c r="AT106" i="27" a="1"/>
  <c r="AT106" i="27" s="1"/>
  <c r="AN94" i="27" a="1"/>
  <c r="AN94" i="27" s="1"/>
  <c r="AT116" i="27" a="1"/>
  <c r="AT116" i="27" s="1"/>
  <c r="AR116" i="27" a="1"/>
  <c r="AR116" i="27" s="1"/>
  <c r="AK20" i="27" a="1"/>
  <c r="AK20" i="27" s="1"/>
  <c r="AP118" i="27" a="1"/>
  <c r="AP118" i="27" s="1"/>
  <c r="AL27" i="27" a="1"/>
  <c r="AL27" i="27" s="1"/>
  <c r="AP112" i="27" a="1"/>
  <c r="AP112" i="27" s="1"/>
  <c r="AQ76" i="27" a="1"/>
  <c r="AQ76" i="27" s="1"/>
  <c r="AT58" i="27" a="1"/>
  <c r="AT58" i="27" s="1"/>
  <c r="AP73" i="27" a="1"/>
  <c r="AP73" i="27" s="1"/>
  <c r="AM106" i="27" a="1"/>
  <c r="AM106" i="27" s="1"/>
  <c r="AR108" i="27" a="1"/>
  <c r="AR108" i="27" s="1"/>
  <c r="AT18" i="27" a="1"/>
  <c r="AT18" i="27" s="1"/>
  <c r="AS133" i="27" a="1"/>
  <c r="AS133" i="27" s="1"/>
  <c r="AQ127" i="27" a="1"/>
  <c r="AQ127" i="27" s="1"/>
  <c r="AQ33" i="27" a="1"/>
  <c r="AQ33" i="27" s="1"/>
  <c r="AK50" i="27" a="1"/>
  <c r="AK50" i="27" s="1"/>
  <c r="AM19" i="27" a="1"/>
  <c r="AM19" i="27" s="1"/>
  <c r="AN19" i="27" a="1"/>
  <c r="AN19" i="27" s="1"/>
  <c r="AJ56" i="27" a="1"/>
  <c r="AJ56" i="27" s="1"/>
  <c r="AQ62" i="27" a="1"/>
  <c r="AQ62" i="27" s="1"/>
  <c r="AR75" i="27" a="1"/>
  <c r="AR75" i="27" s="1"/>
  <c r="AM57" i="27" a="1"/>
  <c r="AM57" i="27" s="1"/>
  <c r="AJ71" i="27" a="1"/>
  <c r="AJ71" i="27" s="1"/>
  <c r="AQ36" i="27" a="1"/>
  <c r="AQ36" i="27" s="1"/>
  <c r="AO33" i="27" a="1"/>
  <c r="AO33" i="27" s="1"/>
  <c r="AK62" i="27" a="1"/>
  <c r="AK62" i="27" s="1"/>
  <c r="AN64" i="27" a="1"/>
  <c r="AN64" i="27" s="1"/>
  <c r="AR21" i="27" a="1"/>
  <c r="AR21" i="27" s="1"/>
  <c r="AP36" i="27" a="1"/>
  <c r="AP36" i="27" s="1"/>
  <c r="AN118" i="27" a="1"/>
  <c r="AN118" i="27" s="1"/>
  <c r="AR78" i="27" a="1"/>
  <c r="AR78" i="27" s="1"/>
  <c r="AP75" i="27" a="1"/>
  <c r="AP75" i="27" s="1"/>
  <c r="AM73" i="27" a="1"/>
  <c r="AM73" i="27" s="1"/>
  <c r="AS18" i="27" a="1"/>
  <c r="AS18" i="27" s="1"/>
  <c r="AQ38" i="27" a="1"/>
  <c r="AQ38" i="27" s="1"/>
  <c r="AP12" i="27" a="1"/>
  <c r="AP12" i="27" s="1"/>
  <c r="AS26" i="27" a="1"/>
  <c r="AS26" i="27" s="1"/>
  <c r="AN26" i="27" a="1"/>
  <c r="AN26" i="27" s="1"/>
  <c r="AS75" i="27" a="1"/>
  <c r="AS75" i="27" s="1"/>
  <c r="AT62" i="27" a="1"/>
  <c r="AT62" i="27" s="1"/>
  <c r="AQ116" i="27" a="1"/>
  <c r="AQ116" i="27" s="1"/>
  <c r="AL33" i="27" a="1"/>
  <c r="AL33" i="27" s="1"/>
  <c r="AR139" i="27" a="1"/>
  <c r="AR139" i="27" s="1"/>
  <c r="AL6" i="27" a="1"/>
  <c r="AL6" i="27" s="1"/>
  <c r="AN112" i="27" a="1"/>
  <c r="AN112" i="27" s="1"/>
  <c r="AS38" i="27" a="1"/>
  <c r="AS38" i="27" s="1"/>
  <c r="AO77" i="27" a="1"/>
  <c r="AO77" i="27" s="1"/>
  <c r="AT48" i="27" a="1"/>
  <c r="AT48" i="27" s="1"/>
  <c r="AT33" i="27" a="1"/>
  <c r="AT33" i="27" s="1"/>
  <c r="AM58" i="27" a="1"/>
  <c r="AM58" i="27" s="1"/>
  <c r="AR112" i="27" a="1"/>
  <c r="AR112" i="27" s="1"/>
  <c r="AJ108" i="27" a="1"/>
  <c r="AJ108" i="27" s="1"/>
  <c r="AK57" i="27" a="1"/>
  <c r="AK57" i="27" s="1"/>
  <c r="AN57" i="27" a="1"/>
  <c r="AN57" i="27" s="1"/>
  <c r="AS136" i="27" a="1"/>
  <c r="AS136" i="27" s="1"/>
  <c r="AM138" i="27" a="1"/>
  <c r="AM138" i="27" s="1"/>
  <c r="AO138" i="27" a="1"/>
  <c r="AO138" i="27" s="1"/>
  <c r="AM21" i="27" a="1"/>
  <c r="AM21" i="27" s="1"/>
  <c r="AO38" i="27" a="1"/>
  <c r="AO38" i="27" s="1"/>
  <c r="AL36" i="27" a="1"/>
  <c r="AL36" i="27" s="1"/>
  <c r="AP108" i="27" a="1"/>
  <c r="AP108" i="27" s="1"/>
  <c r="AO22" i="27" a="1"/>
  <c r="AO22" i="27" s="1"/>
  <c r="AN129" i="27" a="1"/>
  <c r="AN129" i="27" s="1"/>
  <c r="AS77" i="27" a="1"/>
  <c r="AS77" i="27" s="1"/>
  <c r="AP38" i="27" a="1"/>
  <c r="AP38" i="27" s="1"/>
  <c r="AP18" i="27" a="1"/>
  <c r="AP18" i="27" s="1"/>
  <c r="AT78" i="27" a="1"/>
  <c r="AT78" i="27" s="1"/>
  <c r="AN18" i="27" a="1"/>
  <c r="AN18" i="27" s="1"/>
  <c r="AJ76" i="27" a="1"/>
  <c r="AJ76" i="27" s="1"/>
  <c r="AR48" i="27" a="1"/>
  <c r="AR48" i="27" s="1"/>
  <c r="AP50" i="27" a="1"/>
  <c r="AP50" i="27" s="1"/>
  <c r="AQ126" i="27" a="1"/>
  <c r="AQ126" i="27" s="1"/>
  <c r="AM56" i="27" a="1"/>
  <c r="AM56" i="27" s="1"/>
  <c r="AK58" i="27" a="1"/>
  <c r="AK58" i="27" s="1"/>
  <c r="AK33" i="27" a="1"/>
  <c r="AK33" i="27" s="1"/>
  <c r="AO73" i="27" a="1"/>
  <c r="AO73" i="27" s="1"/>
  <c r="AT139" i="27" a="1"/>
  <c r="AT139" i="27" s="1"/>
  <c r="AO116" i="27" a="1"/>
  <c r="AO116" i="27" s="1"/>
  <c r="AL18" i="27" a="1"/>
  <c r="AL18" i="27" s="1"/>
  <c r="AT36" i="27" a="1"/>
  <c r="AT36" i="27" s="1"/>
  <c r="AR129" i="27" a="1"/>
  <c r="AR129" i="27" s="1"/>
  <c r="AM127" i="27" a="1"/>
  <c r="AM127" i="27" s="1"/>
  <c r="AM33" i="27" a="1"/>
  <c r="AM33" i="27" s="1"/>
  <c r="AM48" i="27" a="1"/>
  <c r="AM48" i="27" s="1"/>
  <c r="AJ116" i="27" a="1"/>
  <c r="AJ116" i="27" s="1"/>
  <c r="AR102" i="27" a="1"/>
  <c r="AR102" i="27" s="1"/>
  <c r="AL138" i="27" a="1"/>
  <c r="AL138" i="27" s="1"/>
  <c r="AN58" i="27" a="1"/>
  <c r="AN58" i="27" s="1"/>
  <c r="AT118" i="27" a="1"/>
  <c r="AT118" i="27" s="1"/>
  <c r="AK91" i="27" a="1"/>
  <c r="AK91" i="27" s="1"/>
  <c r="AQ26" i="27" a="1"/>
  <c r="AQ26" i="27" s="1"/>
  <c r="AS116" i="27" a="1"/>
  <c r="AS116" i="27" s="1"/>
  <c r="AK118" i="27" a="1"/>
  <c r="AK118" i="27" s="1"/>
  <c r="AL73" i="27" a="1"/>
  <c r="AL73" i="27" s="1"/>
  <c r="AN127" i="27" a="1"/>
  <c r="AN127" i="27" s="1"/>
  <c r="AP33" i="27" a="1"/>
  <c r="AP33" i="27" s="1"/>
  <c r="AK19" i="27" a="1"/>
  <c r="AK19" i="27" s="1"/>
  <c r="AS73" i="27" a="1"/>
  <c r="AS73" i="27" s="1"/>
  <c r="AP133" i="27" a="1"/>
  <c r="AP133" i="27" s="1"/>
  <c r="AK138" i="27" a="1"/>
  <c r="AK138" i="27" s="1"/>
  <c r="AR18" i="27" a="1"/>
  <c r="AR18" i="27" s="1"/>
  <c r="AP129" i="27" a="1"/>
  <c r="AP129" i="27" s="1"/>
  <c r="AP26" i="27" a="1"/>
  <c r="AP26" i="27" s="1"/>
  <c r="AM20" i="27" a="1"/>
  <c r="AM20" i="27" s="1"/>
  <c r="AO64" i="27" a="1"/>
  <c r="AO64" i="27" s="1"/>
  <c r="AO26" i="27" a="1"/>
  <c r="AO26" i="27" s="1"/>
  <c r="AJ126" i="27" a="1"/>
  <c r="AJ126" i="27" s="1"/>
  <c r="AS127" i="27" a="1"/>
  <c r="AS127" i="27" s="1"/>
  <c r="AO118" i="27" a="1"/>
  <c r="AO118" i="27" s="1"/>
  <c r="AS102" i="27" a="1"/>
  <c r="AS102" i="27" s="1"/>
  <c r="AO78" i="27" a="1"/>
  <c r="AO78" i="27" s="1"/>
  <c r="AS139" i="27" a="1"/>
  <c r="AS139" i="27" s="1"/>
  <c r="AO127" i="27" a="1"/>
  <c r="AO127" i="27" s="1"/>
  <c r="AK78" i="27" a="1"/>
  <c r="AK78" i="27" s="1"/>
  <c r="AT75" i="27" a="1"/>
  <c r="AT75" i="27" s="1"/>
  <c r="AR64" i="27" a="1"/>
  <c r="AR64" i="27" s="1"/>
  <c r="AT112" i="27" a="1"/>
  <c r="AT112" i="27" s="1"/>
  <c r="AR26" i="27" a="1"/>
  <c r="AR26" i="27" s="1"/>
  <c r="AP19" i="27" a="1"/>
  <c r="AP19" i="27" s="1"/>
  <c r="AN75" i="27" a="1"/>
  <c r="AN75" i="27" s="1"/>
  <c r="AO129" i="27" a="1"/>
  <c r="AO129" i="27" s="1"/>
  <c r="AO58" i="27" a="1"/>
  <c r="AO58" i="27" s="1"/>
  <c r="AS20" i="27" a="1"/>
  <c r="AS20" i="27" s="1"/>
  <c r="AT129" i="27" a="1"/>
  <c r="AT129" i="27" s="1"/>
  <c r="AT91" i="27" a="1"/>
  <c r="AT91" i="27" s="1"/>
  <c r="AL48" i="27" a="1"/>
  <c r="AL48" i="27" s="1"/>
  <c r="AL126" i="27" a="1"/>
  <c r="AL126" i="27" s="1"/>
  <c r="AJ118" i="27" a="1"/>
  <c r="AJ118" i="27" s="1"/>
  <c r="AK75" i="27" a="1"/>
  <c r="AK75" i="27" s="1"/>
  <c r="AS85" i="27" a="1"/>
  <c r="AS85" i="27" s="1"/>
  <c r="AO48" i="27" a="1"/>
  <c r="AO48" i="27" s="1"/>
  <c r="AJ64" i="27" a="1"/>
  <c r="AJ64" i="27" s="1"/>
  <c r="AM18" i="27" a="1"/>
  <c r="AM18" i="27" s="1"/>
  <c r="AO50" i="27" a="1"/>
  <c r="AO50" i="27" s="1"/>
  <c r="AJ138" i="27" a="1"/>
  <c r="AJ138" i="27" s="1"/>
  <c r="AQ112" i="27" a="1"/>
  <c r="AQ112" i="27" s="1"/>
  <c r="AL19" i="27" a="1"/>
  <c r="AL19" i="27" s="1"/>
  <c r="AT64" i="27" a="1"/>
  <c r="AT64" i="27" s="1"/>
  <c r="AM118" i="27" a="1"/>
  <c r="AM118" i="27" s="1"/>
  <c r="AM85" i="27" a="1"/>
  <c r="AM85" i="27" s="1"/>
  <c r="AM108" i="27" a="1"/>
  <c r="AM108" i="27" s="1"/>
  <c r="AL77" i="27" a="1"/>
  <c r="AL77" i="27" s="1"/>
  <c r="AK22" i="27" a="1"/>
  <c r="AK22" i="27" s="1"/>
  <c r="AQ21" i="27" a="1"/>
  <c r="AQ21" i="27" s="1"/>
  <c r="AR126" i="27" a="1"/>
  <c r="AR126" i="27" s="1"/>
  <c r="AL22" i="27" a="1"/>
  <c r="AL22" i="27" s="1"/>
  <c r="AN73" i="27" a="1"/>
  <c r="AN73" i="27" s="1"/>
  <c r="AQ20" i="27" a="1"/>
  <c r="AQ20" i="27" s="1"/>
  <c r="AP85" i="27" a="1"/>
  <c r="AP85" i="27" s="1"/>
  <c r="AL75" i="27" a="1"/>
  <c r="AL75" i="27" s="1"/>
  <c r="AJ57" i="27" a="1"/>
  <c r="AJ57" i="27" s="1"/>
  <c r="AK108" i="27" a="1"/>
  <c r="AK108" i="27" s="1"/>
  <c r="AP126" i="27" a="1"/>
  <c r="AP126" i="27" s="1"/>
  <c r="AN116" i="27" a="1"/>
  <c r="AN116" i="27" s="1"/>
  <c r="AJ65" i="27" a="1"/>
  <c r="AJ65" i="27" s="1"/>
  <c r="AO29" i="27" a="1"/>
  <c r="AO29" i="27" s="1"/>
  <c r="AK56" i="27" a="1"/>
  <c r="AK56" i="27" s="1"/>
  <c r="AP57" i="27" a="1"/>
  <c r="AP57" i="27" s="1"/>
  <c r="AK85" i="27" a="1"/>
  <c r="AK85" i="27" s="1"/>
  <c r="AS71" i="27" a="1"/>
  <c r="AS71" i="27" s="1"/>
  <c r="AO139" i="27" a="1"/>
  <c r="AO139" i="27" s="1"/>
  <c r="AM116" i="27" a="1"/>
  <c r="AM116" i="27" s="1"/>
  <c r="AM36" i="27" a="1"/>
  <c r="AM36" i="27" s="1"/>
  <c r="AK38" i="27" a="1"/>
  <c r="AK38" i="27" s="1"/>
  <c r="AK71" i="27" a="1"/>
  <c r="AK71" i="27" s="1"/>
  <c r="AT15" i="27" a="1"/>
  <c r="AT15" i="27" s="1"/>
  <c r="AJ85" i="27" a="1"/>
  <c r="AJ85" i="27" s="1"/>
  <c r="AJ77" i="27" a="1"/>
  <c r="AJ77" i="27" s="1"/>
  <c r="AP62" i="27" a="1"/>
  <c r="AP62" i="27" s="1"/>
  <c r="AR127" i="27" a="1"/>
  <c r="AR127" i="27" s="1"/>
  <c r="AQ91" i="27" a="1"/>
  <c r="AQ91" i="27" s="1"/>
  <c r="AQ56" i="27" a="1"/>
  <c r="AQ56" i="27" s="1"/>
  <c r="AK139" i="27" a="1"/>
  <c r="AK139" i="27" s="1"/>
  <c r="AL29" i="27" a="1"/>
  <c r="AL29" i="27" s="1"/>
  <c r="AO36" i="27" a="1"/>
  <c r="AO36" i="27" s="1"/>
  <c r="AL85" i="27" a="1"/>
  <c r="AL85" i="27" s="1"/>
  <c r="AO12" i="27" a="1"/>
  <c r="AO12" i="27" s="1"/>
  <c r="AR118" i="27" a="1"/>
  <c r="AR118" i="27" s="1"/>
  <c r="AR36" i="27" a="1"/>
  <c r="AR36" i="27" s="1"/>
  <c r="AM77" i="27" a="1"/>
  <c r="AM77" i="27" s="1"/>
  <c r="AN21" i="27" a="1"/>
  <c r="AN21" i="27" s="1"/>
  <c r="AK77" i="27" a="1"/>
  <c r="AK77" i="27" s="1"/>
  <c r="AN138" i="27" a="1"/>
  <c r="AN138" i="27" s="1"/>
  <c r="AT29" i="27" a="1"/>
  <c r="AT29" i="27" s="1"/>
  <c r="AL91" i="27" a="1"/>
  <c r="AL91" i="27" s="1"/>
  <c r="AM64" i="27" a="1"/>
  <c r="AM64" i="27" s="1"/>
  <c r="AO133" i="27" a="1"/>
  <c r="AO133" i="27" s="1"/>
  <c r="AQ50" i="27" a="1"/>
  <c r="AQ50" i="27" s="1"/>
  <c r="AM71" i="27" a="1"/>
  <c r="AM71" i="27" s="1"/>
  <c r="AQ136" i="27" a="1"/>
  <c r="AQ136" i="27" s="1"/>
  <c r="AO57" i="27" a="1"/>
  <c r="AO57" i="27" s="1"/>
  <c r="AJ78" i="27" a="1"/>
  <c r="AJ78" i="27" s="1"/>
  <c r="AR76" i="27" a="1"/>
  <c r="AR76" i="27" s="1"/>
  <c r="AM91" i="27" a="1"/>
  <c r="AM91" i="27" s="1"/>
  <c r="AR50" i="27" a="1"/>
  <c r="AR50" i="27" s="1"/>
  <c r="AQ85" i="27" a="1"/>
  <c r="AQ85" i="27" s="1"/>
  <c r="AN139" i="27" a="1"/>
  <c r="AN139" i="27" s="1"/>
  <c r="AR58" i="27" a="1"/>
  <c r="AR58" i="27" s="1"/>
  <c r="AN136" i="27" a="1"/>
  <c r="AN136" i="27" s="1"/>
  <c r="AM102" i="27" a="1"/>
  <c r="AM102" i="27" s="1"/>
  <c r="AK29" i="27" a="1"/>
  <c r="AK29" i="27" s="1"/>
  <c r="AJ112" i="27" a="1"/>
  <c r="AJ112" i="27" s="1"/>
  <c r="AL108" i="27" a="1"/>
  <c r="AL108" i="27" s="1"/>
  <c r="AL62" i="27" a="1"/>
  <c r="AL62" i="27" s="1"/>
  <c r="AQ73" i="27" a="1"/>
  <c r="AQ73" i="27" s="1"/>
  <c r="AP127" i="27" a="1"/>
  <c r="AP127" i="27" s="1"/>
  <c r="AJ62" i="27" a="1"/>
  <c r="AJ62" i="27" s="1"/>
  <c r="AT38" i="27" a="1"/>
  <c r="AT38" i="27" s="1"/>
  <c r="AJ73" i="27" a="1"/>
  <c r="AJ73" i="27" s="1"/>
  <c r="AL136" i="27" a="1"/>
  <c r="AL136" i="27" s="1"/>
  <c r="AN29" i="27" a="1"/>
  <c r="AN29" i="27" s="1"/>
  <c r="AN108" i="27" a="1"/>
  <c r="AN108" i="27" s="1"/>
  <c r="AR77" i="27" a="1"/>
  <c r="AR77" i="27" s="1"/>
  <c r="AK102" i="27" a="1"/>
  <c r="AK102" i="27" s="1"/>
  <c r="AQ18" i="27" a="1"/>
  <c r="AQ18" i="27" s="1"/>
  <c r="AQ139" i="27" a="1"/>
  <c r="AQ139" i="27" s="1"/>
  <c r="AR62" i="27" a="1"/>
  <c r="AR62" i="27" s="1"/>
  <c r="AS22" i="27" a="1"/>
  <c r="AS22" i="27" s="1"/>
  <c r="AK116" i="27" a="1"/>
  <c r="AK116" i="27" s="1"/>
  <c r="AJ50" i="27" a="1"/>
  <c r="AJ50" i="27" s="1"/>
  <c r="AO126" i="27" a="1"/>
  <c r="AO126" i="27" s="1"/>
  <c r="AL21" i="27" a="1"/>
  <c r="AL21" i="27" s="1"/>
  <c r="AL133" i="27" a="1"/>
  <c r="AL133" i="27" s="1"/>
  <c r="AL118" i="27" a="1"/>
  <c r="AL118" i="27" s="1"/>
  <c r="AN12" i="27" a="1"/>
  <c r="AN12" i="27" s="1"/>
  <c r="AS62" i="27" a="1"/>
  <c r="AS62" i="27" s="1"/>
  <c r="AN48" i="27" a="1"/>
  <c r="AN48" i="27" s="1"/>
  <c r="AQ15" i="27" a="1"/>
  <c r="AQ15" i="27" s="1"/>
  <c r="AM126" i="27" a="1"/>
  <c r="AM126" i="27" s="1"/>
  <c r="AP76" i="27" a="1"/>
  <c r="AP76" i="27" s="1"/>
  <c r="AM22" i="27" a="1"/>
  <c r="AM22" i="27" s="1"/>
  <c r="AT22" i="27" a="1"/>
  <c r="AT22" i="27" s="1"/>
  <c r="AR22" i="27" a="1"/>
  <c r="AR22" i="27" s="1"/>
  <c r="AP22" i="27" a="1"/>
  <c r="AP22" i="27" s="1"/>
  <c r="AN22" i="27" a="1"/>
  <c r="AN22" i="27" s="1"/>
  <c r="AQ22" i="27" a="1"/>
  <c r="AQ22" i="27" s="1"/>
  <c r="AR119" i="27" a="1"/>
  <c r="AR119" i="27" s="1"/>
  <c r="AL12" i="27" a="1"/>
  <c r="AL12" i="27" s="1"/>
  <c r="AU85" i="27" a="1"/>
  <c r="AU85" i="27" s="1"/>
  <c r="AK15" i="27" a="1"/>
  <c r="AK15" i="27" s="1"/>
  <c r="AP15" i="27" a="1"/>
  <c r="AP15" i="27" s="1"/>
  <c r="AQ29" i="27" a="1"/>
  <c r="AQ29" i="27" s="1"/>
  <c r="AN33" i="27" a="1"/>
  <c r="AN33" i="27" s="1"/>
  <c r="AT71" i="27" a="1"/>
  <c r="AT71" i="27" s="1"/>
  <c r="AK133" i="27" a="1"/>
  <c r="AK133" i="27" s="1"/>
  <c r="AM76" i="27" a="1"/>
  <c r="AM76" i="27" s="1"/>
  <c r="AS48" i="27" a="1"/>
  <c r="AS48" i="27" s="1"/>
  <c r="AQ12" i="27" a="1"/>
  <c r="AQ12" i="27" s="1"/>
  <c r="AQ138" i="27" a="1"/>
  <c r="AQ138" i="27" s="1"/>
  <c r="AR6" i="27" a="1"/>
  <c r="AR6" i="27" s="1"/>
  <c r="AS112" i="27" a="1"/>
  <c r="AS112" i="27" s="1"/>
  <c r="AM29" i="27" a="1"/>
  <c r="AM29" i="27" s="1"/>
  <c r="AL116" i="27" a="1"/>
  <c r="AL116" i="27" s="1"/>
  <c r="AK76" i="27" a="1"/>
  <c r="AK76" i="27" s="1"/>
  <c r="AM78" i="27" a="1"/>
  <c r="AM78" i="27" s="1"/>
  <c r="AR91" i="27" a="1"/>
  <c r="AR91" i="27" s="1"/>
  <c r="AJ133" i="27" a="1"/>
  <c r="AJ133" i="27" s="1"/>
  <c r="AQ65" i="27" a="1"/>
  <c r="AQ65" i="27" s="1"/>
  <c r="AJ136" i="27" a="1"/>
  <c r="AJ136" i="27" s="1"/>
  <c r="AR57" i="27" a="1"/>
  <c r="AR57" i="27" s="1"/>
  <c r="AQ133" i="27" a="1"/>
  <c r="AQ133" i="27" s="1"/>
  <c r="AM6" i="27" a="1"/>
  <c r="AM6" i="27" s="1"/>
  <c r="AT126" i="27" a="1"/>
  <c r="AT126" i="27" s="1"/>
  <c r="AK48" i="27" a="1"/>
  <c r="AK48" i="27" s="1"/>
  <c r="AP102" i="27" a="1"/>
  <c r="AP102" i="27" s="1"/>
  <c r="AO85" i="27" a="1"/>
  <c r="AO85" i="27" s="1"/>
  <c r="AQ102" i="27" a="1"/>
  <c r="AQ102" i="27" s="1"/>
  <c r="AO15" i="27" a="1"/>
  <c r="AO15" i="27" s="1"/>
  <c r="AP29" i="27" a="1"/>
  <c r="AP29" i="27" s="1"/>
  <c r="AS56" i="27" a="1"/>
  <c r="AS56" i="27" s="1"/>
  <c r="AT12" i="27" a="1"/>
  <c r="AT12" i="27" s="1"/>
  <c r="AQ6" i="27" a="1"/>
  <c r="AQ6" i="27" s="1"/>
  <c r="AO91" i="27" a="1"/>
  <c r="AO91" i="27" s="1"/>
  <c r="AP116" i="27" a="1"/>
  <c r="AP116" i="27" s="1"/>
  <c r="AT102" i="27" a="1"/>
  <c r="AT102" i="27" s="1"/>
  <c r="AR15" i="27" a="1"/>
  <c r="AR15" i="27" s="1"/>
  <c r="AL56" i="27" a="1"/>
  <c r="AL56" i="27" s="1"/>
  <c r="AQ71" i="27" a="1"/>
  <c r="AQ71" i="27" s="1"/>
  <c r="AN71" i="27" a="1"/>
  <c r="AN71" i="27" s="1"/>
  <c r="AS118" i="27" a="1"/>
  <c r="AS118" i="27" s="1"/>
  <c r="AK73" i="27" a="1"/>
  <c r="AK73" i="27" s="1"/>
  <c r="AP21" i="27" a="1"/>
  <c r="AP21" i="27" s="1"/>
  <c r="AL38" i="27" a="1"/>
  <c r="AL38" i="27" s="1"/>
  <c r="AT21" i="27" a="1"/>
  <c r="AT21" i="27" s="1"/>
  <c r="AN62" i="27" a="1"/>
  <c r="AN62" i="27" s="1"/>
  <c r="AO56" i="27" a="1"/>
  <c r="AO56" i="27" s="1"/>
  <c r="AR12" i="27" a="1"/>
  <c r="AR12" i="27" s="1"/>
  <c r="AQ57" i="27" a="1"/>
  <c r="AQ57" i="27" s="1"/>
  <c r="AT77" i="27" a="1"/>
  <c r="AT77" i="27" s="1"/>
  <c r="AL139" i="27" a="1"/>
  <c r="AL139" i="27" s="1"/>
  <c r="AS12" i="27" a="1"/>
  <c r="AS12" i="27" s="1"/>
  <c r="AN133" i="27" a="1"/>
  <c r="AN133" i="27" s="1"/>
  <c r="AP6" i="27" a="1"/>
  <c r="AP6" i="27" s="1"/>
  <c r="AJ102" i="27" a="1"/>
  <c r="AJ102" i="27" s="1"/>
  <c r="AR73" i="27" a="1"/>
  <c r="AR73" i="27" s="1"/>
  <c r="AO76" i="27" a="1"/>
  <c r="AO76" i="27" s="1"/>
  <c r="AT127" i="27" a="1"/>
  <c r="AT127" i="27" s="1"/>
  <c r="AS15" i="27" a="1"/>
  <c r="AS15" i="27" s="1"/>
  <c r="AS33" i="27" a="1"/>
  <c r="AS33" i="27" s="1"/>
  <c r="AO108" i="27" a="1"/>
  <c r="AO108" i="27" s="1"/>
  <c r="AL127" i="27" a="1"/>
  <c r="AL127" i="27" s="1"/>
  <c r="AT65" i="27" a="1"/>
  <c r="AT65" i="27" s="1"/>
  <c r="AL15" i="27" a="1"/>
  <c r="AL15" i="27" s="1"/>
  <c r="AP119" i="27" a="1"/>
  <c r="AP119" i="27" s="1"/>
  <c r="AN56" i="27" a="1"/>
  <c r="AN56" i="27" s="1"/>
  <c r="AT85" i="27" a="1"/>
  <c r="AT85" i="27" s="1"/>
  <c r="AN126" i="27" a="1"/>
  <c r="AN126" i="27" s="1"/>
  <c r="AP136" i="27" a="1"/>
  <c r="AP136" i="27" s="1"/>
  <c r="AL50" i="27" a="1"/>
  <c r="AL50" i="27" s="1"/>
  <c r="AP78" i="27" a="1"/>
  <c r="AP78" i="27" s="1"/>
  <c r="AP77" i="27" a="1"/>
  <c r="AP77" i="27" s="1"/>
  <c r="AL102" i="27" a="1"/>
  <c r="AL102" i="27" s="1"/>
  <c r="AM136" i="27" a="1"/>
  <c r="AM136" i="27" s="1"/>
  <c r="AO102" i="27" a="1"/>
  <c r="AO102" i="27" s="1"/>
  <c r="AN15" i="27" a="1"/>
  <c r="AN15" i="27" s="1"/>
  <c r="AP56" i="27" a="1"/>
  <c r="AP56" i="27" s="1"/>
  <c r="AN102" i="27" a="1"/>
  <c r="AN102" i="27" s="1"/>
  <c r="AN78" i="27" a="1"/>
  <c r="AN78" i="27" s="1"/>
  <c r="AO75" i="27" a="1"/>
  <c r="AO75" i="27" s="1"/>
  <c r="AL76" i="27" a="1"/>
  <c r="AL76" i="27" s="1"/>
  <c r="AN77" i="27" a="1"/>
  <c r="AN77" i="27" s="1"/>
  <c r="AR56" i="27" a="1"/>
  <c r="AR56" i="27" s="1"/>
  <c r="AT50" i="27" a="1"/>
  <c r="AT50" i="27" s="1"/>
  <c r="AS6" i="27" a="1"/>
  <c r="AS6" i="27" s="1"/>
  <c r="AM32" i="27" a="1"/>
  <c r="AM32" i="27" s="1"/>
  <c r="AK126" i="27" a="1"/>
  <c r="AK126" i="27" s="1"/>
  <c r="AL57" i="27" a="1"/>
  <c r="AL57" i="27" s="1"/>
  <c r="AT136" i="27" a="1"/>
  <c r="AT136" i="27" s="1"/>
  <c r="AT60" i="27" a="1"/>
  <c r="AT60" i="27" s="1"/>
  <c r="AR43" i="27" a="1"/>
  <c r="AR43" i="27" s="1"/>
  <c r="AN121" i="27" a="1"/>
  <c r="AN121" i="27" s="1"/>
  <c r="AQ32" i="27" a="1"/>
  <c r="AQ32" i="27" s="1"/>
  <c r="AQ60" i="27" a="1"/>
  <c r="AQ60" i="27" s="1"/>
  <c r="AN60" i="27" a="1"/>
  <c r="AN60" i="27" s="1"/>
  <c r="AM69" i="27" a="1"/>
  <c r="AM69" i="27" s="1"/>
  <c r="AO119" i="27" a="1"/>
  <c r="AO119" i="27" s="1"/>
  <c r="AS87" i="27" a="1"/>
  <c r="AS87" i="27" s="1"/>
  <c r="AM68" i="27" a="1"/>
  <c r="AM68" i="27" s="1"/>
  <c r="AL114" i="27" a="1"/>
  <c r="AL114" i="27" s="1"/>
  <c r="AQ114" i="27" a="1"/>
  <c r="AQ114" i="27" s="1"/>
  <c r="AN114" i="27" a="1"/>
  <c r="AN114" i="27" s="1"/>
  <c r="AN122" i="27" a="1"/>
  <c r="AN122" i="27" s="1"/>
  <c r="AT122" i="27" a="1"/>
  <c r="AT122" i="27" s="1"/>
  <c r="AM122" i="27" a="1"/>
  <c r="AM122" i="27" s="1"/>
  <c r="AR32" i="27" a="1"/>
  <c r="AR32" i="27" s="1"/>
  <c r="AK49" i="27" a="1"/>
  <c r="AK49" i="27" s="1"/>
  <c r="AN49" i="27" a="1"/>
  <c r="AN49" i="27" s="1"/>
  <c r="AJ69" i="27" a="1"/>
  <c r="AJ69" i="27" s="1"/>
  <c r="AL43" i="27" a="1"/>
  <c r="AL43" i="27" s="1"/>
  <c r="AP43" i="27" a="1"/>
  <c r="AP43" i="27" s="1"/>
  <c r="AR121" i="27" a="1"/>
  <c r="AR121" i="27" s="1"/>
  <c r="AM121" i="27" a="1"/>
  <c r="AM121" i="27" s="1"/>
  <c r="AK27" i="27" a="1"/>
  <c r="AK27" i="27" s="1"/>
  <c r="AQ27" i="27" a="1"/>
  <c r="AQ27" i="27" s="1"/>
  <c r="AK136" i="27" a="1"/>
  <c r="AK136" i="27" s="1"/>
  <c r="AT114" i="27" a="1"/>
  <c r="AT114" i="27" s="1"/>
  <c r="AP65" i="27" a="1"/>
  <c r="AP65" i="27" s="1"/>
  <c r="AK114" i="27" a="1"/>
  <c r="AK114" i="27" s="1"/>
  <c r="AJ68" i="27" a="1"/>
  <c r="AJ68" i="27" s="1"/>
  <c r="AN68" i="27" a="1"/>
  <c r="AN68" i="27" s="1"/>
  <c r="AS43" i="27" a="1"/>
  <c r="AS43" i="27" s="1"/>
  <c r="AO135" i="27" a="1"/>
  <c r="AO135" i="27" s="1"/>
  <c r="AO9" i="27" a="1"/>
  <c r="AO9" i="27" s="1"/>
  <c r="AR60" i="27" a="1"/>
  <c r="AR60" i="27" s="1"/>
  <c r="AP17" i="27" a="1"/>
  <c r="AP17" i="27" s="1"/>
  <c r="AK106" i="27" a="1"/>
  <c r="AK106" i="27" s="1"/>
  <c r="AU33" i="27" l="1" a="1"/>
  <c r="AU33" i="27" s="1"/>
  <c r="AU26" i="27" a="1"/>
  <c r="AU26" i="27" s="1"/>
  <c r="G24" i="12" s="1"/>
  <c r="J24" i="12" s="1"/>
  <c r="L24" i="12" s="1"/>
  <c r="N24" i="12" s="1"/>
  <c r="Z24" i="12" s="1"/>
  <c r="AU105" i="27" a="1"/>
  <c r="AU105" i="27" s="1"/>
  <c r="G103" i="31" s="1"/>
  <c r="AU57" i="27" a="1"/>
  <c r="AU57" i="27" s="1"/>
  <c r="G55" i="30" s="1"/>
  <c r="J55" i="30" s="1"/>
  <c r="L55" i="30" s="1"/>
  <c r="N55" i="30" s="1"/>
  <c r="Z55" i="30" s="1"/>
  <c r="AU50" i="27" a="1"/>
  <c r="AU50" i="27" s="1"/>
  <c r="G48" i="12" s="1"/>
  <c r="J48" i="12" s="1"/>
  <c r="L48" i="12" s="1"/>
  <c r="N48" i="12" s="1"/>
  <c r="Z48" i="12" s="1"/>
  <c r="AU121" i="27" a="1"/>
  <c r="AU121" i="27" s="1"/>
  <c r="AU17" i="27" a="1"/>
  <c r="AU17" i="27" s="1"/>
  <c r="AU138" i="27" a="1"/>
  <c r="AU138" i="27" s="1"/>
  <c r="G136" i="12" s="1"/>
  <c r="J136" i="12" s="1"/>
  <c r="L136" i="12" s="1"/>
  <c r="N136" i="12" s="1"/>
  <c r="Z136" i="12" s="1"/>
  <c r="AU106" i="27" a="1"/>
  <c r="AU106" i="27" s="1"/>
  <c r="AU78" i="27" a="1"/>
  <c r="AU78" i="27" s="1"/>
  <c r="G76" i="31" s="1"/>
  <c r="J76" i="31" s="1"/>
  <c r="L76" i="31" s="1"/>
  <c r="N76" i="31" s="1"/>
  <c r="Z76" i="31" s="1"/>
  <c r="AU15" i="27" a="1"/>
  <c r="AU15" i="27" s="1"/>
  <c r="G13" i="31" s="1"/>
  <c r="AU29" i="27" a="1"/>
  <c r="AU29" i="27" s="1"/>
  <c r="AU118" i="27" a="1"/>
  <c r="AU118" i="27" s="1"/>
  <c r="G116" i="31" s="1"/>
  <c r="G73" i="31"/>
  <c r="G56" i="12"/>
  <c r="J56" i="12" s="1"/>
  <c r="L56" i="12" s="1"/>
  <c r="N56" i="12" s="1"/>
  <c r="Z56" i="12" s="1"/>
  <c r="G127" i="31"/>
  <c r="J127" i="31" s="1"/>
  <c r="L127" i="31" s="1"/>
  <c r="N127" i="31" s="1"/>
  <c r="Z127" i="31" s="1"/>
  <c r="G100" i="30"/>
  <c r="G100" i="31"/>
  <c r="G100" i="12"/>
  <c r="J100" i="12" s="1"/>
  <c r="L100" i="12" s="1"/>
  <c r="N100" i="12" s="1"/>
  <c r="Z100" i="12" s="1"/>
  <c r="G56" i="31"/>
  <c r="AJ29" i="27" a="1"/>
  <c r="AJ29" i="27" s="1"/>
  <c r="AJ33" i="27" a="1"/>
  <c r="AJ33" i="27" s="1"/>
  <c r="AJ17" i="27" a="1"/>
  <c r="AJ17" i="27" s="1"/>
  <c r="AJ38" i="27" a="1"/>
  <c r="AJ38" i="27" s="1"/>
  <c r="G124" i="30"/>
  <c r="J124" i="30" s="1"/>
  <c r="L124" i="30" s="1"/>
  <c r="N124" i="30" s="1"/>
  <c r="Z124" i="30" s="1"/>
  <c r="G124" i="31"/>
  <c r="G124" i="12"/>
  <c r="J124" i="12" s="1"/>
  <c r="L124" i="12" s="1"/>
  <c r="N124" i="12" s="1"/>
  <c r="Z124" i="12" s="1"/>
  <c r="G74" i="31"/>
  <c r="J74" i="31" s="1"/>
  <c r="L74" i="31" s="1"/>
  <c r="N74" i="31" s="1"/>
  <c r="Z74" i="31" s="1"/>
  <c r="G74" i="30"/>
  <c r="G74" i="12"/>
  <c r="J74" i="12" s="1"/>
  <c r="L74" i="12" s="1"/>
  <c r="N74" i="12" s="1"/>
  <c r="Z74" i="12" s="1"/>
  <c r="G54" i="31"/>
  <c r="G54" i="30"/>
  <c r="G54" i="12"/>
  <c r="J54" i="12" s="1"/>
  <c r="L54" i="12" s="1"/>
  <c r="N54" i="12" s="1"/>
  <c r="Z54" i="12" s="1"/>
  <c r="AJ27" i="27" a="1"/>
  <c r="AJ27" i="27" s="1"/>
  <c r="G134" i="12"/>
  <c r="J134" i="12" s="1"/>
  <c r="L134" i="12" s="1"/>
  <c r="N134" i="12" s="1"/>
  <c r="Z134" i="12" s="1"/>
  <c r="G134" i="30"/>
  <c r="G134" i="31"/>
  <c r="J134" i="31" s="1"/>
  <c r="L134" i="31" s="1"/>
  <c r="N134" i="31" s="1"/>
  <c r="Z134" i="31" s="1"/>
  <c r="G73" i="30"/>
  <c r="G127" i="30"/>
  <c r="AJ22" i="27" a="1"/>
  <c r="AJ22" i="27" s="1"/>
  <c r="G83" i="31"/>
  <c r="G83" i="12"/>
  <c r="J83" i="12" s="1"/>
  <c r="L83" i="12" s="1"/>
  <c r="N83" i="12" s="1"/>
  <c r="Z83" i="12" s="1"/>
  <c r="G83" i="30"/>
  <c r="G62" i="31"/>
  <c r="G62" i="30"/>
  <c r="G62" i="12"/>
  <c r="J62" i="12" s="1"/>
  <c r="L62" i="12" s="1"/>
  <c r="N62" i="12" s="1"/>
  <c r="Z62" i="12" s="1"/>
  <c r="G114" i="12"/>
  <c r="J114" i="12" s="1"/>
  <c r="L114" i="12" s="1"/>
  <c r="N114" i="12" s="1"/>
  <c r="Z114" i="12" s="1"/>
  <c r="G114" i="30"/>
  <c r="G114" i="31"/>
  <c r="J114" i="31" s="1"/>
  <c r="L114" i="31" s="1"/>
  <c r="N114" i="31" s="1"/>
  <c r="Z114" i="31" s="1"/>
  <c r="AJ12" i="27" a="1"/>
  <c r="AJ12" i="27" s="1"/>
  <c r="G73" i="12"/>
  <c r="J73" i="12" s="1"/>
  <c r="L73" i="12" s="1"/>
  <c r="N73" i="12" s="1"/>
  <c r="Z73" i="12" s="1"/>
  <c r="G127" i="12"/>
  <c r="J127" i="12" s="1"/>
  <c r="L127" i="12" s="1"/>
  <c r="N127" i="12" s="1"/>
  <c r="Z127" i="12" s="1"/>
  <c r="AJ18" i="27" a="1"/>
  <c r="AJ18" i="27" s="1"/>
  <c r="G56" i="30"/>
  <c r="AJ21" i="27" a="1"/>
  <c r="AJ21" i="27" s="1"/>
  <c r="AJ32" i="27" a="1"/>
  <c r="AJ32" i="27" s="1"/>
  <c r="AJ6" i="27" a="1"/>
  <c r="AJ6" i="27" s="1"/>
  <c r="AU91" i="27" a="1"/>
  <c r="AU91" i="27" s="1"/>
  <c r="G89" i="31" s="1"/>
  <c r="AU112" i="27" a="1"/>
  <c r="AU112" i="27" s="1"/>
  <c r="G110" i="12" s="1"/>
  <c r="J110" i="12" s="1"/>
  <c r="L110" i="12" s="1"/>
  <c r="N110" i="12" s="1"/>
  <c r="Z110" i="12" s="1"/>
  <c r="AU73" i="27" a="1"/>
  <c r="AU73" i="27" s="1"/>
  <c r="G71" i="12" s="1"/>
  <c r="J71" i="12" s="1"/>
  <c r="L71" i="12" s="1"/>
  <c r="N71" i="12" s="1"/>
  <c r="Z71" i="12" s="1"/>
  <c r="AU48" i="27" a="1"/>
  <c r="AU48" i="27" s="1"/>
  <c r="G46" i="30" s="1"/>
  <c r="AU127" i="27" a="1"/>
  <c r="AU127" i="27" s="1"/>
  <c r="G125" i="12" s="1"/>
  <c r="J125" i="12" s="1"/>
  <c r="L125" i="12" s="1"/>
  <c r="N125" i="12" s="1"/>
  <c r="Z125" i="12" s="1"/>
  <c r="AU6" i="27" a="1"/>
  <c r="AU6" i="27" s="1"/>
  <c r="AU20" i="27" a="1"/>
  <c r="AU20" i="27" s="1"/>
  <c r="G18" i="30" s="1"/>
  <c r="AU77" i="27" a="1"/>
  <c r="AU77" i="27" s="1"/>
  <c r="G75" i="30" s="1"/>
  <c r="J75" i="30" s="1"/>
  <c r="L75" i="30" s="1"/>
  <c r="N75" i="30" s="1"/>
  <c r="Z75" i="30" s="1"/>
  <c r="AU38" i="27" a="1"/>
  <c r="AU38" i="27" s="1"/>
  <c r="AU108" i="27" a="1"/>
  <c r="AU108" i="27" s="1"/>
  <c r="G106" i="31" s="1"/>
  <c r="J106" i="31" s="1"/>
  <c r="L106" i="31" s="1"/>
  <c r="N106" i="31" s="1"/>
  <c r="Z106" i="31" s="1"/>
  <c r="AU62" i="27" a="1"/>
  <c r="AU62" i="27" s="1"/>
  <c r="G60" i="31" s="1"/>
  <c r="AU133" i="27" a="1"/>
  <c r="AU133" i="27" s="1"/>
  <c r="G131" i="30" s="1"/>
  <c r="J131" i="30" s="1"/>
  <c r="L131" i="30" s="1"/>
  <c r="N131" i="30" s="1"/>
  <c r="Z131" i="30" s="1"/>
  <c r="AU36" i="27" a="1"/>
  <c r="AU36" i="27" s="1"/>
  <c r="G34" i="30" s="1"/>
  <c r="J34" i="30" s="1"/>
  <c r="L34" i="30" s="1"/>
  <c r="N34" i="30" s="1"/>
  <c r="Z34" i="30" s="1"/>
  <c r="AU52" i="27" a="1"/>
  <c r="AU52" i="27" s="1"/>
  <c r="AU84" i="27" a="1"/>
  <c r="AU84" i="27" s="1"/>
  <c r="AU100" i="27" a="1"/>
  <c r="AU100" i="27" s="1"/>
  <c r="AU132" i="27" a="1"/>
  <c r="AU132" i="27" s="1"/>
  <c r="AU13" i="27" a="1"/>
  <c r="AU13" i="27" s="1"/>
  <c r="G11" i="31" s="1"/>
  <c r="J11" i="31" s="1"/>
  <c r="AU125" i="27" a="1"/>
  <c r="AU125" i="27" s="1"/>
  <c r="AU86" i="27" a="1"/>
  <c r="AU86" i="27" s="1"/>
  <c r="G84" i="12" s="1"/>
  <c r="J84" i="12" s="1"/>
  <c r="L84" i="12" s="1"/>
  <c r="N84" i="12" s="1"/>
  <c r="Z84" i="12" s="1"/>
  <c r="AU134" i="27" a="1"/>
  <c r="AU134" i="27" s="1"/>
  <c r="AU31" i="27" a="1"/>
  <c r="AU31" i="27" s="1"/>
  <c r="G29" i="30" s="1"/>
  <c r="J29" i="30" s="1"/>
  <c r="L29" i="30" s="1"/>
  <c r="N29" i="30" s="1"/>
  <c r="Z29" i="30" s="1"/>
  <c r="AU63" i="27" a="1"/>
  <c r="AU63" i="27" s="1"/>
  <c r="G61" i="12" s="1"/>
  <c r="J61" i="12" s="1"/>
  <c r="AU79" i="27" a="1"/>
  <c r="AU79" i="27" s="1"/>
  <c r="AU95" i="27" a="1"/>
  <c r="AU95" i="27" s="1"/>
  <c r="G93" i="12" s="1"/>
  <c r="J93" i="12" s="1"/>
  <c r="AU24" i="27" a="1"/>
  <c r="AU24" i="27" s="1"/>
  <c r="AU40" i="27" a="1"/>
  <c r="AU40" i="27" s="1"/>
  <c r="AU72" i="27" a="1"/>
  <c r="AU72" i="27" s="1"/>
  <c r="AU104" i="27" a="1"/>
  <c r="AU104" i="27" s="1"/>
  <c r="G102" i="12" s="1"/>
  <c r="J102" i="12" s="1"/>
  <c r="AU120" i="27" a="1"/>
  <c r="AU120" i="27" s="1"/>
  <c r="G118" i="30" s="1"/>
  <c r="J118" i="30" s="1"/>
  <c r="L118" i="30" s="1"/>
  <c r="N118" i="30" s="1"/>
  <c r="Z118" i="30" s="1"/>
  <c r="AU65" i="27" a="1"/>
  <c r="AU65" i="27" s="1"/>
  <c r="G63" i="30" s="1"/>
  <c r="J63" i="30" s="1"/>
  <c r="L63" i="30" s="1"/>
  <c r="N63" i="30" s="1"/>
  <c r="Z63" i="30" s="1"/>
  <c r="AU97" i="27" a="1"/>
  <c r="AU97" i="27" s="1"/>
  <c r="AU113" i="27" a="1"/>
  <c r="AU113" i="27" s="1"/>
  <c r="AU10" i="27" a="1"/>
  <c r="AU10" i="27" s="1"/>
  <c r="AU42" i="27" a="1"/>
  <c r="AU42" i="27" s="1"/>
  <c r="AU90" i="27" a="1"/>
  <c r="AU90" i="27" s="1"/>
  <c r="AU19" i="27" a="1"/>
  <c r="AU19" i="27" s="1"/>
  <c r="G17" i="30" s="1"/>
  <c r="J17" i="30" s="1"/>
  <c r="L17" i="30" s="1"/>
  <c r="N17" i="30" s="1"/>
  <c r="Z17" i="30" s="1"/>
  <c r="AU35" i="27" a="1"/>
  <c r="AU35" i="27" s="1"/>
  <c r="AU51" i="27" a="1"/>
  <c r="AU51" i="27" s="1"/>
  <c r="G49" i="31" s="1"/>
  <c r="AU83" i="27" a="1"/>
  <c r="AU83" i="27" s="1"/>
  <c r="AU131" i="27" a="1"/>
  <c r="AU131" i="27" s="1"/>
  <c r="AU12" i="27" a="1"/>
  <c r="AU12" i="27" s="1"/>
  <c r="AU60" i="27" a="1"/>
  <c r="AU60" i="27" s="1"/>
  <c r="AU92" i="27" a="1"/>
  <c r="AU92" i="27" s="1"/>
  <c r="AU124" i="27" a="1"/>
  <c r="AU124" i="27" s="1"/>
  <c r="AU21" i="27" a="1"/>
  <c r="AU21" i="27" s="1"/>
  <c r="AU37" i="27" a="1"/>
  <c r="AU37" i="27" s="1"/>
  <c r="G35" i="12" s="1"/>
  <c r="J35" i="12" s="1"/>
  <c r="L35" i="12" s="1"/>
  <c r="N35" i="12" s="1"/>
  <c r="Z35" i="12" s="1"/>
  <c r="AU53" i="27" a="1"/>
  <c r="AU53" i="27" s="1"/>
  <c r="G51" i="12" s="1"/>
  <c r="J51" i="12" s="1"/>
  <c r="AU14" i="27" a="1"/>
  <c r="AU14" i="27" s="1"/>
  <c r="G12" i="30" s="1"/>
  <c r="AU46" i="27" a="1"/>
  <c r="AU46" i="27" s="1"/>
  <c r="G44" i="30" s="1"/>
  <c r="J44" i="30" s="1"/>
  <c r="AU110" i="27" a="1"/>
  <c r="AU110" i="27" s="1"/>
  <c r="AU7" i="27" a="1"/>
  <c r="AU7" i="27" s="1"/>
  <c r="G5" i="30" s="1"/>
  <c r="J5" i="30" s="1"/>
  <c r="L5" i="30" s="1"/>
  <c r="N5" i="30" s="1"/>
  <c r="Z5" i="30" s="1"/>
  <c r="AU23" i="27" a="1"/>
  <c r="AU23" i="27" s="1"/>
  <c r="AU39" i="27" a="1"/>
  <c r="AU39" i="27" s="1"/>
  <c r="G37" i="12" s="1"/>
  <c r="J37" i="12" s="1"/>
  <c r="L37" i="12" s="1"/>
  <c r="N37" i="12" s="1"/>
  <c r="Z37" i="12" s="1"/>
  <c r="AU55" i="27" a="1"/>
  <c r="AU55" i="27" s="1"/>
  <c r="AU71" i="27" a="1"/>
  <c r="AU71" i="27" s="1"/>
  <c r="G69" i="30" s="1"/>
  <c r="J69" i="30" s="1"/>
  <c r="L69" i="30" s="1"/>
  <c r="N69" i="30" s="1"/>
  <c r="Z69" i="30" s="1"/>
  <c r="AU103" i="27" a="1"/>
  <c r="AU103" i="27" s="1"/>
  <c r="AU119" i="27" a="1"/>
  <c r="AU119" i="27" s="1"/>
  <c r="G117" i="12" s="1"/>
  <c r="J117" i="12" s="1"/>
  <c r="L117" i="12" s="1"/>
  <c r="N117" i="12" s="1"/>
  <c r="Z117" i="12" s="1"/>
  <c r="AU16" i="27" a="1"/>
  <c r="AU16" i="27" s="1"/>
  <c r="G14" i="12" s="1"/>
  <c r="J14" i="12" s="1"/>
  <c r="L14" i="12" s="1"/>
  <c r="N14" i="12" s="1"/>
  <c r="Z14" i="12" s="1"/>
  <c r="AU80" i="27" a="1"/>
  <c r="AU80" i="27" s="1"/>
  <c r="AU128" i="27" a="1"/>
  <c r="AU128" i="27" s="1"/>
  <c r="AU25" i="27" a="1"/>
  <c r="AU25" i="27" s="1"/>
  <c r="G23" i="30" s="1"/>
  <c r="J23" i="30" s="1"/>
  <c r="L23" i="30" s="1"/>
  <c r="N23" i="30" s="1"/>
  <c r="Z23" i="30" s="1"/>
  <c r="AU41" i="27" a="1"/>
  <c r="AU41" i="27" s="1"/>
  <c r="G39" i="12" s="1"/>
  <c r="J39" i="12" s="1"/>
  <c r="L39" i="12" s="1"/>
  <c r="N39" i="12" s="1"/>
  <c r="Z39" i="12" s="1"/>
  <c r="AU89" i="27" a="1"/>
  <c r="AU89" i="27" s="1"/>
  <c r="AU137" i="27" a="1"/>
  <c r="AU137" i="27" s="1"/>
  <c r="AU34" i="27" a="1"/>
  <c r="AU34" i="27" s="1"/>
  <c r="AU66" i="27" a="1"/>
  <c r="AU66" i="27" s="1"/>
  <c r="AU82" i="27" a="1"/>
  <c r="AU82" i="27" s="1"/>
  <c r="G80" i="30" s="1"/>
  <c r="J80" i="30" s="1"/>
  <c r="AU98" i="27" a="1"/>
  <c r="AU98" i="27" s="1"/>
  <c r="AU130" i="27" a="1"/>
  <c r="AU130" i="27" s="1"/>
  <c r="AU11" i="27" a="1"/>
  <c r="AU11" i="27" s="1"/>
  <c r="G9" i="30" s="1"/>
  <c r="J9" i="30" s="1"/>
  <c r="AU107" i="27" a="1"/>
  <c r="AU107" i="27" s="1"/>
  <c r="AU123" i="27" a="1"/>
  <c r="AU123" i="27" s="1"/>
  <c r="AU139" i="27" a="1"/>
  <c r="AU139" i="27" s="1"/>
  <c r="G137" i="30" s="1"/>
  <c r="J137" i="30" s="1"/>
  <c r="L137" i="30" s="1"/>
  <c r="N137" i="30" s="1"/>
  <c r="Z137" i="30" s="1"/>
  <c r="AO140" i="27" a="1"/>
  <c r="AO140" i="27" s="1"/>
  <c r="AL140" i="27" a="1"/>
  <c r="AL140" i="27" s="1"/>
  <c r="AR140" i="27" a="1"/>
  <c r="AR140" i="27" s="1"/>
  <c r="AQ140" i="27" a="1"/>
  <c r="AQ140" i="27" s="1"/>
  <c r="AU140" i="27" a="1"/>
  <c r="AU140" i="27" s="1"/>
  <c r="AK47" i="27" a="1"/>
  <c r="AK47" i="27" s="1"/>
  <c r="AO47" i="27" a="1"/>
  <c r="AO47" i="27" s="1"/>
  <c r="AM49" i="27" a="1"/>
  <c r="AM49" i="27" s="1"/>
  <c r="AP93" i="27" a="1"/>
  <c r="AP93" i="27" s="1"/>
  <c r="AT87" i="27" a="1"/>
  <c r="AT87" i="27" s="1"/>
  <c r="AO114" i="27" a="1"/>
  <c r="AO114" i="27" s="1"/>
  <c r="AS17" i="27" a="1"/>
  <c r="AS17" i="27" s="1"/>
  <c r="AT140" i="27" a="1"/>
  <c r="AT140" i="27" s="1"/>
  <c r="AP114" i="27" a="1"/>
  <c r="AP114" i="27" s="1"/>
  <c r="AN9" i="27" a="1"/>
  <c r="AN9" i="27" s="1"/>
  <c r="AU87" i="27" a="1"/>
  <c r="AU87" i="27" s="1"/>
  <c r="AS114" i="27" a="1"/>
  <c r="AS114" i="27" s="1"/>
  <c r="AM114" i="27" a="1"/>
  <c r="AM114" i="27" s="1"/>
  <c r="AJ114" i="27" a="1"/>
  <c r="AJ114" i="27" s="1"/>
  <c r="AT135" i="27" a="1"/>
  <c r="AT135" i="27" s="1"/>
  <c r="AR114" i="27" a="1"/>
  <c r="AR114" i="27" s="1"/>
  <c r="AR68" i="27" a="1"/>
  <c r="AR68" i="27" s="1"/>
  <c r="AO68" i="27" a="1"/>
  <c r="AO68" i="27" s="1"/>
  <c r="AS30" i="27" a="1"/>
  <c r="AS30" i="27" s="1"/>
  <c r="AJ135" i="27" a="1"/>
  <c r="AJ135" i="27" s="1"/>
  <c r="AN87" i="27" a="1"/>
  <c r="AN87" i="27" s="1"/>
  <c r="AM135" i="27" a="1"/>
  <c r="AM135" i="27" s="1"/>
  <c r="AM87" i="27" a="1"/>
  <c r="AM87" i="27" s="1"/>
  <c r="AS135" i="27" a="1"/>
  <c r="AS135" i="27" s="1"/>
  <c r="AR27" i="27" a="1"/>
  <c r="AR27" i="27" s="1"/>
  <c r="AM94" i="27" a="1"/>
  <c r="AM94" i="27" s="1"/>
  <c r="AS93" i="27" a="1"/>
  <c r="AS93" i="27" s="1"/>
  <c r="AT43" i="27" a="1"/>
  <c r="AT43" i="27" s="1"/>
  <c r="AT69" i="27" a="1"/>
  <c r="AT69" i="27" s="1"/>
  <c r="AL32" i="27" a="1"/>
  <c r="AL32" i="27" s="1"/>
  <c r="AO17" i="27" a="1"/>
  <c r="AO17" i="27" s="1"/>
  <c r="AO93" i="27" a="1"/>
  <c r="AO93" i="27" s="1"/>
  <c r="AJ93" i="27" a="1"/>
  <c r="AJ93" i="27" s="1"/>
  <c r="AS60" i="27" a="1"/>
  <c r="AS60" i="27" s="1"/>
  <c r="AL49" i="27" a="1"/>
  <c r="AL49" i="27" s="1"/>
  <c r="AO49" i="27" a="1"/>
  <c r="AO49" i="27" s="1"/>
  <c r="AO32" i="27" a="1"/>
  <c r="AO32" i="27" s="1"/>
  <c r="AK68" i="27" a="1"/>
  <c r="AK68" i="27" s="1"/>
  <c r="AO88" i="27" a="1"/>
  <c r="AO88" i="27" s="1"/>
  <c r="AJ94" i="27" a="1"/>
  <c r="AJ94" i="27" s="1"/>
  <c r="AP28" i="27" a="1"/>
  <c r="AP28" i="27" s="1"/>
  <c r="AK9" i="27" a="1"/>
  <c r="AK9" i="27" s="1"/>
  <c r="AO30" i="27" a="1"/>
  <c r="AO30" i="27" s="1"/>
  <c r="AT9" i="27" a="1"/>
  <c r="AT9" i="27" s="1"/>
  <c r="AK135" i="27" a="1"/>
  <c r="AK135" i="27" s="1"/>
  <c r="AP135" i="27" a="1"/>
  <c r="AP135" i="27" s="1"/>
  <c r="AN106" i="27" a="1"/>
  <c r="AN106" i="27" s="1"/>
  <c r="AJ106" i="27" a="1"/>
  <c r="AJ106" i="27" s="1"/>
  <c r="AL106" i="27" a="1"/>
  <c r="AL106" i="27" s="1"/>
  <c r="AT94" i="27" a="1"/>
  <c r="AT94" i="27" s="1"/>
  <c r="AL68" i="27" a="1"/>
  <c r="AL68" i="27" s="1"/>
  <c r="AJ122" i="27" a="1"/>
  <c r="AJ122" i="27" s="1"/>
  <c r="AR122" i="27" a="1"/>
  <c r="AR122" i="27" s="1"/>
  <c r="AU122" i="27" a="1"/>
  <c r="AU122" i="27" s="1"/>
  <c r="AL135" i="27" a="1"/>
  <c r="AL135" i="27" s="1"/>
  <c r="AO87" i="27" a="1"/>
  <c r="AO87" i="27" s="1"/>
  <c r="AS94" i="27" a="1"/>
  <c r="AS94" i="27" s="1"/>
  <c r="AS121" i="27" a="1"/>
  <c r="AS121" i="27" s="1"/>
  <c r="G119" i="30" s="1"/>
  <c r="AM93" i="27" a="1"/>
  <c r="AM93" i="27" s="1"/>
  <c r="AT93" i="27" a="1"/>
  <c r="AT93" i="27" s="1"/>
  <c r="AO69" i="27" a="1"/>
  <c r="AO69" i="27" s="1"/>
  <c r="AP49" i="27" a="1"/>
  <c r="AP49" i="27" s="1"/>
  <c r="AM27" i="27" a="1"/>
  <c r="AM27" i="27" s="1"/>
  <c r="AL94" i="27" a="1"/>
  <c r="AL94" i="27" s="1"/>
  <c r="AT27" i="27" a="1"/>
  <c r="AT27" i="27" s="1"/>
  <c r="AK17" i="27" a="1"/>
  <c r="AK17" i="27" s="1"/>
  <c r="AU93" i="27" a="1"/>
  <c r="AU93" i="27" s="1"/>
  <c r="AR93" i="27" a="1"/>
  <c r="AR93" i="27" s="1"/>
  <c r="AJ49" i="27" a="1"/>
  <c r="AJ49" i="27" s="1"/>
  <c r="AQ68" i="27" a="1"/>
  <c r="AQ68" i="27" s="1"/>
  <c r="AP68" i="27" a="1"/>
  <c r="AP68" i="27" s="1"/>
  <c r="AL88" i="27" a="1"/>
  <c r="AL88" i="27" s="1"/>
  <c r="AP27" i="27" a="1"/>
  <c r="AP27" i="27" s="1"/>
  <c r="AK94" i="27" a="1"/>
  <c r="AK94" i="27" s="1"/>
  <c r="AK43" i="27" a="1"/>
  <c r="AK43" i="27" s="1"/>
  <c r="AQ43" i="27" a="1"/>
  <c r="AQ43" i="27" s="1"/>
  <c r="AQ69" i="27" a="1"/>
  <c r="AQ69" i="27" s="1"/>
  <c r="AO94" i="27" a="1"/>
  <c r="AO94" i="27" s="1"/>
  <c r="AS68" i="27" a="1"/>
  <c r="AS68" i="27" s="1"/>
  <c r="AQ122" i="27" a="1"/>
  <c r="AQ122" i="27" s="1"/>
  <c r="AP122" i="27" a="1"/>
  <c r="AP122" i="27" s="1"/>
  <c r="AK122" i="27" a="1"/>
  <c r="AK122" i="27" s="1"/>
  <c r="AP69" i="27" a="1"/>
  <c r="AP69" i="27" s="1"/>
  <c r="AK32" i="27" a="1"/>
  <c r="AK32" i="27" s="1"/>
  <c r="AL122" i="27" a="1"/>
  <c r="AL122" i="27" s="1"/>
  <c r="AP87" i="27" a="1"/>
  <c r="AP87" i="27" s="1"/>
  <c r="AQ88" i="27" a="1"/>
  <c r="AQ88" i="27" s="1"/>
  <c r="AR87" i="27" a="1"/>
  <c r="AR87" i="27" s="1"/>
  <c r="AN88" i="27" a="1"/>
  <c r="AN88" i="27" s="1"/>
  <c r="AL28" i="27" a="1"/>
  <c r="AL28" i="27" s="1"/>
  <c r="AU135" i="27" a="1"/>
  <c r="AU135" i="27" s="1"/>
  <c r="AL87" i="27" a="1"/>
  <c r="AL87" i="27" s="1"/>
  <c r="AT88" i="27" a="1"/>
  <c r="AT88" i="27" s="1"/>
  <c r="AP88" i="27" a="1"/>
  <c r="AP88" i="27" s="1"/>
  <c r="AM28" i="27" a="1"/>
  <c r="AM28" i="27" s="1"/>
  <c r="AK88" i="27" a="1"/>
  <c r="AK88" i="27" s="1"/>
  <c r="AU88" i="27" a="1"/>
  <c r="AU88" i="27" s="1"/>
  <c r="AT28" i="27" a="1"/>
  <c r="AT28" i="27" s="1"/>
  <c r="AR88" i="27" a="1"/>
  <c r="AR88" i="27" s="1"/>
  <c r="AM88" i="27" a="1"/>
  <c r="AM88" i="27" s="1"/>
  <c r="AJ88" i="27" a="1"/>
  <c r="AJ88" i="27" s="1"/>
  <c r="AR9" i="27" a="1"/>
  <c r="AR9" i="27" s="1"/>
  <c r="AU9" i="27" a="1"/>
  <c r="AU9" i="27" s="1"/>
  <c r="AQ28" i="27" a="1"/>
  <c r="AQ28" i="27" s="1"/>
  <c r="AN47" i="27" a="1"/>
  <c r="AN47" i="27" s="1"/>
  <c r="G116" i="12" l="1"/>
  <c r="J116" i="12" s="1"/>
  <c r="L116" i="12" s="1"/>
  <c r="N116" i="12" s="1"/>
  <c r="Z116" i="12" s="1"/>
  <c r="G48" i="30"/>
  <c r="G55" i="12"/>
  <c r="J55" i="12" s="1"/>
  <c r="L55" i="12" s="1"/>
  <c r="N55" i="12" s="1"/>
  <c r="Z55" i="12" s="1"/>
  <c r="G55" i="31"/>
  <c r="G24" i="30"/>
  <c r="J24" i="30" s="1"/>
  <c r="L24" i="30" s="1"/>
  <c r="N24" i="30" s="1"/>
  <c r="Z24" i="30" s="1"/>
  <c r="G24" i="31"/>
  <c r="J24" i="31" s="1"/>
  <c r="L24" i="31" s="1"/>
  <c r="N24" i="31" s="1"/>
  <c r="Z24" i="31" s="1"/>
  <c r="G136" i="31"/>
  <c r="J136" i="31" s="1"/>
  <c r="L136" i="31" s="1"/>
  <c r="N136" i="31" s="1"/>
  <c r="Z136" i="31" s="1"/>
  <c r="G136" i="30"/>
  <c r="J136" i="30" s="1"/>
  <c r="L136" i="30" s="1"/>
  <c r="N136" i="30" s="1"/>
  <c r="Z136" i="30" s="1"/>
  <c r="G13" i="12"/>
  <c r="J13" i="12" s="1"/>
  <c r="L13" i="12" s="1"/>
  <c r="N13" i="12" s="1"/>
  <c r="Z13" i="12" s="1"/>
  <c r="G103" i="30"/>
  <c r="J103" i="30" s="1"/>
  <c r="L103" i="30" s="1"/>
  <c r="N103" i="30" s="1"/>
  <c r="Z103" i="30" s="1"/>
  <c r="G76" i="30"/>
  <c r="J76" i="30" s="1"/>
  <c r="L76" i="30" s="1"/>
  <c r="N76" i="30" s="1"/>
  <c r="Z76" i="30" s="1"/>
  <c r="G116" i="30"/>
  <c r="J116" i="30" s="1"/>
  <c r="L116" i="30" s="1"/>
  <c r="N116" i="30" s="1"/>
  <c r="Z116" i="30" s="1"/>
  <c r="G48" i="31"/>
  <c r="J48" i="31" s="1"/>
  <c r="L48" i="31" s="1"/>
  <c r="N48" i="31" s="1"/>
  <c r="Z48" i="31" s="1"/>
  <c r="G103" i="12"/>
  <c r="J103" i="12" s="1"/>
  <c r="L103" i="12" s="1"/>
  <c r="N103" i="12" s="1"/>
  <c r="Z103" i="12" s="1"/>
  <c r="G58" i="31"/>
  <c r="J58" i="31" s="1"/>
  <c r="L58" i="31" s="1"/>
  <c r="N58" i="31" s="1"/>
  <c r="Z58" i="31" s="1"/>
  <c r="G76" i="12"/>
  <c r="J76" i="12" s="1"/>
  <c r="L76" i="12" s="1"/>
  <c r="N76" i="12" s="1"/>
  <c r="Z76" i="12" s="1"/>
  <c r="G49" i="12"/>
  <c r="J49" i="12" s="1"/>
  <c r="L49" i="12" s="1"/>
  <c r="N49" i="12" s="1"/>
  <c r="Z49" i="12" s="1"/>
  <c r="G13" i="30"/>
  <c r="J13" i="30" s="1"/>
  <c r="L13" i="30" s="1"/>
  <c r="N13" i="30" s="1"/>
  <c r="Z13" i="30" s="1"/>
  <c r="J114" i="30"/>
  <c r="L114" i="30" s="1"/>
  <c r="N114" i="30" s="1"/>
  <c r="Z114" i="30" s="1"/>
  <c r="J54" i="30"/>
  <c r="L54" i="30" s="1"/>
  <c r="N54" i="30" s="1"/>
  <c r="Z54" i="30" s="1"/>
  <c r="J12" i="30"/>
  <c r="L12" i="30" s="1"/>
  <c r="N12" i="30" s="1"/>
  <c r="Z12" i="30" s="1"/>
  <c r="J48" i="30"/>
  <c r="L48" i="30" s="1"/>
  <c r="N48" i="30" s="1"/>
  <c r="Z48" i="30" s="1"/>
  <c r="J18" i="30"/>
  <c r="L18" i="30" s="1"/>
  <c r="N18" i="30" s="1"/>
  <c r="Z18" i="30" s="1"/>
  <c r="J46" i="30"/>
  <c r="L46" i="30" s="1"/>
  <c r="N46" i="30" s="1"/>
  <c r="Z46" i="30" s="1"/>
  <c r="J56" i="30"/>
  <c r="L56" i="30" s="1"/>
  <c r="N56" i="30" s="1"/>
  <c r="Z56" i="30" s="1"/>
  <c r="J62" i="30"/>
  <c r="L62" i="30" s="1"/>
  <c r="N62" i="30" s="1"/>
  <c r="Z62" i="30" s="1"/>
  <c r="J134" i="30"/>
  <c r="L134" i="30" s="1"/>
  <c r="N134" i="30" s="1"/>
  <c r="Z134" i="30" s="1"/>
  <c r="J74" i="30"/>
  <c r="L74" i="30" s="1"/>
  <c r="N74" i="30" s="1"/>
  <c r="Z74" i="30" s="1"/>
  <c r="J100" i="30"/>
  <c r="L100" i="30" s="1"/>
  <c r="N100" i="30" s="1"/>
  <c r="Z100" i="30" s="1"/>
  <c r="J119" i="30"/>
  <c r="L119" i="30" s="1"/>
  <c r="N119" i="30" s="1"/>
  <c r="Z119" i="30" s="1"/>
  <c r="J83" i="30"/>
  <c r="L83" i="30" s="1"/>
  <c r="N83" i="30" s="1"/>
  <c r="Z83" i="30" s="1"/>
  <c r="J127" i="30"/>
  <c r="L127" i="30" s="1"/>
  <c r="N127" i="30" s="1"/>
  <c r="Z127" i="30" s="1"/>
  <c r="J73" i="30"/>
  <c r="L73" i="30" s="1"/>
  <c r="N73" i="30" s="1"/>
  <c r="Z73" i="30" s="1"/>
  <c r="J116" i="31"/>
  <c r="L116" i="31" s="1"/>
  <c r="N116" i="31" s="1"/>
  <c r="Z116" i="31" s="1"/>
  <c r="J56" i="31"/>
  <c r="L56" i="31" s="1"/>
  <c r="N56" i="31" s="1"/>
  <c r="Z56" i="31" s="1"/>
  <c r="J54" i="31"/>
  <c r="L54" i="31" s="1"/>
  <c r="N54" i="31" s="1"/>
  <c r="Z54" i="31" s="1"/>
  <c r="J100" i="31"/>
  <c r="L100" i="31" s="1"/>
  <c r="N100" i="31" s="1"/>
  <c r="Z100" i="31" s="1"/>
  <c r="J60" i="31"/>
  <c r="L60" i="31" s="1"/>
  <c r="N60" i="31" s="1"/>
  <c r="Z60" i="31" s="1"/>
  <c r="J89" i="31"/>
  <c r="L89" i="31" s="1"/>
  <c r="N89" i="31" s="1"/>
  <c r="Z89" i="31" s="1"/>
  <c r="J55" i="31"/>
  <c r="L55" i="31" s="1"/>
  <c r="N55" i="31" s="1"/>
  <c r="Z55" i="31" s="1"/>
  <c r="J103" i="31"/>
  <c r="L103" i="31" s="1"/>
  <c r="N103" i="31" s="1"/>
  <c r="Z103" i="31" s="1"/>
  <c r="J62" i="31"/>
  <c r="L62" i="31" s="1"/>
  <c r="N62" i="31" s="1"/>
  <c r="Z62" i="31" s="1"/>
  <c r="J49" i="31"/>
  <c r="L49" i="31" s="1"/>
  <c r="N49" i="31" s="1"/>
  <c r="Z49" i="31" s="1"/>
  <c r="J124" i="31"/>
  <c r="L124" i="31" s="1"/>
  <c r="N124" i="31" s="1"/>
  <c r="Z124" i="31" s="1"/>
  <c r="J73" i="31"/>
  <c r="L73" i="31" s="1"/>
  <c r="N73" i="31" s="1"/>
  <c r="Z73" i="31" s="1"/>
  <c r="J13" i="31"/>
  <c r="L13" i="31" s="1"/>
  <c r="N13" i="31" s="1"/>
  <c r="Z13" i="31" s="1"/>
  <c r="J83" i="31"/>
  <c r="L83" i="31" s="1"/>
  <c r="N83" i="31" s="1"/>
  <c r="Z83" i="31" s="1"/>
  <c r="AS88" i="27" a="1"/>
  <c r="AS88" i="27" s="1"/>
  <c r="G86" i="30" s="1"/>
  <c r="G41" i="30"/>
  <c r="J41" i="30" s="1"/>
  <c r="L41" i="30" s="1"/>
  <c r="N41" i="30" s="1"/>
  <c r="Z41" i="30" s="1"/>
  <c r="G67" i="12"/>
  <c r="J67" i="12" s="1"/>
  <c r="L67" i="12" s="1"/>
  <c r="N67" i="12" s="1"/>
  <c r="G66" i="31"/>
  <c r="G138" i="12"/>
  <c r="J138" i="12" s="1"/>
  <c r="L138" i="12" s="1"/>
  <c r="N138" i="12" s="1"/>
  <c r="Z138" i="12" s="1"/>
  <c r="G47" i="12"/>
  <c r="J47" i="12" s="1"/>
  <c r="L47" i="12" s="1"/>
  <c r="N47" i="12" s="1"/>
  <c r="Z47" i="12" s="1"/>
  <c r="G47" i="31"/>
  <c r="G47" i="30"/>
  <c r="AJ9" i="27" a="1"/>
  <c r="AJ9" i="27" s="1"/>
  <c r="G121" i="12"/>
  <c r="J121" i="12" s="1"/>
  <c r="L121" i="12" s="1"/>
  <c r="N121" i="12" s="1"/>
  <c r="Z121" i="12" s="1"/>
  <c r="G121" i="31"/>
  <c r="J121" i="31" s="1"/>
  <c r="L121" i="31" s="1"/>
  <c r="N121" i="31" s="1"/>
  <c r="Z121" i="31" s="1"/>
  <c r="G121" i="30"/>
  <c r="G64" i="31"/>
  <c r="G64" i="30"/>
  <c r="J64" i="30" s="1"/>
  <c r="L64" i="30" s="1"/>
  <c r="N64" i="30" s="1"/>
  <c r="Z64" i="30" s="1"/>
  <c r="G64" i="12"/>
  <c r="J64" i="12" s="1"/>
  <c r="L64" i="12" s="1"/>
  <c r="N64" i="12" s="1"/>
  <c r="Z64" i="12" s="1"/>
  <c r="G129" i="12"/>
  <c r="J129" i="12" s="1"/>
  <c r="G129" i="30"/>
  <c r="J129" i="30" s="1"/>
  <c r="G129" i="31"/>
  <c r="J129" i="31" s="1"/>
  <c r="G88" i="12"/>
  <c r="J88" i="12" s="1"/>
  <c r="L88" i="12" s="1"/>
  <c r="N88" i="12" s="1"/>
  <c r="Z88" i="12" s="1"/>
  <c r="G88" i="30"/>
  <c r="G88" i="31"/>
  <c r="G123" i="12"/>
  <c r="J123" i="12" s="1"/>
  <c r="L123" i="12" s="1"/>
  <c r="N123" i="12" s="1"/>
  <c r="Z123" i="12" s="1"/>
  <c r="G123" i="31"/>
  <c r="J123" i="31" s="1"/>
  <c r="L123" i="31" s="1"/>
  <c r="N123" i="31" s="1"/>
  <c r="Z123" i="31" s="1"/>
  <c r="G123" i="30"/>
  <c r="J123" i="30" s="1"/>
  <c r="L123" i="30" s="1"/>
  <c r="N123" i="30" s="1"/>
  <c r="Z123" i="30" s="1"/>
  <c r="G98" i="12"/>
  <c r="J98" i="12" s="1"/>
  <c r="L98" i="12" s="1"/>
  <c r="N98" i="12" s="1"/>
  <c r="Z98" i="12" s="1"/>
  <c r="G98" i="30"/>
  <c r="G98" i="31"/>
  <c r="G19" i="31"/>
  <c r="G19" i="12"/>
  <c r="J19" i="12" s="1"/>
  <c r="L19" i="12" s="1"/>
  <c r="N19" i="12" s="1"/>
  <c r="Z19" i="12" s="1"/>
  <c r="G19" i="30"/>
  <c r="J19" i="30" s="1"/>
  <c r="L19" i="30" s="1"/>
  <c r="N19" i="30" s="1"/>
  <c r="Z19" i="30" s="1"/>
  <c r="G66" i="12"/>
  <c r="J66" i="12" s="1"/>
  <c r="L66" i="12" s="1"/>
  <c r="N66" i="12" s="1"/>
  <c r="Z66" i="12" s="1"/>
  <c r="G44" i="12"/>
  <c r="J44" i="12" s="1"/>
  <c r="G11" i="12"/>
  <c r="J11" i="12" s="1"/>
  <c r="G51" i="31"/>
  <c r="J51" i="31" s="1"/>
  <c r="G58" i="12"/>
  <c r="J58" i="12" s="1"/>
  <c r="L58" i="12" s="1"/>
  <c r="N58" i="12" s="1"/>
  <c r="Z58" i="12" s="1"/>
  <c r="G67" i="31"/>
  <c r="G137" i="31"/>
  <c r="G63" i="12"/>
  <c r="J63" i="12" s="1"/>
  <c r="L63" i="12" s="1"/>
  <c r="N63" i="12" s="1"/>
  <c r="Z63" i="12" s="1"/>
  <c r="G84" i="31"/>
  <c r="J84" i="31" s="1"/>
  <c r="L84" i="31" s="1"/>
  <c r="N84" i="31" s="1"/>
  <c r="Z84" i="31" s="1"/>
  <c r="G117" i="30"/>
  <c r="G12" i="31"/>
  <c r="J12" i="31" s="1"/>
  <c r="L12" i="31" s="1"/>
  <c r="N12" i="31" s="1"/>
  <c r="Z12" i="31" s="1"/>
  <c r="G71" i="30"/>
  <c r="J71" i="30" s="1"/>
  <c r="L71" i="30" s="1"/>
  <c r="N71" i="30" s="1"/>
  <c r="Z71" i="30" s="1"/>
  <c r="G17" i="12"/>
  <c r="J17" i="12" s="1"/>
  <c r="L17" i="12" s="1"/>
  <c r="N17" i="12" s="1"/>
  <c r="Z17" i="12" s="1"/>
  <c r="G41" i="12"/>
  <c r="J41" i="12" s="1"/>
  <c r="L41" i="12" s="1"/>
  <c r="N41" i="12" s="1"/>
  <c r="Z41" i="12" s="1"/>
  <c r="G37" i="30"/>
  <c r="J37" i="30" s="1"/>
  <c r="L37" i="30" s="1"/>
  <c r="N37" i="30" s="1"/>
  <c r="Z37" i="30" s="1"/>
  <c r="G34" i="31"/>
  <c r="G60" i="30"/>
  <c r="G33" i="31"/>
  <c r="G33" i="12"/>
  <c r="J33" i="12" s="1"/>
  <c r="L33" i="12" s="1"/>
  <c r="N33" i="12" s="1"/>
  <c r="Z33" i="12" s="1"/>
  <c r="G33" i="30"/>
  <c r="G22" i="31"/>
  <c r="G22" i="12"/>
  <c r="J22" i="12" s="1"/>
  <c r="L22" i="12" s="1"/>
  <c r="N22" i="12" s="1"/>
  <c r="Z22" i="12" s="1"/>
  <c r="G22" i="30"/>
  <c r="J22" i="30" s="1"/>
  <c r="L22" i="30" s="1"/>
  <c r="N22" i="30" s="1"/>
  <c r="Z22" i="30" s="1"/>
  <c r="G44" i="31"/>
  <c r="J44" i="31" s="1"/>
  <c r="G11" i="30"/>
  <c r="J11" i="30" s="1"/>
  <c r="G51" i="30"/>
  <c r="J51" i="30" s="1"/>
  <c r="G10" i="12"/>
  <c r="J10" i="12" s="1"/>
  <c r="L10" i="12" s="1"/>
  <c r="N10" i="12" s="1"/>
  <c r="Z10" i="12" s="1"/>
  <c r="G10" i="30"/>
  <c r="G10" i="31"/>
  <c r="G93" i="31"/>
  <c r="J93" i="31" s="1"/>
  <c r="G75" i="12"/>
  <c r="J75" i="12" s="1"/>
  <c r="L75" i="12" s="1"/>
  <c r="N75" i="12" s="1"/>
  <c r="Z75" i="12" s="1"/>
  <c r="G137" i="12"/>
  <c r="J137" i="12" s="1"/>
  <c r="L137" i="12" s="1"/>
  <c r="N137" i="12" s="1"/>
  <c r="Z137" i="12" s="1"/>
  <c r="G89" i="30"/>
  <c r="J89" i="30" s="1"/>
  <c r="L89" i="30" s="1"/>
  <c r="N89" i="30" s="1"/>
  <c r="Z89" i="30" s="1"/>
  <c r="G131" i="12"/>
  <c r="J131" i="12" s="1"/>
  <c r="L131" i="12" s="1"/>
  <c r="N131" i="12" s="1"/>
  <c r="Z131" i="12" s="1"/>
  <c r="G89" i="12"/>
  <c r="J89" i="12" s="1"/>
  <c r="L89" i="12" s="1"/>
  <c r="N89" i="12" s="1"/>
  <c r="Z89" i="12" s="1"/>
  <c r="G41" i="31"/>
  <c r="J41" i="31" s="1"/>
  <c r="L41" i="31" s="1"/>
  <c r="N41" i="31" s="1"/>
  <c r="Z41" i="31" s="1"/>
  <c r="G29" i="12"/>
  <c r="J29" i="12" s="1"/>
  <c r="L29" i="12" s="1"/>
  <c r="N29" i="12" s="1"/>
  <c r="Z29" i="12" s="1"/>
  <c r="G37" i="31"/>
  <c r="G117" i="31"/>
  <c r="J117" i="31" s="1"/>
  <c r="L117" i="31" s="1"/>
  <c r="N117" i="31" s="1"/>
  <c r="Z117" i="31" s="1"/>
  <c r="G60" i="12"/>
  <c r="J60" i="12" s="1"/>
  <c r="L60" i="12" s="1"/>
  <c r="N60" i="12" s="1"/>
  <c r="Z60" i="12" s="1"/>
  <c r="G119" i="12"/>
  <c r="J119" i="12" s="1"/>
  <c r="L119" i="12" s="1"/>
  <c r="N119" i="12" s="1"/>
  <c r="Z119" i="12" s="1"/>
  <c r="G120" i="12"/>
  <c r="J120" i="12" s="1"/>
  <c r="L120" i="12" s="1"/>
  <c r="N120" i="12" s="1"/>
  <c r="Z120" i="12" s="1"/>
  <c r="G120" i="31"/>
  <c r="G120" i="30"/>
  <c r="J120" i="30" s="1"/>
  <c r="L120" i="30" s="1"/>
  <c r="N120" i="30" s="1"/>
  <c r="Z120" i="30" s="1"/>
  <c r="G96" i="30"/>
  <c r="G96" i="12"/>
  <c r="J96" i="12" s="1"/>
  <c r="L96" i="12" s="1"/>
  <c r="N96" i="12" s="1"/>
  <c r="Z96" i="12" s="1"/>
  <c r="G96" i="31"/>
  <c r="G32" i="30"/>
  <c r="G32" i="12"/>
  <c r="J32" i="12" s="1"/>
  <c r="L32" i="12" s="1"/>
  <c r="N32" i="12" s="1"/>
  <c r="Z32" i="12" s="1"/>
  <c r="G32" i="31"/>
  <c r="G87" i="12"/>
  <c r="J87" i="12" s="1"/>
  <c r="L87" i="12" s="1"/>
  <c r="N87" i="12" s="1"/>
  <c r="Z87" i="12" s="1"/>
  <c r="G87" i="31"/>
  <c r="G87" i="30"/>
  <c r="G122" i="12"/>
  <c r="J122" i="12" s="1"/>
  <c r="L122" i="12" s="1"/>
  <c r="N122" i="12" s="1"/>
  <c r="Z122" i="12" s="1"/>
  <c r="G122" i="31"/>
  <c r="G122" i="30"/>
  <c r="J122" i="30" s="1"/>
  <c r="L122" i="30" s="1"/>
  <c r="N122" i="30" s="1"/>
  <c r="Z122" i="30" s="1"/>
  <c r="G81" i="12"/>
  <c r="J81" i="12" s="1"/>
  <c r="L81" i="12" s="1"/>
  <c r="N81" i="12" s="1"/>
  <c r="Z81" i="12" s="1"/>
  <c r="G81" i="30"/>
  <c r="J81" i="30" s="1"/>
  <c r="L81" i="30" s="1"/>
  <c r="N81" i="30" s="1"/>
  <c r="Z81" i="30" s="1"/>
  <c r="G81" i="31"/>
  <c r="G95" i="31"/>
  <c r="J95" i="31" s="1"/>
  <c r="G95" i="30"/>
  <c r="J95" i="30" s="1"/>
  <c r="G95" i="12"/>
  <c r="J95" i="12" s="1"/>
  <c r="G82" i="31"/>
  <c r="G82" i="30"/>
  <c r="G82" i="12"/>
  <c r="J82" i="12" s="1"/>
  <c r="L82" i="12" s="1"/>
  <c r="N82" i="12" s="1"/>
  <c r="Z82" i="12" s="1"/>
  <c r="G18" i="31"/>
  <c r="G75" i="31"/>
  <c r="G25" i="31"/>
  <c r="G25" i="12"/>
  <c r="J25" i="12" s="1"/>
  <c r="L25" i="12" s="1"/>
  <c r="N25" i="12" s="1"/>
  <c r="Z25" i="12" s="1"/>
  <c r="G25" i="30"/>
  <c r="J25" i="30" s="1"/>
  <c r="L25" i="30" s="1"/>
  <c r="N25" i="30" s="1"/>
  <c r="Z25" i="30" s="1"/>
  <c r="G14" i="30"/>
  <c r="G106" i="12"/>
  <c r="J106" i="12" s="1"/>
  <c r="L106" i="12" s="1"/>
  <c r="N106" i="12" s="1"/>
  <c r="Z106" i="12" s="1"/>
  <c r="G49" i="30"/>
  <c r="J49" i="30" s="1"/>
  <c r="L49" i="30" s="1"/>
  <c r="N49" i="30" s="1"/>
  <c r="Z49" i="30" s="1"/>
  <c r="G131" i="31"/>
  <c r="J131" i="31" s="1"/>
  <c r="L131" i="31" s="1"/>
  <c r="N131" i="31" s="1"/>
  <c r="Z131" i="31" s="1"/>
  <c r="G119" i="31"/>
  <c r="J119" i="31" s="1"/>
  <c r="L119" i="31" s="1"/>
  <c r="N119" i="31" s="1"/>
  <c r="Z119" i="31" s="1"/>
  <c r="G31" i="12"/>
  <c r="J31" i="12" s="1"/>
  <c r="L31" i="12" s="1"/>
  <c r="N31" i="12" s="1"/>
  <c r="Z31" i="12" s="1"/>
  <c r="G31" i="30"/>
  <c r="G31" i="31"/>
  <c r="G29" i="31"/>
  <c r="G93" i="30"/>
  <c r="J93" i="30" s="1"/>
  <c r="G138" i="31"/>
  <c r="J138" i="31" s="1"/>
  <c r="L138" i="31" s="1"/>
  <c r="N138" i="31" s="1"/>
  <c r="Z138" i="31" s="1"/>
  <c r="G91" i="30"/>
  <c r="J91" i="30" s="1"/>
  <c r="L91" i="30" s="1"/>
  <c r="N91" i="30" s="1"/>
  <c r="Z91" i="30" s="1"/>
  <c r="G91" i="12"/>
  <c r="J91" i="12" s="1"/>
  <c r="L91" i="12" s="1"/>
  <c r="N91" i="12" s="1"/>
  <c r="Z91" i="12" s="1"/>
  <c r="G91" i="31"/>
  <c r="G105" i="31"/>
  <c r="G105" i="12"/>
  <c r="J105" i="12" s="1"/>
  <c r="L105" i="12" s="1"/>
  <c r="N105" i="12" s="1"/>
  <c r="Z105" i="12" s="1"/>
  <c r="G105" i="30"/>
  <c r="J105" i="30" s="1"/>
  <c r="L105" i="30" s="1"/>
  <c r="N105" i="30" s="1"/>
  <c r="Z105" i="30" s="1"/>
  <c r="G126" i="31"/>
  <c r="G126" i="12"/>
  <c r="J126" i="12" s="1"/>
  <c r="L126" i="12" s="1"/>
  <c r="N126" i="12" s="1"/>
  <c r="Z126" i="12" s="1"/>
  <c r="G126" i="30"/>
  <c r="J126" i="30" s="1"/>
  <c r="L126" i="30" s="1"/>
  <c r="N126" i="30" s="1"/>
  <c r="Z126" i="30" s="1"/>
  <c r="G108" i="12"/>
  <c r="J108" i="12" s="1"/>
  <c r="L108" i="12" s="1"/>
  <c r="N108" i="12" s="1"/>
  <c r="Z108" i="12" s="1"/>
  <c r="G108" i="30"/>
  <c r="G108" i="31"/>
  <c r="G40" i="30"/>
  <c r="G40" i="31"/>
  <c r="J40" i="31" s="1"/>
  <c r="L40" i="31" s="1"/>
  <c r="N40" i="31" s="1"/>
  <c r="Z40" i="31" s="1"/>
  <c r="G40" i="12"/>
  <c r="J40" i="12" s="1"/>
  <c r="L40" i="12" s="1"/>
  <c r="N40" i="12" s="1"/>
  <c r="Z40" i="12" s="1"/>
  <c r="G50" i="31"/>
  <c r="J50" i="31" s="1"/>
  <c r="G50" i="12"/>
  <c r="J50" i="12" s="1"/>
  <c r="G50" i="30"/>
  <c r="J50" i="30" s="1"/>
  <c r="G118" i="31"/>
  <c r="G18" i="12"/>
  <c r="J18" i="12" s="1"/>
  <c r="L18" i="12" s="1"/>
  <c r="N18" i="12" s="1"/>
  <c r="Z18" i="12" s="1"/>
  <c r="G61" i="31"/>
  <c r="J61" i="31" s="1"/>
  <c r="G125" i="31"/>
  <c r="G106" i="30"/>
  <c r="G35" i="30"/>
  <c r="J35" i="30" s="1"/>
  <c r="L35" i="30" s="1"/>
  <c r="N35" i="30" s="1"/>
  <c r="Z35" i="30" s="1"/>
  <c r="G46" i="12"/>
  <c r="J46" i="12" s="1"/>
  <c r="L46" i="12" s="1"/>
  <c r="N46" i="12" s="1"/>
  <c r="Z46" i="12" s="1"/>
  <c r="G5" i="12"/>
  <c r="J5" i="12" s="1"/>
  <c r="L5" i="12" s="1"/>
  <c r="N5" i="12" s="1"/>
  <c r="Z5" i="12" s="1"/>
  <c r="G138" i="30"/>
  <c r="G78" i="31"/>
  <c r="J78" i="31" s="1"/>
  <c r="G78" i="30"/>
  <c r="J78" i="30" s="1"/>
  <c r="G78" i="12"/>
  <c r="J78" i="12" s="1"/>
  <c r="G101" i="12"/>
  <c r="J101" i="12" s="1"/>
  <c r="L101" i="12" s="1"/>
  <c r="N101" i="12" s="1"/>
  <c r="Z101" i="12" s="1"/>
  <c r="G101" i="30"/>
  <c r="G101" i="31"/>
  <c r="G90" i="12"/>
  <c r="J90" i="12" s="1"/>
  <c r="G90" i="31"/>
  <c r="J90" i="31" s="1"/>
  <c r="G90" i="30"/>
  <c r="J90" i="30" s="1"/>
  <c r="G8" i="30"/>
  <c r="G8" i="12"/>
  <c r="J8" i="12" s="1"/>
  <c r="L8" i="12" s="1"/>
  <c r="N8" i="12" s="1"/>
  <c r="Z8" i="12" s="1"/>
  <c r="G8" i="31"/>
  <c r="G70" i="31"/>
  <c r="G70" i="30"/>
  <c r="G70" i="12"/>
  <c r="J70" i="12" s="1"/>
  <c r="L70" i="12" s="1"/>
  <c r="N70" i="12" s="1"/>
  <c r="Z70" i="12" s="1"/>
  <c r="G132" i="12"/>
  <c r="J132" i="12" s="1"/>
  <c r="L132" i="12" s="1"/>
  <c r="N132" i="12" s="1"/>
  <c r="Z132" i="12" s="1"/>
  <c r="G132" i="30"/>
  <c r="G132" i="31"/>
  <c r="G130" i="30"/>
  <c r="G130" i="12"/>
  <c r="J130" i="12" s="1"/>
  <c r="L130" i="12" s="1"/>
  <c r="N130" i="12" s="1"/>
  <c r="Z130" i="12" s="1"/>
  <c r="G130" i="31"/>
  <c r="G118" i="12"/>
  <c r="J118" i="12" s="1"/>
  <c r="L118" i="12" s="1"/>
  <c r="N118" i="12" s="1"/>
  <c r="Z118" i="12" s="1"/>
  <c r="G61" i="30"/>
  <c r="J61" i="30" s="1"/>
  <c r="G20" i="31"/>
  <c r="G20" i="30"/>
  <c r="G20" i="12"/>
  <c r="J20" i="12" s="1"/>
  <c r="L20" i="12" s="1"/>
  <c r="N20" i="12" s="1"/>
  <c r="Z20" i="12" s="1"/>
  <c r="G84" i="30"/>
  <c r="J84" i="30" s="1"/>
  <c r="L84" i="30" s="1"/>
  <c r="N84" i="30" s="1"/>
  <c r="Z84" i="30" s="1"/>
  <c r="G14" i="31"/>
  <c r="G102" i="31"/>
  <c r="J102" i="31" s="1"/>
  <c r="G35" i="31"/>
  <c r="G36" i="31"/>
  <c r="G36" i="30"/>
  <c r="G36" i="12"/>
  <c r="J36" i="12" s="1"/>
  <c r="L36" i="12" s="1"/>
  <c r="N36" i="12" s="1"/>
  <c r="Z36" i="12" s="1"/>
  <c r="G15" i="12"/>
  <c r="J15" i="12" s="1"/>
  <c r="L15" i="12" s="1"/>
  <c r="N15" i="12" s="1"/>
  <c r="Z15" i="12" s="1"/>
  <c r="G15" i="30"/>
  <c r="J15" i="30" s="1"/>
  <c r="L15" i="30" s="1"/>
  <c r="N15" i="30" s="1"/>
  <c r="Z15" i="30" s="1"/>
  <c r="G15" i="31"/>
  <c r="G23" i="12"/>
  <c r="J23" i="12" s="1"/>
  <c r="L23" i="12" s="1"/>
  <c r="N23" i="12" s="1"/>
  <c r="Z23" i="12" s="1"/>
  <c r="G110" i="30"/>
  <c r="G5" i="31"/>
  <c r="G104" i="12"/>
  <c r="J104" i="12" s="1"/>
  <c r="L104" i="12" s="1"/>
  <c r="N104" i="12" s="1"/>
  <c r="Z104" i="12" s="1"/>
  <c r="G104" i="30"/>
  <c r="J104" i="30" s="1"/>
  <c r="L104" i="30" s="1"/>
  <c r="N104" i="30" s="1"/>
  <c r="Z104" i="30" s="1"/>
  <c r="G104" i="31"/>
  <c r="G135" i="30"/>
  <c r="J135" i="30" s="1"/>
  <c r="L135" i="30" s="1"/>
  <c r="N135" i="30" s="1"/>
  <c r="Z135" i="30" s="1"/>
  <c r="G135" i="31"/>
  <c r="G135" i="12"/>
  <c r="J135" i="12" s="1"/>
  <c r="L135" i="12" s="1"/>
  <c r="N135" i="12" s="1"/>
  <c r="Z135" i="12" s="1"/>
  <c r="G21" i="12"/>
  <c r="J21" i="12" s="1"/>
  <c r="L21" i="12" s="1"/>
  <c r="N21" i="12" s="1"/>
  <c r="Z21" i="12" s="1"/>
  <c r="G21" i="30"/>
  <c r="J21" i="30" s="1"/>
  <c r="L21" i="30" s="1"/>
  <c r="N21" i="30" s="1"/>
  <c r="Z21" i="30" s="1"/>
  <c r="G21" i="31"/>
  <c r="G77" i="31"/>
  <c r="G77" i="12"/>
  <c r="J77" i="12" s="1"/>
  <c r="L77" i="12" s="1"/>
  <c r="N77" i="12" s="1"/>
  <c r="Z77" i="12" s="1"/>
  <c r="G77" i="30"/>
  <c r="G80" i="12"/>
  <c r="J80" i="12" s="1"/>
  <c r="G9" i="31"/>
  <c r="J9" i="31" s="1"/>
  <c r="G125" i="30"/>
  <c r="J125" i="30" s="1"/>
  <c r="L125" i="30" s="1"/>
  <c r="N125" i="30" s="1"/>
  <c r="Z125" i="30" s="1"/>
  <c r="G39" i="31"/>
  <c r="G102" i="30"/>
  <c r="J102" i="30" s="1"/>
  <c r="G23" i="31"/>
  <c r="G110" i="31"/>
  <c r="G69" i="12"/>
  <c r="J69" i="12" s="1"/>
  <c r="L69" i="12" s="1"/>
  <c r="N69" i="12" s="1"/>
  <c r="Z69" i="12" s="1"/>
  <c r="G128" i="30"/>
  <c r="J128" i="30" s="1"/>
  <c r="L128" i="30" s="1"/>
  <c r="N128" i="30" s="1"/>
  <c r="Z128" i="30" s="1"/>
  <c r="G128" i="31"/>
  <c r="G128" i="12"/>
  <c r="J128" i="12" s="1"/>
  <c r="L128" i="12" s="1"/>
  <c r="N128" i="12" s="1"/>
  <c r="Z128" i="12" s="1"/>
  <c r="G38" i="12"/>
  <c r="J38" i="12" s="1"/>
  <c r="L38" i="12" s="1"/>
  <c r="N38" i="12" s="1"/>
  <c r="Z38" i="12" s="1"/>
  <c r="G38" i="31"/>
  <c r="G38" i="30"/>
  <c r="G30" i="31"/>
  <c r="G30" i="12"/>
  <c r="J30" i="12" s="1"/>
  <c r="L30" i="12" s="1"/>
  <c r="N30" i="12" s="1"/>
  <c r="Z30" i="12" s="1"/>
  <c r="G30" i="30"/>
  <c r="G66" i="30"/>
  <c r="G80" i="31"/>
  <c r="J80" i="31" s="1"/>
  <c r="G16" i="30"/>
  <c r="G16" i="12"/>
  <c r="J16" i="12" s="1"/>
  <c r="L16" i="12" s="1"/>
  <c r="N16" i="12" s="1"/>
  <c r="Z16" i="12" s="1"/>
  <c r="G16" i="31"/>
  <c r="G58" i="30"/>
  <c r="G67" i="30"/>
  <c r="J67" i="30" s="1"/>
  <c r="L67" i="30" s="1"/>
  <c r="N67" i="30" s="1"/>
  <c r="G9" i="12"/>
  <c r="J9" i="12" s="1"/>
  <c r="G63" i="31"/>
  <c r="G39" i="30"/>
  <c r="G12" i="12"/>
  <c r="J12" i="12" s="1"/>
  <c r="L12" i="12" s="1"/>
  <c r="N12" i="12" s="1"/>
  <c r="Z12" i="12" s="1"/>
  <c r="G71" i="31"/>
  <c r="G17" i="31"/>
  <c r="G46" i="31"/>
  <c r="G34" i="12"/>
  <c r="J34" i="12" s="1"/>
  <c r="L34" i="12" s="1"/>
  <c r="N34" i="12" s="1"/>
  <c r="Z34" i="12" s="1"/>
  <c r="G69" i="31"/>
  <c r="G92" i="31"/>
  <c r="G92" i="12"/>
  <c r="J92" i="12" s="1"/>
  <c r="L92" i="12" s="1"/>
  <c r="N92" i="12" s="1"/>
  <c r="Z92" i="12" s="1"/>
  <c r="G92" i="30"/>
  <c r="G112" i="31"/>
  <c r="G112" i="30"/>
  <c r="G112" i="12"/>
  <c r="J112" i="12" s="1"/>
  <c r="L112" i="12" s="1"/>
  <c r="N112" i="12" s="1"/>
  <c r="Z112" i="12" s="1"/>
  <c r="G53" i="31"/>
  <c r="J53" i="31" s="1"/>
  <c r="G53" i="30"/>
  <c r="J53" i="30" s="1"/>
  <c r="G53" i="12"/>
  <c r="J53" i="12" s="1"/>
  <c r="G111" i="12"/>
  <c r="J111" i="12" s="1"/>
  <c r="L111" i="12" s="1"/>
  <c r="N111" i="12" s="1"/>
  <c r="Z111" i="12" s="1"/>
  <c r="G111" i="30"/>
  <c r="J111" i="30" s="1"/>
  <c r="L111" i="30" s="1"/>
  <c r="N111" i="30" s="1"/>
  <c r="Z111" i="30" s="1"/>
  <c r="G111" i="31"/>
  <c r="J111" i="31" s="1"/>
  <c r="L111" i="31" s="1"/>
  <c r="N111" i="31" s="1"/>
  <c r="Z111" i="31" s="1"/>
  <c r="G27" i="31"/>
  <c r="G27" i="12"/>
  <c r="J27" i="12" s="1"/>
  <c r="L27" i="12" s="1"/>
  <c r="N27" i="12" s="1"/>
  <c r="Z27" i="12" s="1"/>
  <c r="G27" i="30"/>
  <c r="G4" i="31"/>
  <c r="G4" i="30"/>
  <c r="J4" i="30" s="1"/>
  <c r="L4" i="30" s="1"/>
  <c r="N4" i="30" s="1"/>
  <c r="Z4" i="30" s="1"/>
  <c r="G4" i="12"/>
  <c r="J4" i="12" s="1"/>
  <c r="AK28" i="27" a="1"/>
  <c r="AK28" i="27" s="1"/>
  <c r="AR30" i="27" a="1"/>
  <c r="AR30" i="27" s="1"/>
  <c r="AT30" i="27" a="1"/>
  <c r="AT30" i="27" s="1"/>
  <c r="AJ87" i="27" a="1"/>
  <c r="AJ87" i="27" s="1"/>
  <c r="AQ9" i="27" a="1"/>
  <c r="AQ9" i="27" s="1"/>
  <c r="AS28" i="27" a="1"/>
  <c r="AS28" i="27" s="1"/>
  <c r="AU47" i="27" a="1"/>
  <c r="AU47" i="27" s="1"/>
  <c r="AO28" i="27" a="1"/>
  <c r="AO28" i="27" s="1"/>
  <c r="AK30" i="27" a="1"/>
  <c r="AK30" i="27" s="1"/>
  <c r="AM9" i="27" a="1"/>
  <c r="AM9" i="27" s="1"/>
  <c r="AN135" i="27" a="1"/>
  <c r="AN135" i="27" s="1"/>
  <c r="AQ87" i="27" a="1"/>
  <c r="AQ87" i="27" s="1"/>
  <c r="AP30" i="27" a="1"/>
  <c r="AP30" i="27" s="1"/>
  <c r="AL30" i="27" a="1"/>
  <c r="AL30" i="27" s="1"/>
  <c r="AQ47" i="27" a="1"/>
  <c r="AQ47" i="27" s="1"/>
  <c r="AK87" i="27" a="1"/>
  <c r="AK87" i="27" s="1"/>
  <c r="AM47" i="27" a="1"/>
  <c r="AM47" i="27" s="1"/>
  <c r="AU28" i="27" a="1"/>
  <c r="AU28" i="27" s="1"/>
  <c r="AR135" i="27" a="1"/>
  <c r="AR135" i="27" s="1"/>
  <c r="AN30" i="27" a="1"/>
  <c r="AN30" i="27" s="1"/>
  <c r="AR28" i="27" a="1"/>
  <c r="AR28" i="27" s="1"/>
  <c r="AQ135" i="27" a="1"/>
  <c r="AQ135" i="27" s="1"/>
  <c r="AL9" i="27" a="1"/>
  <c r="AL9" i="27" s="1"/>
  <c r="AU30" i="27" a="1"/>
  <c r="AU30" i="27" s="1"/>
  <c r="AP9" i="27" a="1"/>
  <c r="AP9" i="27" s="1"/>
  <c r="AN28" i="27" a="1"/>
  <c r="AN28" i="27" s="1"/>
  <c r="AM30" i="27" a="1"/>
  <c r="AM30" i="27" s="1"/>
  <c r="AS9" i="27" a="1"/>
  <c r="AS9" i="27" s="1"/>
  <c r="AQ30" i="27" a="1"/>
  <c r="AQ30" i="27" s="1"/>
  <c r="AR47" i="27" a="1"/>
  <c r="AR47" i="27" s="1"/>
  <c r="G86" i="12" l="1"/>
  <c r="J86" i="12" s="1"/>
  <c r="L86" i="12" s="1"/>
  <c r="N86" i="12" s="1"/>
  <c r="Z86" i="12" s="1"/>
  <c r="J92" i="30"/>
  <c r="L92" i="30" s="1"/>
  <c r="N92" i="30" s="1"/>
  <c r="Z92" i="30" s="1"/>
  <c r="J16" i="30"/>
  <c r="L16" i="30" s="1"/>
  <c r="N16" i="30" s="1"/>
  <c r="Z16" i="30" s="1"/>
  <c r="J138" i="30"/>
  <c r="L138" i="30" s="1"/>
  <c r="N138" i="30" s="1"/>
  <c r="Z138" i="30" s="1"/>
  <c r="J108" i="30"/>
  <c r="L108" i="30" s="1"/>
  <c r="N108" i="30" s="1"/>
  <c r="Z108" i="30" s="1"/>
  <c r="J10" i="30"/>
  <c r="L10" i="30" s="1"/>
  <c r="N10" i="30" s="1"/>
  <c r="Z10" i="30" s="1"/>
  <c r="J33" i="30"/>
  <c r="L33" i="30" s="1"/>
  <c r="N33" i="30" s="1"/>
  <c r="Z33" i="30" s="1"/>
  <c r="J39" i="30"/>
  <c r="L39" i="30" s="1"/>
  <c r="N39" i="30" s="1"/>
  <c r="Z39" i="30" s="1"/>
  <c r="J110" i="30"/>
  <c r="L110" i="30" s="1"/>
  <c r="N110" i="30" s="1"/>
  <c r="Z110" i="30" s="1"/>
  <c r="J70" i="30"/>
  <c r="L70" i="30" s="1"/>
  <c r="N70" i="30" s="1"/>
  <c r="Z70" i="30" s="1"/>
  <c r="J98" i="30"/>
  <c r="L98" i="30" s="1"/>
  <c r="N98" i="30" s="1"/>
  <c r="Z98" i="30" s="1"/>
  <c r="J66" i="30"/>
  <c r="L66" i="30" s="1"/>
  <c r="N66" i="30" s="1"/>
  <c r="Z66" i="30" s="1"/>
  <c r="J101" i="30"/>
  <c r="L101" i="30" s="1"/>
  <c r="N101" i="30" s="1"/>
  <c r="Z101" i="30" s="1"/>
  <c r="J30" i="30"/>
  <c r="L30" i="30" s="1"/>
  <c r="N30" i="30" s="1"/>
  <c r="Z30" i="30" s="1"/>
  <c r="J117" i="30"/>
  <c r="L117" i="30" s="1"/>
  <c r="N117" i="30" s="1"/>
  <c r="Z117" i="30" s="1"/>
  <c r="J27" i="30"/>
  <c r="L27" i="30" s="1"/>
  <c r="N27" i="30" s="1"/>
  <c r="Z27" i="30" s="1"/>
  <c r="J77" i="30"/>
  <c r="L77" i="30" s="1"/>
  <c r="N77" i="30" s="1"/>
  <c r="Z77" i="30" s="1"/>
  <c r="J130" i="30"/>
  <c r="L130" i="30" s="1"/>
  <c r="N130" i="30" s="1"/>
  <c r="Z130" i="30" s="1"/>
  <c r="J106" i="30"/>
  <c r="L106" i="30" s="1"/>
  <c r="N106" i="30" s="1"/>
  <c r="Z106" i="30" s="1"/>
  <c r="J82" i="30"/>
  <c r="L82" i="30" s="1"/>
  <c r="N82" i="30" s="1"/>
  <c r="Z82" i="30" s="1"/>
  <c r="J32" i="30"/>
  <c r="L32" i="30" s="1"/>
  <c r="N32" i="30" s="1"/>
  <c r="Z32" i="30" s="1"/>
  <c r="J60" i="30"/>
  <c r="L60" i="30" s="1"/>
  <c r="N60" i="30" s="1"/>
  <c r="Z60" i="30" s="1"/>
  <c r="J47" i="30"/>
  <c r="L47" i="30" s="1"/>
  <c r="N47" i="30" s="1"/>
  <c r="Z47" i="30" s="1"/>
  <c r="J58" i="30"/>
  <c r="L58" i="30" s="1"/>
  <c r="N58" i="30" s="1"/>
  <c r="Z58" i="30" s="1"/>
  <c r="J8" i="30"/>
  <c r="L8" i="30" s="1"/>
  <c r="N8" i="30" s="1"/>
  <c r="Z8" i="30" s="1"/>
  <c r="J14" i="30"/>
  <c r="L14" i="30" s="1"/>
  <c r="N14" i="30" s="1"/>
  <c r="Z14" i="30" s="1"/>
  <c r="J112" i="30"/>
  <c r="L112" i="30" s="1"/>
  <c r="N112" i="30" s="1"/>
  <c r="Z112" i="30" s="1"/>
  <c r="J38" i="30"/>
  <c r="L38" i="30" s="1"/>
  <c r="N38" i="30" s="1"/>
  <c r="Z38" i="30" s="1"/>
  <c r="J20" i="30"/>
  <c r="L20" i="30" s="1"/>
  <c r="N20" i="30" s="1"/>
  <c r="Z20" i="30" s="1"/>
  <c r="J132" i="30"/>
  <c r="L132" i="30" s="1"/>
  <c r="N132" i="30" s="1"/>
  <c r="Z132" i="30" s="1"/>
  <c r="J40" i="30"/>
  <c r="L40" i="30" s="1"/>
  <c r="N40" i="30" s="1"/>
  <c r="Z40" i="30" s="1"/>
  <c r="J36" i="30"/>
  <c r="L36" i="30" s="1"/>
  <c r="N36" i="30" s="1"/>
  <c r="Z36" i="30" s="1"/>
  <c r="J31" i="30"/>
  <c r="L31" i="30" s="1"/>
  <c r="N31" i="30" s="1"/>
  <c r="Z31" i="30" s="1"/>
  <c r="J87" i="30"/>
  <c r="L87" i="30" s="1"/>
  <c r="N87" i="30" s="1"/>
  <c r="Z87" i="30" s="1"/>
  <c r="J96" i="30"/>
  <c r="L96" i="30" s="1"/>
  <c r="N96" i="30" s="1"/>
  <c r="Z96" i="30" s="1"/>
  <c r="J88" i="30"/>
  <c r="L88" i="30" s="1"/>
  <c r="N88" i="30" s="1"/>
  <c r="Z88" i="30" s="1"/>
  <c r="J121" i="30"/>
  <c r="L121" i="30" s="1"/>
  <c r="N121" i="30" s="1"/>
  <c r="Z121" i="30" s="1"/>
  <c r="J86" i="30"/>
  <c r="L86" i="30" s="1"/>
  <c r="N86" i="30" s="1"/>
  <c r="Z86" i="30" s="1"/>
  <c r="G86" i="31"/>
  <c r="J86" i="31" s="1"/>
  <c r="L86" i="31" s="1"/>
  <c r="N86" i="31" s="1"/>
  <c r="Z86" i="31" s="1"/>
  <c r="J118" i="31"/>
  <c r="L118" i="31" s="1"/>
  <c r="N118" i="31" s="1"/>
  <c r="Z118" i="31" s="1"/>
  <c r="J18" i="31"/>
  <c r="L18" i="31" s="1"/>
  <c r="N18" i="31" s="1"/>
  <c r="Z18" i="31" s="1"/>
  <c r="J32" i="31"/>
  <c r="L32" i="31" s="1"/>
  <c r="N32" i="31" s="1"/>
  <c r="Z32" i="31" s="1"/>
  <c r="J33" i="31"/>
  <c r="L33" i="31" s="1"/>
  <c r="N33" i="31" s="1"/>
  <c r="Z33" i="31" s="1"/>
  <c r="J46" i="31"/>
  <c r="L46" i="31" s="1"/>
  <c r="N46" i="31" s="1"/>
  <c r="Z46" i="31" s="1"/>
  <c r="J30" i="31"/>
  <c r="L30" i="31" s="1"/>
  <c r="N30" i="31" s="1"/>
  <c r="Z30" i="31" s="1"/>
  <c r="J110" i="31"/>
  <c r="L110" i="31" s="1"/>
  <c r="N110" i="31" s="1"/>
  <c r="Z110" i="31" s="1"/>
  <c r="J104" i="31"/>
  <c r="L104" i="31" s="1"/>
  <c r="N104" i="31" s="1"/>
  <c r="Z104" i="31" s="1"/>
  <c r="J132" i="31"/>
  <c r="L132" i="31" s="1"/>
  <c r="N132" i="31" s="1"/>
  <c r="Z132" i="31" s="1"/>
  <c r="J27" i="31"/>
  <c r="L27" i="31" s="1"/>
  <c r="N27" i="31" s="1"/>
  <c r="Z27" i="31" s="1"/>
  <c r="J17" i="31"/>
  <c r="L17" i="31" s="1"/>
  <c r="N17" i="31" s="1"/>
  <c r="Z17" i="31" s="1"/>
  <c r="J16" i="31"/>
  <c r="L16" i="31" s="1"/>
  <c r="N16" i="31" s="1"/>
  <c r="Z16" i="31" s="1"/>
  <c r="J23" i="31"/>
  <c r="L23" i="31" s="1"/>
  <c r="N23" i="31" s="1"/>
  <c r="Z23" i="31" s="1"/>
  <c r="J77" i="31"/>
  <c r="L77" i="31" s="1"/>
  <c r="N77" i="31" s="1"/>
  <c r="Z77" i="31" s="1"/>
  <c r="J126" i="31"/>
  <c r="L126" i="31" s="1"/>
  <c r="N126" i="31" s="1"/>
  <c r="Z126" i="31" s="1"/>
  <c r="J112" i="31"/>
  <c r="L112" i="31" s="1"/>
  <c r="N112" i="31" s="1"/>
  <c r="Z112" i="31" s="1"/>
  <c r="J71" i="31"/>
  <c r="L71" i="31" s="1"/>
  <c r="N71" i="31" s="1"/>
  <c r="Z71" i="31" s="1"/>
  <c r="J38" i="31"/>
  <c r="L38" i="31" s="1"/>
  <c r="N38" i="31" s="1"/>
  <c r="Z38" i="31" s="1"/>
  <c r="J21" i="31"/>
  <c r="L21" i="31" s="1"/>
  <c r="N21" i="31" s="1"/>
  <c r="Z21" i="31" s="1"/>
  <c r="J20" i="31"/>
  <c r="L20" i="31" s="1"/>
  <c r="N20" i="31" s="1"/>
  <c r="Z20" i="31" s="1"/>
  <c r="J125" i="31"/>
  <c r="L125" i="31" s="1"/>
  <c r="N125" i="31" s="1"/>
  <c r="Z125" i="31" s="1"/>
  <c r="J29" i="31"/>
  <c r="L29" i="31" s="1"/>
  <c r="N29" i="31" s="1"/>
  <c r="Z29" i="31" s="1"/>
  <c r="J82" i="31"/>
  <c r="L82" i="31" s="1"/>
  <c r="N82" i="31" s="1"/>
  <c r="Z82" i="31" s="1"/>
  <c r="J122" i="31"/>
  <c r="L122" i="31" s="1"/>
  <c r="N122" i="31" s="1"/>
  <c r="Z122" i="31" s="1"/>
  <c r="J96" i="31"/>
  <c r="L96" i="31" s="1"/>
  <c r="N96" i="31" s="1"/>
  <c r="Z96" i="31" s="1"/>
  <c r="J34" i="31"/>
  <c r="L34" i="31" s="1"/>
  <c r="N34" i="31" s="1"/>
  <c r="Z34" i="31" s="1"/>
  <c r="J47" i="31"/>
  <c r="L47" i="31" s="1"/>
  <c r="N47" i="31" s="1"/>
  <c r="Z47" i="31" s="1"/>
  <c r="J39" i="31"/>
  <c r="L39" i="31" s="1"/>
  <c r="N39" i="31" s="1"/>
  <c r="Z39" i="31" s="1"/>
  <c r="J5" i="31"/>
  <c r="L5" i="31" s="1"/>
  <c r="N5" i="31" s="1"/>
  <c r="Z5" i="31" s="1"/>
  <c r="J36" i="31"/>
  <c r="L36" i="31" s="1"/>
  <c r="N36" i="31" s="1"/>
  <c r="Z36" i="31" s="1"/>
  <c r="J31" i="31"/>
  <c r="L31" i="31" s="1"/>
  <c r="N31" i="31" s="1"/>
  <c r="Z31" i="31" s="1"/>
  <c r="J37" i="31"/>
  <c r="L37" i="31" s="1"/>
  <c r="N37" i="31" s="1"/>
  <c r="Z37" i="31" s="1"/>
  <c r="J137" i="31"/>
  <c r="L137" i="31" s="1"/>
  <c r="N137" i="31" s="1"/>
  <c r="Z137" i="31" s="1"/>
  <c r="J88" i="31"/>
  <c r="L88" i="31" s="1"/>
  <c r="N88" i="31" s="1"/>
  <c r="Z88" i="31" s="1"/>
  <c r="J64" i="31"/>
  <c r="L64" i="31" s="1"/>
  <c r="N64" i="31" s="1"/>
  <c r="Z64" i="31" s="1"/>
  <c r="J35" i="31"/>
  <c r="L35" i="31" s="1"/>
  <c r="N35" i="31" s="1"/>
  <c r="Z35" i="31" s="1"/>
  <c r="J101" i="31"/>
  <c r="L101" i="31" s="1"/>
  <c r="N101" i="31" s="1"/>
  <c r="Z101" i="31" s="1"/>
  <c r="J108" i="31"/>
  <c r="L108" i="31" s="1"/>
  <c r="N108" i="31" s="1"/>
  <c r="Z108" i="31" s="1"/>
  <c r="J105" i="31"/>
  <c r="L105" i="31" s="1"/>
  <c r="N105" i="31" s="1"/>
  <c r="Z105" i="31" s="1"/>
  <c r="J10" i="31"/>
  <c r="L10" i="31" s="1"/>
  <c r="N10" i="31" s="1"/>
  <c r="Z10" i="31" s="1"/>
  <c r="J22" i="31"/>
  <c r="L22" i="31" s="1"/>
  <c r="N22" i="31" s="1"/>
  <c r="Z22" i="31" s="1"/>
  <c r="J67" i="31"/>
  <c r="L67" i="31" s="1"/>
  <c r="N67" i="31" s="1"/>
  <c r="J19" i="31"/>
  <c r="L19" i="31" s="1"/>
  <c r="N19" i="31" s="1"/>
  <c r="Z19" i="31" s="1"/>
  <c r="J92" i="31"/>
  <c r="L92" i="31" s="1"/>
  <c r="N92" i="31" s="1"/>
  <c r="Z92" i="31" s="1"/>
  <c r="J63" i="31"/>
  <c r="L63" i="31" s="1"/>
  <c r="N63" i="31" s="1"/>
  <c r="Z63" i="31" s="1"/>
  <c r="J128" i="31"/>
  <c r="L128" i="31" s="1"/>
  <c r="N128" i="31" s="1"/>
  <c r="Z128" i="31" s="1"/>
  <c r="J130" i="31"/>
  <c r="L130" i="31" s="1"/>
  <c r="N130" i="31" s="1"/>
  <c r="Z130" i="31" s="1"/>
  <c r="J70" i="31"/>
  <c r="L70" i="31" s="1"/>
  <c r="N70" i="31" s="1"/>
  <c r="Z70" i="31" s="1"/>
  <c r="J91" i="31"/>
  <c r="L91" i="31" s="1"/>
  <c r="N91" i="31" s="1"/>
  <c r="Z91" i="31" s="1"/>
  <c r="J25" i="31"/>
  <c r="L25" i="31" s="1"/>
  <c r="N25" i="31" s="1"/>
  <c r="Z25" i="31" s="1"/>
  <c r="J87" i="31"/>
  <c r="L87" i="31" s="1"/>
  <c r="N87" i="31" s="1"/>
  <c r="Z87" i="31" s="1"/>
  <c r="J98" i="31"/>
  <c r="L98" i="31" s="1"/>
  <c r="N98" i="31" s="1"/>
  <c r="Z98" i="31" s="1"/>
  <c r="J66" i="31"/>
  <c r="L66" i="31" s="1"/>
  <c r="N66" i="31" s="1"/>
  <c r="Z66" i="31" s="1"/>
  <c r="J4" i="31"/>
  <c r="L4" i="31" s="1"/>
  <c r="N4" i="31" s="1"/>
  <c r="Z4" i="31" s="1"/>
  <c r="J69" i="31"/>
  <c r="L69" i="31" s="1"/>
  <c r="N69" i="31" s="1"/>
  <c r="Z69" i="31" s="1"/>
  <c r="J135" i="31"/>
  <c r="L135" i="31" s="1"/>
  <c r="N135" i="31" s="1"/>
  <c r="Z135" i="31" s="1"/>
  <c r="J15" i="31"/>
  <c r="L15" i="31" s="1"/>
  <c r="N15" i="31" s="1"/>
  <c r="Z15" i="31" s="1"/>
  <c r="J14" i="31"/>
  <c r="L14" i="31" s="1"/>
  <c r="N14" i="31" s="1"/>
  <c r="Z14" i="31" s="1"/>
  <c r="J8" i="31"/>
  <c r="L8" i="31" s="1"/>
  <c r="N8" i="31" s="1"/>
  <c r="Z8" i="31" s="1"/>
  <c r="J75" i="31"/>
  <c r="L75" i="31" s="1"/>
  <c r="N75" i="31" s="1"/>
  <c r="Z75" i="31" s="1"/>
  <c r="J81" i="31"/>
  <c r="L81" i="31" s="1"/>
  <c r="N81" i="31" s="1"/>
  <c r="Z81" i="31" s="1"/>
  <c r="J120" i="31"/>
  <c r="L120" i="31" s="1"/>
  <c r="N120" i="31" s="1"/>
  <c r="Z120" i="31" s="1"/>
  <c r="G133" i="31"/>
  <c r="J133" i="31" s="1"/>
  <c r="L133" i="31" s="1"/>
  <c r="N133" i="31" s="1"/>
  <c r="Z133" i="31" s="1"/>
  <c r="AJ30" i="27" a="1"/>
  <c r="AJ30" i="27" s="1"/>
  <c r="G133" i="12"/>
  <c r="J133" i="12" s="1"/>
  <c r="L133" i="12" s="1"/>
  <c r="N133" i="12" s="1"/>
  <c r="Z133" i="12" s="1"/>
  <c r="G7" i="12"/>
  <c r="J7" i="12" s="1"/>
  <c r="L7" i="12" s="1"/>
  <c r="N7" i="12" s="1"/>
  <c r="Z7" i="12" s="1"/>
  <c r="G7" i="30"/>
  <c r="J7" i="30" s="1"/>
  <c r="L7" i="30" s="1"/>
  <c r="N7" i="30" s="1"/>
  <c r="Z7" i="30" s="1"/>
  <c r="G7" i="31"/>
  <c r="G133" i="30"/>
  <c r="J133" i="30" s="1"/>
  <c r="L133" i="30" s="1"/>
  <c r="N133" i="30" s="1"/>
  <c r="Z133" i="30" s="1"/>
  <c r="AJ28" i="27" a="1"/>
  <c r="AJ28" i="27" s="1"/>
  <c r="G85" i="31"/>
  <c r="G85" i="30"/>
  <c r="J85" i="30" s="1"/>
  <c r="L85" i="30" s="1"/>
  <c r="N85" i="30" s="1"/>
  <c r="Z85" i="30" s="1"/>
  <c r="G85" i="12"/>
  <c r="J85" i="12" s="1"/>
  <c r="L85" i="12" s="1"/>
  <c r="N85" i="12" s="1"/>
  <c r="Z85" i="12" s="1"/>
  <c r="AJ47" i="27" a="1"/>
  <c r="AJ47" i="27" s="1"/>
  <c r="AL47" i="27" a="1"/>
  <c r="AL47" i="27" s="1"/>
  <c r="AT47" i="27" a="1"/>
  <c r="AT47" i="27" s="1"/>
  <c r="AS47" i="27" a="1"/>
  <c r="AS47" i="27" s="1"/>
  <c r="AP47" i="27" a="1"/>
  <c r="AP47" i="27" s="1"/>
  <c r="L4" i="12" l="1"/>
  <c r="N4" i="12" s="1"/>
  <c r="Z4" i="12" s="1"/>
  <c r="J85" i="31"/>
  <c r="L85" i="31" s="1"/>
  <c r="N85" i="31" s="1"/>
  <c r="Z85" i="31" s="1"/>
  <c r="J7" i="31"/>
  <c r="L7" i="31" s="1"/>
  <c r="N7" i="31" s="1"/>
  <c r="Z7" i="31" s="1"/>
  <c r="G45" i="30"/>
  <c r="J45" i="30" s="1"/>
  <c r="L45" i="30" s="1"/>
  <c r="N45" i="30" s="1"/>
  <c r="Z45" i="30" s="1"/>
  <c r="G45" i="12"/>
  <c r="J45" i="12" s="1"/>
  <c r="L45" i="12" s="1"/>
  <c r="N45" i="12" s="1"/>
  <c r="Z45" i="12" s="1"/>
  <c r="G45" i="31"/>
  <c r="G28" i="31"/>
  <c r="G28" i="12"/>
  <c r="J28" i="12" s="1"/>
  <c r="L28" i="12" s="1"/>
  <c r="N28" i="12" s="1"/>
  <c r="Z28" i="12" s="1"/>
  <c r="G28" i="30"/>
  <c r="J28" i="30" s="1"/>
  <c r="L28" i="30" s="1"/>
  <c r="N28" i="30" s="1"/>
  <c r="Z28" i="30" s="1"/>
  <c r="G26" i="30"/>
  <c r="G26" i="12"/>
  <c r="J26" i="12" s="1"/>
  <c r="L26" i="12" s="1"/>
  <c r="N26" i="12" s="1"/>
  <c r="Z26" i="12" s="1"/>
  <c r="G26" i="31"/>
  <c r="AU117" i="27" a="1"/>
  <c r="AU117" i="27" s="1"/>
  <c r="AN117" i="27" a="1"/>
  <c r="AN117" i="27" s="1"/>
  <c r="AL117" i="27" a="1"/>
  <c r="AL117" i="27" s="1"/>
  <c r="AQ117" i="27" a="1"/>
  <c r="AQ117" i="27" s="1"/>
  <c r="AP117" i="27" a="1"/>
  <c r="AP117" i="27" s="1"/>
  <c r="AM117" i="27" a="1"/>
  <c r="AM117" i="27" s="1"/>
  <c r="AT117" i="27" a="1"/>
  <c r="AT117" i="27" s="1"/>
  <c r="AS117" i="27" a="1"/>
  <c r="AS117" i="27" s="1"/>
  <c r="AJ117" i="27" a="1"/>
  <c r="AJ117" i="27" s="1"/>
  <c r="AO117" i="27" a="1"/>
  <c r="AO117" i="27" s="1"/>
  <c r="AK117" i="27" a="1"/>
  <c r="AK117" i="27" s="1"/>
  <c r="AR117" i="27" a="1"/>
  <c r="AR117" i="27" s="1"/>
  <c r="J26" i="30" l="1"/>
  <c r="L26" i="30" s="1"/>
  <c r="N26" i="30" s="1"/>
  <c r="Z26" i="30" s="1"/>
  <c r="J28" i="31"/>
  <c r="L28" i="31" s="1"/>
  <c r="N28" i="31" s="1"/>
  <c r="Z28" i="31" s="1"/>
  <c r="J45" i="31"/>
  <c r="L45" i="31" s="1"/>
  <c r="N45" i="31" s="1"/>
  <c r="Z45" i="31" s="1"/>
  <c r="J26" i="31"/>
  <c r="L26" i="31" s="1"/>
  <c r="N26" i="31" s="1"/>
  <c r="Z26" i="31" s="1"/>
  <c r="G115" i="30"/>
  <c r="J115" i="30" s="1"/>
  <c r="L115" i="30" s="1"/>
  <c r="N115" i="30" s="1"/>
  <c r="Z115" i="30" s="1"/>
  <c r="G115" i="31"/>
  <c r="J115" i="31" s="1"/>
  <c r="L115" i="31" s="1"/>
  <c r="N115" i="31" s="1"/>
  <c r="Z115" i="31" s="1"/>
  <c r="G115" i="12"/>
  <c r="J115" i="12" s="1"/>
  <c r="L115" i="12" s="1"/>
  <c r="N115" i="12" s="1"/>
  <c r="Z115" i="12" s="1"/>
  <c r="AA115" i="12" s="1"/>
  <c r="AA115" i="30" l="1"/>
  <c r="AA99" i="30"/>
  <c r="AA7" i="12"/>
  <c r="AA45" i="12"/>
  <c r="AA40" i="12"/>
  <c r="AA8" i="12"/>
  <c r="AA69" i="12"/>
  <c r="AA30" i="12"/>
  <c r="AA66" i="12"/>
  <c r="AA75" i="12"/>
  <c r="AA22" i="12"/>
  <c r="AA104" i="12"/>
  <c r="AA138" i="12"/>
  <c r="AA83" i="12"/>
  <c r="AA62" i="12"/>
  <c r="AA48" i="12"/>
  <c r="AA107" i="12"/>
  <c r="AA42" i="12"/>
  <c r="AA28" i="12"/>
  <c r="AA81" i="12"/>
  <c r="AA82" i="12"/>
  <c r="AA126" i="12"/>
  <c r="AA101" i="12"/>
  <c r="AA34" i="12"/>
  <c r="AA137" i="12"/>
  <c r="AA20" i="12"/>
  <c r="AA96" i="12"/>
  <c r="AA16" i="12"/>
  <c r="AA74" i="12"/>
  <c r="AA76" i="12"/>
  <c r="AA13" i="12"/>
  <c r="AA68" i="12"/>
  <c r="AA79" i="12"/>
  <c r="AA26" i="12"/>
  <c r="AA46" i="12"/>
  <c r="AA23" i="12"/>
  <c r="AA135" i="12"/>
  <c r="AA121" i="12"/>
  <c r="AA130" i="12"/>
  <c r="AA49" i="12"/>
  <c r="AA60" i="12"/>
  <c r="AA15" i="12"/>
  <c r="AA71" i="12"/>
  <c r="AA117" i="12"/>
  <c r="AA73" i="12"/>
  <c r="AA116" i="12"/>
  <c r="AA72" i="12"/>
  <c r="AA6" i="12"/>
  <c r="AA133" i="12"/>
  <c r="AA91" i="12"/>
  <c r="AA108" i="12"/>
  <c r="AA5" i="12"/>
  <c r="AA118" i="12"/>
  <c r="AA33" i="12"/>
  <c r="AA98" i="12"/>
  <c r="AA119" i="12"/>
  <c r="AA106" i="12"/>
  <c r="AA134" i="12"/>
  <c r="AA127" i="12"/>
  <c r="AA35" i="12"/>
  <c r="AA124" i="12"/>
  <c r="AA59" i="12"/>
  <c r="AA94" i="12"/>
  <c r="AA88" i="12"/>
  <c r="AA58" i="12"/>
  <c r="AA17" i="12"/>
  <c r="AA31" i="12"/>
  <c r="AA21" i="12"/>
  <c r="AA10" i="12"/>
  <c r="AA131" i="12"/>
  <c r="AA32" i="12"/>
  <c r="AA125" i="12"/>
  <c r="AA24" i="12"/>
  <c r="AA103" i="12"/>
  <c r="AA110" i="12"/>
  <c r="AA52" i="12"/>
  <c r="AA57" i="12"/>
  <c r="AA85" i="12"/>
  <c r="AA41" i="12"/>
  <c r="AA29" i="12"/>
  <c r="AA25" i="12"/>
  <c r="AA18" i="12"/>
  <c r="AA70" i="12"/>
  <c r="AA128" i="12"/>
  <c r="AA89" i="12"/>
  <c r="AA120" i="12"/>
  <c r="AA39" i="12"/>
  <c r="AA100" i="12"/>
  <c r="AA114" i="12"/>
  <c r="AA14" i="12"/>
  <c r="AA113" i="12"/>
  <c r="AA4" i="12"/>
  <c r="AA122" i="12"/>
  <c r="AA105" i="12"/>
  <c r="AA36" i="12"/>
  <c r="AA123" i="12"/>
  <c r="AA47" i="12"/>
  <c r="AA86" i="12"/>
  <c r="AA38" i="12"/>
  <c r="AA92" i="12"/>
  <c r="AA87" i="12"/>
  <c r="AA136" i="12"/>
  <c r="AA54" i="12"/>
  <c r="AA55" i="12"/>
  <c r="AA97" i="12"/>
  <c r="AA65" i="12"/>
  <c r="AA77" i="12"/>
  <c r="AA112" i="12"/>
  <c r="AA27" i="12"/>
  <c r="AA64" i="12"/>
  <c r="AA63" i="12"/>
  <c r="AA19" i="12"/>
  <c r="AA132" i="12"/>
  <c r="AA12" i="12"/>
  <c r="AA111" i="12"/>
  <c r="AA37" i="12"/>
  <c r="AA84" i="12"/>
  <c r="AA56" i="12"/>
  <c r="AA43" i="12"/>
  <c r="AA109" i="12"/>
  <c r="AA99" i="12"/>
  <c r="AA115" i="31"/>
  <c r="AA26" i="31"/>
  <c r="AA109" i="31"/>
  <c r="AA48" i="31"/>
  <c r="AA114" i="31"/>
  <c r="AA13" i="31"/>
  <c r="AA125" i="31"/>
  <c r="AA85" i="31"/>
  <c r="AA35" i="31"/>
  <c r="AA4" i="31"/>
  <c r="AA117" i="31"/>
  <c r="AA134" i="31"/>
  <c r="AA96" i="31"/>
  <c r="AA66" i="31"/>
  <c r="AA111" i="31"/>
  <c r="AA30" i="31"/>
  <c r="AA106" i="31"/>
  <c r="AA32" i="31"/>
  <c r="AA86" i="31"/>
  <c r="AA37" i="31"/>
  <c r="AA92" i="31"/>
  <c r="AA105" i="31"/>
  <c r="AA8" i="31"/>
  <c r="AA42" i="31"/>
  <c r="AA33" i="31"/>
  <c r="AA36" i="31"/>
  <c r="AA133" i="31"/>
  <c r="AA100" i="31"/>
  <c r="AA132" i="31"/>
  <c r="AA47" i="31"/>
  <c r="AA104" i="31"/>
  <c r="AA10" i="31"/>
  <c r="AA5" i="31"/>
  <c r="AA130" i="31"/>
  <c r="AA73" i="31"/>
  <c r="AA120" i="31"/>
  <c r="AA41" i="31"/>
  <c r="AA136" i="31"/>
  <c r="AA137" i="31"/>
  <c r="AA81" i="31"/>
  <c r="AA119" i="31"/>
  <c r="AA23" i="31"/>
  <c r="AA113" i="31"/>
  <c r="AA25" i="31"/>
  <c r="AA101" i="31"/>
  <c r="AA131" i="31"/>
  <c r="AA98" i="31"/>
  <c r="AA54" i="31"/>
  <c r="AA46" i="31"/>
  <c r="AA6" i="31"/>
  <c r="AA17" i="31"/>
  <c r="AA108" i="31"/>
  <c r="AA12" i="31"/>
  <c r="AA83" i="31"/>
  <c r="AA112" i="31"/>
  <c r="AA64" i="31"/>
  <c r="AA94" i="31"/>
  <c r="AA40" i="31"/>
  <c r="AA45" i="31"/>
  <c r="AA75" i="31"/>
  <c r="AA69" i="31"/>
  <c r="AA49" i="31"/>
  <c r="AA52" i="31"/>
  <c r="AA38" i="31"/>
  <c r="AA79" i="31"/>
  <c r="AA22" i="31"/>
  <c r="AA84" i="31"/>
  <c r="AA18" i="31"/>
  <c r="AA20" i="31"/>
  <c r="AA57" i="31"/>
  <c r="AA14" i="31"/>
  <c r="AA127" i="31"/>
  <c r="AA27" i="31"/>
  <c r="AA28" i="31"/>
  <c r="AA123" i="31"/>
  <c r="AA121" i="31"/>
  <c r="AA116" i="31"/>
  <c r="AA16" i="31"/>
  <c r="AA68" i="31"/>
  <c r="AA91" i="31"/>
  <c r="AA128" i="31"/>
  <c r="AA60" i="31"/>
  <c r="AA110" i="31"/>
  <c r="AA82" i="31"/>
  <c r="AA19" i="31"/>
  <c r="AA97" i="31"/>
  <c r="AA56" i="31"/>
  <c r="AA126" i="31"/>
  <c r="AA70" i="31"/>
  <c r="AA118" i="31"/>
  <c r="AA21" i="31"/>
  <c r="AA72" i="31"/>
  <c r="AA34" i="31"/>
  <c r="AA76" i="31"/>
  <c r="AA24" i="31"/>
  <c r="AA58" i="31"/>
  <c r="AA138" i="31"/>
  <c r="AA39" i="31"/>
  <c r="AA107" i="31"/>
  <c r="AA55" i="31"/>
  <c r="AA74" i="31"/>
  <c r="AA71" i="31"/>
  <c r="AA63" i="31"/>
  <c r="AA124" i="31"/>
  <c r="AA65" i="31"/>
  <c r="AA88" i="31"/>
  <c r="AA59" i="31"/>
  <c r="AA15" i="31"/>
  <c r="AA62" i="31"/>
  <c r="AA122" i="31"/>
  <c r="AA77" i="31"/>
  <c r="AA7" i="31"/>
  <c r="AA87" i="31"/>
  <c r="AA43" i="31"/>
  <c r="AA103" i="31"/>
  <c r="AA29" i="31"/>
  <c r="AA135" i="31"/>
  <c r="AA89" i="31"/>
  <c r="AA31" i="31"/>
  <c r="AA26" i="30"/>
  <c r="AA38" i="30"/>
  <c r="AA132" i="30"/>
  <c r="AA52" i="30"/>
  <c r="AA121" i="30"/>
  <c r="AA103" i="30"/>
  <c r="AA16" i="30"/>
  <c r="AA13" i="30"/>
  <c r="AA118" i="30"/>
  <c r="AA101" i="30"/>
  <c r="AA83" i="30"/>
  <c r="AA94" i="30"/>
  <c r="AA7" i="30"/>
  <c r="AA137" i="30"/>
  <c r="AA27" i="30"/>
  <c r="AA15" i="30"/>
  <c r="AA117" i="30"/>
  <c r="AA60" i="30"/>
  <c r="AA65" i="30"/>
  <c r="AA82" i="30"/>
  <c r="AA22" i="30"/>
  <c r="AA126" i="30"/>
  <c r="AA128" i="30"/>
  <c r="AA25" i="30"/>
  <c r="AA33" i="30"/>
  <c r="AA24" i="30"/>
  <c r="AA109" i="30"/>
  <c r="AA112" i="30"/>
  <c r="AA119" i="30"/>
  <c r="AA41" i="30"/>
  <c r="AA89" i="30"/>
  <c r="AA39" i="30"/>
  <c r="AA70" i="30"/>
  <c r="AA71" i="30"/>
  <c r="AA110" i="30"/>
  <c r="AA34" i="30"/>
  <c r="AA6" i="30"/>
  <c r="AA96" i="30"/>
  <c r="AA75" i="30"/>
  <c r="AA107" i="30"/>
  <c r="AA100" i="30"/>
  <c r="AA46" i="30"/>
  <c r="AA98" i="30"/>
  <c r="AA84" i="30"/>
  <c r="AA113" i="30"/>
  <c r="AA29" i="30"/>
  <c r="AA62" i="30"/>
  <c r="AA92" i="30"/>
  <c r="AA21" i="30"/>
  <c r="AA91" i="30"/>
  <c r="AA35" i="30"/>
  <c r="AA4" i="30"/>
  <c r="AA20" i="30"/>
  <c r="AA18" i="30"/>
  <c r="AA72" i="30"/>
  <c r="AA31" i="30"/>
  <c r="AA136" i="30"/>
  <c r="AA69" i="30"/>
  <c r="AA123" i="30"/>
  <c r="AA68" i="30"/>
  <c r="AA8" i="30"/>
  <c r="AA85" i="30"/>
  <c r="AA12" i="30"/>
  <c r="AA43" i="30"/>
  <c r="AA88" i="30"/>
  <c r="AA131" i="30"/>
  <c r="AA42" i="30"/>
  <c r="AA116" i="30"/>
  <c r="AA114" i="30"/>
  <c r="AA77" i="30"/>
  <c r="AA56" i="30"/>
  <c r="AA97" i="30"/>
  <c r="AA48" i="30"/>
  <c r="AA73" i="30"/>
  <c r="AA108" i="30"/>
  <c r="AA86" i="30"/>
  <c r="AA19" i="30"/>
  <c r="AA57" i="30"/>
  <c r="AA58" i="30"/>
  <c r="AA17" i="30"/>
  <c r="AA79" i="30"/>
  <c r="AA133" i="30"/>
  <c r="AA76" i="30"/>
  <c r="AA66" i="30"/>
  <c r="AA63" i="30"/>
  <c r="AA59" i="30"/>
  <c r="AA36" i="30"/>
  <c r="AA120" i="30"/>
  <c r="AA138" i="30"/>
  <c r="AA40" i="30"/>
  <c r="AA135" i="30"/>
  <c r="AA125" i="30"/>
  <c r="AA106" i="30"/>
  <c r="AA37" i="30"/>
  <c r="AA55" i="30"/>
  <c r="AA87" i="30"/>
  <c r="AA54" i="30"/>
  <c r="AA10" i="30"/>
  <c r="AA122" i="30"/>
  <c r="AA134" i="30"/>
  <c r="AA14" i="30"/>
  <c r="AA124" i="30"/>
  <c r="AA47" i="30"/>
  <c r="AA81" i="30"/>
  <c r="AA49" i="30"/>
  <c r="AA111" i="30"/>
  <c r="AA30" i="30"/>
  <c r="AA105" i="30"/>
  <c r="AA5" i="30"/>
  <c r="AA130" i="30"/>
  <c r="AA104" i="30"/>
  <c r="AA23" i="30"/>
  <c r="AA127" i="30"/>
  <c r="AA74" i="30"/>
  <c r="AA32" i="30"/>
  <c r="AA64" i="30"/>
  <c r="AA28" i="30"/>
  <c r="AA45" i="30"/>
  <c r="E18" i="20" l="1"/>
  <c r="D18" i="20"/>
  <c r="B18" i="20"/>
  <c r="E14" i="20"/>
  <c r="B14" i="20"/>
  <c r="C14" i="20"/>
  <c r="C37" i="20"/>
  <c r="E37" i="20"/>
  <c r="B37" i="20"/>
  <c r="B40" i="20"/>
  <c r="D40" i="20"/>
  <c r="B41" i="20"/>
  <c r="C108" i="20"/>
  <c r="D108" i="20"/>
  <c r="E108" i="20"/>
  <c r="E95" i="20"/>
  <c r="B95" i="20"/>
  <c r="B108" i="20"/>
  <c r="C122" i="20"/>
  <c r="B101" i="20"/>
  <c r="E61" i="20"/>
  <c r="E41" i="20"/>
  <c r="E92" i="20"/>
  <c r="C33" i="20"/>
  <c r="B116" i="20"/>
  <c r="C51" i="20"/>
  <c r="C87" i="20"/>
  <c r="C11" i="20"/>
  <c r="D24" i="20"/>
  <c r="C86" i="20"/>
  <c r="C99" i="20"/>
  <c r="C9" i="20"/>
  <c r="D25" i="20"/>
  <c r="B75" i="20"/>
  <c r="C114" i="20"/>
  <c r="D74" i="20"/>
  <c r="B30" i="20"/>
  <c r="C101" i="20"/>
  <c r="B79" i="20"/>
  <c r="E64" i="20"/>
  <c r="C24" i="20"/>
  <c r="C47" i="20"/>
  <c r="E88" i="20"/>
  <c r="B106" i="20"/>
  <c r="N69" i="20"/>
  <c r="E59" i="20"/>
  <c r="D116" i="20"/>
  <c r="D16" i="20"/>
  <c r="C109" i="20"/>
  <c r="E57" i="20"/>
  <c r="C95" i="20"/>
  <c r="D47" i="20"/>
  <c r="B60" i="20"/>
  <c r="E9" i="20"/>
  <c r="C52" i="20"/>
  <c r="C81" i="20"/>
  <c r="B88" i="20"/>
  <c r="E28" i="20"/>
  <c r="B33" i="20"/>
  <c r="C40" i="20"/>
  <c r="E63" i="20"/>
  <c r="B118" i="20"/>
  <c r="C55" i="20"/>
  <c r="D31" i="20"/>
  <c r="C54" i="20"/>
  <c r="B96" i="20"/>
  <c r="C79" i="20"/>
  <c r="B5" i="20"/>
  <c r="E77" i="20"/>
  <c r="D101" i="20"/>
  <c r="E16" i="20"/>
  <c r="C80" i="20"/>
  <c r="C58" i="20"/>
  <c r="D95" i="20"/>
  <c r="D14" i="20"/>
  <c r="E40" i="20"/>
  <c r="D37" i="20"/>
  <c r="D7" i="20"/>
  <c r="B46" i="20"/>
  <c r="E69" i="20"/>
  <c r="B77" i="20"/>
  <c r="E43" i="20"/>
  <c r="D23" i="20"/>
  <c r="C72" i="20"/>
  <c r="C18" i="20"/>
  <c r="E97" i="20"/>
  <c r="E21" i="20"/>
  <c r="C29" i="20"/>
  <c r="B73" i="20"/>
  <c r="D56" i="20"/>
  <c r="B27" i="20"/>
  <c r="C91" i="20"/>
  <c r="B24" i="20"/>
  <c r="E121" i="20"/>
  <c r="D62" i="20"/>
  <c r="E38" i="20"/>
  <c r="E73" i="20"/>
  <c r="C104" i="20"/>
  <c r="E120" i="20"/>
  <c r="C89" i="20"/>
  <c r="E82" i="20"/>
  <c r="B109" i="20"/>
  <c r="E52" i="20"/>
  <c r="B92" i="20"/>
  <c r="B112" i="20"/>
  <c r="E76" i="20"/>
  <c r="B105" i="20"/>
  <c r="D67" i="20"/>
  <c r="B34" i="20"/>
  <c r="E39" i="20"/>
  <c r="B110" i="20"/>
  <c r="E85" i="20"/>
  <c r="B10" i="20"/>
  <c r="D64" i="20"/>
  <c r="E99" i="20"/>
  <c r="E35" i="20"/>
  <c r="D96" i="20"/>
  <c r="B17" i="20"/>
  <c r="D45" i="20"/>
  <c r="D6" i="20"/>
  <c r="C69" i="20"/>
  <c r="B78" i="20"/>
  <c r="C46" i="20"/>
  <c r="C36" i="20"/>
  <c r="D75" i="20"/>
  <c r="D90" i="20"/>
  <c r="B81" i="20"/>
  <c r="B8" i="20"/>
  <c r="B86" i="20"/>
  <c r="B44" i="20"/>
  <c r="B87" i="20"/>
  <c r="E122" i="20"/>
  <c r="E81" i="20"/>
  <c r="B61" i="20"/>
  <c r="C103" i="20"/>
  <c r="N100" i="20"/>
  <c r="E78" i="20"/>
  <c r="E27" i="20"/>
  <c r="D27" i="20"/>
  <c r="N36" i="20"/>
  <c r="E49" i="20"/>
  <c r="D106" i="20"/>
  <c r="D38" i="20"/>
  <c r="C13" i="20"/>
  <c r="B82" i="20"/>
  <c r="C15" i="20"/>
  <c r="E23" i="20"/>
  <c r="D29" i="20"/>
  <c r="C30" i="20"/>
  <c r="D50" i="20"/>
  <c r="D30" i="20"/>
  <c r="D97" i="20"/>
  <c r="E71" i="20"/>
  <c r="B11" i="20"/>
  <c r="B21" i="20"/>
  <c r="B59" i="20"/>
  <c r="D84" i="20"/>
  <c r="C66" i="20"/>
  <c r="B13" i="20"/>
  <c r="C116" i="20"/>
  <c r="D91" i="20"/>
  <c r="C115" i="20"/>
  <c r="D92" i="20"/>
  <c r="B43" i="20"/>
  <c r="C120" i="20"/>
  <c r="B57" i="20"/>
  <c r="E89" i="20"/>
  <c r="E109" i="20"/>
  <c r="B31" i="20"/>
  <c r="E87" i="20"/>
  <c r="C77" i="20"/>
  <c r="E25" i="20"/>
  <c r="B15" i="20"/>
  <c r="C60" i="20"/>
  <c r="B55" i="20"/>
  <c r="C20" i="20"/>
  <c r="B35" i="20"/>
  <c r="C44" i="20"/>
  <c r="D100" i="20"/>
  <c r="D118" i="20"/>
  <c r="C23" i="20"/>
  <c r="E114" i="20"/>
  <c r="B25" i="20"/>
  <c r="C74" i="20"/>
  <c r="D68" i="20"/>
  <c r="B45" i="20"/>
  <c r="E44" i="20"/>
  <c r="D120" i="20"/>
  <c r="D103" i="20"/>
  <c r="B6" i="20"/>
  <c r="E10" i="20"/>
  <c r="B114" i="20"/>
  <c r="D28" i="20"/>
  <c r="C61" i="20"/>
  <c r="E42" i="20"/>
  <c r="D54" i="20"/>
  <c r="E118" i="20"/>
  <c r="C110" i="20"/>
  <c r="D70" i="20"/>
  <c r="C117" i="20"/>
  <c r="D71" i="20"/>
  <c r="B19" i="20"/>
  <c r="D33" i="20"/>
  <c r="E113" i="20"/>
  <c r="E101" i="20"/>
  <c r="E7" i="20"/>
  <c r="E8" i="20"/>
  <c r="D105" i="20"/>
  <c r="D58" i="20"/>
  <c r="C105" i="20"/>
  <c r="C119" i="20"/>
  <c r="B67" i="20"/>
  <c r="B26" i="20"/>
  <c r="E80" i="20"/>
  <c r="C22" i="20"/>
  <c r="E15" i="20"/>
  <c r="E45" i="20"/>
  <c r="C90" i="20"/>
  <c r="C45" i="20"/>
  <c r="E116" i="20"/>
  <c r="D80" i="20"/>
  <c r="O100" i="20"/>
  <c r="B94" i="20"/>
  <c r="D83" i="20"/>
  <c r="E102" i="20"/>
  <c r="D43" i="20"/>
  <c r="B51" i="20"/>
  <c r="B83" i="20"/>
  <c r="E47" i="20"/>
  <c r="D49" i="20"/>
  <c r="D41" i="20"/>
  <c r="N31" i="20"/>
  <c r="C21" i="20"/>
  <c r="B65" i="20"/>
  <c r="E83" i="20"/>
  <c r="B76" i="20"/>
  <c r="E36" i="20"/>
  <c r="C82" i="20"/>
  <c r="D57" i="20"/>
  <c r="D46" i="20"/>
  <c r="E54" i="20"/>
  <c r="B22" i="20"/>
  <c r="D87" i="20"/>
  <c r="B74" i="20"/>
  <c r="D85" i="20"/>
  <c r="B100" i="20"/>
  <c r="C121" i="20"/>
  <c r="C78" i="20"/>
  <c r="D52" i="20"/>
  <c r="D66" i="20"/>
  <c r="B32" i="20"/>
  <c r="E96" i="20"/>
  <c r="E107" i="20"/>
  <c r="E98" i="20"/>
  <c r="C5" i="20"/>
  <c r="D59" i="20"/>
  <c r="B120" i="20"/>
  <c r="D112" i="20"/>
  <c r="C85" i="20"/>
  <c r="B36" i="20"/>
  <c r="D65" i="20"/>
  <c r="E31" i="20"/>
  <c r="D32" i="20"/>
  <c r="B64" i="20"/>
  <c r="D69" i="20"/>
  <c r="E106" i="20"/>
  <c r="C35" i="20"/>
  <c r="E20" i="20"/>
  <c r="B84" i="20"/>
  <c r="E94" i="20"/>
  <c r="E24" i="20"/>
  <c r="D77" i="20"/>
  <c r="C107" i="20"/>
  <c r="C28" i="20"/>
  <c r="D53" i="20"/>
  <c r="B90" i="20"/>
  <c r="D76" i="20"/>
  <c r="C94" i="20"/>
  <c r="E62" i="20"/>
  <c r="B23" i="20"/>
  <c r="B117" i="20"/>
  <c r="B39" i="20"/>
  <c r="D98" i="20"/>
  <c r="E74" i="20"/>
  <c r="C75" i="20"/>
  <c r="C16" i="20"/>
  <c r="C42" i="20"/>
  <c r="C25" i="20"/>
  <c r="B38" i="20"/>
  <c r="B56" i="20"/>
  <c r="C32" i="20"/>
  <c r="C34" i="20"/>
  <c r="C8" i="20"/>
  <c r="C6" i="20"/>
  <c r="C27" i="20"/>
  <c r="E55" i="20"/>
  <c r="C71" i="20"/>
  <c r="E91" i="20"/>
  <c r="D12" i="20"/>
  <c r="B85" i="20"/>
  <c r="D94" i="20"/>
  <c r="E19" i="20"/>
  <c r="B102" i="20"/>
  <c r="D110" i="20"/>
  <c r="D15" i="20"/>
  <c r="D99" i="20"/>
  <c r="E103" i="20"/>
  <c r="D9" i="20"/>
  <c r="B119" i="20"/>
  <c r="D8" i="20"/>
  <c r="B68" i="20"/>
  <c r="D89" i="20"/>
  <c r="C68" i="20"/>
  <c r="D119" i="20"/>
  <c r="C92" i="20"/>
  <c r="D115" i="20"/>
  <c r="E86" i="20"/>
  <c r="E100" i="20"/>
  <c r="E34" i="20"/>
  <c r="E93" i="20"/>
  <c r="C10" i="20"/>
  <c r="B7" i="20"/>
  <c r="C59" i="20"/>
  <c r="B20" i="20"/>
  <c r="D121" i="20"/>
  <c r="E110" i="20"/>
  <c r="D63" i="20"/>
  <c r="B98" i="20"/>
  <c r="E66" i="20"/>
  <c r="B91" i="20"/>
  <c r="B49" i="20"/>
  <c r="D20" i="20"/>
  <c r="C70" i="20"/>
  <c r="B42" i="20"/>
  <c r="C83" i="20"/>
  <c r="E26" i="20"/>
  <c r="E13" i="20"/>
  <c r="E48" i="20"/>
  <c r="B72" i="20"/>
  <c r="D44" i="20"/>
  <c r="E51" i="20"/>
  <c r="D78" i="20"/>
  <c r="D51" i="20"/>
  <c r="B16" i="20"/>
  <c r="D19" i="20"/>
  <c r="B71" i="20"/>
  <c r="C65" i="20"/>
  <c r="D122" i="20"/>
  <c r="C73" i="20"/>
  <c r="E17" i="20"/>
  <c r="C39" i="20"/>
  <c r="D55" i="20"/>
  <c r="D13" i="20"/>
  <c r="E30" i="20"/>
  <c r="C84" i="20"/>
  <c r="C93" i="20"/>
  <c r="B104" i="20"/>
  <c r="B103" i="20"/>
  <c r="E50" i="20"/>
  <c r="E58" i="20"/>
  <c r="E72" i="20"/>
  <c r="C53" i="20"/>
  <c r="C7" i="20"/>
  <c r="E65" i="20"/>
  <c r="D39" i="20"/>
  <c r="B115" i="20"/>
  <c r="E79" i="20"/>
  <c r="C48" i="20"/>
  <c r="C67" i="20"/>
  <c r="E67" i="20"/>
  <c r="E68" i="20"/>
  <c r="D114" i="20"/>
  <c r="D79" i="20"/>
  <c r="B97" i="20"/>
  <c r="D26" i="20"/>
  <c r="B12" i="20"/>
  <c r="D81" i="20"/>
  <c r="E90" i="20"/>
  <c r="E119" i="20"/>
  <c r="E53" i="20"/>
  <c r="D86" i="20"/>
  <c r="D21" i="20"/>
  <c r="C64" i="20"/>
  <c r="B122" i="20"/>
  <c r="D34" i="20"/>
  <c r="E11" i="20"/>
  <c r="D102" i="20"/>
  <c r="B50" i="20"/>
  <c r="E33" i="20"/>
  <c r="D17" i="20"/>
  <c r="E111" i="20"/>
  <c r="E5" i="20"/>
  <c r="F5" i="20" s="1"/>
  <c r="C26" i="20"/>
  <c r="E6" i="20"/>
  <c r="D10" i="20"/>
  <c r="B113" i="20"/>
  <c r="C50" i="20"/>
  <c r="C97" i="20"/>
  <c r="B99" i="20"/>
  <c r="D73" i="20"/>
  <c r="E104" i="20"/>
  <c r="C56" i="20"/>
  <c r="D72" i="20"/>
  <c r="C76" i="20"/>
  <c r="D60" i="20"/>
  <c r="C102" i="20"/>
  <c r="D22" i="20"/>
  <c r="B93" i="20"/>
  <c r="D93" i="20"/>
  <c r="B111" i="20"/>
  <c r="D117" i="20"/>
  <c r="C57" i="20"/>
  <c r="B70" i="20"/>
  <c r="B89" i="20"/>
  <c r="B58" i="20"/>
  <c r="C112" i="20"/>
  <c r="D42" i="20"/>
  <c r="D88" i="20"/>
  <c r="B52" i="20"/>
  <c r="C113" i="20"/>
  <c r="B63" i="20"/>
  <c r="P69" i="20"/>
  <c r="O92" i="20"/>
  <c r="E84" i="20"/>
  <c r="E56" i="20"/>
  <c r="C118" i="20"/>
  <c r="E46" i="20"/>
  <c r="C98" i="20"/>
  <c r="C106" i="20"/>
  <c r="B80" i="20"/>
  <c r="B48" i="20"/>
  <c r="C38" i="20"/>
  <c r="E70" i="20"/>
  <c r="C111" i="20"/>
  <c r="C88" i="20"/>
  <c r="E105" i="20"/>
  <c r="E75" i="20"/>
  <c r="D109" i="20"/>
  <c r="D61" i="20"/>
  <c r="C49" i="20"/>
  <c r="B69" i="20"/>
  <c r="C19" i="20"/>
  <c r="B121" i="20"/>
  <c r="B29" i="20"/>
  <c r="B47" i="20"/>
  <c r="D48" i="20"/>
  <c r="E32" i="20"/>
  <c r="D35" i="20"/>
  <c r="E60" i="20"/>
  <c r="B107" i="20"/>
  <c r="C96" i="20"/>
  <c r="C62" i="20"/>
  <c r="D104" i="20"/>
  <c r="D5" i="20"/>
  <c r="D113" i="20"/>
  <c r="E112" i="20"/>
  <c r="B28" i="20"/>
  <c r="C12" i="20"/>
  <c r="B54" i="20"/>
  <c r="E22" i="20"/>
  <c r="D36" i="20"/>
  <c r="C100" i="20"/>
  <c r="D82" i="20"/>
  <c r="B53" i="20"/>
  <c r="D107" i="20"/>
  <c r="B9" i="20"/>
  <c r="C31" i="20"/>
  <c r="B66" i="20"/>
  <c r="C41" i="20"/>
  <c r="B62" i="20"/>
  <c r="E115" i="20"/>
  <c r="D111" i="20"/>
  <c r="E29" i="20"/>
  <c r="C43" i="20"/>
  <c r="E117" i="20"/>
  <c r="D11" i="20"/>
  <c r="C63" i="20"/>
  <c r="E12" i="20"/>
  <c r="C17" i="20"/>
  <c r="I103" i="20"/>
  <c r="P120" i="20"/>
  <c r="P76" i="20"/>
  <c r="Q55" i="20"/>
  <c r="Q14" i="20"/>
  <c r="N68" i="20"/>
  <c r="N70" i="20"/>
  <c r="Q62" i="20"/>
  <c r="Q27" i="20"/>
  <c r="P96" i="20"/>
  <c r="I48" i="20"/>
  <c r="Q57" i="20"/>
  <c r="N87" i="20"/>
  <c r="O9" i="20"/>
  <c r="Q17" i="20"/>
  <c r="O28" i="20"/>
  <c r="O29" i="20"/>
  <c r="Q83" i="20"/>
  <c r="N111" i="20"/>
  <c r="H40" i="20"/>
  <c r="O109" i="20"/>
  <c r="P47" i="20"/>
  <c r="V26" i="20"/>
  <c r="O76" i="20"/>
  <c r="Q117" i="20"/>
  <c r="Q32" i="20"/>
  <c r="O115" i="20"/>
  <c r="Q40" i="20"/>
  <c r="N43" i="20"/>
  <c r="P86" i="20"/>
  <c r="P36" i="20"/>
  <c r="O18" i="20"/>
  <c r="P62" i="20"/>
  <c r="N35" i="20"/>
  <c r="O66" i="20"/>
  <c r="O55" i="20"/>
  <c r="Q119" i="20"/>
  <c r="N46" i="20"/>
  <c r="Q77" i="20"/>
  <c r="O54" i="20"/>
  <c r="Q70" i="20"/>
  <c r="P95" i="20"/>
  <c r="P88" i="20"/>
  <c r="N50" i="20"/>
  <c r="P115" i="20"/>
  <c r="N9" i="20"/>
  <c r="N15" i="20"/>
  <c r="Q93" i="20"/>
  <c r="P110" i="20"/>
  <c r="Q16" i="20"/>
  <c r="N24" i="20"/>
  <c r="P24" i="20"/>
  <c r="P39" i="20"/>
  <c r="P111" i="20"/>
  <c r="P30" i="20"/>
  <c r="Q121" i="20"/>
  <c r="N78" i="20"/>
  <c r="N42" i="20"/>
  <c r="P75" i="20"/>
  <c r="P37" i="20"/>
  <c r="P33" i="20"/>
  <c r="P44" i="20"/>
  <c r="N52" i="20"/>
  <c r="O26" i="20"/>
  <c r="Q79" i="20"/>
  <c r="Q48" i="20"/>
  <c r="P89" i="20"/>
  <c r="Q105" i="20"/>
  <c r="Q6" i="20"/>
  <c r="P55" i="20"/>
  <c r="Q74" i="20"/>
  <c r="Q15" i="20"/>
  <c r="P122" i="20"/>
  <c r="Q102" i="20"/>
  <c r="Q99" i="20"/>
  <c r="Q68" i="20"/>
  <c r="P118" i="20"/>
  <c r="Q9" i="20"/>
  <c r="Q118" i="20"/>
  <c r="O46" i="20"/>
  <c r="P105" i="20"/>
  <c r="O49" i="20"/>
  <c r="P38" i="20"/>
  <c r="P6" i="20"/>
  <c r="P92" i="20"/>
  <c r="Q36" i="20"/>
  <c r="Q41" i="20"/>
  <c r="P66" i="20"/>
  <c r="P46" i="20"/>
  <c r="N51" i="20"/>
  <c r="O70" i="20"/>
  <c r="Q22" i="20"/>
  <c r="N47" i="20"/>
  <c r="P68" i="20"/>
  <c r="P99" i="20"/>
  <c r="P54" i="20"/>
  <c r="P81" i="20"/>
  <c r="O45" i="20"/>
  <c r="Q112" i="20"/>
  <c r="P70" i="20"/>
  <c r="O97" i="20"/>
  <c r="N71" i="20"/>
  <c r="P83" i="20"/>
  <c r="N13" i="20"/>
  <c r="O25" i="20"/>
  <c r="Q113" i="20"/>
  <c r="O6" i="20"/>
  <c r="P72" i="20"/>
  <c r="O10" i="20"/>
  <c r="N79" i="20"/>
  <c r="N106" i="20"/>
  <c r="N80" i="20"/>
  <c r="Q91" i="20"/>
  <c r="Q104" i="20"/>
  <c r="O101" i="20"/>
  <c r="Q92" i="20"/>
  <c r="O35" i="20"/>
  <c r="O77" i="20"/>
  <c r="V29" i="20"/>
  <c r="I118" i="20"/>
  <c r="P87" i="20"/>
  <c r="P58" i="20"/>
  <c r="O59" i="20"/>
  <c r="P41" i="20"/>
  <c r="Q19" i="20"/>
  <c r="P60" i="20"/>
  <c r="P80" i="20"/>
  <c r="N44" i="20"/>
  <c r="P31" i="20"/>
  <c r="N95" i="20"/>
  <c r="N92" i="20"/>
  <c r="O105" i="20"/>
  <c r="P93" i="20"/>
  <c r="N122" i="20"/>
  <c r="N60" i="20"/>
  <c r="O19" i="20"/>
  <c r="N12" i="20"/>
  <c r="O34" i="20"/>
  <c r="Q49" i="20"/>
  <c r="N101" i="20"/>
  <c r="P17" i="20"/>
  <c r="Q65" i="20"/>
  <c r="O53" i="20"/>
  <c r="O40" i="20"/>
  <c r="O11" i="20"/>
  <c r="N20" i="20"/>
  <c r="Q10" i="20"/>
  <c r="P101" i="20"/>
  <c r="P67" i="20"/>
  <c r="Q53" i="20"/>
  <c r="N93" i="20"/>
  <c r="P103" i="20"/>
  <c r="P121" i="20"/>
  <c r="N84" i="20"/>
  <c r="N22" i="20"/>
  <c r="O5" i="20"/>
  <c r="O116" i="20"/>
  <c r="P113" i="20"/>
  <c r="O62" i="20"/>
  <c r="P56" i="20"/>
  <c r="N29" i="20"/>
  <c r="O110" i="20"/>
  <c r="N14" i="20"/>
  <c r="Q87" i="20"/>
  <c r="O44" i="20"/>
  <c r="O60" i="20"/>
  <c r="O51" i="20"/>
  <c r="O75" i="20"/>
  <c r="N120" i="20"/>
  <c r="Q38" i="20"/>
  <c r="Q78" i="20"/>
  <c r="O117" i="20"/>
  <c r="Q23" i="20"/>
  <c r="N112" i="20"/>
  <c r="O111" i="20"/>
  <c r="N82" i="20"/>
  <c r="Q84" i="20"/>
  <c r="O96" i="20"/>
  <c r="H24" i="20"/>
  <c r="O65" i="20"/>
  <c r="Q66" i="20"/>
  <c r="Q20" i="20"/>
  <c r="O91" i="20"/>
  <c r="N62" i="20"/>
  <c r="P116" i="20"/>
  <c r="O90" i="20"/>
  <c r="N75" i="20"/>
  <c r="N58" i="20"/>
  <c r="Q63" i="20"/>
  <c r="Q35" i="20"/>
  <c r="N53" i="20"/>
  <c r="Q13" i="20"/>
  <c r="P11" i="20"/>
  <c r="O52" i="20"/>
  <c r="Q96" i="20"/>
  <c r="N88" i="20"/>
  <c r="P8" i="20"/>
  <c r="N61" i="20"/>
  <c r="Q85" i="20"/>
  <c r="Q59" i="20"/>
  <c r="Q33" i="20"/>
  <c r="N45" i="20"/>
  <c r="N63" i="20"/>
  <c r="O98" i="20"/>
  <c r="O56" i="20"/>
  <c r="Q26" i="20"/>
  <c r="P85" i="20"/>
  <c r="N27" i="20"/>
  <c r="P49" i="20"/>
  <c r="P73" i="20"/>
  <c r="P40" i="20"/>
  <c r="Q21" i="20"/>
  <c r="N56" i="20"/>
  <c r="N34" i="20"/>
  <c r="N16" i="20"/>
  <c r="P32" i="20"/>
  <c r="N33" i="20"/>
  <c r="O112" i="20"/>
  <c r="Q31" i="20"/>
  <c r="O15" i="20"/>
  <c r="P52" i="20"/>
  <c r="O43" i="20"/>
  <c r="N119" i="20"/>
  <c r="N102" i="20"/>
  <c r="P64" i="20"/>
  <c r="O74" i="20"/>
  <c r="Q42" i="20"/>
  <c r="O87" i="20"/>
  <c r="O22" i="20"/>
  <c r="O85" i="20"/>
  <c r="O83" i="20"/>
  <c r="P100" i="20"/>
  <c r="O64" i="20"/>
  <c r="N72" i="20"/>
  <c r="Q81" i="20"/>
  <c r="O104" i="20"/>
  <c r="P26" i="20"/>
  <c r="N113" i="20"/>
  <c r="K53" i="20"/>
  <c r="P112" i="20"/>
  <c r="O61" i="20"/>
  <c r="O72" i="20"/>
  <c r="N98" i="20"/>
  <c r="N18" i="20"/>
  <c r="O27" i="20"/>
  <c r="P35" i="20"/>
  <c r="P84" i="20"/>
  <c r="N85" i="20"/>
  <c r="Q115" i="20"/>
  <c r="Q54" i="20"/>
  <c r="Q89" i="20"/>
  <c r="N94" i="20"/>
  <c r="N91" i="20"/>
  <c r="O120" i="20"/>
  <c r="N11" i="20"/>
  <c r="Q24" i="20"/>
  <c r="O39" i="20"/>
  <c r="O102" i="20"/>
  <c r="N19" i="20"/>
  <c r="O89" i="20"/>
  <c r="P57" i="20"/>
  <c r="Q75" i="20"/>
  <c r="O121" i="20"/>
  <c r="P10" i="20"/>
  <c r="Q71" i="20"/>
  <c r="O81" i="20"/>
  <c r="Q111" i="20"/>
  <c r="O99" i="20"/>
  <c r="O47" i="20"/>
  <c r="O78" i="20"/>
  <c r="N73" i="20"/>
  <c r="O94" i="20"/>
  <c r="P102" i="20"/>
  <c r="Q120" i="20"/>
  <c r="Q12" i="20"/>
  <c r="O106" i="20"/>
  <c r="P13" i="20"/>
  <c r="O69" i="20"/>
  <c r="P79" i="20"/>
  <c r="Q98" i="20"/>
  <c r="O14" i="20"/>
  <c r="P114" i="20"/>
  <c r="Q56" i="20"/>
  <c r="Q101" i="20"/>
  <c r="O113" i="20"/>
  <c r="P28" i="20"/>
  <c r="Q61" i="20"/>
  <c r="Q109" i="20"/>
  <c r="O80" i="20"/>
  <c r="N5" i="20"/>
  <c r="N81" i="20"/>
  <c r="P108" i="20"/>
  <c r="N90" i="20"/>
  <c r="Q110" i="20"/>
  <c r="N57" i="20"/>
  <c r="N76" i="20"/>
  <c r="O13" i="20"/>
  <c r="Q107" i="20"/>
  <c r="I51" i="20"/>
  <c r="H37" i="20"/>
  <c r="J13" i="20"/>
  <c r="O41" i="20"/>
  <c r="N121" i="20"/>
  <c r="P50" i="20"/>
  <c r="O50" i="20"/>
  <c r="P98" i="20"/>
  <c r="N110" i="20"/>
  <c r="P104" i="20"/>
  <c r="Q25" i="20"/>
  <c r="P65" i="20"/>
  <c r="N115" i="20"/>
  <c r="N86" i="20"/>
  <c r="Q5" i="20"/>
  <c r="N6" i="20"/>
  <c r="P29" i="20"/>
  <c r="Q95" i="20"/>
  <c r="Q39" i="20"/>
  <c r="Q44" i="20"/>
  <c r="O84" i="20"/>
  <c r="Q73" i="20"/>
  <c r="Q122" i="20"/>
  <c r="Q37" i="20"/>
  <c r="Q30" i="20"/>
  <c r="O42" i="20"/>
  <c r="P25" i="20"/>
  <c r="O48" i="20"/>
  <c r="N28" i="20"/>
  <c r="P19" i="20"/>
  <c r="Q100" i="20"/>
  <c r="Q18" i="20"/>
  <c r="P71" i="20"/>
  <c r="N118" i="20"/>
  <c r="P91" i="20"/>
  <c r="N89" i="20"/>
  <c r="O8" i="20"/>
  <c r="Q67" i="20"/>
  <c r="P12" i="20"/>
  <c r="Q50" i="20"/>
  <c r="P59" i="20"/>
  <c r="O86" i="20"/>
  <c r="P107" i="20"/>
  <c r="O73" i="20"/>
  <c r="P18" i="20"/>
  <c r="Q72" i="20"/>
  <c r="P27" i="20"/>
  <c r="O21" i="20"/>
  <c r="N77" i="20"/>
  <c r="N83" i="20"/>
  <c r="N25" i="20"/>
  <c r="N17" i="20"/>
  <c r="N23" i="20"/>
  <c r="O95" i="20"/>
  <c r="P20" i="20"/>
  <c r="P9" i="20"/>
  <c r="N96" i="20"/>
  <c r="Q46" i="20"/>
  <c r="Q34" i="20"/>
  <c r="P77" i="20"/>
  <c r="Q45" i="20"/>
  <c r="O107" i="20"/>
  <c r="T120" i="20"/>
  <c r="W120" i="20" s="1"/>
  <c r="N108" i="20"/>
  <c r="Q64" i="20"/>
  <c r="Q29" i="20"/>
  <c r="N105" i="20"/>
  <c r="Q82" i="20"/>
  <c r="O38" i="20"/>
  <c r="P106" i="20"/>
  <c r="N21" i="20"/>
  <c r="Q52" i="20"/>
  <c r="O67" i="20"/>
  <c r="Q106" i="20"/>
  <c r="Q28" i="20"/>
  <c r="P61" i="20"/>
  <c r="Q43" i="20"/>
  <c r="N67" i="20"/>
  <c r="P7" i="20"/>
  <c r="Q86" i="20"/>
  <c r="O33" i="20"/>
  <c r="P45" i="20"/>
  <c r="O36" i="20"/>
  <c r="N8" i="20"/>
  <c r="N49" i="20"/>
  <c r="Q60" i="20"/>
  <c r="Q116" i="20"/>
  <c r="N40" i="20"/>
  <c r="O122" i="20"/>
  <c r="Q88" i="20"/>
  <c r="Q11" i="20"/>
  <c r="N26" i="20"/>
  <c r="O31" i="20"/>
  <c r="P78" i="20"/>
  <c r="N64" i="20"/>
  <c r="N66" i="20"/>
  <c r="O118" i="20"/>
  <c r="N74" i="20"/>
  <c r="P23" i="20"/>
  <c r="P5" i="20"/>
  <c r="Q94" i="20"/>
  <c r="P117" i="20"/>
  <c r="O30" i="20"/>
  <c r="O37" i="20"/>
  <c r="P109" i="20"/>
  <c r="O57" i="20"/>
  <c r="O71" i="20"/>
  <c r="O88" i="20"/>
  <c r="O108" i="20"/>
  <c r="P63" i="20"/>
  <c r="N99" i="20"/>
  <c r="P43" i="20"/>
  <c r="O119" i="20"/>
  <c r="N97" i="20"/>
  <c r="P119" i="20"/>
  <c r="N39" i="20"/>
  <c r="O93" i="20"/>
  <c r="Q7" i="20"/>
  <c r="N114" i="20"/>
  <c r="O12" i="20"/>
  <c r="P14" i="20"/>
  <c r="K11" i="20"/>
  <c r="P48" i="20"/>
  <c r="P53" i="20"/>
  <c r="N117" i="20"/>
  <c r="N10" i="20"/>
  <c r="N103" i="20"/>
  <c r="N41" i="20"/>
  <c r="O24" i="20"/>
  <c r="O63" i="20"/>
  <c r="N109" i="20"/>
  <c r="O79" i="20"/>
  <c r="N104" i="20"/>
  <c r="P74" i="20"/>
  <c r="N38" i="20"/>
  <c r="N32" i="20"/>
  <c r="O16" i="20"/>
  <c r="P16" i="20"/>
  <c r="P34" i="20"/>
  <c r="O20" i="20"/>
  <c r="N54" i="20"/>
  <c r="N116" i="20"/>
  <c r="Q90" i="20"/>
  <c r="Q76" i="20"/>
  <c r="Q51" i="20"/>
  <c r="N55" i="20"/>
  <c r="O82" i="20"/>
  <c r="P94" i="20"/>
  <c r="Q108" i="20"/>
  <c r="P90" i="20"/>
  <c r="N48" i="20"/>
  <c r="Q114" i="20"/>
  <c r="O114" i="20"/>
  <c r="N107" i="20"/>
  <c r="O17" i="20"/>
  <c r="O68" i="20"/>
  <c r="Q69" i="20"/>
  <c r="O23" i="20"/>
  <c r="O7" i="20"/>
  <c r="P51" i="20"/>
  <c r="Q97" i="20"/>
  <c r="P82" i="20"/>
  <c r="N30" i="20"/>
  <c r="P15" i="20"/>
  <c r="P22" i="20"/>
  <c r="O103" i="20"/>
  <c r="O32" i="20"/>
  <c r="N7" i="20"/>
  <c r="O58" i="20"/>
  <c r="P97" i="20"/>
  <c r="Q58" i="20"/>
  <c r="Q103" i="20"/>
  <c r="P21" i="20"/>
  <c r="P42" i="20"/>
  <c r="N65" i="20"/>
  <c r="N37" i="20"/>
  <c r="Q8" i="20"/>
  <c r="Q80" i="20"/>
  <c r="Q47" i="20"/>
  <c r="N59" i="20"/>
  <c r="H86" i="20"/>
  <c r="I47" i="20"/>
  <c r="T101" i="20"/>
  <c r="W101" i="20" s="1"/>
  <c r="K91" i="20"/>
  <c r="H23" i="20"/>
  <c r="I24" i="20"/>
  <c r="J43" i="20"/>
  <c r="V11" i="20"/>
  <c r="K14" i="20"/>
  <c r="K67" i="20"/>
  <c r="I71" i="20"/>
  <c r="V112" i="20"/>
  <c r="I76" i="20"/>
  <c r="K90" i="20"/>
  <c r="J44" i="20"/>
  <c r="K117" i="20"/>
  <c r="I58" i="20"/>
  <c r="J100" i="20"/>
  <c r="T88" i="20"/>
  <c r="W88" i="20" s="1"/>
  <c r="V20" i="20"/>
  <c r="T22" i="20"/>
  <c r="W22" i="20" s="1"/>
  <c r="V97" i="20"/>
  <c r="V100" i="20"/>
  <c r="I14" i="20"/>
  <c r="T68" i="20"/>
  <c r="W68" i="20" s="1"/>
  <c r="H74" i="20"/>
  <c r="K115" i="20"/>
  <c r="V85" i="20"/>
  <c r="H122" i="20"/>
  <c r="J48" i="20"/>
  <c r="V110" i="20"/>
  <c r="I75" i="20"/>
  <c r="K100" i="20"/>
  <c r="I22" i="20"/>
  <c r="T30" i="20"/>
  <c r="W30" i="20" s="1"/>
  <c r="V21" i="20"/>
  <c r="H93" i="20"/>
  <c r="T38" i="20"/>
  <c r="W38" i="20" s="1"/>
  <c r="V8" i="20"/>
  <c r="T117" i="20"/>
  <c r="W117" i="20" s="1"/>
  <c r="H12" i="20"/>
  <c r="T17" i="20"/>
  <c r="W17" i="20" s="1"/>
  <c r="H43" i="20"/>
  <c r="I25" i="20"/>
  <c r="K97" i="20"/>
  <c r="J58" i="20"/>
  <c r="H89" i="20"/>
  <c r="V25" i="20"/>
  <c r="V101" i="20"/>
  <c r="K82" i="20"/>
  <c r="H80" i="20"/>
  <c r="I38" i="20"/>
  <c r="V14" i="20"/>
  <c r="V99" i="20"/>
  <c r="H83" i="20"/>
  <c r="J75" i="20"/>
  <c r="H102" i="20"/>
  <c r="I44" i="20"/>
  <c r="T67" i="20"/>
  <c r="W67" i="20" s="1"/>
  <c r="J7" i="20"/>
  <c r="K48" i="20"/>
  <c r="I95" i="20"/>
  <c r="K109" i="20"/>
  <c r="I85" i="20"/>
  <c r="I77" i="20"/>
  <c r="H29" i="20"/>
  <c r="I67" i="20"/>
  <c r="K55" i="20"/>
  <c r="J22" i="20"/>
  <c r="J21" i="20"/>
  <c r="H103" i="20"/>
  <c r="I52" i="20"/>
  <c r="I55" i="20"/>
  <c r="V38" i="20"/>
  <c r="T103" i="20"/>
  <c r="W103" i="20" s="1"/>
  <c r="H68" i="20"/>
  <c r="T18" i="20"/>
  <c r="W18" i="20" s="1"/>
  <c r="H15" i="20"/>
  <c r="J107" i="20"/>
  <c r="T111" i="20"/>
  <c r="W111" i="20" s="1"/>
  <c r="J23" i="20"/>
  <c r="V41" i="20"/>
  <c r="J88" i="20"/>
  <c r="J85" i="20"/>
  <c r="K15" i="20"/>
  <c r="V104" i="20"/>
  <c r="T40" i="20"/>
  <c r="W40" i="20" s="1"/>
  <c r="H95" i="20"/>
  <c r="I40" i="20"/>
  <c r="H100" i="20"/>
  <c r="T90" i="20"/>
  <c r="W90" i="20" s="1"/>
  <c r="V22" i="20"/>
  <c r="J68" i="20"/>
  <c r="H6" i="20"/>
  <c r="J50" i="20"/>
  <c r="I36" i="20"/>
  <c r="H44" i="20"/>
  <c r="J80" i="20"/>
  <c r="H34" i="20"/>
  <c r="J96" i="20"/>
  <c r="T27" i="20"/>
  <c r="W27" i="20" s="1"/>
  <c r="V13" i="20"/>
  <c r="H13" i="20"/>
  <c r="H61" i="20"/>
  <c r="T81" i="20"/>
  <c r="W81" i="20" s="1"/>
  <c r="J42" i="20"/>
  <c r="I18" i="20"/>
  <c r="T91" i="20"/>
  <c r="W91" i="20" s="1"/>
  <c r="K20" i="20"/>
  <c r="H28" i="20"/>
  <c r="V103" i="20"/>
  <c r="J121" i="20"/>
  <c r="V65" i="20"/>
  <c r="H108" i="20"/>
  <c r="T24" i="20"/>
  <c r="W24" i="20" s="1"/>
  <c r="I59" i="20"/>
  <c r="V61" i="20"/>
  <c r="J56" i="20"/>
  <c r="H22" i="20"/>
  <c r="K39" i="20"/>
  <c r="H114" i="20"/>
  <c r="T10" i="20"/>
  <c r="W10" i="20" s="1"/>
  <c r="T80" i="20"/>
  <c r="W80" i="20" s="1"/>
  <c r="T107" i="20"/>
  <c r="W107" i="20" s="1"/>
  <c r="T113" i="20"/>
  <c r="W113" i="20" s="1"/>
  <c r="I21" i="20"/>
  <c r="K101" i="20"/>
  <c r="T87" i="20"/>
  <c r="W87" i="20" s="1"/>
  <c r="K18" i="20"/>
  <c r="H84" i="20"/>
  <c r="J103" i="20"/>
  <c r="J37" i="20"/>
  <c r="V111" i="20"/>
  <c r="K19" i="20"/>
  <c r="J108" i="20"/>
  <c r="T79" i="20"/>
  <c r="W79" i="20" s="1"/>
  <c r="J74" i="20"/>
  <c r="V7" i="20"/>
  <c r="I119" i="20"/>
  <c r="H7" i="20"/>
  <c r="J102" i="20"/>
  <c r="I81" i="20"/>
  <c r="V27" i="20"/>
  <c r="I41" i="20"/>
  <c r="K25" i="20"/>
  <c r="I87" i="20"/>
  <c r="J26" i="20"/>
  <c r="J49" i="20"/>
  <c r="J29" i="20"/>
  <c r="T56" i="20"/>
  <c r="W56" i="20" s="1"/>
  <c r="I50" i="20"/>
  <c r="V60" i="20"/>
  <c r="K33" i="20"/>
  <c r="I10" i="20"/>
  <c r="H35" i="20"/>
  <c r="V17" i="20"/>
  <c r="V108" i="20"/>
  <c r="H99" i="20"/>
  <c r="H5" i="20"/>
  <c r="I45" i="20"/>
  <c r="J24" i="20"/>
  <c r="V80" i="20"/>
  <c r="K12" i="20"/>
  <c r="H121" i="20"/>
  <c r="K51" i="20"/>
  <c r="K58" i="20"/>
  <c r="V102" i="20"/>
  <c r="V77" i="20"/>
  <c r="K102" i="20"/>
  <c r="T33" i="20"/>
  <c r="W33" i="20" s="1"/>
  <c r="I27" i="20"/>
  <c r="V18" i="20"/>
  <c r="J41" i="20"/>
  <c r="H57" i="20"/>
  <c r="I8" i="20"/>
  <c r="J92" i="20"/>
  <c r="I29" i="20"/>
  <c r="J61" i="20"/>
  <c r="T108" i="20"/>
  <c r="W108" i="20" s="1"/>
  <c r="I98" i="20"/>
  <c r="J5" i="20"/>
  <c r="T115" i="20"/>
  <c r="W115" i="20" s="1"/>
  <c r="T44" i="20"/>
  <c r="W44" i="20" s="1"/>
  <c r="V44" i="20"/>
  <c r="K37" i="20"/>
  <c r="K57" i="20"/>
  <c r="K61" i="20"/>
  <c r="H88" i="20"/>
  <c r="J15" i="20"/>
  <c r="V51" i="20"/>
  <c r="K44" i="20"/>
  <c r="H109" i="20"/>
  <c r="J118" i="20"/>
  <c r="I6" i="20"/>
  <c r="V121" i="20"/>
  <c r="K69" i="20"/>
  <c r="T105" i="20"/>
  <c r="W105" i="20" s="1"/>
  <c r="J113" i="20"/>
  <c r="H47" i="20"/>
  <c r="J53" i="20"/>
  <c r="K80" i="20"/>
  <c r="I31" i="20"/>
  <c r="T83" i="20"/>
  <c r="W83" i="20" s="1"/>
  <c r="V57" i="20"/>
  <c r="V83" i="20"/>
  <c r="K78" i="20"/>
  <c r="T102" i="20"/>
  <c r="W102" i="20" s="1"/>
  <c r="I54" i="20"/>
  <c r="K10" i="20"/>
  <c r="V70" i="20"/>
  <c r="I32" i="20"/>
  <c r="H8" i="20"/>
  <c r="K62" i="20"/>
  <c r="J60" i="20"/>
  <c r="K6" i="20"/>
  <c r="H62" i="20"/>
  <c r="T63" i="20"/>
  <c r="W63" i="20" s="1"/>
  <c r="J106" i="20"/>
  <c r="K96" i="20"/>
  <c r="V12" i="20"/>
  <c r="K34" i="20"/>
  <c r="I33" i="20"/>
  <c r="T59" i="20"/>
  <c r="W59" i="20" s="1"/>
  <c r="T11" i="20"/>
  <c r="W11" i="20" s="1"/>
  <c r="H41" i="20"/>
  <c r="T75" i="20"/>
  <c r="W75" i="20" s="1"/>
  <c r="V94" i="20"/>
  <c r="T122" i="20"/>
  <c r="W122" i="20" s="1"/>
  <c r="V116" i="20"/>
  <c r="K81" i="20"/>
  <c r="J79" i="20"/>
  <c r="J95" i="20"/>
  <c r="T54" i="20"/>
  <c r="W54" i="20" s="1"/>
  <c r="T100" i="20"/>
  <c r="W100" i="20" s="1"/>
  <c r="H18" i="20"/>
  <c r="I83" i="20"/>
  <c r="I89" i="20"/>
  <c r="T57" i="20"/>
  <c r="W57" i="20" s="1"/>
  <c r="I91" i="20"/>
  <c r="V78" i="20"/>
  <c r="K41" i="20"/>
  <c r="K70" i="20"/>
  <c r="K94" i="20"/>
  <c r="T118" i="20"/>
  <c r="W118" i="20" s="1"/>
  <c r="T109" i="20"/>
  <c r="W109" i="20" s="1"/>
  <c r="K104" i="20"/>
  <c r="V84" i="20"/>
  <c r="T7" i="20"/>
  <c r="W7" i="20" s="1"/>
  <c r="H107" i="20"/>
  <c r="H115" i="20"/>
  <c r="I82" i="20"/>
  <c r="K106" i="20"/>
  <c r="V63" i="20"/>
  <c r="T98" i="20"/>
  <c r="W98" i="20" s="1"/>
  <c r="T35" i="20"/>
  <c r="W35" i="20" s="1"/>
  <c r="H90" i="20"/>
  <c r="V56" i="20"/>
  <c r="K56" i="20"/>
  <c r="I114" i="20"/>
  <c r="K89" i="20"/>
  <c r="K74" i="20"/>
  <c r="K40" i="20"/>
  <c r="H21" i="20"/>
  <c r="I68" i="20"/>
  <c r="T6" i="20"/>
  <c r="W6" i="20" s="1"/>
  <c r="V119" i="20"/>
  <c r="H120" i="20"/>
  <c r="J111" i="20"/>
  <c r="K122" i="20"/>
  <c r="I11" i="20"/>
  <c r="H19" i="20"/>
  <c r="T31" i="20"/>
  <c r="W31" i="20" s="1"/>
  <c r="I110" i="20"/>
  <c r="T99" i="20"/>
  <c r="W99" i="20" s="1"/>
  <c r="J114" i="20"/>
  <c r="J30" i="20"/>
  <c r="V106" i="20"/>
  <c r="K107" i="20"/>
  <c r="V113" i="20"/>
  <c r="K32" i="20"/>
  <c r="K113" i="20"/>
  <c r="J120" i="20"/>
  <c r="T36" i="20"/>
  <c r="W36" i="20" s="1"/>
  <c r="J47" i="20"/>
  <c r="K24" i="20"/>
  <c r="H49" i="20"/>
  <c r="K111" i="20"/>
  <c r="K22" i="20"/>
  <c r="V68" i="20"/>
  <c r="V87" i="20"/>
  <c r="J11" i="20"/>
  <c r="K49" i="20"/>
  <c r="H113" i="20"/>
  <c r="J59" i="20"/>
  <c r="V92" i="20"/>
  <c r="J122" i="20"/>
  <c r="J90" i="20"/>
  <c r="I23" i="20"/>
  <c r="J65" i="20"/>
  <c r="J20" i="20"/>
  <c r="I104" i="20"/>
  <c r="J36" i="20"/>
  <c r="H56" i="20"/>
  <c r="J110" i="20"/>
  <c r="H46" i="20"/>
  <c r="J69" i="20"/>
  <c r="V89" i="20"/>
  <c r="H106" i="20"/>
  <c r="V42" i="20"/>
  <c r="V91" i="20"/>
  <c r="T60" i="20"/>
  <c r="W60" i="20" s="1"/>
  <c r="J32" i="20"/>
  <c r="T86" i="20"/>
  <c r="W86" i="20" s="1"/>
  <c r="H32" i="20"/>
  <c r="H79" i="20"/>
  <c r="H52" i="20"/>
  <c r="H72" i="20"/>
  <c r="H17" i="20"/>
  <c r="J9" i="20"/>
  <c r="I97" i="20"/>
  <c r="H67" i="20"/>
  <c r="V109" i="20"/>
  <c r="K84" i="20"/>
  <c r="V36" i="20"/>
  <c r="V52" i="20"/>
  <c r="K28" i="20"/>
  <c r="V24" i="20"/>
  <c r="J6" i="20"/>
  <c r="T116" i="20"/>
  <c r="W116" i="20" s="1"/>
  <c r="I69" i="20"/>
  <c r="K83" i="20"/>
  <c r="I30" i="20"/>
  <c r="I79" i="20"/>
  <c r="J105" i="20"/>
  <c r="K8" i="20"/>
  <c r="V30" i="20"/>
  <c r="I43" i="20"/>
  <c r="I102" i="20"/>
  <c r="J64" i="20"/>
  <c r="I101" i="20"/>
  <c r="J84" i="20"/>
  <c r="K45" i="20"/>
  <c r="K31" i="20"/>
  <c r="J34" i="20"/>
  <c r="I111" i="20"/>
  <c r="J99" i="20"/>
  <c r="K95" i="20"/>
  <c r="V34" i="20"/>
  <c r="H81" i="20"/>
  <c r="I92" i="20"/>
  <c r="K73" i="20"/>
  <c r="K112" i="20"/>
  <c r="H71" i="20"/>
  <c r="H45" i="20"/>
  <c r="T52" i="20"/>
  <c r="W52" i="20" s="1"/>
  <c r="K5" i="20"/>
  <c r="J66" i="20"/>
  <c r="I96" i="20"/>
  <c r="H20" i="20"/>
  <c r="K85" i="20"/>
  <c r="K68" i="20"/>
  <c r="I121" i="20"/>
  <c r="V33" i="20"/>
  <c r="J116" i="20"/>
  <c r="I17" i="20"/>
  <c r="H97" i="20"/>
  <c r="I108" i="20"/>
  <c r="H70" i="20"/>
  <c r="I105" i="20"/>
  <c r="H42" i="20"/>
  <c r="T77" i="20"/>
  <c r="W77" i="20" s="1"/>
  <c r="J83" i="20"/>
  <c r="K110" i="20"/>
  <c r="J45" i="20"/>
  <c r="I78" i="20"/>
  <c r="T15" i="20"/>
  <c r="W15" i="20" s="1"/>
  <c r="I16" i="20"/>
  <c r="J31" i="20"/>
  <c r="K119" i="20"/>
  <c r="H118" i="20"/>
  <c r="J18" i="20"/>
  <c r="H75" i="20"/>
  <c r="J62" i="20"/>
  <c r="V19" i="20"/>
  <c r="H119" i="20"/>
  <c r="T19" i="20"/>
  <c r="W19" i="20" s="1"/>
  <c r="K43" i="20"/>
  <c r="V5" i="20"/>
  <c r="K75" i="20"/>
  <c r="T66" i="20"/>
  <c r="W66" i="20" s="1"/>
  <c r="T49" i="20"/>
  <c r="W49" i="20" s="1"/>
  <c r="T84" i="20"/>
  <c r="W84" i="20" s="1"/>
  <c r="H110" i="20"/>
  <c r="K54" i="20"/>
  <c r="V23" i="20"/>
  <c r="V79" i="20"/>
  <c r="J35" i="20"/>
  <c r="J25" i="20"/>
  <c r="T29" i="20"/>
  <c r="W29" i="20" s="1"/>
  <c r="T9" i="20"/>
  <c r="W9" i="20" s="1"/>
  <c r="K13" i="20"/>
  <c r="I100" i="20"/>
  <c r="V69" i="20"/>
  <c r="I90" i="20"/>
  <c r="K103" i="20"/>
  <c r="K17" i="20"/>
  <c r="T92" i="20"/>
  <c r="W92" i="20" s="1"/>
  <c r="U92" i="20" s="1"/>
  <c r="I12" i="20"/>
  <c r="J46" i="20"/>
  <c r="J8" i="20"/>
  <c r="V48" i="20"/>
  <c r="H60" i="20"/>
  <c r="V107" i="20"/>
  <c r="J119" i="20"/>
  <c r="K63" i="20"/>
  <c r="V50" i="20"/>
  <c r="V43" i="20"/>
  <c r="H63" i="20"/>
  <c r="V58" i="20"/>
  <c r="I120" i="20"/>
  <c r="K72" i="20"/>
  <c r="T97" i="20"/>
  <c r="W97" i="20" s="1"/>
  <c r="T104" i="20"/>
  <c r="W104" i="20" s="1"/>
  <c r="I39" i="20"/>
  <c r="J54" i="20"/>
  <c r="H33" i="20"/>
  <c r="I115" i="20"/>
  <c r="V86" i="20"/>
  <c r="H112" i="20"/>
  <c r="T110" i="20"/>
  <c r="W110" i="20" s="1"/>
  <c r="K16" i="20"/>
  <c r="T51" i="20"/>
  <c r="W51" i="20" s="1"/>
  <c r="I56" i="20"/>
  <c r="I61" i="20"/>
  <c r="T93" i="20"/>
  <c r="W93" i="20" s="1"/>
  <c r="K77" i="20"/>
  <c r="H14" i="20"/>
  <c r="J86" i="20"/>
  <c r="H78" i="20"/>
  <c r="T45" i="20"/>
  <c r="W45" i="20" s="1"/>
  <c r="I107" i="20"/>
  <c r="J16" i="20"/>
  <c r="T43" i="20"/>
  <c r="W43" i="20" s="1"/>
  <c r="I106" i="20"/>
  <c r="K42" i="20"/>
  <c r="J104" i="20"/>
  <c r="H11" i="20"/>
  <c r="J51" i="20"/>
  <c r="T8" i="20"/>
  <c r="W8" i="20" s="1"/>
  <c r="T96" i="20"/>
  <c r="W96" i="20" s="1"/>
  <c r="I28" i="20"/>
  <c r="K86" i="20"/>
  <c r="J70" i="20"/>
  <c r="T42" i="20"/>
  <c r="W42" i="20" s="1"/>
  <c r="I19" i="20"/>
  <c r="T12" i="20"/>
  <c r="W12" i="20" s="1"/>
  <c r="V98" i="20"/>
  <c r="K88" i="20"/>
  <c r="V62" i="20"/>
  <c r="J19" i="20"/>
  <c r="T25" i="20"/>
  <c r="W25" i="20" s="1"/>
  <c r="J93" i="20"/>
  <c r="V28" i="20"/>
  <c r="J117" i="20"/>
  <c r="K116" i="20"/>
  <c r="I70" i="20"/>
  <c r="K108" i="20"/>
  <c r="H76" i="20"/>
  <c r="T114" i="20"/>
  <c r="W114" i="20" s="1"/>
  <c r="I86" i="20"/>
  <c r="J12" i="20"/>
  <c r="T41" i="20"/>
  <c r="W41" i="20" s="1"/>
  <c r="I116" i="20"/>
  <c r="V9" i="20"/>
  <c r="J101" i="20"/>
  <c r="T55" i="20"/>
  <c r="W55" i="20" s="1"/>
  <c r="V122" i="20"/>
  <c r="J77" i="20"/>
  <c r="K79" i="20"/>
  <c r="K29" i="20"/>
  <c r="H26" i="20"/>
  <c r="I26" i="20"/>
  <c r="H30" i="20"/>
  <c r="T47" i="20"/>
  <c r="W47" i="20" s="1"/>
  <c r="I53" i="20"/>
  <c r="V118" i="20"/>
  <c r="T14" i="20"/>
  <c r="W14" i="20" s="1"/>
  <c r="V88" i="20"/>
  <c r="J57" i="20"/>
  <c r="H16" i="20"/>
  <c r="K46" i="20"/>
  <c r="H65" i="20"/>
  <c r="T119" i="20"/>
  <c r="W119" i="20" s="1"/>
  <c r="V115" i="20"/>
  <c r="J10" i="20"/>
  <c r="V73" i="20"/>
  <c r="K27" i="20"/>
  <c r="T64" i="20"/>
  <c r="W64" i="20" s="1"/>
  <c r="I37" i="20"/>
  <c r="H48" i="20"/>
  <c r="H96" i="20"/>
  <c r="K23" i="20"/>
  <c r="J38" i="20"/>
  <c r="K66" i="20"/>
  <c r="J33" i="20"/>
  <c r="T112" i="20"/>
  <c r="W112" i="20" s="1"/>
  <c r="I72" i="20"/>
  <c r="J115" i="20"/>
  <c r="J112" i="20"/>
  <c r="I74" i="20"/>
  <c r="H39" i="20"/>
  <c r="T69" i="20"/>
  <c r="W69" i="20" s="1"/>
  <c r="V74" i="20"/>
  <c r="T62" i="20"/>
  <c r="W62" i="20" s="1"/>
  <c r="T72" i="20"/>
  <c r="W72" i="20" s="1"/>
  <c r="I57" i="20"/>
  <c r="K38" i="20"/>
  <c r="K7" i="20"/>
  <c r="H117" i="20"/>
  <c r="J94" i="20"/>
  <c r="K121" i="20"/>
  <c r="V105" i="20"/>
  <c r="J55" i="20"/>
  <c r="J63" i="20"/>
  <c r="H69" i="20"/>
  <c r="J89" i="20"/>
  <c r="T48" i="20"/>
  <c r="W48" i="20" s="1"/>
  <c r="I49" i="20"/>
  <c r="T16" i="20"/>
  <c r="W16" i="20" s="1"/>
  <c r="T34" i="20"/>
  <c r="W34" i="20" s="1"/>
  <c r="T78" i="20"/>
  <c r="H54" i="20"/>
  <c r="I9" i="20"/>
  <c r="V117" i="20"/>
  <c r="T61" i="20"/>
  <c r="W61" i="20" s="1"/>
  <c r="J82" i="20"/>
  <c r="H64" i="20"/>
  <c r="K47" i="20"/>
  <c r="J97" i="20"/>
  <c r="J91" i="20"/>
  <c r="J73" i="20"/>
  <c r="I112" i="20"/>
  <c r="J14" i="20"/>
  <c r="T95" i="20"/>
  <c r="W95" i="20" s="1"/>
  <c r="K21" i="20"/>
  <c r="V96" i="20"/>
  <c r="T94" i="20"/>
  <c r="W94" i="20" s="1"/>
  <c r="J78" i="20"/>
  <c r="T58" i="20"/>
  <c r="W58" i="20" s="1"/>
  <c r="T5" i="20"/>
  <c r="T65" i="20"/>
  <c r="W65" i="20" s="1"/>
  <c r="I88" i="20"/>
  <c r="V120" i="20"/>
  <c r="I60" i="20"/>
  <c r="H66" i="20"/>
  <c r="V82" i="20"/>
  <c r="I65" i="20"/>
  <c r="I7" i="20"/>
  <c r="V45" i="20"/>
  <c r="I46" i="20"/>
  <c r="V90" i="20"/>
  <c r="H58" i="20"/>
  <c r="K35" i="20"/>
  <c r="I122" i="20"/>
  <c r="T74" i="20"/>
  <c r="W74" i="20" s="1"/>
  <c r="V40" i="20"/>
  <c r="K105" i="20"/>
  <c r="T53" i="20"/>
  <c r="W53" i="20" s="1"/>
  <c r="K65" i="20"/>
  <c r="K59" i="20"/>
  <c r="T82" i="20"/>
  <c r="W82" i="20" s="1"/>
  <c r="V81" i="20"/>
  <c r="I15" i="20"/>
  <c r="K60" i="20"/>
  <c r="T21" i="20"/>
  <c r="W21" i="20" s="1"/>
  <c r="K36" i="20"/>
  <c r="H50" i="20"/>
  <c r="J76" i="20"/>
  <c r="V75" i="20"/>
  <c r="T28" i="20"/>
  <c r="W28" i="20" s="1"/>
  <c r="I94" i="20"/>
  <c r="H38" i="20"/>
  <c r="T106" i="20"/>
  <c r="W106" i="20" s="1"/>
  <c r="H31" i="20"/>
  <c r="I73" i="20"/>
  <c r="I99" i="20"/>
  <c r="H87" i="20"/>
  <c r="K99" i="20"/>
  <c r="T73" i="20"/>
  <c r="W73" i="20" s="1"/>
  <c r="K87" i="20"/>
  <c r="I113" i="20"/>
  <c r="J27" i="20"/>
  <c r="J67" i="20"/>
  <c r="V47" i="20"/>
  <c r="V54" i="20"/>
  <c r="K120" i="20"/>
  <c r="V93" i="20"/>
  <c r="H91" i="20"/>
  <c r="V32" i="20"/>
  <c r="K9" i="20"/>
  <c r="T32" i="20"/>
  <c r="W32" i="20" s="1"/>
  <c r="T76" i="20"/>
  <c r="W76" i="20" s="1"/>
  <c r="K92" i="20"/>
  <c r="V10" i="20"/>
  <c r="J81" i="20"/>
  <c r="H111" i="20"/>
  <c r="K118" i="20"/>
  <c r="K30" i="20"/>
  <c r="I117" i="20"/>
  <c r="K26" i="20"/>
  <c r="V6" i="20"/>
  <c r="I93" i="20"/>
  <c r="H27" i="20"/>
  <c r="H9" i="20"/>
  <c r="I42" i="20"/>
  <c r="H10" i="20"/>
  <c r="H94" i="20"/>
  <c r="J72" i="20"/>
  <c r="J17" i="20"/>
  <c r="J98" i="20"/>
  <c r="J52" i="20"/>
  <c r="K50" i="20"/>
  <c r="J40" i="20"/>
  <c r="V31" i="20"/>
  <c r="I64" i="20"/>
  <c r="V95" i="20"/>
  <c r="J87" i="20"/>
  <c r="K76" i="20"/>
  <c r="I62" i="20"/>
  <c r="H101" i="20"/>
  <c r="T26" i="20"/>
  <c r="W26" i="20" s="1"/>
  <c r="I80" i="20"/>
  <c r="T85" i="20"/>
  <c r="W85" i="20" s="1"/>
  <c r="T39" i="20"/>
  <c r="W39" i="20" s="1"/>
  <c r="V66" i="20"/>
  <c r="T13" i="20"/>
  <c r="W13" i="20" s="1"/>
  <c r="V67" i="20"/>
  <c r="K64" i="20"/>
  <c r="V46" i="20"/>
  <c r="I13" i="20"/>
  <c r="V76" i="20"/>
  <c r="V35" i="20"/>
  <c r="K98" i="20"/>
  <c r="V72" i="20"/>
  <c r="H53" i="20"/>
  <c r="V37" i="20"/>
  <c r="T50" i="20"/>
  <c r="W50" i="20" s="1"/>
  <c r="I5" i="20"/>
  <c r="V49" i="20"/>
  <c r="H25" i="20"/>
  <c r="T121" i="20"/>
  <c r="W121" i="20" s="1"/>
  <c r="K114" i="20"/>
  <c r="T46" i="20"/>
  <c r="W46" i="20" s="1"/>
  <c r="H36" i="20"/>
  <c r="I35" i="20"/>
  <c r="V16" i="20"/>
  <c r="V64" i="20"/>
  <c r="I34" i="20"/>
  <c r="T23" i="20"/>
  <c r="W23" i="20" s="1"/>
  <c r="H98" i="20"/>
  <c r="J39" i="20"/>
  <c r="V55" i="20"/>
  <c r="J109" i="20"/>
  <c r="H55" i="20"/>
  <c r="H104" i="20"/>
  <c r="T71" i="20"/>
  <c r="W71" i="20" s="1"/>
  <c r="J71" i="20"/>
  <c r="H59" i="20"/>
  <c r="V15" i="20"/>
  <c r="H73" i="20"/>
  <c r="V114" i="20"/>
  <c r="K52" i="20"/>
  <c r="H105" i="20"/>
  <c r="I109" i="20"/>
  <c r="H82" i="20"/>
  <c r="T89" i="20"/>
  <c r="W89" i="20" s="1"/>
  <c r="V53" i="20"/>
  <c r="H92" i="20"/>
  <c r="T70" i="20"/>
  <c r="W70" i="20" s="1"/>
  <c r="I66" i="20"/>
  <c r="V39" i="20"/>
  <c r="H85" i="20"/>
  <c r="H77" i="20"/>
  <c r="K93" i="20"/>
  <c r="H51" i="20"/>
  <c r="V59" i="20"/>
  <c r="I63" i="20"/>
  <c r="I84" i="20"/>
  <c r="T20" i="20"/>
  <c r="W20" i="20" s="1"/>
  <c r="T37" i="20"/>
  <c r="W37" i="20" s="1"/>
  <c r="I20" i="20"/>
  <c r="H116" i="20"/>
  <c r="V71" i="20"/>
  <c r="K71" i="20"/>
  <c r="J28" i="20"/>
  <c r="F120" i="23" l="1"/>
  <c r="N19" i="23"/>
  <c r="N107" i="23"/>
  <c r="N84" i="23"/>
  <c r="N95" i="23"/>
  <c r="F46" i="23"/>
  <c r="F63" i="23"/>
  <c r="N43" i="23"/>
  <c r="N54" i="23"/>
  <c r="F94" i="23"/>
  <c r="N15" i="23"/>
  <c r="F21" i="23"/>
  <c r="F85" i="23"/>
  <c r="N86" i="23"/>
  <c r="N79" i="23"/>
  <c r="F56" i="23"/>
  <c r="F12" i="23"/>
  <c r="N16" i="23"/>
  <c r="N44" i="23"/>
  <c r="F20" i="23"/>
  <c r="N33" i="23"/>
  <c r="F37" i="23"/>
  <c r="N77" i="23"/>
  <c r="F49" i="23"/>
  <c r="N98" i="23"/>
  <c r="N89" i="23"/>
  <c r="F69" i="23"/>
  <c r="F38" i="23"/>
  <c r="N68" i="23"/>
  <c r="F76" i="23"/>
  <c r="F107" i="23"/>
  <c r="N60" i="23"/>
  <c r="F81" i="23"/>
  <c r="F41" i="23"/>
  <c r="N18" i="23"/>
  <c r="N20" i="23"/>
  <c r="N67" i="23"/>
  <c r="N22" i="23"/>
  <c r="F67" i="23"/>
  <c r="F50" i="23"/>
  <c r="N35" i="23"/>
  <c r="N10" i="23"/>
  <c r="F28" i="23"/>
  <c r="N41" i="23"/>
  <c r="N81" i="23"/>
  <c r="F80" i="23"/>
  <c r="F25" i="23"/>
  <c r="F44" i="23"/>
  <c r="N24" i="23"/>
  <c r="F75" i="23"/>
  <c r="F18" i="23"/>
  <c r="F22" i="23"/>
  <c r="N102" i="23"/>
  <c r="N94" i="23"/>
  <c r="N5" i="23"/>
  <c r="F23" i="23"/>
  <c r="F30" i="23"/>
  <c r="N80" i="23"/>
  <c r="N106" i="23"/>
  <c r="N120" i="23"/>
  <c r="N100" i="23"/>
  <c r="F10" i="23"/>
  <c r="F84" i="23"/>
  <c r="F48" i="23"/>
  <c r="F4" i="23"/>
  <c r="F88" i="23"/>
  <c r="N38" i="23"/>
  <c r="F35" i="23"/>
  <c r="N45" i="23"/>
  <c r="N14" i="23"/>
  <c r="F79" i="23"/>
  <c r="F86" i="23"/>
  <c r="F40" i="23"/>
  <c r="N75" i="23"/>
  <c r="F72" i="23"/>
  <c r="N39" i="23"/>
  <c r="N74" i="23"/>
  <c r="N87" i="23"/>
  <c r="F59" i="23"/>
  <c r="N78" i="23"/>
  <c r="F65" i="23"/>
  <c r="N37" i="23"/>
  <c r="F92" i="23"/>
  <c r="N57" i="23"/>
  <c r="F19" i="23"/>
  <c r="N61" i="23"/>
  <c r="F15" i="23"/>
  <c r="N73" i="23"/>
  <c r="N50" i="23"/>
  <c r="F39" i="23"/>
  <c r="F71" i="23"/>
  <c r="F95" i="23"/>
  <c r="F36" i="23"/>
  <c r="F87" i="23"/>
  <c r="F6" i="23"/>
  <c r="F89" i="23"/>
  <c r="F58" i="23"/>
  <c r="F55" i="23"/>
  <c r="N93" i="23"/>
  <c r="F98" i="23"/>
  <c r="N88" i="23"/>
  <c r="N27" i="23"/>
  <c r="F78" i="23"/>
  <c r="F16" i="23"/>
  <c r="F13" i="23"/>
  <c r="F14" i="23"/>
  <c r="F73" i="23"/>
  <c r="N105" i="23"/>
  <c r="N42" i="23"/>
  <c r="F27" i="23"/>
  <c r="F32" i="23"/>
  <c r="F105" i="23"/>
  <c r="N66" i="23"/>
  <c r="N72" i="23"/>
  <c r="N32" i="23"/>
  <c r="F47" i="23"/>
  <c r="F34" i="23"/>
  <c r="N8" i="23"/>
  <c r="N51" i="23"/>
  <c r="N58" i="23"/>
  <c r="N53" i="23"/>
  <c r="N26" i="23"/>
  <c r="N62" i="23"/>
  <c r="N56" i="23"/>
  <c r="F43" i="23"/>
  <c r="F102" i="23"/>
  <c r="N4" i="23"/>
  <c r="F77" i="23"/>
  <c r="N49" i="23"/>
  <c r="N48" i="23"/>
  <c r="N29" i="23"/>
  <c r="N17" i="23"/>
  <c r="N21" i="23"/>
  <c r="N52" i="23"/>
  <c r="N46" i="23"/>
  <c r="F61" i="23"/>
  <c r="N108" i="23"/>
  <c r="F29" i="23"/>
  <c r="N13" i="23"/>
  <c r="F9" i="23"/>
  <c r="N9" i="23"/>
  <c r="N92" i="23"/>
  <c r="F54" i="23"/>
  <c r="F11" i="23"/>
  <c r="N34" i="23"/>
  <c r="F33" i="23"/>
  <c r="N76" i="23"/>
  <c r="F99" i="23"/>
  <c r="F53" i="23"/>
  <c r="F24" i="23"/>
  <c r="N6" i="23"/>
  <c r="N31" i="23"/>
  <c r="F93" i="23"/>
  <c r="N7" i="23"/>
  <c r="F101" i="23"/>
  <c r="F26" i="23"/>
  <c r="F45" i="23"/>
  <c r="N11" i="23"/>
  <c r="F5" i="23"/>
  <c r="N30" i="23"/>
  <c r="N65" i="23"/>
  <c r="N59" i="23"/>
  <c r="F17" i="23"/>
  <c r="F60" i="23"/>
  <c r="F108" i="23"/>
  <c r="N25" i="23"/>
  <c r="N40" i="23"/>
  <c r="N69" i="23"/>
  <c r="F42" i="23"/>
  <c r="N101" i="23"/>
  <c r="F100" i="23"/>
  <c r="N99" i="23"/>
  <c r="F66" i="23"/>
  <c r="F31" i="23"/>
  <c r="N71" i="23"/>
  <c r="F8" i="23"/>
  <c r="N36" i="23"/>
  <c r="N63" i="23"/>
  <c r="F68" i="23"/>
  <c r="N28" i="23"/>
  <c r="N55" i="23"/>
  <c r="N85" i="23"/>
  <c r="F52" i="23"/>
  <c r="N12" i="23"/>
  <c r="N23" i="23"/>
  <c r="F64" i="23"/>
  <c r="F57" i="23"/>
  <c r="F62" i="23"/>
  <c r="F106" i="23"/>
  <c r="N47" i="23"/>
  <c r="F51" i="23"/>
  <c r="F7" i="23"/>
  <c r="N64" i="23"/>
  <c r="F74" i="23"/>
  <c r="L99" i="23"/>
  <c r="L87" i="23"/>
  <c r="C9" i="23"/>
  <c r="L5" i="23"/>
  <c r="L40" i="23"/>
  <c r="L66" i="23"/>
  <c r="C77" i="23"/>
  <c r="C11" i="23"/>
  <c r="C98" i="23"/>
  <c r="C105" i="23"/>
  <c r="C31" i="23"/>
  <c r="L59" i="23"/>
  <c r="L100" i="23"/>
  <c r="L48" i="23"/>
  <c r="L57" i="23"/>
  <c r="L53" i="23"/>
  <c r="C24" i="23"/>
  <c r="C43" i="23"/>
  <c r="L41" i="23"/>
  <c r="C7" i="23"/>
  <c r="L9" i="23"/>
  <c r="C66" i="23"/>
  <c r="L47" i="23"/>
  <c r="C44" i="23"/>
  <c r="C28" i="23"/>
  <c r="C48" i="23"/>
  <c r="L71" i="23"/>
  <c r="C71" i="23"/>
  <c r="L120" i="23"/>
  <c r="L32" i="23"/>
  <c r="L24" i="23"/>
  <c r="C73" i="23"/>
  <c r="C15" i="23"/>
  <c r="L93" i="23"/>
  <c r="L62" i="23"/>
  <c r="C102" i="23"/>
  <c r="C72" i="23"/>
  <c r="L79" i="23"/>
  <c r="C79" i="23"/>
  <c r="C67" i="23"/>
  <c r="C61" i="23"/>
  <c r="L20" i="23"/>
  <c r="L28" i="23"/>
  <c r="L76" i="23"/>
  <c r="C68" i="23"/>
  <c r="C53" i="23"/>
  <c r="C55" i="23"/>
  <c r="C84" i="23"/>
  <c r="C8" i="23"/>
  <c r="C95" i="23"/>
  <c r="L101" i="23"/>
  <c r="C100" i="23"/>
  <c r="L42" i="23"/>
  <c r="L13" i="23"/>
  <c r="C16" i="23"/>
  <c r="C46" i="23"/>
  <c r="L29" i="23"/>
  <c r="L86" i="23"/>
  <c r="C22" i="23"/>
  <c r="C10" i="23"/>
  <c r="L10" i="23"/>
  <c r="C37" i="23"/>
  <c r="L58" i="23"/>
  <c r="C76" i="23"/>
  <c r="L6" i="23"/>
  <c r="C26" i="23"/>
  <c r="L11" i="23"/>
  <c r="C81" i="23"/>
  <c r="C35" i="23"/>
  <c r="C54" i="23"/>
  <c r="C34" i="23"/>
  <c r="L106" i="23"/>
  <c r="L102" i="23"/>
  <c r="L65" i="23"/>
  <c r="L36" i="23"/>
  <c r="L34" i="23"/>
  <c r="L37" i="23"/>
  <c r="L39" i="23"/>
  <c r="C56" i="23"/>
  <c r="C19" i="23"/>
  <c r="L78" i="23"/>
  <c r="L56" i="23"/>
  <c r="C6" i="23"/>
  <c r="C120" i="23"/>
  <c r="L108" i="23"/>
  <c r="C63" i="23"/>
  <c r="C64" i="23"/>
  <c r="L80" i="23"/>
  <c r="L77" i="23"/>
  <c r="L23" i="23"/>
  <c r="L25" i="23"/>
  <c r="C36" i="23"/>
  <c r="L61" i="23"/>
  <c r="L52" i="23"/>
  <c r="C87" i="23"/>
  <c r="L85" i="23"/>
  <c r="C86" i="23"/>
  <c r="C65" i="23"/>
  <c r="L44" i="23"/>
  <c r="L107" i="23"/>
  <c r="C52" i="23"/>
  <c r="C39" i="23"/>
  <c r="C45" i="23"/>
  <c r="L81" i="23"/>
  <c r="C51" i="23"/>
  <c r="L43" i="23"/>
  <c r="L54" i="23"/>
  <c r="L67" i="23"/>
  <c r="C4" i="23"/>
  <c r="C62" i="23"/>
  <c r="L68" i="23"/>
  <c r="L30" i="23"/>
  <c r="C99" i="23"/>
  <c r="C41" i="23"/>
  <c r="C47" i="23"/>
  <c r="C27" i="23"/>
  <c r="L22" i="23"/>
  <c r="C75" i="23"/>
  <c r="C93" i="23"/>
  <c r="L26" i="23"/>
  <c r="C108" i="23"/>
  <c r="L33" i="23"/>
  <c r="L63" i="23"/>
  <c r="C14" i="23"/>
  <c r="C30" i="23"/>
  <c r="L92" i="23"/>
  <c r="C50" i="23"/>
  <c r="C33" i="23"/>
  <c r="L74" i="23"/>
  <c r="L27" i="23"/>
  <c r="L14" i="23"/>
  <c r="L94" i="23"/>
  <c r="L75" i="23"/>
  <c r="L64" i="23"/>
  <c r="C80" i="23"/>
  <c r="L35" i="23"/>
  <c r="C60" i="23"/>
  <c r="L51" i="23"/>
  <c r="C88" i="23"/>
  <c r="C29" i="23"/>
  <c r="C20" i="23"/>
  <c r="C5" i="23"/>
  <c r="C74" i="23"/>
  <c r="C32" i="23"/>
  <c r="C18" i="23"/>
  <c r="C101" i="23"/>
  <c r="L17" i="23"/>
  <c r="L69" i="23"/>
  <c r="C40" i="23"/>
  <c r="L84" i="23"/>
  <c r="L19" i="23"/>
  <c r="L89" i="23"/>
  <c r="L55" i="23"/>
  <c r="L18" i="23"/>
  <c r="L7" i="23"/>
  <c r="L72" i="23"/>
  <c r="L12" i="23"/>
  <c r="C49" i="23"/>
  <c r="L60" i="23"/>
  <c r="L49" i="23"/>
  <c r="L21" i="23"/>
  <c r="C13" i="23"/>
  <c r="L15" i="23"/>
  <c r="C58" i="23"/>
  <c r="L88" i="23"/>
  <c r="L46" i="23"/>
  <c r="L8" i="23"/>
  <c r="L16" i="23"/>
  <c r="L73" i="23"/>
  <c r="C106" i="23"/>
  <c r="L38" i="23"/>
  <c r="C92" i="23"/>
  <c r="C12" i="23"/>
  <c r="L4" i="23"/>
  <c r="C21" i="23"/>
  <c r="C57" i="23"/>
  <c r="C69" i="23"/>
  <c r="C89" i="23"/>
  <c r="L105" i="23"/>
  <c r="C38" i="23"/>
  <c r="C17" i="23"/>
  <c r="L50" i="23"/>
  <c r="L95" i="23"/>
  <c r="C78" i="23"/>
  <c r="L31" i="23"/>
  <c r="C23" i="23"/>
  <c r="C85" i="23"/>
  <c r="C42" i="23"/>
  <c r="C94" i="23"/>
  <c r="C25" i="23"/>
  <c r="C59" i="23"/>
  <c r="C107" i="23"/>
  <c r="L45" i="23"/>
  <c r="L98" i="23"/>
  <c r="P93" i="23"/>
  <c r="P41" i="23"/>
  <c r="P71" i="23"/>
  <c r="P76" i="23"/>
  <c r="P36" i="23"/>
  <c r="P21" i="23"/>
  <c r="P47" i="23"/>
  <c r="P26" i="23"/>
  <c r="P32" i="23"/>
  <c r="P100" i="23"/>
  <c r="P95" i="23"/>
  <c r="P17" i="23"/>
  <c r="P99" i="23"/>
  <c r="P48" i="23"/>
  <c r="P66" i="23"/>
  <c r="P120" i="23"/>
  <c r="P84" i="23"/>
  <c r="P49" i="23"/>
  <c r="P10" i="23"/>
  <c r="P44" i="23"/>
  <c r="P12" i="23"/>
  <c r="P24" i="23"/>
  <c r="P65" i="23"/>
  <c r="P54" i="23"/>
  <c r="P42" i="23"/>
  <c r="P75" i="23"/>
  <c r="P28" i="23"/>
  <c r="P13" i="23"/>
  <c r="P105" i="23"/>
  <c r="P106" i="23"/>
  <c r="P37" i="23"/>
  <c r="P59" i="23"/>
  <c r="P8" i="23"/>
  <c r="P31" i="23"/>
  <c r="P78" i="23"/>
  <c r="P6" i="23"/>
  <c r="P50" i="23"/>
  <c r="P57" i="23"/>
  <c r="P25" i="23"/>
  <c r="P34" i="23"/>
  <c r="P30" i="23"/>
  <c r="P16" i="23"/>
  <c r="P45" i="23"/>
  <c r="P107" i="23"/>
  <c r="P39" i="23"/>
  <c r="P52" i="23"/>
  <c r="P40" i="23"/>
  <c r="P35" i="23"/>
  <c r="P64" i="23"/>
  <c r="P74" i="23"/>
  <c r="P58" i="23"/>
  <c r="P51" i="23"/>
  <c r="P14" i="23"/>
  <c r="P33" i="23"/>
  <c r="P43" i="23"/>
  <c r="P18" i="23"/>
  <c r="P87" i="23"/>
  <c r="P63" i="23"/>
  <c r="P102" i="23"/>
  <c r="P5" i="23"/>
  <c r="P73" i="23"/>
  <c r="P46" i="23"/>
  <c r="P101" i="23"/>
  <c r="P7" i="23"/>
  <c r="P94" i="23"/>
  <c r="P98" i="23"/>
  <c r="P79" i="23"/>
  <c r="P22" i="23"/>
  <c r="P55" i="23"/>
  <c r="P108" i="23"/>
  <c r="P67" i="23"/>
  <c r="P60" i="23"/>
  <c r="P81" i="23"/>
  <c r="P86" i="23"/>
  <c r="P62" i="23"/>
  <c r="P53" i="23"/>
  <c r="P20" i="23"/>
  <c r="P69" i="23"/>
  <c r="P4" i="23"/>
  <c r="P15" i="23"/>
  <c r="P23" i="23"/>
  <c r="P27" i="23"/>
  <c r="P56" i="23"/>
  <c r="P61" i="23"/>
  <c r="P11" i="23"/>
  <c r="P19" i="23"/>
  <c r="P9" i="23"/>
  <c r="P29" i="23"/>
  <c r="P38" i="23"/>
  <c r="P92" i="23"/>
  <c r="P80" i="23"/>
  <c r="P72" i="23"/>
  <c r="P68" i="23"/>
  <c r="P77" i="23"/>
  <c r="P88" i="23"/>
  <c r="P85" i="23"/>
  <c r="P89" i="23"/>
  <c r="G115" i="23"/>
  <c r="G110" i="23"/>
  <c r="O114" i="23"/>
  <c r="O110" i="23"/>
  <c r="O82" i="23"/>
  <c r="O115" i="23"/>
  <c r="G114" i="23"/>
  <c r="G82" i="23"/>
  <c r="O104" i="23"/>
  <c r="G104" i="23"/>
  <c r="O111" i="23"/>
  <c r="G111" i="23"/>
  <c r="O90" i="23"/>
  <c r="G96" i="23"/>
  <c r="G90" i="23"/>
  <c r="O96" i="23"/>
  <c r="N119" i="23"/>
  <c r="N91" i="23"/>
  <c r="F97" i="23"/>
  <c r="N97" i="23"/>
  <c r="F103" i="23"/>
  <c r="N83" i="23"/>
  <c r="N112" i="23"/>
  <c r="F112" i="23"/>
  <c r="F119" i="23"/>
  <c r="F91" i="23"/>
  <c r="N113" i="23"/>
  <c r="F113" i="23"/>
  <c r="F83" i="23"/>
  <c r="N103" i="23"/>
  <c r="D82" i="23"/>
  <c r="D104" i="23"/>
  <c r="D114" i="23"/>
  <c r="M82" i="23"/>
  <c r="M104" i="23"/>
  <c r="D115" i="23"/>
  <c r="M110" i="23"/>
  <c r="D110" i="23"/>
  <c r="M115" i="23"/>
  <c r="M114" i="23"/>
  <c r="M111" i="23"/>
  <c r="D111" i="23"/>
  <c r="D90" i="23"/>
  <c r="M96" i="23"/>
  <c r="D96" i="23"/>
  <c r="L91" i="23"/>
  <c r="M90" i="23"/>
  <c r="C103" i="23"/>
  <c r="L113" i="23"/>
  <c r="C91" i="23"/>
  <c r="C113" i="23"/>
  <c r="L119" i="23"/>
  <c r="C119" i="23"/>
  <c r="L83" i="23"/>
  <c r="C97" i="23"/>
  <c r="C112" i="23"/>
  <c r="C83" i="23"/>
  <c r="L103" i="23"/>
  <c r="L97" i="23"/>
  <c r="L112" i="23"/>
  <c r="Q82" i="23"/>
  <c r="Q104" i="23"/>
  <c r="Q114" i="23"/>
  <c r="Q115" i="23"/>
  <c r="Q110" i="23"/>
  <c r="Q111" i="23"/>
  <c r="Q90" i="23"/>
  <c r="Q96" i="23"/>
  <c r="P103" i="23"/>
  <c r="P83" i="23"/>
  <c r="P91" i="23"/>
  <c r="P113" i="23"/>
  <c r="P119" i="23"/>
  <c r="P97" i="23"/>
  <c r="P112" i="23"/>
  <c r="W5" i="20"/>
  <c r="U5" i="20" s="1"/>
  <c r="U60" i="20"/>
  <c r="U22" i="20"/>
  <c r="R118" i="20"/>
  <c r="R22" i="20"/>
  <c r="R98" i="20"/>
  <c r="R114" i="20"/>
  <c r="C109" i="23"/>
  <c r="C96" i="23"/>
  <c r="R105" i="20"/>
  <c r="R104" i="20"/>
  <c r="R93" i="20"/>
  <c r="R37" i="20"/>
  <c r="R57" i="20"/>
  <c r="R77" i="20"/>
  <c r="R68" i="20"/>
  <c r="R42" i="20"/>
  <c r="R36" i="20"/>
  <c r="R113" i="20"/>
  <c r="R65" i="20"/>
  <c r="R67" i="20"/>
  <c r="R116" i="20"/>
  <c r="R15" i="20"/>
  <c r="R87" i="20"/>
  <c r="R97" i="20"/>
  <c r="R121" i="20"/>
  <c r="R54" i="20"/>
  <c r="R28" i="20"/>
  <c r="R16" i="20"/>
  <c r="R110" i="20"/>
  <c r="R52" i="20"/>
  <c r="R78" i="20"/>
  <c r="R66" i="20"/>
  <c r="R19" i="20"/>
  <c r="R112" i="20"/>
  <c r="R107" i="20"/>
  <c r="R40" i="20"/>
  <c r="R96" i="20"/>
  <c r="R44" i="20"/>
  <c r="R69" i="20"/>
  <c r="R72" i="20"/>
  <c r="R100" i="20"/>
  <c r="R58" i="20"/>
  <c r="R29" i="20"/>
  <c r="R7" i="20"/>
  <c r="R10" i="20"/>
  <c r="R11" i="20"/>
  <c r="R99" i="20"/>
  <c r="R85" i="20"/>
  <c r="R89" i="20"/>
  <c r="R51" i="20"/>
  <c r="R25" i="20"/>
  <c r="R84" i="20"/>
  <c r="R106" i="20"/>
  <c r="R81" i="20"/>
  <c r="R63" i="20"/>
  <c r="R86" i="20"/>
  <c r="R49" i="20"/>
  <c r="R90" i="20"/>
  <c r="R74" i="20"/>
  <c r="R82" i="20"/>
  <c r="U117" i="20"/>
  <c r="R88" i="20"/>
  <c r="R71" i="20"/>
  <c r="R45" i="20"/>
  <c r="R83" i="20"/>
  <c r="R59" i="20"/>
  <c r="R61" i="20"/>
  <c r="R115" i="20"/>
  <c r="R122" i="20"/>
  <c r="R92" i="20"/>
  <c r="R103" i="20"/>
  <c r="R38" i="20"/>
  <c r="R21" i="20"/>
  <c r="R5" i="20"/>
  <c r="R101" i="20"/>
  <c r="R13" i="20"/>
  <c r="R6" i="20"/>
  <c r="R64" i="20"/>
  <c r="R32" i="20"/>
  <c r="R33" i="20"/>
  <c r="R8" i="20"/>
  <c r="R47" i="20"/>
  <c r="R102" i="20"/>
  <c r="R75" i="20"/>
  <c r="R56" i="20"/>
  <c r="R76" i="20"/>
  <c r="R60" i="20"/>
  <c r="R91" i="20"/>
  <c r="R17" i="20"/>
  <c r="R80" i="20"/>
  <c r="R50" i="20"/>
  <c r="R108" i="20"/>
  <c r="R73" i="20"/>
  <c r="R24" i="20"/>
  <c r="R95" i="20"/>
  <c r="R26" i="20"/>
  <c r="R53" i="20"/>
  <c r="R23" i="20"/>
  <c r="U120" i="20"/>
  <c r="R34" i="20"/>
  <c r="R35" i="20"/>
  <c r="R39" i="20"/>
  <c r="R120" i="20"/>
  <c r="R12" i="20"/>
  <c r="R20" i="20"/>
  <c r="R94" i="20"/>
  <c r="R14" i="20"/>
  <c r="R41" i="20"/>
  <c r="R79" i="20"/>
  <c r="R48" i="20"/>
  <c r="R9" i="20"/>
  <c r="R109" i="20"/>
  <c r="R70" i="20"/>
  <c r="R46" i="20"/>
  <c r="R111" i="20"/>
  <c r="R117" i="20"/>
  <c r="R27" i="20"/>
  <c r="R119" i="20"/>
  <c r="R30" i="20"/>
  <c r="R62" i="20"/>
  <c r="R31" i="20"/>
  <c r="R18" i="20"/>
  <c r="R55" i="20"/>
  <c r="R43" i="20"/>
  <c r="L96" i="23"/>
  <c r="U54" i="20"/>
  <c r="U101" i="20"/>
  <c r="U103" i="20"/>
  <c r="U57" i="20"/>
  <c r="U18" i="20"/>
  <c r="F8" i="20"/>
  <c r="L72" i="20"/>
  <c r="U122" i="20"/>
  <c r="U69" i="20"/>
  <c r="U23" i="20"/>
  <c r="U14" i="20"/>
  <c r="U12" i="20"/>
  <c r="L109" i="23"/>
  <c r="U89" i="20"/>
  <c r="U28" i="20"/>
  <c r="U107" i="20"/>
  <c r="F13" i="20"/>
  <c r="L118" i="23"/>
  <c r="F9" i="20"/>
  <c r="F7" i="20"/>
  <c r="F10" i="20"/>
  <c r="F11" i="20"/>
  <c r="F17" i="20"/>
  <c r="F6" i="20"/>
  <c r="U84" i="20"/>
  <c r="U35" i="20"/>
  <c r="U49" i="20"/>
  <c r="U79" i="20"/>
  <c r="U111" i="20"/>
  <c r="U77" i="20"/>
  <c r="U87" i="20"/>
  <c r="U68" i="20"/>
  <c r="F22" i="20"/>
  <c r="U27" i="20"/>
  <c r="U30" i="20"/>
  <c r="M24" i="23"/>
  <c r="F16" i="20"/>
  <c r="F108" i="20"/>
  <c r="F24" i="20"/>
  <c r="F61" i="20"/>
  <c r="U10" i="20"/>
  <c r="U29" i="20"/>
  <c r="F21" i="20"/>
  <c r="F23" i="20"/>
  <c r="F12" i="20"/>
  <c r="F18" i="20"/>
  <c r="U39" i="20"/>
  <c r="J25" i="23"/>
  <c r="M83" i="23"/>
  <c r="F91" i="20"/>
  <c r="M107" i="23"/>
  <c r="F109" i="20"/>
  <c r="F19" i="20"/>
  <c r="F20" i="20"/>
  <c r="M36" i="23"/>
  <c r="F92" i="20"/>
  <c r="F15" i="20"/>
  <c r="F48" i="20"/>
  <c r="F14" i="20"/>
  <c r="U26" i="20"/>
  <c r="U109" i="20"/>
  <c r="M94" i="23"/>
  <c r="M74" i="23"/>
  <c r="M12" i="23"/>
  <c r="L82" i="23"/>
  <c r="M65" i="23"/>
  <c r="C118" i="23"/>
  <c r="F97" i="20"/>
  <c r="F47" i="20"/>
  <c r="M89" i="23"/>
  <c r="M113" i="23"/>
  <c r="D44" i="23"/>
  <c r="M17" i="23"/>
  <c r="M100" i="23"/>
  <c r="D72" i="23"/>
  <c r="C82" i="23"/>
  <c r="D26" i="23"/>
  <c r="M108" i="23"/>
  <c r="F104" i="20"/>
  <c r="L32" i="20"/>
  <c r="U83" i="20"/>
  <c r="U24" i="20"/>
  <c r="J22" i="23"/>
  <c r="D86" i="23"/>
  <c r="F64" i="20"/>
  <c r="D84" i="23"/>
  <c r="M10" i="23"/>
  <c r="M97" i="23"/>
  <c r="C104" i="23"/>
  <c r="C90" i="23"/>
  <c r="D20" i="23"/>
  <c r="D35" i="23"/>
  <c r="M18" i="23"/>
  <c r="M72" i="23"/>
  <c r="M40" i="23"/>
  <c r="F110" i="20"/>
  <c r="J29" i="23"/>
  <c r="D43" i="23"/>
  <c r="D99" i="23"/>
  <c r="C114" i="23"/>
  <c r="L104" i="23"/>
  <c r="D21" i="23"/>
  <c r="M93" i="23"/>
  <c r="D76" i="23"/>
  <c r="D10" i="23"/>
  <c r="D13" i="23"/>
  <c r="L90" i="23"/>
  <c r="F93" i="20"/>
  <c r="F57" i="20"/>
  <c r="F72" i="20"/>
  <c r="L61" i="20"/>
  <c r="D58" i="23"/>
  <c r="L117" i="23"/>
  <c r="M39" i="23"/>
  <c r="M80" i="23"/>
  <c r="D100" i="23"/>
  <c r="D85" i="23"/>
  <c r="M86" i="23"/>
  <c r="M49" i="23"/>
  <c r="F36" i="20"/>
  <c r="F111" i="20"/>
  <c r="F59" i="20"/>
  <c r="D32" i="23"/>
  <c r="M95" i="23"/>
  <c r="M34" i="23"/>
  <c r="M53" i="23"/>
  <c r="D50" i="23"/>
  <c r="D6" i="23"/>
  <c r="M98" i="23"/>
  <c r="M48" i="23"/>
  <c r="D51" i="23"/>
  <c r="D9" i="23"/>
  <c r="M25" i="23"/>
  <c r="M31" i="23"/>
  <c r="D4" i="23"/>
  <c r="M21" i="23"/>
  <c r="M51" i="23"/>
  <c r="M47" i="23"/>
  <c r="F85" i="20"/>
  <c r="F121" i="20"/>
  <c r="F25" i="20"/>
  <c r="D36" i="23"/>
  <c r="D83" i="23"/>
  <c r="M20" i="23"/>
  <c r="D113" i="23"/>
  <c r="F96" i="20"/>
  <c r="D75" i="23"/>
  <c r="D64" i="23"/>
  <c r="M38" i="23"/>
  <c r="D34" i="23"/>
  <c r="D73" i="23"/>
  <c r="F56" i="20"/>
  <c r="F53" i="20"/>
  <c r="M9" i="23"/>
  <c r="M35" i="23"/>
  <c r="D97" i="23"/>
  <c r="D107" i="23"/>
  <c r="M56" i="23"/>
  <c r="M81" i="23"/>
  <c r="D68" i="23"/>
  <c r="D52" i="23"/>
  <c r="C111" i="23"/>
  <c r="D91" i="23"/>
  <c r="F77" i="20"/>
  <c r="D57" i="23"/>
  <c r="M44" i="23"/>
  <c r="D119" i="23"/>
  <c r="D94" i="23"/>
  <c r="D31" i="23"/>
  <c r="F117" i="20"/>
  <c r="F62" i="20"/>
  <c r="F68" i="20"/>
  <c r="F94" i="20"/>
  <c r="F50" i="20"/>
  <c r="F30" i="20"/>
  <c r="F55" i="20"/>
  <c r="F113" i="20"/>
  <c r="F46" i="20"/>
  <c r="F27" i="20"/>
  <c r="F79" i="20"/>
  <c r="Q53" i="23"/>
  <c r="M32" i="23"/>
  <c r="M67" i="23"/>
  <c r="D39" i="23"/>
  <c r="M85" i="23"/>
  <c r="M79" i="23"/>
  <c r="M57" i="23"/>
  <c r="M4" i="23"/>
  <c r="M52" i="23"/>
  <c r="D59" i="23"/>
  <c r="D49" i="23"/>
  <c r="M120" i="23"/>
  <c r="M29" i="23"/>
  <c r="D61" i="23"/>
  <c r="M119" i="23"/>
  <c r="D14" i="23"/>
  <c r="D5" i="23"/>
  <c r="D87" i="23"/>
  <c r="D106" i="23"/>
  <c r="D38" i="23"/>
  <c r="D101" i="23"/>
  <c r="D65" i="23"/>
  <c r="M63" i="23"/>
  <c r="D53" i="23"/>
  <c r="M45" i="23"/>
  <c r="F105" i="20"/>
  <c r="F115" i="20"/>
  <c r="F28" i="20"/>
  <c r="F118" i="20"/>
  <c r="F33" i="20"/>
  <c r="F86" i="20"/>
  <c r="F49" i="20"/>
  <c r="F107" i="20"/>
  <c r="F31" i="20"/>
  <c r="F63" i="20"/>
  <c r="F41" i="20"/>
  <c r="F106" i="20"/>
  <c r="U67" i="20"/>
  <c r="Q18" i="23"/>
  <c r="M84" i="23"/>
  <c r="M60" i="23"/>
  <c r="M42" i="23"/>
  <c r="M59" i="23"/>
  <c r="D103" i="23"/>
  <c r="M112" i="23"/>
  <c r="M105" i="23"/>
  <c r="D41" i="23"/>
  <c r="D69" i="23"/>
  <c r="D29" i="23"/>
  <c r="C121" i="23"/>
  <c r="D92" i="23"/>
  <c r="C110" i="23"/>
  <c r="M33" i="23"/>
  <c r="D17" i="23"/>
  <c r="D11" i="23"/>
  <c r="M43" i="23"/>
  <c r="M64" i="23"/>
  <c r="F95" i="20"/>
  <c r="F89" i="20"/>
  <c r="F54" i="20"/>
  <c r="F75" i="20"/>
  <c r="F71" i="20"/>
  <c r="F103" i="20"/>
  <c r="F51" i="20"/>
  <c r="F81" i="20"/>
  <c r="F74" i="20"/>
  <c r="F43" i="20"/>
  <c r="F66" i="20"/>
  <c r="F67" i="20"/>
  <c r="M6" i="23"/>
  <c r="M92" i="23"/>
  <c r="C115" i="23"/>
  <c r="M75" i="23"/>
  <c r="M91" i="23"/>
  <c r="Q32" i="23"/>
  <c r="D71" i="23"/>
  <c r="M71" i="23"/>
  <c r="D95" i="23"/>
  <c r="M87" i="23"/>
  <c r="M37" i="23"/>
  <c r="M5" i="23"/>
  <c r="D89" i="23"/>
  <c r="D23" i="23"/>
  <c r="M26" i="23"/>
  <c r="L116" i="23"/>
  <c r="D78" i="23"/>
  <c r="D28" i="23"/>
  <c r="C116" i="23"/>
  <c r="D40" i="23"/>
  <c r="M41" i="23"/>
  <c r="M30" i="23"/>
  <c r="D42" i="23"/>
  <c r="M77" i="23"/>
  <c r="M55" i="23"/>
  <c r="L110" i="23"/>
  <c r="D105" i="23"/>
  <c r="M22" i="23"/>
  <c r="D24" i="23"/>
  <c r="M106" i="23"/>
  <c r="D88" i="23"/>
  <c r="M88" i="23"/>
  <c r="D56" i="23"/>
  <c r="M61" i="23"/>
  <c r="D48" i="23"/>
  <c r="F32" i="20"/>
  <c r="F122" i="20"/>
  <c r="F40" i="20"/>
  <c r="F70" i="20"/>
  <c r="F100" i="20"/>
  <c r="F120" i="20"/>
  <c r="F34" i="20"/>
  <c r="F65" i="20"/>
  <c r="F90" i="20"/>
  <c r="F98" i="20"/>
  <c r="U121" i="20"/>
  <c r="U119" i="20"/>
  <c r="D74" i="23"/>
  <c r="L111" i="23"/>
  <c r="D81" i="23"/>
  <c r="M14" i="23"/>
  <c r="D33" i="23"/>
  <c r="J82" i="23"/>
  <c r="D45" i="23"/>
  <c r="D80" i="23"/>
  <c r="D16" i="23"/>
  <c r="M76" i="23"/>
  <c r="M58" i="23"/>
  <c r="D46" i="23"/>
  <c r="D55" i="23"/>
  <c r="L115" i="23"/>
  <c r="D27" i="23"/>
  <c r="D108" i="23"/>
  <c r="D12" i="23"/>
  <c r="M101" i="23"/>
  <c r="D120" i="23"/>
  <c r="D18" i="23"/>
  <c r="D62" i="23"/>
  <c r="D54" i="23"/>
  <c r="M16" i="23"/>
  <c r="D98" i="23"/>
  <c r="M73" i="23"/>
  <c r="D19" i="23"/>
  <c r="M28" i="23"/>
  <c r="M68" i="23"/>
  <c r="M8" i="23"/>
  <c r="D37" i="23"/>
  <c r="D79" i="23"/>
  <c r="C117" i="23"/>
  <c r="M46" i="23"/>
  <c r="M27" i="23"/>
  <c r="F87" i="20"/>
  <c r="F84" i="20"/>
  <c r="F82" i="20"/>
  <c r="F119" i="20"/>
  <c r="F69" i="20"/>
  <c r="F102" i="20"/>
  <c r="F29" i="20"/>
  <c r="F38" i="20"/>
  <c r="F42" i="20"/>
  <c r="F99" i="20"/>
  <c r="F26" i="20"/>
  <c r="F35" i="20"/>
  <c r="F80" i="20"/>
  <c r="U91" i="20"/>
  <c r="U20" i="20"/>
  <c r="U85" i="20"/>
  <c r="L121" i="23"/>
  <c r="M54" i="23"/>
  <c r="M99" i="23"/>
  <c r="D66" i="23"/>
  <c r="M50" i="23"/>
  <c r="D60" i="23"/>
  <c r="M13" i="23"/>
  <c r="D112" i="23"/>
  <c r="D22" i="23"/>
  <c r="D7" i="23"/>
  <c r="D77" i="23"/>
  <c r="D63" i="23"/>
  <c r="D8" i="23"/>
  <c r="M19" i="23"/>
  <c r="M11" i="23"/>
  <c r="D93" i="23"/>
  <c r="D30" i="23"/>
  <c r="M15" i="23"/>
  <c r="M7" i="23"/>
  <c r="M103" i="23"/>
  <c r="L114" i="23"/>
  <c r="M23" i="23"/>
  <c r="M78" i="23"/>
  <c r="D102" i="23"/>
  <c r="D25" i="23"/>
  <c r="M69" i="23"/>
  <c r="F58" i="20"/>
  <c r="F88" i="20"/>
  <c r="F101" i="20"/>
  <c r="F76" i="20"/>
  <c r="F114" i="20"/>
  <c r="F39" i="20"/>
  <c r="F78" i="20"/>
  <c r="F52" i="20"/>
  <c r="F37" i="20"/>
  <c r="F60" i="20"/>
  <c r="F83" i="20"/>
  <c r="U90" i="20"/>
  <c r="U36" i="20"/>
  <c r="U44" i="20"/>
  <c r="U56" i="20"/>
  <c r="U33" i="20"/>
  <c r="U6" i="20"/>
  <c r="U75" i="20"/>
  <c r="U82" i="20"/>
  <c r="U86" i="20"/>
  <c r="U115" i="20"/>
  <c r="U104" i="20"/>
  <c r="P117" i="23"/>
  <c r="D15" i="23"/>
  <c r="F112" i="20"/>
  <c r="U70" i="20"/>
  <c r="U50" i="20"/>
  <c r="U88" i="20"/>
  <c r="U41" i="20"/>
  <c r="Q23" i="23"/>
  <c r="J28" i="23"/>
  <c r="P110" i="23"/>
  <c r="Q21" i="23"/>
  <c r="U112" i="20"/>
  <c r="Q11" i="23"/>
  <c r="J91" i="23"/>
  <c r="J59" i="23"/>
  <c r="Q19" i="23"/>
  <c r="U13" i="20"/>
  <c r="U65" i="20"/>
  <c r="U8" i="20"/>
  <c r="Q102" i="23"/>
  <c r="J75" i="23"/>
  <c r="Q40" i="23"/>
  <c r="Q28" i="23"/>
  <c r="Q85" i="23"/>
  <c r="J115" i="23"/>
  <c r="J32" i="23"/>
  <c r="P115" i="23"/>
  <c r="Q47" i="23"/>
  <c r="Q83" i="23"/>
  <c r="J94" i="23"/>
  <c r="P90" i="23"/>
  <c r="U81" i="20"/>
  <c r="Q43" i="23"/>
  <c r="J103" i="23"/>
  <c r="M62" i="23"/>
  <c r="D47" i="23"/>
  <c r="D67" i="23"/>
  <c r="M66" i="23"/>
  <c r="M102" i="23"/>
  <c r="F44" i="20"/>
  <c r="F73" i="20"/>
  <c r="F116" i="20"/>
  <c r="F45" i="20"/>
  <c r="U94" i="20"/>
  <c r="U21" i="20"/>
  <c r="L49" i="20"/>
  <c r="U43" i="20"/>
  <c r="U52" i="20"/>
  <c r="U45" i="20"/>
  <c r="L17" i="20"/>
  <c r="U99" i="20"/>
  <c r="U42" i="20"/>
  <c r="U110" i="20"/>
  <c r="U100" i="20"/>
  <c r="U96" i="20"/>
  <c r="U106" i="20"/>
  <c r="U51" i="20"/>
  <c r="U9" i="20"/>
  <c r="U78" i="20"/>
  <c r="U63" i="20"/>
  <c r="U71" i="20"/>
  <c r="U53" i="20"/>
  <c r="U15" i="20"/>
  <c r="U73" i="20"/>
  <c r="U58" i="20"/>
  <c r="U48" i="20"/>
  <c r="U113" i="20"/>
  <c r="U17" i="20"/>
  <c r="U72" i="20"/>
  <c r="U31" i="20"/>
  <c r="U47" i="20"/>
  <c r="U114" i="20"/>
  <c r="U93" i="20"/>
  <c r="L116" i="20"/>
  <c r="L86" i="20"/>
  <c r="U118" i="20"/>
  <c r="L44" i="20"/>
  <c r="U64" i="20"/>
  <c r="U76" i="20"/>
  <c r="L39" i="20"/>
  <c r="L122" i="20"/>
  <c r="U16" i="20"/>
  <c r="U25" i="20"/>
  <c r="L88" i="20"/>
  <c r="L59" i="20"/>
  <c r="U59" i="20"/>
  <c r="U62" i="20"/>
  <c r="L15" i="20"/>
  <c r="L29" i="20"/>
  <c r="U40" i="20"/>
  <c r="U61" i="20"/>
  <c r="J62" i="23"/>
  <c r="U98" i="20"/>
  <c r="L89" i="20"/>
  <c r="L82" i="20"/>
  <c r="U66" i="20"/>
  <c r="J35" i="23"/>
  <c r="J14" i="23"/>
  <c r="Q41" i="23"/>
  <c r="J92" i="23"/>
  <c r="J80" i="23"/>
  <c r="Q49" i="23"/>
  <c r="P111" i="23"/>
  <c r="Q57" i="23"/>
  <c r="J4" i="23"/>
  <c r="Q67" i="23"/>
  <c r="J121" i="23"/>
  <c r="J63" i="23"/>
  <c r="Q99" i="23"/>
  <c r="Q39" i="23"/>
  <c r="J76" i="23"/>
  <c r="Q98" i="23"/>
  <c r="J18" i="23"/>
  <c r="J107" i="23"/>
  <c r="Q56" i="23"/>
  <c r="J27" i="23"/>
  <c r="J108" i="23"/>
  <c r="Q108" i="23"/>
  <c r="Q55" i="23"/>
  <c r="J72" i="23"/>
  <c r="Q72" i="23"/>
  <c r="J57" i="23"/>
  <c r="Q84" i="23"/>
  <c r="L90" i="20"/>
  <c r="L30" i="20"/>
  <c r="L38" i="20"/>
  <c r="L54" i="20"/>
  <c r="L57" i="20"/>
  <c r="L13" i="20"/>
  <c r="L111" i="20"/>
  <c r="L100" i="20"/>
  <c r="L85" i="20"/>
  <c r="L6" i="20"/>
  <c r="L101" i="20"/>
  <c r="L8" i="20"/>
  <c r="L87" i="20"/>
  <c r="L25" i="20"/>
  <c r="L94" i="20"/>
  <c r="J87" i="23"/>
  <c r="J71" i="23"/>
  <c r="J85" i="23"/>
  <c r="J50" i="23"/>
  <c r="J106" i="23"/>
  <c r="Q97" i="23"/>
  <c r="Q81" i="23"/>
  <c r="L92" i="20"/>
  <c r="L68" i="20"/>
  <c r="L58" i="20"/>
  <c r="L77" i="20"/>
  <c r="L96" i="20"/>
  <c r="L98" i="20"/>
  <c r="L93" i="20"/>
  <c r="L35" i="20"/>
  <c r="L47" i="20"/>
  <c r="L20" i="20"/>
  <c r="L41" i="20"/>
  <c r="L70" i="20"/>
  <c r="L34" i="20"/>
  <c r="L71" i="20"/>
  <c r="Q91" i="23"/>
  <c r="Q59" i="23"/>
  <c r="J54" i="23"/>
  <c r="J84" i="23"/>
  <c r="Q42" i="23"/>
  <c r="Q34" i="23"/>
  <c r="J9" i="23"/>
  <c r="Q16" i="23"/>
  <c r="J64" i="23"/>
  <c r="Q24" i="23"/>
  <c r="J7" i="23"/>
  <c r="J31" i="23"/>
  <c r="Q12" i="23"/>
  <c r="J51" i="23"/>
  <c r="J5" i="23"/>
  <c r="J69" i="23"/>
  <c r="J49" i="23"/>
  <c r="P118" i="23"/>
  <c r="J33" i="23"/>
  <c r="Q62" i="23"/>
  <c r="Q63" i="23"/>
  <c r="Q14" i="23"/>
  <c r="J12" i="23"/>
  <c r="J10" i="23"/>
  <c r="Q73" i="23"/>
  <c r="Q48" i="23"/>
  <c r="Q13" i="23"/>
  <c r="Q75" i="23"/>
  <c r="P82" i="23"/>
  <c r="Q78" i="23"/>
  <c r="Q64" i="23"/>
  <c r="J109" i="23"/>
  <c r="Q15" i="23"/>
  <c r="J90" i="23"/>
  <c r="J113" i="23"/>
  <c r="Q44" i="23"/>
  <c r="J74" i="23"/>
  <c r="J78" i="23"/>
  <c r="L109" i="20"/>
  <c r="L80" i="20"/>
  <c r="L107" i="20"/>
  <c r="L83" i="20"/>
  <c r="L62" i="20"/>
  <c r="L65" i="20"/>
  <c r="L104" i="20"/>
  <c r="L5" i="20"/>
  <c r="L23" i="20"/>
  <c r="L106" i="20"/>
  <c r="L18" i="20"/>
  <c r="L51" i="20"/>
  <c r="L40" i="20"/>
  <c r="L117" i="20"/>
  <c r="L36" i="20"/>
  <c r="U116" i="20"/>
  <c r="U38" i="20"/>
  <c r="P104" i="23"/>
  <c r="J77" i="23"/>
  <c r="J105" i="23"/>
  <c r="Q107" i="23"/>
  <c r="J41" i="23"/>
  <c r="J112" i="23"/>
  <c r="J46" i="23"/>
  <c r="J44" i="23"/>
  <c r="P96" i="23"/>
  <c r="J56" i="23"/>
  <c r="J11" i="23"/>
  <c r="Q27" i="23"/>
  <c r="Q94" i="23"/>
  <c r="J6" i="23"/>
  <c r="Q26" i="23"/>
  <c r="J19" i="23"/>
  <c r="Q6" i="23"/>
  <c r="Q74" i="23"/>
  <c r="Q58" i="23"/>
  <c r="Q45" i="23"/>
  <c r="Q76" i="23"/>
  <c r="Q88" i="23"/>
  <c r="Q95" i="23"/>
  <c r="J102" i="23"/>
  <c r="J65" i="23"/>
  <c r="J96" i="23"/>
  <c r="J119" i="23"/>
  <c r="Q54" i="23"/>
  <c r="J120" i="23"/>
  <c r="J73" i="23"/>
  <c r="J42" i="23"/>
  <c r="Q61" i="23"/>
  <c r="Q10" i="23"/>
  <c r="Q9" i="23"/>
  <c r="P116" i="23"/>
  <c r="P114" i="23"/>
  <c r="Q7" i="23"/>
  <c r="Q20" i="23"/>
  <c r="J24" i="23"/>
  <c r="L53" i="20"/>
  <c r="L78" i="20"/>
  <c r="L14" i="20"/>
  <c r="L52" i="20"/>
  <c r="L119" i="20"/>
  <c r="L24" i="20"/>
  <c r="L84" i="20"/>
  <c r="L7" i="20"/>
  <c r="L66" i="20"/>
  <c r="L91" i="20"/>
  <c r="L45" i="20"/>
  <c r="L97" i="20"/>
  <c r="L69" i="20"/>
  <c r="L103" i="20"/>
  <c r="L12" i="20"/>
  <c r="U97" i="20"/>
  <c r="J83" i="23"/>
  <c r="J30" i="23"/>
  <c r="J68" i="23"/>
  <c r="Q38" i="23"/>
  <c r="Q113" i="23"/>
  <c r="J26" i="23"/>
  <c r="J114" i="23"/>
  <c r="J89" i="23"/>
  <c r="Q71" i="23"/>
  <c r="J97" i="23"/>
  <c r="Q51" i="23"/>
  <c r="Q119" i="23"/>
  <c r="P121" i="23"/>
  <c r="Q5" i="23"/>
  <c r="Q87" i="23"/>
  <c r="Q4" i="23"/>
  <c r="J45" i="23"/>
  <c r="J104" i="23"/>
  <c r="J95" i="23"/>
  <c r="Q17" i="23"/>
  <c r="J40" i="23"/>
  <c r="J8" i="23"/>
  <c r="Q22" i="23"/>
  <c r="J53" i="23"/>
  <c r="Q60" i="23"/>
  <c r="Q86" i="23"/>
  <c r="J52" i="23"/>
  <c r="Q112" i="23"/>
  <c r="J58" i="23"/>
  <c r="Q68" i="23"/>
  <c r="J101" i="23"/>
  <c r="J55" i="23"/>
  <c r="Q80" i="23"/>
  <c r="J16" i="23"/>
  <c r="L48" i="20"/>
  <c r="L121" i="20"/>
  <c r="L79" i="20"/>
  <c r="L56" i="20"/>
  <c r="L9" i="20"/>
  <c r="L75" i="20"/>
  <c r="L115" i="20"/>
  <c r="L50" i="20"/>
  <c r="L46" i="20"/>
  <c r="L22" i="20"/>
  <c r="L64" i="20"/>
  <c r="L67" i="20"/>
  <c r="L102" i="20"/>
  <c r="L99" i="20"/>
  <c r="U34" i="20"/>
  <c r="U105" i="20"/>
  <c r="U11" i="20"/>
  <c r="J34" i="23"/>
  <c r="J111" i="23"/>
  <c r="Q37" i="23"/>
  <c r="J20" i="23"/>
  <c r="Q103" i="23"/>
  <c r="Q106" i="23"/>
  <c r="J99" i="23"/>
  <c r="Q65" i="23"/>
  <c r="Q100" i="23"/>
  <c r="Q101" i="23"/>
  <c r="J88" i="23"/>
  <c r="Q120" i="23"/>
  <c r="Q25" i="23"/>
  <c r="Q66" i="23"/>
  <c r="J15" i="23"/>
  <c r="Q52" i="23"/>
  <c r="L42" i="20"/>
  <c r="L11" i="20"/>
  <c r="L114" i="20"/>
  <c r="L28" i="20"/>
  <c r="L73" i="20"/>
  <c r="L110" i="20"/>
  <c r="L60" i="20"/>
  <c r="L55" i="20"/>
  <c r="L21" i="20"/>
  <c r="L10" i="20"/>
  <c r="L43" i="20"/>
  <c r="L74" i="20"/>
  <c r="L112" i="20"/>
  <c r="L27" i="20"/>
  <c r="L16" i="20"/>
  <c r="J116" i="23"/>
  <c r="J86" i="23"/>
  <c r="J100" i="23"/>
  <c r="J13" i="23"/>
  <c r="Q50" i="23"/>
  <c r="Q36" i="23"/>
  <c r="J93" i="23"/>
  <c r="Q92" i="23"/>
  <c r="J110" i="23"/>
  <c r="Q8" i="23"/>
  <c r="Q29" i="23"/>
  <c r="J60" i="23"/>
  <c r="J21" i="23"/>
  <c r="Q105" i="23"/>
  <c r="J81" i="23"/>
  <c r="J61" i="23"/>
  <c r="J48" i="23"/>
  <c r="J43" i="23"/>
  <c r="J66" i="23"/>
  <c r="Q79" i="23"/>
  <c r="J67" i="23"/>
  <c r="J39" i="23"/>
  <c r="J79" i="23"/>
  <c r="Q46" i="23"/>
  <c r="J17" i="23"/>
  <c r="Q89" i="23"/>
  <c r="Q31" i="23"/>
  <c r="Q30" i="23"/>
  <c r="Q77" i="23"/>
  <c r="Q69" i="23"/>
  <c r="J37" i="23"/>
  <c r="Q93" i="23"/>
  <c r="J23" i="23"/>
  <c r="P109" i="23"/>
  <c r="Q33" i="23"/>
  <c r="J118" i="23"/>
  <c r="J47" i="23"/>
  <c r="J38" i="23"/>
  <c r="J117" i="23"/>
  <c r="J98" i="23"/>
  <c r="Q35" i="23"/>
  <c r="J36" i="23"/>
  <c r="L108" i="20"/>
  <c r="L113" i="20"/>
  <c r="L37" i="20"/>
  <c r="L19" i="20"/>
  <c r="L81" i="20"/>
  <c r="L120" i="20"/>
  <c r="L105" i="20"/>
  <c r="L26" i="20"/>
  <c r="L31" i="20"/>
  <c r="L118" i="20"/>
  <c r="L33" i="20"/>
  <c r="L95" i="20"/>
  <c r="L76" i="20"/>
  <c r="L63" i="20"/>
  <c r="O113" i="23"/>
  <c r="F114" i="23"/>
  <c r="F109" i="23"/>
  <c r="U80" i="20"/>
  <c r="U7" i="20"/>
  <c r="G93" i="23"/>
  <c r="U102" i="20"/>
  <c r="G11" i="23"/>
  <c r="G81" i="23"/>
  <c r="G41" i="23"/>
  <c r="U108" i="20"/>
  <c r="G17" i="23"/>
  <c r="O84" i="23"/>
  <c r="O99" i="23"/>
  <c r="G120" i="23"/>
  <c r="G32" i="23"/>
  <c r="O34" i="23"/>
  <c r="G113" i="23"/>
  <c r="O112" i="23"/>
  <c r="G68" i="23"/>
  <c r="G66" i="23"/>
  <c r="G77" i="23"/>
  <c r="O86" i="23"/>
  <c r="O95" i="23"/>
  <c r="O100" i="23"/>
  <c r="N96" i="23"/>
  <c r="O63" i="23"/>
  <c r="O4" i="23"/>
  <c r="G61" i="23"/>
  <c r="O67" i="23"/>
  <c r="O19" i="23"/>
  <c r="G87" i="23"/>
  <c r="U55" i="20"/>
  <c r="G78" i="23"/>
  <c r="U32" i="20"/>
  <c r="U95" i="20"/>
  <c r="G67" i="23"/>
  <c r="G51" i="23"/>
  <c r="O120" i="23"/>
  <c r="O81" i="23"/>
  <c r="G69" i="23"/>
  <c r="G102" i="23"/>
  <c r="G53" i="23"/>
  <c r="O97" i="23"/>
  <c r="G105" i="23"/>
  <c r="F82" i="23"/>
  <c r="O18" i="23"/>
  <c r="F104" i="23"/>
  <c r="G30" i="23"/>
  <c r="O72" i="23"/>
  <c r="G60" i="23"/>
  <c r="O32" i="23"/>
  <c r="O57" i="23"/>
  <c r="O17" i="23"/>
  <c r="O73" i="23"/>
  <c r="G18" i="23"/>
  <c r="G44" i="23"/>
  <c r="G98" i="23"/>
  <c r="G35" i="23"/>
  <c r="G28" i="23"/>
  <c r="G64" i="23"/>
  <c r="G49" i="23"/>
  <c r="G42" i="23"/>
  <c r="F115" i="23"/>
  <c r="O45" i="23"/>
  <c r="G46" i="23"/>
  <c r="G55" i="23"/>
  <c r="G26" i="23"/>
  <c r="G89" i="23"/>
  <c r="O46" i="23"/>
  <c r="O10" i="23"/>
  <c r="O16" i="23"/>
  <c r="G92" i="23"/>
  <c r="O50" i="23"/>
  <c r="G40" i="23"/>
  <c r="G106" i="23"/>
  <c r="O78" i="23"/>
  <c r="O101" i="23"/>
  <c r="O75" i="23"/>
  <c r="O6" i="23"/>
  <c r="G62" i="23"/>
  <c r="O105" i="23"/>
  <c r="G39" i="23"/>
  <c r="G37" i="23"/>
  <c r="O58" i="23"/>
  <c r="O43" i="23"/>
  <c r="G47" i="23"/>
  <c r="G14" i="23"/>
  <c r="G86" i="23"/>
  <c r="O65" i="23"/>
  <c r="O33" i="23"/>
  <c r="O26" i="23"/>
  <c r="O61" i="23"/>
  <c r="O51" i="23"/>
  <c r="G79" i="23"/>
  <c r="O71" i="23"/>
  <c r="O64" i="23"/>
  <c r="N104" i="23"/>
  <c r="G65" i="23"/>
  <c r="F117" i="23"/>
  <c r="G22" i="23"/>
  <c r="G29" i="23"/>
  <c r="G76" i="23"/>
  <c r="O23" i="23"/>
  <c r="G99" i="23"/>
  <c r="F121" i="23"/>
  <c r="G24" i="23"/>
  <c r="F90" i="23"/>
  <c r="F118" i="23"/>
  <c r="O27" i="23"/>
  <c r="G75" i="23"/>
  <c r="G91" i="23"/>
  <c r="G4" i="23"/>
  <c r="O7" i="23"/>
  <c r="O94" i="23"/>
  <c r="G36" i="23"/>
  <c r="O41" i="23"/>
  <c r="O39" i="23"/>
  <c r="G19" i="23"/>
  <c r="O44" i="23"/>
  <c r="G16" i="23"/>
  <c r="G54" i="23"/>
  <c r="O53" i="23"/>
  <c r="O83" i="23"/>
  <c r="O36" i="23"/>
  <c r="N90" i="23"/>
  <c r="O106" i="23"/>
  <c r="G12" i="23"/>
  <c r="N116" i="23"/>
  <c r="G88" i="23"/>
  <c r="O25" i="23"/>
  <c r="G107" i="23"/>
  <c r="G38" i="23"/>
  <c r="O28" i="23"/>
  <c r="G108" i="23"/>
  <c r="O80" i="23"/>
  <c r="G34" i="23"/>
  <c r="G84" i="23"/>
  <c r="N109" i="23"/>
  <c r="N115" i="23"/>
  <c r="O35" i="23"/>
  <c r="G59" i="23"/>
  <c r="O38" i="23"/>
  <c r="G57" i="23"/>
  <c r="G73" i="23"/>
  <c r="O48" i="23"/>
  <c r="G6" i="23"/>
  <c r="O29" i="23"/>
  <c r="G119" i="23"/>
  <c r="N114" i="23"/>
  <c r="G83" i="23"/>
  <c r="O102" i="23"/>
  <c r="G101" i="23"/>
  <c r="O12" i="23"/>
  <c r="O47" i="23"/>
  <c r="G20" i="23"/>
  <c r="O91" i="23"/>
  <c r="F111" i="23"/>
  <c r="O77" i="23"/>
  <c r="O92" i="23"/>
  <c r="G95" i="23"/>
  <c r="O54" i="23"/>
  <c r="O13" i="23"/>
  <c r="O30" i="23"/>
  <c r="O76" i="23"/>
  <c r="G63" i="23"/>
  <c r="G112" i="23"/>
  <c r="O119" i="23"/>
  <c r="O103" i="23"/>
  <c r="G103" i="23"/>
  <c r="G56" i="23"/>
  <c r="F96" i="23"/>
  <c r="G85" i="23"/>
  <c r="N121" i="23"/>
  <c r="O21" i="23"/>
  <c r="G10" i="23"/>
  <c r="G33" i="23"/>
  <c r="O107" i="23"/>
  <c r="O93" i="23"/>
  <c r="O9" i="23"/>
  <c r="O8" i="23"/>
  <c r="F110" i="23"/>
  <c r="G13" i="23"/>
  <c r="G7" i="23"/>
  <c r="G72" i="23"/>
  <c r="O98" i="23"/>
  <c r="O55" i="23"/>
  <c r="G9" i="23"/>
  <c r="O87" i="23"/>
  <c r="G74" i="23"/>
  <c r="O69" i="23"/>
  <c r="O15" i="23"/>
  <c r="G15" i="23"/>
  <c r="G50" i="23"/>
  <c r="O22" i="23"/>
  <c r="G27" i="23"/>
  <c r="O85" i="23"/>
  <c r="G23" i="23"/>
  <c r="G45" i="23"/>
  <c r="O14" i="23"/>
  <c r="G31" i="23"/>
  <c r="O37" i="23"/>
  <c r="O56" i="23"/>
  <c r="G71" i="23"/>
  <c r="O5" i="23"/>
  <c r="N111" i="23"/>
  <c r="O20" i="23"/>
  <c r="O49" i="23"/>
  <c r="G97" i="23"/>
  <c r="G94" i="23"/>
  <c r="O60" i="23"/>
  <c r="G48" i="23"/>
  <c r="F116" i="23"/>
  <c r="G8" i="23"/>
  <c r="G43" i="23"/>
  <c r="G80" i="23"/>
  <c r="G5" i="23"/>
  <c r="N110" i="23"/>
  <c r="O74" i="23"/>
  <c r="N117" i="23"/>
  <c r="G58" i="23"/>
  <c r="O42" i="23"/>
  <c r="O108" i="23"/>
  <c r="O88" i="23"/>
  <c r="O66" i="23"/>
  <c r="N118" i="23"/>
  <c r="O62" i="23"/>
  <c r="U19" i="20"/>
  <c r="O52" i="23"/>
  <c r="O79" i="23"/>
  <c r="G25" i="23"/>
  <c r="G100" i="23"/>
  <c r="N82" i="23"/>
  <c r="O40" i="23"/>
  <c r="G52" i="23"/>
  <c r="O24" i="23"/>
  <c r="O31" i="23"/>
  <c r="G21" i="23"/>
  <c r="O11" i="23"/>
  <c r="O59" i="23"/>
  <c r="O68" i="23"/>
  <c r="O89" i="23"/>
  <c r="U74" i="20"/>
  <c r="U46" i="20"/>
  <c r="U37" i="20"/>
  <c r="K65" i="23" l="1"/>
  <c r="K97" i="23"/>
  <c r="K90" i="23"/>
  <c r="K34" i="23"/>
  <c r="K73" i="23"/>
  <c r="K21" i="23"/>
  <c r="K99" i="23"/>
  <c r="K19" i="23"/>
  <c r="K56" i="23"/>
  <c r="K107" i="23"/>
  <c r="K75" i="23"/>
  <c r="K77" i="23"/>
  <c r="K112" i="23"/>
  <c r="K71" i="23"/>
  <c r="K110" i="23"/>
  <c r="K116" i="23"/>
  <c r="K57" i="23"/>
  <c r="K25" i="23"/>
  <c r="K118" i="23"/>
  <c r="K11" i="23"/>
  <c r="K115" i="23"/>
  <c r="K27" i="23"/>
  <c r="K106" i="23"/>
  <c r="K113" i="23"/>
  <c r="K23" i="23"/>
  <c r="K4" i="23"/>
  <c r="K10" i="23"/>
  <c r="K36" i="23"/>
  <c r="K61" i="23"/>
  <c r="K40" i="23"/>
  <c r="K45" i="23"/>
  <c r="K51" i="23"/>
  <c r="K80" i="23"/>
  <c r="K50" i="23"/>
  <c r="K20" i="23"/>
  <c r="K83" i="23"/>
  <c r="K26" i="23"/>
  <c r="K12" i="23"/>
  <c r="K28" i="23"/>
  <c r="K62" i="23"/>
  <c r="K88" i="23"/>
  <c r="K119" i="23"/>
  <c r="K13" i="23"/>
  <c r="K95" i="23"/>
  <c r="K91" i="23"/>
  <c r="K105" i="23"/>
  <c r="K38" i="23"/>
  <c r="K79" i="23"/>
  <c r="K42" i="23"/>
  <c r="K82" i="23"/>
  <c r="K49" i="23"/>
  <c r="K69" i="23"/>
  <c r="K37" i="23"/>
  <c r="K102" i="23"/>
  <c r="K55" i="23"/>
  <c r="K59" i="23"/>
  <c r="K86" i="23"/>
  <c r="K85" i="23"/>
  <c r="K14" i="23"/>
  <c r="K63" i="23"/>
  <c r="K16" i="23"/>
  <c r="K17" i="23"/>
  <c r="K109" i="23"/>
  <c r="K87" i="23"/>
  <c r="K76" i="23"/>
  <c r="K31" i="23"/>
  <c r="K41" i="23"/>
  <c r="K84" i="23"/>
  <c r="K60" i="23"/>
  <c r="K120" i="23"/>
  <c r="K35" i="23"/>
  <c r="K89" i="23"/>
  <c r="K117" i="23"/>
  <c r="K100" i="23"/>
  <c r="K64" i="23"/>
  <c r="K81" i="23"/>
  <c r="K29" i="23"/>
  <c r="K54" i="23"/>
  <c r="K93" i="23"/>
  <c r="K7" i="23"/>
  <c r="K8" i="23"/>
  <c r="K53" i="23"/>
  <c r="K94" i="23"/>
  <c r="K18" i="23"/>
  <c r="K78" i="23"/>
  <c r="K43" i="23"/>
  <c r="K48" i="23"/>
  <c r="K74" i="23"/>
  <c r="K101" i="23"/>
  <c r="K6" i="23"/>
  <c r="K52" i="23"/>
  <c r="K96" i="23"/>
  <c r="K5" i="23"/>
  <c r="K46" i="23"/>
  <c r="K24" i="23"/>
  <c r="K68" i="23"/>
  <c r="K72" i="23"/>
  <c r="K114" i="23"/>
  <c r="K39" i="23"/>
  <c r="K92" i="23"/>
  <c r="K98" i="23"/>
  <c r="K15" i="23"/>
  <c r="K67" i="23"/>
  <c r="K66" i="23"/>
  <c r="K104" i="23"/>
  <c r="K103" i="23"/>
  <c r="K108" i="23"/>
  <c r="K47" i="23"/>
  <c r="K32" i="23"/>
  <c r="K111" i="23"/>
  <c r="K58" i="23"/>
  <c r="K22" i="23"/>
  <c r="K33" i="23"/>
  <c r="K44" i="23"/>
  <c r="K9" i="23"/>
  <c r="K30" i="23"/>
  <c r="K121" i="23"/>
</calcChain>
</file>

<file path=xl/sharedStrings.xml><?xml version="1.0" encoding="utf-8"?>
<sst xmlns="http://schemas.openxmlformats.org/spreadsheetml/2006/main" count="7097" uniqueCount="650">
  <si>
    <t>TOC</t>
  </si>
  <si>
    <t>é</t>
  </si>
  <si>
    <t>BESID</t>
  </si>
  <si>
    <t>Preference Customer</t>
  </si>
  <si>
    <t>NOTJOE</t>
  </si>
  <si>
    <t>JOE</t>
  </si>
  <si>
    <t>Avg Non-Slice
TOCA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</si>
  <si>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</si>
  <si>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</si>
  <si>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</si>
  <si>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</si>
  <si>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</si>
  <si>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</si>
  <si>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</si>
  <si>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</si>
  <si>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</si>
  <si>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</si>
  <si>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</si>
  <si>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</si>
  <si>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</si>
  <si>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</si>
  <si>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</si>
  <si>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</si>
  <si>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</si>
  <si>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</si>
  <si>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</si>
  <si>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</si>
  <si>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</si>
  <si>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</si>
  <si>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</si>
  <si>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</si>
  <si>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</si>
  <si>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</si>
  <si>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</si>
  <si>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</si>
  <si>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</si>
  <si>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</si>
  <si>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</si>
  <si>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</si>
  <si>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</si>
  <si>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</si>
  <si>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</si>
  <si>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</si>
  <si>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</si>
  <si>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</si>
  <si>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</si>
  <si>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</si>
  <si>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</si>
  <si>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</si>
  <si>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</si>
  <si>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</si>
  <si>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</si>
  <si>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</si>
  <si>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</si>
  <si>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</si>
  <si>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</si>
  <si>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</si>
  <si>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</si>
  <si>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</si>
  <si>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</si>
  <si>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</si>
  <si>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</si>
  <si>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</si>
  <si>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</si>
  <si>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</si>
  <si>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</si>
  <si>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</si>
  <si>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</si>
  <si>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</si>
  <si>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</si>
  <si>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</si>
  <si>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</si>
  <si>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</si>
  <si>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</si>
  <si>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</si>
  <si>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</si>
  <si>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</si>
  <si>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</si>
  <si>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</si>
  <si>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</si>
  <si>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</si>
  <si>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</si>
  <si>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</si>
  <si>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</si>
  <si>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</si>
  <si>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</si>
  <si>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</si>
  <si>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</si>
  <si>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</si>
  <si>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</si>
  <si>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</si>
  <si>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</si>
  <si>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</si>
  <si>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</si>
  <si>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</si>
  <si>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</si>
  <si>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</si>
  <si>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</si>
  <si>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</si>
  <si>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</si>
  <si>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</si>
  <si>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</si>
  <si>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</si>
  <si>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</si>
  <si>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</si>
  <si>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</si>
  <si>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</si>
  <si>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</si>
  <si>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</si>
  <si>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</si>
  <si>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</si>
  <si>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</si>
  <si>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</si>
  <si>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</si>
  <si>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</si>
  <si>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</si>
  <si>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</si>
  <si>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</si>
  <si>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</si>
  <si>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</si>
  <si>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</si>
  <si>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</si>
  <si>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</si>
  <si>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</si>
  <si>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</si>
  <si>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</si>
  <si>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</si>
  <si>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</si>
  <si>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</si>
  <si>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</si>
  <si>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</si>
  <si>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</si>
  <si>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</si>
  <si>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</si>
  <si>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</si>
  <si>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</si>
  <si>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</si>
  <si>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</si>
  <si>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</si>
  <si>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</si>
  <si>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</si>
  <si>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</si>
  <si>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TOCA Computations, RHWMs and Net Requirements</t>
  </si>
  <si>
    <t>HLH</t>
  </si>
  <si>
    <t>LLH</t>
  </si>
  <si>
    <t>Tier 1 Demand Charge Billing Determinant (KW)</t>
  </si>
  <si>
    <t>Preference Customer Parameters</t>
  </si>
  <si>
    <t>AccountName</t>
  </si>
  <si>
    <t>IRD Loads</t>
  </si>
  <si>
    <t>Previous</t>
  </si>
  <si>
    <t>Current</t>
  </si>
  <si>
    <t>Annual Hours</t>
  </si>
  <si>
    <t>days</t>
  </si>
  <si>
    <t>hours</t>
  </si>
  <si>
    <t>HLH%</t>
  </si>
  <si>
    <t>year</t>
  </si>
  <si>
    <t>Cost Allocation under Tiered Rates</t>
  </si>
  <si>
    <t>Costs ($000)</t>
  </si>
  <si>
    <t>Rate Period</t>
  </si>
  <si>
    <t>Composite</t>
  </si>
  <si>
    <t>Non-Slice</t>
  </si>
  <si>
    <t>Slice</t>
  </si>
  <si>
    <t>Tier 2</t>
  </si>
  <si>
    <t>Total Costs</t>
  </si>
  <si>
    <t>Adjustments</t>
  </si>
  <si>
    <t>Revenues from Rate Pools to Composite Cost Pool</t>
  </si>
  <si>
    <t>DSI Revenue Credit</t>
  </si>
  <si>
    <t>Exchange Revenues</t>
  </si>
  <si>
    <t>New Resource Revenues</t>
  </si>
  <si>
    <t>FPS Revenues</t>
  </si>
  <si>
    <t>Non-Federal RSS Revenues</t>
  </si>
  <si>
    <t>Other Credits</t>
  </si>
  <si>
    <t>Tiered Rate Elements</t>
  </si>
  <si>
    <t>Unused RHWM Credit Reallocation</t>
  </si>
  <si>
    <t>Balancing Augmentation Adjustment Reallocation</t>
  </si>
  <si>
    <t>Composite Augmentation RSS Revenue Debit/(Credit)</t>
  </si>
  <si>
    <t>Composite Tier 2 RSS Revenue Debit/(Credit)</t>
  </si>
  <si>
    <t>Composite Tier 2 Rate Design Adjustment Debit/(Credit)</t>
  </si>
  <si>
    <t>Transmission Losses Adjustment Reallocation</t>
  </si>
  <si>
    <t>Total</t>
  </si>
  <si>
    <t>Rate Discount Costs Applied to Composite Pool</t>
  </si>
  <si>
    <t>Irigation Rate Discout Costs</t>
  </si>
  <si>
    <t>Low Density Discount Costs</t>
  </si>
  <si>
    <t>Non-Slice Revenues, Credits, and Costs</t>
  </si>
  <si>
    <t>Secondary Revenue</t>
  </si>
  <si>
    <t>Non-federal RSC Revenues</t>
  </si>
  <si>
    <t>Load Shaping Revenue</t>
  </si>
  <si>
    <t>Demand Revenue</t>
  </si>
  <si>
    <t>Non-Slice Augmentation RSC Revenue Debit/(Credit)</t>
  </si>
  <si>
    <t>Non-Slice Tier 2 RSC Revenue Debit/(Credit)</t>
  </si>
  <si>
    <t>Non-Slice Tier 2 Rate Design Debit/(Credit)</t>
  </si>
  <si>
    <t>TRM Costs after Adjustments</t>
  </si>
  <si>
    <t>Billing Determinants</t>
  </si>
  <si>
    <t>TOCA</t>
  </si>
  <si>
    <t>Non-slice TOCA</t>
  </si>
  <si>
    <t>Slice Percentage</t>
  </si>
  <si>
    <t>Annual TRM Rates ($000/percent)</t>
  </si>
  <si>
    <t>Monthly TRM Rates ($/percent)</t>
  </si>
  <si>
    <t>Tier 2 Rates ($/MWh)</t>
  </si>
  <si>
    <t>Tier 2 Short Term</t>
  </si>
  <si>
    <t>Tier 2 Load Growth</t>
  </si>
  <si>
    <t>Demand (kW)</t>
  </si>
  <si>
    <t>Demand Rate ($/kW/mo.)</t>
  </si>
  <si>
    <t>Demand</t>
  </si>
  <si>
    <t>Load Shaping HLH (MWh)</t>
  </si>
  <si>
    <t>Load Shaping LLH (MWh)</t>
  </si>
  <si>
    <t>Load Shaping HLH Rate ($/MWh)</t>
  </si>
  <si>
    <t>Load Shaping LLH Rate ($/MWh)</t>
  </si>
  <si>
    <t>Load Shaping</t>
  </si>
  <si>
    <t>previous LS</t>
  </si>
  <si>
    <t>current LS</t>
  </si>
  <si>
    <t>previous Demand</t>
  </si>
  <si>
    <t>current Demand</t>
  </si>
  <si>
    <t>Rate Class</t>
  </si>
  <si>
    <t>Charges</t>
  </si>
  <si>
    <t>IRD</t>
  </si>
  <si>
    <t>Tier 1 Energy</t>
  </si>
  <si>
    <t>Tier 1 System Capability</t>
  </si>
  <si>
    <t>previous</t>
  </si>
  <si>
    <t>current</t>
  </si>
  <si>
    <t>Previous Year</t>
  </si>
  <si>
    <t>Effective Rate</t>
  </si>
  <si>
    <t>Percent Change</t>
  </si>
  <si>
    <t>LSTUR</t>
  </si>
  <si>
    <t>Rank</t>
  </si>
  <si>
    <t>Rate Increase Including Slice and LS</t>
  </si>
  <si>
    <t>Increase</t>
  </si>
  <si>
    <t>Customer</t>
  </si>
  <si>
    <t>Energy</t>
  </si>
  <si>
    <t>Cumulative</t>
  </si>
  <si>
    <t>Rate</t>
  </si>
  <si>
    <t>Rate Increase NonSlice and Previous LS Rates</t>
  </si>
  <si>
    <t>Rate Increase NonSlice and Excluding Load Shaping</t>
  </si>
  <si>
    <t>Rate Increase NonSlice</t>
  </si>
  <si>
    <t>Rate Increase NonSlice Effective Rate to Effective Rate</t>
  </si>
  <si>
    <t>Effective Rate Increase</t>
  </si>
  <si>
    <t>NR Revenues from ESS services</t>
  </si>
  <si>
    <t>Reshaping physical format of rates for calculations</t>
  </si>
  <si>
    <t>Kalispel Tribe Utility</t>
  </si>
  <si>
    <t>LSTU</t>
  </si>
  <si>
    <t>Tier 2 Load Shaping Flat Block</t>
  </si>
  <si>
    <t>Rounddown</t>
  </si>
  <si>
    <t>Tier 1 Load Shaping Charges Billing Determinant (MWh)</t>
  </si>
  <si>
    <t>Other Long Term Contract Revenues</t>
  </si>
  <si>
    <t>Tier 2 Vintage 3</t>
  </si>
  <si>
    <t>Staging Table</t>
  </si>
  <si>
    <t xml:space="preserve">Previous Year: </t>
  </si>
  <si>
    <t>Current Year:</t>
  </si>
  <si>
    <t>MWh</t>
  </si>
  <si>
    <t>Demand MW</t>
  </si>
  <si>
    <t>Tier 2 Load Shaping</t>
  </si>
  <si>
    <t>Load Shaping True Up</t>
  </si>
  <si>
    <t>Load Shaping MWh (If Slice/Block Customer then Load Shaping Billing Determinant is the average of the Monthly/Diurnal amounts in both years of the Rate Period)</t>
  </si>
  <si>
    <t>Sum of RHWMs</t>
  </si>
  <si>
    <t>LSTU Credit</t>
  </si>
  <si>
    <t>LSTU Charge</t>
  </si>
  <si>
    <t>Hours</t>
  </si>
  <si>
    <t>Special Implimentation Provision</t>
  </si>
  <si>
    <t>NonSlice</t>
  </si>
  <si>
    <t>LDD</t>
  </si>
  <si>
    <t>Include Tier 2 Load Shaping in Tier 1 Rate Impacts?</t>
  </si>
  <si>
    <t>Slice/Block or Block</t>
  </si>
  <si>
    <t>Yes</t>
  </si>
  <si>
    <t>PNGC LDD</t>
  </si>
  <si>
    <t>PNGC TOCA</t>
  </si>
  <si>
    <t>CHWM 2020</t>
  </si>
  <si>
    <t>TRL 2020</t>
  </si>
  <si>
    <t>TRL 2021</t>
  </si>
  <si>
    <t>NLSL 2020</t>
  </si>
  <si>
    <t>NLSL 2021</t>
  </si>
  <si>
    <t>Existing/Other Resource aMW 2020</t>
  </si>
  <si>
    <t>Existing/Other Resource aMW 2021</t>
  </si>
  <si>
    <t>Existing/Other Resource MWh 2020</t>
  </si>
  <si>
    <t>Existing/Other Resource MWh 2021</t>
  </si>
  <si>
    <t>TRL - NLSL - Existing Resource 2020</t>
  </si>
  <si>
    <t>TRL - NLSL - Existing Resource 2021</t>
  </si>
  <si>
    <t>TRL - NLSL - Existing Resource MWh 2020</t>
  </si>
  <si>
    <t>TRL - NLSL - Existing Resource MWh 2021</t>
  </si>
  <si>
    <t>RHWM 2020</t>
  </si>
  <si>
    <t>RHWM MWh 2020</t>
  </si>
  <si>
    <t>Above RHWM 2020</t>
  </si>
  <si>
    <t>Above RHWM 2021</t>
  </si>
  <si>
    <t>Above RHWM Not Served with LS 2020</t>
  </si>
  <si>
    <t>Above RHWM Not Served with LS 2021</t>
  </si>
  <si>
    <t>TOCA 2020</t>
  </si>
  <si>
    <t>TOCA 2021</t>
  </si>
  <si>
    <t>Slice% 2020</t>
  </si>
  <si>
    <t>Non-slice TOCA 2020</t>
  </si>
  <si>
    <t>Non-slice TOCA 2021</t>
  </si>
  <si>
    <t>T1 Percentage 2020</t>
  </si>
  <si>
    <t>T1 Percentage 2021</t>
  </si>
  <si>
    <t>LDD adjTRL/RHWM 2020</t>
  </si>
  <si>
    <t>LDD adjTRL/RHWM 2021</t>
  </si>
  <si>
    <t>Applicable LDD 2020</t>
  </si>
  <si>
    <t>Applicable LDD 2021</t>
  </si>
  <si>
    <t>Surcharges</t>
  </si>
  <si>
    <t>Composite............................................................................</t>
  </si>
  <si>
    <t>Non-Slice..............................................................................</t>
  </si>
  <si>
    <t>Slice......................................................................................</t>
  </si>
  <si>
    <t xml:space="preserve"> $                      -  </t>
  </si>
  <si>
    <t xml:space="preserve"> $                       -  </t>
  </si>
  <si>
    <t>Tier 2...................................................................................</t>
  </si>
  <si>
    <t>DSI Revenue Credit...............................................................</t>
  </si>
  <si>
    <t>Exchange Revenues...............................................................</t>
  </si>
  <si>
    <t>New Resource Revenues........................................................</t>
  </si>
  <si>
    <t>FPS Revenues........................................................................</t>
  </si>
  <si>
    <t>Non-Federal RSS Revenues....................................................</t>
  </si>
  <si>
    <t>Other Credits.........................................................................</t>
  </si>
  <si>
    <t>Tiered Rate Elements.............................................................</t>
  </si>
  <si>
    <t>Unused RHWM Credit Reallocation.....................................</t>
  </si>
  <si>
    <t>Balancing Augmentation Adjustment Reallocation..................</t>
  </si>
  <si>
    <t>Composite Augmentation RSS Revenue Debit/(Credit)..........</t>
  </si>
  <si>
    <t>Composite Tier 2 RSS Revenue Debit/(Credit)......................</t>
  </si>
  <si>
    <t>Composite Tier 2 Rate Design Adjustment Debit/(Credit).......</t>
  </si>
  <si>
    <t>Transmission Losses Adjustment Reallocation.......................</t>
  </si>
  <si>
    <t>Total......................................................................................</t>
  </si>
  <si>
    <t>Irigation Rate Discout Costs....................................................</t>
  </si>
  <si>
    <t>Low Density Discount Costs...................................................</t>
  </si>
  <si>
    <t>Secondary Revenue................................................................</t>
  </si>
  <si>
    <t>Other Long Term Contract Revenues......................................</t>
  </si>
  <si>
    <t>Non-federal RSC Revenues....................................................</t>
  </si>
  <si>
    <t>NR Revenues from ESS services............................................</t>
  </si>
  <si>
    <t>Load Shaping Revenue...........................................................</t>
  </si>
  <si>
    <t>Demand Revenue...................................................................</t>
  </si>
  <si>
    <t>Non-Slice Augmentation RSC Revenue Debit/(Credit)..............</t>
  </si>
  <si>
    <t>Non-Slice Tier 2 RSC Revenue Debit/(Credit)..........................</t>
  </si>
  <si>
    <t>Non-Slice Tier 2 Rate Design Debit/(Credit)............................</t>
  </si>
  <si>
    <t>Transmission Losses Adjustment Reallocation..........................</t>
  </si>
  <si>
    <t>TOCA..................................................................................</t>
  </si>
  <si>
    <t>Non-slice TOCA..................................................................</t>
  </si>
  <si>
    <t>Slice Percentage..................................................................</t>
  </si>
  <si>
    <t xml:space="preserve">                         -  </t>
  </si>
  <si>
    <t xml:space="preserve">                          -  </t>
  </si>
  <si>
    <t>Tier 2 Short Term................................................................</t>
  </si>
  <si>
    <t>Tier 2 Load Growth.............................................................</t>
  </si>
  <si>
    <t>Tier 2 Vintage 3...................................................................</t>
  </si>
  <si>
    <t>BP-20 Rate</t>
  </si>
  <si>
    <t>RT1SC HLH</t>
  </si>
  <si>
    <t>RT1SC LLH</t>
  </si>
  <si>
    <t>RAM2020.xls</t>
  </si>
  <si>
    <t>System Shaped Load</t>
  </si>
  <si>
    <t xml:space="preserve">Total </t>
  </si>
  <si>
    <t>No</t>
  </si>
  <si>
    <t>Select Current Year?</t>
  </si>
  <si>
    <t>Monthly Hours</t>
  </si>
  <si>
    <t>FiscalID</t>
  </si>
  <si>
    <t>Cal Date</t>
  </si>
  <si>
    <t>LLH%</t>
  </si>
  <si>
    <t>2015_1</t>
  </si>
  <si>
    <t>2015_2</t>
  </si>
  <si>
    <t>2015_3</t>
  </si>
  <si>
    <t>2015_4</t>
  </si>
  <si>
    <t>2015_5</t>
  </si>
  <si>
    <t>2015_6</t>
  </si>
  <si>
    <t>2015_7</t>
  </si>
  <si>
    <t>2015_8</t>
  </si>
  <si>
    <t>2015_9</t>
  </si>
  <si>
    <t>2015_10</t>
  </si>
  <si>
    <t>2015_11</t>
  </si>
  <si>
    <t>2015_12</t>
  </si>
  <si>
    <t>2016_1</t>
  </si>
  <si>
    <t>2016_2</t>
  </si>
  <si>
    <t>2016_3</t>
  </si>
  <si>
    <t>2016_4</t>
  </si>
  <si>
    <t>2016_5</t>
  </si>
  <si>
    <t>2016_6</t>
  </si>
  <si>
    <t>2016_7</t>
  </si>
  <si>
    <t>2016_8</t>
  </si>
  <si>
    <t>2016_9</t>
  </si>
  <si>
    <t>2016_10</t>
  </si>
  <si>
    <t>2016_11</t>
  </si>
  <si>
    <t>2016_12</t>
  </si>
  <si>
    <t>2017_1</t>
  </si>
  <si>
    <t>2017_2</t>
  </si>
  <si>
    <t>2017_3</t>
  </si>
  <si>
    <t>2017_4</t>
  </si>
  <si>
    <t>2017_5</t>
  </si>
  <si>
    <t>2017_6</t>
  </si>
  <si>
    <t>2017_7</t>
  </si>
  <si>
    <t>2017_8</t>
  </si>
  <si>
    <t>2017_9</t>
  </si>
  <si>
    <t>2017_10</t>
  </si>
  <si>
    <t>2017_11</t>
  </si>
  <si>
    <t>2017_12</t>
  </si>
  <si>
    <t>2018_1</t>
  </si>
  <si>
    <t>2018_2</t>
  </si>
  <si>
    <t>2018_3</t>
  </si>
  <si>
    <t>2018_4</t>
  </si>
  <si>
    <t>2018_5</t>
  </si>
  <si>
    <t>2018_6</t>
  </si>
  <si>
    <t>2018_7</t>
  </si>
  <si>
    <t>2018_8</t>
  </si>
  <si>
    <t>2018_9</t>
  </si>
  <si>
    <t>2018_10</t>
  </si>
  <si>
    <t>2018_11</t>
  </si>
  <si>
    <t>2018_12</t>
  </si>
  <si>
    <t>2019_1</t>
  </si>
  <si>
    <t>2019_2</t>
  </si>
  <si>
    <t>2019_3</t>
  </si>
  <si>
    <t>2019_4</t>
  </si>
  <si>
    <t>2019_5</t>
  </si>
  <si>
    <t>2019_6</t>
  </si>
  <si>
    <t>2019_7</t>
  </si>
  <si>
    <t>2019_8</t>
  </si>
  <si>
    <t>2019_9</t>
  </si>
  <si>
    <t>2019_10</t>
  </si>
  <si>
    <t>2019_11</t>
  </si>
  <si>
    <t>2019_12</t>
  </si>
  <si>
    <t>2020_1</t>
  </si>
  <si>
    <t>2020_2</t>
  </si>
  <si>
    <t>2020_3</t>
  </si>
  <si>
    <t>2020_4</t>
  </si>
  <si>
    <t>2020_5</t>
  </si>
  <si>
    <t>2020_6</t>
  </si>
  <si>
    <t>2020_7</t>
  </si>
  <si>
    <t>2020_8</t>
  </si>
  <si>
    <t>2020_9</t>
  </si>
  <si>
    <t>2020_10</t>
  </si>
  <si>
    <t>2020_11</t>
  </si>
  <si>
    <t>2020_12</t>
  </si>
  <si>
    <t>2021_1</t>
  </si>
  <si>
    <t>2021_2</t>
  </si>
  <si>
    <t>2021_3</t>
  </si>
  <si>
    <t>2021_4</t>
  </si>
  <si>
    <t>2021_5</t>
  </si>
  <si>
    <t>2021_6</t>
  </si>
  <si>
    <t>2021_7</t>
  </si>
  <si>
    <t>2021_8</t>
  </si>
  <si>
    <t>2021_9</t>
  </si>
  <si>
    <t>2021_10</t>
  </si>
  <si>
    <t>2021_11</t>
  </si>
  <si>
    <t>2021_12</t>
  </si>
  <si>
    <t>2022_1</t>
  </si>
  <si>
    <t>2022_2</t>
  </si>
  <si>
    <t>2022_3</t>
  </si>
  <si>
    <t>2022_4</t>
  </si>
  <si>
    <t>2022_5</t>
  </si>
  <si>
    <t>2022_6</t>
  </si>
  <si>
    <t>2022_7</t>
  </si>
  <si>
    <t>2022_8</t>
  </si>
  <si>
    <t>2022_9</t>
  </si>
  <si>
    <t>2022_10</t>
  </si>
  <si>
    <t>2022_11</t>
  </si>
  <si>
    <t>2022_12</t>
  </si>
  <si>
    <t>2023_1</t>
  </si>
  <si>
    <t>2023_2</t>
  </si>
  <si>
    <t>2023_3</t>
  </si>
  <si>
    <t>2023_4</t>
  </si>
  <si>
    <t>2023_5</t>
  </si>
  <si>
    <t>2023_6</t>
  </si>
  <si>
    <t>2023_7</t>
  </si>
  <si>
    <t>2023_8</t>
  </si>
  <si>
    <t>2023_9</t>
  </si>
  <si>
    <t>2023_10</t>
  </si>
  <si>
    <t>2023_11</t>
  </si>
  <si>
    <t>2023_12</t>
  </si>
  <si>
    <t>2024_1</t>
  </si>
  <si>
    <t>2024_2</t>
  </si>
  <si>
    <t>2024_3</t>
  </si>
  <si>
    <t>2024_4</t>
  </si>
  <si>
    <t>2024_5</t>
  </si>
  <si>
    <t>2024_6</t>
  </si>
  <si>
    <t>2024_7</t>
  </si>
  <si>
    <t>2024_8</t>
  </si>
  <si>
    <t>2024_9</t>
  </si>
  <si>
    <t>2024_10</t>
  </si>
  <si>
    <t>2024_11</t>
  </si>
  <si>
    <t>2024_12</t>
  </si>
  <si>
    <t>2025_1</t>
  </si>
  <si>
    <t>2025_2</t>
  </si>
  <si>
    <t>2025_3</t>
  </si>
  <si>
    <t>2025_4</t>
  </si>
  <si>
    <t>2025_5</t>
  </si>
  <si>
    <t>2025_6</t>
  </si>
  <si>
    <t>2025_7</t>
  </si>
  <si>
    <t>2025_8</t>
  </si>
  <si>
    <t>2025_9</t>
  </si>
  <si>
    <t>2025_10</t>
  </si>
  <si>
    <t>2025_11</t>
  </si>
  <si>
    <t>2025_12</t>
  </si>
  <si>
    <t>2026_1</t>
  </si>
  <si>
    <t>2026_2</t>
  </si>
  <si>
    <t>2026_3</t>
  </si>
  <si>
    <t>2026_4</t>
  </si>
  <si>
    <t>2026_5</t>
  </si>
  <si>
    <t>2026_6</t>
  </si>
  <si>
    <t>2026_7</t>
  </si>
  <si>
    <t>2026_8</t>
  </si>
  <si>
    <t>2026_9</t>
  </si>
  <si>
    <t>2026_10</t>
  </si>
  <si>
    <t>2026_11</t>
  </si>
  <si>
    <t>2026_12</t>
  </si>
  <si>
    <t>2027_1</t>
  </si>
  <si>
    <t>2027_2</t>
  </si>
  <si>
    <t>2027_3</t>
  </si>
  <si>
    <t>2027_4</t>
  </si>
  <si>
    <t>2027_5</t>
  </si>
  <si>
    <t>2027_6</t>
  </si>
  <si>
    <t>2027_7</t>
  </si>
  <si>
    <t>2027_8</t>
  </si>
  <si>
    <t>2027_9</t>
  </si>
  <si>
    <t>2027_10</t>
  </si>
  <si>
    <t>2027_11</t>
  </si>
  <si>
    <t>2027_12</t>
  </si>
  <si>
    <t>2028_1</t>
  </si>
  <si>
    <t>2028_2</t>
  </si>
  <si>
    <t>2028_3</t>
  </si>
  <si>
    <t>2028_4</t>
  </si>
  <si>
    <t>2028_5</t>
  </si>
  <si>
    <t>2028_6</t>
  </si>
  <si>
    <t>2028_7</t>
  </si>
  <si>
    <t>2028_8</t>
  </si>
  <si>
    <t>2028_9</t>
  </si>
  <si>
    <t>2028_10</t>
  </si>
  <si>
    <t>2028_11</t>
  </si>
  <si>
    <t>2028_12</t>
  </si>
  <si>
    <t>2029_1</t>
  </si>
  <si>
    <t>2029_2</t>
  </si>
  <si>
    <t>2029_3</t>
  </si>
  <si>
    <t>2029_4</t>
  </si>
  <si>
    <t>2029_5</t>
  </si>
  <si>
    <t>2029_6</t>
  </si>
  <si>
    <t>2029_7</t>
  </si>
  <si>
    <t>2029_8</t>
  </si>
  <si>
    <t>2029_9</t>
  </si>
  <si>
    <t>2029_10</t>
  </si>
  <si>
    <t>2029_11</t>
  </si>
  <si>
    <t>2029_12</t>
  </si>
  <si>
    <t>2030_1</t>
  </si>
  <si>
    <t>2030_2</t>
  </si>
  <si>
    <t>2030_3</t>
  </si>
  <si>
    <t>2030_4</t>
  </si>
  <si>
    <t>2030_5</t>
  </si>
  <si>
    <t>2030_6</t>
  </si>
  <si>
    <t>2030_7</t>
  </si>
  <si>
    <t>2030_8</t>
  </si>
  <si>
    <t>2030_9</t>
  </si>
  <si>
    <t>2030_10</t>
  </si>
  <si>
    <t>2030_11</t>
  </si>
  <si>
    <t>2030_12</t>
  </si>
  <si>
    <t>2031_1</t>
  </si>
  <si>
    <t>2031_2</t>
  </si>
  <si>
    <t>2031_3</t>
  </si>
  <si>
    <t>2031_4</t>
  </si>
  <si>
    <t>2031_5</t>
  </si>
  <si>
    <t>2031_6</t>
  </si>
  <si>
    <t>2031_7</t>
  </si>
  <si>
    <t>2031_8</t>
  </si>
  <si>
    <t>2031_9</t>
  </si>
  <si>
    <t>2031_10</t>
  </si>
  <si>
    <t>2031_11</t>
  </si>
  <si>
    <t>2031_12</t>
  </si>
  <si>
    <t>2032_1</t>
  </si>
  <si>
    <t>2032_2</t>
  </si>
  <si>
    <t>2032_3</t>
  </si>
  <si>
    <t>2032_4</t>
  </si>
  <si>
    <t>2032_5</t>
  </si>
  <si>
    <t>2032_6</t>
  </si>
  <si>
    <t>2032_7</t>
  </si>
  <si>
    <t>2032_8</t>
  </si>
  <si>
    <t>2032_9</t>
  </si>
  <si>
    <t>2032_10</t>
  </si>
  <si>
    <t>2032_11</t>
  </si>
  <si>
    <t>2032_12</t>
  </si>
  <si>
    <t>2033_1</t>
  </si>
  <si>
    <t>2033_2</t>
  </si>
  <si>
    <t>2033_3</t>
  </si>
  <si>
    <t>2033_4</t>
  </si>
  <si>
    <t>2033_5</t>
  </si>
  <si>
    <t>2033_6</t>
  </si>
  <si>
    <t>2033_7</t>
  </si>
  <si>
    <t>2033_8</t>
  </si>
  <si>
    <t>2033_9</t>
  </si>
  <si>
    <t>2033_10</t>
  </si>
  <si>
    <t>2033_11</t>
  </si>
  <si>
    <t>2033_12</t>
  </si>
  <si>
    <t>CHWM 2022</t>
  </si>
  <si>
    <t>TRL 2022</t>
  </si>
  <si>
    <t>TRL 2023</t>
  </si>
  <si>
    <t>NLSL 2022</t>
  </si>
  <si>
    <t>NLSL 2023</t>
  </si>
  <si>
    <t>Existing/Other Resource aMW 2022</t>
  </si>
  <si>
    <t>Existing/Other Resource aMW 2023</t>
  </si>
  <si>
    <t>Existing/Other Resource MWh 2022</t>
  </si>
  <si>
    <t>Existing/Other Resource MWh 2023</t>
  </si>
  <si>
    <t>TRL - NLSL - Existing Resource 2022</t>
  </si>
  <si>
    <t>TRL - NLSL - Existing Resource 2023</t>
  </si>
  <si>
    <t>TRL - NLSL - Existing Resource MWh 2022</t>
  </si>
  <si>
    <t>TRL - NLSL - Existing Resource MWh 2023</t>
  </si>
  <si>
    <t>RHWM 2022</t>
  </si>
  <si>
    <t>RHWM MWh 2022</t>
  </si>
  <si>
    <t>RHWM MWh 2023</t>
  </si>
  <si>
    <t>Above RHWM 2022</t>
  </si>
  <si>
    <t>Above RHWM 2023</t>
  </si>
  <si>
    <t>Above RHWM Not Served with LS 2022</t>
  </si>
  <si>
    <t>Above RHWM Not Served with LS 2023</t>
  </si>
  <si>
    <t>Above RHWM Load Served at the LS rate 2022</t>
  </si>
  <si>
    <t>Above RHWM Load Served at the LS rate 2023</t>
  </si>
  <si>
    <t>Total Vintage 2022</t>
  </si>
  <si>
    <t>Total Vintage 2023</t>
  </si>
  <si>
    <t>Remaining Above RHWM 2022</t>
  </si>
  <si>
    <t>Remaining Above RHWM 2023</t>
  </si>
  <si>
    <t>TOCA 2022</t>
  </si>
  <si>
    <t>TOCA 2023</t>
  </si>
  <si>
    <t>Slice% 2022</t>
  </si>
  <si>
    <t>Non-slice TOCA 2022</t>
  </si>
  <si>
    <t>Non-slice TOCA 2023</t>
  </si>
  <si>
    <t>T1 Percentage 2022</t>
  </si>
  <si>
    <t>T1 Percentage 2023</t>
  </si>
  <si>
    <t>LDD adjTRL/RHWM 2022</t>
  </si>
  <si>
    <t>LDD adjTRL/RHWM 2023</t>
  </si>
  <si>
    <t>Applicable LDD 2022</t>
  </si>
  <si>
    <t>Applicable LDD 2023</t>
  </si>
  <si>
    <t>Election 2022</t>
  </si>
  <si>
    <t>Election 2023</t>
  </si>
  <si>
    <t>Amount 2022</t>
  </si>
  <si>
    <t>Amount 2023</t>
  </si>
  <si>
    <t>Tier 2 Amounts 2022</t>
  </si>
  <si>
    <t>Tier 2 Amounts 2023</t>
  </si>
  <si>
    <t>New Resource aMW 2022</t>
  </si>
  <si>
    <t>New Resource aMW 2023</t>
  </si>
  <si>
    <t>Remarketing 2022</t>
  </si>
  <si>
    <t>Remarketing 2023</t>
  </si>
  <si>
    <t>T2 Remarketing 2022</t>
  </si>
  <si>
    <t>T2 Remarketing 2023</t>
  </si>
  <si>
    <t>NR Remarketing 2022</t>
  </si>
  <si>
    <t>NR Remarketing 2023</t>
  </si>
  <si>
    <t>Forecast Net Requirement 2022</t>
  </si>
  <si>
    <t>Forecast Net Requirement 2023</t>
  </si>
  <si>
    <t>JOE Previous</t>
  </si>
  <si>
    <t>JOE Current</t>
  </si>
  <si>
    <t>Use Previous BP-20 Billing Determinants adjusted for BP-22 Loads and CSP?</t>
  </si>
  <si>
    <t>RAMmodel_REP2022.xls</t>
  </si>
  <si>
    <t>Real Power Losses (Non-Slice)</t>
  </si>
  <si>
    <t>PRSC Net Credit (Non-Slice)</t>
  </si>
  <si>
    <t>Financial Reserves Surcharge Annual Rate BP20</t>
  </si>
  <si>
    <t>FRP Surcharge Dec-Sept rate BP22</t>
  </si>
  <si>
    <t>LSTU w/ Surcharge, if any</t>
  </si>
  <si>
    <t>Rate Period Values</t>
  </si>
  <si>
    <t>RT1SC</t>
  </si>
  <si>
    <t>sum of RHWM</t>
  </si>
  <si>
    <t>Composite....................................................................</t>
  </si>
  <si>
    <t>FRP Surcharge Dec-Sept rate BP20, suspended as of July 1, 2020</t>
  </si>
  <si>
    <t>MAX Financial Reserves Surcharge Annual Rate BP22</t>
  </si>
  <si>
    <t>sum of SSL, Oct-Sep, MWh</t>
  </si>
  <si>
    <t>IP Load, Oct-Sep, MWh</t>
  </si>
  <si>
    <t>sum of SSL, Dec-Sep, MWh</t>
  </si>
  <si>
    <t>IP Load, Dec-Sep, MWh</t>
  </si>
  <si>
    <t>BP20 Tier 1 Non-Slice Effective Rate $/MWh previous (no FRP Surcharge)</t>
  </si>
  <si>
    <t>BP-22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</si>
</sst>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_(* #,##0.000_);_(* \(#,##0.000\);_(* &quot;-&quot;????_);_(@_)"/>
    <numFmt numFmtId="167" formatCode="_(* #,##0.0000000_);_(* \(#,##0.0000000\);_(* &quot;-&quot;??_);_(@_)"/>
    <numFmt numFmtId="168" formatCode="_(* #,##0_);_(* \(#,##0\);_(* &quot;-&quot;??_);_(@_)"/>
    <numFmt numFmtId="169" formatCode="0.000%"/>
    <numFmt numFmtId="170" formatCode="_(* #,##0.000_);_(* \(#,##0.000\);_(* &quot;-&quot;??_);_(@_)"/>
    <numFmt numFmtId="171" formatCode="@*."/>
    <numFmt numFmtId="172" formatCode="_(&quot;$&quot;* #,##0_);_(&quot;$&quot;* \(#,##0\);_(&quot;$&quot;* &quot;-&quot;??_);_(@_)"/>
    <numFmt numFmtId="173" formatCode="0.0000"/>
    <numFmt numFmtId="174" formatCode="[$-409]mmm\-yy;@"/>
    <numFmt numFmtId="175" formatCode="0.0%"/>
    <numFmt numFmtId="176" formatCode="_(* #,##0.00_);\(* #,##0.00\);_(* &quot;-&quot;??_);_(@_)"/>
    <numFmt numFmtId="177" formatCode="#,##0.0_)\x;\(#,##0.0\)\x;0.0_)\x;@_)_x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\€_(#,##0.00_);\€\(#,##0.00\);\€_(0.00_);@_)"/>
    <numFmt numFmtId="182" formatCode="0.0_)\%;\(0.0\)\%;0.0_)\%;@_)_%"/>
    <numFmt numFmtId="183" formatCode="#,##0.0_)_%;\(#,##0.0\)_%;0.0_)_%;@_)_%"/>
    <numFmt numFmtId="184" formatCode="#,##0.0_)_x;\(#,##0.0\)_x;0.0_)_x;@_)_x"/>
    <numFmt numFmtId="185" formatCode="0.000%;;"/>
    <numFmt numFmtId="186" formatCode="&quot;$&quot;#,##0.0;[Red]\-&quot;$&quot;#,##0.0"/>
    <numFmt numFmtId="187" formatCode="_([$€-2]* #,##0.00_);_([$€-2]* \(#,##0.00\);_([$€-2]* &quot;-&quot;??_)"/>
    <numFmt numFmtId="188" formatCode="_-* #,##0.0_-;\-* #,##0.0_-;_-* &quot;-&quot;??_-;_-@_-"/>
    <numFmt numFmtId="189" formatCode="#,##0.00&quot; $&quot;;\-#,##0.00&quot; $&quot;"/>
    <numFmt numFmtId="190" formatCode="#,##0.0000\ ;[Red]\(#,##0.0000\)"/>
    <numFmt numFmtId="191" formatCode="mmm\-yyyy"/>
    <numFmt numFmtId="192" formatCode="_(* #,##0.00000_);_(* \(#,##0.00000\);_(* &quot;-&quot;??_);_(@_)"/>
    <numFmt numFmtId="193" formatCode="0.0000000"/>
    <numFmt numFmtId="194" formatCode="#,##0.000_);[Red]\(#,##0.000\)"/>
    <numFmt numFmtId="195" formatCode="#,##0.000"/>
    <numFmt numFmtId="196" formatCode="0.00_);\(0.00\)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0"/>
      <color indexed="22"/>
      <name val="Calibri"/>
      <family val="2"/>
    </font>
    <font>
      <u/>
      <sz val="10"/>
      <color indexed="12"/>
      <name val="Arial"/>
      <family val="2"/>
    </font>
    <font>
      <b/>
      <u/>
      <sz val="8"/>
      <color indexed="12"/>
      <name val="Times"/>
      <family val="1"/>
    </font>
    <font>
      <b/>
      <sz val="10"/>
      <name val="Times"/>
      <family val="1"/>
    </font>
    <font>
      <sz val="10"/>
      <name val="Arial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Times"/>
      <family val="1"/>
    </font>
    <font>
      <b/>
      <sz val="12"/>
      <color indexed="48"/>
      <name val="Times New Roman"/>
      <family val="1"/>
    </font>
    <font>
      <sz val="10"/>
      <color indexed="9"/>
      <name val="Times New Roman"/>
      <family val="1"/>
    </font>
    <font>
      <sz val="10"/>
      <color indexed="48"/>
      <name val="Times New Roman"/>
      <family val="1"/>
    </font>
    <font>
      <b/>
      <sz val="10"/>
      <name val="Times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4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1"/>
      <name val="??"/>
      <family val="3"/>
      <charset val="129"/>
    </font>
    <font>
      <sz val="10"/>
      <name val="Helv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theme="1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2"/>
      <name val="Times New Roman"/>
      <family val="1"/>
    </font>
    <font>
      <b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name val="Times New Roman"/>
      <family val="1"/>
    </font>
    <font>
      <sz val="11"/>
      <color indexed="9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8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12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38" fontId="34" fillId="10" borderId="0" applyNumberFormat="0" applyFont="0" applyAlignment="0" applyProtection="0"/>
    <xf numFmtId="38" fontId="34" fillId="10" borderId="0" applyNumberFormat="0" applyFont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84" fontId="34" fillId="0" borderId="0" applyFont="0" applyFill="0" applyBorder="0" applyProtection="0">
      <alignment horizontal="right"/>
    </xf>
    <xf numFmtId="184" fontId="34" fillId="0" borderId="0" applyFont="0" applyFill="0" applyBorder="0" applyProtection="0">
      <alignment horizontal="right"/>
    </xf>
    <xf numFmtId="0" fontId="63" fillId="0" borderId="0" applyNumberFormat="0" applyFill="0" applyBorder="0" applyProtection="0">
      <alignment vertical="top"/>
    </xf>
    <xf numFmtId="38" fontId="59" fillId="0" borderId="27" applyNumberFormat="0" applyFill="0" applyAlignment="0" applyProtection="0"/>
    <xf numFmtId="38" fontId="64" fillId="0" borderId="28" applyNumberFormat="0" applyFill="0" applyProtection="0">
      <alignment horizontal="center"/>
    </xf>
    <xf numFmtId="38" fontId="64" fillId="0" borderId="0" applyNumberFormat="0" applyFill="0" applyBorder="0" applyProtection="0">
      <alignment horizontal="left"/>
    </xf>
    <xf numFmtId="38" fontId="65" fillId="0" borderId="0" applyNumberFormat="0" applyFill="0" applyBorder="0" applyProtection="0">
      <alignment horizontal="centerContinuous"/>
    </xf>
    <xf numFmtId="0" fontId="36" fillId="11" borderId="0" applyNumberFormat="0" applyBorder="0" applyAlignment="0" applyProtection="0"/>
    <xf numFmtId="0" fontId="5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36" fillId="12" borderId="0" applyNumberFormat="0" applyBorder="0" applyAlignment="0" applyProtection="0"/>
    <xf numFmtId="0" fontId="5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36" fillId="13" borderId="0" applyNumberFormat="0" applyBorder="0" applyAlignment="0" applyProtection="0"/>
    <xf numFmtId="0" fontId="5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36" fillId="14" borderId="0" applyNumberFormat="0" applyBorder="0" applyAlignment="0" applyProtection="0"/>
    <xf numFmtId="0" fontId="5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36" fillId="15" borderId="0" applyNumberFormat="0" applyBorder="0" applyAlignment="0" applyProtection="0"/>
    <xf numFmtId="0" fontId="5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36" fillId="16" borderId="0" applyNumberFormat="0" applyBorder="0" applyAlignment="0" applyProtection="0"/>
    <xf numFmtId="0" fontId="5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36" fillId="17" borderId="0" applyNumberFormat="0" applyBorder="0" applyAlignment="0" applyProtection="0"/>
    <xf numFmtId="0" fontId="5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36" fillId="18" borderId="0" applyNumberFormat="0" applyBorder="0" applyAlignment="0" applyProtection="0"/>
    <xf numFmtId="0" fontId="5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36" fillId="19" borderId="0" applyNumberFormat="0" applyBorder="0" applyAlignment="0" applyProtection="0"/>
    <xf numFmtId="0" fontId="5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36" fillId="14" borderId="0" applyNumberFormat="0" applyBorder="0" applyAlignment="0" applyProtection="0"/>
    <xf numFmtId="0" fontId="5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36" fillId="17" borderId="0" applyNumberFormat="0" applyBorder="0" applyAlignment="0" applyProtection="0"/>
    <xf numFmtId="0" fontId="5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36" fillId="20" borderId="0" applyNumberFormat="0" applyBorder="0" applyAlignment="0" applyProtection="0"/>
    <xf numFmtId="0" fontId="5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37" fillId="21" borderId="0" applyNumberFormat="0" applyBorder="0" applyAlignment="0" applyProtection="0"/>
    <xf numFmtId="0" fontId="33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7" fillId="18" borderId="0" applyNumberFormat="0" applyBorder="0" applyAlignment="0" applyProtection="0"/>
    <xf numFmtId="0" fontId="33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37" fillId="22" borderId="0" applyNumberFormat="0" applyBorder="0" applyAlignment="0" applyProtection="0"/>
    <xf numFmtId="0" fontId="33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37" fillId="23" borderId="0" applyNumberFormat="0" applyBorder="0" applyAlignment="0" applyProtection="0"/>
    <xf numFmtId="0" fontId="33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37" fillId="24" borderId="0" applyNumberFormat="0" applyBorder="0" applyAlignment="0" applyProtection="0"/>
    <xf numFmtId="0" fontId="33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37" fillId="25" borderId="0" applyNumberFormat="0" applyBorder="0" applyAlignment="0" applyProtection="0"/>
    <xf numFmtId="0" fontId="33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37" fillId="26" borderId="0" applyNumberFormat="0" applyBorder="0" applyAlignment="0" applyProtection="0"/>
    <xf numFmtId="0" fontId="33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37" fillId="27" borderId="0" applyNumberFormat="0" applyBorder="0" applyAlignment="0" applyProtection="0"/>
    <xf numFmtId="0" fontId="33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37" fillId="22" borderId="0" applyNumberFormat="0" applyBorder="0" applyAlignment="0" applyProtection="0"/>
    <xf numFmtId="0" fontId="33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37" fillId="23" borderId="0" applyNumberFormat="0" applyBorder="0" applyAlignment="0" applyProtection="0"/>
    <xf numFmtId="0" fontId="33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37" fillId="28" borderId="0" applyNumberFormat="0" applyBorder="0" applyAlignment="0" applyProtection="0"/>
    <xf numFmtId="0" fontId="33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57" fillId="0" borderId="0" applyNumberFormat="0" applyFill="0" applyBorder="0" applyAlignment="0">
      <protection locked="0"/>
    </xf>
    <xf numFmtId="0" fontId="38" fillId="12" borderId="0" applyNumberFormat="0" applyBorder="0" applyAlignment="0" applyProtection="0"/>
    <xf numFmtId="0" fontId="69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39" fillId="29" borderId="29" applyNumberFormat="0" applyAlignment="0" applyProtection="0"/>
    <xf numFmtId="0" fontId="71" fillId="29" borderId="29" applyNumberFormat="0" applyAlignment="0" applyProtection="0"/>
    <xf numFmtId="0" fontId="70" fillId="29" borderId="29" applyNumberFormat="0" applyAlignment="0" applyProtection="0"/>
    <xf numFmtId="0" fontId="70" fillId="29" borderId="29" applyNumberFormat="0" applyAlignment="0" applyProtection="0"/>
    <xf numFmtId="0" fontId="40" fillId="30" borderId="30" applyNumberFormat="0" applyAlignment="0" applyProtection="0"/>
    <xf numFmtId="0" fontId="60" fillId="30" borderId="30" applyNumberFormat="0" applyAlignment="0" applyProtection="0"/>
    <xf numFmtId="0" fontId="72" fillId="30" borderId="30" applyNumberFormat="0" applyAlignment="0" applyProtection="0"/>
    <xf numFmtId="0" fontId="72" fillId="30" borderId="30" applyNumberFormat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4" fontId="34" fillId="0" borderId="0" applyFont="0" applyFill="0" applyBorder="0" applyAlignment="0" applyProtection="0"/>
    <xf numFmtId="14" fontId="3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31" applyNumberFormat="0" applyFont="0" applyFill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Fill="0" applyBorder="0" applyProtection="0">
      <alignment horizontal="left"/>
    </xf>
    <xf numFmtId="0" fontId="42" fillId="13" borderId="0" applyNumberFormat="0" applyBorder="0" applyAlignment="0" applyProtection="0"/>
    <xf numFmtId="0" fontId="58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7" fillId="0" borderId="0" applyProtection="0">
      <alignment horizontal="right"/>
    </xf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78" fillId="0" borderId="32" applyNumberFormat="0" applyFill="0" applyAlignment="0" applyProtection="0"/>
    <xf numFmtId="0" fontId="78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6" borderId="29" applyNumberFormat="0" applyAlignment="0" applyProtection="0"/>
    <xf numFmtId="0" fontId="82" fillId="16" borderId="29" applyNumberFormat="0" applyAlignment="0" applyProtection="0"/>
    <xf numFmtId="0" fontId="81" fillId="16" borderId="29" applyNumberFormat="0" applyAlignment="0" applyProtection="0"/>
    <xf numFmtId="0" fontId="81" fillId="16" borderId="29" applyNumberFormat="0" applyAlignment="0" applyProtection="0"/>
    <xf numFmtId="0" fontId="48" fillId="0" borderId="35" applyNumberFormat="0" applyFill="0" applyAlignment="0" applyProtection="0"/>
    <xf numFmtId="0" fontId="84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73" fillId="0" borderId="0" applyFont="0" applyFill="0" applyBorder="0" applyAlignment="0" applyProtection="0">
      <alignment horizontal="right"/>
    </xf>
    <xf numFmtId="0" fontId="49" fillId="10" borderId="0" applyNumberFormat="0" applyBorder="0" applyAlignment="0" applyProtection="0"/>
    <xf numFmtId="0" fontId="86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50" fillId="29" borderId="37" applyNumberFormat="0" applyAlignment="0" applyProtection="0"/>
    <xf numFmtId="0" fontId="88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1" fontId="89" fillId="0" borderId="0" applyProtection="0">
      <alignment horizontal="right" vertical="center"/>
    </xf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0" fontId="90" fillId="0" borderId="0" applyNumberFormat="0" applyFill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2" fillId="0" borderId="0" applyBorder="0" applyProtection="0">
      <alignment vertical="center"/>
    </xf>
    <xf numFmtId="0" fontId="92" fillId="0" borderId="1" applyBorder="0" applyProtection="0">
      <alignment horizontal="right" vertical="center"/>
    </xf>
    <xf numFmtId="0" fontId="93" fillId="32" borderId="0" applyBorder="0" applyProtection="0">
      <alignment horizontal="centerContinuous" vertical="center"/>
    </xf>
    <xf numFmtId="0" fontId="93" fillId="9" borderId="1" applyBorder="0" applyProtection="0">
      <alignment horizontal="centerContinuous" vertical="center"/>
    </xf>
    <xf numFmtId="0" fontId="94" fillId="0" borderId="0" applyBorder="0" applyProtection="0">
      <alignment horizontal="left"/>
    </xf>
    <xf numFmtId="0" fontId="94" fillId="0" borderId="0" applyBorder="0" applyProtection="0">
      <alignment horizontal="left"/>
    </xf>
    <xf numFmtId="0" fontId="61" fillId="0" borderId="0" applyFill="0" applyBorder="0" applyProtection="0">
      <alignment horizontal="left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8" applyNumberFormat="0" applyFill="0" applyAlignment="0" applyProtection="0"/>
    <xf numFmtId="0" fontId="5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25" fillId="0" borderId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8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8" borderId="0" applyNumberFormat="0" applyBorder="0" applyAlignment="0" applyProtection="0"/>
    <xf numFmtId="186" fontId="16" fillId="33" borderId="39">
      <alignment horizontal="center" vertical="center"/>
    </xf>
    <xf numFmtId="0" fontId="38" fillId="12" borderId="0" applyNumberFormat="0" applyBorder="0" applyAlignment="0" applyProtection="0"/>
    <xf numFmtId="0" fontId="39" fillId="29" borderId="29" applyNumberFormat="0" applyAlignment="0" applyProtection="0"/>
    <xf numFmtId="0" fontId="40" fillId="30" borderId="30" applyNumberFormat="0" applyAlignment="0" applyProtection="0"/>
    <xf numFmtId="43" fontId="12" fillId="0" borderId="0" applyFont="0" applyFill="0" applyBorder="0" applyAlignment="0" applyProtection="0"/>
    <xf numFmtId="0" fontId="97" fillId="0" borderId="0"/>
    <xf numFmtId="44" fontId="12" fillId="0" borderId="0" applyFont="0" applyFill="0" applyBorder="0" applyAlignment="0" applyProtection="0"/>
    <xf numFmtId="6" fontId="98" fillId="0" borderId="0">
      <protection locked="0"/>
    </xf>
    <xf numFmtId="187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8" fontId="12" fillId="0" borderId="0">
      <protection locked="0"/>
    </xf>
    <xf numFmtId="188" fontId="12" fillId="0" borderId="0">
      <protection locked="0"/>
    </xf>
    <xf numFmtId="0" fontId="99" fillId="0" borderId="0"/>
    <xf numFmtId="0" fontId="42" fillId="13" borderId="0" applyNumberFormat="0" applyBorder="0" applyAlignment="0" applyProtection="0"/>
    <xf numFmtId="38" fontId="34" fillId="3" borderId="0" applyNumberFormat="0" applyBorder="0" applyAlignment="0" applyProtection="0"/>
    <xf numFmtId="0" fontId="100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57" fillId="0" borderId="40" applyNumberFormat="0" applyFill="0" applyAlignment="0" applyProtection="0"/>
    <xf numFmtId="10" fontId="34" fillId="34" borderId="11" applyNumberFormat="0" applyBorder="0" applyAlignment="0" applyProtection="0"/>
    <xf numFmtId="0" fontId="47" fillId="16" borderId="29" applyNumberFormat="0" applyAlignment="0" applyProtection="0"/>
    <xf numFmtId="0" fontId="48" fillId="0" borderId="35" applyNumberFormat="0" applyFill="0" applyAlignment="0" applyProtection="0"/>
    <xf numFmtId="0" fontId="49" fillId="10" borderId="0" applyNumberFormat="0" applyBorder="0" applyAlignment="0" applyProtection="0"/>
    <xf numFmtId="37" fontId="101" fillId="0" borderId="0"/>
    <xf numFmtId="190" fontId="16" fillId="0" borderId="0"/>
    <xf numFmtId="0" fontId="1" fillId="0" borderId="0"/>
    <xf numFmtId="0" fontId="1" fillId="0" borderId="0"/>
    <xf numFmtId="0" fontId="50" fillId="29" borderId="37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191" fontId="12" fillId="0" borderId="0" applyFill="0" applyBorder="0" applyAlignment="0" applyProtection="0">
      <alignment wrapText="1"/>
    </xf>
    <xf numFmtId="0" fontId="52" fillId="0" borderId="38" applyNumberFormat="0" applyFill="0" applyAlignment="0" applyProtection="0"/>
    <xf numFmtId="37" fontId="34" fillId="8" borderId="0" applyNumberFormat="0" applyBorder="0" applyAlignment="0" applyProtection="0"/>
    <xf numFmtId="37" fontId="34" fillId="0" borderId="0"/>
    <xf numFmtId="37" fontId="34" fillId="8" borderId="0" applyNumberFormat="0" applyBorder="0" applyAlignment="0" applyProtection="0"/>
    <xf numFmtId="3" fontId="102" fillId="0" borderId="40" applyProtection="0"/>
    <xf numFmtId="0" fontId="103" fillId="0" borderId="0">
      <alignment horizontal="center"/>
    </xf>
    <xf numFmtId="0" fontId="5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8" borderId="0" applyNumberFormat="0" applyBorder="0" applyAlignment="0" applyProtection="0"/>
    <xf numFmtId="0" fontId="69" fillId="12" borderId="0" applyNumberFormat="0" applyBorder="0" applyAlignment="0" applyProtection="0"/>
    <xf numFmtId="0" fontId="71" fillId="29" borderId="29" applyNumberFormat="0" applyAlignment="0" applyProtection="0"/>
    <xf numFmtId="0" fontId="60" fillId="30" borderId="30" applyNumberFormat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5" fillId="0" borderId="0" applyNumberFormat="0" applyFill="0" applyBorder="0" applyAlignment="0" applyProtection="0"/>
    <xf numFmtId="0" fontId="58" fillId="1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2" fillId="16" borderId="29" applyNumberFormat="0" applyAlignment="0" applyProtection="0"/>
    <xf numFmtId="0" fontId="84" fillId="0" borderId="35" applyNumberFormat="0" applyFill="0" applyAlignment="0" applyProtection="0"/>
    <xf numFmtId="0" fontId="86" fillId="10" borderId="0" applyNumberFormat="0" applyBorder="0" applyAlignment="0" applyProtection="0"/>
    <xf numFmtId="0" fontId="12" fillId="31" borderId="36" applyNumberFormat="0" applyFont="0" applyAlignment="0" applyProtection="0"/>
    <xf numFmtId="0" fontId="88" fillId="29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5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12" fillId="0" borderId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8" borderId="0" applyNumberFormat="0" applyBorder="0" applyAlignment="0" applyProtection="0"/>
    <xf numFmtId="186" fontId="16" fillId="33" borderId="39">
      <alignment horizontal="center" vertical="center"/>
    </xf>
    <xf numFmtId="0" fontId="57" fillId="0" borderId="0" applyNumberFormat="0" applyFill="0" applyBorder="0" applyAlignment="0">
      <protection locked="0"/>
    </xf>
    <xf numFmtId="0" fontId="68" fillId="12" borderId="0" applyNumberFormat="0" applyBorder="0" applyAlignment="0" applyProtection="0"/>
    <xf numFmtId="0" fontId="70" fillId="29" borderId="29" applyNumberFormat="0" applyAlignment="0" applyProtection="0"/>
    <xf numFmtId="0" fontId="70" fillId="29" borderId="29" applyNumberFormat="0" applyAlignment="0" applyProtection="0"/>
    <xf numFmtId="0" fontId="39" fillId="29" borderId="29" applyNumberFormat="0" applyAlignment="0" applyProtection="0"/>
    <xf numFmtId="0" fontId="70" fillId="29" borderId="29" applyNumberFormat="0" applyAlignment="0" applyProtection="0"/>
    <xf numFmtId="0" fontId="72" fillId="30" borderId="30" applyNumberFormat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5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106" fillId="0" borderId="0" applyProtection="0"/>
    <xf numFmtId="0" fontId="106" fillId="0" borderId="0" applyProtection="0"/>
    <xf numFmtId="0" fontId="10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7" fillId="0" borderId="0" applyProtection="0"/>
    <xf numFmtId="0" fontId="107" fillId="0" borderId="0" applyProtection="0"/>
    <xf numFmtId="0" fontId="107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108" fillId="0" borderId="0" applyProtection="0"/>
    <xf numFmtId="0" fontId="108" fillId="0" borderId="0" applyProtection="0"/>
    <xf numFmtId="0" fontId="108" fillId="0" borderId="0" applyProtection="0"/>
    <xf numFmtId="188" fontId="12" fillId="0" borderId="0">
      <protection locked="0"/>
    </xf>
    <xf numFmtId="0" fontId="76" fillId="13" borderId="0" applyNumberFormat="0" applyBorder="0" applyAlignment="0" applyProtection="0"/>
    <xf numFmtId="38" fontId="34" fillId="3" borderId="0" applyNumberFormat="0" applyBorder="0" applyAlignment="0" applyProtection="0"/>
    <xf numFmtId="0" fontId="77" fillId="0" borderId="0" applyProtection="0">
      <alignment horizontal="right"/>
    </xf>
    <xf numFmtId="0" fontId="78" fillId="0" borderId="32" applyNumberFormat="0" applyFill="0" applyAlignment="0" applyProtection="0"/>
    <xf numFmtId="0" fontId="79" fillId="0" borderId="33" applyNumberFormat="0" applyFill="0" applyAlignment="0" applyProtection="0"/>
    <xf numFmtId="0" fontId="80" fillId="0" borderId="34" applyNumberFormat="0" applyFill="0" applyAlignment="0" applyProtection="0"/>
    <xf numFmtId="0" fontId="80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0" fontId="57" fillId="0" borderId="40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74" fontId="46" fillId="0" borderId="0" applyNumberFormat="0" applyFill="0" applyBorder="0" applyAlignment="0" applyProtection="0">
      <alignment vertical="top"/>
      <protection locked="0"/>
    </xf>
    <xf numFmtId="10" fontId="34" fillId="34" borderId="11" applyNumberFormat="0" applyBorder="0" applyAlignment="0" applyProtection="0"/>
    <xf numFmtId="10" fontId="34" fillId="34" borderId="11" applyNumberFormat="0" applyBorder="0" applyAlignment="0" applyProtection="0"/>
    <xf numFmtId="10" fontId="34" fillId="34" borderId="11" applyNumberFormat="0" applyBorder="0" applyAlignment="0" applyProtection="0"/>
    <xf numFmtId="0" fontId="81" fillId="16" borderId="29" applyNumberFormat="0" applyAlignment="0" applyProtection="0"/>
    <xf numFmtId="0" fontId="81" fillId="16" borderId="29" applyNumberFormat="0" applyAlignment="0" applyProtection="0"/>
    <xf numFmtId="0" fontId="47" fillId="16" borderId="29" applyNumberFormat="0" applyAlignment="0" applyProtection="0"/>
    <xf numFmtId="0" fontId="81" fillId="16" borderId="29" applyNumberFormat="0" applyAlignment="0" applyProtection="0"/>
    <xf numFmtId="0" fontId="81" fillId="16" borderId="29" applyNumberFormat="0" applyAlignment="0" applyProtection="0"/>
    <xf numFmtId="0" fontId="83" fillId="0" borderId="35" applyNumberFormat="0" applyFill="0" applyAlignment="0" applyProtection="0"/>
    <xf numFmtId="0" fontId="85" fillId="10" borderId="0" applyNumberFormat="0" applyBorder="0" applyAlignment="0" applyProtection="0"/>
    <xf numFmtId="37" fontId="101" fillId="0" borderId="0"/>
    <xf numFmtId="37" fontId="101" fillId="0" borderId="0"/>
    <xf numFmtId="190" fontId="1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" fillId="0" borderId="0"/>
    <xf numFmtId="174" fontId="25" fillId="0" borderId="0"/>
    <xf numFmtId="174" fontId="25" fillId="0" borderId="0"/>
    <xf numFmtId="0" fontId="104" fillId="0" borderId="0"/>
    <xf numFmtId="0" fontId="25" fillId="31" borderId="36" applyNumberFormat="0" applyFont="0" applyAlignment="0" applyProtection="0"/>
    <xf numFmtId="0" fontId="25" fillId="31" borderId="36" applyNumberFormat="0" applyFont="0" applyAlignment="0" applyProtection="0"/>
    <xf numFmtId="0" fontId="25" fillId="31" borderId="36" applyNumberFormat="0" applyFont="0" applyAlignment="0" applyProtection="0"/>
    <xf numFmtId="0" fontId="25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25" fillId="31" borderId="36" applyNumberFormat="0" applyFont="0" applyAlignment="0" applyProtection="0"/>
    <xf numFmtId="0" fontId="25" fillId="31" borderId="36" applyNumberFormat="0" applyFont="0" applyAlignment="0" applyProtection="0"/>
    <xf numFmtId="0" fontId="88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0" fontId="50" fillId="29" borderId="37" applyNumberFormat="0" applyAlignment="0" applyProtection="0"/>
    <xf numFmtId="0" fontId="50" fillId="29" borderId="37" applyNumberFormat="0" applyAlignment="0" applyProtection="0"/>
    <xf numFmtId="0" fontId="50" fillId="29" borderId="37" applyNumberFormat="0" applyAlignment="0" applyProtection="0"/>
    <xf numFmtId="0" fontId="87" fillId="29" borderId="37" applyNumberFormat="0" applyAlignment="0" applyProtection="0"/>
    <xf numFmtId="0" fontId="87" fillId="29" borderId="37" applyNumberForma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12" fillId="0" borderId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52" fillId="0" borderId="38" applyNumberFormat="0" applyFill="0" applyAlignment="0" applyProtection="0"/>
    <xf numFmtId="0" fontId="95" fillId="0" borderId="38" applyNumberFormat="0" applyFill="0" applyAlignment="0" applyProtection="0"/>
    <xf numFmtId="37" fontId="34" fillId="8" borderId="0" applyNumberFormat="0" applyBorder="0" applyAlignment="0" applyProtection="0"/>
    <xf numFmtId="37" fontId="34" fillId="0" borderId="0"/>
    <xf numFmtId="37" fontId="34" fillId="0" borderId="0"/>
    <xf numFmtId="0" fontId="96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1" borderId="36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47" fillId="16" borderId="29" applyNumberFormat="0" applyAlignment="0" applyProtection="0"/>
    <xf numFmtId="0" fontId="25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38" fontId="34" fillId="10" borderId="0" applyNumberFormat="0" applyFont="0" applyAlignment="0" applyProtection="0"/>
    <xf numFmtId="38" fontId="34" fillId="10" borderId="0" applyNumberFormat="0" applyFont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84" fontId="34" fillId="0" borderId="0" applyFont="0" applyFill="0" applyBorder="0" applyProtection="0">
      <alignment horizontal="right"/>
    </xf>
    <xf numFmtId="184" fontId="34" fillId="0" borderId="0" applyFont="0" applyFill="0" applyBorder="0" applyProtection="0">
      <alignment horizontal="right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34" fillId="0" borderId="0" applyFont="0" applyFill="0" applyBorder="0" applyAlignment="0" applyProtection="0"/>
    <xf numFmtId="6" fontId="98" fillId="0" borderId="0">
      <protection locked="0"/>
    </xf>
    <xf numFmtId="187" fontId="16" fillId="0" borderId="0" applyFont="0" applyFill="0" applyBorder="0" applyAlignment="0" applyProtection="0"/>
    <xf numFmtId="188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1" fillId="0" borderId="0"/>
    <xf numFmtId="0" fontId="12" fillId="31" borderId="36" applyNumberFormat="0" applyFont="0" applyAlignment="0" applyProtection="0"/>
    <xf numFmtId="10" fontId="12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0" fontId="31" fillId="0" borderId="18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53" fillId="0" borderId="0" applyNumberFormat="0" applyFill="0" applyBorder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25" fillId="0" borderId="0"/>
    <xf numFmtId="0" fontId="47" fillId="16" borderId="2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2" fillId="0" borderId="0"/>
    <xf numFmtId="44" fontId="25" fillId="0" borderId="0" applyFont="0" applyFill="0" applyBorder="0" applyAlignment="0" applyProtection="0"/>
    <xf numFmtId="0" fontId="12" fillId="31" borderId="36" applyNumberFormat="0" applyFont="0" applyAlignment="0" applyProtection="0"/>
    <xf numFmtId="14" fontId="3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1" borderId="36" applyNumberFormat="0" applyFont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0" fontId="12" fillId="31" borderId="36" applyNumberFormat="0" applyFon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98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5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5" fillId="0" borderId="0"/>
    <xf numFmtId="174" fontId="25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111" fillId="0" borderId="0"/>
    <xf numFmtId="0" fontId="11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111" fillId="0" borderId="0"/>
    <xf numFmtId="0" fontId="47" fillId="16" borderId="29" applyNumberFormat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25" fillId="0" borderId="0"/>
    <xf numFmtId="0" fontId="25" fillId="0" borderId="0"/>
    <xf numFmtId="0" fontId="25" fillId="0" borderId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1" fillId="0" borderId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115" fillId="0" borderId="41" applyNumberFormat="0" applyFill="0" applyAlignment="0" applyProtection="0"/>
    <xf numFmtId="0" fontId="116" fillId="0" borderId="42" applyNumberFormat="0" applyFill="0" applyAlignment="0" applyProtection="0"/>
    <xf numFmtId="0" fontId="117" fillId="0" borderId="43" applyNumberFormat="0" applyFill="0" applyAlignment="0" applyProtection="0"/>
    <xf numFmtId="0" fontId="117" fillId="0" borderId="0" applyNumberFormat="0" applyFill="0" applyBorder="0" applyAlignment="0" applyProtection="0"/>
    <xf numFmtId="0" fontId="118" fillId="39" borderId="0" applyNumberFormat="0" applyBorder="0" applyAlignment="0" applyProtection="0"/>
    <xf numFmtId="0" fontId="119" fillId="40" borderId="0" applyNumberFormat="0" applyBorder="0" applyAlignment="0" applyProtection="0"/>
    <xf numFmtId="0" fontId="120" fillId="41" borderId="0" applyNumberFormat="0" applyBorder="0" applyAlignment="0" applyProtection="0"/>
    <xf numFmtId="0" fontId="121" fillId="42" borderId="44" applyNumberFormat="0" applyAlignment="0" applyProtection="0"/>
    <xf numFmtId="0" fontId="122" fillId="43" borderId="45" applyNumberFormat="0" applyAlignment="0" applyProtection="0"/>
    <xf numFmtId="0" fontId="123" fillId="43" borderId="44" applyNumberFormat="0" applyAlignment="0" applyProtection="0"/>
    <xf numFmtId="0" fontId="124" fillId="0" borderId="46" applyNumberFormat="0" applyFill="0" applyAlignment="0" applyProtection="0"/>
    <xf numFmtId="0" fontId="125" fillId="44" borderId="47" applyNumberFormat="0" applyAlignment="0" applyProtection="0"/>
    <xf numFmtId="0" fontId="2" fillId="0" borderId="0" applyNumberFormat="0" applyFill="0" applyBorder="0" applyAlignment="0" applyProtection="0"/>
    <xf numFmtId="0" fontId="1" fillId="45" borderId="48" applyNumberFormat="0" applyFont="0" applyAlignment="0" applyProtection="0"/>
    <xf numFmtId="0" fontId="126" fillId="0" borderId="0" applyNumberFormat="0" applyFill="0" applyBorder="0" applyAlignment="0" applyProtection="0"/>
    <xf numFmtId="0" fontId="3" fillId="0" borderId="49" applyNumberFormat="0" applyFill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" fillId="69" borderId="0" applyNumberFormat="0" applyBorder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127" fillId="0" borderId="0"/>
    <xf numFmtId="0" fontId="127" fillId="0" borderId="0"/>
    <xf numFmtId="9" fontId="25" fillId="0" borderId="0" applyFont="0" applyFill="0" applyBorder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127" fillId="0" borderId="0"/>
    <xf numFmtId="0" fontId="127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127" fillId="0" borderId="0"/>
    <xf numFmtId="0" fontId="127" fillId="0" borderId="0"/>
    <xf numFmtId="0" fontId="47" fillId="16" borderId="29" applyNumberFormat="0" applyAlignment="0" applyProtection="0"/>
    <xf numFmtId="0" fontId="47" fillId="16" borderId="29" applyNumberFormat="0" applyAlignment="0" applyProtection="0"/>
    <xf numFmtId="0" fontId="127" fillId="0" borderId="0"/>
    <xf numFmtId="9" fontId="25" fillId="0" borderId="0" applyFont="0" applyFill="0" applyBorder="0" applyAlignment="0" applyProtection="0"/>
    <xf numFmtId="0" fontId="127" fillId="0" borderId="0"/>
    <xf numFmtId="0" fontId="47" fillId="16" borderId="29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/>
    <xf numFmtId="0" fontId="115" fillId="0" borderId="41" applyNumberFormat="0" applyFill="0" applyAlignment="0" applyProtection="0"/>
    <xf numFmtId="0" fontId="116" fillId="0" borderId="42" applyNumberFormat="0" applyFill="0" applyAlignment="0" applyProtection="0"/>
    <xf numFmtId="0" fontId="117" fillId="0" borderId="43" applyNumberFormat="0" applyFill="0" applyAlignment="0" applyProtection="0"/>
    <xf numFmtId="0" fontId="117" fillId="0" borderId="0" applyNumberFormat="0" applyFill="0" applyBorder="0" applyAlignment="0" applyProtection="0"/>
    <xf numFmtId="0" fontId="118" fillId="39" borderId="0" applyNumberFormat="0" applyBorder="0" applyAlignment="0" applyProtection="0"/>
    <xf numFmtId="0" fontId="119" fillId="40" borderId="0" applyNumberFormat="0" applyBorder="0" applyAlignment="0" applyProtection="0"/>
    <xf numFmtId="0" fontId="120" fillId="41" borderId="0" applyNumberFormat="0" applyBorder="0" applyAlignment="0" applyProtection="0"/>
    <xf numFmtId="0" fontId="121" fillId="42" borderId="44" applyNumberFormat="0" applyAlignment="0" applyProtection="0"/>
    <xf numFmtId="0" fontId="122" fillId="43" borderId="45" applyNumberFormat="0" applyAlignment="0" applyProtection="0"/>
    <xf numFmtId="0" fontId="123" fillId="43" borderId="44" applyNumberFormat="0" applyAlignment="0" applyProtection="0"/>
    <xf numFmtId="0" fontId="124" fillId="0" borderId="46" applyNumberFormat="0" applyFill="0" applyAlignment="0" applyProtection="0"/>
    <xf numFmtId="0" fontId="125" fillId="44" borderId="47" applyNumberFormat="0" applyAlignment="0" applyProtection="0"/>
    <xf numFmtId="0" fontId="2" fillId="0" borderId="0" applyNumberFormat="0" applyFill="0" applyBorder="0" applyAlignment="0" applyProtection="0"/>
    <xf numFmtId="0" fontId="1" fillId="45" borderId="48" applyNumberFormat="0" applyFont="0" applyAlignment="0" applyProtection="0"/>
    <xf numFmtId="0" fontId="126" fillId="0" borderId="0" applyNumberFormat="0" applyFill="0" applyBorder="0" applyAlignment="0" applyProtection="0"/>
    <xf numFmtId="0" fontId="3" fillId="0" borderId="49" applyNumberFormat="0" applyFill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" fillId="69" borderId="0" applyNumberFormat="0" applyBorder="0" applyAlignment="0" applyProtection="0"/>
    <xf numFmtId="0" fontId="121" fillId="42" borderId="44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21" fillId="42" borderId="44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8" borderId="0" applyNumberFormat="0" applyBorder="0" applyAlignment="0" applyProtection="0"/>
    <xf numFmtId="0" fontId="38" fillId="12" borderId="0" applyNumberFormat="0" applyBorder="0" applyAlignment="0" applyProtection="0"/>
    <xf numFmtId="0" fontId="39" fillId="29" borderId="29" applyNumberFormat="0" applyAlignment="0" applyProtection="0"/>
    <xf numFmtId="0" fontId="40" fillId="30" borderId="30" applyNumberFormat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7" fillId="16" borderId="29" applyNumberFormat="0" applyAlignment="0" applyProtection="0"/>
    <xf numFmtId="0" fontId="48" fillId="0" borderId="35" applyNumberFormat="0" applyFill="0" applyAlignment="0" applyProtection="0"/>
    <xf numFmtId="0" fontId="49" fillId="10" borderId="0" applyNumberFormat="0" applyBorder="0" applyAlignment="0" applyProtection="0"/>
    <xf numFmtId="0" fontId="50" fillId="29" borderId="37" applyNumberFormat="0" applyAlignment="0" applyProtection="0"/>
    <xf numFmtId="0" fontId="52" fillId="0" borderId="38" applyNumberFormat="0" applyFill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127" fillId="0" borderId="0"/>
    <xf numFmtId="0" fontId="47" fillId="16" borderId="29" applyNumberFormat="0" applyAlignment="0" applyProtection="0"/>
    <xf numFmtId="0" fontId="25" fillId="0" borderId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6" fillId="0" borderId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29" applyNumberFormat="0" applyAlignment="0" applyProtection="0"/>
    <xf numFmtId="0" fontId="136" fillId="0" borderId="0"/>
    <xf numFmtId="0" fontId="136" fillId="0" borderId="0"/>
    <xf numFmtId="0" fontId="47" fillId="16" borderId="29" applyNumberFormat="0" applyAlignment="0" applyProtection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0" fontId="22" fillId="2" borderId="8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/>
    <xf numFmtId="0" fontId="16" fillId="0" borderId="1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wrapTex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right"/>
    </xf>
    <xf numFmtId="168" fontId="0" fillId="0" borderId="0" xfId="0" applyNumberFormat="1"/>
    <xf numFmtId="168" fontId="0" fillId="0" borderId="0" xfId="1" applyNumberFormat="1" applyFont="1"/>
    <xf numFmtId="0" fontId="3" fillId="0" borderId="0" xfId="0" applyFont="1"/>
    <xf numFmtId="0" fontId="5" fillId="0" borderId="0" xfId="0" applyFont="1" applyFill="1" applyAlignment="1"/>
    <xf numFmtId="164" fontId="6" fillId="0" borderId="0" xfId="0" applyNumberFormat="1" applyFont="1" applyFill="1" applyAlignment="1"/>
    <xf numFmtId="0" fontId="10" fillId="0" borderId="0" xfId="4" applyFont="1" applyFill="1" applyAlignment="1" applyProtection="1"/>
    <xf numFmtId="0" fontId="11" fillId="0" borderId="0" xfId="0" applyFont="1" applyFill="1" applyAlignment="1"/>
    <xf numFmtId="0" fontId="15" fillId="0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29" fillId="4" borderId="11" xfId="0" applyFont="1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43" fontId="32" fillId="0" borderId="0" xfId="1" applyFont="1"/>
    <xf numFmtId="43" fontId="0" fillId="0" borderId="0" xfId="1" applyFont="1"/>
    <xf numFmtId="43" fontId="3" fillId="0" borderId="0" xfId="1" applyFont="1" applyAlignment="1">
      <alignment wrapText="1"/>
    </xf>
    <xf numFmtId="43" fontId="0" fillId="6" borderId="24" xfId="1" applyFont="1" applyFill="1" applyBorder="1"/>
    <xf numFmtId="43" fontId="0" fillId="6" borderId="25" xfId="1" applyFont="1" applyFill="1" applyBorder="1"/>
    <xf numFmtId="43" fontId="0" fillId="6" borderId="26" xfId="1" applyFont="1" applyFill="1" applyBorder="1"/>
    <xf numFmtId="9" fontId="0" fillId="6" borderId="19" xfId="3" applyFont="1" applyFill="1" applyBorder="1"/>
    <xf numFmtId="9" fontId="0" fillId="6" borderId="20" xfId="3" applyFont="1" applyFill="1" applyBorder="1"/>
    <xf numFmtId="9" fontId="0" fillId="6" borderId="21" xfId="3" applyFont="1" applyFill="1" applyBorder="1"/>
    <xf numFmtId="9" fontId="0" fillId="6" borderId="16" xfId="3" applyFont="1" applyFill="1" applyBorder="1"/>
    <xf numFmtId="9" fontId="0" fillId="6" borderId="0" xfId="3" applyFont="1" applyFill="1" applyBorder="1"/>
    <xf numFmtId="9" fontId="0" fillId="6" borderId="17" xfId="3" applyFont="1" applyFill="1" applyBorder="1"/>
    <xf numFmtId="9" fontId="0" fillId="6" borderId="22" xfId="3" applyFont="1" applyFill="1" applyBorder="1"/>
    <xf numFmtId="9" fontId="0" fillId="6" borderId="18" xfId="3" applyFont="1" applyFill="1" applyBorder="1"/>
    <xf numFmtId="9" fontId="0" fillId="6" borderId="23" xfId="3" applyFont="1" applyFill="1" applyBorder="1"/>
    <xf numFmtId="9" fontId="0" fillId="0" borderId="0" xfId="3" applyFont="1"/>
    <xf numFmtId="0" fontId="7" fillId="0" borderId="0" xfId="0" applyFont="1" applyBorder="1"/>
    <xf numFmtId="0" fontId="7" fillId="0" borderId="0" xfId="0" applyFont="1"/>
    <xf numFmtId="1" fontId="7" fillId="4" borderId="11" xfId="0" applyNumberFormat="1" applyFont="1" applyFill="1" applyBorder="1" applyAlignment="1">
      <alignment horizontal="left"/>
    </xf>
    <xf numFmtId="44" fontId="7" fillId="4" borderId="11" xfId="2" applyFont="1" applyFill="1" applyBorder="1" applyAlignment="1">
      <alignment horizontal="left"/>
    </xf>
    <xf numFmtId="9" fontId="0" fillId="0" borderId="0" xfId="0" applyNumberFormat="1"/>
    <xf numFmtId="168" fontId="0" fillId="0" borderId="0" xfId="1" applyNumberFormat="1" applyFont="1"/>
    <xf numFmtId="4" fontId="0" fillId="4" borderId="11" xfId="0" applyNumberFormat="1" applyFill="1" applyBorder="1"/>
    <xf numFmtId="0" fontId="0" fillId="0" borderId="0" xfId="0"/>
    <xf numFmtId="0" fontId="0" fillId="0" borderId="0" xfId="0" applyFill="1"/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5" fontId="0" fillId="0" borderId="7" xfId="3" applyNumberFormat="1" applyFont="1" applyBorder="1"/>
    <xf numFmtId="0" fontId="0" fillId="6" borderId="13" xfId="0" applyFill="1" applyBorder="1"/>
    <xf numFmtId="0" fontId="0" fillId="6" borderId="14" xfId="0" applyFill="1" applyBorder="1"/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43" fontId="0" fillId="0" borderId="7" xfId="0" applyNumberFormat="1" applyFill="1" applyBorder="1"/>
    <xf numFmtId="168" fontId="0" fillId="0" borderId="0" xfId="0" applyNumberFormat="1" applyFill="1"/>
    <xf numFmtId="0" fontId="112" fillId="0" borderId="0" xfId="0" applyFont="1" applyFill="1" applyAlignment="1">
      <alignment horizontal="center" vertic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68" fontId="0" fillId="0" borderId="0" xfId="1" applyNumberFormat="1" applyFont="1"/>
    <xf numFmtId="170" fontId="0" fillId="0" borderId="0" xfId="1" applyNumberFormat="1" applyFont="1"/>
    <xf numFmtId="167" fontId="0" fillId="0" borderId="0" xfId="1" applyNumberFormat="1" applyFont="1"/>
    <xf numFmtId="170" fontId="0" fillId="0" borderId="0" xfId="0" applyNumberFormat="1"/>
    <xf numFmtId="43" fontId="0" fillId="0" borderId="0" xfId="0" applyNumberFormat="1"/>
    <xf numFmtId="0" fontId="0" fillId="0" borderId="0" xfId="0" applyFill="1"/>
    <xf numFmtId="0" fontId="109" fillId="0" borderId="0" xfId="0" applyFont="1" applyFill="1"/>
    <xf numFmtId="168" fontId="0" fillId="0" borderId="0" xfId="1" applyNumberFormat="1" applyFont="1" applyFill="1"/>
    <xf numFmtId="192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0" fillId="0" borderId="0" xfId="0"/>
    <xf numFmtId="0" fontId="110" fillId="0" borderId="0" xfId="0" applyFont="1" applyFill="1"/>
    <xf numFmtId="0" fontId="9" fillId="0" borderId="0" xfId="4" applyAlignment="1" applyProtection="1"/>
    <xf numFmtId="0" fontId="0" fillId="0" borderId="0" xfId="0"/>
    <xf numFmtId="0" fontId="110" fillId="0" borderId="0" xfId="0" applyFont="1" applyFill="1"/>
    <xf numFmtId="0" fontId="9" fillId="0" borderId="0" xfId="4" applyAlignment="1" applyProtection="1"/>
    <xf numFmtId="193" fontId="0" fillId="0" borderId="0" xfId="2" applyNumberFormat="1" applyFont="1" applyFill="1"/>
    <xf numFmtId="193" fontId="0" fillId="0" borderId="0" xfId="2" applyNumberFormat="1" applyFont="1"/>
    <xf numFmtId="0" fontId="0" fillId="0" borderId="0" xfId="0"/>
    <xf numFmtId="170" fontId="0" fillId="0" borderId="0" xfId="1" applyNumberFormat="1" applyFont="1"/>
    <xf numFmtId="167" fontId="0" fillId="0" borderId="0" xfId="1" applyNumberFormat="1" applyFont="1"/>
    <xf numFmtId="43" fontId="0" fillId="0" borderId="0" xfId="0" applyNumberFormat="1"/>
    <xf numFmtId="0" fontId="0" fillId="0" borderId="0" xfId="0" applyFill="1"/>
    <xf numFmtId="0" fontId="109" fillId="0" borderId="0" xfId="0" applyFont="1" applyFill="1"/>
    <xf numFmtId="0" fontId="110" fillId="0" borderId="0" xfId="0" applyFont="1" applyFill="1"/>
    <xf numFmtId="192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9" fillId="0" borderId="0" xfId="4" applyAlignment="1" applyProtection="1"/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168" fontId="0" fillId="0" borderId="0" xfId="0" applyNumberFormat="1"/>
    <xf numFmtId="0" fontId="3" fillId="0" borderId="0" xfId="0" applyFont="1"/>
    <xf numFmtId="170" fontId="0" fillId="0" borderId="0" xfId="1" applyNumberFormat="1" applyFont="1"/>
    <xf numFmtId="170" fontId="0" fillId="0" borderId="0" xfId="0" applyNumberFormat="1"/>
    <xf numFmtId="174" fontId="3" fillId="0" borderId="2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0" fontId="0" fillId="36" borderId="0" xfId="0" applyFill="1"/>
    <xf numFmtId="0" fontId="0" fillId="37" borderId="0" xfId="0" applyFill="1"/>
    <xf numFmtId="1" fontId="7" fillId="0" borderId="0" xfId="0" applyNumberFormat="1" applyFont="1" applyFill="1"/>
    <xf numFmtId="1" fontId="8" fillId="0" borderId="0" xfId="0" applyNumberFormat="1" applyFont="1" applyFill="1"/>
    <xf numFmtId="1" fontId="7" fillId="0" borderId="0" xfId="0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" fontId="0" fillId="0" borderId="0" xfId="0" applyNumberFormat="1" applyFill="1"/>
    <xf numFmtId="1" fontId="7" fillId="0" borderId="0" xfId="0" applyNumberFormat="1" applyFont="1" applyFill="1" applyAlignment="1"/>
    <xf numFmtId="0" fontId="3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 wrapText="1"/>
    </xf>
    <xf numFmtId="174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2" applyNumberFormat="1" applyFont="1"/>
    <xf numFmtId="38" fontId="0" fillId="0" borderId="0" xfId="2" applyNumberFormat="1" applyFont="1"/>
    <xf numFmtId="0" fontId="3" fillId="0" borderId="0" xfId="0" applyFont="1" applyFill="1" applyAlignment="1">
      <alignment horizontal="right"/>
    </xf>
    <xf numFmtId="194" fontId="0" fillId="0" borderId="0" xfId="2" applyNumberFormat="1" applyFont="1"/>
    <xf numFmtId="0" fontId="3" fillId="0" borderId="0" xfId="0" applyFont="1" applyAlignment="1">
      <alignment horizontal="center"/>
    </xf>
    <xf numFmtId="1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/>
    </xf>
    <xf numFmtId="174" fontId="0" fillId="37" borderId="0" xfId="0" applyNumberFormat="1" applyFont="1" applyFill="1" applyAlignment="1">
      <alignment horizontal="center" vertical="center" wrapText="1"/>
    </xf>
    <xf numFmtId="1" fontId="0" fillId="37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93" fontId="0" fillId="0" borderId="0" xfId="0" applyNumberFormat="1"/>
    <xf numFmtId="0" fontId="0" fillId="0" borderId="0" xfId="0" applyFill="1"/>
    <xf numFmtId="0" fontId="0" fillId="0" borderId="0" xfId="0"/>
    <xf numFmtId="194" fontId="0" fillId="0" borderId="0" xfId="2" quotePrefix="1" applyNumberFormat="1" applyFont="1"/>
    <xf numFmtId="194" fontId="0" fillId="0" borderId="0" xfId="0" applyNumberFormat="1"/>
    <xf numFmtId="0" fontId="0" fillId="36" borderId="0" xfId="0" quotePrefix="1" applyFill="1"/>
    <xf numFmtId="0" fontId="0" fillId="37" borderId="0" xfId="0" quotePrefix="1" applyFill="1"/>
    <xf numFmtId="0" fontId="113" fillId="0" borderId="0" xfId="0" applyFont="1"/>
    <xf numFmtId="0" fontId="3" fillId="36" borderId="0" xfId="0" applyFont="1" applyFill="1" applyAlignment="1">
      <alignment horizontal="center"/>
    </xf>
    <xf numFmtId="0" fontId="3" fillId="36" borderId="0" xfId="0" applyFont="1" applyFill="1" applyBorder="1" applyAlignment="1">
      <alignment horizontal="center"/>
    </xf>
    <xf numFmtId="37" fontId="0" fillId="0" borderId="0" xfId="1" applyNumberFormat="1" applyFont="1" applyFill="1" applyBorder="1"/>
    <xf numFmtId="37" fontId="0" fillId="0" borderId="0" xfId="2" applyNumberFormat="1" applyFont="1" applyFill="1" applyBorder="1"/>
    <xf numFmtId="37" fontId="0" fillId="0" borderId="0" xfId="1" quotePrefix="1" applyNumberFormat="1" applyFont="1" applyFill="1" applyBorder="1"/>
    <xf numFmtId="0" fontId="3" fillId="37" borderId="0" xfId="0" applyFont="1" applyFill="1" applyBorder="1" applyAlignment="1">
      <alignment horizontal="center"/>
    </xf>
    <xf numFmtId="0" fontId="3" fillId="37" borderId="0" xfId="0" applyFont="1" applyFill="1" applyAlignment="1">
      <alignment horizontal="center"/>
    </xf>
    <xf numFmtId="37" fontId="0" fillId="0" borderId="0" xfId="0" applyNumberFormat="1"/>
    <xf numFmtId="0" fontId="3" fillId="0" borderId="0" xfId="0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170" fontId="0" fillId="0" borderId="0" xfId="1" applyNumberFormat="1" applyFont="1"/>
    <xf numFmtId="195" fontId="0" fillId="4" borderId="11" xfId="0" applyNumberFormat="1" applyFill="1" applyBorder="1"/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39" fontId="0" fillId="0" borderId="0" xfId="1" applyNumberFormat="1" applyFont="1" applyFill="1" applyBorder="1"/>
    <xf numFmtId="168" fontId="0" fillId="0" borderId="0" xfId="1" applyNumberFormat="1" applyFont="1"/>
    <xf numFmtId="168" fontId="0" fillId="0" borderId="0" xfId="1" applyNumberFormat="1" applyFont="1"/>
    <xf numFmtId="0" fontId="0" fillId="0" borderId="0" xfId="0" applyFont="1" applyFill="1"/>
    <xf numFmtId="0" fontId="0" fillId="0" borderId="0" xfId="0" applyFont="1" applyFill="1" applyBorder="1"/>
    <xf numFmtId="4" fontId="0" fillId="0" borderId="0" xfId="0" applyNumberFormat="1" applyFont="1" applyFill="1"/>
    <xf numFmtId="4" fontId="128" fillId="0" borderId="0" xfId="1023" applyNumberFormat="1" applyFont="1" applyFill="1" applyBorder="1"/>
    <xf numFmtId="4" fontId="0" fillId="0" borderId="0" xfId="0" applyNumberFormat="1" applyFont="1" applyFill="1" applyBorder="1"/>
    <xf numFmtId="4" fontId="128" fillId="0" borderId="0" xfId="1100" applyNumberFormat="1" applyFont="1" applyFill="1" applyBorder="1"/>
    <xf numFmtId="4" fontId="128" fillId="0" borderId="0" xfId="148" applyNumberFormat="1" applyFont="1" applyFill="1" applyBorder="1"/>
    <xf numFmtId="0" fontId="0" fillId="2" borderId="0" xfId="0" applyFont="1" applyFill="1" applyAlignment="1"/>
    <xf numFmtId="0" fontId="0" fillId="2" borderId="0" xfId="0" applyFont="1" applyFill="1"/>
    <xf numFmtId="0" fontId="0" fillId="0" borderId="0" xfId="0" applyFont="1"/>
    <xf numFmtId="172" fontId="128" fillId="0" borderId="0" xfId="1030" applyNumberFormat="1" applyFont="1" applyFill="1" applyBorder="1"/>
    <xf numFmtId="171" fontId="131" fillId="0" borderId="0" xfId="5" applyNumberFormat="1" applyFont="1" applyFill="1" applyBorder="1"/>
    <xf numFmtId="172" fontId="128" fillId="0" borderId="0" xfId="1018" applyNumberFormat="1" applyFont="1" applyFill="1"/>
    <xf numFmtId="171" fontId="131" fillId="0" borderId="1" xfId="5" applyNumberFormat="1" applyFont="1" applyFill="1" applyBorder="1"/>
    <xf numFmtId="172" fontId="128" fillId="0" borderId="1" xfId="1018" applyNumberFormat="1" applyFont="1" applyFill="1" applyBorder="1"/>
    <xf numFmtId="0" fontId="0" fillId="0" borderId="0" xfId="0" applyFont="1" applyBorder="1"/>
    <xf numFmtId="172" fontId="128" fillId="0" borderId="0" xfId="1011" applyNumberFormat="1" applyFont="1" applyFill="1"/>
    <xf numFmtId="168" fontId="0" fillId="0" borderId="0" xfId="0" applyNumberFormat="1" applyFont="1"/>
    <xf numFmtId="171" fontId="130" fillId="0" borderId="0" xfId="5" applyNumberFormat="1" applyFont="1" applyFill="1" applyBorder="1"/>
    <xf numFmtId="0" fontId="132" fillId="2" borderId="0" xfId="0" applyFont="1" applyFill="1" applyAlignment="1"/>
    <xf numFmtId="0" fontId="133" fillId="2" borderId="0" xfId="4" applyFont="1" applyFill="1" applyAlignment="1" applyProtection="1"/>
    <xf numFmtId="0" fontId="128" fillId="5" borderId="0" xfId="0" applyFont="1" applyFill="1" applyAlignment="1"/>
    <xf numFmtId="0" fontId="134" fillId="2" borderId="0" xfId="4" applyFont="1" applyFill="1" applyAlignment="1" applyProtection="1"/>
    <xf numFmtId="0" fontId="29" fillId="0" borderId="15" xfId="0" applyFont="1" applyFill="1" applyBorder="1" applyAlignment="1">
      <alignment horizontal="left" wrapText="1"/>
    </xf>
    <xf numFmtId="0" fontId="129" fillId="0" borderId="15" xfId="0" applyFont="1" applyBorder="1" applyAlignment="1">
      <alignment wrapText="1"/>
    </xf>
    <xf numFmtId="174" fontId="129" fillId="0" borderId="0" xfId="1096" applyNumberFormat="1" applyFont="1"/>
    <xf numFmtId="168" fontId="128" fillId="0" borderId="0" xfId="148" applyNumberFormat="1" applyFont="1"/>
    <xf numFmtId="8" fontId="128" fillId="0" borderId="0" xfId="803" applyNumberFormat="1" applyFont="1"/>
    <xf numFmtId="172" fontId="128" fillId="0" borderId="0" xfId="803" applyNumberFormat="1" applyFont="1"/>
    <xf numFmtId="172" fontId="128" fillId="0" borderId="0" xfId="1222" applyNumberFormat="1" applyFont="1"/>
    <xf numFmtId="174" fontId="129" fillId="0" borderId="1" xfId="1096" applyNumberFormat="1" applyFont="1" applyBorder="1"/>
    <xf numFmtId="168" fontId="128" fillId="0" borderId="1" xfId="148" applyNumberFormat="1" applyFont="1" applyBorder="1"/>
    <xf numFmtId="8" fontId="128" fillId="0" borderId="1" xfId="803" applyNumberFormat="1" applyFont="1" applyBorder="1"/>
    <xf numFmtId="172" fontId="128" fillId="0" borderId="1" xfId="803" applyNumberFormat="1" applyFont="1" applyBorder="1"/>
    <xf numFmtId="172" fontId="128" fillId="0" borderId="1" xfId="1222" applyNumberFormat="1" applyFont="1" applyBorder="1"/>
    <xf numFmtId="174" fontId="129" fillId="0" borderId="0" xfId="1106" applyNumberFormat="1" applyFont="1"/>
    <xf numFmtId="172" fontId="128" fillId="0" borderId="0" xfId="1107" applyNumberFormat="1" applyFont="1"/>
    <xf numFmtId="174" fontId="129" fillId="0" borderId="1" xfId="1106" applyNumberFormat="1" applyFont="1" applyBorder="1"/>
    <xf numFmtId="172" fontId="128" fillId="0" borderId="1" xfId="1107" applyNumberFormat="1" applyFont="1" applyBorder="1"/>
    <xf numFmtId="4" fontId="129" fillId="0" borderId="0" xfId="1006" applyNumberFormat="1" applyFont="1" applyFill="1" applyBorder="1"/>
    <xf numFmtId="4" fontId="128" fillId="0" borderId="0" xfId="803" applyNumberFormat="1" applyFont="1" applyFill="1" applyBorder="1"/>
    <xf numFmtId="172" fontId="128" fillId="0" borderId="0" xfId="803" applyNumberFormat="1" applyFont="1" applyFill="1" applyBorder="1"/>
    <xf numFmtId="168" fontId="128" fillId="0" borderId="0" xfId="148" applyNumberFormat="1" applyFont="1" applyBorder="1"/>
    <xf numFmtId="44" fontId="135" fillId="0" borderId="0" xfId="803" applyNumberFormat="1" applyFont="1" applyBorder="1"/>
    <xf numFmtId="172" fontId="128" fillId="0" borderId="0" xfId="1006" applyNumberFormat="1" applyFont="1" applyBorder="1"/>
    <xf numFmtId="174" fontId="129" fillId="0" borderId="0" xfId="1006" applyNumberFormat="1" applyFont="1" applyBorder="1"/>
    <xf numFmtId="44" fontId="128" fillId="0" borderId="0" xfId="803" applyNumberFormat="1" applyFont="1" applyBorder="1"/>
    <xf numFmtId="172" fontId="128" fillId="0" borderId="0" xfId="803" applyNumberFormat="1" applyFont="1" applyBorder="1"/>
    <xf numFmtId="174" fontId="129" fillId="0" borderId="0" xfId="782" applyNumberFormat="1" applyFont="1" applyBorder="1"/>
    <xf numFmtId="172" fontId="128" fillId="0" borderId="0" xfId="782" applyNumberFormat="1" applyFont="1" applyBorder="1"/>
    <xf numFmtId="44" fontId="0" fillId="0" borderId="0" xfId="0" applyNumberFormat="1" applyFont="1"/>
    <xf numFmtId="174" fontId="129" fillId="0" borderId="0" xfId="0" applyNumberFormat="1" applyFont="1"/>
    <xf numFmtId="174" fontId="129" fillId="0" borderId="1" xfId="0" applyNumberFormat="1" applyFont="1" applyBorder="1"/>
    <xf numFmtId="0" fontId="4" fillId="70" borderId="0" xfId="0" applyFont="1" applyFill="1" applyAlignment="1">
      <alignment horizontal="center"/>
    </xf>
    <xf numFmtId="1" fontId="0" fillId="0" borderId="0" xfId="2" applyNumberFormat="1" applyFont="1"/>
    <xf numFmtId="175" fontId="0" fillId="0" borderId="7" xfId="3" applyNumberFormat="1" applyFont="1" applyFill="1" applyBorder="1"/>
    <xf numFmtId="0" fontId="27" fillId="0" borderId="0" xfId="0" applyFont="1" applyFill="1"/>
    <xf numFmtId="0" fontId="0" fillId="0" borderId="0" xfId="0" applyFill="1"/>
    <xf numFmtId="43" fontId="0" fillId="0" borderId="7" xfId="0" applyNumberFormat="1" applyFill="1" applyBorder="1"/>
    <xf numFmtId="194" fontId="0" fillId="0" borderId="0" xfId="2" applyNumberFormat="1" applyFont="1"/>
    <xf numFmtId="4" fontId="0" fillId="0" borderId="0" xfId="0" applyNumberFormat="1"/>
    <xf numFmtId="8" fontId="128" fillId="0" borderId="0" xfId="1011" applyNumberFormat="1" applyFont="1" applyFill="1" applyBorder="1"/>
    <xf numFmtId="37" fontId="0" fillId="0" borderId="0" xfId="0" applyNumberFormat="1" applyFill="1"/>
    <xf numFmtId="4" fontId="0" fillId="0" borderId="0" xfId="0" applyNumberFormat="1" applyFont="1"/>
    <xf numFmtId="0" fontId="125" fillId="70" borderId="0" xfId="0" applyFont="1" applyFill="1" applyAlignment="1">
      <alignment horizontal="left"/>
    </xf>
    <xf numFmtId="0" fontId="0" fillId="70" borderId="0" xfId="0" applyFont="1" applyFill="1"/>
    <xf numFmtId="0" fontId="0" fillId="0" borderId="0" xfId="0" applyFont="1" applyAlignment="1">
      <alignment wrapText="1"/>
    </xf>
    <xf numFmtId="0" fontId="0" fillId="0" borderId="2" xfId="0" applyFont="1" applyBorder="1"/>
    <xf numFmtId="174" fontId="0" fillId="0" borderId="4" xfId="0" applyNumberFormat="1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10" xfId="0" applyFont="1" applyBorder="1"/>
    <xf numFmtId="174" fontId="0" fillId="0" borderId="0" xfId="0" applyNumberFormat="1" applyFont="1" applyBorder="1"/>
    <xf numFmtId="0" fontId="0" fillId="0" borderId="7" xfId="0" applyFont="1" applyBorder="1"/>
    <xf numFmtId="173" fontId="0" fillId="0" borderId="0" xfId="0" applyNumberFormat="1" applyFont="1" applyBorder="1"/>
    <xf numFmtId="173" fontId="0" fillId="0" borderId="7" xfId="0" applyNumberFormat="1" applyFont="1" applyBorder="1"/>
    <xf numFmtId="0" fontId="0" fillId="0" borderId="5" xfId="0" applyFont="1" applyBorder="1"/>
    <xf numFmtId="174" fontId="0" fillId="0" borderId="1" xfId="0" applyNumberFormat="1" applyFont="1" applyBorder="1"/>
    <xf numFmtId="0" fontId="0" fillId="0" borderId="1" xfId="0" applyFont="1" applyBorder="1"/>
    <xf numFmtId="0" fontId="0" fillId="0" borderId="6" xfId="0" applyFont="1" applyBorder="1"/>
    <xf numFmtId="0" fontId="29" fillId="0" borderId="0" xfId="0" applyFont="1" applyFill="1" applyAlignment="1"/>
    <xf numFmtId="0" fontId="128" fillId="0" borderId="0" xfId="0" applyFont="1" applyFill="1" applyAlignment="1"/>
    <xf numFmtId="0" fontId="137" fillId="0" borderId="0" xfId="0" applyFont="1" applyFill="1" applyBorder="1" applyAlignment="1"/>
    <xf numFmtId="0" fontId="137" fillId="0" borderId="0" xfId="0" applyFont="1" applyFill="1" applyBorder="1" applyAlignment="1">
      <alignment horizontal="center"/>
    </xf>
    <xf numFmtId="0" fontId="128" fillId="0" borderId="0" xfId="0" applyFont="1" applyFill="1" applyBorder="1" applyAlignment="1">
      <alignment wrapText="1"/>
    </xf>
    <xf numFmtId="0" fontId="128" fillId="0" borderId="8" xfId="0" applyFont="1" applyFill="1" applyBorder="1" applyAlignment="1">
      <alignment horizontal="center" wrapText="1"/>
    </xf>
    <xf numFmtId="0" fontId="128" fillId="0" borderId="9" xfId="0" applyFont="1" applyFill="1" applyBorder="1" applyAlignment="1">
      <alignment horizontal="center" wrapText="1"/>
    </xf>
    <xf numFmtId="0" fontId="128" fillId="0" borderId="12" xfId="0" applyFont="1" applyFill="1" applyBorder="1" applyAlignment="1">
      <alignment horizontal="center" wrapText="1"/>
    </xf>
    <xf numFmtId="0" fontId="128" fillId="0" borderId="0" xfId="0" applyFont="1" applyFill="1" applyBorder="1" applyAlignment="1"/>
    <xf numFmtId="0" fontId="128" fillId="0" borderId="2" xfId="0" applyFont="1" applyFill="1" applyBorder="1" applyAlignment="1">
      <alignment horizontal="center"/>
    </xf>
    <xf numFmtId="0" fontId="128" fillId="0" borderId="4" xfId="0" applyFont="1" applyFill="1" applyBorder="1" applyAlignment="1">
      <alignment horizontal="center"/>
    </xf>
    <xf numFmtId="0" fontId="128" fillId="0" borderId="3" xfId="0" applyFont="1" applyFill="1" applyBorder="1" applyAlignment="1">
      <alignment horizontal="center"/>
    </xf>
    <xf numFmtId="0" fontId="128" fillId="0" borderId="10" xfId="0" applyFont="1" applyFill="1" applyBorder="1" applyAlignment="1">
      <alignment horizontal="center"/>
    </xf>
    <xf numFmtId="0" fontId="128" fillId="0" borderId="0" xfId="0" applyFont="1" applyFill="1" applyBorder="1" applyAlignment="1">
      <alignment horizontal="center"/>
    </xf>
    <xf numFmtId="0" fontId="128" fillId="0" borderId="7" xfId="0" applyFont="1" applyFill="1" applyBorder="1" applyAlignment="1">
      <alignment horizontal="center"/>
    </xf>
    <xf numFmtId="0" fontId="128" fillId="0" borderId="5" xfId="0" applyFont="1" applyFill="1" applyBorder="1" applyAlignment="1">
      <alignment horizontal="center"/>
    </xf>
    <xf numFmtId="0" fontId="128" fillId="0" borderId="1" xfId="0" applyFont="1" applyFill="1" applyBorder="1" applyAlignment="1">
      <alignment horizontal="center"/>
    </xf>
    <xf numFmtId="0" fontId="128" fillId="0" borderId="6" xfId="0" applyFont="1" applyFill="1" applyBorder="1" applyAlignment="1">
      <alignment horizontal="center"/>
    </xf>
    <xf numFmtId="0" fontId="24" fillId="38" borderId="10" xfId="0" applyFont="1" applyFill="1" applyBorder="1" applyAlignment="1">
      <alignment horizontal="right"/>
    </xf>
    <xf numFmtId="0" fontId="16" fillId="38" borderId="0" xfId="0" applyFont="1" applyFill="1" applyBorder="1" applyAlignment="1"/>
    <xf numFmtId="0" fontId="16" fillId="38" borderId="11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right"/>
    </xf>
    <xf numFmtId="168" fontId="128" fillId="0" borderId="0" xfId="1" applyNumberFormat="1" applyFont="1" applyFill="1"/>
    <xf numFmtId="44" fontId="128" fillId="0" borderId="0" xfId="2" applyNumberFormat="1" applyFont="1" applyFill="1"/>
    <xf numFmtId="172" fontId="128" fillId="0" borderId="0" xfId="2" applyNumberFormat="1" applyFont="1" applyFill="1"/>
    <xf numFmtId="172" fontId="128" fillId="0" borderId="0" xfId="0" applyNumberFormat="1" applyFont="1" applyFill="1"/>
    <xf numFmtId="3" fontId="128" fillId="0" borderId="0" xfId="0" applyNumberFormat="1" applyFont="1" applyFill="1"/>
    <xf numFmtId="168" fontId="128" fillId="0" borderId="1" xfId="1" applyNumberFormat="1" applyFont="1" applyFill="1" applyBorder="1"/>
    <xf numFmtId="44" fontId="128" fillId="0" borderId="1" xfId="2" applyNumberFormat="1" applyFont="1" applyFill="1" applyBorder="1"/>
    <xf numFmtId="172" fontId="128" fillId="0" borderId="1" xfId="2" applyNumberFormat="1" applyFont="1" applyFill="1" applyBorder="1"/>
    <xf numFmtId="172" fontId="128" fillId="0" borderId="1" xfId="0" applyNumberFormat="1" applyFont="1" applyFill="1" applyBorder="1"/>
    <xf numFmtId="3" fontId="128" fillId="0" borderId="0" xfId="787" applyNumberFormat="1" applyFont="1" applyFill="1"/>
    <xf numFmtId="0" fontId="128" fillId="0" borderId="0" xfId="0" applyFont="1"/>
    <xf numFmtId="171" fontId="128" fillId="0" borderId="0" xfId="5" applyNumberFormat="1" applyFont="1" applyFill="1" applyBorder="1"/>
    <xf numFmtId="171" fontId="128" fillId="0" borderId="1" xfId="5" applyNumberFormat="1" applyFont="1" applyFill="1" applyBorder="1"/>
    <xf numFmtId="171" fontId="29" fillId="0" borderId="0" xfId="5" applyNumberFormat="1" applyFont="1" applyFill="1" applyBorder="1"/>
    <xf numFmtId="0" fontId="29" fillId="0" borderId="15" xfId="5" applyFont="1" applyFill="1" applyBorder="1" applyAlignment="1">
      <alignment horizontal="left"/>
    </xf>
    <xf numFmtId="0" fontId="29" fillId="0" borderId="15" xfId="780" applyFont="1" applyFill="1" applyBorder="1" applyAlignment="1">
      <alignment horizontal="center"/>
    </xf>
    <xf numFmtId="0" fontId="29" fillId="0" borderId="15" xfId="780" applyFont="1" applyFill="1" applyBorder="1" applyAlignment="1">
      <alignment horizontal="left"/>
    </xf>
    <xf numFmtId="172" fontId="128" fillId="0" borderId="0" xfId="1025" applyNumberFormat="1" applyFont="1" applyFill="1" applyBorder="1"/>
    <xf numFmtId="171" fontId="29" fillId="0" borderId="1" xfId="5" applyNumberFormat="1" applyFont="1" applyFill="1" applyBorder="1"/>
    <xf numFmtId="172" fontId="128" fillId="0" borderId="1" xfId="1025" applyNumberFormat="1" applyFont="1" applyFill="1" applyBorder="1"/>
    <xf numFmtId="0" fontId="29" fillId="0" borderId="0" xfId="1019" applyFont="1" applyFill="1" applyAlignment="1">
      <alignment horizontal="right"/>
    </xf>
    <xf numFmtId="172" fontId="128" fillId="0" borderId="0" xfId="1019" applyNumberFormat="1" applyFont="1" applyFill="1" applyBorder="1"/>
    <xf numFmtId="0" fontId="128" fillId="0" borderId="0" xfId="780" applyFont="1" applyFill="1"/>
    <xf numFmtId="172" fontId="128" fillId="0" borderId="0" xfId="780" applyNumberFormat="1" applyFont="1" applyFill="1"/>
    <xf numFmtId="0" fontId="128" fillId="0" borderId="15" xfId="780" applyFont="1" applyFill="1" applyBorder="1" applyAlignment="1">
      <alignment horizontal="center"/>
    </xf>
    <xf numFmtId="172" fontId="128" fillId="0" borderId="15" xfId="780" applyNumberFormat="1" applyFont="1" applyFill="1" applyBorder="1" applyAlignment="1">
      <alignment horizontal="center"/>
    </xf>
    <xf numFmtId="0" fontId="29" fillId="0" borderId="1" xfId="5" applyFont="1" applyFill="1" applyBorder="1" applyAlignment="1">
      <alignment horizontal="left"/>
    </xf>
    <xf numFmtId="0" fontId="29" fillId="0" borderId="15" xfId="1030" applyFont="1" applyFill="1" applyBorder="1" applyAlignment="1">
      <alignment horizontal="center"/>
    </xf>
    <xf numFmtId="0" fontId="29" fillId="0" borderId="15" xfId="1030" applyFont="1" applyFill="1" applyBorder="1" applyAlignment="1">
      <alignment horizontal="left"/>
    </xf>
    <xf numFmtId="171" fontId="128" fillId="0" borderId="0" xfId="5" applyNumberFormat="1" applyFont="1" applyFill="1" applyBorder="1" applyAlignment="1">
      <alignment horizontal="left" indent="1"/>
    </xf>
    <xf numFmtId="171" fontId="128" fillId="0" borderId="1" xfId="5" applyNumberFormat="1" applyFont="1" applyFill="1" applyBorder="1" applyAlignment="1">
      <alignment horizontal="left" indent="1"/>
    </xf>
    <xf numFmtId="172" fontId="128" fillId="0" borderId="1" xfId="1030" applyNumberFormat="1" applyFont="1" applyFill="1" applyBorder="1"/>
    <xf numFmtId="172" fontId="128" fillId="0" borderId="0" xfId="1030" applyNumberFormat="1" applyFont="1" applyFill="1"/>
    <xf numFmtId="0" fontId="29" fillId="0" borderId="15" xfId="1018" applyFont="1" applyFill="1" applyBorder="1" applyAlignment="1">
      <alignment horizontal="center"/>
    </xf>
    <xf numFmtId="0" fontId="29" fillId="0" borderId="15" xfId="1018" applyFont="1" applyFill="1" applyBorder="1" applyAlignment="1">
      <alignment horizontal="left"/>
    </xf>
    <xf numFmtId="0" fontId="29" fillId="0" borderId="15" xfId="1023" applyFont="1" applyFill="1" applyBorder="1" applyAlignment="1">
      <alignment horizontal="center"/>
    </xf>
    <xf numFmtId="0" fontId="29" fillId="0" borderId="15" xfId="1023" applyFont="1" applyFill="1" applyBorder="1" applyAlignment="1">
      <alignment horizontal="left"/>
    </xf>
    <xf numFmtId="172" fontId="128" fillId="0" borderId="0" xfId="1023" applyNumberFormat="1" applyFont="1" applyFill="1" applyBorder="1"/>
    <xf numFmtId="0" fontId="29" fillId="0" borderId="15" xfId="1011" applyFont="1" applyFill="1" applyBorder="1" applyAlignment="1">
      <alignment horizontal="center"/>
    </xf>
    <xf numFmtId="0" fontId="29" fillId="0" borderId="15" xfId="1011" applyFont="1" applyFill="1" applyBorder="1" applyAlignment="1">
      <alignment horizontal="left"/>
    </xf>
    <xf numFmtId="171" fontId="128" fillId="0" borderId="0" xfId="5" applyNumberFormat="1" applyFont="1" applyFill="1" applyBorder="1" applyAlignment="1">
      <alignment horizontal="left"/>
    </xf>
    <xf numFmtId="172" fontId="128" fillId="0" borderId="0" xfId="1011" applyNumberFormat="1" applyFont="1" applyFill="1" applyBorder="1"/>
    <xf numFmtId="172" fontId="128" fillId="0" borderId="1" xfId="1011" applyNumberFormat="1" applyFont="1" applyFill="1" applyBorder="1"/>
    <xf numFmtId="0" fontId="128" fillId="0" borderId="0" xfId="1011" applyFont="1" applyFill="1"/>
    <xf numFmtId="0" fontId="29" fillId="0" borderId="0" xfId="1011" applyFont="1" applyFill="1" applyAlignment="1">
      <alignment horizontal="right"/>
    </xf>
    <xf numFmtId="173" fontId="128" fillId="0" borderId="0" xfId="1011" applyNumberFormat="1" applyFont="1" applyFill="1" applyBorder="1"/>
    <xf numFmtId="168" fontId="128" fillId="0" borderId="0" xfId="1011" applyNumberFormat="1" applyFont="1" applyFill="1"/>
    <xf numFmtId="44" fontId="128" fillId="0" borderId="0" xfId="1011" applyNumberFormat="1" applyFont="1" applyFill="1" applyBorder="1"/>
    <xf numFmtId="0" fontId="132" fillId="0" borderId="0" xfId="0" applyFont="1" applyFill="1" applyAlignment="1"/>
    <xf numFmtId="0" fontId="130" fillId="0" borderId="15" xfId="5" applyFont="1" applyFill="1" applyBorder="1" applyAlignment="1">
      <alignment horizontal="left"/>
    </xf>
    <xf numFmtId="171" fontId="130" fillId="0" borderId="1" xfId="5" applyNumberFormat="1" applyFont="1" applyFill="1" applyBorder="1"/>
    <xf numFmtId="0" fontId="130" fillId="0" borderId="1" xfId="5" applyFont="1" applyFill="1" applyBorder="1" applyAlignment="1">
      <alignment horizontal="left"/>
    </xf>
    <xf numFmtId="171" fontId="131" fillId="0" borderId="0" xfId="5" applyNumberFormat="1" applyFont="1" applyFill="1" applyBorder="1" applyAlignment="1">
      <alignment horizontal="left" indent="1"/>
    </xf>
    <xf numFmtId="171" fontId="131" fillId="0" borderId="1" xfId="5" applyNumberFormat="1" applyFont="1" applyFill="1" applyBorder="1" applyAlignment="1">
      <alignment horizontal="left" indent="1"/>
    </xf>
    <xf numFmtId="171" fontId="131" fillId="0" borderId="0" xfId="5" applyNumberFormat="1" applyFont="1" applyFill="1" applyBorder="1" applyAlignment="1">
      <alignment horizontal="left"/>
    </xf>
    <xf numFmtId="196" fontId="128" fillId="0" borderId="0" xfId="1030" applyNumberFormat="1" applyFont="1" applyFill="1" applyBorder="1"/>
    <xf numFmtId="196" fontId="128" fillId="0" borderId="1" xfId="1030" applyNumberFormat="1" applyFont="1" applyFill="1" applyBorder="1"/>
    <xf numFmtId="196" fontId="128" fillId="0" borderId="0" xfId="1030" applyNumberFormat="1" applyFont="1" applyFill="1"/>
    <xf numFmtId="44" fontId="128" fillId="0" borderId="0" xfId="1030" applyNumberFormat="1" applyFont="1" applyFill="1"/>
    <xf numFmtId="4" fontId="128" fillId="0" borderId="0" xfId="1415" applyNumberFormat="1" applyFont="1" applyFill="1" applyBorder="1"/>
    <xf numFmtId="195" fontId="0" fillId="0" borderId="0" xfId="2" quotePrefix="1" applyNumberFormat="1" applyFont="1"/>
    <xf numFmtId="195" fontId="0" fillId="0" borderId="0" xfId="2" applyNumberFormat="1" applyFont="1"/>
    <xf numFmtId="195" fontId="0" fillId="0" borderId="0" xfId="0" applyNumberFormat="1"/>
    <xf numFmtId="10" fontId="0" fillId="0" borderId="0" xfId="3" applyNumberFormat="1" applyFont="1"/>
    <xf numFmtId="175" fontId="0" fillId="0" borderId="0" xfId="0" applyNumberFormat="1"/>
    <xf numFmtId="9" fontId="0" fillId="0" borderId="0" xfId="3" applyNumberFormat="1" applyFont="1"/>
    <xf numFmtId="3" fontId="0" fillId="0" borderId="0" xfId="0" applyNumberFormat="1" applyFont="1" applyFill="1" applyAlignment="1"/>
    <xf numFmtId="0" fontId="3" fillId="0" borderId="0" xfId="0" applyFont="1" applyAlignment="1">
      <alignment horizontal="left" vertical="top"/>
    </xf>
  </cellXfs>
  <cellStyles count="1435">
    <cellStyle name="_%(SignOnly)" xfId="13"/>
    <cellStyle name="_%(SignOnly) 2" xfId="14"/>
    <cellStyle name="_%(SignOnly) 2 2" xfId="690"/>
    <cellStyle name="_%(SignOnly) 3" xfId="691"/>
    <cellStyle name="_%(SignSpaceOnly)" xfId="15"/>
    <cellStyle name="_%(SignSpaceOnly) 2" xfId="16"/>
    <cellStyle name="_%(SignSpaceOnly) 2 2" xfId="692"/>
    <cellStyle name="_%(SignSpaceOnly) 3" xfId="693"/>
    <cellStyle name="_Comma" xfId="17"/>
    <cellStyle name="_Comma 2" xfId="18"/>
    <cellStyle name="_Comma 2 2" xfId="694"/>
    <cellStyle name="_Comma 3" xfId="695"/>
    <cellStyle name="_Currency" xfId="19"/>
    <cellStyle name="_Currency 2" xfId="20"/>
    <cellStyle name="_Currency 2 2" xfId="696"/>
    <cellStyle name="_Currency 3" xfId="697"/>
    <cellStyle name="_CurrencySpace" xfId="21"/>
    <cellStyle name="_CurrencySpace 2" xfId="22"/>
    <cellStyle name="_CurrencySpace 2 2" xfId="698"/>
    <cellStyle name="_CurrencySpace 3" xfId="699"/>
    <cellStyle name="_Euro" xfId="23"/>
    <cellStyle name="_Euro 2" xfId="24"/>
    <cellStyle name="_Euro 2 2" xfId="700"/>
    <cellStyle name="_Euro 3" xfId="701"/>
    <cellStyle name="_Heading" xfId="25"/>
    <cellStyle name="_Highlight" xfId="26"/>
    <cellStyle name="_Highlight 2" xfId="27"/>
    <cellStyle name="_Highlight 2 2" xfId="702"/>
    <cellStyle name="_Highlight 3" xfId="703"/>
    <cellStyle name="_Multiple" xfId="28"/>
    <cellStyle name="_Multiple 2" xfId="29"/>
    <cellStyle name="_Multiple 2 2" xfId="704"/>
    <cellStyle name="_Multiple 3" xfId="705"/>
    <cellStyle name="_MultipleSpace" xfId="30"/>
    <cellStyle name="_MultipleSpace 2" xfId="31"/>
    <cellStyle name="_MultipleSpace 2 2" xfId="706"/>
    <cellStyle name="_MultipleSpace 3" xfId="707"/>
    <cellStyle name="_SubHeading" xfId="32"/>
    <cellStyle name="_Table" xfId="33"/>
    <cellStyle name="_TableHead" xfId="34"/>
    <cellStyle name="_TableRowHead" xfId="35"/>
    <cellStyle name="_TableSuperHead" xfId="36"/>
    <cellStyle name="20% - Accent1" xfId="1063" builtinId="30" customBuiltin="1"/>
    <cellStyle name="20% - Accent1 2" xfId="38"/>
    <cellStyle name="20% - Accent1 2 2" xfId="340"/>
    <cellStyle name="20% - Accent1 2 2 2" xfId="412"/>
    <cellStyle name="20% - Accent1 2 2 3" xfId="1186"/>
    <cellStyle name="20% - Accent1 3" xfId="39"/>
    <cellStyle name="20% - Accent1 4" xfId="40"/>
    <cellStyle name="20% - Accent1 5" xfId="37"/>
    <cellStyle name="20% - Accent1 6" xfId="455"/>
    <cellStyle name="20% - Accent1 7" xfId="1156"/>
    <cellStyle name="20% - Accent2" xfId="1067" builtinId="34" customBuiltin="1"/>
    <cellStyle name="20% - Accent2 2" xfId="42"/>
    <cellStyle name="20% - Accent2 2 2" xfId="341"/>
    <cellStyle name="20% - Accent2 2 2 2" xfId="413"/>
    <cellStyle name="20% - Accent2 2 2 3" xfId="1187"/>
    <cellStyle name="20% - Accent2 3" xfId="43"/>
    <cellStyle name="20% - Accent2 4" xfId="44"/>
    <cellStyle name="20% - Accent2 5" xfId="41"/>
    <cellStyle name="20% - Accent2 6" xfId="456"/>
    <cellStyle name="20% - Accent2 7" xfId="1160"/>
    <cellStyle name="20% - Accent3" xfId="1071" builtinId="38" customBuiltin="1"/>
    <cellStyle name="20% - Accent3 2" xfId="46"/>
    <cellStyle name="20% - Accent3 2 2" xfId="342"/>
    <cellStyle name="20% - Accent3 2 2 2" xfId="414"/>
    <cellStyle name="20% - Accent3 2 2 3" xfId="1188"/>
    <cellStyle name="20% - Accent3 3" xfId="47"/>
    <cellStyle name="20% - Accent3 4" xfId="48"/>
    <cellStyle name="20% - Accent3 5" xfId="45"/>
    <cellStyle name="20% - Accent3 6" xfId="457"/>
    <cellStyle name="20% - Accent3 7" xfId="1164"/>
    <cellStyle name="20% - Accent4" xfId="1075" builtinId="42" customBuiltin="1"/>
    <cellStyle name="20% - Accent4 2" xfId="50"/>
    <cellStyle name="20% - Accent4 2 2" xfId="343"/>
    <cellStyle name="20% - Accent4 2 2 2" xfId="415"/>
    <cellStyle name="20% - Accent4 2 2 3" xfId="1189"/>
    <cellStyle name="20% - Accent4 3" xfId="51"/>
    <cellStyle name="20% - Accent4 4" xfId="52"/>
    <cellStyle name="20% - Accent4 5" xfId="49"/>
    <cellStyle name="20% - Accent4 6" xfId="458"/>
    <cellStyle name="20% - Accent4 7" xfId="1168"/>
    <cellStyle name="20% - Accent5" xfId="1079" builtinId="46" customBuiltin="1"/>
    <cellStyle name="20% - Accent5 2" xfId="54"/>
    <cellStyle name="20% - Accent5 2 2" xfId="344"/>
    <cellStyle name="20% - Accent5 2 2 2" xfId="416"/>
    <cellStyle name="20% - Accent5 2 2 3" xfId="1190"/>
    <cellStyle name="20% - Accent5 3" xfId="55"/>
    <cellStyle name="20% - Accent5 4" xfId="56"/>
    <cellStyle name="20% - Accent5 5" xfId="53"/>
    <cellStyle name="20% - Accent5 6" xfId="459"/>
    <cellStyle name="20% - Accent5 7" xfId="1172"/>
    <cellStyle name="20% - Accent6" xfId="1083" builtinId="50" customBuiltin="1"/>
    <cellStyle name="20% - Accent6 2" xfId="58"/>
    <cellStyle name="20% - Accent6 2 2" xfId="345"/>
    <cellStyle name="20% - Accent6 2 2 2" xfId="417"/>
    <cellStyle name="20% - Accent6 2 2 3" xfId="1191"/>
    <cellStyle name="20% - Accent6 3" xfId="59"/>
    <cellStyle name="20% - Accent6 4" xfId="60"/>
    <cellStyle name="20% - Accent6 5" xfId="57"/>
    <cellStyle name="20% - Accent6 6" xfId="460"/>
    <cellStyle name="20% - Accent6 7" xfId="1176"/>
    <cellStyle name="40% - Accent1" xfId="1064" builtinId="31" customBuiltin="1"/>
    <cellStyle name="40% - Accent1 2" xfId="62"/>
    <cellStyle name="40% - Accent1 2 2" xfId="346"/>
    <cellStyle name="40% - Accent1 2 2 2" xfId="418"/>
    <cellStyle name="40% - Accent1 2 2 3" xfId="1192"/>
    <cellStyle name="40% - Accent1 3" xfId="63"/>
    <cellStyle name="40% - Accent1 4" xfId="64"/>
    <cellStyle name="40% - Accent1 5" xfId="61"/>
    <cellStyle name="40% - Accent1 6" xfId="461"/>
    <cellStyle name="40% - Accent1 7" xfId="1157"/>
    <cellStyle name="40% - Accent2" xfId="1068" builtinId="35" customBuiltin="1"/>
    <cellStyle name="40% - Accent2 2" xfId="66"/>
    <cellStyle name="40% - Accent2 2 2" xfId="347"/>
    <cellStyle name="40% - Accent2 2 2 2" xfId="419"/>
    <cellStyle name="40% - Accent2 2 2 3" xfId="1193"/>
    <cellStyle name="40% - Accent2 3" xfId="67"/>
    <cellStyle name="40% - Accent2 4" xfId="68"/>
    <cellStyle name="40% - Accent2 5" xfId="65"/>
    <cellStyle name="40% - Accent2 6" xfId="462"/>
    <cellStyle name="40% - Accent2 7" xfId="1161"/>
    <cellStyle name="40% - Accent3" xfId="1072" builtinId="39" customBuiltin="1"/>
    <cellStyle name="40% - Accent3 2" xfId="70"/>
    <cellStyle name="40% - Accent3 2 2" xfId="348"/>
    <cellStyle name="40% - Accent3 2 2 2" xfId="420"/>
    <cellStyle name="40% - Accent3 2 2 3" xfId="1194"/>
    <cellStyle name="40% - Accent3 3" xfId="71"/>
    <cellStyle name="40% - Accent3 4" xfId="72"/>
    <cellStyle name="40% - Accent3 5" xfId="69"/>
    <cellStyle name="40% - Accent3 6" xfId="463"/>
    <cellStyle name="40% - Accent3 7" xfId="1165"/>
    <cellStyle name="40% - Accent4" xfId="1076" builtinId="43" customBuiltin="1"/>
    <cellStyle name="40% - Accent4 2" xfId="74"/>
    <cellStyle name="40% - Accent4 2 2" xfId="349"/>
    <cellStyle name="40% - Accent4 2 2 2" xfId="421"/>
    <cellStyle name="40% - Accent4 2 2 3" xfId="1195"/>
    <cellStyle name="40% - Accent4 3" xfId="75"/>
    <cellStyle name="40% - Accent4 4" xfId="76"/>
    <cellStyle name="40% - Accent4 5" xfId="73"/>
    <cellStyle name="40% - Accent4 6" xfId="464"/>
    <cellStyle name="40% - Accent4 7" xfId="1169"/>
    <cellStyle name="40% - Accent5" xfId="1080" builtinId="47" customBuiltin="1"/>
    <cellStyle name="40% - Accent5 2" xfId="78"/>
    <cellStyle name="40% - Accent5 2 2" xfId="350"/>
    <cellStyle name="40% - Accent5 2 2 2" xfId="422"/>
    <cellStyle name="40% - Accent5 2 2 3" xfId="1196"/>
    <cellStyle name="40% - Accent5 3" xfId="79"/>
    <cellStyle name="40% - Accent5 4" xfId="80"/>
    <cellStyle name="40% - Accent5 5" xfId="77"/>
    <cellStyle name="40% - Accent5 6" xfId="465"/>
    <cellStyle name="40% - Accent5 7" xfId="1173"/>
    <cellStyle name="40% - Accent6" xfId="1084" builtinId="51" customBuiltin="1"/>
    <cellStyle name="40% - Accent6 2" xfId="82"/>
    <cellStyle name="40% - Accent6 2 2" xfId="351"/>
    <cellStyle name="40% - Accent6 2 2 2" xfId="423"/>
    <cellStyle name="40% - Accent6 2 2 3" xfId="1197"/>
    <cellStyle name="40% - Accent6 3" xfId="83"/>
    <cellStyle name="40% - Accent6 4" xfId="84"/>
    <cellStyle name="40% - Accent6 5" xfId="81"/>
    <cellStyle name="40% - Accent6 6" xfId="466"/>
    <cellStyle name="40% - Accent6 7" xfId="1177"/>
    <cellStyle name="60% - Accent1" xfId="1065" builtinId="32" customBuiltin="1"/>
    <cellStyle name="60% - Accent1 2" xfId="86"/>
    <cellStyle name="60% - Accent1 2 2" xfId="352"/>
    <cellStyle name="60% - Accent1 2 2 2" xfId="424"/>
    <cellStyle name="60% - Accent1 2 2 3" xfId="1198"/>
    <cellStyle name="60% - Accent1 3" xfId="87"/>
    <cellStyle name="60% - Accent1 4" xfId="88"/>
    <cellStyle name="60% - Accent1 5" xfId="85"/>
    <cellStyle name="60% - Accent1 6" xfId="467"/>
    <cellStyle name="60% - Accent1 7" xfId="1158"/>
    <cellStyle name="60% - Accent2" xfId="1069" builtinId="36" customBuiltin="1"/>
    <cellStyle name="60% - Accent2 2" xfId="90"/>
    <cellStyle name="60% - Accent2 2 2" xfId="353"/>
    <cellStyle name="60% - Accent2 2 2 2" xfId="425"/>
    <cellStyle name="60% - Accent2 2 2 3" xfId="1199"/>
    <cellStyle name="60% - Accent2 3" xfId="91"/>
    <cellStyle name="60% - Accent2 4" xfId="92"/>
    <cellStyle name="60% - Accent2 5" xfId="89"/>
    <cellStyle name="60% - Accent2 6" xfId="468"/>
    <cellStyle name="60% - Accent2 7" xfId="1162"/>
    <cellStyle name="60% - Accent3" xfId="1073" builtinId="40" customBuiltin="1"/>
    <cellStyle name="60% - Accent3 2" xfId="94"/>
    <cellStyle name="60% - Accent3 2 2" xfId="354"/>
    <cellStyle name="60% - Accent3 2 2 2" xfId="426"/>
    <cellStyle name="60% - Accent3 2 2 3" xfId="1200"/>
    <cellStyle name="60% - Accent3 3" xfId="95"/>
    <cellStyle name="60% - Accent3 4" xfId="96"/>
    <cellStyle name="60% - Accent3 5" xfId="93"/>
    <cellStyle name="60% - Accent3 6" xfId="469"/>
    <cellStyle name="60% - Accent3 7" xfId="1166"/>
    <cellStyle name="60% - Accent4" xfId="1077" builtinId="44" customBuiltin="1"/>
    <cellStyle name="60% - Accent4 2" xfId="98"/>
    <cellStyle name="60% - Accent4 2 2" xfId="355"/>
    <cellStyle name="60% - Accent4 2 2 2" xfId="427"/>
    <cellStyle name="60% - Accent4 2 2 3" xfId="1201"/>
    <cellStyle name="60% - Accent4 3" xfId="99"/>
    <cellStyle name="60% - Accent4 4" xfId="100"/>
    <cellStyle name="60% - Accent4 5" xfId="97"/>
    <cellStyle name="60% - Accent4 6" xfId="470"/>
    <cellStyle name="60% - Accent4 7" xfId="1170"/>
    <cellStyle name="60% - Accent5" xfId="1081" builtinId="48" customBuiltin="1"/>
    <cellStyle name="60% - Accent5 2" xfId="102"/>
    <cellStyle name="60% - Accent5 2 2" xfId="356"/>
    <cellStyle name="60% - Accent5 2 2 2" xfId="428"/>
    <cellStyle name="60% - Accent5 2 2 3" xfId="1202"/>
    <cellStyle name="60% - Accent5 3" xfId="103"/>
    <cellStyle name="60% - Accent5 4" xfId="104"/>
    <cellStyle name="60% - Accent5 5" xfId="101"/>
    <cellStyle name="60% - Accent5 6" xfId="471"/>
    <cellStyle name="60% - Accent5 7" xfId="1174"/>
    <cellStyle name="60% - Accent6" xfId="1085" builtinId="52" customBuiltin="1"/>
    <cellStyle name="60% - Accent6 2" xfId="106"/>
    <cellStyle name="60% - Accent6 2 2" xfId="357"/>
    <cellStyle name="60% - Accent6 2 2 2" xfId="429"/>
    <cellStyle name="60% - Accent6 2 2 3" xfId="1203"/>
    <cellStyle name="60% - Accent6 3" xfId="107"/>
    <cellStyle name="60% - Accent6 4" xfId="108"/>
    <cellStyle name="60% - Accent6 5" xfId="105"/>
    <cellStyle name="60% - Accent6 6" xfId="472"/>
    <cellStyle name="60% - Accent6 7" xfId="1178"/>
    <cellStyle name="Accent1" xfId="1062" builtinId="29" customBuiltin="1"/>
    <cellStyle name="Accent1 2" xfId="110"/>
    <cellStyle name="Accent1 2 2" xfId="358"/>
    <cellStyle name="Accent1 2 2 2" xfId="430"/>
    <cellStyle name="Accent1 2 2 3" xfId="1204"/>
    <cellStyle name="Accent1 3" xfId="111"/>
    <cellStyle name="Accent1 4" xfId="112"/>
    <cellStyle name="Accent1 5" xfId="109"/>
    <cellStyle name="Accent1 6" xfId="473"/>
    <cellStyle name="Accent1 7" xfId="1155"/>
    <cellStyle name="Accent2" xfId="1066" builtinId="33" customBuiltin="1"/>
    <cellStyle name="Accent2 2" xfId="114"/>
    <cellStyle name="Accent2 2 2" xfId="359"/>
    <cellStyle name="Accent2 2 2 2" xfId="431"/>
    <cellStyle name="Accent2 2 2 3" xfId="1205"/>
    <cellStyle name="Accent2 3" xfId="115"/>
    <cellStyle name="Accent2 4" xfId="116"/>
    <cellStyle name="Accent2 5" xfId="113"/>
    <cellStyle name="Accent2 6" xfId="474"/>
    <cellStyle name="Accent2 7" xfId="1159"/>
    <cellStyle name="Accent3" xfId="1070" builtinId="37" customBuiltin="1"/>
    <cellStyle name="Accent3 2" xfId="118"/>
    <cellStyle name="Accent3 2 2" xfId="360"/>
    <cellStyle name="Accent3 2 2 2" xfId="432"/>
    <cellStyle name="Accent3 2 2 3" xfId="1206"/>
    <cellStyle name="Accent3 3" xfId="119"/>
    <cellStyle name="Accent3 4" xfId="120"/>
    <cellStyle name="Accent3 5" xfId="117"/>
    <cellStyle name="Accent3 6" xfId="475"/>
    <cellStyle name="Accent3 7" xfId="1163"/>
    <cellStyle name="Accent4" xfId="1074" builtinId="41" customBuiltin="1"/>
    <cellStyle name="Accent4 2" xfId="122"/>
    <cellStyle name="Accent4 2 2" xfId="361"/>
    <cellStyle name="Accent4 2 2 2" xfId="433"/>
    <cellStyle name="Accent4 2 2 3" xfId="1207"/>
    <cellStyle name="Accent4 3" xfId="123"/>
    <cellStyle name="Accent4 4" xfId="124"/>
    <cellStyle name="Accent4 5" xfId="121"/>
    <cellStyle name="Accent4 6" xfId="476"/>
    <cellStyle name="Accent4 7" xfId="1167"/>
    <cellStyle name="Accent5" xfId="1078" builtinId="45" customBuiltin="1"/>
    <cellStyle name="Accent5 2" xfId="126"/>
    <cellStyle name="Accent5 2 2" xfId="362"/>
    <cellStyle name="Accent5 2 2 2" xfId="434"/>
    <cellStyle name="Accent5 2 2 3" xfId="1208"/>
    <cellStyle name="Accent5 3" xfId="127"/>
    <cellStyle name="Accent5 4" xfId="128"/>
    <cellStyle name="Accent5 5" xfId="125"/>
    <cellStyle name="Accent5 6" xfId="477"/>
    <cellStyle name="Accent5 7" xfId="1171"/>
    <cellStyle name="Accent6" xfId="1082" builtinId="49" customBuiltin="1"/>
    <cellStyle name="Accent6 2" xfId="130"/>
    <cellStyle name="Accent6 2 2" xfId="363"/>
    <cellStyle name="Accent6 2 2 2" xfId="435"/>
    <cellStyle name="Accent6 2 2 3" xfId="1209"/>
    <cellStyle name="Accent6 3" xfId="131"/>
    <cellStyle name="Accent6 4" xfId="132"/>
    <cellStyle name="Accent6 5" xfId="129"/>
    <cellStyle name="Accent6 6" xfId="478"/>
    <cellStyle name="Accent6 7" xfId="1175"/>
    <cellStyle name="Actual Date" xfId="364"/>
    <cellStyle name="Actual Date 2" xfId="479"/>
    <cellStyle name="Adjustable" xfId="133"/>
    <cellStyle name="Adjustable 2" xfId="480"/>
    <cellStyle name="Bad" xfId="1051" builtinId="27" customBuiltin="1"/>
    <cellStyle name="Bad 2" xfId="135"/>
    <cellStyle name="Bad 2 2" xfId="365"/>
    <cellStyle name="Bad 2 2 2" xfId="436"/>
    <cellStyle name="Bad 2 2 3" xfId="1210"/>
    <cellStyle name="Bad 3" xfId="136"/>
    <cellStyle name="Bad 4" xfId="137"/>
    <cellStyle name="Bad 5" xfId="134"/>
    <cellStyle name="Bad 6" xfId="481"/>
    <cellStyle name="Bad 7" xfId="1144"/>
    <cellStyle name="Calculation" xfId="1055" builtinId="22" customBuiltin="1"/>
    <cellStyle name="Calculation 2" xfId="139"/>
    <cellStyle name="Calculation 2 2" xfId="366"/>
    <cellStyle name="Calculation 2 2 2" xfId="437"/>
    <cellStyle name="Calculation 2 2 3" xfId="1211"/>
    <cellStyle name="Calculation 3" xfId="140"/>
    <cellStyle name="Calculation 3 2" xfId="482"/>
    <cellStyle name="Calculation 4" xfId="141"/>
    <cellStyle name="Calculation 4 2" xfId="483"/>
    <cellStyle name="Calculation 5" xfId="138"/>
    <cellStyle name="Calculation 5 2" xfId="484"/>
    <cellStyle name="Calculation 6" xfId="485"/>
    <cellStyle name="Calculation 7" xfId="1148"/>
    <cellStyle name="Check Cell" xfId="1057" builtinId="23" customBuiltin="1"/>
    <cellStyle name="Check Cell 2" xfId="143"/>
    <cellStyle name="Check Cell 2 2" xfId="367"/>
    <cellStyle name="Check Cell 2 2 2" xfId="438"/>
    <cellStyle name="Check Cell 2 2 3" xfId="1212"/>
    <cellStyle name="Check Cell 3" xfId="144"/>
    <cellStyle name="Check Cell 4" xfId="145"/>
    <cellStyle name="Check Cell 5" xfId="142"/>
    <cellStyle name="Check Cell 6" xfId="486"/>
    <cellStyle name="Check Cell 7" xfId="1150"/>
    <cellStyle name="Comma" xfId="1" builtinId="3"/>
    <cellStyle name="Comma 0" xfId="147"/>
    <cellStyle name="Comma 10" xfId="148"/>
    <cellStyle name="Comma 11" xfId="149"/>
    <cellStyle name="Comma 12" xfId="146"/>
    <cellStyle name="Comma 12 2" xfId="487"/>
    <cellStyle name="Comma 12 2 2" xfId="1434"/>
    <cellStyle name="Comma 12 3" xfId="678"/>
    <cellStyle name="Comma 13" xfId="488"/>
    <cellStyle name="Comma 13 2" xfId="489"/>
    <cellStyle name="Comma 13 3" xfId="490"/>
    <cellStyle name="Comma 13 3 2" xfId="837"/>
    <cellStyle name="Comma 13 3 2 2" xfId="898"/>
    <cellStyle name="Comma 13 3 2 2 2" xfId="1228"/>
    <cellStyle name="Comma 13 3 2 3" xfId="1227"/>
    <cellStyle name="Comma 13 3 3" xfId="920"/>
    <cellStyle name="Comma 13 3 3 2" xfId="1229"/>
    <cellStyle name="Comma 13 3 4" xfId="883"/>
    <cellStyle name="Comma 13 3 4 2" xfId="1230"/>
    <cellStyle name="Comma 13 3 5" xfId="979"/>
    <cellStyle name="Comma 13 3 5 2" xfId="1231"/>
    <cellStyle name="Comma 13 3 6" xfId="822"/>
    <cellStyle name="Comma 13 3 6 2" xfId="1232"/>
    <cellStyle name="Comma 13 3 7" xfId="1226"/>
    <cellStyle name="Comma 14" xfId="491"/>
    <cellStyle name="Comma 14 2" xfId="492"/>
    <cellStyle name="Comma 14 2 2" xfId="493"/>
    <cellStyle name="Comma 14 3" xfId="494"/>
    <cellStyle name="Comma 15" xfId="495"/>
    <cellStyle name="Comma 15 2" xfId="496"/>
    <cellStyle name="Comma 15 2 2" xfId="497"/>
    <cellStyle name="Comma 15 2 2 2" xfId="840"/>
    <cellStyle name="Comma 15 2 2 2 2" xfId="901"/>
    <cellStyle name="Comma 15 2 2 2 2 2" xfId="1237"/>
    <cellStyle name="Comma 15 2 2 2 3" xfId="1236"/>
    <cellStyle name="Comma 15 2 2 3" xfId="923"/>
    <cellStyle name="Comma 15 2 2 3 2" xfId="1238"/>
    <cellStyle name="Comma 15 2 2 4" xfId="886"/>
    <cellStyle name="Comma 15 2 2 4 2" xfId="1239"/>
    <cellStyle name="Comma 15 2 2 5" xfId="982"/>
    <cellStyle name="Comma 15 2 2 5 2" xfId="1240"/>
    <cellStyle name="Comma 15 2 2 6" xfId="825"/>
    <cellStyle name="Comma 15 2 2 6 2" xfId="1241"/>
    <cellStyle name="Comma 15 2 2 7" xfId="1235"/>
    <cellStyle name="Comma 15 2 3" xfId="839"/>
    <cellStyle name="Comma 15 2 3 2" xfId="900"/>
    <cellStyle name="Comma 15 2 3 2 2" xfId="1243"/>
    <cellStyle name="Comma 15 2 3 3" xfId="1242"/>
    <cellStyle name="Comma 15 2 4" xfId="922"/>
    <cellStyle name="Comma 15 2 4 2" xfId="1244"/>
    <cellStyle name="Comma 15 2 5" xfId="885"/>
    <cellStyle name="Comma 15 2 5 2" xfId="1245"/>
    <cellStyle name="Comma 15 2 6" xfId="981"/>
    <cellStyle name="Comma 15 2 6 2" xfId="1246"/>
    <cellStyle name="Comma 15 2 7" xfId="824"/>
    <cellStyle name="Comma 15 2 7 2" xfId="1247"/>
    <cellStyle name="Comma 15 2 8" xfId="1234"/>
    <cellStyle name="Comma 15 3" xfId="498"/>
    <cellStyle name="Comma 15 3 2" xfId="841"/>
    <cellStyle name="Comma 15 3 2 2" xfId="902"/>
    <cellStyle name="Comma 15 3 2 2 2" xfId="1250"/>
    <cellStyle name="Comma 15 3 2 3" xfId="1249"/>
    <cellStyle name="Comma 15 3 3" xfId="924"/>
    <cellStyle name="Comma 15 3 3 2" xfId="1251"/>
    <cellStyle name="Comma 15 3 4" xfId="887"/>
    <cellStyle name="Comma 15 3 4 2" xfId="1252"/>
    <cellStyle name="Comma 15 3 5" xfId="983"/>
    <cellStyle name="Comma 15 3 5 2" xfId="1253"/>
    <cellStyle name="Comma 15 3 6" xfId="826"/>
    <cellStyle name="Comma 15 3 6 2" xfId="1254"/>
    <cellStyle name="Comma 15 3 7" xfId="1248"/>
    <cellStyle name="Comma 15 4" xfId="838"/>
    <cellStyle name="Comma 15 4 2" xfId="899"/>
    <cellStyle name="Comma 15 4 2 2" xfId="1256"/>
    <cellStyle name="Comma 15 4 3" xfId="1255"/>
    <cellStyle name="Comma 15 5" xfId="921"/>
    <cellStyle name="Comma 15 5 2" xfId="1257"/>
    <cellStyle name="Comma 15 6" xfId="884"/>
    <cellStyle name="Comma 15 6 2" xfId="1258"/>
    <cellStyle name="Comma 15 7" xfId="980"/>
    <cellStyle name="Comma 15 7 2" xfId="1259"/>
    <cellStyle name="Comma 15 8" xfId="823"/>
    <cellStyle name="Comma 15 8 2" xfId="1260"/>
    <cellStyle name="Comma 15 9" xfId="1233"/>
    <cellStyle name="Comma 16" xfId="499"/>
    <cellStyle name="Comma 17" xfId="500"/>
    <cellStyle name="Comma 18" xfId="676"/>
    <cellStyle name="Comma 18 2" xfId="973"/>
    <cellStyle name="Comma 18 2 2" xfId="1262"/>
    <cellStyle name="Comma 18 3" xfId="919"/>
    <cellStyle name="Comma 18 3 2" xfId="1263"/>
    <cellStyle name="Comma 18 4" xfId="1261"/>
    <cellStyle name="Comma 19" xfId="1132"/>
    <cellStyle name="Comma 2" xfId="150"/>
    <cellStyle name="Comma 2 2" xfId="151"/>
    <cellStyle name="Comma 2 2 2" xfId="368"/>
    <cellStyle name="Comma 2 2 2 2" xfId="501"/>
    <cellStyle name="Comma 2 2 2 3" xfId="925"/>
    <cellStyle name="Comma 2 2 3" xfId="502"/>
    <cellStyle name="Comma 2 2 4" xfId="708"/>
    <cellStyle name="Comma 2 2 4 2" xfId="842"/>
    <cellStyle name="Comma 2 2_Augmentation" xfId="503"/>
    <cellStyle name="Comma 2 3" xfId="152"/>
    <cellStyle name="Comma 2 3 2" xfId="504"/>
    <cellStyle name="Comma 2 3 3" xfId="843"/>
    <cellStyle name="Comma 2 3 3 2" xfId="903"/>
    <cellStyle name="Comma 2 3 3 2 2" xfId="1265"/>
    <cellStyle name="Comma 2 3 3 3" xfId="1264"/>
    <cellStyle name="Comma 2 3 4" xfId="878"/>
    <cellStyle name="Comma 2 3 4 2" xfId="1266"/>
    <cellStyle name="Comma 2 3 5" xfId="799"/>
    <cellStyle name="Comma 2 3 5 2" xfId="1267"/>
    <cellStyle name="Comma 2 4" xfId="331"/>
    <cellStyle name="Comma 2 4 2" xfId="505"/>
    <cellStyle name="Comma 2 4 3" xfId="683"/>
    <cellStyle name="Comma 2 5" xfId="506"/>
    <cellStyle name="Comma 3" xfId="153"/>
    <cellStyle name="Comma 3 2" xfId="439"/>
    <cellStyle name="Comma 4" xfId="154"/>
    <cellStyle name="Comma 4 2" xfId="507"/>
    <cellStyle name="Comma 5" xfId="155"/>
    <cellStyle name="Comma 5 2" xfId="156"/>
    <cellStyle name="Comma 5 2 2" xfId="508"/>
    <cellStyle name="Comma 5 3" xfId="157"/>
    <cellStyle name="Comma 6" xfId="158"/>
    <cellStyle name="Comma 6 2" xfId="159"/>
    <cellStyle name="Comma 6 2 2" xfId="509"/>
    <cellStyle name="Comma 6 3" xfId="510"/>
    <cellStyle name="Comma 7" xfId="160"/>
    <cellStyle name="Comma 7 2" xfId="161"/>
    <cellStyle name="Comma 7 2 2" xfId="511"/>
    <cellStyle name="Comma 7 3" xfId="512"/>
    <cellStyle name="Comma 8" xfId="162"/>
    <cellStyle name="Comma 8 2" xfId="163"/>
    <cellStyle name="Comma 9" xfId="164"/>
    <cellStyle name="Comma 9 2" xfId="513"/>
    <cellStyle name="Comma0 - Style1" xfId="369"/>
    <cellStyle name="Currency" xfId="2" builtinId="4"/>
    <cellStyle name="Currency 0" xfId="166"/>
    <cellStyle name="Currency 10" xfId="514"/>
    <cellStyle name="Currency 10 2" xfId="926"/>
    <cellStyle name="Currency 10 3" xfId="803"/>
    <cellStyle name="Currency 11" xfId="515"/>
    <cellStyle name="Currency 12" xfId="668"/>
    <cellStyle name="Currency 2" xfId="167"/>
    <cellStyle name="Currency 2 2" xfId="370"/>
    <cellStyle name="Currency 2 2 2" xfId="440"/>
    <cellStyle name="Currency 2 2 3" xfId="927"/>
    <cellStyle name="Currency 2 3" xfId="516"/>
    <cellStyle name="Currency 2 4" xfId="709"/>
    <cellStyle name="Currency 2 4 2" xfId="844"/>
    <cellStyle name="Currency 2 5" xfId="1225"/>
    <cellStyle name="Currency 2_Augmentation" xfId="517"/>
    <cellStyle name="Currency 3" xfId="168"/>
    <cellStyle name="Currency 3 2" xfId="518"/>
    <cellStyle name="Currency 4" xfId="169"/>
    <cellStyle name="Currency 5" xfId="170"/>
    <cellStyle name="Currency 6" xfId="165"/>
    <cellStyle name="Currency 6 2" xfId="519"/>
    <cellStyle name="Currency 6 3" xfId="679"/>
    <cellStyle name="Currency 7" xfId="520"/>
    <cellStyle name="Currency 7 2" xfId="521"/>
    <cellStyle name="Currency 7 3" xfId="522"/>
    <cellStyle name="Currency 7 3 2" xfId="845"/>
    <cellStyle name="Currency 7 3 2 2" xfId="904"/>
    <cellStyle name="Currency 7 3 2 2 2" xfId="1270"/>
    <cellStyle name="Currency 7 3 2 3" xfId="1269"/>
    <cellStyle name="Currency 7 3 3" xfId="928"/>
    <cellStyle name="Currency 7 3 3 2" xfId="1271"/>
    <cellStyle name="Currency 7 3 4" xfId="888"/>
    <cellStyle name="Currency 7 3 4 2" xfId="1272"/>
    <cellStyle name="Currency 7 3 5" xfId="984"/>
    <cellStyle name="Currency 7 3 5 2" xfId="1273"/>
    <cellStyle name="Currency 7 3 6" xfId="827"/>
    <cellStyle name="Currency 7 3 6 2" xfId="1274"/>
    <cellStyle name="Currency 7 3 7" xfId="1268"/>
    <cellStyle name="Currency 8" xfId="523"/>
    <cellStyle name="Currency 8 2" xfId="524"/>
    <cellStyle name="Currency 8 3" xfId="525"/>
    <cellStyle name="Currency 9" xfId="526"/>
    <cellStyle name="Currency 9 2" xfId="527"/>
    <cellStyle name="Currency 9 2 2" xfId="528"/>
    <cellStyle name="Currency 9 2 2 2" xfId="847"/>
    <cellStyle name="Currency 9 2 2 2 2" xfId="906"/>
    <cellStyle name="Currency 9 2 2 2 2 2" xfId="1279"/>
    <cellStyle name="Currency 9 2 2 2 3" xfId="1278"/>
    <cellStyle name="Currency 9 2 2 3" xfId="931"/>
    <cellStyle name="Currency 9 2 2 3 2" xfId="1280"/>
    <cellStyle name="Currency 9 2 2 4" xfId="890"/>
    <cellStyle name="Currency 9 2 2 4 2" xfId="1281"/>
    <cellStyle name="Currency 9 2 2 5" xfId="987"/>
    <cellStyle name="Currency 9 2 2 5 2" xfId="1282"/>
    <cellStyle name="Currency 9 2 2 6" xfId="829"/>
    <cellStyle name="Currency 9 2 2 6 2" xfId="1283"/>
    <cellStyle name="Currency 9 2 2 7" xfId="1277"/>
    <cellStyle name="Currency 9 2 3" xfId="846"/>
    <cellStyle name="Currency 9 2 3 2" xfId="905"/>
    <cellStyle name="Currency 9 2 3 2 2" xfId="1285"/>
    <cellStyle name="Currency 9 2 3 3" xfId="1284"/>
    <cellStyle name="Currency 9 2 4" xfId="930"/>
    <cellStyle name="Currency 9 2 4 2" xfId="1286"/>
    <cellStyle name="Currency 9 2 5" xfId="889"/>
    <cellStyle name="Currency 9 2 5 2" xfId="1287"/>
    <cellStyle name="Currency 9 2 6" xfId="986"/>
    <cellStyle name="Currency 9 2 6 2" xfId="1288"/>
    <cellStyle name="Currency 9 2 7" xfId="828"/>
    <cellStyle name="Currency 9 2 7 2" xfId="1289"/>
    <cellStyle name="Currency 9 2 8" xfId="1276"/>
    <cellStyle name="Currency 9 3" xfId="529"/>
    <cellStyle name="Currency 9 3 2" xfId="848"/>
    <cellStyle name="Currency 9 3 2 2" xfId="907"/>
    <cellStyle name="Currency 9 3 2 2 2" xfId="1292"/>
    <cellStyle name="Currency 9 3 2 3" xfId="1291"/>
    <cellStyle name="Currency 9 3 3" xfId="932"/>
    <cellStyle name="Currency 9 3 3 2" xfId="1293"/>
    <cellStyle name="Currency 9 3 4" xfId="891"/>
    <cellStyle name="Currency 9 3 4 2" xfId="1294"/>
    <cellStyle name="Currency 9 3 5" xfId="988"/>
    <cellStyle name="Currency 9 3 5 2" xfId="1295"/>
    <cellStyle name="Currency 9 3 6" xfId="830"/>
    <cellStyle name="Currency 9 3 6 2" xfId="1296"/>
    <cellStyle name="Currency 9 3 7" xfId="1290"/>
    <cellStyle name="Currency 9 4" xfId="929"/>
    <cellStyle name="Currency 9 4 2" xfId="1297"/>
    <cellStyle name="Currency 9 5" xfId="985"/>
    <cellStyle name="Currency 9 5 2" xfId="1298"/>
    <cellStyle name="Currency 9 6" xfId="810"/>
    <cellStyle name="Currency 9 7" xfId="1275"/>
    <cellStyle name="Date" xfId="171"/>
    <cellStyle name="Date 2" xfId="172"/>
    <cellStyle name="Date 2 2" xfId="710"/>
    <cellStyle name="Date 3" xfId="371"/>
    <cellStyle name="Date 3 2" xfId="933"/>
    <cellStyle name="Date 3 3" xfId="805"/>
    <cellStyle name="Date 4" xfId="711"/>
    <cellStyle name="Date Aligned" xfId="173"/>
    <cellStyle name="Date_Augmentation" xfId="530"/>
    <cellStyle name="Dotted Line" xfId="174"/>
    <cellStyle name="Euro" xfId="372"/>
    <cellStyle name="Euro 2" xfId="712"/>
    <cellStyle name="Euro 2 2" xfId="849"/>
    <cellStyle name="Explanatory Text" xfId="1060" builtinId="53" customBuiltin="1"/>
    <cellStyle name="Explanatory Text 2" xfId="176"/>
    <cellStyle name="Explanatory Text 2 2" xfId="373"/>
    <cellStyle name="Explanatory Text 2 2 2" xfId="441"/>
    <cellStyle name="Explanatory Text 2 2 3" xfId="1213"/>
    <cellStyle name="Explanatory Text 3" xfId="177"/>
    <cellStyle name="Explanatory Text 4" xfId="178"/>
    <cellStyle name="Explanatory Text 5" xfId="175"/>
    <cellStyle name="Explanatory Text 6" xfId="531"/>
    <cellStyle name="Explanatory Text 7" xfId="1153"/>
    <cellStyle name="F2" xfId="532"/>
    <cellStyle name="F2 2" xfId="533"/>
    <cellStyle name="F2 2 2" xfId="534"/>
    <cellStyle name="F3" xfId="535"/>
    <cellStyle name="F3 2" xfId="536"/>
    <cellStyle name="F3 3" xfId="537"/>
    <cellStyle name="F3 3 2" xfId="538"/>
    <cellStyle name="F4" xfId="539"/>
    <cellStyle name="F4 2" xfId="540"/>
    <cellStyle name="F4 2 2" xfId="541"/>
    <cellStyle name="F5" xfId="542"/>
    <cellStyle name="F5 2" xfId="543"/>
    <cellStyle name="F5 3" xfId="544"/>
    <cellStyle name="F5 3 2" xfId="545"/>
    <cellStyle name="F6" xfId="546"/>
    <cellStyle name="F6 2" xfId="547"/>
    <cellStyle name="F6 2 2" xfId="548"/>
    <cellStyle name="F7" xfId="549"/>
    <cellStyle name="F7 2" xfId="550"/>
    <cellStyle name="F7 3" xfId="551"/>
    <cellStyle name="F7 3 2" xfId="552"/>
    <cellStyle name="F8" xfId="553"/>
    <cellStyle name="F8 2" xfId="554"/>
    <cellStyle name="F8 2 2" xfId="555"/>
    <cellStyle name="Fixed" xfId="374"/>
    <cellStyle name="Fixed 2" xfId="375"/>
    <cellStyle name="Fixed 2 2" xfId="556"/>
    <cellStyle name="Fixed 3" xfId="713"/>
    <cellStyle name="Fixed 3 2" xfId="850"/>
    <cellStyle name="Fixed1 - Style1" xfId="376"/>
    <cellStyle name="Footnote" xfId="179"/>
    <cellStyle name="Good" xfId="1050" builtinId="26" customBuiltin="1"/>
    <cellStyle name="Good 2" xfId="181"/>
    <cellStyle name="Good 2 2" xfId="377"/>
    <cellStyle name="Good 2 2 2" xfId="442"/>
    <cellStyle name="Good 2 2 3" xfId="1214"/>
    <cellStyle name="Good 3" xfId="182"/>
    <cellStyle name="Good 4" xfId="183"/>
    <cellStyle name="Good 5" xfId="180"/>
    <cellStyle name="Good 6" xfId="557"/>
    <cellStyle name="Good 7" xfId="1143"/>
    <cellStyle name="Grey" xfId="378"/>
    <cellStyle name="Grey 2" xfId="558"/>
    <cellStyle name="Hard Percent" xfId="184"/>
    <cellStyle name="Header" xfId="185"/>
    <cellStyle name="HEADER 2" xfId="379"/>
    <cellStyle name="Header 2 2" xfId="559"/>
    <cellStyle name="Heading 1" xfId="1046" builtinId="16" customBuiltin="1"/>
    <cellStyle name="Heading 1 2" xfId="187"/>
    <cellStyle name="Heading 1 3" xfId="188"/>
    <cellStyle name="Heading 1 4" xfId="189"/>
    <cellStyle name="Heading 1 5" xfId="186"/>
    <cellStyle name="Heading 1 6" xfId="560"/>
    <cellStyle name="Heading 1 7" xfId="1139"/>
    <cellStyle name="Heading 2" xfId="1047" builtinId="17" customBuiltin="1"/>
    <cellStyle name="Heading 2 2" xfId="191"/>
    <cellStyle name="Heading 2 3" xfId="192"/>
    <cellStyle name="Heading 2 4" xfId="193"/>
    <cellStyle name="Heading 2 5" xfId="190"/>
    <cellStyle name="Heading 2 6" xfId="561"/>
    <cellStyle name="Heading 2 7" xfId="1140"/>
    <cellStyle name="Heading 3" xfId="1048" builtinId="18" customBuiltin="1"/>
    <cellStyle name="Heading 3 2" xfId="195"/>
    <cellStyle name="Heading 3 3" xfId="196"/>
    <cellStyle name="Heading 3 4" xfId="197"/>
    <cellStyle name="Heading 3 5" xfId="194"/>
    <cellStyle name="Heading 3 6" xfId="562"/>
    <cellStyle name="Heading 3 7" xfId="1141"/>
    <cellStyle name="Heading 4" xfId="1049" builtinId="19" customBuiltin="1"/>
    <cellStyle name="Heading 4 2" xfId="199"/>
    <cellStyle name="Heading 4 3" xfId="200"/>
    <cellStyle name="Heading 4 4" xfId="201"/>
    <cellStyle name="Heading 4 5" xfId="198"/>
    <cellStyle name="Heading 4 6" xfId="563"/>
    <cellStyle name="Heading 4 7" xfId="1142"/>
    <cellStyle name="Heading1" xfId="380"/>
    <cellStyle name="Heading1 2" xfId="381"/>
    <cellStyle name="Heading1 2 2" xfId="564"/>
    <cellStyle name="Heading1 3" xfId="714"/>
    <cellStyle name="Heading1 3 2" xfId="851"/>
    <cellStyle name="Heading2" xfId="382"/>
    <cellStyle name="Heading2 2" xfId="383"/>
    <cellStyle name="Heading2 2 2" xfId="565"/>
    <cellStyle name="Heading2 3" xfId="715"/>
    <cellStyle name="Heading2 3 2" xfId="852"/>
    <cellStyle name="HIGHLIGHT" xfId="384"/>
    <cellStyle name="HIGHLIGHT 2" xfId="566"/>
    <cellStyle name="Hyperlink" xfId="4" builtinId="8"/>
    <cellStyle name="Hyperlink 2" xfId="202"/>
    <cellStyle name="Hyperlink 2 2" xfId="203"/>
    <cellStyle name="Hyperlink 2 2 2" xfId="716"/>
    <cellStyle name="Hyperlink 2 3" xfId="333"/>
    <cellStyle name="Hyperlink 2_Augmentation" xfId="567"/>
    <cellStyle name="Hyperlink 3" xfId="204"/>
    <cellStyle name="Hyperlink 3 2" xfId="443"/>
    <cellStyle name="Hyperlink 3 2 2" xfId="934"/>
    <cellStyle name="Hyperlink 3 2 3" xfId="806"/>
    <cellStyle name="Hyperlink 3 3" xfId="1183"/>
    <cellStyle name="Hyperlink 4" xfId="332"/>
    <cellStyle name="Hyperlink 4 2" xfId="444"/>
    <cellStyle name="Hyperlink 4 3" xfId="1185"/>
    <cellStyle name="Hyperlink 5" xfId="568"/>
    <cellStyle name="Input" xfId="1053" builtinId="20" customBuiltin="1"/>
    <cellStyle name="Input [yellow]" xfId="385"/>
    <cellStyle name="Input [yellow] 2" xfId="569"/>
    <cellStyle name="Input [yellow] 2 2" xfId="570"/>
    <cellStyle name="Input [yellow] 3" xfId="571"/>
    <cellStyle name="Input 10" xfId="717"/>
    <cellStyle name="Input 11" xfId="718"/>
    <cellStyle name="Input 12" xfId="719"/>
    <cellStyle name="Input 13" xfId="720"/>
    <cellStyle name="Input 14" xfId="721"/>
    <cellStyle name="Input 15" xfId="722"/>
    <cellStyle name="Input 16" xfId="723"/>
    <cellStyle name="Input 17" xfId="724"/>
    <cellStyle name="Input 18" xfId="725"/>
    <cellStyle name="Input 19" xfId="726"/>
    <cellStyle name="Input 2" xfId="206"/>
    <cellStyle name="Input 2 2" xfId="386"/>
    <cellStyle name="Input 2 2 2" xfId="445"/>
    <cellStyle name="Input 2 2 3" xfId="1215"/>
    <cellStyle name="Input 20" xfId="727"/>
    <cellStyle name="Input 21" xfId="728"/>
    <cellStyle name="Input 22" xfId="729"/>
    <cellStyle name="Input 23" xfId="730"/>
    <cellStyle name="Input 24" xfId="669"/>
    <cellStyle name="Input 25" xfId="672"/>
    <cellStyle name="Input 26" xfId="688"/>
    <cellStyle name="Input 27" xfId="781"/>
    <cellStyle name="Input 27 2" xfId="1146"/>
    <cellStyle name="Input 28" xfId="784"/>
    <cellStyle name="Input 28 2" xfId="1182"/>
    <cellStyle name="Input 29" xfId="797"/>
    <cellStyle name="Input 29 2" xfId="1179"/>
    <cellStyle name="Input 3" xfId="207"/>
    <cellStyle name="Input 3 2" xfId="572"/>
    <cellStyle name="Input 30" xfId="791"/>
    <cellStyle name="Input 31" xfId="779"/>
    <cellStyle name="Input 32" xfId="1007"/>
    <cellStyle name="Input 33" xfId="778"/>
    <cellStyle name="Input 34" xfId="785"/>
    <cellStyle name="Input 35" xfId="1017"/>
    <cellStyle name="Input 36" xfId="1012"/>
    <cellStyle name="Input 37" xfId="1040"/>
    <cellStyle name="Input 38" xfId="1028"/>
    <cellStyle name="Input 39" xfId="1036"/>
    <cellStyle name="Input 4" xfId="208"/>
    <cellStyle name="Input 4 2" xfId="573"/>
    <cellStyle name="Input 40" xfId="1015"/>
    <cellStyle name="Input 41" xfId="1027"/>
    <cellStyle name="Input 42" xfId="1013"/>
    <cellStyle name="Input 43" xfId="1014"/>
    <cellStyle name="Input 44" xfId="1016"/>
    <cellStyle name="Input 45" xfId="1098"/>
    <cellStyle name="Input 46" xfId="1105"/>
    <cellStyle name="Input 47" xfId="1223"/>
    <cellStyle name="Input 48" xfId="1113"/>
    <cellStyle name="Input 49" xfId="1092"/>
    <cellStyle name="Input 5" xfId="205"/>
    <cellStyle name="Input 5 2" xfId="574"/>
    <cellStyle name="Input 50" xfId="1087"/>
    <cellStyle name="Input 51" xfId="1108"/>
    <cellStyle name="Input 52" xfId="1109"/>
    <cellStyle name="Input 53" xfId="1089"/>
    <cellStyle name="Input 54" xfId="1102"/>
    <cellStyle name="Input 55" xfId="1399"/>
    <cellStyle name="Input 56" xfId="1220"/>
    <cellStyle name="Input 57" xfId="1394"/>
    <cellStyle name="Input 58" xfId="1424"/>
    <cellStyle name="Input 59" xfId="1427"/>
    <cellStyle name="Input 6" xfId="329"/>
    <cellStyle name="Input 6 2" xfId="575"/>
    <cellStyle name="Input 60" xfId="1430"/>
    <cellStyle name="Input 7" xfId="323"/>
    <cellStyle name="Input 7 2" xfId="576"/>
    <cellStyle name="Input 8" xfId="325"/>
    <cellStyle name="Input 9" xfId="328"/>
    <cellStyle name="Linked Cell" xfId="1056" builtinId="24" customBuiltin="1"/>
    <cellStyle name="Linked Cell 2" xfId="210"/>
    <cellStyle name="Linked Cell 2 2" xfId="387"/>
    <cellStyle name="Linked Cell 2 2 2" xfId="446"/>
    <cellStyle name="Linked Cell 2 2 3" xfId="1216"/>
    <cellStyle name="Linked Cell 3" xfId="211"/>
    <cellStyle name="Linked Cell 4" xfId="212"/>
    <cellStyle name="Linked Cell 5" xfId="209"/>
    <cellStyle name="Linked Cell 6" xfId="577"/>
    <cellStyle name="Linked Cell 7" xfId="1149"/>
    <cellStyle name="Multiple" xfId="213"/>
    <cellStyle name="Neutral" xfId="1052" builtinId="28" customBuiltin="1"/>
    <cellStyle name="Neutral 2" xfId="215"/>
    <cellStyle name="Neutral 2 2" xfId="388"/>
    <cellStyle name="Neutral 2 2 2" xfId="447"/>
    <cellStyle name="Neutral 2 2 3" xfId="1217"/>
    <cellStyle name="Neutral 3" xfId="216"/>
    <cellStyle name="Neutral 4" xfId="217"/>
    <cellStyle name="Neutral 5" xfId="214"/>
    <cellStyle name="Neutral 6" xfId="578"/>
    <cellStyle name="Neutral 7" xfId="1145"/>
    <cellStyle name="no dec" xfId="389"/>
    <cellStyle name="no dec 2" xfId="579"/>
    <cellStyle name="no dec 2 2" xfId="580"/>
    <cellStyle name="Normal" xfId="0" builtinId="0"/>
    <cellStyle name="Normal - Style1" xfId="390"/>
    <cellStyle name="Normal - Style1 2" xfId="581"/>
    <cellStyle name="Normal 10" xfId="322"/>
    <cellStyle name="Normal 10 2" xfId="583"/>
    <cellStyle name="Normal 10 2 2" xfId="853"/>
    <cellStyle name="Normal 10 2 2 2" xfId="908"/>
    <cellStyle name="Normal 10 2 2 2 2" xfId="1301"/>
    <cellStyle name="Normal 10 2 2 3" xfId="1300"/>
    <cellStyle name="Normal 10 2 3" xfId="936"/>
    <cellStyle name="Normal 10 2 3 2" xfId="1302"/>
    <cellStyle name="Normal 10 2 4" xfId="892"/>
    <cellStyle name="Normal 10 2 4 2" xfId="1303"/>
    <cellStyle name="Normal 10 2 5" xfId="989"/>
    <cellStyle name="Normal 10 2 5 2" xfId="1304"/>
    <cellStyle name="Normal 10 2 6" xfId="831"/>
    <cellStyle name="Normal 10 2 6 2" xfId="1305"/>
    <cellStyle name="Normal 10 2 7" xfId="1299"/>
    <cellStyle name="Normal 10 3" xfId="582"/>
    <cellStyle name="Normal 10 4" xfId="935"/>
    <cellStyle name="Normal 10 5" xfId="1000"/>
    <cellStyle name="Normal 10 5 2" xfId="1306"/>
    <cellStyle name="Normal 11" xfId="410"/>
    <cellStyle name="Normal 11 2" xfId="585"/>
    <cellStyle name="Normal 11 2 2" xfId="854"/>
    <cellStyle name="Normal 11 2 2 2" xfId="909"/>
    <cellStyle name="Normal 11 2 2 2 2" xfId="1309"/>
    <cellStyle name="Normal 11 2 2 3" xfId="1308"/>
    <cellStyle name="Normal 11 2 3" xfId="938"/>
    <cellStyle name="Normal 11 2 3 2" xfId="1310"/>
    <cellStyle name="Normal 11 2 4" xfId="893"/>
    <cellStyle name="Normal 11 2 4 2" xfId="1311"/>
    <cellStyle name="Normal 11 2 5" xfId="990"/>
    <cellStyle name="Normal 11 2 5 2" xfId="1312"/>
    <cellStyle name="Normal 11 2 6" xfId="832"/>
    <cellStyle name="Normal 11 2 6 2" xfId="1313"/>
    <cellStyle name="Normal 11 2 7" xfId="1307"/>
    <cellStyle name="Normal 11 3" xfId="584"/>
    <cellStyle name="Normal 11 4" xfId="937"/>
    <cellStyle name="Normal 11 5" xfId="1001"/>
    <cellStyle name="Normal 11 5 2" xfId="1314"/>
    <cellStyle name="Normal 12" xfId="409"/>
    <cellStyle name="Normal 12 2" xfId="586"/>
    <cellStyle name="Normal 12 3" xfId="1002"/>
    <cellStyle name="Normal 12 3 2" xfId="1315"/>
    <cellStyle name="Normal 13" xfId="411"/>
    <cellStyle name="Normal 13 2" xfId="587"/>
    <cellStyle name="Normal 13 3" xfId="939"/>
    <cellStyle name="Normal 13 4" xfId="811"/>
    <cellStyle name="Normal 13 5" xfId="1003"/>
    <cellStyle name="Normal 13 5 2" xfId="1316"/>
    <cellStyle name="Normal 14" xfId="588"/>
    <cellStyle name="Normal 14 2" xfId="589"/>
    <cellStyle name="Normal 14 2 2" xfId="590"/>
    <cellStyle name="Normal 14 2 2 2" xfId="856"/>
    <cellStyle name="Normal 14 2 2 2 2" xfId="911"/>
    <cellStyle name="Normal 14 2 2 2 2 2" xfId="1321"/>
    <cellStyle name="Normal 14 2 2 2 3" xfId="1320"/>
    <cellStyle name="Normal 14 2 2 3" xfId="942"/>
    <cellStyle name="Normal 14 2 2 3 2" xfId="1322"/>
    <cellStyle name="Normal 14 2 2 4" xfId="895"/>
    <cellStyle name="Normal 14 2 2 4 2" xfId="1323"/>
    <cellStyle name="Normal 14 2 2 5" xfId="993"/>
    <cellStyle name="Normal 14 2 2 5 2" xfId="1324"/>
    <cellStyle name="Normal 14 2 2 6" xfId="834"/>
    <cellStyle name="Normal 14 2 2 6 2" xfId="1325"/>
    <cellStyle name="Normal 14 2 2 7" xfId="1319"/>
    <cellStyle name="Normal 14 2 3" xfId="855"/>
    <cellStyle name="Normal 14 2 3 2" xfId="910"/>
    <cellStyle name="Normal 14 2 3 2 2" xfId="1327"/>
    <cellStyle name="Normal 14 2 3 3" xfId="1326"/>
    <cellStyle name="Normal 14 2 4" xfId="941"/>
    <cellStyle name="Normal 14 2 4 2" xfId="1328"/>
    <cellStyle name="Normal 14 2 5" xfId="894"/>
    <cellStyle name="Normal 14 2 5 2" xfId="1329"/>
    <cellStyle name="Normal 14 2 6" xfId="992"/>
    <cellStyle name="Normal 14 2 6 2" xfId="1330"/>
    <cellStyle name="Normal 14 2 7" xfId="833"/>
    <cellStyle name="Normal 14 2 7 2" xfId="1331"/>
    <cellStyle name="Normal 14 2 8" xfId="1318"/>
    <cellStyle name="Normal 14 3" xfId="591"/>
    <cellStyle name="Normal 14 3 2" xfId="857"/>
    <cellStyle name="Normal 14 3 2 2" xfId="912"/>
    <cellStyle name="Normal 14 3 2 2 2" xfId="1334"/>
    <cellStyle name="Normal 14 3 2 3" xfId="1333"/>
    <cellStyle name="Normal 14 3 3" xfId="943"/>
    <cellStyle name="Normal 14 3 3 2" xfId="1335"/>
    <cellStyle name="Normal 14 3 4" xfId="896"/>
    <cellStyle name="Normal 14 3 4 2" xfId="1336"/>
    <cellStyle name="Normal 14 3 5" xfId="994"/>
    <cellStyle name="Normal 14 3 5 2" xfId="1337"/>
    <cellStyle name="Normal 14 3 6" xfId="835"/>
    <cellStyle name="Normal 14 3 6 2" xfId="1338"/>
    <cellStyle name="Normal 14 3 7" xfId="1332"/>
    <cellStyle name="Normal 14 4" xfId="940"/>
    <cellStyle name="Normal 14 4 2" xfId="1339"/>
    <cellStyle name="Normal 14 5" xfId="991"/>
    <cellStyle name="Normal 14 5 2" xfId="1340"/>
    <cellStyle name="Normal 14 6" xfId="809"/>
    <cellStyle name="Normal 14 7" xfId="1317"/>
    <cellStyle name="Normal 15" xfId="592"/>
    <cellStyle name="Normal 15 2" xfId="944"/>
    <cellStyle name="Normal 15 3" xfId="812"/>
    <cellStyle name="Normal 16" xfId="593"/>
    <cellStyle name="Normal 16 2" xfId="945"/>
    <cellStyle name="Normal 16 3" xfId="815"/>
    <cellStyle name="Normal 17" xfId="594"/>
    <cellStyle name="Normal 17 2" xfId="858"/>
    <cellStyle name="Normal 17 3" xfId="946"/>
    <cellStyle name="Normal 17 4" xfId="816"/>
    <cellStyle name="Normal 18" xfId="595"/>
    <cellStyle name="Normal 18 2" xfId="859"/>
    <cellStyle name="Normal 18 3" xfId="947"/>
    <cellStyle name="Normal 18 4" xfId="819"/>
    <cellStyle name="Normal 19" xfId="596"/>
    <cellStyle name="Normal 19 2" xfId="860"/>
    <cellStyle name="Normal 19 3" xfId="948"/>
    <cellStyle name="Normal 19 3 2" xfId="1342"/>
    <cellStyle name="Normal 19 4" xfId="995"/>
    <cellStyle name="Normal 19 4 2" xfId="1343"/>
    <cellStyle name="Normal 19 5" xfId="820"/>
    <cellStyle name="Normal 19 6" xfId="1341"/>
    <cellStyle name="Normal 2" xfId="218"/>
    <cellStyle name="Normal 2 2" xfId="597"/>
    <cellStyle name="Normal 2 3" xfId="1131"/>
    <cellStyle name="Normal 2 3 2" xfId="1224"/>
    <cellStyle name="Normal 2 4" xfId="1129"/>
    <cellStyle name="Normal 20" xfId="598"/>
    <cellStyle name="Normal 20 2" xfId="861"/>
    <cellStyle name="Normal 20 3" xfId="949"/>
    <cellStyle name="Normal 20 3 2" xfId="1345"/>
    <cellStyle name="Normal 20 4" xfId="996"/>
    <cellStyle name="Normal 20 4 2" xfId="1346"/>
    <cellStyle name="Normal 20 5" xfId="821"/>
    <cellStyle name="Normal 20 6" xfId="1344"/>
    <cellStyle name="Normal 21" xfId="599"/>
    <cellStyle name="Normal 22" xfId="600"/>
    <cellStyle name="Normal 23" xfId="601"/>
    <cellStyle name="Normal 24" xfId="454"/>
    <cellStyle name="Normal 25" xfId="658"/>
    <cellStyle name="Normal 26" xfId="674"/>
    <cellStyle name="Normal 26 2" xfId="971"/>
    <cellStyle name="Normal 26 2 2" xfId="1348"/>
    <cellStyle name="Normal 26 3" xfId="918"/>
    <cellStyle name="Normal 26 3 2" xfId="1349"/>
    <cellStyle name="Normal 26 4" xfId="1347"/>
    <cellStyle name="Normal 27" xfId="682"/>
    <cellStyle name="Normal 27 2" xfId="975"/>
    <cellStyle name="Normal 27 2 2" xfId="1351"/>
    <cellStyle name="Normal 27 3" xfId="876"/>
    <cellStyle name="Normal 27 4" xfId="1350"/>
    <cellStyle name="Normal 28" xfId="667"/>
    <cellStyle name="Normal 28 2" xfId="877"/>
    <cellStyle name="Normal 28 2 2" xfId="1033"/>
    <cellStyle name="Normal 28 3" xfId="1042"/>
    <cellStyle name="Normal 29" xfId="689"/>
    <cellStyle name="Normal 29 2" xfId="960"/>
    <cellStyle name="Normal 29 2 2" xfId="1035"/>
    <cellStyle name="Normal 29 3" xfId="1044"/>
    <cellStyle name="Normal 3" xfId="219"/>
    <cellStyle name="Normal 3 2" xfId="602"/>
    <cellStyle name="Normal 3 2 2" xfId="862"/>
    <cellStyle name="Normal 30" xfId="687"/>
    <cellStyle name="Normal 30 2" xfId="961"/>
    <cellStyle name="Normal 30 2 2" xfId="1034"/>
    <cellStyle name="Normal 30 3" xfId="1043"/>
    <cellStyle name="Normal 31" xfId="789"/>
    <cellStyle name="Normal 31 2" xfId="962"/>
    <cellStyle name="Normal 31 3" xfId="1114"/>
    <cellStyle name="Normal 32" xfId="792"/>
    <cellStyle name="Normal 32 2" xfId="963"/>
    <cellStyle name="Normal 32 2 2" xfId="1126"/>
    <cellStyle name="Normal 32 3" xfId="1123"/>
    <cellStyle name="Normal 32 4" xfId="1118"/>
    <cellStyle name="Normal 33" xfId="964"/>
    <cellStyle name="Normal 33 2" xfId="1127"/>
    <cellStyle name="Normal 33 3" xfId="1124"/>
    <cellStyle name="Normal 33 4" xfId="1119"/>
    <cellStyle name="Normal 34" xfId="968"/>
    <cellStyle name="Normal 34 2" xfId="1128"/>
    <cellStyle name="Normal 34 3" xfId="1125"/>
    <cellStyle name="Normal 34 4" xfId="1120"/>
    <cellStyle name="Normal 35" xfId="798"/>
    <cellStyle name="Normal 35 2" xfId="1137"/>
    <cellStyle name="Normal 36" xfId="999"/>
    <cellStyle name="Normal 36 2" xfId="1136"/>
    <cellStyle name="Normal 37" xfId="780"/>
    <cellStyle name="Normal 37 2" xfId="1180"/>
    <cellStyle name="Normal 38" xfId="795"/>
    <cellStyle name="Normal 38 2" xfId="1135"/>
    <cellStyle name="Normal 39" xfId="782"/>
    <cellStyle name="Normal 39 2" xfId="1133"/>
    <cellStyle name="Normal 4" xfId="220"/>
    <cellStyle name="Normal 4 2" xfId="391"/>
    <cellStyle name="Normal 4 2 2" xfId="603"/>
    <cellStyle name="Normal 4 2 2 2" xfId="951"/>
    <cellStyle name="Normal 4 2 2 3" xfId="913"/>
    <cellStyle name="Normal 4 2 2 3 2" xfId="1353"/>
    <cellStyle name="Normal 4 2 2 4" xfId="863"/>
    <cellStyle name="Normal 4 2 2 4 2" xfId="1354"/>
    <cellStyle name="Normal 4 2 3" xfId="684"/>
    <cellStyle name="Normal 4 2 3 2" xfId="976"/>
    <cellStyle name="Normal 4 2 3 2 2" xfId="1356"/>
    <cellStyle name="Normal 4 2 3 3" xfId="950"/>
    <cellStyle name="Normal 4 2 3 3 2" xfId="1357"/>
    <cellStyle name="Normal 4 2 3 4" xfId="1355"/>
    <cellStyle name="Normal 4 2 4" xfId="881"/>
    <cellStyle name="Normal 4 2 4 2" xfId="1358"/>
    <cellStyle name="Normal 4 2 5" xfId="966"/>
    <cellStyle name="Normal 4 2 5 2" xfId="1359"/>
    <cellStyle name="Normal 4 2 6" xfId="969"/>
    <cellStyle name="Normal 4 2 6 2" xfId="1360"/>
    <cellStyle name="Normal 4 2 7" xfId="817"/>
    <cellStyle name="Normal 4 2 7 2" xfId="1361"/>
    <cellStyle name="Normal 4 2 8" xfId="1352"/>
    <cellStyle name="Normal 40" xfId="1006"/>
    <cellStyle name="Normal 41" xfId="787"/>
    <cellStyle name="Normal 42" xfId="1005"/>
    <cellStyle name="Normal 43" xfId="1025"/>
    <cellStyle name="Normal 43 2" xfId="1405"/>
    <cellStyle name="Normal 44" xfId="1019"/>
    <cellStyle name="Normal 44 2" xfId="1403"/>
    <cellStyle name="Normal 45" xfId="1030"/>
    <cellStyle name="Normal 45 2" xfId="1407"/>
    <cellStyle name="Normal 46" xfId="1018"/>
    <cellStyle name="Normal 46 2" xfId="1402"/>
    <cellStyle name="Normal 47" xfId="1039"/>
    <cellStyle name="Normal 47 2" xfId="1409"/>
    <cellStyle name="Normal 48" xfId="1032"/>
    <cellStyle name="Normal 48 2" xfId="1408"/>
    <cellStyle name="Normal 49" xfId="1026"/>
    <cellStyle name="Normal 49 2" xfId="1406"/>
    <cellStyle name="Normal 5" xfId="221"/>
    <cellStyle name="Normal 5 2" xfId="392"/>
    <cellStyle name="Normal 5 2 2" xfId="685"/>
    <cellStyle name="Normal 5 2 2 2" xfId="914"/>
    <cellStyle name="Normal 5 2 2 2 2" xfId="1364"/>
    <cellStyle name="Normal 5 2 2 3" xfId="977"/>
    <cellStyle name="Normal 5 2 2 3 2" xfId="1365"/>
    <cellStyle name="Normal 5 2 2 4" xfId="864"/>
    <cellStyle name="Normal 5 2 2 4 2" xfId="1366"/>
    <cellStyle name="Normal 5 2 2 5" xfId="1363"/>
    <cellStyle name="Normal 5 2 3" xfId="731"/>
    <cellStyle name="Normal 5 2 3 2" xfId="998"/>
    <cellStyle name="Normal 5 2 3 2 2" xfId="1368"/>
    <cellStyle name="Normal 5 2 3 3" xfId="952"/>
    <cellStyle name="Normal 5 2 3 3 2" xfId="1369"/>
    <cellStyle name="Normal 5 2 3 4" xfId="1367"/>
    <cellStyle name="Normal 5 2 4" xfId="882"/>
    <cellStyle name="Normal 5 2 4 2" xfId="1370"/>
    <cellStyle name="Normal 5 2 5" xfId="967"/>
    <cellStyle name="Normal 5 2 5 2" xfId="1371"/>
    <cellStyle name="Normal 5 2 6" xfId="970"/>
    <cellStyle name="Normal 5 2 6 2" xfId="1372"/>
    <cellStyle name="Normal 5 2 7" xfId="818"/>
    <cellStyle name="Normal 5 2 7 2" xfId="1373"/>
    <cellStyle name="Normal 5 2 8" xfId="1362"/>
    <cellStyle name="Normal 50" xfId="1023"/>
    <cellStyle name="Normal 50 2" xfId="1404"/>
    <cellStyle name="Normal 51" xfId="1009"/>
    <cellStyle name="Normal 51 2" xfId="1400"/>
    <cellStyle name="Normal 52" xfId="1011"/>
    <cellStyle name="Normal 52 2" xfId="1401"/>
    <cellStyle name="Normal 53" xfId="1112"/>
    <cellStyle name="Normal 53 2" xfId="1419"/>
    <cellStyle name="Normal 54" xfId="1122"/>
    <cellStyle name="Normal 54 2" xfId="1420"/>
    <cellStyle name="Normal 55" xfId="1090"/>
    <cellStyle name="Normal 55 2" xfId="1410"/>
    <cellStyle name="Normal 56" xfId="1099"/>
    <cellStyle name="Normal 56 2" xfId="1414"/>
    <cellStyle name="Normal 57" xfId="1110"/>
    <cellStyle name="Normal 57 2" xfId="1418"/>
    <cellStyle name="Normal 58" xfId="1093"/>
    <cellStyle name="Normal 58 2" xfId="1411"/>
    <cellStyle name="Normal 59" xfId="1397"/>
    <cellStyle name="Normal 59 2" xfId="1422"/>
    <cellStyle name="Normal 6" xfId="222"/>
    <cellStyle name="Normal 6 2" xfId="604"/>
    <cellStyle name="Normal 60" xfId="1096"/>
    <cellStyle name="Normal 60 2" xfId="1413"/>
    <cellStyle name="Normal 61" xfId="1106"/>
    <cellStyle name="Normal 61 2" xfId="1416"/>
    <cellStyle name="Normal 62" xfId="1222"/>
    <cellStyle name="Normal 62 2" xfId="1421"/>
    <cellStyle name="Normal 63" xfId="1107"/>
    <cellStyle name="Normal 63 2" xfId="1417"/>
    <cellStyle name="Normal 64" xfId="1094"/>
    <cellStyle name="Normal 64 2" xfId="1412"/>
    <cellStyle name="Normal 65" xfId="1100"/>
    <cellStyle name="Normal 65 2" xfId="1415"/>
    <cellStyle name="Normal 66" xfId="1423"/>
    <cellStyle name="Normal 67" xfId="1428"/>
    <cellStyle name="Normal 68" xfId="1429"/>
    <cellStyle name="Normal 7" xfId="12"/>
    <cellStyle name="Normal 7 2" xfId="605"/>
    <cellStyle name="Normal 7 2 2" xfId="1432"/>
    <cellStyle name="Normal 7 3" xfId="675"/>
    <cellStyle name="Normal 7 3 2" xfId="866"/>
    <cellStyle name="Normal 7 3 2 2" xfId="916"/>
    <cellStyle name="Normal 7 3 2 2 2" xfId="1375"/>
    <cellStyle name="Normal 7 3 2 3" xfId="1374"/>
    <cellStyle name="Normal 7 3 3" xfId="880"/>
    <cellStyle name="Normal 7 3 3 2" xfId="1376"/>
    <cellStyle name="Normal 7 3 4" xfId="972"/>
    <cellStyle name="Normal 7 3 5" xfId="807"/>
    <cellStyle name="Normal 7 3 5 2" xfId="1377"/>
    <cellStyle name="Normal 7 4" xfId="865"/>
    <cellStyle name="Normal 7 4 2" xfId="915"/>
    <cellStyle name="Normal 7 4 2 2" xfId="1379"/>
    <cellStyle name="Normal 7 4 3" xfId="1184"/>
    <cellStyle name="Normal 7 4 3 2" xfId="1378"/>
    <cellStyle name="Normal 7 5" xfId="879"/>
    <cellStyle name="Normal 7 5 2" xfId="1380"/>
    <cellStyle name="Normal 7 6" xfId="800"/>
    <cellStyle name="Normal 7 6 2" xfId="1381"/>
    <cellStyle name="Normal 8" xfId="223"/>
    <cellStyle name="Normal 8 2" xfId="607"/>
    <cellStyle name="Normal 8 3" xfId="608"/>
    <cellStyle name="Normal 8 3 2" xfId="867"/>
    <cellStyle name="Normal 8 3 2 2" xfId="917"/>
    <cellStyle name="Normal 8 3 2 2 2" xfId="1384"/>
    <cellStyle name="Normal 8 3 2 3" xfId="1383"/>
    <cellStyle name="Normal 8 3 3" xfId="954"/>
    <cellStyle name="Normal 8 3 3 2" xfId="1385"/>
    <cellStyle name="Normal 8 3 4" xfId="897"/>
    <cellStyle name="Normal 8 3 4 2" xfId="1386"/>
    <cellStyle name="Normal 8 3 5" xfId="997"/>
    <cellStyle name="Normal 8 3 5 2" xfId="1387"/>
    <cellStyle name="Normal 8 3 6" xfId="836"/>
    <cellStyle name="Normal 8 3 6 2" xfId="1388"/>
    <cellStyle name="Normal 8 3 7" xfId="1382"/>
    <cellStyle name="Normal 8 4" xfId="606"/>
    <cellStyle name="Normal 8 5" xfId="953"/>
    <cellStyle name="Normal 9" xfId="330"/>
    <cellStyle name="Normal 9 2" xfId="610"/>
    <cellStyle name="Normal 9 2 2" xfId="611"/>
    <cellStyle name="Normal 9 3" xfId="609"/>
    <cellStyle name="Normal 9 3 2" xfId="956"/>
    <cellStyle name="Normal 9 3 3" xfId="868"/>
    <cellStyle name="Normal 9 4" xfId="955"/>
    <cellStyle name="Normal 9 5" xfId="802"/>
    <cellStyle name="Normal 9 6" xfId="1004"/>
    <cellStyle name="Normal 9 6 2" xfId="1389"/>
    <cellStyle name="Normal_RAM_Prog_07" xfId="5"/>
    <cellStyle name="Note" xfId="1059" builtinId="10" customBuiltin="1"/>
    <cellStyle name="Note 10" xfId="612"/>
    <cellStyle name="Note 10 2" xfId="613"/>
    <cellStyle name="Note 10 3" xfId="869"/>
    <cellStyle name="Note 10 4" xfId="804"/>
    <cellStyle name="Note 11" xfId="614"/>
    <cellStyle name="Note 11 2" xfId="615"/>
    <cellStyle name="Note 12" xfId="616"/>
    <cellStyle name="Note 13" xfId="1152"/>
    <cellStyle name="Note 2" xfId="225"/>
    <cellStyle name="Note 2 2" xfId="448"/>
    <cellStyle name="Note 2 2 2" xfId="617"/>
    <cellStyle name="Note 2 3" xfId="618"/>
    <cellStyle name="Note 2 3 2" xfId="870"/>
    <cellStyle name="Note 2_I_Secondary" xfId="732"/>
    <cellStyle name="Note 3" xfId="226"/>
    <cellStyle name="Note 3 2" xfId="619"/>
    <cellStyle name="Note 4" xfId="227"/>
    <cellStyle name="Note 4 2" xfId="620"/>
    <cellStyle name="Note 5" xfId="228"/>
    <cellStyle name="Note 5 2" xfId="621"/>
    <cellStyle name="Note 6" xfId="229"/>
    <cellStyle name="Note 6 2" xfId="622"/>
    <cellStyle name="Note 7" xfId="224"/>
    <cellStyle name="Note 7 2" xfId="623"/>
    <cellStyle name="Note 7 3" xfId="680"/>
    <cellStyle name="Note 8" xfId="624"/>
    <cellStyle name="Note 8 2" xfId="625"/>
    <cellStyle name="Note 9" xfId="626"/>
    <cellStyle name="Note 9 2" xfId="627"/>
    <cellStyle name="Note 9 3" xfId="871"/>
    <cellStyle name="Note 9 4" xfId="808"/>
    <cellStyle name="Output" xfId="1054" builtinId="21" customBuiltin="1"/>
    <cellStyle name="Output 2" xfId="231"/>
    <cellStyle name="Output 2 2" xfId="393"/>
    <cellStyle name="Output 2 2 2" xfId="449"/>
    <cellStyle name="Output 2 2 3" xfId="1218"/>
    <cellStyle name="Output 2 3" xfId="628"/>
    <cellStyle name="Output 3" xfId="232"/>
    <cellStyle name="Output 3 2" xfId="629"/>
    <cellStyle name="Output 3 2 2" xfId="630"/>
    <cellStyle name="Output 3 3" xfId="631"/>
    <cellStyle name="Output 4" xfId="233"/>
    <cellStyle name="Output 4 2" xfId="632"/>
    <cellStyle name="Output 4 2 2" xfId="633"/>
    <cellStyle name="Output 4 3" xfId="634"/>
    <cellStyle name="Output 5" xfId="230"/>
    <cellStyle name="Output 5 2" xfId="635"/>
    <cellStyle name="Output 5 2 2" xfId="636"/>
    <cellStyle name="Output 5 3" xfId="637"/>
    <cellStyle name="Output 6" xfId="638"/>
    <cellStyle name="Output 6 2" xfId="639"/>
    <cellStyle name="Output 7" xfId="1147"/>
    <cellStyle name="Page Number" xfId="234"/>
    <cellStyle name="Percent" xfId="3" builtinId="5"/>
    <cellStyle name="Percent [2]" xfId="394"/>
    <cellStyle name="Percent [2] 2" xfId="395"/>
    <cellStyle name="Percent [2] 2 2" xfId="640"/>
    <cellStyle name="Percent [2] 3" xfId="733"/>
    <cellStyle name="Percent [2] 3 2" xfId="872"/>
    <cellStyle name="Percent 10" xfId="236"/>
    <cellStyle name="Percent 11" xfId="235"/>
    <cellStyle name="Percent 11 2" xfId="641"/>
    <cellStyle name="Percent 11 2 2" xfId="1433"/>
    <cellStyle name="Percent 11 3" xfId="681"/>
    <cellStyle name="Percent 12" xfId="327"/>
    <cellStyle name="Percent 13" xfId="408"/>
    <cellStyle name="Percent 13 2" xfId="643"/>
    <cellStyle name="Percent 13 3" xfId="642"/>
    <cellStyle name="Percent 14" xfId="324"/>
    <cellStyle name="Percent 14 2" xfId="645"/>
    <cellStyle name="Percent 14 3" xfId="644"/>
    <cellStyle name="Percent 15" xfId="326"/>
    <cellStyle name="Percent 15 2" xfId="646"/>
    <cellStyle name="Percent 16" xfId="450"/>
    <cellStyle name="Percent 16 2" xfId="957"/>
    <cellStyle name="Percent 16 3" xfId="813"/>
    <cellStyle name="Percent 17" xfId="647"/>
    <cellStyle name="Percent 17 2" xfId="958"/>
    <cellStyle name="Percent 17 3" xfId="814"/>
    <cellStyle name="Percent 18" xfId="648"/>
    <cellStyle name="Percent 19" xfId="677"/>
    <cellStyle name="Percent 19 2" xfId="974"/>
    <cellStyle name="Percent 19 2 2" xfId="1391"/>
    <cellStyle name="Percent 19 3" xfId="965"/>
    <cellStyle name="Percent 19 4" xfId="1390"/>
    <cellStyle name="Percent 2" xfId="237"/>
    <cellStyle name="Percent 2 2" xfId="396"/>
    <cellStyle name="Percent 2 2 2" xfId="873"/>
    <cellStyle name="Percent 20" xfId="686"/>
    <cellStyle name="Percent 20 2" xfId="978"/>
    <cellStyle name="Percent 20 2 2" xfId="1393"/>
    <cellStyle name="Percent 20 3" xfId="1392"/>
    <cellStyle name="Percent 21" xfId="670"/>
    <cellStyle name="Percent 22" xfId="671"/>
    <cellStyle name="Percent 22 2" xfId="801"/>
    <cellStyle name="Percent 23" xfId="673"/>
    <cellStyle name="Percent 24" xfId="793"/>
    <cellStyle name="Percent 24 2" xfId="1117"/>
    <cellStyle name="Percent 25" xfId="788"/>
    <cellStyle name="Percent 25 2" xfId="1115"/>
    <cellStyle name="Percent 26" xfId="796"/>
    <cellStyle name="Percent 26 2" xfId="1116"/>
    <cellStyle name="Percent 27" xfId="790"/>
    <cellStyle name="Percent 27 2" xfId="1121"/>
    <cellStyle name="Percent 28" xfId="794"/>
    <cellStyle name="Percent 28 2" xfId="1134"/>
    <cellStyle name="Percent 29" xfId="1008"/>
    <cellStyle name="Percent 29 2" xfId="1130"/>
    <cellStyle name="Percent 3" xfId="238"/>
    <cellStyle name="Percent 3 2" xfId="451"/>
    <cellStyle name="Percent 30" xfId="786"/>
    <cellStyle name="Percent 30 2" xfId="1181"/>
    <cellStyle name="Percent 31" xfId="783"/>
    <cellStyle name="Percent 32" xfId="1021"/>
    <cellStyle name="Percent 33" xfId="1024"/>
    <cellStyle name="Percent 34" xfId="1038"/>
    <cellStyle name="Percent 35" xfId="1041"/>
    <cellStyle name="Percent 36" xfId="1037"/>
    <cellStyle name="Percent 37" xfId="1031"/>
    <cellStyle name="Percent 38" xfId="1022"/>
    <cellStyle name="Percent 39" xfId="1029"/>
    <cellStyle name="Percent 4" xfId="239"/>
    <cellStyle name="Percent 4 2" xfId="240"/>
    <cellStyle name="Percent 4 2 2" xfId="649"/>
    <cellStyle name="Percent 4 3" xfId="241"/>
    <cellStyle name="Percent 40" xfId="1010"/>
    <cellStyle name="Percent 41" xfId="1020"/>
    <cellStyle name="Percent 42" xfId="1221"/>
    <cellStyle name="Percent 43" xfId="1111"/>
    <cellStyle name="Percent 44" xfId="1086"/>
    <cellStyle name="Percent 45" xfId="1091"/>
    <cellStyle name="Percent 46" xfId="1103"/>
    <cellStyle name="Percent 47" xfId="1097"/>
    <cellStyle name="Percent 48" xfId="1395"/>
    <cellStyle name="Percent 49" xfId="1101"/>
    <cellStyle name="Percent 5" xfId="242"/>
    <cellStyle name="Percent 5 2" xfId="243"/>
    <cellStyle name="Percent 5 2 2" xfId="650"/>
    <cellStyle name="Percent 5 3" xfId="651"/>
    <cellStyle name="Percent 50" xfId="1398"/>
    <cellStyle name="Percent 51" xfId="1088"/>
    <cellStyle name="Percent 52" xfId="1396"/>
    <cellStyle name="Percent 53" xfId="1104"/>
    <cellStyle name="Percent 54" xfId="1095"/>
    <cellStyle name="Percent 55" xfId="1425"/>
    <cellStyle name="Percent 56" xfId="1426"/>
    <cellStyle name="Percent 57" xfId="1431"/>
    <cellStyle name="Percent 6" xfId="244"/>
    <cellStyle name="Percent 6 2" xfId="245"/>
    <cellStyle name="Percent 6 2 2" xfId="652"/>
    <cellStyle name="Percent 6 3" xfId="653"/>
    <cellStyle name="Percent 7" xfId="246"/>
    <cellStyle name="Percent 7 2" xfId="247"/>
    <cellStyle name="Percent 8" xfId="248"/>
    <cellStyle name="Percent 8 2" xfId="654"/>
    <cellStyle name="Percent 9" xfId="249"/>
    <cellStyle name="PSChar" xfId="6"/>
    <cellStyle name="PSChar 2" xfId="250"/>
    <cellStyle name="PSChar 2 2" xfId="734"/>
    <cellStyle name="PSChar 3" xfId="251"/>
    <cellStyle name="PSChar 3 2" xfId="735"/>
    <cellStyle name="PSChar 4" xfId="252"/>
    <cellStyle name="PSChar 4 2" xfId="253"/>
    <cellStyle name="PSChar 4 2 2" xfId="736"/>
    <cellStyle name="PSChar 4 3" xfId="737"/>
    <cellStyle name="PSChar 5" xfId="254"/>
    <cellStyle name="PSChar 5 2" xfId="255"/>
    <cellStyle name="PSChar 5 2 2" xfId="738"/>
    <cellStyle name="PSChar 5 3" xfId="739"/>
    <cellStyle name="PSChar 6" xfId="334"/>
    <cellStyle name="PSDate" xfId="7"/>
    <cellStyle name="PSDate 2" xfId="256"/>
    <cellStyle name="PSDate 2 2" xfId="740"/>
    <cellStyle name="PSDate 3" xfId="257"/>
    <cellStyle name="PSDate 3 2" xfId="741"/>
    <cellStyle name="PSDate 4" xfId="258"/>
    <cellStyle name="PSDate 4 2" xfId="259"/>
    <cellStyle name="PSDate 4 2 2" xfId="742"/>
    <cellStyle name="PSDate 4 3" xfId="743"/>
    <cellStyle name="PSDate 5" xfId="260"/>
    <cellStyle name="PSDate 5 2" xfId="261"/>
    <cellStyle name="PSDate 5 2 2" xfId="744"/>
    <cellStyle name="PSDate 5 3" xfId="745"/>
    <cellStyle name="PSDate 6" xfId="335"/>
    <cellStyle name="PSDec" xfId="8"/>
    <cellStyle name="PSDec 2" xfId="262"/>
    <cellStyle name="PSDec 2 2" xfId="746"/>
    <cellStyle name="PSDec 3" xfId="263"/>
    <cellStyle name="PSDec 3 2" xfId="747"/>
    <cellStyle name="PSDec 4" xfId="264"/>
    <cellStyle name="PSDec 4 2" xfId="265"/>
    <cellStyle name="PSDec 4 2 2" xfId="748"/>
    <cellStyle name="PSDec 4 3" xfId="749"/>
    <cellStyle name="PSDec 5" xfId="266"/>
    <cellStyle name="PSDec 5 2" xfId="267"/>
    <cellStyle name="PSDec 5 2 2" xfId="750"/>
    <cellStyle name="PSDec 5 3" xfId="751"/>
    <cellStyle name="PSDec 6" xfId="336"/>
    <cellStyle name="PSHeading" xfId="9"/>
    <cellStyle name="PSHeading 2" xfId="268"/>
    <cellStyle name="PSHeading 2 2" xfId="752"/>
    <cellStyle name="PSHeading 3" xfId="269"/>
    <cellStyle name="PSHeading 3 2" xfId="753"/>
    <cellStyle name="PSHeading 4" xfId="270"/>
    <cellStyle name="PSHeading 4 2" xfId="271"/>
    <cellStyle name="PSHeading 4 2 2" xfId="754"/>
    <cellStyle name="PSHeading 4 3" xfId="755"/>
    <cellStyle name="PSHeading 4_I_Secondary" xfId="756"/>
    <cellStyle name="PSHeading 5" xfId="272"/>
    <cellStyle name="PSHeading 5 2" xfId="273"/>
    <cellStyle name="PSHeading 5 2 2" xfId="757"/>
    <cellStyle name="PSHeading 5 3" xfId="758"/>
    <cellStyle name="PSHeading 5_I_Secondary" xfId="759"/>
    <cellStyle name="PSHeading 6" xfId="337"/>
    <cellStyle name="PSHeading_358_CGS_Lewis_UT_70Conserv" xfId="274"/>
    <cellStyle name="PSInt" xfId="10"/>
    <cellStyle name="PSInt 2" xfId="275"/>
    <cellStyle name="PSInt 2 2" xfId="760"/>
    <cellStyle name="PSInt 3" xfId="276"/>
    <cellStyle name="PSInt 3 2" xfId="761"/>
    <cellStyle name="PSInt 4" xfId="277"/>
    <cellStyle name="PSInt 4 2" xfId="278"/>
    <cellStyle name="PSInt 4 2 2" xfId="762"/>
    <cellStyle name="PSInt 4 3" xfId="763"/>
    <cellStyle name="PSInt 5" xfId="279"/>
    <cellStyle name="PSInt 5 2" xfId="280"/>
    <cellStyle name="PSInt 5 2 2" xfId="764"/>
    <cellStyle name="PSInt 5 3" xfId="765"/>
    <cellStyle name="PSInt 6" xfId="338"/>
    <cellStyle name="PSSpacer" xfId="11"/>
    <cellStyle name="PSSpacer 2" xfId="281"/>
    <cellStyle name="PSSpacer 2 2" xfId="766"/>
    <cellStyle name="PSSpacer 3" xfId="282"/>
    <cellStyle name="PSSpacer 3 2" xfId="767"/>
    <cellStyle name="PSSpacer 4" xfId="283"/>
    <cellStyle name="PSSpacer 4 2" xfId="284"/>
    <cellStyle name="PSSpacer 4 2 2" xfId="768"/>
    <cellStyle name="PSSpacer 4 3" xfId="769"/>
    <cellStyle name="PSSpacer 5" xfId="285"/>
    <cellStyle name="PSSpacer 5 2" xfId="286"/>
    <cellStyle name="PSSpacer 5 2 2" xfId="770"/>
    <cellStyle name="PSSpacer 5 3" xfId="771"/>
    <cellStyle name="PSSpacer 6" xfId="339"/>
    <cellStyle name="Rate" xfId="287"/>
    <cellStyle name="Rate 2" xfId="288"/>
    <cellStyle name="Rate 3" xfId="289"/>
    <cellStyle name="Rate 4" xfId="290"/>
    <cellStyle name="Rate 4 2" xfId="291"/>
    <cellStyle name="Rate 5" xfId="292"/>
    <cellStyle name="Rate 5 2" xfId="293"/>
    <cellStyle name="Rate 6" xfId="294"/>
    <cellStyle name="Reference" xfId="295"/>
    <cellStyle name="SectionBreak" xfId="296"/>
    <cellStyle name="SectionBreak 2" xfId="297"/>
    <cellStyle name="SectionBreak 3" xfId="298"/>
    <cellStyle name="SectionBreak 4" xfId="299"/>
    <cellStyle name="SectionBreak 4 2" xfId="300"/>
    <cellStyle name="SectionBreak 5" xfId="301"/>
    <cellStyle name="SectionBreak 5 2" xfId="302"/>
    <cellStyle name="Style 27" xfId="397"/>
    <cellStyle name="Style 27 2" xfId="398"/>
    <cellStyle name="Style 27 2 2" xfId="655"/>
    <cellStyle name="Style 27 3" xfId="772"/>
    <cellStyle name="Style 27 3 2" xfId="874"/>
    <cellStyle name="Style 28" xfId="399"/>
    <cellStyle name="Style 28 2" xfId="400"/>
    <cellStyle name="Style 28 2 2" xfId="656"/>
    <cellStyle name="Style 28 3" xfId="773"/>
    <cellStyle name="Style 28 3 2" xfId="875"/>
    <cellStyle name="Table Head" xfId="303"/>
    <cellStyle name="Table Head Aligned" xfId="304"/>
    <cellStyle name="Table Head Blue" xfId="305"/>
    <cellStyle name="Table Head Green" xfId="306"/>
    <cellStyle name="Table Heading" xfId="307"/>
    <cellStyle name="Table Heading 2" xfId="308"/>
    <cellStyle name="Table Title" xfId="309"/>
    <cellStyle name="Table Units" xfId="310"/>
    <cellStyle name="Table Units 2" xfId="311"/>
    <cellStyle name="Table Units 2 2" xfId="774"/>
    <cellStyle name="Table Units 3" xfId="775"/>
    <cellStyle name="Table Units_I_Secondary" xfId="776"/>
    <cellStyle name="Title" xfId="1045" builtinId="15" customBuiltin="1"/>
    <cellStyle name="Title 2" xfId="313"/>
    <cellStyle name="Title 3" xfId="312"/>
    <cellStyle name="Title 4" xfId="657"/>
    <cellStyle name="Title 5" xfId="1138"/>
    <cellStyle name="Total" xfId="1061" builtinId="25" customBuiltin="1"/>
    <cellStyle name="Total 2" xfId="315"/>
    <cellStyle name="Total 2 2" xfId="401"/>
    <cellStyle name="Total 2 2 2" xfId="452"/>
    <cellStyle name="Total 2 2 3" xfId="1219"/>
    <cellStyle name="Total 3" xfId="316"/>
    <cellStyle name="Total 3 2" xfId="659"/>
    <cellStyle name="Total 4" xfId="317"/>
    <cellStyle name="Total 4 2" xfId="660"/>
    <cellStyle name="Total 5" xfId="314"/>
    <cellStyle name="Total 5 2" xfId="661"/>
    <cellStyle name="Total 6" xfId="662"/>
    <cellStyle name="Total 7" xfId="1154"/>
    <cellStyle name="Unprot" xfId="402"/>
    <cellStyle name="Unprot 2" xfId="663"/>
    <cellStyle name="Unprot$" xfId="403"/>
    <cellStyle name="Unprot$ 2" xfId="664"/>
    <cellStyle name="Unprot$ 2 2" xfId="665"/>
    <cellStyle name="Unprot_Current Summary" xfId="404"/>
    <cellStyle name="Unprotect" xfId="405"/>
    <cellStyle name="v" xfId="406"/>
    <cellStyle name="Warning Text" xfId="1058" builtinId="11" customBuiltin="1"/>
    <cellStyle name="Warning Text 2" xfId="319"/>
    <cellStyle name="Warning Text 2 2" xfId="407"/>
    <cellStyle name="Warning Text 2 2 2" xfId="453"/>
    <cellStyle name="Warning Text 2 2 3" xfId="959"/>
    <cellStyle name="Warning Text 2 3" xfId="777"/>
    <cellStyle name="Warning Text 3" xfId="320"/>
    <cellStyle name="Warning Text 4" xfId="321"/>
    <cellStyle name="Warning Text 5" xfId="318"/>
    <cellStyle name="Warning Text 6" xfId="666"/>
    <cellStyle name="Warning Text 7" xfId="1151"/>
  </cellStyles>
  <dxfs count="10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Rate Change BP-20 to BP-22 by Customer Type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441740496037866E-2"/>
          <c:y val="0.19999715869593082"/>
          <c:w val="0.94679837233416042"/>
          <c:h val="0.73449689523680917"/>
        </c:manualLayout>
      </c:layout>
      <c:barChart>
        <c:barDir val="col"/>
        <c:grouping val="stacked"/>
        <c:varyColors val="0"/>
        <c:ser>
          <c:idx val="0"/>
          <c:order val="0"/>
          <c:tx>
            <c:v>Load Following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6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05-4162-86F7-2998EFB823DD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05-4162-86F7-2998EFB823DD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705-4162-86F7-2998EFB823DD}"/>
              </c:ext>
            </c:extLst>
          </c:dPt>
          <c:dPt>
            <c:idx val="1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705-4162-86F7-2998EFB823DD}"/>
              </c:ext>
            </c:extLst>
          </c:dPt>
          <c:cat>
            <c:strRef>
              <c:f>Restatement!$B$4:$B$121</c:f>
              <c:strCache>
                <c:ptCount val="118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Riverside Elec Coop</c:v>
                </c:pt>
                <c:pt idx="13">
                  <c:v>Cascade Locks, City of</c:v>
                </c:pt>
                <c:pt idx="14">
                  <c:v>Energy Northwest</c:v>
                </c:pt>
                <c:pt idx="15">
                  <c:v>Chewelah, City of</c:v>
                </c:pt>
                <c:pt idx="16">
                  <c:v>East End Mutual Electric</c:v>
                </c:pt>
                <c:pt idx="17">
                  <c:v>Umpqua Indian Utility Cooperative</c:v>
                </c:pt>
                <c:pt idx="18">
                  <c:v>Kalispel Tribe Utility</c:v>
                </c:pt>
                <c:pt idx="19">
                  <c:v>Soda Springs, City of</c:v>
                </c:pt>
                <c:pt idx="20">
                  <c:v>Columbia Power Coop</c:v>
                </c:pt>
                <c:pt idx="21">
                  <c:v>Eatonville, City of</c:v>
                </c:pt>
                <c:pt idx="22">
                  <c:v>Sumas, Town of</c:v>
                </c:pt>
                <c:pt idx="23">
                  <c:v>McCleary, City of</c:v>
                </c:pt>
                <c:pt idx="24">
                  <c:v>Plummer, City of</c:v>
                </c:pt>
                <c:pt idx="25">
                  <c:v>Steilacoom, Town of</c:v>
                </c:pt>
                <c:pt idx="26">
                  <c:v>Heyburn, City of</c:v>
                </c:pt>
                <c:pt idx="27">
                  <c:v>Wahkiakum County PUD #1</c:v>
                </c:pt>
                <c:pt idx="28">
                  <c:v>Bonners Ferry, City of</c:v>
                </c:pt>
                <c:pt idx="29">
                  <c:v>U.S. Airforce Base, Fairchild</c:v>
                </c:pt>
                <c:pt idx="30">
                  <c:v>Nespelem Valley Elec Coop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Ferry County PUD #1</c:v>
                </c:pt>
                <c:pt idx="40">
                  <c:v>Rupert, City of</c:v>
                </c:pt>
                <c:pt idx="41">
                  <c:v>Lost River Elec Coop</c:v>
                </c:pt>
                <c:pt idx="42">
                  <c:v>Kittitas County PUD #1</c:v>
                </c:pt>
                <c:pt idx="43">
                  <c:v>Ohop Mutual Light Company</c:v>
                </c:pt>
                <c:pt idx="44">
                  <c:v>Milton-Freewater, City of</c:v>
                </c:pt>
                <c:pt idx="45">
                  <c:v>Tanner Elec Coop</c:v>
                </c:pt>
                <c:pt idx="46">
                  <c:v>Columbia Basin Elec Coop</c:v>
                </c:pt>
                <c:pt idx="47">
                  <c:v>Salmon River Elec Coop</c:v>
                </c:pt>
                <c:pt idx="48">
                  <c:v>Hermiston, City of</c:v>
                </c:pt>
                <c:pt idx="49">
                  <c:v>Wasco Elec Coop</c:v>
                </c:pt>
                <c:pt idx="50">
                  <c:v>Hood River Elec Coop</c:v>
                </c:pt>
                <c:pt idx="51">
                  <c:v>Parkland L &amp; W</c:v>
                </c:pt>
                <c:pt idx="52">
                  <c:v>Burley, City of</c:v>
                </c:pt>
                <c:pt idx="53">
                  <c:v>Skamania County PUD #1</c:v>
                </c:pt>
                <c:pt idx="54">
                  <c:v>Cheney, City of</c:v>
                </c:pt>
                <c:pt idx="55">
                  <c:v>Surprise Valley Elec Coop</c:v>
                </c:pt>
                <c:pt idx="56">
                  <c:v>Port of Seattle - SETAC In'tl. Airport</c:v>
                </c:pt>
                <c:pt idx="57">
                  <c:v>Glacier Elec  Coop</c:v>
                </c:pt>
                <c:pt idx="58">
                  <c:v>Yakama Power</c:v>
                </c:pt>
                <c:pt idx="59">
                  <c:v>Vigilante Elec Coop</c:v>
                </c:pt>
                <c:pt idx="60">
                  <c:v>U.S. Naval Submarine Base, Bangor</c:v>
                </c:pt>
                <c:pt idx="61">
                  <c:v>Ashland, City of</c:v>
                </c:pt>
                <c:pt idx="62">
                  <c:v>Canby, City of</c:v>
                </c:pt>
                <c:pt idx="63">
                  <c:v>Harney Elec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Pend Oreille County PUD  #1</c:v>
                </c:pt>
                <c:pt idx="67">
                  <c:v>Modern Elec Coop</c:v>
                </c:pt>
                <c:pt idx="68">
                  <c:v>Whatcom County PUD #1</c:v>
                </c:pt>
                <c:pt idx="69">
                  <c:v>Forest Grove, City of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Naval Base,  Bremerton</c:v>
                </c:pt>
                <c:pt idx="73">
                  <c:v>United Electric Coop</c:v>
                </c:pt>
                <c:pt idx="74">
                  <c:v>U.S. DOE Richland Operations Office</c:v>
                </c:pt>
                <c:pt idx="75">
                  <c:v>Port Angeles, City of</c:v>
                </c:pt>
                <c:pt idx="76">
                  <c:v>Lakeview L &amp; P (WA)</c:v>
                </c:pt>
                <c:pt idx="77">
                  <c:v>Elmhurst Mutual P &amp; L</c:v>
                </c:pt>
                <c:pt idx="78">
                  <c:v>Pacific County PUD #2</c:v>
                </c:pt>
                <c:pt idx="79">
                  <c:v>Klickitat County PUD #1</c:v>
                </c:pt>
                <c:pt idx="80">
                  <c:v>Columbia REA</c:v>
                </c:pt>
                <c:pt idx="81">
                  <c:v>Mission Valley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Okanogan County PUD #1</c:v>
                </c:pt>
                <c:pt idx="85">
                  <c:v>Midstate Elec Coop</c:v>
                </c:pt>
                <c:pt idx="86">
                  <c:v>Emerald PUD</c:v>
                </c:pt>
                <c:pt idx="87">
                  <c:v>Kootenai Electric Coop</c:v>
                </c:pt>
                <c:pt idx="88">
                  <c:v>Columbia River PUD</c:v>
                </c:pt>
                <c:pt idx="89">
                  <c:v>Tillamook PUD #1</c:v>
                </c:pt>
                <c:pt idx="90">
                  <c:v>Benton REA</c:v>
                </c:pt>
                <c:pt idx="91">
                  <c:v>Big Bend Elec Coop</c:v>
                </c:pt>
                <c:pt idx="92">
                  <c:v>Idaho Falls Power</c:v>
                </c:pt>
                <c:pt idx="93">
                  <c:v>Northern Wasco County PUD</c:v>
                </c:pt>
                <c:pt idx="94">
                  <c:v>Peninsula Light Company</c:v>
                </c:pt>
                <c:pt idx="95">
                  <c:v>Clallam County PUD #1</c:v>
                </c:pt>
                <c:pt idx="96">
                  <c:v>Oregon Trail Coop</c:v>
                </c:pt>
                <c:pt idx="97">
                  <c:v>Mason County PUD #3</c:v>
                </c:pt>
                <c:pt idx="98">
                  <c:v>Lower Valley Energy</c:v>
                </c:pt>
                <c:pt idx="99">
                  <c:v>McMinnville, City of</c:v>
                </c:pt>
                <c:pt idx="100">
                  <c:v>Clatskanie PUD</c:v>
                </c:pt>
                <c:pt idx="101">
                  <c:v>Wells Rural Elec Coop</c:v>
                </c:pt>
                <c:pt idx="102">
                  <c:v>Springfield Utility Board</c:v>
                </c:pt>
                <c:pt idx="103">
                  <c:v>Richland, City of</c:v>
                </c:pt>
                <c:pt idx="104">
                  <c:v>Inland P &amp; L</c:v>
                </c:pt>
                <c:pt idx="105">
                  <c:v>Lewis County PUD #1</c:v>
                </c:pt>
                <c:pt idx="106">
                  <c:v>Franklin County PUD #1</c:v>
                </c:pt>
                <c:pt idx="107">
                  <c:v>Grays Harbor PUD #1</c:v>
                </c:pt>
                <c:pt idx="108">
                  <c:v>Central Lincoln PUD</c:v>
                </c:pt>
                <c:pt idx="109">
                  <c:v>Flathead Elec Coop</c:v>
                </c:pt>
                <c:pt idx="110">
                  <c:v>Benton County PUD #1</c:v>
                </c:pt>
                <c:pt idx="111">
                  <c:v>Eugene Water &amp; Electric Board</c:v>
                </c:pt>
                <c:pt idx="112">
                  <c:v>Clark County PUD #1</c:v>
                </c:pt>
                <c:pt idx="113">
                  <c:v>Tacoma Public Utilities</c:v>
                </c:pt>
                <c:pt idx="114">
                  <c:v>Cowlitz County PUD #1</c:v>
                </c:pt>
                <c:pt idx="115">
                  <c:v>Seattle City Light</c:v>
                </c:pt>
                <c:pt idx="116">
                  <c:v>PNGC Aggregate</c:v>
                </c:pt>
                <c:pt idx="117">
                  <c:v>Snohomish County PUD #1</c:v>
                </c:pt>
              </c:strCache>
            </c:strRef>
          </c:cat>
          <c:val>
            <c:numRef>
              <c:f>Restatement!$G$4:$G$121</c:f>
              <c:numCache>
                <c:formatCode>0%</c:formatCode>
                <c:ptCount val="118"/>
                <c:pt idx="0">
                  <c:v>-3.6277045927944562E-2</c:v>
                </c:pt>
                <c:pt idx="1">
                  <c:v>-3.7986318412238075E-2</c:v>
                </c:pt>
                <c:pt idx="2">
                  <c:v>-3.3869938655647018E-2</c:v>
                </c:pt>
                <c:pt idx="3">
                  <c:v>-3.3427587313067914E-2</c:v>
                </c:pt>
                <c:pt idx="4">
                  <c:v>-3.3728916858684607E-2</c:v>
                </c:pt>
                <c:pt idx="5">
                  <c:v>-3.3510133392780653E-2</c:v>
                </c:pt>
                <c:pt idx="6">
                  <c:v>-2.8185372782102099E-2</c:v>
                </c:pt>
                <c:pt idx="7">
                  <c:v>-3.2686936809877325E-2</c:v>
                </c:pt>
                <c:pt idx="8">
                  <c:v>-3.4862779274892092E-2</c:v>
                </c:pt>
                <c:pt idx="9">
                  <c:v>-3.6996067573147558E-2</c:v>
                </c:pt>
                <c:pt idx="10">
                  <c:v>-2.943906940960396E-2</c:v>
                </c:pt>
                <c:pt idx="11">
                  <c:v>-3.6409242463001749E-2</c:v>
                </c:pt>
                <c:pt idx="12">
                  <c:v>-3.9116140883536883E-2</c:v>
                </c:pt>
                <c:pt idx="13">
                  <c:v>-6.021043354385798E-2</c:v>
                </c:pt>
                <c:pt idx="14">
                  <c:v>-3.5174832565994511E-2</c:v>
                </c:pt>
                <c:pt idx="15">
                  <c:v>-3.4669346463964586E-2</c:v>
                </c:pt>
                <c:pt idx="16">
                  <c:v>-4.1087065170362577E-2</c:v>
                </c:pt>
                <c:pt idx="17">
                  <c:v>-3.8624615146613535E-2</c:v>
                </c:pt>
                <c:pt idx="18">
                  <c:v>-3.5824174844394471E-2</c:v>
                </c:pt>
                <c:pt idx="19">
                  <c:v>-3.6036766612396569E-2</c:v>
                </c:pt>
                <c:pt idx="20">
                  <c:v>-3.7413441548556477E-2</c:v>
                </c:pt>
                <c:pt idx="21">
                  <c:v>-3.6889812911041535E-2</c:v>
                </c:pt>
                <c:pt idx="22">
                  <c:v>-4.0297442205593857E-2</c:v>
                </c:pt>
                <c:pt idx="23">
                  <c:v>-3.9718438611618077E-2</c:v>
                </c:pt>
                <c:pt idx="24">
                  <c:v>-3.8074495474273648E-2</c:v>
                </c:pt>
                <c:pt idx="25">
                  <c:v>-3.8002492362003225E-2</c:v>
                </c:pt>
                <c:pt idx="26">
                  <c:v>-3.2015103246057171E-2</c:v>
                </c:pt>
                <c:pt idx="27">
                  <c:v>-3.5212950995923115E-2</c:v>
                </c:pt>
                <c:pt idx="28">
                  <c:v>-3.0801807534179444E-2</c:v>
                </c:pt>
                <c:pt idx="29">
                  <c:v>-3.9632859098785674E-2</c:v>
                </c:pt>
                <c:pt idx="30">
                  <c:v>-4.1073144713363069E-2</c:v>
                </c:pt>
                <c:pt idx="31">
                  <c:v>-3.6400013264327132E-2</c:v>
                </c:pt>
                <c:pt idx="32">
                  <c:v>-3.3351182716240164E-2</c:v>
                </c:pt>
                <c:pt idx="33">
                  <c:v>-4.3817238867435375E-2</c:v>
                </c:pt>
                <c:pt idx="34">
                  <c:v>-3.6435996214435114E-2</c:v>
                </c:pt>
                <c:pt idx="35">
                  <c:v>-3.6330540715820564E-2</c:v>
                </c:pt>
                <c:pt idx="36">
                  <c:v>-3.3458383392064174E-2</c:v>
                </c:pt>
                <c:pt idx="37">
                  <c:v>-3.236073797304017E-2</c:v>
                </c:pt>
                <c:pt idx="38">
                  <c:v>-1.3639166890911951E-2</c:v>
                </c:pt>
                <c:pt idx="39">
                  <c:v>-3.4889595892816629E-2</c:v>
                </c:pt>
                <c:pt idx="40">
                  <c:v>-3.3362024507410458E-2</c:v>
                </c:pt>
                <c:pt idx="41">
                  <c:v>-4.2482828721828104E-2</c:v>
                </c:pt>
                <c:pt idx="42">
                  <c:v>-3.7725899479380286E-2</c:v>
                </c:pt>
                <c:pt idx="43">
                  <c:v>-3.2801226620050014E-2</c:v>
                </c:pt>
                <c:pt idx="44">
                  <c:v>-3.2919402387617334E-2</c:v>
                </c:pt>
                <c:pt idx="45">
                  <c:v>-3.6862456320603677E-2</c:v>
                </c:pt>
                <c:pt idx="46">
                  <c:v>-4.4975100591207705E-2</c:v>
                </c:pt>
                <c:pt idx="47">
                  <c:v>-3.5659641214560112E-2</c:v>
                </c:pt>
                <c:pt idx="48">
                  <c:v>-3.6557349362544421E-2</c:v>
                </c:pt>
                <c:pt idx="49">
                  <c:v>-3.5661338901662676E-2</c:v>
                </c:pt>
                <c:pt idx="50">
                  <c:v>-3.6439678309658621E-2</c:v>
                </c:pt>
                <c:pt idx="51">
                  <c:v>-3.8863156305789251E-2</c:v>
                </c:pt>
                <c:pt idx="52">
                  <c:v>-3.4780551329541227E-2</c:v>
                </c:pt>
                <c:pt idx="53">
                  <c:v>-3.7651348606159422E-2</c:v>
                </c:pt>
                <c:pt idx="54">
                  <c:v>-3.8406914310883389E-2</c:v>
                </c:pt>
                <c:pt idx="55">
                  <c:v>-5.9924901761788808E-2</c:v>
                </c:pt>
                <c:pt idx="56">
                  <c:v>-0.20541780969657636</c:v>
                </c:pt>
                <c:pt idx="57">
                  <c:v>-3.7350513989910863E-2</c:v>
                </c:pt>
                <c:pt idx="58">
                  <c:v>-4.0836997511586037E-2</c:v>
                </c:pt>
                <c:pt idx="59">
                  <c:v>-4.3132623261035868E-2</c:v>
                </c:pt>
                <c:pt idx="60">
                  <c:v>1.187354427024506E-2</c:v>
                </c:pt>
                <c:pt idx="61">
                  <c:v>-3.7391788036909797E-2</c:v>
                </c:pt>
                <c:pt idx="62">
                  <c:v>-3.3165182707213706E-2</c:v>
                </c:pt>
                <c:pt idx="63">
                  <c:v>-5.7162272403878889E-2</c:v>
                </c:pt>
                <c:pt idx="64">
                  <c:v>-2.9635019090195176E-2</c:v>
                </c:pt>
                <c:pt idx="65">
                  <c:v>-0.11664974769977469</c:v>
                </c:pt>
                <c:pt idx="66">
                  <c:v>0</c:v>
                </c:pt>
                <c:pt idx="67">
                  <c:v>-4.8937251492749585E-2</c:v>
                </c:pt>
                <c:pt idx="68">
                  <c:v>-3.1439701984148395E-2</c:v>
                </c:pt>
                <c:pt idx="69">
                  <c:v>-5.4832041712298676E-2</c:v>
                </c:pt>
                <c:pt idx="70">
                  <c:v>-4.1674772641521377E-2</c:v>
                </c:pt>
                <c:pt idx="71">
                  <c:v>-4.792980192279582E-2</c:v>
                </c:pt>
                <c:pt idx="72">
                  <c:v>-1.405977328499511E-2</c:v>
                </c:pt>
                <c:pt idx="73">
                  <c:v>-8.6571289345457006E-2</c:v>
                </c:pt>
                <c:pt idx="74">
                  <c:v>-3.7341075427223605E-2</c:v>
                </c:pt>
                <c:pt idx="75">
                  <c:v>-3.5641682187612468E-2</c:v>
                </c:pt>
                <c:pt idx="76">
                  <c:v>-3.9298474280645118E-2</c:v>
                </c:pt>
                <c:pt idx="77">
                  <c:v>-3.2366354761470768E-2</c:v>
                </c:pt>
                <c:pt idx="78">
                  <c:v>0</c:v>
                </c:pt>
                <c:pt idx="79">
                  <c:v>-0.10083497122700885</c:v>
                </c:pt>
                <c:pt idx="80">
                  <c:v>-6.1425163842345233E-2</c:v>
                </c:pt>
                <c:pt idx="81">
                  <c:v>-2.6372349876092355E-2</c:v>
                </c:pt>
                <c:pt idx="82">
                  <c:v>-3.4245462145375778E-2</c:v>
                </c:pt>
                <c:pt idx="83">
                  <c:v>-3.3732981472389498E-2</c:v>
                </c:pt>
                <c:pt idx="84">
                  <c:v>-2.785248351544245E-2</c:v>
                </c:pt>
                <c:pt idx="85">
                  <c:v>-4.0203771074300405E-2</c:v>
                </c:pt>
                <c:pt idx="86">
                  <c:v>0</c:v>
                </c:pt>
                <c:pt idx="87">
                  <c:v>-4.2898937103897507E-2</c:v>
                </c:pt>
                <c:pt idx="88">
                  <c:v>-3.6053911170365167E-2</c:v>
                </c:pt>
                <c:pt idx="89">
                  <c:v>-3.1790747586474703E-2</c:v>
                </c:pt>
                <c:pt idx="90">
                  <c:v>-3.9976171392409506E-2</c:v>
                </c:pt>
                <c:pt idx="91">
                  <c:v>-5.683625793651121E-2</c:v>
                </c:pt>
                <c:pt idx="92">
                  <c:v>0</c:v>
                </c:pt>
                <c:pt idx="93">
                  <c:v>-0.14742693899744608</c:v>
                </c:pt>
                <c:pt idx="94">
                  <c:v>-3.6588530305290731E-2</c:v>
                </c:pt>
                <c:pt idx="95">
                  <c:v>-4.052569948701263E-2</c:v>
                </c:pt>
                <c:pt idx="96">
                  <c:v>-2.9897743761749102E-2</c:v>
                </c:pt>
                <c:pt idx="97">
                  <c:v>-3.3529615244876423E-2</c:v>
                </c:pt>
                <c:pt idx="98">
                  <c:v>-4.1937941490176947E-2</c:v>
                </c:pt>
                <c:pt idx="99">
                  <c:v>-4.1068915632138256E-2</c:v>
                </c:pt>
                <c:pt idx="100">
                  <c:v>0</c:v>
                </c:pt>
                <c:pt idx="101">
                  <c:v>-4.6404365773159401E-2</c:v>
                </c:pt>
                <c:pt idx="102">
                  <c:v>-3.525167906530418E-2</c:v>
                </c:pt>
                <c:pt idx="103">
                  <c:v>-5.3354896737665081E-2</c:v>
                </c:pt>
                <c:pt idx="104">
                  <c:v>-4.1855827940778405E-2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-3.2091439031352885E-2</c:v>
                </c:pt>
                <c:pt idx="109">
                  <c:v>-2.7515906824506404E-2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-3.1688590808854881E-2</c:v>
                </c:pt>
                <c:pt idx="116">
                  <c:v>-3.5395506283606409E-2</c:v>
                </c:pt>
                <c:pt idx="1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05-4162-86F7-2998EFB823DD}"/>
            </c:ext>
          </c:extLst>
        </c:ser>
        <c:ser>
          <c:idx val="1"/>
          <c:order val="1"/>
          <c:tx>
            <c:v>Block of Slice Block</c:v>
          </c:tx>
          <c:invertIfNegative val="0"/>
          <c:val>
            <c:numRef>
              <c:f>Restatement!$F$4:$F$121</c:f>
              <c:numCache>
                <c:formatCode>0%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-3.6241158694829273E-2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-4.0469504963449768E-2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-3.5496220540798637E-2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-3.7635347526099081E-2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-3.4797518809212592E-2</c:v>
                </c:pt>
                <c:pt idx="106">
                  <c:v>-3.9863136018958176E-2</c:v>
                </c:pt>
                <c:pt idx="107">
                  <c:v>-3.6919083511102541E-2</c:v>
                </c:pt>
                <c:pt idx="108">
                  <c:v>0</c:v>
                </c:pt>
                <c:pt idx="109">
                  <c:v>0</c:v>
                </c:pt>
                <c:pt idx="110">
                  <c:v>-4.2985530851893133E-2</c:v>
                </c:pt>
                <c:pt idx="111">
                  <c:v>-3.536441977266809E-2</c:v>
                </c:pt>
                <c:pt idx="112">
                  <c:v>-3.6227571831589672E-2</c:v>
                </c:pt>
                <c:pt idx="113">
                  <c:v>-3.6199248685686088E-2</c:v>
                </c:pt>
                <c:pt idx="114">
                  <c:v>-3.8652181147547704E-2</c:v>
                </c:pt>
                <c:pt idx="115">
                  <c:v>0</c:v>
                </c:pt>
                <c:pt idx="116">
                  <c:v>0</c:v>
                </c:pt>
                <c:pt idx="117">
                  <c:v>-3.7002735704997132E-2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5-4162-86F7-2998EFB823DD}"/>
            </c:ext>
          </c:extLst>
        </c:ser>
        <c:ser>
          <c:idx val="2"/>
          <c:order val="2"/>
          <c:tx>
            <c:v>Block</c:v>
          </c:tx>
          <c:invertIfNegative val="0"/>
          <c:val>
            <c:numRef>
              <c:f>Restatement!$E$4:$E$121</c:f>
              <c:numCache>
                <c:formatCode>0%</c:formatCode>
                <c:ptCount val="118"/>
              </c:numCache>
            </c:numRef>
          </c:val>
          <c:extLst>
            <c:ext xmlns:c16="http://schemas.microsoft.com/office/drawing/2014/chart" uri="{C3380CC4-5D6E-409C-BE32-E72D297353CC}">
              <c16:uniqueId val="{00000009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750272"/>
        <c:axId val="125752448"/>
      </c:barChart>
      <c:lineChart>
        <c:grouping val="standard"/>
        <c:varyColors val="0"/>
        <c:ser>
          <c:idx val="3"/>
          <c:order val="3"/>
          <c:tx>
            <c:v>w/o Load Shaping Charges</c:v>
          </c:tx>
          <c:spPr>
            <a:ln w="44450">
              <a:noFill/>
            </a:ln>
          </c:spPr>
          <c:marker>
            <c:symbol val="dash"/>
            <c:size val="3"/>
            <c:spPr>
              <a:ln>
                <a:solidFill>
                  <a:schemeClr val="tx1"/>
                </a:solidFill>
              </a:ln>
            </c:spPr>
          </c:marker>
          <c:val>
            <c:numRef>
              <c:f>Restatement!$J$4:$J$121</c:f>
              <c:numCache>
                <c:formatCode>_(* #,##0.00_);_(* \(#,##0.00\);_(* "-"??_);_(@_)</c:formatCode>
                <c:ptCount val="118"/>
                <c:pt idx="0">
                  <c:v>-3.6507759141300888E-2</c:v>
                </c:pt>
                <c:pt idx="1">
                  <c:v>-3.3180101190241035E-2</c:v>
                </c:pt>
                <c:pt idx="2">
                  <c:v>-3.2984817501332933E-2</c:v>
                </c:pt>
                <c:pt idx="3">
                  <c:v>-3.392552582672273E-2</c:v>
                </c:pt>
                <c:pt idx="4">
                  <c:v>-3.6216879577181879E-2</c:v>
                </c:pt>
                <c:pt idx="5">
                  <c:v>-3.3085834509658629E-2</c:v>
                </c:pt>
                <c:pt idx="6">
                  <c:v>-2.8657688368000863E-2</c:v>
                </c:pt>
                <c:pt idx="7">
                  <c:v>-3.0455747059414218E-2</c:v>
                </c:pt>
                <c:pt idx="8">
                  <c:v>-3.5435134414052862E-2</c:v>
                </c:pt>
                <c:pt idx="9">
                  <c:v>-3.4484219742542337E-2</c:v>
                </c:pt>
                <c:pt idx="10">
                  <c:v>-3.5159262825110574E-2</c:v>
                </c:pt>
                <c:pt idx="11">
                  <c:v>-3.5072723617093252E-2</c:v>
                </c:pt>
                <c:pt idx="12">
                  <c:v>-3.8158186924147679E-2</c:v>
                </c:pt>
                <c:pt idx="13">
                  <c:v>-6.3168213739427936E-2</c:v>
                </c:pt>
                <c:pt idx="14">
                  <c:v>-3.3602121652817035E-2</c:v>
                </c:pt>
                <c:pt idx="15">
                  <c:v>-3.3775509941760637E-2</c:v>
                </c:pt>
                <c:pt idx="16">
                  <c:v>-3.9044445825682832E-2</c:v>
                </c:pt>
                <c:pt idx="17">
                  <c:v>-3.6032077719887722E-2</c:v>
                </c:pt>
                <c:pt idx="18">
                  <c:v>-3.4372878890287478E-2</c:v>
                </c:pt>
                <c:pt idx="19">
                  <c:v>-3.3513210886412195E-2</c:v>
                </c:pt>
                <c:pt idx="20">
                  <c:v>-3.5812318715651735E-2</c:v>
                </c:pt>
                <c:pt idx="21">
                  <c:v>-3.2743367985243681E-2</c:v>
                </c:pt>
                <c:pt idx="22">
                  <c:v>-3.5364753093702565E-2</c:v>
                </c:pt>
                <c:pt idx="23">
                  <c:v>-3.5582230408562759E-2</c:v>
                </c:pt>
                <c:pt idx="24">
                  <c:v>-3.4991494659927354E-2</c:v>
                </c:pt>
                <c:pt idx="25">
                  <c:v>-3.2245692989725627E-2</c:v>
                </c:pt>
                <c:pt idx="26">
                  <c:v>-3.2193959921274287E-2</c:v>
                </c:pt>
                <c:pt idx="27">
                  <c:v>-3.540008867160957E-2</c:v>
                </c:pt>
                <c:pt idx="28">
                  <c:v>-3.4926829664491892E-2</c:v>
                </c:pt>
                <c:pt idx="29">
                  <c:v>-3.7233766840273151E-2</c:v>
                </c:pt>
                <c:pt idx="30">
                  <c:v>-4.8106745424727627E-2</c:v>
                </c:pt>
                <c:pt idx="31">
                  <c:v>-3.7309579400411706E-2</c:v>
                </c:pt>
                <c:pt idx="32">
                  <c:v>-3.3568377395568741E-2</c:v>
                </c:pt>
                <c:pt idx="33">
                  <c:v>-4.1068165219230846E-2</c:v>
                </c:pt>
                <c:pt idx="34">
                  <c:v>-3.2950369006349893E-2</c:v>
                </c:pt>
                <c:pt idx="35">
                  <c:v>-3.4295107209170866E-2</c:v>
                </c:pt>
                <c:pt idx="36">
                  <c:v>-3.1385844454885806E-2</c:v>
                </c:pt>
                <c:pt idx="37">
                  <c:v>-3.3396435116270884E-2</c:v>
                </c:pt>
                <c:pt idx="38">
                  <c:v>-4.0795930557252974E-2</c:v>
                </c:pt>
                <c:pt idx="39">
                  <c:v>-3.3397707776194566E-2</c:v>
                </c:pt>
                <c:pt idx="40">
                  <c:v>-3.248453647964869E-2</c:v>
                </c:pt>
                <c:pt idx="41">
                  <c:v>-4.2782156022750976E-2</c:v>
                </c:pt>
                <c:pt idx="42">
                  <c:v>-3.8108443369200717E-2</c:v>
                </c:pt>
                <c:pt idx="43">
                  <c:v>-3.511365863642614E-2</c:v>
                </c:pt>
                <c:pt idx="44">
                  <c:v>-2.6188455780329394E-2</c:v>
                </c:pt>
                <c:pt idx="45">
                  <c:v>-3.5645184349239724E-2</c:v>
                </c:pt>
                <c:pt idx="46">
                  <c:v>-3.9507646321275923E-2</c:v>
                </c:pt>
                <c:pt idx="47">
                  <c:v>-3.3942093930437407E-2</c:v>
                </c:pt>
                <c:pt idx="48">
                  <c:v>-3.5261604319210896E-2</c:v>
                </c:pt>
                <c:pt idx="49">
                  <c:v>-3.4993671793942416E-2</c:v>
                </c:pt>
                <c:pt idx="50">
                  <c:v>-3.3524367651964405E-2</c:v>
                </c:pt>
                <c:pt idx="51">
                  <c:v>-3.4837630220499127E-2</c:v>
                </c:pt>
                <c:pt idx="52">
                  <c:v>-3.2971269867508458E-2</c:v>
                </c:pt>
                <c:pt idx="53">
                  <c:v>-3.8380748435782507E-2</c:v>
                </c:pt>
                <c:pt idx="54">
                  <c:v>-3.3283458431979045E-2</c:v>
                </c:pt>
                <c:pt idx="55">
                  <c:v>-3.99354318332504E-2</c:v>
                </c:pt>
                <c:pt idx="56">
                  <c:v>-3.3782802438149032E-2</c:v>
                </c:pt>
                <c:pt idx="57">
                  <c:v>-3.593451471069084E-2</c:v>
                </c:pt>
                <c:pt idx="58">
                  <c:v>-3.7509475038003705E-2</c:v>
                </c:pt>
                <c:pt idx="59">
                  <c:v>-4.3414682582869478E-2</c:v>
                </c:pt>
                <c:pt idx="60">
                  <c:v>-3.4615940520524413E-2</c:v>
                </c:pt>
                <c:pt idx="61">
                  <c:v>-3.4913739770810082E-2</c:v>
                </c:pt>
                <c:pt idx="62">
                  <c:v>-3.2402263220134349E-2</c:v>
                </c:pt>
                <c:pt idx="63">
                  <c:v>-5.0008485536086694E-2</c:v>
                </c:pt>
                <c:pt idx="64">
                  <c:v>-3.4230381972414473E-2</c:v>
                </c:pt>
                <c:pt idx="65">
                  <c:v>-3.3347233132171861E-2</c:v>
                </c:pt>
                <c:pt idx="66">
                  <c:v>0</c:v>
                </c:pt>
                <c:pt idx="67">
                  <c:v>-3.3802980579748218E-2</c:v>
                </c:pt>
                <c:pt idx="68">
                  <c:v>-3.7049562291463549E-2</c:v>
                </c:pt>
                <c:pt idx="69">
                  <c:v>-3.061914277277537E-2</c:v>
                </c:pt>
                <c:pt idx="70">
                  <c:v>-4.1571840222658238E-2</c:v>
                </c:pt>
                <c:pt idx="71">
                  <c:v>-3.1738352948206011E-2</c:v>
                </c:pt>
                <c:pt idx="72">
                  <c:v>-3.4458751855104067E-2</c:v>
                </c:pt>
                <c:pt idx="73">
                  <c:v>-3.2393086540806679E-2</c:v>
                </c:pt>
                <c:pt idx="74">
                  <c:v>1.4552769306123028E-2</c:v>
                </c:pt>
                <c:pt idx="75">
                  <c:v>-3.3080629861834403E-2</c:v>
                </c:pt>
                <c:pt idx="76">
                  <c:v>-3.4619586662122927E-2</c:v>
                </c:pt>
                <c:pt idx="77">
                  <c:v>-3.1951820603154373E-2</c:v>
                </c:pt>
                <c:pt idx="78">
                  <c:v>-3.3180101190719215E-2</c:v>
                </c:pt>
                <c:pt idx="79">
                  <c:v>-0.10190604050543306</c:v>
                </c:pt>
                <c:pt idx="80">
                  <c:v>-4.0759633154963108E-2</c:v>
                </c:pt>
                <c:pt idx="81">
                  <c:v>-3.304908605639801E-2</c:v>
                </c:pt>
                <c:pt idx="82">
                  <c:v>-3.2830045221974559E-2</c:v>
                </c:pt>
                <c:pt idx="83">
                  <c:v>-3.3540612477592567E-2</c:v>
                </c:pt>
                <c:pt idx="84">
                  <c:v>-3.5879520501535617E-2</c:v>
                </c:pt>
                <c:pt idx="85">
                  <c:v>-3.9006380865432094E-2</c:v>
                </c:pt>
                <c:pt idx="86">
                  <c:v>-3.8098714748417181E-2</c:v>
                </c:pt>
                <c:pt idx="87">
                  <c:v>-4.4295326418271559E-2</c:v>
                </c:pt>
                <c:pt idx="88">
                  <c:v>-3.6102218256471065E-2</c:v>
                </c:pt>
                <c:pt idx="89">
                  <c:v>-3.1722764377740631E-2</c:v>
                </c:pt>
                <c:pt idx="90">
                  <c:v>-3.7831711680814901E-2</c:v>
                </c:pt>
                <c:pt idx="91">
                  <c:v>-4.8830855998358881E-2</c:v>
                </c:pt>
                <c:pt idx="92">
                  <c:v>-3.3180101189849813E-2</c:v>
                </c:pt>
                <c:pt idx="93">
                  <c:v>-3.3180101182284191E-2</c:v>
                </c:pt>
                <c:pt idx="94">
                  <c:v>-3.4620207794142516E-2</c:v>
                </c:pt>
                <c:pt idx="95">
                  <c:v>-3.4240204856984834E-2</c:v>
                </c:pt>
                <c:pt idx="96">
                  <c:v>-3.756234189961441E-2</c:v>
                </c:pt>
                <c:pt idx="97">
                  <c:v>-3.2250034764702951E-2</c:v>
                </c:pt>
                <c:pt idx="98">
                  <c:v>-4.4431903699552348E-2</c:v>
                </c:pt>
                <c:pt idx="99">
                  <c:v>-3.0726979785395927E-2</c:v>
                </c:pt>
                <c:pt idx="100">
                  <c:v>-3.3180101189285917E-2</c:v>
                </c:pt>
                <c:pt idx="101">
                  <c:v>-4.7198724958778339E-2</c:v>
                </c:pt>
                <c:pt idx="102">
                  <c:v>-3.1290680299335336E-2</c:v>
                </c:pt>
                <c:pt idx="103">
                  <c:v>-3.2002113981960026E-2</c:v>
                </c:pt>
                <c:pt idx="104">
                  <c:v>-4.2371064714621896E-2</c:v>
                </c:pt>
                <c:pt idx="105">
                  <c:v>-3.5141318126177254E-2</c:v>
                </c:pt>
                <c:pt idx="106">
                  <c:v>-3.6607408091355653E-2</c:v>
                </c:pt>
                <c:pt idx="107">
                  <c:v>-3.3180101189770252E-2</c:v>
                </c:pt>
                <c:pt idx="108">
                  <c:v>-3.2706447842159592E-2</c:v>
                </c:pt>
                <c:pt idx="109">
                  <c:v>-3.3857887620256787E-2</c:v>
                </c:pt>
                <c:pt idx="110">
                  <c:v>-4.0335130385779863E-2</c:v>
                </c:pt>
                <c:pt idx="111">
                  <c:v>-3.3180101189287443E-2</c:v>
                </c:pt>
                <c:pt idx="112">
                  <c:v>-3.3180101183800749E-2</c:v>
                </c:pt>
                <c:pt idx="113">
                  <c:v>-3.3180101190235817E-2</c:v>
                </c:pt>
                <c:pt idx="114">
                  <c:v>-3.3180101185988083E-2</c:v>
                </c:pt>
                <c:pt idx="115">
                  <c:v>-3.3180101189624771E-2</c:v>
                </c:pt>
                <c:pt idx="116">
                  <c:v>-3.9594473008384999E-2</c:v>
                </c:pt>
                <c:pt idx="117">
                  <c:v>-3.3180101189340241E-2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80352"/>
        <c:axId val="125753984"/>
      </c:lineChart>
      <c:catAx>
        <c:axId val="1257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 rot="-5400000"/>
          <a:lstStyle/>
          <a:p>
            <a:pPr>
              <a:defRPr sz="400"/>
            </a:pPr>
            <a:endParaRPr lang="en-US"/>
          </a:p>
        </c:txPr>
        <c:crossAx val="125752448"/>
        <c:crosses val="autoZero"/>
        <c:auto val="1"/>
        <c:lblAlgn val="ctr"/>
        <c:lblOffset val="100"/>
        <c:noMultiLvlLbl val="0"/>
      </c:catAx>
      <c:valAx>
        <c:axId val="125752448"/>
        <c:scaling>
          <c:orientation val="minMax"/>
          <c:max val="2.0000000000000004E-2"/>
          <c:min val="-0.2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700"/>
            </a:pPr>
            <a:endParaRPr lang="en-US"/>
          </a:p>
        </c:txPr>
        <c:crossAx val="125750272"/>
        <c:crossesAt val="1"/>
        <c:crossBetween val="between"/>
      </c:valAx>
      <c:valAx>
        <c:axId val="125753984"/>
        <c:scaling>
          <c:orientation val="minMax"/>
          <c:max val="0.16000000000000003"/>
          <c:min val="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125780352"/>
        <c:crosses val="max"/>
        <c:crossBetween val="between"/>
      </c:valAx>
      <c:catAx>
        <c:axId val="1257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753984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Estimated Rate Impacts - Ordered from Highest to Lowest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Rate Increase</c:v>
          </c:tx>
          <c:spPr>
            <a:solidFill>
              <a:schemeClr val="accent1">
                <a:alpha val="68000"/>
              </a:schemeClr>
            </a:solidFill>
          </c:spPr>
          <c:invertIfNegative val="0"/>
          <c:cat>
            <c:strRef>
              <c:f>Outputs!$H$5:$H$124</c:f>
              <c:strCache>
                <c:ptCount val="118"/>
                <c:pt idx="0">
                  <c:v>U.S. Naval Submarine Base, Bangor</c:v>
                </c:pt>
                <c:pt idx="1">
                  <c:v>Mason County PUD #1</c:v>
                </c:pt>
                <c:pt idx="2">
                  <c:v>U.S. Naval Base,  Bremerton</c:v>
                </c:pt>
                <c:pt idx="3">
                  <c:v>Mission Valley</c:v>
                </c:pt>
                <c:pt idx="4">
                  <c:v>Flathead Elec Coop</c:v>
                </c:pt>
                <c:pt idx="5">
                  <c:v>Okanogan County PUD #1</c:v>
                </c:pt>
                <c:pt idx="6">
                  <c:v>Alder Mutual</c:v>
                </c:pt>
                <c:pt idx="7">
                  <c:v>Coulee Dam, City of</c:v>
                </c:pt>
                <c:pt idx="8">
                  <c:v>Ellensburg, City of</c:v>
                </c:pt>
                <c:pt idx="9">
                  <c:v>Oregon Trail Coop</c:v>
                </c:pt>
                <c:pt idx="10">
                  <c:v>Bonners Ferry, City of</c:v>
                </c:pt>
                <c:pt idx="11">
                  <c:v>Whatcom County PUD #1</c:v>
                </c:pt>
                <c:pt idx="12">
                  <c:v>Seattle City Light</c:v>
                </c:pt>
                <c:pt idx="13">
                  <c:v>Tillamook PUD #1</c:v>
                </c:pt>
                <c:pt idx="14">
                  <c:v>Heyburn, City of</c:v>
                </c:pt>
                <c:pt idx="15">
                  <c:v>Central Lincoln PUD</c:v>
                </c:pt>
                <c:pt idx="16">
                  <c:v>Blaine, City of</c:v>
                </c:pt>
                <c:pt idx="17">
                  <c:v>Elmhurst Mutual P &amp; L</c:v>
                </c:pt>
                <c:pt idx="18">
                  <c:v>Asotin County PUD #1</c:v>
                </c:pt>
                <c:pt idx="19">
                  <c:v>Ohop Mutual Light Company</c:v>
                </c:pt>
                <c:pt idx="20">
                  <c:v>Milton-Freewater, City of</c:v>
                </c:pt>
                <c:pt idx="21">
                  <c:v>Canby, City of</c:v>
                </c:pt>
                <c:pt idx="22">
                  <c:v>Weiser, City of</c:v>
                </c:pt>
                <c:pt idx="23">
                  <c:v>Rupert, City of</c:v>
                </c:pt>
                <c:pt idx="24">
                  <c:v>Albion, City of</c:v>
                </c:pt>
                <c:pt idx="25">
                  <c:v>Monmouth, City of</c:v>
                </c:pt>
                <c:pt idx="26">
                  <c:v>Farmers Elec Coop</c:v>
                </c:pt>
                <c:pt idx="27">
                  <c:v>Mason County PUD #3</c:v>
                </c:pt>
                <c:pt idx="28">
                  <c:v>U.S. DOE Albany Research Center</c:v>
                </c:pt>
                <c:pt idx="29">
                  <c:v>Jefferson County PUD #1</c:v>
                </c:pt>
                <c:pt idx="30">
                  <c:v>Declo, City of</c:v>
                </c:pt>
                <c:pt idx="31">
                  <c:v>Salem Elec Coop</c:v>
                </c:pt>
                <c:pt idx="32">
                  <c:v>Chewelah, City of</c:v>
                </c:pt>
                <c:pt idx="33">
                  <c:v>Burley, City of</c:v>
                </c:pt>
                <c:pt idx="34">
                  <c:v>Lewis County PUD #1</c:v>
                </c:pt>
                <c:pt idx="35">
                  <c:v>U.S. Naval Station, Everett (Jim Creek)</c:v>
                </c:pt>
                <c:pt idx="36">
                  <c:v>Ferry County PUD #1</c:v>
                </c:pt>
                <c:pt idx="37">
                  <c:v>Energy Northwest</c:v>
                </c:pt>
                <c:pt idx="38">
                  <c:v>Wahkiakum County PUD #1</c:v>
                </c:pt>
                <c:pt idx="39">
                  <c:v>Springfield Utility Board</c:v>
                </c:pt>
                <c:pt idx="40">
                  <c:v>Eugene Water &amp; Electric Board</c:v>
                </c:pt>
                <c:pt idx="41">
                  <c:v>PNGC Aggregate</c:v>
                </c:pt>
                <c:pt idx="42">
                  <c:v>Idaho Falls Power</c:v>
                </c:pt>
                <c:pt idx="43">
                  <c:v>Port Angeles, City of</c:v>
                </c:pt>
                <c:pt idx="44">
                  <c:v>Salmon River Elec Coop</c:v>
                </c:pt>
                <c:pt idx="45">
                  <c:v>Wasco Elec Coop</c:v>
                </c:pt>
                <c:pt idx="46">
                  <c:v>Kalispel Tribe Utility</c:v>
                </c:pt>
                <c:pt idx="47">
                  <c:v>Soda Springs, City of</c:v>
                </c:pt>
                <c:pt idx="48">
                  <c:v>Columbia River PUD</c:v>
                </c:pt>
                <c:pt idx="49">
                  <c:v>Tacoma Public Utilities</c:v>
                </c:pt>
                <c:pt idx="50">
                  <c:v>Clark County PUD #1</c:v>
                </c:pt>
                <c:pt idx="51">
                  <c:v>Pacific County PUD #2</c:v>
                </c:pt>
                <c:pt idx="52">
                  <c:v>Minidoka, City of</c:v>
                </c:pt>
                <c:pt idx="53">
                  <c:v>Bandon, City of</c:v>
                </c:pt>
                <c:pt idx="54">
                  <c:v>Idaho County L &amp; P</c:v>
                </c:pt>
                <c:pt idx="55">
                  <c:v>Troy, City of</c:v>
                </c:pt>
                <c:pt idx="56">
                  <c:v>Milton, Town of</c:v>
                </c:pt>
                <c:pt idx="57">
                  <c:v>Hood River Elec Coop</c:v>
                </c:pt>
                <c:pt idx="58">
                  <c:v>Hermiston, City of</c:v>
                </c:pt>
                <c:pt idx="59">
                  <c:v>Peninsula Light Company</c:v>
                </c:pt>
                <c:pt idx="60">
                  <c:v>Tanner Elec Coop</c:v>
                </c:pt>
                <c:pt idx="61">
                  <c:v>Eatonville, City of</c:v>
                </c:pt>
                <c:pt idx="62">
                  <c:v>Grays Harbor PUD #1</c:v>
                </c:pt>
                <c:pt idx="63">
                  <c:v>Drain, City of</c:v>
                </c:pt>
                <c:pt idx="64">
                  <c:v>Snohomish County PUD #1</c:v>
                </c:pt>
                <c:pt idx="65">
                  <c:v>U.S. DOE Richland Operations Office</c:v>
                </c:pt>
                <c:pt idx="66">
                  <c:v>Glacier Elec  Coop</c:v>
                </c:pt>
                <c:pt idx="67">
                  <c:v>Ashland, City of</c:v>
                </c:pt>
                <c:pt idx="68">
                  <c:v>Columbia Power Coop</c:v>
                </c:pt>
                <c:pt idx="69">
                  <c:v>Umatilla Elec Coop</c:v>
                </c:pt>
                <c:pt idx="70">
                  <c:v>Clatskanie PUD</c:v>
                </c:pt>
                <c:pt idx="71">
                  <c:v>Skamania County PUD #1</c:v>
                </c:pt>
                <c:pt idx="72">
                  <c:v>Kittitas County PUD #1</c:v>
                </c:pt>
                <c:pt idx="73">
                  <c:v>Consolidated Irrigation District #19</c:v>
                </c:pt>
                <c:pt idx="74">
                  <c:v>Steilacoom, Town of</c:v>
                </c:pt>
                <c:pt idx="75">
                  <c:v>Plummer, City of</c:v>
                </c:pt>
                <c:pt idx="76">
                  <c:v>Cheney, City of</c:v>
                </c:pt>
                <c:pt idx="77">
                  <c:v>Umpqua Indian Utility Cooperative</c:v>
                </c:pt>
                <c:pt idx="78">
                  <c:v>Cowlitz County PUD #1</c:v>
                </c:pt>
                <c:pt idx="79">
                  <c:v>Parkland L &amp; W</c:v>
                </c:pt>
                <c:pt idx="80">
                  <c:v>Riverside Elec Coop</c:v>
                </c:pt>
                <c:pt idx="81">
                  <c:v>Lakeview L &amp; P (WA)</c:v>
                </c:pt>
                <c:pt idx="82">
                  <c:v>U.S. Airforce Base, Fairchild</c:v>
                </c:pt>
                <c:pt idx="83">
                  <c:v>McCleary, City of</c:v>
                </c:pt>
                <c:pt idx="84">
                  <c:v>Franklin County PUD #1</c:v>
                </c:pt>
                <c:pt idx="85">
                  <c:v>Benton REA</c:v>
                </c:pt>
                <c:pt idx="86">
                  <c:v>Midstate Elec Coop</c:v>
                </c:pt>
                <c:pt idx="87">
                  <c:v>Sumas, Town of</c:v>
                </c:pt>
                <c:pt idx="88">
                  <c:v>Emerald PUD</c:v>
                </c:pt>
                <c:pt idx="89">
                  <c:v>Clallam County PUD #1</c:v>
                </c:pt>
                <c:pt idx="90">
                  <c:v>Yakama Power</c:v>
                </c:pt>
                <c:pt idx="91">
                  <c:v>McMinnville, City of</c:v>
                </c:pt>
                <c:pt idx="92">
                  <c:v>Nespelem Valley Elec Coop</c:v>
                </c:pt>
                <c:pt idx="93">
                  <c:v>East End Mutual Electric</c:v>
                </c:pt>
                <c:pt idx="94">
                  <c:v>Missoula Elec Coop</c:v>
                </c:pt>
                <c:pt idx="95">
                  <c:v>Inland P &amp; L</c:v>
                </c:pt>
                <c:pt idx="96">
                  <c:v>Lower Valley Energy</c:v>
                </c:pt>
                <c:pt idx="97">
                  <c:v>Lost River Elec Coop</c:v>
                </c:pt>
                <c:pt idx="98">
                  <c:v>Kootenai Electric Coop</c:v>
                </c:pt>
                <c:pt idx="99">
                  <c:v>Benton County PUD #1</c:v>
                </c:pt>
                <c:pt idx="100">
                  <c:v>Vigilante Elec Coop</c:v>
                </c:pt>
                <c:pt idx="101">
                  <c:v>Southside Elec Lines</c:v>
                </c:pt>
                <c:pt idx="102">
                  <c:v>Columbia Basin Elec Coop</c:v>
                </c:pt>
                <c:pt idx="103">
                  <c:v>Wells Rural Elec Coop</c:v>
                </c:pt>
                <c:pt idx="104">
                  <c:v>Vera Irrigation District</c:v>
                </c:pt>
                <c:pt idx="105">
                  <c:v>Modern Elec Coop</c:v>
                </c:pt>
                <c:pt idx="106">
                  <c:v>Richland, City of</c:v>
                </c:pt>
                <c:pt idx="107">
                  <c:v>Forest Grove, City of</c:v>
                </c:pt>
                <c:pt idx="108">
                  <c:v>Big Bend Elec Coop</c:v>
                </c:pt>
                <c:pt idx="109">
                  <c:v>Harney Elec Coop</c:v>
                </c:pt>
                <c:pt idx="110">
                  <c:v>Surprise Valley Elec Coop</c:v>
                </c:pt>
                <c:pt idx="111">
                  <c:v>Cascade Locks, City of</c:v>
                </c:pt>
                <c:pt idx="112">
                  <c:v>Columbia REA</c:v>
                </c:pt>
                <c:pt idx="113">
                  <c:v>United Electric Coop</c:v>
                </c:pt>
                <c:pt idx="114">
                  <c:v>Klickitat County PUD #1</c:v>
                </c:pt>
                <c:pt idx="115">
                  <c:v>Centralia, City of</c:v>
                </c:pt>
                <c:pt idx="116">
                  <c:v>Northern Wasco County PUD</c:v>
                </c:pt>
                <c:pt idx="117">
                  <c:v>Port of Seattle - SETAC In'tl. Airport</c:v>
                </c:pt>
              </c:strCache>
            </c:strRef>
          </c:cat>
          <c:val>
            <c:numRef>
              <c:f>Outputs!$I$5:$I$124</c:f>
              <c:numCache>
                <c:formatCode>0%</c:formatCode>
                <c:ptCount val="120"/>
                <c:pt idx="0">
                  <c:v>1.187354427024506E-2</c:v>
                </c:pt>
                <c:pt idx="1">
                  <c:v>-1.3639166890911951E-2</c:v>
                </c:pt>
                <c:pt idx="2">
                  <c:v>-1.405977328499511E-2</c:v>
                </c:pt>
                <c:pt idx="3">
                  <c:v>-2.6372349876092355E-2</c:v>
                </c:pt>
                <c:pt idx="4">
                  <c:v>-2.7515906824506404E-2</c:v>
                </c:pt>
                <c:pt idx="5">
                  <c:v>-2.785248351544245E-2</c:v>
                </c:pt>
                <c:pt idx="6">
                  <c:v>-2.8185372782102099E-2</c:v>
                </c:pt>
                <c:pt idx="7">
                  <c:v>-2.943906940960396E-2</c:v>
                </c:pt>
                <c:pt idx="8">
                  <c:v>-2.9635019090195176E-2</c:v>
                </c:pt>
                <c:pt idx="9">
                  <c:v>-2.9897743761749102E-2</c:v>
                </c:pt>
                <c:pt idx="10">
                  <c:v>-3.0801807534179444E-2</c:v>
                </c:pt>
                <c:pt idx="11">
                  <c:v>-3.1439701984148395E-2</c:v>
                </c:pt>
                <c:pt idx="12">
                  <c:v>-3.1688590808854881E-2</c:v>
                </c:pt>
                <c:pt idx="13">
                  <c:v>-3.1790747586474703E-2</c:v>
                </c:pt>
                <c:pt idx="14">
                  <c:v>-3.2015103246057171E-2</c:v>
                </c:pt>
                <c:pt idx="15">
                  <c:v>-3.2091439031352885E-2</c:v>
                </c:pt>
                <c:pt idx="16">
                  <c:v>-3.236073797304017E-2</c:v>
                </c:pt>
                <c:pt idx="17">
                  <c:v>-3.2366354761470768E-2</c:v>
                </c:pt>
                <c:pt idx="18">
                  <c:v>-3.2686936809877325E-2</c:v>
                </c:pt>
                <c:pt idx="19">
                  <c:v>-3.2801226620050014E-2</c:v>
                </c:pt>
                <c:pt idx="20">
                  <c:v>-3.2919402387617334E-2</c:v>
                </c:pt>
                <c:pt idx="21">
                  <c:v>-3.3165182707213706E-2</c:v>
                </c:pt>
                <c:pt idx="22">
                  <c:v>-3.3351182716240164E-2</c:v>
                </c:pt>
                <c:pt idx="23">
                  <c:v>-3.3362024507410458E-2</c:v>
                </c:pt>
                <c:pt idx="24">
                  <c:v>-3.3427587313067914E-2</c:v>
                </c:pt>
                <c:pt idx="25">
                  <c:v>-3.3458383392064174E-2</c:v>
                </c:pt>
                <c:pt idx="26">
                  <c:v>-3.3510133392780653E-2</c:v>
                </c:pt>
                <c:pt idx="27">
                  <c:v>-3.3529615244876423E-2</c:v>
                </c:pt>
                <c:pt idx="28">
                  <c:v>-3.3728916858684607E-2</c:v>
                </c:pt>
                <c:pt idx="29">
                  <c:v>-3.3732981472389498E-2</c:v>
                </c:pt>
                <c:pt idx="30">
                  <c:v>-3.3869938655647018E-2</c:v>
                </c:pt>
                <c:pt idx="31">
                  <c:v>-3.4245462145375778E-2</c:v>
                </c:pt>
                <c:pt idx="32">
                  <c:v>-3.4669346463964586E-2</c:v>
                </c:pt>
                <c:pt idx="33">
                  <c:v>-3.4780551329541227E-2</c:v>
                </c:pt>
                <c:pt idx="34">
                  <c:v>-3.4797518809212592E-2</c:v>
                </c:pt>
                <c:pt idx="35">
                  <c:v>-3.4862779274892092E-2</c:v>
                </c:pt>
                <c:pt idx="36">
                  <c:v>-3.4889595892816629E-2</c:v>
                </c:pt>
                <c:pt idx="37">
                  <c:v>-3.5174832565994511E-2</c:v>
                </c:pt>
                <c:pt idx="38">
                  <c:v>-3.5212950995923115E-2</c:v>
                </c:pt>
                <c:pt idx="39">
                  <c:v>-3.525167906530418E-2</c:v>
                </c:pt>
                <c:pt idx="40">
                  <c:v>-3.536441977266809E-2</c:v>
                </c:pt>
                <c:pt idx="41">
                  <c:v>-3.5395506283606409E-2</c:v>
                </c:pt>
                <c:pt idx="42">
                  <c:v>-3.5496220540798637E-2</c:v>
                </c:pt>
                <c:pt idx="43">
                  <c:v>-3.5641682187612468E-2</c:v>
                </c:pt>
                <c:pt idx="44">
                  <c:v>-3.5659641214560112E-2</c:v>
                </c:pt>
                <c:pt idx="45">
                  <c:v>-3.5661338901662676E-2</c:v>
                </c:pt>
                <c:pt idx="46">
                  <c:v>-3.5824174844394471E-2</c:v>
                </c:pt>
                <c:pt idx="47">
                  <c:v>-3.6036766612396569E-2</c:v>
                </c:pt>
                <c:pt idx="48">
                  <c:v>-3.6053911170365167E-2</c:v>
                </c:pt>
                <c:pt idx="49">
                  <c:v>-3.6199248685686088E-2</c:v>
                </c:pt>
                <c:pt idx="50">
                  <c:v>-3.6227571831589672E-2</c:v>
                </c:pt>
                <c:pt idx="51">
                  <c:v>-3.6241158694829273E-2</c:v>
                </c:pt>
                <c:pt idx="52">
                  <c:v>-3.6277045927944562E-2</c:v>
                </c:pt>
                <c:pt idx="53">
                  <c:v>-3.6330540715820564E-2</c:v>
                </c:pt>
                <c:pt idx="54">
                  <c:v>-3.6400013264327132E-2</c:v>
                </c:pt>
                <c:pt idx="55">
                  <c:v>-3.6409242463001749E-2</c:v>
                </c:pt>
                <c:pt idx="56">
                  <c:v>-3.6435996214435114E-2</c:v>
                </c:pt>
                <c:pt idx="57">
                  <c:v>-3.6439678309658621E-2</c:v>
                </c:pt>
                <c:pt idx="58">
                  <c:v>-3.6557349362544421E-2</c:v>
                </c:pt>
                <c:pt idx="59">
                  <c:v>-3.6588530305290731E-2</c:v>
                </c:pt>
                <c:pt idx="60">
                  <c:v>-3.6862456320603677E-2</c:v>
                </c:pt>
                <c:pt idx="61">
                  <c:v>-3.6889812911041535E-2</c:v>
                </c:pt>
                <c:pt idx="62">
                  <c:v>-3.6919083511102541E-2</c:v>
                </c:pt>
                <c:pt idx="63">
                  <c:v>-3.6996067573147558E-2</c:v>
                </c:pt>
                <c:pt idx="64">
                  <c:v>-3.7002735704997132E-2</c:v>
                </c:pt>
                <c:pt idx="65">
                  <c:v>-3.7341075427223605E-2</c:v>
                </c:pt>
                <c:pt idx="66">
                  <c:v>-3.7350513989910863E-2</c:v>
                </c:pt>
                <c:pt idx="67">
                  <c:v>-3.7391788036909797E-2</c:v>
                </c:pt>
                <c:pt idx="68">
                  <c:v>-3.7413441548556477E-2</c:v>
                </c:pt>
                <c:pt idx="69">
                  <c:v>-3.760713304744747E-2</c:v>
                </c:pt>
                <c:pt idx="70">
                  <c:v>-3.7635347526099081E-2</c:v>
                </c:pt>
                <c:pt idx="71">
                  <c:v>-3.7651348606159422E-2</c:v>
                </c:pt>
                <c:pt idx="72">
                  <c:v>-3.7725899479380286E-2</c:v>
                </c:pt>
                <c:pt idx="73">
                  <c:v>-3.7986318412238075E-2</c:v>
                </c:pt>
                <c:pt idx="74">
                  <c:v>-3.8002492362003225E-2</c:v>
                </c:pt>
                <c:pt idx="75">
                  <c:v>-3.8074495474273648E-2</c:v>
                </c:pt>
                <c:pt idx="76">
                  <c:v>-3.8406914310883389E-2</c:v>
                </c:pt>
                <c:pt idx="77">
                  <c:v>-3.8624615146613535E-2</c:v>
                </c:pt>
                <c:pt idx="78">
                  <c:v>-3.8652181147547704E-2</c:v>
                </c:pt>
                <c:pt idx="79">
                  <c:v>-3.8863156305789251E-2</c:v>
                </c:pt>
                <c:pt idx="80">
                  <c:v>-3.9116140883536883E-2</c:v>
                </c:pt>
                <c:pt idx="81">
                  <c:v>-3.9298474280645118E-2</c:v>
                </c:pt>
                <c:pt idx="82">
                  <c:v>-3.9632859098785674E-2</c:v>
                </c:pt>
                <c:pt idx="83">
                  <c:v>-3.9718438611618077E-2</c:v>
                </c:pt>
                <c:pt idx="84">
                  <c:v>-3.9863136018958176E-2</c:v>
                </c:pt>
                <c:pt idx="85">
                  <c:v>-3.9976171392409506E-2</c:v>
                </c:pt>
                <c:pt idx="86">
                  <c:v>-4.0203771074300405E-2</c:v>
                </c:pt>
                <c:pt idx="87">
                  <c:v>-4.0297442205593857E-2</c:v>
                </c:pt>
                <c:pt idx="88">
                  <c:v>-4.0469504963449768E-2</c:v>
                </c:pt>
                <c:pt idx="89">
                  <c:v>-4.052569948701263E-2</c:v>
                </c:pt>
                <c:pt idx="90">
                  <c:v>-4.0836997511586037E-2</c:v>
                </c:pt>
                <c:pt idx="91">
                  <c:v>-4.1068915632138256E-2</c:v>
                </c:pt>
                <c:pt idx="92">
                  <c:v>-4.1073144713363069E-2</c:v>
                </c:pt>
                <c:pt idx="93">
                  <c:v>-4.1087065170362577E-2</c:v>
                </c:pt>
                <c:pt idx="94">
                  <c:v>-4.1674772641521377E-2</c:v>
                </c:pt>
                <c:pt idx="95">
                  <c:v>-4.1855827940778405E-2</c:v>
                </c:pt>
                <c:pt idx="96">
                  <c:v>-4.1937941490176947E-2</c:v>
                </c:pt>
                <c:pt idx="97">
                  <c:v>-4.2482828721828104E-2</c:v>
                </c:pt>
                <c:pt idx="98">
                  <c:v>-4.2898937103897507E-2</c:v>
                </c:pt>
                <c:pt idx="99">
                  <c:v>-4.2985530851893133E-2</c:v>
                </c:pt>
                <c:pt idx="100">
                  <c:v>-4.3132623261035868E-2</c:v>
                </c:pt>
                <c:pt idx="101">
                  <c:v>-4.3817238867435375E-2</c:v>
                </c:pt>
                <c:pt idx="102">
                  <c:v>-4.4975100591207705E-2</c:v>
                </c:pt>
                <c:pt idx="103">
                  <c:v>-4.6404365773159401E-2</c:v>
                </c:pt>
                <c:pt idx="104">
                  <c:v>-4.792980192279582E-2</c:v>
                </c:pt>
                <c:pt idx="105">
                  <c:v>-4.8937251492749585E-2</c:v>
                </c:pt>
                <c:pt idx="106">
                  <c:v>-5.3354896737665081E-2</c:v>
                </c:pt>
                <c:pt idx="107">
                  <c:v>-5.4832041712298676E-2</c:v>
                </c:pt>
                <c:pt idx="108">
                  <c:v>-5.683625793651121E-2</c:v>
                </c:pt>
                <c:pt idx="109">
                  <c:v>-5.7162272403878889E-2</c:v>
                </c:pt>
                <c:pt idx="110">
                  <c:v>-5.9924901761788808E-2</c:v>
                </c:pt>
                <c:pt idx="111">
                  <c:v>-6.021043354385798E-2</c:v>
                </c:pt>
                <c:pt idx="112">
                  <c:v>-6.1425163842345233E-2</c:v>
                </c:pt>
                <c:pt idx="113">
                  <c:v>-8.6571289345457006E-2</c:v>
                </c:pt>
                <c:pt idx="114">
                  <c:v>-0.10083497122700885</c:v>
                </c:pt>
                <c:pt idx="115">
                  <c:v>-0.11664974769977469</c:v>
                </c:pt>
                <c:pt idx="116">
                  <c:v>-0.14742693899744608</c:v>
                </c:pt>
                <c:pt idx="117">
                  <c:v>-0.20541780969657636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862656"/>
        <c:axId val="125864192"/>
      </c:barChart>
      <c:lineChart>
        <c:grouping val="standard"/>
        <c:varyColors val="0"/>
        <c:ser>
          <c:idx val="1"/>
          <c:order val="1"/>
          <c:tx>
            <c:v>Cumulative GWhs</c:v>
          </c:tx>
          <c:marker>
            <c:symbol val="square"/>
            <c:size val="3"/>
          </c:marker>
          <c:val>
            <c:numRef>
              <c:f>Outputs!$L$5:$L$124</c:f>
              <c:numCache>
                <c:formatCode>_(* #,##0_);_(* \(#,##0\);_(* "-"??_);_(@_)</c:formatCode>
                <c:ptCount val="120"/>
                <c:pt idx="0">
                  <c:v>139.23965272931039</c:v>
                </c:pt>
                <c:pt idx="1">
                  <c:v>206.89798157083487</c:v>
                </c:pt>
                <c:pt idx="2">
                  <c:v>423.99288859084373</c:v>
                </c:pt>
                <c:pt idx="3">
                  <c:v>738.29683981333039</c:v>
                </c:pt>
                <c:pt idx="4">
                  <c:v>2099.5711041221184</c:v>
                </c:pt>
                <c:pt idx="5">
                  <c:v>2483.2153237472189</c:v>
                </c:pt>
                <c:pt idx="6">
                  <c:v>2487.7968037472187</c:v>
                </c:pt>
                <c:pt idx="7">
                  <c:v>2504.6860837472186</c:v>
                </c:pt>
                <c:pt idx="8">
                  <c:v>2700.0702399985285</c:v>
                </c:pt>
                <c:pt idx="9">
                  <c:v>3330.4130298453592</c:v>
                </c:pt>
                <c:pt idx="10">
                  <c:v>3374.8612698453594</c:v>
                </c:pt>
                <c:pt idx="11">
                  <c:v>3591.3922443152951</c:v>
                </c:pt>
                <c:pt idx="12">
                  <c:v>7363.684957284433</c:v>
                </c:pt>
                <c:pt idx="13">
                  <c:v>7827.8475012343424</c:v>
                </c:pt>
                <c:pt idx="14">
                  <c:v>7867.9615582933584</c:v>
                </c:pt>
                <c:pt idx="15">
                  <c:v>9145.1394922637537</c:v>
                </c:pt>
                <c:pt idx="16">
                  <c:v>9217.0126000023429</c:v>
                </c:pt>
                <c:pt idx="17">
                  <c:v>9486.4001200023431</c:v>
                </c:pt>
                <c:pt idx="18">
                  <c:v>9491.1918400023424</c:v>
                </c:pt>
                <c:pt idx="19">
                  <c:v>9576.0762400023432</c:v>
                </c:pt>
                <c:pt idx="20">
                  <c:v>9655.8780571351672</c:v>
                </c:pt>
                <c:pt idx="21">
                  <c:v>9824.3547348164811</c:v>
                </c:pt>
                <c:pt idx="22">
                  <c:v>9877.2388548164818</c:v>
                </c:pt>
                <c:pt idx="23">
                  <c:v>9955.9737348164817</c:v>
                </c:pt>
                <c:pt idx="24">
                  <c:v>9959.3025348164811</c:v>
                </c:pt>
                <c:pt idx="25">
                  <c:v>10029.189814816482</c:v>
                </c:pt>
                <c:pt idx="26">
                  <c:v>10033.429654816482</c:v>
                </c:pt>
                <c:pt idx="27">
                  <c:v>10701.327094816483</c:v>
                </c:pt>
                <c:pt idx="28">
                  <c:v>10705.155214816483</c:v>
                </c:pt>
                <c:pt idx="29">
                  <c:v>11081.493755126136</c:v>
                </c:pt>
                <c:pt idx="30">
                  <c:v>11084.489675126135</c:v>
                </c:pt>
                <c:pt idx="31">
                  <c:v>11406.197094664674</c:v>
                </c:pt>
                <c:pt idx="32">
                  <c:v>11428.164425824738</c:v>
                </c:pt>
                <c:pt idx="33">
                  <c:v>11545.688585824739</c:v>
                </c:pt>
                <c:pt idx="34">
                  <c:v>11898.065055956486</c:v>
                </c:pt>
                <c:pt idx="35">
                  <c:v>11910.828375956486</c:v>
                </c:pt>
                <c:pt idx="36">
                  <c:v>11983.078606947734</c:v>
                </c:pt>
                <c:pt idx="37">
                  <c:v>12002.945151011203</c:v>
                </c:pt>
                <c:pt idx="38">
                  <c:v>12044.774151011203</c:v>
                </c:pt>
                <c:pt idx="39">
                  <c:v>12839.204393841663</c:v>
                </c:pt>
                <c:pt idx="40">
                  <c:v>13769.286875331634</c:v>
                </c:pt>
                <c:pt idx="41">
                  <c:v>17408.024435331634</c:v>
                </c:pt>
                <c:pt idx="42">
                  <c:v>17636.136715221601</c:v>
                </c:pt>
                <c:pt idx="43">
                  <c:v>18016.415523435415</c:v>
                </c:pt>
                <c:pt idx="44">
                  <c:v>18121.12056482007</c:v>
                </c:pt>
                <c:pt idx="45">
                  <c:v>18222.598850520473</c:v>
                </c:pt>
                <c:pt idx="46">
                  <c:v>18252.610950214836</c:v>
                </c:pt>
                <c:pt idx="47">
                  <c:v>18277.988670214836</c:v>
                </c:pt>
                <c:pt idx="48">
                  <c:v>18764.738070214837</c:v>
                </c:pt>
                <c:pt idx="49">
                  <c:v>20189.761405247791</c:v>
                </c:pt>
                <c:pt idx="50">
                  <c:v>21563.456930023414</c:v>
                </c:pt>
                <c:pt idx="51">
                  <c:v>21700.840784972355</c:v>
                </c:pt>
                <c:pt idx="52">
                  <c:v>21701.673125014917</c:v>
                </c:pt>
                <c:pt idx="53">
                  <c:v>21765.507245014916</c:v>
                </c:pt>
                <c:pt idx="54">
                  <c:v>21817.427765014916</c:v>
                </c:pt>
                <c:pt idx="55">
                  <c:v>21834.457205014915</c:v>
                </c:pt>
                <c:pt idx="56">
                  <c:v>21892.2771510891</c:v>
                </c:pt>
                <c:pt idx="57">
                  <c:v>22001.7333510891</c:v>
                </c:pt>
                <c:pt idx="58">
                  <c:v>22109.539395604159</c:v>
                </c:pt>
                <c:pt idx="59">
                  <c:v>22707.082663134406</c:v>
                </c:pt>
                <c:pt idx="60">
                  <c:v>22799.272903134406</c:v>
                </c:pt>
                <c:pt idx="61">
                  <c:v>22827.418783134406</c:v>
                </c:pt>
                <c:pt idx="62">
                  <c:v>23352.509504009533</c:v>
                </c:pt>
                <c:pt idx="63">
                  <c:v>23368.505264009535</c:v>
                </c:pt>
                <c:pt idx="64">
                  <c:v>26343.12660659464</c:v>
                </c:pt>
                <c:pt idx="65">
                  <c:v>26481.695509935678</c:v>
                </c:pt>
                <c:pt idx="66">
                  <c:v>26634.420212069712</c:v>
                </c:pt>
                <c:pt idx="67">
                  <c:v>26809.408425021193</c:v>
                </c:pt>
                <c:pt idx="68">
                  <c:v>26835.998019388033</c:v>
                </c:pt>
                <c:pt idx="69">
                  <c:v>27782.106473785927</c:v>
                </c:pt>
                <c:pt idx="70">
                  <c:v>28080.134768397253</c:v>
                </c:pt>
                <c:pt idx="71">
                  <c:v>28213.050248397252</c:v>
                </c:pt>
                <c:pt idx="72">
                  <c:v>28289.464366544566</c:v>
                </c:pt>
                <c:pt idx="73">
                  <c:v>28291.365286544566</c:v>
                </c:pt>
                <c:pt idx="74">
                  <c:v>28330.632731582151</c:v>
                </c:pt>
                <c:pt idx="75">
                  <c:v>28363.59661158215</c:v>
                </c:pt>
                <c:pt idx="76">
                  <c:v>28488.398587343305</c:v>
                </c:pt>
                <c:pt idx="77">
                  <c:v>28513.01127660057</c:v>
                </c:pt>
                <c:pt idx="78">
                  <c:v>30133.69136613957</c:v>
                </c:pt>
                <c:pt idx="79">
                  <c:v>30250.637402137916</c:v>
                </c:pt>
                <c:pt idx="80">
                  <c:v>30270.461282137916</c:v>
                </c:pt>
                <c:pt idx="81">
                  <c:v>30534.08824788421</c:v>
                </c:pt>
                <c:pt idx="82">
                  <c:v>30580.189298335346</c:v>
                </c:pt>
                <c:pt idx="83">
                  <c:v>30611.252258335346</c:v>
                </c:pt>
                <c:pt idx="84">
                  <c:v>31132.201901046759</c:v>
                </c:pt>
                <c:pt idx="85">
                  <c:v>31630.724741046761</c:v>
                </c:pt>
                <c:pt idx="86">
                  <c:v>32021.341901046762</c:v>
                </c:pt>
                <c:pt idx="87">
                  <c:v>32051.782901046761</c:v>
                </c:pt>
                <c:pt idx="88">
                  <c:v>32251.019875503225</c:v>
                </c:pt>
                <c:pt idx="89">
                  <c:v>32886.276026001629</c:v>
                </c:pt>
                <c:pt idx="90">
                  <c:v>33042.598226001632</c:v>
                </c:pt>
                <c:pt idx="91">
                  <c:v>33753.947288390162</c:v>
                </c:pt>
                <c:pt idx="92">
                  <c:v>33801.274535904085</c:v>
                </c:pt>
                <c:pt idx="93">
                  <c:v>33823.726415904086</c:v>
                </c:pt>
                <c:pt idx="94">
                  <c:v>34049.217575904084</c:v>
                </c:pt>
                <c:pt idx="95">
                  <c:v>34925.699375904085</c:v>
                </c:pt>
                <c:pt idx="96">
                  <c:v>35644.641335904082</c:v>
                </c:pt>
                <c:pt idx="97">
                  <c:v>35724.243455904085</c:v>
                </c:pt>
                <c:pt idx="98">
                  <c:v>36150.399935904083</c:v>
                </c:pt>
                <c:pt idx="99">
                  <c:v>37025.11228413471</c:v>
                </c:pt>
                <c:pt idx="100">
                  <c:v>37185.148724134713</c:v>
                </c:pt>
                <c:pt idx="101">
                  <c:v>37241.677004134712</c:v>
                </c:pt>
                <c:pt idx="102">
                  <c:v>37342.942604134711</c:v>
                </c:pt>
                <c:pt idx="103">
                  <c:v>38131.985718072334</c:v>
                </c:pt>
                <c:pt idx="104">
                  <c:v>38350.30820168052</c:v>
                </c:pt>
                <c:pt idx="105">
                  <c:v>38563.492066915911</c:v>
                </c:pt>
                <c:pt idx="106">
                  <c:v>39422.858245309879</c:v>
                </c:pt>
                <c:pt idx="107">
                  <c:v>39645.817765309876</c:v>
                </c:pt>
                <c:pt idx="108">
                  <c:v>40157.165245309872</c:v>
                </c:pt>
                <c:pt idx="109">
                  <c:v>40346.478583035634</c:v>
                </c:pt>
                <c:pt idx="110">
                  <c:v>40483.782823035632</c:v>
                </c:pt>
                <c:pt idx="111">
                  <c:v>40503.650503035635</c:v>
                </c:pt>
                <c:pt idx="112">
                  <c:v>40816.330182147642</c:v>
                </c:pt>
                <c:pt idx="113">
                  <c:v>41066.822382147642</c:v>
                </c:pt>
                <c:pt idx="114">
                  <c:v>41373.15082214764</c:v>
                </c:pt>
                <c:pt idx="115">
                  <c:v>41568.477864565277</c:v>
                </c:pt>
                <c:pt idx="116">
                  <c:v>42109.661904565277</c:v>
                </c:pt>
                <c:pt idx="117">
                  <c:v>42248.040447950989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5712"/>
        <c:axId val="125874176"/>
      </c:lineChart>
      <c:catAx>
        <c:axId val="1258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400" b="1" i="0" baseline="0"/>
            </a:pPr>
            <a:endParaRPr lang="en-US"/>
          </a:p>
        </c:txPr>
        <c:crossAx val="125864192"/>
        <c:crosses val="autoZero"/>
        <c:auto val="1"/>
        <c:lblAlgn val="ctr"/>
        <c:lblOffset val="100"/>
        <c:noMultiLvlLbl val="0"/>
      </c:catAx>
      <c:valAx>
        <c:axId val="125864192"/>
        <c:scaling>
          <c:orientation val="minMax"/>
          <c:max val="2.0000000000000004E-2"/>
          <c:min val="-0.2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800"/>
            </a:pPr>
            <a:endParaRPr lang="en-US"/>
          </a:p>
        </c:txPr>
        <c:crossAx val="125862656"/>
        <c:crosses val="autoZero"/>
        <c:crossBetween val="between"/>
      </c:valAx>
      <c:valAx>
        <c:axId val="125874176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txPr>
          <a:bodyPr rot="-5340000" vert="horz" anchor="t" anchorCtr="1"/>
          <a:lstStyle/>
          <a:p>
            <a:pPr>
              <a:defRPr sz="800"/>
            </a:pPr>
            <a:endParaRPr lang="en-US"/>
          </a:p>
        </c:txPr>
        <c:crossAx val="125875712"/>
        <c:crosses val="max"/>
        <c:crossBetween val="between"/>
      </c:valAx>
      <c:catAx>
        <c:axId val="12587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7417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1">
    <tabColor rgb="FFFFFF99"/>
  </sheetPr>
  <sheetViews>
    <sheetView tabSelected="1" workbookViewId="0"/>
  </sheetViews>
  <pageMargins left="0.25" right="0.25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2">
    <tabColor rgb="FFFFFF99"/>
  </sheetPr>
  <sheetViews>
    <sheetView workbookViewId="0"/>
  </sheetViews>
  <pageMargins left="0.25" right="0.25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56420" cy="62712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0.29175</cdr:x>
      <cdr:y>0.10926</cdr:y>
    </cdr:from>
    <cdr:to>
      <cdr:x>0.70624</cdr:x>
      <cdr:y>0.14264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0" y="685800"/>
          <a:ext cx="3924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56420" cy="62712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s8701\Desktop\PublicRateImpacts_BP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_TRM_12"/>
      <sheetName val="Rates_TRM_14"/>
      <sheetName val="Billing Determinants_TRM"/>
      <sheetName val="TRM-12_Charges"/>
      <sheetName val="Charges_TRM&amp;Impacts"/>
      <sheetName val="PastedResults&amp;Sorted"/>
      <sheetName val="Live"/>
      <sheetName val="NoSliceEffectiveRate"/>
      <sheetName val="ByGroupRateImpact2"/>
      <sheetName val="Impact&amp;Impact5"/>
      <sheetName val="NoSliceRateImpact1"/>
    </sheetNames>
    <sheetDataSet>
      <sheetData sheetId="0"/>
      <sheetData sheetId="1"/>
      <sheetData sheetId="2"/>
      <sheetData sheetId="3"/>
      <sheetData sheetId="4"/>
      <sheetData sheetId="5">
        <row r="2">
          <cell r="W2" t="str">
            <v>Load Following IRD Customer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AT400"/>
  <sheetViews>
    <sheetView workbookViewId="0">
      <selection activeCell="R6" sqref="R6"/>
    </sheetView>
  </sheetViews>
  <sheetFormatPr defaultRowHeight="14.4"/>
  <cols>
    <col min="1" max="1" width="14.6640625" style="264" bestFit="1" customWidth="1"/>
    <col min="2" max="2" width="10.88671875" style="264" customWidth="1"/>
    <col min="3" max="3" width="7.88671875" style="264" bestFit="1" customWidth="1"/>
    <col min="4" max="4" width="4.33203125" style="264" bestFit="1" customWidth="1"/>
    <col min="5" max="5" width="4" style="264" bestFit="1" customWidth="1"/>
    <col min="6" max="6" width="5.77734375" style="264" customWidth="1"/>
    <col min="7" max="7" width="6.5546875" style="264" customWidth="1"/>
    <col min="8" max="8" width="6.33203125" style="264" customWidth="1"/>
    <col min="9" max="9" width="5" style="264" customWidth="1"/>
    <col min="10" max="10" width="5" style="348" bestFit="1" customWidth="1"/>
    <col min="11" max="11" width="5.109375" style="348" bestFit="1" customWidth="1"/>
    <col min="12" max="12" width="5.5546875" style="348" bestFit="1" customWidth="1"/>
    <col min="13" max="13" width="6.33203125" style="343" customWidth="1"/>
    <col min="14" max="14" width="5" style="343" customWidth="1"/>
    <col min="15" max="15" width="8.88671875" style="264"/>
    <col min="16" max="16" width="15.33203125" style="264" customWidth="1"/>
    <col min="17" max="17" width="6.5546875" style="264" customWidth="1"/>
    <col min="18" max="16384" width="8.88671875" style="264"/>
  </cols>
  <sheetData>
    <row r="1" spans="2:46">
      <c r="J1" s="335"/>
      <c r="K1" s="336"/>
      <c r="L1" s="336"/>
      <c r="M1" s="336"/>
      <c r="N1" s="336"/>
      <c r="O1" s="255"/>
    </row>
    <row r="2" spans="2:46">
      <c r="J2" s="335"/>
      <c r="K2" s="336"/>
      <c r="L2" s="336"/>
      <c r="M2" s="336"/>
      <c r="N2" s="336"/>
      <c r="O2" s="255"/>
    </row>
    <row r="3" spans="2:46">
      <c r="B3" s="58" t="s">
        <v>344</v>
      </c>
      <c r="J3" s="337"/>
      <c r="K3" s="58" t="s">
        <v>151</v>
      </c>
      <c r="L3" s="338"/>
      <c r="M3" s="338"/>
      <c r="N3" s="337"/>
      <c r="O3" s="255"/>
      <c r="P3" s="319" t="s">
        <v>220</v>
      </c>
      <c r="Q3" s="320"/>
      <c r="R3" s="308">
        <f>IF(R6=2022, 2020, IF(R6=2023, 2021, "ERROR"))</f>
        <v>2020</v>
      </c>
      <c r="AS3" s="264">
        <v>2022</v>
      </c>
      <c r="AT3" s="264" t="s">
        <v>262</v>
      </c>
    </row>
    <row r="4" spans="2:46">
      <c r="B4" s="321" t="s">
        <v>345</v>
      </c>
      <c r="C4" s="321" t="s">
        <v>346</v>
      </c>
      <c r="D4" s="321" t="s">
        <v>143</v>
      </c>
      <c r="E4" s="321" t="s">
        <v>144</v>
      </c>
      <c r="F4" s="321" t="s">
        <v>179</v>
      </c>
      <c r="G4" s="321" t="s">
        <v>154</v>
      </c>
      <c r="H4" s="321" t="s">
        <v>347</v>
      </c>
      <c r="J4" s="339"/>
      <c r="K4" s="340" t="s">
        <v>155</v>
      </c>
      <c r="L4" s="341" t="s">
        <v>152</v>
      </c>
      <c r="M4" s="342" t="s">
        <v>153</v>
      </c>
      <c r="N4" s="339"/>
      <c r="O4" s="255"/>
      <c r="AS4" s="264">
        <v>2023</v>
      </c>
      <c r="AT4" s="264" t="s">
        <v>342</v>
      </c>
    </row>
    <row r="5" spans="2:46">
      <c r="B5" s="322" t="s">
        <v>348</v>
      </c>
      <c r="C5" s="323">
        <v>41913</v>
      </c>
      <c r="D5" s="324">
        <v>432</v>
      </c>
      <c r="E5" s="324">
        <v>312</v>
      </c>
      <c r="F5" s="324">
        <v>744</v>
      </c>
      <c r="G5" s="324">
        <v>0.58064516129032262</v>
      </c>
      <c r="H5" s="325">
        <v>0.41935483870967744</v>
      </c>
      <c r="J5" s="343"/>
      <c r="K5" s="344">
        <v>2009</v>
      </c>
      <c r="L5" s="345">
        <v>365</v>
      </c>
      <c r="M5" s="346">
        <v>8760</v>
      </c>
      <c r="P5" s="58" t="s">
        <v>343</v>
      </c>
    </row>
    <row r="6" spans="2:46">
      <c r="B6" s="326" t="s">
        <v>349</v>
      </c>
      <c r="C6" s="327">
        <v>41944</v>
      </c>
      <c r="D6" s="270">
        <v>384</v>
      </c>
      <c r="E6" s="270">
        <v>337</v>
      </c>
      <c r="F6" s="270">
        <v>721</v>
      </c>
      <c r="G6" s="270">
        <v>0.53259361997226073</v>
      </c>
      <c r="H6" s="328">
        <v>0.46740638002773927</v>
      </c>
      <c r="J6" s="343"/>
      <c r="K6" s="347">
        <v>2010</v>
      </c>
      <c r="L6" s="348">
        <v>365</v>
      </c>
      <c r="M6" s="349">
        <v>8760</v>
      </c>
      <c r="R6" s="54">
        <v>2022</v>
      </c>
    </row>
    <row r="7" spans="2:46">
      <c r="B7" s="326" t="s">
        <v>350</v>
      </c>
      <c r="C7" s="327">
        <v>41974</v>
      </c>
      <c r="D7" s="270">
        <v>416</v>
      </c>
      <c r="E7" s="270">
        <v>328</v>
      </c>
      <c r="F7" s="270">
        <v>744</v>
      </c>
      <c r="G7" s="270">
        <v>0.55913978494623651</v>
      </c>
      <c r="H7" s="328">
        <v>0.44086021505376344</v>
      </c>
      <c r="J7" s="343"/>
      <c r="K7" s="347">
        <v>2011</v>
      </c>
      <c r="L7" s="348">
        <v>365</v>
      </c>
      <c r="M7" s="349">
        <v>8760</v>
      </c>
      <c r="P7" s="52"/>
    </row>
    <row r="8" spans="2:46">
      <c r="B8" s="326" t="s">
        <v>351</v>
      </c>
      <c r="C8" s="327">
        <v>42005</v>
      </c>
      <c r="D8" s="270">
        <v>416</v>
      </c>
      <c r="E8" s="270">
        <v>328</v>
      </c>
      <c r="F8" s="270">
        <v>744</v>
      </c>
      <c r="G8" s="270">
        <v>0.55913978494623651</v>
      </c>
      <c r="H8" s="328">
        <v>0.44086021505376344</v>
      </c>
      <c r="J8" s="343"/>
      <c r="K8" s="347">
        <v>2012</v>
      </c>
      <c r="L8" s="348">
        <v>366</v>
      </c>
      <c r="M8" s="349">
        <v>8784</v>
      </c>
      <c r="P8" s="58" t="s">
        <v>631</v>
      </c>
    </row>
    <row r="9" spans="2:46">
      <c r="B9" s="326" t="s">
        <v>352</v>
      </c>
      <c r="C9" s="327">
        <v>42036</v>
      </c>
      <c r="D9" s="270">
        <v>384</v>
      </c>
      <c r="E9" s="270">
        <v>288</v>
      </c>
      <c r="F9" s="270">
        <v>672</v>
      </c>
      <c r="G9" s="270">
        <v>0.5714285714285714</v>
      </c>
      <c r="H9" s="328">
        <v>0.42857142857142855</v>
      </c>
      <c r="J9" s="343"/>
      <c r="K9" s="347">
        <v>2013</v>
      </c>
      <c r="L9" s="348">
        <v>365</v>
      </c>
      <c r="M9" s="349">
        <v>8760</v>
      </c>
      <c r="R9" s="54" t="s">
        <v>262</v>
      </c>
    </row>
    <row r="10" spans="2:46">
      <c r="B10" s="326" t="s">
        <v>353</v>
      </c>
      <c r="C10" s="327">
        <v>42064</v>
      </c>
      <c r="D10" s="270">
        <v>416</v>
      </c>
      <c r="E10" s="270">
        <v>327</v>
      </c>
      <c r="F10" s="270">
        <v>743</v>
      </c>
      <c r="G10" s="270">
        <v>0.55989232839838488</v>
      </c>
      <c r="H10" s="328">
        <v>0.44010767160161507</v>
      </c>
      <c r="J10" s="343"/>
      <c r="K10" s="347">
        <v>2014</v>
      </c>
      <c r="L10" s="348">
        <v>365</v>
      </c>
      <c r="M10" s="349">
        <v>8760</v>
      </c>
    </row>
    <row r="11" spans="2:46">
      <c r="B11" s="326" t="s">
        <v>354</v>
      </c>
      <c r="C11" s="327">
        <v>42095</v>
      </c>
      <c r="D11" s="270">
        <v>416</v>
      </c>
      <c r="E11" s="270">
        <v>304</v>
      </c>
      <c r="F11" s="270">
        <v>720</v>
      </c>
      <c r="G11" s="270">
        <v>0.57777777777777772</v>
      </c>
      <c r="H11" s="328">
        <v>0.42222222222222222</v>
      </c>
      <c r="J11" s="343"/>
      <c r="K11" s="347">
        <v>2015</v>
      </c>
      <c r="L11" s="348">
        <v>365</v>
      </c>
      <c r="M11" s="349">
        <v>8760</v>
      </c>
      <c r="P11" s="58" t="s">
        <v>260</v>
      </c>
    </row>
    <row r="12" spans="2:46">
      <c r="B12" s="326" t="s">
        <v>355</v>
      </c>
      <c r="C12" s="327">
        <v>42125</v>
      </c>
      <c r="D12" s="270">
        <v>400</v>
      </c>
      <c r="E12" s="270">
        <v>344</v>
      </c>
      <c r="F12" s="270">
        <v>744</v>
      </c>
      <c r="G12" s="270">
        <v>0.5376344086021505</v>
      </c>
      <c r="H12" s="328">
        <v>0.46236559139784944</v>
      </c>
      <c r="J12" s="343"/>
      <c r="K12" s="347">
        <v>2016</v>
      </c>
      <c r="L12" s="348">
        <v>366</v>
      </c>
      <c r="M12" s="349">
        <v>8784</v>
      </c>
      <c r="R12" s="54" t="s">
        <v>342</v>
      </c>
    </row>
    <row r="13" spans="2:46">
      <c r="B13" s="326" t="s">
        <v>356</v>
      </c>
      <c r="C13" s="327">
        <v>42156</v>
      </c>
      <c r="D13" s="270">
        <v>416</v>
      </c>
      <c r="E13" s="270">
        <v>304</v>
      </c>
      <c r="F13" s="270">
        <v>720</v>
      </c>
      <c r="G13" s="270">
        <v>0.57777777777777772</v>
      </c>
      <c r="H13" s="328">
        <v>0.42222222222222222</v>
      </c>
      <c r="J13" s="343"/>
      <c r="K13" s="347">
        <v>2017</v>
      </c>
      <c r="L13" s="348">
        <v>365</v>
      </c>
      <c r="M13" s="349">
        <v>8760</v>
      </c>
    </row>
    <row r="14" spans="2:46">
      <c r="B14" s="326" t="s">
        <v>357</v>
      </c>
      <c r="C14" s="327">
        <v>42186</v>
      </c>
      <c r="D14" s="270">
        <v>416</v>
      </c>
      <c r="E14" s="270">
        <v>328</v>
      </c>
      <c r="F14" s="270">
        <v>744</v>
      </c>
      <c r="G14" s="270">
        <v>0.55913978494623651</v>
      </c>
      <c r="H14" s="328">
        <v>0.44086021505376344</v>
      </c>
      <c r="J14" s="343"/>
      <c r="K14" s="347">
        <v>2018</v>
      </c>
      <c r="L14" s="348">
        <v>365</v>
      </c>
      <c r="M14" s="349">
        <v>8760</v>
      </c>
      <c r="P14"/>
      <c r="Q14"/>
      <c r="R14"/>
      <c r="S14"/>
      <c r="T14"/>
      <c r="U14"/>
      <c r="V14"/>
    </row>
    <row r="15" spans="2:46">
      <c r="B15" s="326" t="s">
        <v>358</v>
      </c>
      <c r="C15" s="327">
        <v>42217</v>
      </c>
      <c r="D15" s="270">
        <v>416</v>
      </c>
      <c r="E15" s="270">
        <v>328</v>
      </c>
      <c r="F15" s="270">
        <v>744</v>
      </c>
      <c r="G15" s="270">
        <v>0.55913978494623651</v>
      </c>
      <c r="H15" s="328">
        <v>0.44086021505376344</v>
      </c>
      <c r="J15" s="343"/>
      <c r="K15" s="347">
        <v>2019</v>
      </c>
      <c r="L15" s="348">
        <v>365</v>
      </c>
      <c r="M15" s="349">
        <v>8760</v>
      </c>
      <c r="P15"/>
      <c r="Q15"/>
      <c r="R15"/>
      <c r="S15"/>
      <c r="T15"/>
      <c r="U15"/>
      <c r="V15"/>
    </row>
    <row r="16" spans="2:46">
      <c r="B16" s="326" t="s">
        <v>359</v>
      </c>
      <c r="C16" s="327">
        <v>42248</v>
      </c>
      <c r="D16" s="270">
        <v>400</v>
      </c>
      <c r="E16" s="270">
        <v>320</v>
      </c>
      <c r="F16" s="270">
        <v>720</v>
      </c>
      <c r="G16" s="270">
        <v>0.55555555555555558</v>
      </c>
      <c r="H16" s="328">
        <v>0.44444444444444442</v>
      </c>
      <c r="J16" s="343"/>
      <c r="K16" s="347">
        <v>2020</v>
      </c>
      <c r="L16" s="348">
        <v>366</v>
      </c>
      <c r="M16" s="349">
        <v>8784</v>
      </c>
      <c r="P16"/>
      <c r="Q16"/>
      <c r="R16"/>
      <c r="S16"/>
      <c r="T16"/>
      <c r="U16"/>
      <c r="V16"/>
    </row>
    <row r="17" spans="2:13">
      <c r="B17" s="326" t="s">
        <v>360</v>
      </c>
      <c r="C17" s="327">
        <v>42278</v>
      </c>
      <c r="D17" s="270">
        <v>432</v>
      </c>
      <c r="E17" s="270">
        <v>312</v>
      </c>
      <c r="F17" s="270">
        <v>744</v>
      </c>
      <c r="G17" s="270">
        <v>0.58064516129032262</v>
      </c>
      <c r="H17" s="328">
        <v>0.41935483870967744</v>
      </c>
      <c r="J17" s="343"/>
      <c r="K17" s="347">
        <v>2021</v>
      </c>
      <c r="L17" s="348">
        <v>365</v>
      </c>
      <c r="M17" s="349">
        <v>8760</v>
      </c>
    </row>
    <row r="18" spans="2:13">
      <c r="B18" s="326" t="s">
        <v>361</v>
      </c>
      <c r="C18" s="327">
        <v>42309</v>
      </c>
      <c r="D18" s="270">
        <v>384</v>
      </c>
      <c r="E18" s="270">
        <v>337</v>
      </c>
      <c r="F18" s="270">
        <v>721</v>
      </c>
      <c r="G18" s="270">
        <v>0.53259361997226073</v>
      </c>
      <c r="H18" s="328">
        <v>0.46740638002773927</v>
      </c>
      <c r="J18" s="343"/>
      <c r="K18" s="347">
        <v>2022</v>
      </c>
      <c r="L18" s="348">
        <v>365</v>
      </c>
      <c r="M18" s="349">
        <v>8760</v>
      </c>
    </row>
    <row r="19" spans="2:13">
      <c r="B19" s="326" t="s">
        <v>362</v>
      </c>
      <c r="C19" s="327">
        <v>42339</v>
      </c>
      <c r="D19" s="270">
        <v>416</v>
      </c>
      <c r="E19" s="270">
        <v>328</v>
      </c>
      <c r="F19" s="270">
        <v>744</v>
      </c>
      <c r="G19" s="270">
        <v>0.55913978494623651</v>
      </c>
      <c r="H19" s="328">
        <v>0.44086021505376344</v>
      </c>
      <c r="J19" s="343"/>
      <c r="K19" s="347">
        <v>2023</v>
      </c>
      <c r="L19" s="348">
        <v>365</v>
      </c>
      <c r="M19" s="349">
        <v>8760</v>
      </c>
    </row>
    <row r="20" spans="2:13">
      <c r="B20" s="326" t="s">
        <v>363</v>
      </c>
      <c r="C20" s="327">
        <v>42370</v>
      </c>
      <c r="D20" s="270">
        <v>400</v>
      </c>
      <c r="E20" s="270">
        <v>344</v>
      </c>
      <c r="F20" s="270">
        <v>744</v>
      </c>
      <c r="G20" s="270">
        <v>0.5376344086021505</v>
      </c>
      <c r="H20" s="328">
        <v>0.46236559139784944</v>
      </c>
      <c r="J20" s="343"/>
      <c r="K20" s="347">
        <v>2024</v>
      </c>
      <c r="L20" s="348">
        <v>366</v>
      </c>
      <c r="M20" s="349">
        <v>8784</v>
      </c>
    </row>
    <row r="21" spans="2:13">
      <c r="B21" s="326" t="s">
        <v>364</v>
      </c>
      <c r="C21" s="327">
        <v>42401</v>
      </c>
      <c r="D21" s="270">
        <v>400</v>
      </c>
      <c r="E21" s="270">
        <v>296</v>
      </c>
      <c r="F21" s="270">
        <v>696</v>
      </c>
      <c r="G21" s="270">
        <v>0.57471264367816088</v>
      </c>
      <c r="H21" s="328">
        <v>0.42528735632183906</v>
      </c>
      <c r="J21" s="343"/>
      <c r="K21" s="347">
        <v>2025</v>
      </c>
      <c r="L21" s="348">
        <v>365</v>
      </c>
      <c r="M21" s="349">
        <v>8760</v>
      </c>
    </row>
    <row r="22" spans="2:13">
      <c r="B22" s="326" t="s">
        <v>365</v>
      </c>
      <c r="C22" s="327">
        <v>42430</v>
      </c>
      <c r="D22" s="270">
        <v>432</v>
      </c>
      <c r="E22" s="270">
        <v>311</v>
      </c>
      <c r="F22" s="270">
        <v>743</v>
      </c>
      <c r="G22" s="270">
        <v>0.58142664872139971</v>
      </c>
      <c r="H22" s="328">
        <v>0.41857335127860029</v>
      </c>
      <c r="J22" s="343"/>
      <c r="K22" s="347">
        <v>2026</v>
      </c>
      <c r="L22" s="348">
        <v>365</v>
      </c>
      <c r="M22" s="349">
        <v>8760</v>
      </c>
    </row>
    <row r="23" spans="2:13">
      <c r="B23" s="326" t="s">
        <v>366</v>
      </c>
      <c r="C23" s="327">
        <v>42461</v>
      </c>
      <c r="D23" s="270">
        <v>416</v>
      </c>
      <c r="E23" s="270">
        <v>304</v>
      </c>
      <c r="F23" s="270">
        <v>720</v>
      </c>
      <c r="G23" s="270">
        <v>0.57777777777777772</v>
      </c>
      <c r="H23" s="328">
        <v>0.42222222222222222</v>
      </c>
      <c r="J23" s="343"/>
      <c r="K23" s="347">
        <v>2027</v>
      </c>
      <c r="L23" s="348">
        <v>365</v>
      </c>
      <c r="M23" s="349">
        <v>8760</v>
      </c>
    </row>
    <row r="24" spans="2:13">
      <c r="B24" s="326" t="s">
        <v>367</v>
      </c>
      <c r="C24" s="327">
        <v>42491</v>
      </c>
      <c r="D24" s="270">
        <v>400</v>
      </c>
      <c r="E24" s="270">
        <v>344</v>
      </c>
      <c r="F24" s="270">
        <v>744</v>
      </c>
      <c r="G24" s="270">
        <v>0.5376344086021505</v>
      </c>
      <c r="H24" s="328">
        <v>0.46236559139784944</v>
      </c>
      <c r="J24" s="343"/>
      <c r="K24" s="347">
        <v>2028</v>
      </c>
      <c r="L24" s="348">
        <v>366</v>
      </c>
      <c r="M24" s="349">
        <v>8784</v>
      </c>
    </row>
    <row r="25" spans="2:13">
      <c r="B25" s="326" t="s">
        <v>368</v>
      </c>
      <c r="C25" s="327">
        <v>42522</v>
      </c>
      <c r="D25" s="270">
        <v>416</v>
      </c>
      <c r="E25" s="270">
        <v>304</v>
      </c>
      <c r="F25" s="270">
        <v>720</v>
      </c>
      <c r="G25" s="270">
        <v>0.57777777777777772</v>
      </c>
      <c r="H25" s="328">
        <v>0.42222222222222222</v>
      </c>
      <c r="J25" s="343"/>
      <c r="K25" s="347">
        <v>2029</v>
      </c>
      <c r="L25" s="348">
        <v>365</v>
      </c>
      <c r="M25" s="349">
        <v>8760</v>
      </c>
    </row>
    <row r="26" spans="2:13">
      <c r="B26" s="326" t="s">
        <v>369</v>
      </c>
      <c r="C26" s="327">
        <v>42552</v>
      </c>
      <c r="D26" s="270">
        <v>400</v>
      </c>
      <c r="E26" s="270">
        <v>344</v>
      </c>
      <c r="F26" s="270">
        <v>744</v>
      </c>
      <c r="G26" s="270">
        <v>0.5376344086021505</v>
      </c>
      <c r="H26" s="328">
        <v>0.46236559139784944</v>
      </c>
      <c r="J26" s="343"/>
      <c r="K26" s="347">
        <v>2030</v>
      </c>
      <c r="L26" s="348">
        <v>365</v>
      </c>
      <c r="M26" s="349">
        <v>8760</v>
      </c>
    </row>
    <row r="27" spans="2:13">
      <c r="B27" s="326" t="s">
        <v>370</v>
      </c>
      <c r="C27" s="327">
        <v>42583</v>
      </c>
      <c r="D27" s="270">
        <v>432</v>
      </c>
      <c r="E27" s="270">
        <v>312</v>
      </c>
      <c r="F27" s="270">
        <v>744</v>
      </c>
      <c r="G27" s="270">
        <v>0.58064516129032262</v>
      </c>
      <c r="H27" s="328">
        <v>0.41935483870967744</v>
      </c>
      <c r="J27" s="343"/>
      <c r="K27" s="347">
        <v>2031</v>
      </c>
      <c r="L27" s="348">
        <v>365</v>
      </c>
      <c r="M27" s="349">
        <v>8760</v>
      </c>
    </row>
    <row r="28" spans="2:13">
      <c r="B28" s="326" t="s">
        <v>371</v>
      </c>
      <c r="C28" s="327">
        <v>42614</v>
      </c>
      <c r="D28" s="270">
        <v>400</v>
      </c>
      <c r="E28" s="270">
        <v>320</v>
      </c>
      <c r="F28" s="270">
        <v>720</v>
      </c>
      <c r="G28" s="270">
        <v>0.55555555555555558</v>
      </c>
      <c r="H28" s="328">
        <v>0.44444444444444442</v>
      </c>
      <c r="J28" s="343"/>
      <c r="K28" s="347">
        <v>2032</v>
      </c>
      <c r="L28" s="348">
        <v>366</v>
      </c>
      <c r="M28" s="349">
        <v>8784</v>
      </c>
    </row>
    <row r="29" spans="2:13">
      <c r="B29" s="326" t="s">
        <v>372</v>
      </c>
      <c r="C29" s="327">
        <v>42644</v>
      </c>
      <c r="D29" s="270">
        <v>416</v>
      </c>
      <c r="E29" s="270">
        <v>328</v>
      </c>
      <c r="F29" s="270">
        <v>744</v>
      </c>
      <c r="G29" s="270">
        <v>0.55913978494623651</v>
      </c>
      <c r="H29" s="328">
        <v>0.44086021505376344</v>
      </c>
      <c r="J29" s="343"/>
      <c r="K29" s="347">
        <v>2033</v>
      </c>
      <c r="L29" s="348">
        <v>365</v>
      </c>
      <c r="M29" s="349">
        <v>8760</v>
      </c>
    </row>
    <row r="30" spans="2:13">
      <c r="B30" s="326" t="s">
        <v>373</v>
      </c>
      <c r="C30" s="327">
        <v>42675</v>
      </c>
      <c r="D30" s="270">
        <v>400</v>
      </c>
      <c r="E30" s="270">
        <v>321</v>
      </c>
      <c r="F30" s="270">
        <v>721</v>
      </c>
      <c r="G30" s="270">
        <v>0.55478502080443826</v>
      </c>
      <c r="H30" s="328">
        <v>0.44521497919556174</v>
      </c>
      <c r="J30" s="343"/>
      <c r="K30" s="347">
        <v>2034</v>
      </c>
      <c r="L30" s="348">
        <v>365</v>
      </c>
      <c r="M30" s="349">
        <v>8760</v>
      </c>
    </row>
    <row r="31" spans="2:13">
      <c r="B31" s="326" t="s">
        <v>374</v>
      </c>
      <c r="C31" s="327">
        <v>42705</v>
      </c>
      <c r="D31" s="270">
        <v>416</v>
      </c>
      <c r="E31" s="270">
        <v>328</v>
      </c>
      <c r="F31" s="270">
        <v>744</v>
      </c>
      <c r="G31" s="270">
        <v>0.55913978494623651</v>
      </c>
      <c r="H31" s="328">
        <v>0.44086021505376344</v>
      </c>
      <c r="J31" s="343"/>
      <c r="K31" s="347">
        <v>2035</v>
      </c>
      <c r="L31" s="348">
        <v>365</v>
      </c>
      <c r="M31" s="349">
        <v>8760</v>
      </c>
    </row>
    <row r="32" spans="2:13">
      <c r="B32" s="326" t="s">
        <v>375</v>
      </c>
      <c r="C32" s="327">
        <v>42736</v>
      </c>
      <c r="D32" s="270">
        <v>400</v>
      </c>
      <c r="E32" s="270">
        <v>344</v>
      </c>
      <c r="F32" s="270">
        <v>744</v>
      </c>
      <c r="G32" s="270">
        <v>0.5376344086021505</v>
      </c>
      <c r="H32" s="328">
        <v>0.46236559139784944</v>
      </c>
      <c r="J32" s="343"/>
      <c r="K32" s="347">
        <v>2036</v>
      </c>
      <c r="L32" s="348">
        <v>366</v>
      </c>
      <c r="M32" s="349">
        <v>8784</v>
      </c>
    </row>
    <row r="33" spans="2:13">
      <c r="B33" s="326" t="s">
        <v>376</v>
      </c>
      <c r="C33" s="327">
        <v>42767</v>
      </c>
      <c r="D33" s="270">
        <v>384</v>
      </c>
      <c r="E33" s="270">
        <v>288</v>
      </c>
      <c r="F33" s="270">
        <v>672</v>
      </c>
      <c r="G33" s="270">
        <v>0.5714285714285714</v>
      </c>
      <c r="H33" s="328">
        <v>0.42857142857142855</v>
      </c>
      <c r="J33" s="343"/>
      <c r="K33" s="347">
        <v>2037</v>
      </c>
      <c r="L33" s="348">
        <v>365</v>
      </c>
      <c r="M33" s="349">
        <v>8760</v>
      </c>
    </row>
    <row r="34" spans="2:13">
      <c r="B34" s="326" t="s">
        <v>377</v>
      </c>
      <c r="C34" s="327">
        <v>42795</v>
      </c>
      <c r="D34" s="270">
        <v>432</v>
      </c>
      <c r="E34" s="270">
        <v>311</v>
      </c>
      <c r="F34" s="270">
        <v>743</v>
      </c>
      <c r="G34" s="270">
        <v>0.58142664872139971</v>
      </c>
      <c r="H34" s="328">
        <v>0.41857335127860029</v>
      </c>
      <c r="J34" s="343"/>
      <c r="K34" s="347">
        <v>2038</v>
      </c>
      <c r="L34" s="348">
        <v>365</v>
      </c>
      <c r="M34" s="349">
        <v>8760</v>
      </c>
    </row>
    <row r="35" spans="2:13">
      <c r="B35" s="326" t="s">
        <v>378</v>
      </c>
      <c r="C35" s="327">
        <v>42826</v>
      </c>
      <c r="D35" s="270">
        <v>400</v>
      </c>
      <c r="E35" s="270">
        <v>320</v>
      </c>
      <c r="F35" s="270">
        <v>720</v>
      </c>
      <c r="G35" s="270">
        <v>0.55555555555555558</v>
      </c>
      <c r="H35" s="328">
        <v>0.44444444444444442</v>
      </c>
      <c r="J35" s="343"/>
      <c r="K35" s="347">
        <v>2039</v>
      </c>
      <c r="L35" s="348">
        <v>365</v>
      </c>
      <c r="M35" s="349">
        <v>8760</v>
      </c>
    </row>
    <row r="36" spans="2:13">
      <c r="B36" s="326" t="s">
        <v>379</v>
      </c>
      <c r="C36" s="327">
        <v>42856</v>
      </c>
      <c r="D36" s="270">
        <v>416</v>
      </c>
      <c r="E36" s="270">
        <v>328</v>
      </c>
      <c r="F36" s="270">
        <v>744</v>
      </c>
      <c r="G36" s="270">
        <v>0.55913978494623651</v>
      </c>
      <c r="H36" s="328">
        <v>0.44086021505376344</v>
      </c>
      <c r="J36" s="343"/>
      <c r="K36" s="347">
        <v>2040</v>
      </c>
      <c r="L36" s="348">
        <v>366</v>
      </c>
      <c r="M36" s="349">
        <v>8784</v>
      </c>
    </row>
    <row r="37" spans="2:13">
      <c r="B37" s="326" t="s">
        <v>380</v>
      </c>
      <c r="C37" s="327">
        <v>42887</v>
      </c>
      <c r="D37" s="270">
        <v>416</v>
      </c>
      <c r="E37" s="270">
        <v>304</v>
      </c>
      <c r="F37" s="270">
        <v>720</v>
      </c>
      <c r="G37" s="270">
        <v>0.57777777777777772</v>
      </c>
      <c r="H37" s="328">
        <v>0.42222222222222222</v>
      </c>
      <c r="J37" s="343"/>
      <c r="K37" s="347">
        <v>2041</v>
      </c>
      <c r="L37" s="348">
        <v>365</v>
      </c>
      <c r="M37" s="349">
        <v>8760</v>
      </c>
    </row>
    <row r="38" spans="2:13">
      <c r="B38" s="326" t="s">
        <v>381</v>
      </c>
      <c r="C38" s="327">
        <v>42917</v>
      </c>
      <c r="D38" s="270">
        <v>400</v>
      </c>
      <c r="E38" s="270">
        <v>344</v>
      </c>
      <c r="F38" s="270">
        <v>744</v>
      </c>
      <c r="G38" s="270">
        <v>0.5376344086021505</v>
      </c>
      <c r="H38" s="328">
        <v>0.46236559139784944</v>
      </c>
      <c r="J38" s="343"/>
      <c r="K38" s="347">
        <v>2042</v>
      </c>
      <c r="L38" s="348">
        <v>365</v>
      </c>
      <c r="M38" s="349">
        <v>8760</v>
      </c>
    </row>
    <row r="39" spans="2:13">
      <c r="B39" s="326" t="s">
        <v>382</v>
      </c>
      <c r="C39" s="327">
        <v>42948</v>
      </c>
      <c r="D39" s="270">
        <v>432</v>
      </c>
      <c r="E39" s="270">
        <v>312</v>
      </c>
      <c r="F39" s="270">
        <v>744</v>
      </c>
      <c r="G39" s="270">
        <v>0.58064516129032262</v>
      </c>
      <c r="H39" s="328">
        <v>0.41935483870967744</v>
      </c>
      <c r="J39" s="343"/>
      <c r="K39" s="347">
        <v>2043</v>
      </c>
      <c r="L39" s="348">
        <v>365</v>
      </c>
      <c r="M39" s="349">
        <v>8760</v>
      </c>
    </row>
    <row r="40" spans="2:13">
      <c r="B40" s="326" t="s">
        <v>383</v>
      </c>
      <c r="C40" s="327">
        <v>42979</v>
      </c>
      <c r="D40" s="270">
        <v>400</v>
      </c>
      <c r="E40" s="270">
        <v>320</v>
      </c>
      <c r="F40" s="270">
        <v>720</v>
      </c>
      <c r="G40" s="270">
        <v>0.55555555555555558</v>
      </c>
      <c r="H40" s="328">
        <v>0.44444444444444442</v>
      </c>
      <c r="J40" s="343"/>
      <c r="K40" s="350">
        <v>2044</v>
      </c>
      <c r="L40" s="351">
        <v>366</v>
      </c>
      <c r="M40" s="352">
        <v>8784</v>
      </c>
    </row>
    <row r="41" spans="2:13">
      <c r="B41" s="326" t="s">
        <v>384</v>
      </c>
      <c r="C41" s="327">
        <v>43009</v>
      </c>
      <c r="D41" s="270">
        <v>416</v>
      </c>
      <c r="E41" s="270">
        <v>328</v>
      </c>
      <c r="F41" s="270">
        <v>744</v>
      </c>
      <c r="G41" s="270">
        <v>0.55913978494623651</v>
      </c>
      <c r="H41" s="328">
        <v>0.44086021505376344</v>
      </c>
      <c r="J41" s="343"/>
      <c r="M41" s="348"/>
    </row>
    <row r="42" spans="2:13">
      <c r="B42" s="326" t="s">
        <v>385</v>
      </c>
      <c r="C42" s="327">
        <v>43040</v>
      </c>
      <c r="D42" s="270">
        <v>400</v>
      </c>
      <c r="E42" s="270">
        <v>321</v>
      </c>
      <c r="F42" s="270">
        <v>721</v>
      </c>
      <c r="G42" s="270">
        <v>0.55478502080443826</v>
      </c>
      <c r="H42" s="328">
        <v>0.44521497919556174</v>
      </c>
      <c r="J42" s="343"/>
      <c r="M42" s="348"/>
    </row>
    <row r="43" spans="2:13">
      <c r="B43" s="326" t="s">
        <v>386</v>
      </c>
      <c r="C43" s="327">
        <v>43070</v>
      </c>
      <c r="D43" s="270">
        <v>400</v>
      </c>
      <c r="E43" s="270">
        <v>344</v>
      </c>
      <c r="F43" s="270">
        <v>744</v>
      </c>
      <c r="G43" s="270">
        <v>0.5376344086021505</v>
      </c>
      <c r="H43" s="328">
        <v>0.46236559139784944</v>
      </c>
      <c r="J43" s="343"/>
      <c r="M43" s="348"/>
    </row>
    <row r="44" spans="2:13">
      <c r="B44" s="326" t="s">
        <v>387</v>
      </c>
      <c r="C44" s="327">
        <v>43101</v>
      </c>
      <c r="D44" s="270">
        <v>416</v>
      </c>
      <c r="E44" s="270">
        <v>328</v>
      </c>
      <c r="F44" s="270">
        <v>744</v>
      </c>
      <c r="G44" s="270">
        <v>0.55913978494623651</v>
      </c>
      <c r="H44" s="328">
        <v>0.44086021505376344</v>
      </c>
      <c r="J44" s="343"/>
      <c r="M44" s="348"/>
    </row>
    <row r="45" spans="2:13">
      <c r="B45" s="326" t="s">
        <v>388</v>
      </c>
      <c r="C45" s="327">
        <v>43132</v>
      </c>
      <c r="D45" s="270">
        <v>384</v>
      </c>
      <c r="E45" s="270">
        <v>288</v>
      </c>
      <c r="F45" s="270">
        <v>672</v>
      </c>
      <c r="G45" s="270">
        <v>0.5714285714285714</v>
      </c>
      <c r="H45" s="328">
        <v>0.42857142857142855</v>
      </c>
      <c r="J45" s="343"/>
      <c r="M45" s="348"/>
    </row>
    <row r="46" spans="2:13">
      <c r="B46" s="326" t="s">
        <v>389</v>
      </c>
      <c r="C46" s="327">
        <v>43160</v>
      </c>
      <c r="D46" s="270">
        <v>432</v>
      </c>
      <c r="E46" s="270">
        <v>311</v>
      </c>
      <c r="F46" s="270">
        <v>743</v>
      </c>
      <c r="G46" s="270">
        <v>0.58142664872139971</v>
      </c>
      <c r="H46" s="328">
        <v>0.41857335127860029</v>
      </c>
      <c r="J46" s="343"/>
      <c r="M46" s="348"/>
    </row>
    <row r="47" spans="2:13">
      <c r="B47" s="326" t="s">
        <v>390</v>
      </c>
      <c r="C47" s="327">
        <v>43191</v>
      </c>
      <c r="D47" s="270">
        <v>400</v>
      </c>
      <c r="E47" s="270">
        <v>320</v>
      </c>
      <c r="F47" s="270">
        <v>720</v>
      </c>
      <c r="G47" s="270">
        <v>0.55555555555555558</v>
      </c>
      <c r="H47" s="328">
        <v>0.44444444444444442</v>
      </c>
      <c r="J47" s="343"/>
      <c r="M47" s="348"/>
    </row>
    <row r="48" spans="2:13">
      <c r="B48" s="326" t="s">
        <v>391</v>
      </c>
      <c r="C48" s="327">
        <v>43221</v>
      </c>
      <c r="D48" s="270">
        <v>416</v>
      </c>
      <c r="E48" s="270">
        <v>328</v>
      </c>
      <c r="F48" s="270">
        <v>744</v>
      </c>
      <c r="G48" s="270">
        <v>0.55913978494623651</v>
      </c>
      <c r="H48" s="328">
        <v>0.44086021505376344</v>
      </c>
      <c r="J48" s="343"/>
      <c r="M48" s="348"/>
    </row>
    <row r="49" spans="2:13">
      <c r="B49" s="326" t="s">
        <v>392</v>
      </c>
      <c r="C49" s="327">
        <v>43252</v>
      </c>
      <c r="D49" s="270">
        <v>416</v>
      </c>
      <c r="E49" s="270">
        <v>304</v>
      </c>
      <c r="F49" s="270">
        <v>720</v>
      </c>
      <c r="G49" s="270">
        <v>0.57777777777777772</v>
      </c>
      <c r="H49" s="328">
        <v>0.42222222222222222</v>
      </c>
      <c r="J49" s="343"/>
      <c r="M49" s="348"/>
    </row>
    <row r="50" spans="2:13">
      <c r="B50" s="326" t="s">
        <v>393</v>
      </c>
      <c r="C50" s="327">
        <v>43282</v>
      </c>
      <c r="D50" s="270">
        <v>400</v>
      </c>
      <c r="E50" s="270">
        <v>344</v>
      </c>
      <c r="F50" s="270">
        <v>744</v>
      </c>
      <c r="G50" s="270">
        <v>0.5376344086021505</v>
      </c>
      <c r="H50" s="328">
        <v>0.46236559139784944</v>
      </c>
      <c r="J50" s="343"/>
      <c r="M50" s="348"/>
    </row>
    <row r="51" spans="2:13">
      <c r="B51" s="326" t="s">
        <v>394</v>
      </c>
      <c r="C51" s="327">
        <v>43313</v>
      </c>
      <c r="D51" s="270">
        <v>432</v>
      </c>
      <c r="E51" s="270">
        <v>312</v>
      </c>
      <c r="F51" s="270">
        <v>744</v>
      </c>
      <c r="G51" s="270">
        <v>0.58064516129032262</v>
      </c>
      <c r="H51" s="328">
        <v>0.41935483870967744</v>
      </c>
      <c r="J51" s="343"/>
      <c r="M51" s="348"/>
    </row>
    <row r="52" spans="2:13">
      <c r="B52" s="326" t="s">
        <v>395</v>
      </c>
      <c r="C52" s="327">
        <v>43344</v>
      </c>
      <c r="D52" s="270">
        <v>384</v>
      </c>
      <c r="E52" s="270">
        <v>336</v>
      </c>
      <c r="F52" s="270">
        <v>720</v>
      </c>
      <c r="G52" s="270">
        <v>0.53333333333333333</v>
      </c>
      <c r="H52" s="328">
        <v>0.46666666666666667</v>
      </c>
      <c r="J52" s="343"/>
      <c r="M52" s="348"/>
    </row>
    <row r="53" spans="2:13">
      <c r="B53" s="326" t="s">
        <v>396</v>
      </c>
      <c r="C53" s="327">
        <v>43374</v>
      </c>
      <c r="D53" s="270">
        <v>432</v>
      </c>
      <c r="E53" s="270">
        <v>312</v>
      </c>
      <c r="F53" s="270">
        <v>744</v>
      </c>
      <c r="G53" s="270">
        <v>0.58064516129032262</v>
      </c>
      <c r="H53" s="328">
        <v>0.41935483870967744</v>
      </c>
      <c r="J53" s="343"/>
      <c r="M53" s="348"/>
    </row>
    <row r="54" spans="2:13">
      <c r="B54" s="326" t="s">
        <v>397</v>
      </c>
      <c r="C54" s="327">
        <v>43405</v>
      </c>
      <c r="D54" s="270">
        <v>400</v>
      </c>
      <c r="E54" s="270">
        <v>321</v>
      </c>
      <c r="F54" s="270">
        <v>721</v>
      </c>
      <c r="G54" s="270">
        <v>0.55478502080443826</v>
      </c>
      <c r="H54" s="328">
        <v>0.44521497919556174</v>
      </c>
      <c r="J54" s="343"/>
      <c r="M54" s="348"/>
    </row>
    <row r="55" spans="2:13">
      <c r="B55" s="326" t="s">
        <v>398</v>
      </c>
      <c r="C55" s="327">
        <v>43435</v>
      </c>
      <c r="D55" s="270">
        <v>400</v>
      </c>
      <c r="E55" s="270">
        <v>344</v>
      </c>
      <c r="F55" s="270">
        <v>744</v>
      </c>
      <c r="G55" s="270">
        <v>0.5376344086021505</v>
      </c>
      <c r="H55" s="328">
        <v>0.46236559139784944</v>
      </c>
      <c r="J55" s="343"/>
      <c r="M55" s="348"/>
    </row>
    <row r="56" spans="2:13">
      <c r="B56" s="326" t="s">
        <v>399</v>
      </c>
      <c r="C56" s="327">
        <v>43466</v>
      </c>
      <c r="D56" s="270">
        <v>416</v>
      </c>
      <c r="E56" s="270">
        <v>328</v>
      </c>
      <c r="F56" s="270">
        <v>744</v>
      </c>
      <c r="G56" s="270">
        <v>0.55913978494623651</v>
      </c>
      <c r="H56" s="328">
        <v>0.44086021505376344</v>
      </c>
      <c r="J56" s="343"/>
      <c r="M56" s="348"/>
    </row>
    <row r="57" spans="2:13">
      <c r="B57" s="326" t="s">
        <v>400</v>
      </c>
      <c r="C57" s="327">
        <v>43497</v>
      </c>
      <c r="D57" s="270">
        <v>384</v>
      </c>
      <c r="E57" s="270">
        <v>288</v>
      </c>
      <c r="F57" s="270">
        <v>672</v>
      </c>
      <c r="G57" s="270">
        <v>0.5714285714285714</v>
      </c>
      <c r="H57" s="328">
        <v>0.42857142857142855</v>
      </c>
      <c r="J57" s="343"/>
      <c r="M57" s="348"/>
    </row>
    <row r="58" spans="2:13">
      <c r="B58" s="326" t="s">
        <v>401</v>
      </c>
      <c r="C58" s="327">
        <v>43525</v>
      </c>
      <c r="D58" s="270">
        <v>416</v>
      </c>
      <c r="E58" s="270">
        <v>327</v>
      </c>
      <c r="F58" s="270">
        <v>743</v>
      </c>
      <c r="G58" s="270">
        <v>0.55989232839838488</v>
      </c>
      <c r="H58" s="328">
        <v>0.44010767160161507</v>
      </c>
      <c r="J58" s="343"/>
      <c r="M58" s="348"/>
    </row>
    <row r="59" spans="2:13">
      <c r="B59" s="326" t="s">
        <v>402</v>
      </c>
      <c r="C59" s="327">
        <v>43556</v>
      </c>
      <c r="D59" s="270">
        <v>416</v>
      </c>
      <c r="E59" s="270">
        <v>304</v>
      </c>
      <c r="F59" s="270">
        <v>720</v>
      </c>
      <c r="G59" s="270">
        <v>0.57777777777777772</v>
      </c>
      <c r="H59" s="328">
        <v>0.42222222222222222</v>
      </c>
      <c r="J59" s="343"/>
      <c r="M59" s="348"/>
    </row>
    <row r="60" spans="2:13">
      <c r="B60" s="326" t="s">
        <v>403</v>
      </c>
      <c r="C60" s="327">
        <v>43586</v>
      </c>
      <c r="D60" s="270">
        <v>416</v>
      </c>
      <c r="E60" s="270">
        <v>328</v>
      </c>
      <c r="F60" s="270">
        <v>744</v>
      </c>
      <c r="G60" s="270">
        <v>0.55913978494623651</v>
      </c>
      <c r="H60" s="328">
        <v>0.44086021505376344</v>
      </c>
      <c r="J60" s="343"/>
      <c r="M60" s="348"/>
    </row>
    <row r="61" spans="2:13">
      <c r="B61" s="326" t="s">
        <v>404</v>
      </c>
      <c r="C61" s="327">
        <v>43617</v>
      </c>
      <c r="D61" s="270">
        <v>400</v>
      </c>
      <c r="E61" s="270">
        <v>320</v>
      </c>
      <c r="F61" s="270">
        <v>720</v>
      </c>
      <c r="G61" s="270">
        <v>0.55555555555555558</v>
      </c>
      <c r="H61" s="328">
        <v>0.44444444444444442</v>
      </c>
      <c r="J61" s="343"/>
      <c r="M61" s="348"/>
    </row>
    <row r="62" spans="2:13">
      <c r="B62" s="326" t="s">
        <v>405</v>
      </c>
      <c r="C62" s="327">
        <v>43647</v>
      </c>
      <c r="D62" s="270">
        <v>416</v>
      </c>
      <c r="E62" s="270">
        <v>328</v>
      </c>
      <c r="F62" s="270">
        <v>744</v>
      </c>
      <c r="G62" s="270">
        <v>0.55913978494623651</v>
      </c>
      <c r="H62" s="328">
        <v>0.44086021505376344</v>
      </c>
      <c r="J62" s="343"/>
      <c r="M62" s="348"/>
    </row>
    <row r="63" spans="2:13">
      <c r="B63" s="326" t="s">
        <v>406</v>
      </c>
      <c r="C63" s="327">
        <v>43678</v>
      </c>
      <c r="D63" s="270">
        <v>432</v>
      </c>
      <c r="E63" s="270">
        <v>312</v>
      </c>
      <c r="F63" s="270">
        <v>744</v>
      </c>
      <c r="G63" s="270">
        <v>0.58064516129032262</v>
      </c>
      <c r="H63" s="328">
        <v>0.41935483870967744</v>
      </c>
      <c r="J63" s="343"/>
      <c r="M63" s="348"/>
    </row>
    <row r="64" spans="2:13">
      <c r="B64" s="326" t="s">
        <v>407</v>
      </c>
      <c r="C64" s="327">
        <v>43709</v>
      </c>
      <c r="D64" s="270">
        <v>384</v>
      </c>
      <c r="E64" s="270">
        <v>336</v>
      </c>
      <c r="F64" s="270">
        <v>720</v>
      </c>
      <c r="G64" s="270">
        <v>0.53333333333333333</v>
      </c>
      <c r="H64" s="328">
        <v>0.46666666666666667</v>
      </c>
      <c r="J64" s="343"/>
      <c r="M64" s="348"/>
    </row>
    <row r="65" spans="2:13">
      <c r="B65" s="326" t="s">
        <v>408</v>
      </c>
      <c r="C65" s="327">
        <v>43739</v>
      </c>
      <c r="D65" s="270">
        <v>432</v>
      </c>
      <c r="E65" s="270">
        <v>312</v>
      </c>
      <c r="F65" s="270">
        <v>744</v>
      </c>
      <c r="G65" s="329">
        <v>0.58064516129032262</v>
      </c>
      <c r="H65" s="330">
        <v>0.41935483870967744</v>
      </c>
      <c r="J65" s="343"/>
      <c r="M65" s="348"/>
    </row>
    <row r="66" spans="2:13">
      <c r="B66" s="326" t="s">
        <v>409</v>
      </c>
      <c r="C66" s="327">
        <v>43770</v>
      </c>
      <c r="D66" s="270">
        <v>400</v>
      </c>
      <c r="E66" s="270">
        <v>321</v>
      </c>
      <c r="F66" s="270">
        <v>721</v>
      </c>
      <c r="G66" s="329">
        <v>0.55478502080443826</v>
      </c>
      <c r="H66" s="330">
        <v>0.44521497919556174</v>
      </c>
      <c r="J66" s="343"/>
      <c r="M66" s="348"/>
    </row>
    <row r="67" spans="2:13">
      <c r="B67" s="326" t="s">
        <v>410</v>
      </c>
      <c r="C67" s="327">
        <v>43800</v>
      </c>
      <c r="D67" s="270">
        <v>400</v>
      </c>
      <c r="E67" s="270">
        <v>344</v>
      </c>
      <c r="F67" s="270">
        <v>744</v>
      </c>
      <c r="G67" s="329">
        <v>0.5376344086021505</v>
      </c>
      <c r="H67" s="330">
        <v>0.46236559139784944</v>
      </c>
      <c r="J67" s="343"/>
      <c r="M67" s="348"/>
    </row>
    <row r="68" spans="2:13">
      <c r="B68" s="326" t="s">
        <v>411</v>
      </c>
      <c r="C68" s="327">
        <v>43831</v>
      </c>
      <c r="D68" s="270">
        <v>416</v>
      </c>
      <c r="E68" s="270">
        <v>328</v>
      </c>
      <c r="F68" s="270">
        <v>744</v>
      </c>
      <c r="G68" s="329">
        <v>0.55913978494623651</v>
      </c>
      <c r="H68" s="330">
        <v>0.44086021505376344</v>
      </c>
      <c r="J68" s="343"/>
      <c r="M68" s="348"/>
    </row>
    <row r="69" spans="2:13">
      <c r="B69" s="326" t="s">
        <v>412</v>
      </c>
      <c r="C69" s="327">
        <v>43862</v>
      </c>
      <c r="D69" s="270">
        <v>400</v>
      </c>
      <c r="E69" s="270">
        <v>296</v>
      </c>
      <c r="F69" s="270">
        <v>696</v>
      </c>
      <c r="G69" s="329">
        <v>0.57471264367816088</v>
      </c>
      <c r="H69" s="330">
        <v>0.42528735632183906</v>
      </c>
      <c r="J69" s="343"/>
      <c r="M69" s="348"/>
    </row>
    <row r="70" spans="2:13">
      <c r="B70" s="326" t="s">
        <v>413</v>
      </c>
      <c r="C70" s="327">
        <v>43891</v>
      </c>
      <c r="D70" s="270">
        <v>416</v>
      </c>
      <c r="E70" s="270">
        <v>327</v>
      </c>
      <c r="F70" s="270">
        <v>743</v>
      </c>
      <c r="G70" s="329">
        <v>0.55989232839838488</v>
      </c>
      <c r="H70" s="330">
        <v>0.44010767160161507</v>
      </c>
      <c r="J70" s="343"/>
      <c r="M70" s="348"/>
    </row>
    <row r="71" spans="2:13">
      <c r="B71" s="326" t="s">
        <v>414</v>
      </c>
      <c r="C71" s="327">
        <v>43922</v>
      </c>
      <c r="D71" s="270">
        <v>416</v>
      </c>
      <c r="E71" s="270">
        <v>304</v>
      </c>
      <c r="F71" s="270">
        <v>720</v>
      </c>
      <c r="G71" s="329">
        <v>0.57777777777777772</v>
      </c>
      <c r="H71" s="330">
        <v>0.42222222222222222</v>
      </c>
      <c r="J71" s="343"/>
      <c r="M71" s="348"/>
    </row>
    <row r="72" spans="2:13">
      <c r="B72" s="326" t="s">
        <v>415</v>
      </c>
      <c r="C72" s="327">
        <v>43952</v>
      </c>
      <c r="D72" s="270">
        <v>400</v>
      </c>
      <c r="E72" s="270">
        <v>344</v>
      </c>
      <c r="F72" s="270">
        <v>744</v>
      </c>
      <c r="G72" s="329">
        <v>0.5376344086021505</v>
      </c>
      <c r="H72" s="330">
        <v>0.46236559139784944</v>
      </c>
      <c r="J72" s="343"/>
      <c r="M72" s="348"/>
    </row>
    <row r="73" spans="2:13">
      <c r="B73" s="326" t="s">
        <v>416</v>
      </c>
      <c r="C73" s="327">
        <v>43983</v>
      </c>
      <c r="D73" s="270">
        <v>416</v>
      </c>
      <c r="E73" s="270">
        <v>304</v>
      </c>
      <c r="F73" s="270">
        <v>720</v>
      </c>
      <c r="G73" s="329">
        <v>0.57777777777777772</v>
      </c>
      <c r="H73" s="330">
        <v>0.42222222222222222</v>
      </c>
      <c r="J73" s="343"/>
      <c r="M73" s="348"/>
    </row>
    <row r="74" spans="2:13">
      <c r="B74" s="326" t="s">
        <v>417</v>
      </c>
      <c r="C74" s="327">
        <v>44013</v>
      </c>
      <c r="D74" s="270">
        <v>416</v>
      </c>
      <c r="E74" s="270">
        <v>328</v>
      </c>
      <c r="F74" s="270">
        <v>744</v>
      </c>
      <c r="G74" s="329">
        <v>0.55913978494623651</v>
      </c>
      <c r="H74" s="330">
        <v>0.44086021505376344</v>
      </c>
      <c r="J74" s="343"/>
      <c r="M74" s="348"/>
    </row>
    <row r="75" spans="2:13">
      <c r="B75" s="326" t="s">
        <v>418</v>
      </c>
      <c r="C75" s="327">
        <v>44044</v>
      </c>
      <c r="D75" s="270">
        <v>416</v>
      </c>
      <c r="E75" s="270">
        <v>328</v>
      </c>
      <c r="F75" s="270">
        <v>744</v>
      </c>
      <c r="G75" s="329">
        <v>0.55913978494623651</v>
      </c>
      <c r="H75" s="330">
        <v>0.44086021505376344</v>
      </c>
      <c r="J75" s="343"/>
      <c r="M75" s="348"/>
    </row>
    <row r="76" spans="2:13">
      <c r="B76" s="326" t="s">
        <v>419</v>
      </c>
      <c r="C76" s="327">
        <v>44075</v>
      </c>
      <c r="D76" s="270">
        <v>400</v>
      </c>
      <c r="E76" s="270">
        <v>320</v>
      </c>
      <c r="F76" s="270">
        <v>720</v>
      </c>
      <c r="G76" s="329">
        <v>0.55555555555555558</v>
      </c>
      <c r="H76" s="330">
        <v>0.44444444444444442</v>
      </c>
      <c r="J76" s="343"/>
      <c r="M76" s="348"/>
    </row>
    <row r="77" spans="2:13">
      <c r="B77" s="326" t="s">
        <v>420</v>
      </c>
      <c r="C77" s="327">
        <v>44105</v>
      </c>
      <c r="D77" s="270">
        <v>432</v>
      </c>
      <c r="E77" s="270">
        <v>312</v>
      </c>
      <c r="F77" s="270">
        <v>744</v>
      </c>
      <c r="G77" s="329">
        <v>0.58064516129032262</v>
      </c>
      <c r="H77" s="330">
        <v>0.41935483870967744</v>
      </c>
      <c r="J77" s="343"/>
      <c r="M77" s="348"/>
    </row>
    <row r="78" spans="2:13">
      <c r="B78" s="326" t="s">
        <v>421</v>
      </c>
      <c r="C78" s="327">
        <v>44136</v>
      </c>
      <c r="D78" s="270">
        <v>384</v>
      </c>
      <c r="E78" s="270">
        <v>337</v>
      </c>
      <c r="F78" s="270">
        <v>721</v>
      </c>
      <c r="G78" s="329">
        <v>0.53259361997226073</v>
      </c>
      <c r="H78" s="330">
        <v>0.46740638002773927</v>
      </c>
      <c r="J78" s="343"/>
      <c r="M78" s="348"/>
    </row>
    <row r="79" spans="2:13">
      <c r="B79" s="326" t="s">
        <v>422</v>
      </c>
      <c r="C79" s="327">
        <v>44166</v>
      </c>
      <c r="D79" s="270">
        <v>416</v>
      </c>
      <c r="E79" s="270">
        <v>328</v>
      </c>
      <c r="F79" s="270">
        <v>744</v>
      </c>
      <c r="G79" s="329">
        <v>0.55913978494623651</v>
      </c>
      <c r="H79" s="330">
        <v>0.44086021505376344</v>
      </c>
      <c r="J79" s="343"/>
      <c r="M79" s="348"/>
    </row>
    <row r="80" spans="2:13">
      <c r="B80" s="326" t="s">
        <v>423</v>
      </c>
      <c r="C80" s="327">
        <v>44197</v>
      </c>
      <c r="D80" s="270">
        <v>400</v>
      </c>
      <c r="E80" s="270">
        <v>344</v>
      </c>
      <c r="F80" s="270">
        <v>744</v>
      </c>
      <c r="G80" s="329">
        <v>0.5376344086021505</v>
      </c>
      <c r="H80" s="330">
        <v>0.46236559139784944</v>
      </c>
      <c r="J80" s="343"/>
      <c r="M80" s="348"/>
    </row>
    <row r="81" spans="2:13">
      <c r="B81" s="326" t="s">
        <v>424</v>
      </c>
      <c r="C81" s="327">
        <v>44228</v>
      </c>
      <c r="D81" s="270">
        <v>384</v>
      </c>
      <c r="E81" s="270">
        <v>288</v>
      </c>
      <c r="F81" s="270">
        <v>672</v>
      </c>
      <c r="G81" s="329">
        <v>0.5714285714285714</v>
      </c>
      <c r="H81" s="330">
        <v>0.42857142857142855</v>
      </c>
      <c r="J81" s="343"/>
      <c r="M81" s="348"/>
    </row>
    <row r="82" spans="2:13">
      <c r="B82" s="326" t="s">
        <v>425</v>
      </c>
      <c r="C82" s="327">
        <v>44256</v>
      </c>
      <c r="D82" s="270">
        <v>432</v>
      </c>
      <c r="E82" s="270">
        <v>311</v>
      </c>
      <c r="F82" s="270">
        <v>743</v>
      </c>
      <c r="G82" s="329">
        <v>0.58142664872139971</v>
      </c>
      <c r="H82" s="330">
        <v>0.41857335127860029</v>
      </c>
      <c r="J82" s="343"/>
      <c r="M82" s="348"/>
    </row>
    <row r="83" spans="2:13">
      <c r="B83" s="326" t="s">
        <v>426</v>
      </c>
      <c r="C83" s="327">
        <v>44287</v>
      </c>
      <c r="D83" s="270">
        <v>416</v>
      </c>
      <c r="E83" s="270">
        <v>304</v>
      </c>
      <c r="F83" s="270">
        <v>720</v>
      </c>
      <c r="G83" s="329">
        <v>0.57777777777777772</v>
      </c>
      <c r="H83" s="330">
        <v>0.42222222222222222</v>
      </c>
      <c r="J83" s="343"/>
      <c r="M83" s="348"/>
    </row>
    <row r="84" spans="2:13">
      <c r="B84" s="326" t="s">
        <v>427</v>
      </c>
      <c r="C84" s="327">
        <v>44317</v>
      </c>
      <c r="D84" s="270">
        <v>400</v>
      </c>
      <c r="E84" s="270">
        <v>344</v>
      </c>
      <c r="F84" s="270">
        <v>744</v>
      </c>
      <c r="G84" s="329">
        <v>0.5376344086021505</v>
      </c>
      <c r="H84" s="330">
        <v>0.46236559139784944</v>
      </c>
      <c r="J84" s="343"/>
      <c r="M84" s="348"/>
    </row>
    <row r="85" spans="2:13">
      <c r="B85" s="326" t="s">
        <v>428</v>
      </c>
      <c r="C85" s="327">
        <v>44348</v>
      </c>
      <c r="D85" s="270">
        <v>416</v>
      </c>
      <c r="E85" s="270">
        <v>304</v>
      </c>
      <c r="F85" s="270">
        <v>720</v>
      </c>
      <c r="G85" s="329">
        <v>0.57777777777777772</v>
      </c>
      <c r="H85" s="330">
        <v>0.42222222222222222</v>
      </c>
      <c r="J85" s="343"/>
      <c r="M85" s="348"/>
    </row>
    <row r="86" spans="2:13">
      <c r="B86" s="326" t="s">
        <v>429</v>
      </c>
      <c r="C86" s="327">
        <v>44378</v>
      </c>
      <c r="D86" s="270">
        <v>416</v>
      </c>
      <c r="E86" s="270">
        <v>328</v>
      </c>
      <c r="F86" s="270">
        <v>744</v>
      </c>
      <c r="G86" s="329">
        <v>0.55913978494623651</v>
      </c>
      <c r="H86" s="330">
        <v>0.44086021505376344</v>
      </c>
      <c r="J86" s="343"/>
      <c r="M86" s="348"/>
    </row>
    <row r="87" spans="2:13">
      <c r="B87" s="326" t="s">
        <v>430</v>
      </c>
      <c r="C87" s="327">
        <v>44409</v>
      </c>
      <c r="D87" s="270">
        <v>416</v>
      </c>
      <c r="E87" s="270">
        <v>328</v>
      </c>
      <c r="F87" s="270">
        <v>744</v>
      </c>
      <c r="G87" s="329">
        <v>0.55913978494623651</v>
      </c>
      <c r="H87" s="330">
        <v>0.44086021505376344</v>
      </c>
      <c r="J87" s="343"/>
      <c r="M87" s="348"/>
    </row>
    <row r="88" spans="2:13">
      <c r="B88" s="326" t="s">
        <v>431</v>
      </c>
      <c r="C88" s="327">
        <v>44440</v>
      </c>
      <c r="D88" s="270">
        <v>400</v>
      </c>
      <c r="E88" s="270">
        <v>320</v>
      </c>
      <c r="F88" s="270">
        <v>720</v>
      </c>
      <c r="G88" s="329">
        <v>0.55555555555555558</v>
      </c>
      <c r="H88" s="330">
        <v>0.44444444444444442</v>
      </c>
      <c r="J88" s="343"/>
      <c r="M88" s="348"/>
    </row>
    <row r="89" spans="2:13">
      <c r="B89" s="326" t="s">
        <v>432</v>
      </c>
      <c r="C89" s="327">
        <v>44470</v>
      </c>
      <c r="D89" s="270">
        <v>416</v>
      </c>
      <c r="E89" s="270">
        <v>328</v>
      </c>
      <c r="F89" s="270">
        <v>744</v>
      </c>
      <c r="G89" s="270">
        <v>0.55913978494623651</v>
      </c>
      <c r="H89" s="328">
        <v>0.44086021505376344</v>
      </c>
      <c r="J89" s="343"/>
      <c r="M89" s="348"/>
    </row>
    <row r="90" spans="2:13">
      <c r="B90" s="326" t="s">
        <v>433</v>
      </c>
      <c r="C90" s="327">
        <v>44501</v>
      </c>
      <c r="D90" s="270">
        <v>400</v>
      </c>
      <c r="E90" s="270">
        <v>321</v>
      </c>
      <c r="F90" s="270">
        <v>721</v>
      </c>
      <c r="G90" s="270">
        <v>0.55478502080443826</v>
      </c>
      <c r="H90" s="328">
        <v>0.44521497919556174</v>
      </c>
      <c r="J90" s="343"/>
      <c r="M90" s="348"/>
    </row>
    <row r="91" spans="2:13">
      <c r="B91" s="326" t="s">
        <v>434</v>
      </c>
      <c r="C91" s="327">
        <v>44531</v>
      </c>
      <c r="D91" s="270">
        <v>416</v>
      </c>
      <c r="E91" s="270">
        <v>328</v>
      </c>
      <c r="F91" s="270">
        <v>744</v>
      </c>
      <c r="G91" s="270">
        <v>0.55913978494623651</v>
      </c>
      <c r="H91" s="328">
        <v>0.44086021505376344</v>
      </c>
      <c r="J91" s="343"/>
      <c r="M91" s="348"/>
    </row>
    <row r="92" spans="2:13">
      <c r="B92" s="326" t="s">
        <v>435</v>
      </c>
      <c r="C92" s="327">
        <v>44562</v>
      </c>
      <c r="D92" s="270">
        <v>400</v>
      </c>
      <c r="E92" s="270">
        <v>344</v>
      </c>
      <c r="F92" s="270">
        <v>744</v>
      </c>
      <c r="G92" s="270">
        <v>0.5376344086021505</v>
      </c>
      <c r="H92" s="328">
        <v>0.46236559139784944</v>
      </c>
      <c r="J92" s="343"/>
      <c r="M92" s="348"/>
    </row>
    <row r="93" spans="2:13">
      <c r="B93" s="326" t="s">
        <v>436</v>
      </c>
      <c r="C93" s="327">
        <v>44593</v>
      </c>
      <c r="D93" s="270">
        <v>384</v>
      </c>
      <c r="E93" s="270">
        <v>288</v>
      </c>
      <c r="F93" s="270">
        <v>672</v>
      </c>
      <c r="G93" s="270">
        <v>0.5714285714285714</v>
      </c>
      <c r="H93" s="328">
        <v>0.42857142857142855</v>
      </c>
      <c r="J93" s="343"/>
      <c r="M93" s="348"/>
    </row>
    <row r="94" spans="2:13">
      <c r="B94" s="326" t="s">
        <v>437</v>
      </c>
      <c r="C94" s="327">
        <v>44621</v>
      </c>
      <c r="D94" s="270">
        <v>432</v>
      </c>
      <c r="E94" s="270">
        <v>311</v>
      </c>
      <c r="F94" s="270">
        <v>743</v>
      </c>
      <c r="G94" s="270">
        <v>0.58142664872139971</v>
      </c>
      <c r="H94" s="328">
        <v>0.41857335127860029</v>
      </c>
      <c r="J94" s="343"/>
      <c r="M94" s="348"/>
    </row>
    <row r="95" spans="2:13">
      <c r="B95" s="326" t="s">
        <v>438</v>
      </c>
      <c r="C95" s="327">
        <v>44652</v>
      </c>
      <c r="D95" s="270">
        <v>416</v>
      </c>
      <c r="E95" s="270">
        <v>304</v>
      </c>
      <c r="F95" s="270">
        <v>720</v>
      </c>
      <c r="G95" s="270">
        <v>0.57777777777777772</v>
      </c>
      <c r="H95" s="328">
        <v>0.42222222222222222</v>
      </c>
      <c r="J95" s="343"/>
      <c r="M95" s="348"/>
    </row>
    <row r="96" spans="2:13">
      <c r="B96" s="326" t="s">
        <v>439</v>
      </c>
      <c r="C96" s="327">
        <v>44682</v>
      </c>
      <c r="D96" s="270">
        <v>400</v>
      </c>
      <c r="E96" s="270">
        <v>344</v>
      </c>
      <c r="F96" s="270">
        <v>744</v>
      </c>
      <c r="G96" s="270">
        <v>0.5376344086021505</v>
      </c>
      <c r="H96" s="328">
        <v>0.46236559139784944</v>
      </c>
      <c r="J96" s="343"/>
      <c r="M96" s="348"/>
    </row>
    <row r="97" spans="2:13">
      <c r="B97" s="326" t="s">
        <v>440</v>
      </c>
      <c r="C97" s="327">
        <v>44713</v>
      </c>
      <c r="D97" s="270">
        <v>416</v>
      </c>
      <c r="E97" s="270">
        <v>304</v>
      </c>
      <c r="F97" s="270">
        <v>720</v>
      </c>
      <c r="G97" s="270">
        <v>0.57777777777777772</v>
      </c>
      <c r="H97" s="328">
        <v>0.42222222222222222</v>
      </c>
      <c r="J97" s="343"/>
      <c r="M97" s="348"/>
    </row>
    <row r="98" spans="2:13">
      <c r="B98" s="326" t="s">
        <v>441</v>
      </c>
      <c r="C98" s="327">
        <v>44743</v>
      </c>
      <c r="D98" s="270">
        <v>400</v>
      </c>
      <c r="E98" s="270">
        <v>344</v>
      </c>
      <c r="F98" s="270">
        <v>744</v>
      </c>
      <c r="G98" s="270">
        <v>0.5376344086021505</v>
      </c>
      <c r="H98" s="328">
        <v>0.46236559139784944</v>
      </c>
      <c r="J98" s="343"/>
      <c r="M98" s="348"/>
    </row>
    <row r="99" spans="2:13">
      <c r="B99" s="326" t="s">
        <v>442</v>
      </c>
      <c r="C99" s="327">
        <v>44774</v>
      </c>
      <c r="D99" s="270">
        <v>432</v>
      </c>
      <c r="E99" s="270">
        <v>312</v>
      </c>
      <c r="F99" s="270">
        <v>744</v>
      </c>
      <c r="G99" s="270">
        <v>0.58064516129032262</v>
      </c>
      <c r="H99" s="328">
        <v>0.41935483870967744</v>
      </c>
      <c r="J99" s="343"/>
      <c r="M99" s="348"/>
    </row>
    <row r="100" spans="2:13">
      <c r="B100" s="326" t="s">
        <v>443</v>
      </c>
      <c r="C100" s="327">
        <v>44805</v>
      </c>
      <c r="D100" s="270">
        <v>400</v>
      </c>
      <c r="E100" s="270">
        <v>320</v>
      </c>
      <c r="F100" s="270">
        <v>720</v>
      </c>
      <c r="G100" s="270">
        <v>0.55555555555555558</v>
      </c>
      <c r="H100" s="328">
        <v>0.44444444444444442</v>
      </c>
      <c r="J100" s="343"/>
      <c r="M100" s="348"/>
    </row>
    <row r="101" spans="2:13">
      <c r="B101" s="326" t="s">
        <v>444</v>
      </c>
      <c r="C101" s="327">
        <v>44835</v>
      </c>
      <c r="D101" s="270">
        <v>416</v>
      </c>
      <c r="E101" s="270">
        <v>328</v>
      </c>
      <c r="F101" s="270">
        <v>744</v>
      </c>
      <c r="G101" s="270">
        <v>0.55913978494623651</v>
      </c>
      <c r="H101" s="328">
        <v>0.44086021505376344</v>
      </c>
      <c r="J101" s="343"/>
      <c r="M101" s="348"/>
    </row>
    <row r="102" spans="2:13">
      <c r="B102" s="326" t="s">
        <v>445</v>
      </c>
      <c r="C102" s="327">
        <v>44866</v>
      </c>
      <c r="D102" s="270">
        <v>400</v>
      </c>
      <c r="E102" s="270">
        <v>321</v>
      </c>
      <c r="F102" s="270">
        <v>721</v>
      </c>
      <c r="G102" s="270">
        <v>0.55478502080443826</v>
      </c>
      <c r="H102" s="328">
        <v>0.44521497919556174</v>
      </c>
      <c r="J102" s="343"/>
      <c r="M102" s="348"/>
    </row>
    <row r="103" spans="2:13">
      <c r="B103" s="326" t="s">
        <v>446</v>
      </c>
      <c r="C103" s="327">
        <v>44896</v>
      </c>
      <c r="D103" s="270">
        <v>416</v>
      </c>
      <c r="E103" s="270">
        <v>328</v>
      </c>
      <c r="F103" s="270">
        <v>744</v>
      </c>
      <c r="G103" s="270">
        <v>0.55913978494623651</v>
      </c>
      <c r="H103" s="328">
        <v>0.44086021505376344</v>
      </c>
      <c r="J103" s="343"/>
      <c r="M103" s="348"/>
    </row>
    <row r="104" spans="2:13">
      <c r="B104" s="326" t="s">
        <v>447</v>
      </c>
      <c r="C104" s="327">
        <v>44927</v>
      </c>
      <c r="D104" s="270">
        <v>400</v>
      </c>
      <c r="E104" s="270">
        <v>344</v>
      </c>
      <c r="F104" s="270">
        <v>744</v>
      </c>
      <c r="G104" s="270">
        <v>0.5376344086021505</v>
      </c>
      <c r="H104" s="328">
        <v>0.46236559139784944</v>
      </c>
      <c r="J104" s="343"/>
      <c r="M104" s="348"/>
    </row>
    <row r="105" spans="2:13">
      <c r="B105" s="326" t="s">
        <v>448</v>
      </c>
      <c r="C105" s="327">
        <v>44958</v>
      </c>
      <c r="D105" s="270">
        <v>384</v>
      </c>
      <c r="E105" s="270">
        <v>288</v>
      </c>
      <c r="F105" s="270">
        <v>672</v>
      </c>
      <c r="G105" s="270">
        <v>0.5714285714285714</v>
      </c>
      <c r="H105" s="328">
        <v>0.42857142857142855</v>
      </c>
      <c r="J105" s="343"/>
      <c r="M105" s="348"/>
    </row>
    <row r="106" spans="2:13">
      <c r="B106" s="326" t="s">
        <v>449</v>
      </c>
      <c r="C106" s="327">
        <v>44986</v>
      </c>
      <c r="D106" s="270">
        <v>432</v>
      </c>
      <c r="E106" s="270">
        <v>311</v>
      </c>
      <c r="F106" s="270">
        <v>743</v>
      </c>
      <c r="G106" s="270">
        <v>0.58142664872139971</v>
      </c>
      <c r="H106" s="328">
        <v>0.41857335127860029</v>
      </c>
      <c r="J106" s="343"/>
      <c r="M106" s="348"/>
    </row>
    <row r="107" spans="2:13">
      <c r="B107" s="326" t="s">
        <v>450</v>
      </c>
      <c r="C107" s="327">
        <v>45017</v>
      </c>
      <c r="D107" s="270">
        <v>400</v>
      </c>
      <c r="E107" s="270">
        <v>320</v>
      </c>
      <c r="F107" s="270">
        <v>720</v>
      </c>
      <c r="G107" s="270">
        <v>0.55555555555555558</v>
      </c>
      <c r="H107" s="328">
        <v>0.44444444444444442</v>
      </c>
      <c r="J107" s="343"/>
      <c r="M107" s="348"/>
    </row>
    <row r="108" spans="2:13">
      <c r="B108" s="326" t="s">
        <v>451</v>
      </c>
      <c r="C108" s="327">
        <v>45047</v>
      </c>
      <c r="D108" s="270">
        <v>416</v>
      </c>
      <c r="E108" s="270">
        <v>328</v>
      </c>
      <c r="F108" s="270">
        <v>744</v>
      </c>
      <c r="G108" s="270">
        <v>0.55913978494623651</v>
      </c>
      <c r="H108" s="328">
        <v>0.44086021505376344</v>
      </c>
      <c r="J108" s="343"/>
      <c r="M108" s="348"/>
    </row>
    <row r="109" spans="2:13">
      <c r="B109" s="326" t="s">
        <v>452</v>
      </c>
      <c r="C109" s="327">
        <v>45078</v>
      </c>
      <c r="D109" s="270">
        <v>416</v>
      </c>
      <c r="E109" s="270">
        <v>304</v>
      </c>
      <c r="F109" s="270">
        <v>720</v>
      </c>
      <c r="G109" s="270">
        <v>0.57777777777777772</v>
      </c>
      <c r="H109" s="328">
        <v>0.42222222222222222</v>
      </c>
      <c r="J109" s="343"/>
      <c r="M109" s="348"/>
    </row>
    <row r="110" spans="2:13">
      <c r="B110" s="326" t="s">
        <v>453</v>
      </c>
      <c r="C110" s="327">
        <v>45108</v>
      </c>
      <c r="D110" s="270">
        <v>400</v>
      </c>
      <c r="E110" s="270">
        <v>344</v>
      </c>
      <c r="F110" s="270">
        <v>744</v>
      </c>
      <c r="G110" s="270">
        <v>0.5376344086021505</v>
      </c>
      <c r="H110" s="328">
        <v>0.46236559139784944</v>
      </c>
      <c r="J110" s="343"/>
      <c r="M110" s="348"/>
    </row>
    <row r="111" spans="2:13">
      <c r="B111" s="326" t="s">
        <v>454</v>
      </c>
      <c r="C111" s="327">
        <v>45139</v>
      </c>
      <c r="D111" s="270">
        <v>432</v>
      </c>
      <c r="E111" s="270">
        <v>312</v>
      </c>
      <c r="F111" s="270">
        <v>744</v>
      </c>
      <c r="G111" s="270">
        <v>0.58064516129032262</v>
      </c>
      <c r="H111" s="328">
        <v>0.41935483870967744</v>
      </c>
      <c r="J111" s="343"/>
      <c r="M111" s="348"/>
    </row>
    <row r="112" spans="2:13">
      <c r="B112" s="326" t="s">
        <v>455</v>
      </c>
      <c r="C112" s="327">
        <v>45170</v>
      </c>
      <c r="D112" s="270">
        <v>400</v>
      </c>
      <c r="E112" s="270">
        <v>320</v>
      </c>
      <c r="F112" s="270">
        <v>720</v>
      </c>
      <c r="G112" s="270">
        <v>0.55555555555555558</v>
      </c>
      <c r="H112" s="328">
        <v>0.44444444444444442</v>
      </c>
      <c r="J112" s="343"/>
      <c r="M112" s="348"/>
    </row>
    <row r="113" spans="2:13">
      <c r="B113" s="326" t="s">
        <v>456</v>
      </c>
      <c r="C113" s="327">
        <v>45200</v>
      </c>
      <c r="D113" s="270">
        <v>416</v>
      </c>
      <c r="E113" s="270">
        <v>328</v>
      </c>
      <c r="F113" s="270">
        <v>744</v>
      </c>
      <c r="G113" s="270">
        <v>0.55913978494623651</v>
      </c>
      <c r="H113" s="328">
        <v>0.44086021505376344</v>
      </c>
      <c r="J113" s="343"/>
      <c r="M113" s="348"/>
    </row>
    <row r="114" spans="2:13">
      <c r="B114" s="326" t="s">
        <v>457</v>
      </c>
      <c r="C114" s="327">
        <v>45231</v>
      </c>
      <c r="D114" s="270">
        <v>400</v>
      </c>
      <c r="E114" s="270">
        <v>321</v>
      </c>
      <c r="F114" s="270">
        <v>721</v>
      </c>
      <c r="G114" s="270">
        <v>0.55478502080443826</v>
      </c>
      <c r="H114" s="328">
        <v>0.44521497919556174</v>
      </c>
      <c r="J114" s="343"/>
      <c r="M114" s="348"/>
    </row>
    <row r="115" spans="2:13">
      <c r="B115" s="326" t="s">
        <v>458</v>
      </c>
      <c r="C115" s="327">
        <v>45261</v>
      </c>
      <c r="D115" s="270">
        <v>400</v>
      </c>
      <c r="E115" s="270">
        <v>344</v>
      </c>
      <c r="F115" s="270">
        <v>744</v>
      </c>
      <c r="G115" s="270">
        <v>0.5376344086021505</v>
      </c>
      <c r="H115" s="328">
        <v>0.46236559139784944</v>
      </c>
      <c r="J115" s="343"/>
      <c r="M115" s="348"/>
    </row>
    <row r="116" spans="2:13">
      <c r="B116" s="326" t="s">
        <v>459</v>
      </c>
      <c r="C116" s="327">
        <v>45292</v>
      </c>
      <c r="D116" s="270">
        <v>416</v>
      </c>
      <c r="E116" s="270">
        <v>328</v>
      </c>
      <c r="F116" s="270">
        <v>744</v>
      </c>
      <c r="G116" s="270">
        <v>0.55913978494623651</v>
      </c>
      <c r="H116" s="328">
        <v>0.44086021505376344</v>
      </c>
      <c r="J116" s="343"/>
      <c r="M116" s="348"/>
    </row>
    <row r="117" spans="2:13">
      <c r="B117" s="326" t="s">
        <v>460</v>
      </c>
      <c r="C117" s="327">
        <v>45323</v>
      </c>
      <c r="D117" s="270">
        <v>400</v>
      </c>
      <c r="E117" s="270">
        <v>296</v>
      </c>
      <c r="F117" s="270">
        <v>696</v>
      </c>
      <c r="G117" s="270">
        <v>0.57471264367816088</v>
      </c>
      <c r="H117" s="328">
        <v>0.42528735632183906</v>
      </c>
      <c r="J117" s="343"/>
      <c r="M117" s="348"/>
    </row>
    <row r="118" spans="2:13">
      <c r="B118" s="326" t="s">
        <v>461</v>
      </c>
      <c r="C118" s="327">
        <v>45352</v>
      </c>
      <c r="D118" s="270">
        <v>416</v>
      </c>
      <c r="E118" s="270">
        <v>327</v>
      </c>
      <c r="F118" s="270">
        <v>743</v>
      </c>
      <c r="G118" s="270">
        <v>0.55989232839838488</v>
      </c>
      <c r="H118" s="328">
        <v>0.44010767160161507</v>
      </c>
      <c r="J118" s="343"/>
      <c r="M118" s="348"/>
    </row>
    <row r="119" spans="2:13">
      <c r="B119" s="326" t="s">
        <v>462</v>
      </c>
      <c r="C119" s="327">
        <v>45383</v>
      </c>
      <c r="D119" s="270">
        <v>416</v>
      </c>
      <c r="E119" s="270">
        <v>304</v>
      </c>
      <c r="F119" s="270">
        <v>720</v>
      </c>
      <c r="G119" s="270">
        <v>0.57777777777777772</v>
      </c>
      <c r="H119" s="328">
        <v>0.42222222222222222</v>
      </c>
      <c r="J119" s="343"/>
      <c r="M119" s="348"/>
    </row>
    <row r="120" spans="2:13">
      <c r="B120" s="326" t="s">
        <v>463</v>
      </c>
      <c r="C120" s="327">
        <v>45413</v>
      </c>
      <c r="D120" s="270">
        <v>416</v>
      </c>
      <c r="E120" s="270">
        <v>328</v>
      </c>
      <c r="F120" s="270">
        <v>744</v>
      </c>
      <c r="G120" s="270">
        <v>0.55913978494623651</v>
      </c>
      <c r="H120" s="328">
        <v>0.44086021505376344</v>
      </c>
      <c r="J120" s="343"/>
      <c r="M120" s="348"/>
    </row>
    <row r="121" spans="2:13">
      <c r="B121" s="326" t="s">
        <v>464</v>
      </c>
      <c r="C121" s="327">
        <v>45444</v>
      </c>
      <c r="D121" s="270">
        <v>400</v>
      </c>
      <c r="E121" s="270">
        <v>320</v>
      </c>
      <c r="F121" s="270">
        <v>720</v>
      </c>
      <c r="G121" s="270">
        <v>0.55555555555555558</v>
      </c>
      <c r="H121" s="328">
        <v>0.44444444444444442</v>
      </c>
      <c r="J121" s="343"/>
      <c r="M121" s="348"/>
    </row>
    <row r="122" spans="2:13">
      <c r="B122" s="326" t="s">
        <v>465</v>
      </c>
      <c r="C122" s="327">
        <v>45474</v>
      </c>
      <c r="D122" s="270">
        <v>416</v>
      </c>
      <c r="E122" s="270">
        <v>328</v>
      </c>
      <c r="F122" s="270">
        <v>744</v>
      </c>
      <c r="G122" s="270">
        <v>0.55913978494623651</v>
      </c>
      <c r="H122" s="328">
        <v>0.44086021505376344</v>
      </c>
      <c r="J122" s="343"/>
      <c r="M122" s="348"/>
    </row>
    <row r="123" spans="2:13">
      <c r="B123" s="326" t="s">
        <v>466</v>
      </c>
      <c r="C123" s="327">
        <v>45505</v>
      </c>
      <c r="D123" s="270">
        <v>432</v>
      </c>
      <c r="E123" s="270">
        <v>312</v>
      </c>
      <c r="F123" s="270">
        <v>744</v>
      </c>
      <c r="G123" s="270">
        <v>0.58064516129032262</v>
      </c>
      <c r="H123" s="328">
        <v>0.41935483870967744</v>
      </c>
      <c r="J123" s="343"/>
      <c r="M123" s="348"/>
    </row>
    <row r="124" spans="2:13">
      <c r="B124" s="326" t="s">
        <v>467</v>
      </c>
      <c r="C124" s="327">
        <v>45536</v>
      </c>
      <c r="D124" s="270">
        <v>384</v>
      </c>
      <c r="E124" s="270">
        <v>336</v>
      </c>
      <c r="F124" s="270">
        <v>720</v>
      </c>
      <c r="G124" s="270">
        <v>0.53333333333333333</v>
      </c>
      <c r="H124" s="328">
        <v>0.46666666666666667</v>
      </c>
      <c r="J124" s="343"/>
      <c r="M124" s="348"/>
    </row>
    <row r="125" spans="2:13">
      <c r="B125" s="326" t="s">
        <v>468</v>
      </c>
      <c r="C125" s="327">
        <v>45566</v>
      </c>
      <c r="D125" s="270">
        <v>432</v>
      </c>
      <c r="E125" s="270">
        <v>312</v>
      </c>
      <c r="F125" s="270">
        <v>744</v>
      </c>
      <c r="G125" s="270">
        <v>0.58064516129032262</v>
      </c>
      <c r="H125" s="328">
        <v>0.41935483870967744</v>
      </c>
      <c r="J125" s="343"/>
      <c r="M125" s="348"/>
    </row>
    <row r="126" spans="2:13">
      <c r="B126" s="326" t="s">
        <v>469</v>
      </c>
      <c r="C126" s="327">
        <v>45597</v>
      </c>
      <c r="D126" s="270">
        <v>400</v>
      </c>
      <c r="E126" s="270">
        <v>321</v>
      </c>
      <c r="F126" s="270">
        <v>721</v>
      </c>
      <c r="G126" s="270">
        <v>0.55478502080443826</v>
      </c>
      <c r="H126" s="328">
        <v>0.44521497919556174</v>
      </c>
      <c r="J126" s="343"/>
      <c r="M126" s="348"/>
    </row>
    <row r="127" spans="2:13">
      <c r="B127" s="326" t="s">
        <v>470</v>
      </c>
      <c r="C127" s="327">
        <v>45627</v>
      </c>
      <c r="D127" s="270">
        <v>400</v>
      </c>
      <c r="E127" s="270">
        <v>344</v>
      </c>
      <c r="F127" s="270">
        <v>744</v>
      </c>
      <c r="G127" s="270">
        <v>0.5376344086021505</v>
      </c>
      <c r="H127" s="328">
        <v>0.46236559139784944</v>
      </c>
      <c r="J127" s="343"/>
      <c r="M127" s="348"/>
    </row>
    <row r="128" spans="2:13">
      <c r="B128" s="326" t="s">
        <v>471</v>
      </c>
      <c r="C128" s="327">
        <v>45658</v>
      </c>
      <c r="D128" s="270">
        <v>416</v>
      </c>
      <c r="E128" s="270">
        <v>328</v>
      </c>
      <c r="F128" s="270">
        <v>744</v>
      </c>
      <c r="G128" s="270">
        <v>0.55913978494623651</v>
      </c>
      <c r="H128" s="328">
        <v>0.44086021505376344</v>
      </c>
      <c r="J128" s="343"/>
      <c r="M128" s="348"/>
    </row>
    <row r="129" spans="2:13">
      <c r="B129" s="326" t="s">
        <v>472</v>
      </c>
      <c r="C129" s="327">
        <v>45689</v>
      </c>
      <c r="D129" s="270">
        <v>384</v>
      </c>
      <c r="E129" s="270">
        <v>288</v>
      </c>
      <c r="F129" s="270">
        <v>672</v>
      </c>
      <c r="G129" s="270">
        <v>0.5714285714285714</v>
      </c>
      <c r="H129" s="328">
        <v>0.42857142857142855</v>
      </c>
      <c r="J129" s="343"/>
      <c r="M129" s="348"/>
    </row>
    <row r="130" spans="2:13">
      <c r="B130" s="326" t="s">
        <v>473</v>
      </c>
      <c r="C130" s="327">
        <v>45717</v>
      </c>
      <c r="D130" s="270">
        <v>416</v>
      </c>
      <c r="E130" s="270">
        <v>327</v>
      </c>
      <c r="F130" s="270">
        <v>743</v>
      </c>
      <c r="G130" s="270">
        <v>0.55989232839838488</v>
      </c>
      <c r="H130" s="328">
        <v>0.44010767160161507</v>
      </c>
      <c r="J130" s="343"/>
      <c r="M130" s="348"/>
    </row>
    <row r="131" spans="2:13">
      <c r="B131" s="326" t="s">
        <v>474</v>
      </c>
      <c r="C131" s="327">
        <v>45748</v>
      </c>
      <c r="D131" s="270">
        <v>416</v>
      </c>
      <c r="E131" s="270">
        <v>304</v>
      </c>
      <c r="F131" s="270">
        <v>720</v>
      </c>
      <c r="G131" s="270">
        <v>0.57777777777777772</v>
      </c>
      <c r="H131" s="328">
        <v>0.42222222222222222</v>
      </c>
      <c r="J131" s="343"/>
      <c r="M131" s="348"/>
    </row>
    <row r="132" spans="2:13">
      <c r="B132" s="326" t="s">
        <v>475</v>
      </c>
      <c r="C132" s="327">
        <v>45778</v>
      </c>
      <c r="D132" s="270">
        <v>416</v>
      </c>
      <c r="E132" s="270">
        <v>328</v>
      </c>
      <c r="F132" s="270">
        <v>744</v>
      </c>
      <c r="G132" s="270">
        <v>0.55913978494623651</v>
      </c>
      <c r="H132" s="328">
        <v>0.44086021505376344</v>
      </c>
      <c r="J132" s="343"/>
      <c r="M132" s="348"/>
    </row>
    <row r="133" spans="2:13">
      <c r="B133" s="326" t="s">
        <v>476</v>
      </c>
      <c r="C133" s="327">
        <v>45809</v>
      </c>
      <c r="D133" s="270">
        <v>400</v>
      </c>
      <c r="E133" s="270">
        <v>320</v>
      </c>
      <c r="F133" s="270">
        <v>720</v>
      </c>
      <c r="G133" s="270">
        <v>0.55555555555555558</v>
      </c>
      <c r="H133" s="328">
        <v>0.44444444444444442</v>
      </c>
      <c r="J133" s="343"/>
      <c r="M133" s="348"/>
    </row>
    <row r="134" spans="2:13">
      <c r="B134" s="326" t="s">
        <v>477</v>
      </c>
      <c r="C134" s="327">
        <v>45839</v>
      </c>
      <c r="D134" s="270">
        <v>416</v>
      </c>
      <c r="E134" s="270">
        <v>328</v>
      </c>
      <c r="F134" s="270">
        <v>744</v>
      </c>
      <c r="G134" s="270">
        <v>0.55913978494623651</v>
      </c>
      <c r="H134" s="328">
        <v>0.44086021505376344</v>
      </c>
      <c r="J134" s="343"/>
      <c r="M134" s="348"/>
    </row>
    <row r="135" spans="2:13">
      <c r="B135" s="326" t="s">
        <v>478</v>
      </c>
      <c r="C135" s="327">
        <v>45870</v>
      </c>
      <c r="D135" s="270">
        <v>416</v>
      </c>
      <c r="E135" s="270">
        <v>328</v>
      </c>
      <c r="F135" s="270">
        <v>744</v>
      </c>
      <c r="G135" s="270">
        <v>0.55913978494623651</v>
      </c>
      <c r="H135" s="328">
        <v>0.44086021505376344</v>
      </c>
      <c r="J135" s="343"/>
      <c r="M135" s="348"/>
    </row>
    <row r="136" spans="2:13">
      <c r="B136" s="326" t="s">
        <v>479</v>
      </c>
      <c r="C136" s="327">
        <v>45901</v>
      </c>
      <c r="D136" s="270">
        <v>400</v>
      </c>
      <c r="E136" s="270">
        <v>320</v>
      </c>
      <c r="F136" s="270">
        <v>720</v>
      </c>
      <c r="G136" s="270">
        <v>0.55555555555555558</v>
      </c>
      <c r="H136" s="328">
        <v>0.44444444444444442</v>
      </c>
      <c r="J136" s="343"/>
      <c r="M136" s="348"/>
    </row>
    <row r="137" spans="2:13">
      <c r="B137" s="326" t="s">
        <v>480</v>
      </c>
      <c r="C137" s="327">
        <v>45931</v>
      </c>
      <c r="D137" s="270">
        <v>432</v>
      </c>
      <c r="E137" s="270">
        <v>312</v>
      </c>
      <c r="F137" s="270">
        <v>744</v>
      </c>
      <c r="G137" s="270">
        <v>0.58064516129032262</v>
      </c>
      <c r="H137" s="328">
        <v>0.41935483870967744</v>
      </c>
      <c r="J137" s="343"/>
      <c r="M137" s="348"/>
    </row>
    <row r="138" spans="2:13">
      <c r="B138" s="326" t="s">
        <v>481</v>
      </c>
      <c r="C138" s="327">
        <v>45962</v>
      </c>
      <c r="D138" s="270">
        <v>384</v>
      </c>
      <c r="E138" s="270">
        <v>337</v>
      </c>
      <c r="F138" s="270">
        <v>721</v>
      </c>
      <c r="G138" s="270">
        <v>0.53259361997226073</v>
      </c>
      <c r="H138" s="328">
        <v>0.46740638002773927</v>
      </c>
      <c r="J138" s="343"/>
      <c r="M138" s="348"/>
    </row>
    <row r="139" spans="2:13">
      <c r="B139" s="326" t="s">
        <v>482</v>
      </c>
      <c r="C139" s="327">
        <v>45992</v>
      </c>
      <c r="D139" s="270">
        <v>416</v>
      </c>
      <c r="E139" s="270">
        <v>328</v>
      </c>
      <c r="F139" s="270">
        <v>744</v>
      </c>
      <c r="G139" s="270">
        <v>0.55913978494623651</v>
      </c>
      <c r="H139" s="328">
        <v>0.44086021505376344</v>
      </c>
      <c r="J139" s="343"/>
      <c r="M139" s="348"/>
    </row>
    <row r="140" spans="2:13">
      <c r="B140" s="326" t="s">
        <v>483</v>
      </c>
      <c r="C140" s="327">
        <v>46023</v>
      </c>
      <c r="D140" s="270">
        <v>416</v>
      </c>
      <c r="E140" s="270">
        <v>328</v>
      </c>
      <c r="F140" s="270">
        <v>744</v>
      </c>
      <c r="G140" s="270">
        <v>0.55913978494623651</v>
      </c>
      <c r="H140" s="328">
        <v>0.44086021505376344</v>
      </c>
      <c r="J140" s="343"/>
      <c r="M140" s="348"/>
    </row>
    <row r="141" spans="2:13">
      <c r="B141" s="326" t="s">
        <v>484</v>
      </c>
      <c r="C141" s="327">
        <v>46054</v>
      </c>
      <c r="D141" s="270">
        <v>384</v>
      </c>
      <c r="E141" s="270">
        <v>288</v>
      </c>
      <c r="F141" s="270">
        <v>672</v>
      </c>
      <c r="G141" s="270">
        <v>0.5714285714285714</v>
      </c>
      <c r="H141" s="328">
        <v>0.42857142857142855</v>
      </c>
      <c r="J141" s="343"/>
      <c r="M141" s="348"/>
    </row>
    <row r="142" spans="2:13">
      <c r="B142" s="326" t="s">
        <v>485</v>
      </c>
      <c r="C142" s="327">
        <v>46082</v>
      </c>
      <c r="D142" s="270">
        <v>416</v>
      </c>
      <c r="E142" s="270">
        <v>327</v>
      </c>
      <c r="F142" s="270">
        <v>743</v>
      </c>
      <c r="G142" s="270">
        <v>0.55989232839838488</v>
      </c>
      <c r="H142" s="328">
        <v>0.44010767160161507</v>
      </c>
      <c r="J142" s="343"/>
      <c r="M142" s="348"/>
    </row>
    <row r="143" spans="2:13">
      <c r="B143" s="326" t="s">
        <v>486</v>
      </c>
      <c r="C143" s="327">
        <v>46113</v>
      </c>
      <c r="D143" s="270">
        <v>416</v>
      </c>
      <c r="E143" s="270">
        <v>304</v>
      </c>
      <c r="F143" s="270">
        <v>720</v>
      </c>
      <c r="G143" s="270">
        <v>0.57777777777777772</v>
      </c>
      <c r="H143" s="328">
        <v>0.42222222222222222</v>
      </c>
      <c r="J143" s="343"/>
      <c r="M143" s="348"/>
    </row>
    <row r="144" spans="2:13">
      <c r="B144" s="326" t="s">
        <v>487</v>
      </c>
      <c r="C144" s="327">
        <v>46143</v>
      </c>
      <c r="D144" s="270">
        <v>400</v>
      </c>
      <c r="E144" s="270">
        <v>344</v>
      </c>
      <c r="F144" s="270">
        <v>744</v>
      </c>
      <c r="G144" s="270">
        <v>0.5376344086021505</v>
      </c>
      <c r="H144" s="328">
        <v>0.46236559139784944</v>
      </c>
      <c r="J144" s="343"/>
      <c r="M144" s="348"/>
    </row>
    <row r="145" spans="2:13">
      <c r="B145" s="326" t="s">
        <v>488</v>
      </c>
      <c r="C145" s="327">
        <v>46174</v>
      </c>
      <c r="D145" s="270">
        <v>416</v>
      </c>
      <c r="E145" s="270">
        <v>304</v>
      </c>
      <c r="F145" s="270">
        <v>720</v>
      </c>
      <c r="G145" s="270">
        <v>0.57777777777777772</v>
      </c>
      <c r="H145" s="328">
        <v>0.42222222222222222</v>
      </c>
      <c r="J145" s="343"/>
      <c r="M145" s="348"/>
    </row>
    <row r="146" spans="2:13">
      <c r="B146" s="326" t="s">
        <v>489</v>
      </c>
      <c r="C146" s="327">
        <v>46204</v>
      </c>
      <c r="D146" s="270">
        <v>416</v>
      </c>
      <c r="E146" s="270">
        <v>328</v>
      </c>
      <c r="F146" s="270">
        <v>744</v>
      </c>
      <c r="G146" s="270">
        <v>0.55913978494623651</v>
      </c>
      <c r="H146" s="328">
        <v>0.44086021505376344</v>
      </c>
      <c r="J146" s="343"/>
      <c r="M146" s="348"/>
    </row>
    <row r="147" spans="2:13">
      <c r="B147" s="326" t="s">
        <v>490</v>
      </c>
      <c r="C147" s="327">
        <v>46235</v>
      </c>
      <c r="D147" s="270">
        <v>416</v>
      </c>
      <c r="E147" s="270">
        <v>328</v>
      </c>
      <c r="F147" s="270">
        <v>744</v>
      </c>
      <c r="G147" s="270">
        <v>0.55913978494623651</v>
      </c>
      <c r="H147" s="328">
        <v>0.44086021505376344</v>
      </c>
      <c r="J147" s="343"/>
      <c r="M147" s="348"/>
    </row>
    <row r="148" spans="2:13">
      <c r="B148" s="326" t="s">
        <v>491</v>
      </c>
      <c r="C148" s="327">
        <v>46266</v>
      </c>
      <c r="D148" s="270">
        <v>400</v>
      </c>
      <c r="E148" s="270">
        <v>320</v>
      </c>
      <c r="F148" s="270">
        <v>720</v>
      </c>
      <c r="G148" s="270">
        <v>0.55555555555555558</v>
      </c>
      <c r="H148" s="328">
        <v>0.44444444444444442</v>
      </c>
      <c r="J148" s="343"/>
      <c r="M148" s="348"/>
    </row>
    <row r="149" spans="2:13">
      <c r="B149" s="326" t="s">
        <v>492</v>
      </c>
      <c r="C149" s="327">
        <v>46296</v>
      </c>
      <c r="D149" s="270">
        <v>432</v>
      </c>
      <c r="E149" s="270">
        <v>312</v>
      </c>
      <c r="F149" s="270">
        <v>744</v>
      </c>
      <c r="G149" s="270">
        <v>0.58064516129032262</v>
      </c>
      <c r="H149" s="328">
        <v>0.41935483870967744</v>
      </c>
      <c r="J149" s="343"/>
      <c r="M149" s="348"/>
    </row>
    <row r="150" spans="2:13">
      <c r="B150" s="326" t="s">
        <v>493</v>
      </c>
      <c r="C150" s="327">
        <v>46327</v>
      </c>
      <c r="D150" s="270">
        <v>384</v>
      </c>
      <c r="E150" s="270">
        <v>337</v>
      </c>
      <c r="F150" s="270">
        <v>721</v>
      </c>
      <c r="G150" s="270">
        <v>0.53259361997226073</v>
      </c>
      <c r="H150" s="328">
        <v>0.46740638002773927</v>
      </c>
      <c r="J150" s="343"/>
      <c r="M150" s="348"/>
    </row>
    <row r="151" spans="2:13">
      <c r="B151" s="326" t="s">
        <v>494</v>
      </c>
      <c r="C151" s="327">
        <v>46357</v>
      </c>
      <c r="D151" s="270">
        <v>416</v>
      </c>
      <c r="E151" s="270">
        <v>328</v>
      </c>
      <c r="F151" s="270">
        <v>744</v>
      </c>
      <c r="G151" s="270">
        <v>0.55913978494623651</v>
      </c>
      <c r="H151" s="328">
        <v>0.44086021505376344</v>
      </c>
      <c r="J151" s="343"/>
      <c r="M151" s="348"/>
    </row>
    <row r="152" spans="2:13">
      <c r="B152" s="326" t="s">
        <v>495</v>
      </c>
      <c r="C152" s="327">
        <v>46388</v>
      </c>
      <c r="D152" s="270">
        <v>400</v>
      </c>
      <c r="E152" s="270">
        <v>344</v>
      </c>
      <c r="F152" s="270">
        <v>744</v>
      </c>
      <c r="G152" s="270">
        <v>0.5376344086021505</v>
      </c>
      <c r="H152" s="328">
        <v>0.46236559139784944</v>
      </c>
      <c r="J152" s="343"/>
      <c r="M152" s="348"/>
    </row>
    <row r="153" spans="2:13">
      <c r="B153" s="326" t="s">
        <v>496</v>
      </c>
      <c r="C153" s="327">
        <v>46419</v>
      </c>
      <c r="D153" s="270">
        <v>384</v>
      </c>
      <c r="E153" s="270">
        <v>288</v>
      </c>
      <c r="F153" s="270">
        <v>672</v>
      </c>
      <c r="G153" s="270">
        <v>0.5714285714285714</v>
      </c>
      <c r="H153" s="328">
        <v>0.42857142857142855</v>
      </c>
      <c r="J153" s="343"/>
      <c r="M153" s="348"/>
    </row>
    <row r="154" spans="2:13">
      <c r="B154" s="326" t="s">
        <v>497</v>
      </c>
      <c r="C154" s="327">
        <v>46447</v>
      </c>
      <c r="D154" s="270">
        <v>432</v>
      </c>
      <c r="E154" s="270">
        <v>311</v>
      </c>
      <c r="F154" s="270">
        <v>743</v>
      </c>
      <c r="G154" s="270">
        <v>0.58142664872139971</v>
      </c>
      <c r="H154" s="328">
        <v>0.41857335127860029</v>
      </c>
      <c r="J154" s="343"/>
      <c r="M154" s="348"/>
    </row>
    <row r="155" spans="2:13">
      <c r="B155" s="326" t="s">
        <v>498</v>
      </c>
      <c r="C155" s="327">
        <v>46478</v>
      </c>
      <c r="D155" s="270">
        <v>416</v>
      </c>
      <c r="E155" s="270">
        <v>304</v>
      </c>
      <c r="F155" s="270">
        <v>720</v>
      </c>
      <c r="G155" s="270">
        <v>0.57777777777777772</v>
      </c>
      <c r="H155" s="328">
        <v>0.42222222222222222</v>
      </c>
      <c r="J155" s="343"/>
      <c r="M155" s="348"/>
    </row>
    <row r="156" spans="2:13">
      <c r="B156" s="326" t="s">
        <v>499</v>
      </c>
      <c r="C156" s="327">
        <v>46508</v>
      </c>
      <c r="D156" s="270">
        <v>400</v>
      </c>
      <c r="E156" s="270">
        <v>344</v>
      </c>
      <c r="F156" s="270">
        <v>744</v>
      </c>
      <c r="G156" s="270">
        <v>0.5376344086021505</v>
      </c>
      <c r="H156" s="328">
        <v>0.46236559139784944</v>
      </c>
      <c r="J156" s="343"/>
      <c r="M156" s="348"/>
    </row>
    <row r="157" spans="2:13">
      <c r="B157" s="326" t="s">
        <v>500</v>
      </c>
      <c r="C157" s="327">
        <v>46539</v>
      </c>
      <c r="D157" s="270">
        <v>416</v>
      </c>
      <c r="E157" s="270">
        <v>304</v>
      </c>
      <c r="F157" s="270">
        <v>720</v>
      </c>
      <c r="G157" s="270">
        <v>0.57777777777777772</v>
      </c>
      <c r="H157" s="328">
        <v>0.42222222222222222</v>
      </c>
      <c r="J157" s="343"/>
      <c r="M157" s="348"/>
    </row>
    <row r="158" spans="2:13">
      <c r="B158" s="326" t="s">
        <v>501</v>
      </c>
      <c r="C158" s="327">
        <v>46569</v>
      </c>
      <c r="D158" s="270">
        <v>416</v>
      </c>
      <c r="E158" s="270">
        <v>328</v>
      </c>
      <c r="F158" s="270">
        <v>744</v>
      </c>
      <c r="G158" s="270">
        <v>0.55913978494623651</v>
      </c>
      <c r="H158" s="328">
        <v>0.44086021505376344</v>
      </c>
      <c r="J158" s="343"/>
      <c r="M158" s="348"/>
    </row>
    <row r="159" spans="2:13">
      <c r="B159" s="326" t="s">
        <v>502</v>
      </c>
      <c r="C159" s="327">
        <v>46600</v>
      </c>
      <c r="D159" s="270">
        <v>416</v>
      </c>
      <c r="E159" s="270">
        <v>328</v>
      </c>
      <c r="F159" s="270">
        <v>744</v>
      </c>
      <c r="G159" s="270">
        <v>0.55913978494623651</v>
      </c>
      <c r="H159" s="328">
        <v>0.44086021505376344</v>
      </c>
      <c r="J159" s="343"/>
      <c r="M159" s="348"/>
    </row>
    <row r="160" spans="2:13">
      <c r="B160" s="326" t="s">
        <v>503</v>
      </c>
      <c r="C160" s="327">
        <v>46631</v>
      </c>
      <c r="D160" s="270">
        <v>400</v>
      </c>
      <c r="E160" s="270">
        <v>320</v>
      </c>
      <c r="F160" s="270">
        <v>720</v>
      </c>
      <c r="G160" s="270">
        <v>0.55555555555555558</v>
      </c>
      <c r="H160" s="328">
        <v>0.44444444444444442</v>
      </c>
      <c r="J160" s="343"/>
      <c r="M160" s="348"/>
    </row>
    <row r="161" spans="2:13">
      <c r="B161" s="326" t="s">
        <v>504</v>
      </c>
      <c r="C161" s="327">
        <v>46661</v>
      </c>
      <c r="D161" s="270">
        <v>416</v>
      </c>
      <c r="E161" s="270">
        <v>328</v>
      </c>
      <c r="F161" s="270">
        <v>744</v>
      </c>
      <c r="G161" s="270">
        <v>0.55913978494623651</v>
      </c>
      <c r="H161" s="328">
        <v>0.44086021505376344</v>
      </c>
      <c r="J161" s="343"/>
      <c r="M161" s="348"/>
    </row>
    <row r="162" spans="2:13">
      <c r="B162" s="326" t="s">
        <v>505</v>
      </c>
      <c r="C162" s="327">
        <v>46692</v>
      </c>
      <c r="D162" s="270">
        <v>400</v>
      </c>
      <c r="E162" s="270">
        <v>321</v>
      </c>
      <c r="F162" s="270">
        <v>721</v>
      </c>
      <c r="G162" s="270">
        <v>0.55478502080443826</v>
      </c>
      <c r="H162" s="328">
        <v>0.44521497919556174</v>
      </c>
      <c r="J162" s="343"/>
      <c r="M162" s="348"/>
    </row>
    <row r="163" spans="2:13">
      <c r="B163" s="326" t="s">
        <v>506</v>
      </c>
      <c r="C163" s="327">
        <v>46722</v>
      </c>
      <c r="D163" s="270">
        <v>416</v>
      </c>
      <c r="E163" s="270">
        <v>328</v>
      </c>
      <c r="F163" s="270">
        <v>744</v>
      </c>
      <c r="G163" s="270">
        <v>0.55913978494623651</v>
      </c>
      <c r="H163" s="328">
        <v>0.44086021505376344</v>
      </c>
      <c r="J163" s="343"/>
      <c r="M163" s="348"/>
    </row>
    <row r="164" spans="2:13">
      <c r="B164" s="326" t="s">
        <v>507</v>
      </c>
      <c r="C164" s="327">
        <v>46753</v>
      </c>
      <c r="D164" s="270">
        <v>400</v>
      </c>
      <c r="E164" s="270">
        <v>344</v>
      </c>
      <c r="F164" s="270">
        <v>744</v>
      </c>
      <c r="G164" s="270">
        <v>0.5376344086021505</v>
      </c>
      <c r="H164" s="328">
        <v>0.46236559139784944</v>
      </c>
      <c r="J164" s="343"/>
      <c r="M164" s="348"/>
    </row>
    <row r="165" spans="2:13">
      <c r="B165" s="326" t="s">
        <v>508</v>
      </c>
      <c r="C165" s="327">
        <v>46784</v>
      </c>
      <c r="D165" s="270">
        <v>400</v>
      </c>
      <c r="E165" s="270">
        <v>296</v>
      </c>
      <c r="F165" s="270">
        <v>696</v>
      </c>
      <c r="G165" s="270">
        <v>0.57471264367816088</v>
      </c>
      <c r="H165" s="328">
        <v>0.42528735632183906</v>
      </c>
      <c r="J165" s="343"/>
      <c r="M165" s="348"/>
    </row>
    <row r="166" spans="2:13">
      <c r="B166" s="326" t="s">
        <v>509</v>
      </c>
      <c r="C166" s="327">
        <v>46813</v>
      </c>
      <c r="D166" s="270">
        <v>432</v>
      </c>
      <c r="E166" s="270">
        <v>311</v>
      </c>
      <c r="F166" s="270">
        <v>743</v>
      </c>
      <c r="G166" s="270">
        <v>0.58142664872139971</v>
      </c>
      <c r="H166" s="328">
        <v>0.41857335127860029</v>
      </c>
      <c r="J166" s="343"/>
      <c r="M166" s="348"/>
    </row>
    <row r="167" spans="2:13">
      <c r="B167" s="326" t="s">
        <v>510</v>
      </c>
      <c r="C167" s="327">
        <v>46844</v>
      </c>
      <c r="D167" s="270">
        <v>400</v>
      </c>
      <c r="E167" s="270">
        <v>320</v>
      </c>
      <c r="F167" s="270">
        <v>720</v>
      </c>
      <c r="G167" s="270">
        <v>0.55555555555555558</v>
      </c>
      <c r="H167" s="328">
        <v>0.44444444444444442</v>
      </c>
      <c r="J167" s="343"/>
      <c r="M167" s="348"/>
    </row>
    <row r="168" spans="2:13">
      <c r="B168" s="326" t="s">
        <v>511</v>
      </c>
      <c r="C168" s="327">
        <v>46874</v>
      </c>
      <c r="D168" s="270">
        <v>416</v>
      </c>
      <c r="E168" s="270">
        <v>328</v>
      </c>
      <c r="F168" s="270">
        <v>744</v>
      </c>
      <c r="G168" s="270">
        <v>0.55913978494623651</v>
      </c>
      <c r="H168" s="328">
        <v>0.44086021505376344</v>
      </c>
      <c r="J168" s="343"/>
      <c r="M168" s="348"/>
    </row>
    <row r="169" spans="2:13">
      <c r="B169" s="326" t="s">
        <v>512</v>
      </c>
      <c r="C169" s="327">
        <v>46905</v>
      </c>
      <c r="D169" s="270">
        <v>416</v>
      </c>
      <c r="E169" s="270">
        <v>304</v>
      </c>
      <c r="F169" s="270">
        <v>720</v>
      </c>
      <c r="G169" s="270">
        <v>0.57777777777777772</v>
      </c>
      <c r="H169" s="328">
        <v>0.42222222222222222</v>
      </c>
      <c r="J169" s="343"/>
      <c r="M169" s="348"/>
    </row>
    <row r="170" spans="2:13">
      <c r="B170" s="326" t="s">
        <v>513</v>
      </c>
      <c r="C170" s="327">
        <v>46935</v>
      </c>
      <c r="D170" s="270">
        <v>400</v>
      </c>
      <c r="E170" s="270">
        <v>344</v>
      </c>
      <c r="F170" s="270">
        <v>744</v>
      </c>
      <c r="G170" s="270">
        <v>0.5376344086021505</v>
      </c>
      <c r="H170" s="328">
        <v>0.46236559139784944</v>
      </c>
      <c r="J170" s="343"/>
      <c r="M170" s="348"/>
    </row>
    <row r="171" spans="2:13">
      <c r="B171" s="326" t="s">
        <v>514</v>
      </c>
      <c r="C171" s="327">
        <v>46966</v>
      </c>
      <c r="D171" s="270">
        <v>432</v>
      </c>
      <c r="E171" s="270">
        <v>312</v>
      </c>
      <c r="F171" s="270">
        <v>744</v>
      </c>
      <c r="G171" s="270">
        <v>0.58064516129032262</v>
      </c>
      <c r="H171" s="328">
        <v>0.41935483870967744</v>
      </c>
      <c r="J171" s="343"/>
      <c r="M171" s="348"/>
    </row>
    <row r="172" spans="2:13">
      <c r="B172" s="326" t="s">
        <v>515</v>
      </c>
      <c r="C172" s="327">
        <v>46997</v>
      </c>
      <c r="D172" s="270">
        <v>400</v>
      </c>
      <c r="E172" s="270">
        <v>320</v>
      </c>
      <c r="F172" s="270">
        <v>720</v>
      </c>
      <c r="G172" s="270">
        <v>0.55555555555555558</v>
      </c>
      <c r="H172" s="328">
        <v>0.44444444444444442</v>
      </c>
      <c r="J172" s="343"/>
      <c r="M172" s="348"/>
    </row>
    <row r="173" spans="2:13">
      <c r="B173" s="326" t="s">
        <v>516</v>
      </c>
      <c r="C173" s="327">
        <v>47027</v>
      </c>
      <c r="D173" s="270">
        <v>416</v>
      </c>
      <c r="E173" s="270">
        <v>328</v>
      </c>
      <c r="F173" s="270">
        <v>744</v>
      </c>
      <c r="G173" s="270">
        <v>0.55913978494623651</v>
      </c>
      <c r="H173" s="328">
        <v>0.44086021505376344</v>
      </c>
      <c r="J173" s="343"/>
      <c r="M173" s="348"/>
    </row>
    <row r="174" spans="2:13">
      <c r="B174" s="326" t="s">
        <v>517</v>
      </c>
      <c r="C174" s="327">
        <v>47058</v>
      </c>
      <c r="D174" s="270">
        <v>400</v>
      </c>
      <c r="E174" s="270">
        <v>321</v>
      </c>
      <c r="F174" s="270">
        <v>721</v>
      </c>
      <c r="G174" s="270">
        <v>0.55478502080443826</v>
      </c>
      <c r="H174" s="328">
        <v>0.44521497919556174</v>
      </c>
      <c r="J174" s="343"/>
      <c r="M174" s="348"/>
    </row>
    <row r="175" spans="2:13">
      <c r="B175" s="326" t="s">
        <v>518</v>
      </c>
      <c r="C175" s="327">
        <v>47088</v>
      </c>
      <c r="D175" s="270">
        <v>400</v>
      </c>
      <c r="E175" s="270">
        <v>344</v>
      </c>
      <c r="F175" s="270">
        <v>744</v>
      </c>
      <c r="G175" s="270">
        <v>0.5376344086021505</v>
      </c>
      <c r="H175" s="328">
        <v>0.46236559139784944</v>
      </c>
      <c r="J175" s="343"/>
      <c r="M175" s="348"/>
    </row>
    <row r="176" spans="2:13">
      <c r="B176" s="326" t="s">
        <v>519</v>
      </c>
      <c r="C176" s="327">
        <v>47119</v>
      </c>
      <c r="D176" s="270">
        <v>416</v>
      </c>
      <c r="E176" s="270">
        <v>328</v>
      </c>
      <c r="F176" s="270">
        <v>744</v>
      </c>
      <c r="G176" s="270">
        <v>0.55913978494623651</v>
      </c>
      <c r="H176" s="328">
        <v>0.44086021505376344</v>
      </c>
      <c r="J176" s="343"/>
      <c r="M176" s="348"/>
    </row>
    <row r="177" spans="2:13">
      <c r="B177" s="326" t="s">
        <v>520</v>
      </c>
      <c r="C177" s="327">
        <v>47150</v>
      </c>
      <c r="D177" s="270">
        <v>384</v>
      </c>
      <c r="E177" s="270">
        <v>288</v>
      </c>
      <c r="F177" s="270">
        <v>672</v>
      </c>
      <c r="G177" s="270">
        <v>0.5714285714285714</v>
      </c>
      <c r="H177" s="328">
        <v>0.42857142857142855</v>
      </c>
      <c r="J177" s="343"/>
      <c r="M177" s="348"/>
    </row>
    <row r="178" spans="2:13">
      <c r="B178" s="326" t="s">
        <v>521</v>
      </c>
      <c r="C178" s="327">
        <v>47178</v>
      </c>
      <c r="D178" s="270">
        <v>432</v>
      </c>
      <c r="E178" s="270">
        <v>311</v>
      </c>
      <c r="F178" s="270">
        <v>743</v>
      </c>
      <c r="G178" s="270">
        <v>0.58142664872139971</v>
      </c>
      <c r="H178" s="328">
        <v>0.41857335127860029</v>
      </c>
      <c r="J178" s="343"/>
      <c r="M178" s="348"/>
    </row>
    <row r="179" spans="2:13">
      <c r="B179" s="326" t="s">
        <v>522</v>
      </c>
      <c r="C179" s="327">
        <v>47209</v>
      </c>
      <c r="D179" s="270">
        <v>400</v>
      </c>
      <c r="E179" s="270">
        <v>320</v>
      </c>
      <c r="F179" s="270">
        <v>720</v>
      </c>
      <c r="G179" s="270">
        <v>0.55555555555555558</v>
      </c>
      <c r="H179" s="328">
        <v>0.44444444444444442</v>
      </c>
      <c r="J179" s="343"/>
      <c r="M179" s="348"/>
    </row>
    <row r="180" spans="2:13">
      <c r="B180" s="326" t="s">
        <v>523</v>
      </c>
      <c r="C180" s="327">
        <v>47239</v>
      </c>
      <c r="D180" s="270">
        <v>416</v>
      </c>
      <c r="E180" s="270">
        <v>328</v>
      </c>
      <c r="F180" s="270">
        <v>744</v>
      </c>
      <c r="G180" s="270">
        <v>0.55913978494623651</v>
      </c>
      <c r="H180" s="328">
        <v>0.44086021505376344</v>
      </c>
      <c r="J180" s="343"/>
      <c r="M180" s="348"/>
    </row>
    <row r="181" spans="2:13">
      <c r="B181" s="326" t="s">
        <v>524</v>
      </c>
      <c r="C181" s="327">
        <v>47270</v>
      </c>
      <c r="D181" s="270">
        <v>416</v>
      </c>
      <c r="E181" s="270">
        <v>304</v>
      </c>
      <c r="F181" s="270">
        <v>720</v>
      </c>
      <c r="G181" s="270">
        <v>0.57777777777777772</v>
      </c>
      <c r="H181" s="328">
        <v>0.42222222222222222</v>
      </c>
      <c r="J181" s="343"/>
      <c r="M181" s="348"/>
    </row>
    <row r="182" spans="2:13">
      <c r="B182" s="326" t="s">
        <v>525</v>
      </c>
      <c r="C182" s="327">
        <v>47300</v>
      </c>
      <c r="D182" s="270">
        <v>400</v>
      </c>
      <c r="E182" s="270">
        <v>344</v>
      </c>
      <c r="F182" s="270">
        <v>744</v>
      </c>
      <c r="G182" s="270">
        <v>0.5376344086021505</v>
      </c>
      <c r="H182" s="328">
        <v>0.46236559139784944</v>
      </c>
      <c r="J182" s="343"/>
      <c r="M182" s="348"/>
    </row>
    <row r="183" spans="2:13">
      <c r="B183" s="326" t="s">
        <v>526</v>
      </c>
      <c r="C183" s="327">
        <v>47331</v>
      </c>
      <c r="D183" s="270">
        <v>432</v>
      </c>
      <c r="E183" s="270">
        <v>312</v>
      </c>
      <c r="F183" s="270">
        <v>744</v>
      </c>
      <c r="G183" s="270">
        <v>0.58064516129032262</v>
      </c>
      <c r="H183" s="328">
        <v>0.41935483870967744</v>
      </c>
      <c r="J183" s="343"/>
      <c r="M183" s="348"/>
    </row>
    <row r="184" spans="2:13">
      <c r="B184" s="326" t="s">
        <v>527</v>
      </c>
      <c r="C184" s="327">
        <v>47362</v>
      </c>
      <c r="D184" s="270">
        <v>384</v>
      </c>
      <c r="E184" s="270">
        <v>336</v>
      </c>
      <c r="F184" s="270">
        <v>720</v>
      </c>
      <c r="G184" s="270">
        <v>0.53333333333333333</v>
      </c>
      <c r="H184" s="328">
        <v>0.46666666666666667</v>
      </c>
      <c r="J184" s="343"/>
      <c r="M184" s="348"/>
    </row>
    <row r="185" spans="2:13">
      <c r="B185" s="326" t="s">
        <v>528</v>
      </c>
      <c r="C185" s="327">
        <v>47392</v>
      </c>
      <c r="D185" s="270">
        <v>432</v>
      </c>
      <c r="E185" s="270">
        <v>312</v>
      </c>
      <c r="F185" s="270">
        <v>744</v>
      </c>
      <c r="G185" s="270">
        <v>0.58064516129032262</v>
      </c>
      <c r="H185" s="328">
        <v>0.41935483870967744</v>
      </c>
      <c r="J185" s="343"/>
      <c r="M185" s="348"/>
    </row>
    <row r="186" spans="2:13">
      <c r="B186" s="326" t="s">
        <v>529</v>
      </c>
      <c r="C186" s="327">
        <v>47423</v>
      </c>
      <c r="D186" s="270">
        <v>400</v>
      </c>
      <c r="E186" s="270">
        <v>321</v>
      </c>
      <c r="F186" s="270">
        <v>721</v>
      </c>
      <c r="G186" s="270">
        <v>0.55478502080443826</v>
      </c>
      <c r="H186" s="328">
        <v>0.44521497919556174</v>
      </c>
      <c r="J186" s="343"/>
      <c r="M186" s="348"/>
    </row>
    <row r="187" spans="2:13">
      <c r="B187" s="326" t="s">
        <v>530</v>
      </c>
      <c r="C187" s="327">
        <v>47453</v>
      </c>
      <c r="D187" s="270">
        <v>400</v>
      </c>
      <c r="E187" s="270">
        <v>344</v>
      </c>
      <c r="F187" s="270">
        <v>744</v>
      </c>
      <c r="G187" s="270">
        <v>0.5376344086021505</v>
      </c>
      <c r="H187" s="328">
        <v>0.46236559139784944</v>
      </c>
      <c r="J187" s="343"/>
      <c r="M187" s="348"/>
    </row>
    <row r="188" spans="2:13">
      <c r="B188" s="326" t="s">
        <v>531</v>
      </c>
      <c r="C188" s="327">
        <v>47484</v>
      </c>
      <c r="D188" s="270">
        <v>416</v>
      </c>
      <c r="E188" s="270">
        <v>328</v>
      </c>
      <c r="F188" s="270">
        <v>744</v>
      </c>
      <c r="G188" s="270">
        <v>0.55913978494623651</v>
      </c>
      <c r="H188" s="328">
        <v>0.44086021505376344</v>
      </c>
      <c r="J188" s="343"/>
      <c r="M188" s="348"/>
    </row>
    <row r="189" spans="2:13">
      <c r="B189" s="326" t="s">
        <v>532</v>
      </c>
      <c r="C189" s="327">
        <v>47515</v>
      </c>
      <c r="D189" s="270">
        <v>384</v>
      </c>
      <c r="E189" s="270">
        <v>288</v>
      </c>
      <c r="F189" s="270">
        <v>672</v>
      </c>
      <c r="G189" s="270">
        <v>0.5714285714285714</v>
      </c>
      <c r="H189" s="328">
        <v>0.42857142857142855</v>
      </c>
      <c r="J189" s="343"/>
      <c r="M189" s="348"/>
    </row>
    <row r="190" spans="2:13">
      <c r="B190" s="326" t="s">
        <v>533</v>
      </c>
      <c r="C190" s="327">
        <v>47543</v>
      </c>
      <c r="D190" s="270">
        <v>416</v>
      </c>
      <c r="E190" s="270">
        <v>327</v>
      </c>
      <c r="F190" s="270">
        <v>743</v>
      </c>
      <c r="G190" s="270">
        <v>0.55989232839838488</v>
      </c>
      <c r="H190" s="328">
        <v>0.44010767160161507</v>
      </c>
      <c r="J190" s="343"/>
      <c r="M190" s="348"/>
    </row>
    <row r="191" spans="2:13">
      <c r="B191" s="326" t="s">
        <v>534</v>
      </c>
      <c r="C191" s="327">
        <v>47574</v>
      </c>
      <c r="D191" s="270">
        <v>416</v>
      </c>
      <c r="E191" s="270">
        <v>304</v>
      </c>
      <c r="F191" s="270">
        <v>720</v>
      </c>
      <c r="G191" s="270">
        <v>0.57777777777777772</v>
      </c>
      <c r="H191" s="328">
        <v>0.42222222222222222</v>
      </c>
      <c r="J191" s="343"/>
      <c r="M191" s="348"/>
    </row>
    <row r="192" spans="2:13">
      <c r="B192" s="326" t="s">
        <v>535</v>
      </c>
      <c r="C192" s="327">
        <v>47604</v>
      </c>
      <c r="D192" s="270">
        <v>416</v>
      </c>
      <c r="E192" s="270">
        <v>328</v>
      </c>
      <c r="F192" s="270">
        <v>744</v>
      </c>
      <c r="G192" s="270">
        <v>0.55913978494623651</v>
      </c>
      <c r="H192" s="328">
        <v>0.44086021505376344</v>
      </c>
      <c r="J192" s="343"/>
      <c r="M192" s="348"/>
    </row>
    <row r="193" spans="2:13">
      <c r="B193" s="326" t="s">
        <v>536</v>
      </c>
      <c r="C193" s="327">
        <v>47635</v>
      </c>
      <c r="D193" s="270">
        <v>400</v>
      </c>
      <c r="E193" s="270">
        <v>320</v>
      </c>
      <c r="F193" s="270">
        <v>720</v>
      </c>
      <c r="G193" s="270">
        <v>0.55555555555555558</v>
      </c>
      <c r="H193" s="328">
        <v>0.44444444444444442</v>
      </c>
      <c r="J193" s="343"/>
      <c r="M193" s="348"/>
    </row>
    <row r="194" spans="2:13">
      <c r="B194" s="326" t="s">
        <v>537</v>
      </c>
      <c r="C194" s="327">
        <v>47665</v>
      </c>
      <c r="D194" s="270">
        <v>416</v>
      </c>
      <c r="E194" s="270">
        <v>328</v>
      </c>
      <c r="F194" s="270">
        <v>744</v>
      </c>
      <c r="G194" s="270">
        <v>0.55913978494623651</v>
      </c>
      <c r="H194" s="328">
        <v>0.44086021505376344</v>
      </c>
      <c r="J194" s="343"/>
      <c r="M194" s="348"/>
    </row>
    <row r="195" spans="2:13">
      <c r="B195" s="326" t="s">
        <v>538</v>
      </c>
      <c r="C195" s="327">
        <v>47696</v>
      </c>
      <c r="D195" s="270">
        <v>432</v>
      </c>
      <c r="E195" s="270">
        <v>312</v>
      </c>
      <c r="F195" s="270">
        <v>744</v>
      </c>
      <c r="G195" s="270">
        <v>0.58064516129032262</v>
      </c>
      <c r="H195" s="328">
        <v>0.41935483870967744</v>
      </c>
      <c r="J195" s="343"/>
      <c r="M195" s="348"/>
    </row>
    <row r="196" spans="2:13">
      <c r="B196" s="326" t="s">
        <v>539</v>
      </c>
      <c r="C196" s="327">
        <v>47727</v>
      </c>
      <c r="D196" s="270">
        <v>384</v>
      </c>
      <c r="E196" s="270">
        <v>336</v>
      </c>
      <c r="F196" s="270">
        <v>720</v>
      </c>
      <c r="G196" s="270">
        <v>0.53333333333333333</v>
      </c>
      <c r="H196" s="328">
        <v>0.46666666666666667</v>
      </c>
      <c r="J196" s="343"/>
      <c r="M196" s="348"/>
    </row>
    <row r="197" spans="2:13">
      <c r="B197" s="326" t="s">
        <v>540</v>
      </c>
      <c r="C197" s="327">
        <v>47757</v>
      </c>
      <c r="D197" s="270">
        <v>432</v>
      </c>
      <c r="E197" s="270">
        <v>312</v>
      </c>
      <c r="F197" s="270">
        <v>744</v>
      </c>
      <c r="G197" s="270">
        <v>0.58064516129032262</v>
      </c>
      <c r="H197" s="328">
        <v>0.41935483870967744</v>
      </c>
      <c r="J197" s="343"/>
      <c r="M197" s="348"/>
    </row>
    <row r="198" spans="2:13">
      <c r="B198" s="326" t="s">
        <v>541</v>
      </c>
      <c r="C198" s="327">
        <v>47788</v>
      </c>
      <c r="D198" s="270">
        <v>400</v>
      </c>
      <c r="E198" s="270">
        <v>321</v>
      </c>
      <c r="F198" s="270">
        <v>721</v>
      </c>
      <c r="G198" s="270">
        <v>0.55478502080443826</v>
      </c>
      <c r="H198" s="328">
        <v>0.44521497919556174</v>
      </c>
      <c r="J198" s="343"/>
      <c r="M198" s="348"/>
    </row>
    <row r="199" spans="2:13">
      <c r="B199" s="326" t="s">
        <v>542</v>
      </c>
      <c r="C199" s="327">
        <v>47818</v>
      </c>
      <c r="D199" s="270">
        <v>400</v>
      </c>
      <c r="E199" s="270">
        <v>344</v>
      </c>
      <c r="F199" s="270">
        <v>744</v>
      </c>
      <c r="G199" s="270">
        <v>0.5376344086021505</v>
      </c>
      <c r="H199" s="328">
        <v>0.46236559139784944</v>
      </c>
      <c r="J199" s="343"/>
      <c r="M199" s="348"/>
    </row>
    <row r="200" spans="2:13">
      <c r="B200" s="326" t="s">
        <v>543</v>
      </c>
      <c r="C200" s="327">
        <v>47849</v>
      </c>
      <c r="D200" s="270">
        <v>416</v>
      </c>
      <c r="E200" s="270">
        <v>328</v>
      </c>
      <c r="F200" s="270">
        <v>744</v>
      </c>
      <c r="G200" s="270">
        <v>0.55913978494623651</v>
      </c>
      <c r="H200" s="328">
        <v>0.44086021505376344</v>
      </c>
      <c r="J200" s="343"/>
      <c r="M200" s="348"/>
    </row>
    <row r="201" spans="2:13">
      <c r="B201" s="326" t="s">
        <v>544</v>
      </c>
      <c r="C201" s="327">
        <v>47880</v>
      </c>
      <c r="D201" s="270">
        <v>384</v>
      </c>
      <c r="E201" s="270">
        <v>288</v>
      </c>
      <c r="F201" s="270">
        <v>672</v>
      </c>
      <c r="G201" s="270">
        <v>0.5714285714285714</v>
      </c>
      <c r="H201" s="328">
        <v>0.42857142857142855</v>
      </c>
      <c r="J201" s="343"/>
      <c r="M201" s="348"/>
    </row>
    <row r="202" spans="2:13">
      <c r="B202" s="326" t="s">
        <v>545</v>
      </c>
      <c r="C202" s="327">
        <v>47908</v>
      </c>
      <c r="D202" s="270">
        <v>416</v>
      </c>
      <c r="E202" s="270">
        <v>327</v>
      </c>
      <c r="F202" s="270">
        <v>743</v>
      </c>
      <c r="G202" s="270">
        <v>0.55989232839838488</v>
      </c>
      <c r="H202" s="328">
        <v>0.44010767160161507</v>
      </c>
      <c r="J202" s="343"/>
      <c r="M202" s="348"/>
    </row>
    <row r="203" spans="2:13">
      <c r="B203" s="326" t="s">
        <v>546</v>
      </c>
      <c r="C203" s="327">
        <v>47939</v>
      </c>
      <c r="D203" s="270">
        <v>416</v>
      </c>
      <c r="E203" s="270">
        <v>304</v>
      </c>
      <c r="F203" s="270">
        <v>720</v>
      </c>
      <c r="G203" s="270">
        <v>0.57777777777777772</v>
      </c>
      <c r="H203" s="328">
        <v>0.42222222222222222</v>
      </c>
      <c r="J203" s="343"/>
      <c r="M203" s="348"/>
    </row>
    <row r="204" spans="2:13">
      <c r="B204" s="326" t="s">
        <v>547</v>
      </c>
      <c r="C204" s="327">
        <v>47969</v>
      </c>
      <c r="D204" s="270">
        <v>416</v>
      </c>
      <c r="E204" s="270">
        <v>328</v>
      </c>
      <c r="F204" s="270">
        <v>744</v>
      </c>
      <c r="G204" s="270">
        <v>0.55913978494623651</v>
      </c>
      <c r="H204" s="328">
        <v>0.44086021505376344</v>
      </c>
      <c r="J204" s="343"/>
      <c r="M204" s="348"/>
    </row>
    <row r="205" spans="2:13">
      <c r="B205" s="326" t="s">
        <v>548</v>
      </c>
      <c r="C205" s="327">
        <v>48000</v>
      </c>
      <c r="D205" s="270">
        <v>400</v>
      </c>
      <c r="E205" s="270">
        <v>320</v>
      </c>
      <c r="F205" s="270">
        <v>720</v>
      </c>
      <c r="G205" s="270">
        <v>0.55555555555555558</v>
      </c>
      <c r="H205" s="328">
        <v>0.44444444444444442</v>
      </c>
      <c r="J205" s="343"/>
      <c r="M205" s="348"/>
    </row>
    <row r="206" spans="2:13">
      <c r="B206" s="326" t="s">
        <v>549</v>
      </c>
      <c r="C206" s="327">
        <v>48030</v>
      </c>
      <c r="D206" s="270">
        <v>416</v>
      </c>
      <c r="E206" s="270">
        <v>328</v>
      </c>
      <c r="F206" s="270">
        <v>744</v>
      </c>
      <c r="G206" s="270">
        <v>0.55913978494623651</v>
      </c>
      <c r="H206" s="328">
        <v>0.44086021505376344</v>
      </c>
      <c r="J206" s="343"/>
      <c r="M206" s="348"/>
    </row>
    <row r="207" spans="2:13">
      <c r="B207" s="326" t="s">
        <v>550</v>
      </c>
      <c r="C207" s="327">
        <v>48061</v>
      </c>
      <c r="D207" s="270">
        <v>416</v>
      </c>
      <c r="E207" s="270">
        <v>328</v>
      </c>
      <c r="F207" s="270">
        <v>744</v>
      </c>
      <c r="G207" s="270">
        <v>0.55913978494623651</v>
      </c>
      <c r="H207" s="328">
        <v>0.44086021505376344</v>
      </c>
      <c r="J207" s="343"/>
      <c r="M207" s="348"/>
    </row>
    <row r="208" spans="2:13">
      <c r="B208" s="326" t="s">
        <v>551</v>
      </c>
      <c r="C208" s="327">
        <v>48092</v>
      </c>
      <c r="D208" s="270">
        <v>400</v>
      </c>
      <c r="E208" s="270">
        <v>320</v>
      </c>
      <c r="F208" s="270">
        <v>720</v>
      </c>
      <c r="G208" s="270">
        <v>0.55555555555555558</v>
      </c>
      <c r="H208" s="328">
        <v>0.44444444444444442</v>
      </c>
      <c r="J208" s="343"/>
      <c r="M208" s="348"/>
    </row>
    <row r="209" spans="2:13">
      <c r="B209" s="326" t="s">
        <v>552</v>
      </c>
      <c r="C209" s="327">
        <v>48122</v>
      </c>
      <c r="D209" s="270">
        <v>432</v>
      </c>
      <c r="E209" s="270">
        <v>312</v>
      </c>
      <c r="F209" s="270">
        <v>744</v>
      </c>
      <c r="G209" s="270">
        <v>0.58064516129032262</v>
      </c>
      <c r="H209" s="328">
        <v>0.41935483870967744</v>
      </c>
      <c r="J209" s="343"/>
      <c r="M209" s="348"/>
    </row>
    <row r="210" spans="2:13">
      <c r="B210" s="326" t="s">
        <v>553</v>
      </c>
      <c r="C210" s="327">
        <v>48153</v>
      </c>
      <c r="D210" s="270">
        <v>384</v>
      </c>
      <c r="E210" s="270">
        <v>337</v>
      </c>
      <c r="F210" s="270">
        <v>721</v>
      </c>
      <c r="G210" s="270">
        <v>0.53259361997226073</v>
      </c>
      <c r="H210" s="328">
        <v>0.46740638002773927</v>
      </c>
      <c r="J210" s="343"/>
      <c r="M210" s="348"/>
    </row>
    <row r="211" spans="2:13">
      <c r="B211" s="326" t="s">
        <v>554</v>
      </c>
      <c r="C211" s="327">
        <v>48183</v>
      </c>
      <c r="D211" s="270">
        <v>416</v>
      </c>
      <c r="E211" s="270">
        <v>328</v>
      </c>
      <c r="F211" s="270">
        <v>744</v>
      </c>
      <c r="G211" s="270">
        <v>0.55913978494623651</v>
      </c>
      <c r="H211" s="328">
        <v>0.44086021505376344</v>
      </c>
      <c r="J211" s="343"/>
      <c r="M211" s="348"/>
    </row>
    <row r="212" spans="2:13">
      <c r="B212" s="326" t="s">
        <v>555</v>
      </c>
      <c r="C212" s="327">
        <v>48214</v>
      </c>
      <c r="D212" s="270">
        <v>416</v>
      </c>
      <c r="E212" s="270">
        <v>328</v>
      </c>
      <c r="F212" s="270">
        <v>744</v>
      </c>
      <c r="G212" s="270">
        <v>0.55913978494623651</v>
      </c>
      <c r="H212" s="328">
        <v>0.44086021505376344</v>
      </c>
      <c r="J212" s="343"/>
      <c r="M212" s="348"/>
    </row>
    <row r="213" spans="2:13">
      <c r="B213" s="326" t="s">
        <v>556</v>
      </c>
      <c r="C213" s="327">
        <v>48245</v>
      </c>
      <c r="D213" s="270">
        <v>384</v>
      </c>
      <c r="E213" s="270">
        <v>312</v>
      </c>
      <c r="F213" s="270">
        <v>696</v>
      </c>
      <c r="G213" s="270">
        <v>0.55172413793103448</v>
      </c>
      <c r="H213" s="328">
        <v>0.44827586206896552</v>
      </c>
      <c r="J213" s="343"/>
      <c r="M213" s="348"/>
    </row>
    <row r="214" spans="2:13">
      <c r="B214" s="326" t="s">
        <v>557</v>
      </c>
      <c r="C214" s="327">
        <v>48274</v>
      </c>
      <c r="D214" s="270">
        <v>432</v>
      </c>
      <c r="E214" s="270">
        <v>311</v>
      </c>
      <c r="F214" s="270">
        <v>743</v>
      </c>
      <c r="G214" s="270">
        <v>0.58142664872139971</v>
      </c>
      <c r="H214" s="328">
        <v>0.41857335127860029</v>
      </c>
      <c r="J214" s="343"/>
      <c r="M214" s="348"/>
    </row>
    <row r="215" spans="2:13">
      <c r="B215" s="326" t="s">
        <v>558</v>
      </c>
      <c r="C215" s="327">
        <v>48305</v>
      </c>
      <c r="D215" s="270">
        <v>416</v>
      </c>
      <c r="E215" s="270">
        <v>304</v>
      </c>
      <c r="F215" s="270">
        <v>720</v>
      </c>
      <c r="G215" s="270">
        <v>0.57777777777777772</v>
      </c>
      <c r="H215" s="328">
        <v>0.42222222222222222</v>
      </c>
      <c r="J215" s="343"/>
      <c r="M215" s="348"/>
    </row>
    <row r="216" spans="2:13">
      <c r="B216" s="326" t="s">
        <v>559</v>
      </c>
      <c r="C216" s="327">
        <v>48335</v>
      </c>
      <c r="D216" s="270">
        <v>400</v>
      </c>
      <c r="E216" s="270">
        <v>344</v>
      </c>
      <c r="F216" s="270">
        <v>744</v>
      </c>
      <c r="G216" s="270">
        <v>0.5376344086021505</v>
      </c>
      <c r="H216" s="328">
        <v>0.46236559139784944</v>
      </c>
      <c r="J216" s="343"/>
      <c r="M216" s="348"/>
    </row>
    <row r="217" spans="2:13">
      <c r="B217" s="326" t="s">
        <v>560</v>
      </c>
      <c r="C217" s="327">
        <v>48366</v>
      </c>
      <c r="D217" s="270">
        <v>416</v>
      </c>
      <c r="E217" s="270">
        <v>304</v>
      </c>
      <c r="F217" s="270">
        <v>720</v>
      </c>
      <c r="G217" s="270">
        <v>0.57777777777777772</v>
      </c>
      <c r="H217" s="328">
        <v>0.42222222222222222</v>
      </c>
      <c r="J217" s="343"/>
      <c r="M217" s="348"/>
    </row>
    <row r="218" spans="2:13">
      <c r="B218" s="326" t="s">
        <v>561</v>
      </c>
      <c r="C218" s="327">
        <v>48396</v>
      </c>
      <c r="D218" s="270">
        <v>416</v>
      </c>
      <c r="E218" s="270">
        <v>328</v>
      </c>
      <c r="F218" s="270">
        <v>744</v>
      </c>
      <c r="G218" s="270">
        <v>0.55913978494623651</v>
      </c>
      <c r="H218" s="328">
        <v>0.44086021505376344</v>
      </c>
      <c r="J218" s="343"/>
      <c r="M218" s="348"/>
    </row>
    <row r="219" spans="2:13">
      <c r="B219" s="326" t="s">
        <v>562</v>
      </c>
      <c r="C219" s="327">
        <v>48427</v>
      </c>
      <c r="D219" s="270">
        <v>416</v>
      </c>
      <c r="E219" s="270">
        <v>328</v>
      </c>
      <c r="F219" s="270">
        <v>744</v>
      </c>
      <c r="G219" s="270">
        <v>0.55913978494623651</v>
      </c>
      <c r="H219" s="328">
        <v>0.44086021505376344</v>
      </c>
      <c r="J219" s="343"/>
      <c r="M219" s="348"/>
    </row>
    <row r="220" spans="2:13">
      <c r="B220" s="326" t="s">
        <v>563</v>
      </c>
      <c r="C220" s="327">
        <v>48458</v>
      </c>
      <c r="D220" s="270">
        <v>400</v>
      </c>
      <c r="E220" s="270">
        <v>320</v>
      </c>
      <c r="F220" s="270">
        <v>720</v>
      </c>
      <c r="G220" s="270">
        <v>0.55555555555555558</v>
      </c>
      <c r="H220" s="328">
        <v>0.44444444444444442</v>
      </c>
      <c r="J220" s="343"/>
      <c r="M220" s="348"/>
    </row>
    <row r="221" spans="2:13">
      <c r="B221" s="326" t="s">
        <v>564</v>
      </c>
      <c r="C221" s="327">
        <v>48488</v>
      </c>
      <c r="D221" s="270">
        <v>416</v>
      </c>
      <c r="E221" s="270">
        <v>328</v>
      </c>
      <c r="F221" s="270">
        <v>744</v>
      </c>
      <c r="G221" s="270">
        <v>0.55913978494623651</v>
      </c>
      <c r="H221" s="328">
        <v>0.44086021505376344</v>
      </c>
      <c r="J221" s="343"/>
      <c r="M221" s="348"/>
    </row>
    <row r="222" spans="2:13">
      <c r="B222" s="326" t="s">
        <v>565</v>
      </c>
      <c r="C222" s="327">
        <v>48519</v>
      </c>
      <c r="D222" s="270">
        <v>400</v>
      </c>
      <c r="E222" s="270">
        <v>321</v>
      </c>
      <c r="F222" s="270">
        <v>721</v>
      </c>
      <c r="G222" s="270">
        <v>0.55478502080443826</v>
      </c>
      <c r="H222" s="328">
        <v>0.44521497919556174</v>
      </c>
      <c r="J222" s="343"/>
      <c r="M222" s="348"/>
    </row>
    <row r="223" spans="2:13">
      <c r="B223" s="326" t="s">
        <v>566</v>
      </c>
      <c r="C223" s="327">
        <v>48549</v>
      </c>
      <c r="D223" s="270">
        <v>416</v>
      </c>
      <c r="E223" s="270">
        <v>328</v>
      </c>
      <c r="F223" s="270">
        <v>744</v>
      </c>
      <c r="G223" s="270">
        <v>0.55913978494623651</v>
      </c>
      <c r="H223" s="328">
        <v>0.44086021505376344</v>
      </c>
      <c r="J223" s="343"/>
      <c r="M223" s="348"/>
    </row>
    <row r="224" spans="2:13">
      <c r="B224" s="326" t="s">
        <v>567</v>
      </c>
      <c r="C224" s="327">
        <v>48580</v>
      </c>
      <c r="D224" s="270">
        <v>400</v>
      </c>
      <c r="E224" s="270">
        <v>344</v>
      </c>
      <c r="F224" s="270">
        <v>744</v>
      </c>
      <c r="G224" s="270">
        <v>0.5376344086021505</v>
      </c>
      <c r="H224" s="328">
        <v>0.46236559139784944</v>
      </c>
      <c r="J224" s="343"/>
      <c r="M224" s="348"/>
    </row>
    <row r="225" spans="2:13">
      <c r="B225" s="326" t="s">
        <v>568</v>
      </c>
      <c r="C225" s="327">
        <v>48611</v>
      </c>
      <c r="D225" s="270">
        <v>384</v>
      </c>
      <c r="E225" s="270">
        <v>288</v>
      </c>
      <c r="F225" s="270">
        <v>672</v>
      </c>
      <c r="G225" s="270">
        <v>0.5714285714285714</v>
      </c>
      <c r="H225" s="328">
        <v>0.42857142857142855</v>
      </c>
      <c r="J225" s="343"/>
      <c r="M225" s="348"/>
    </row>
    <row r="226" spans="2:13">
      <c r="B226" s="326" t="s">
        <v>569</v>
      </c>
      <c r="C226" s="327">
        <v>48639</v>
      </c>
      <c r="D226" s="270">
        <v>432</v>
      </c>
      <c r="E226" s="270">
        <v>311</v>
      </c>
      <c r="F226" s="270">
        <v>743</v>
      </c>
      <c r="G226" s="270">
        <v>0.58142664872139971</v>
      </c>
      <c r="H226" s="328">
        <v>0.41857335127860029</v>
      </c>
      <c r="J226" s="343"/>
      <c r="M226" s="348"/>
    </row>
    <row r="227" spans="2:13">
      <c r="B227" s="326" t="s">
        <v>570</v>
      </c>
      <c r="C227" s="327">
        <v>48670</v>
      </c>
      <c r="D227" s="270">
        <v>416</v>
      </c>
      <c r="E227" s="270">
        <v>304</v>
      </c>
      <c r="F227" s="270">
        <v>720</v>
      </c>
      <c r="G227" s="270">
        <v>0.57777777777777772</v>
      </c>
      <c r="H227" s="328">
        <v>0.42222222222222222</v>
      </c>
      <c r="J227" s="343"/>
      <c r="M227" s="348"/>
    </row>
    <row r="228" spans="2:13">
      <c r="B228" s="326" t="s">
        <v>571</v>
      </c>
      <c r="C228" s="327">
        <v>48700</v>
      </c>
      <c r="D228" s="270">
        <v>400</v>
      </c>
      <c r="E228" s="270">
        <v>344</v>
      </c>
      <c r="F228" s="270">
        <v>744</v>
      </c>
      <c r="G228" s="270">
        <v>0.5376344086021505</v>
      </c>
      <c r="H228" s="328">
        <v>0.46236559139784944</v>
      </c>
      <c r="J228" s="343"/>
      <c r="M228" s="348"/>
    </row>
    <row r="229" spans="2:13">
      <c r="B229" s="326" t="s">
        <v>572</v>
      </c>
      <c r="C229" s="327">
        <v>48731</v>
      </c>
      <c r="D229" s="270">
        <v>416</v>
      </c>
      <c r="E229" s="270">
        <v>304</v>
      </c>
      <c r="F229" s="270">
        <v>720</v>
      </c>
      <c r="G229" s="270">
        <v>0.57777777777777772</v>
      </c>
      <c r="H229" s="328">
        <v>0.42222222222222222</v>
      </c>
      <c r="J229" s="343"/>
      <c r="M229" s="348"/>
    </row>
    <row r="230" spans="2:13">
      <c r="B230" s="326" t="s">
        <v>573</v>
      </c>
      <c r="C230" s="327">
        <v>48761</v>
      </c>
      <c r="D230" s="270">
        <v>400</v>
      </c>
      <c r="E230" s="270">
        <v>344</v>
      </c>
      <c r="F230" s="270">
        <v>744</v>
      </c>
      <c r="G230" s="270">
        <v>0.5376344086021505</v>
      </c>
      <c r="H230" s="328">
        <v>0.46236559139784944</v>
      </c>
      <c r="J230" s="343"/>
      <c r="M230" s="348"/>
    </row>
    <row r="231" spans="2:13">
      <c r="B231" s="326" t="s">
        <v>574</v>
      </c>
      <c r="C231" s="327">
        <v>48792</v>
      </c>
      <c r="D231" s="270">
        <v>432</v>
      </c>
      <c r="E231" s="270">
        <v>312</v>
      </c>
      <c r="F231" s="270">
        <v>744</v>
      </c>
      <c r="G231" s="270">
        <v>0.58064516129032262</v>
      </c>
      <c r="H231" s="328">
        <v>0.41935483870967744</v>
      </c>
      <c r="J231" s="343"/>
      <c r="M231" s="348"/>
    </row>
    <row r="232" spans="2:13">
      <c r="B232" s="331" t="s">
        <v>575</v>
      </c>
      <c r="C232" s="332">
        <v>48823</v>
      </c>
      <c r="D232" s="333">
        <v>400</v>
      </c>
      <c r="E232" s="333">
        <v>320</v>
      </c>
      <c r="F232" s="333">
        <v>720</v>
      </c>
      <c r="G232" s="333">
        <v>0.55555555555555558</v>
      </c>
      <c r="H232" s="334">
        <v>0.44444444444444442</v>
      </c>
      <c r="J232" s="343"/>
      <c r="M232" s="348"/>
    </row>
    <row r="233" spans="2:13">
      <c r="J233" s="343"/>
      <c r="M233" s="348"/>
    </row>
    <row r="234" spans="2:13">
      <c r="J234" s="343"/>
      <c r="M234" s="348"/>
    </row>
    <row r="235" spans="2:13">
      <c r="J235" s="343"/>
      <c r="M235" s="348"/>
    </row>
    <row r="236" spans="2:13">
      <c r="J236" s="343"/>
      <c r="M236" s="348"/>
    </row>
    <row r="237" spans="2:13">
      <c r="J237" s="343"/>
      <c r="M237" s="348"/>
    </row>
    <row r="238" spans="2:13">
      <c r="J238" s="343"/>
      <c r="M238" s="348"/>
    </row>
    <row r="239" spans="2:13">
      <c r="J239" s="343"/>
      <c r="M239" s="348"/>
    </row>
    <row r="240" spans="2:13">
      <c r="J240" s="343"/>
      <c r="M240" s="348"/>
    </row>
    <row r="241" spans="10:13">
      <c r="J241" s="343"/>
      <c r="M241" s="348"/>
    </row>
    <row r="242" spans="10:13">
      <c r="J242" s="343"/>
      <c r="M242" s="348"/>
    </row>
    <row r="243" spans="10:13">
      <c r="J243" s="343"/>
      <c r="M243" s="348"/>
    </row>
    <row r="244" spans="10:13">
      <c r="J244" s="343"/>
      <c r="M244" s="348"/>
    </row>
    <row r="245" spans="10:13">
      <c r="J245" s="343"/>
      <c r="M245" s="348"/>
    </row>
    <row r="246" spans="10:13">
      <c r="J246" s="343"/>
      <c r="M246" s="348"/>
    </row>
    <row r="247" spans="10:13">
      <c r="J247" s="343"/>
      <c r="M247" s="348"/>
    </row>
    <row r="248" spans="10:13">
      <c r="J248" s="343"/>
      <c r="M248" s="348"/>
    </row>
    <row r="249" spans="10:13">
      <c r="J249" s="343"/>
      <c r="M249" s="348"/>
    </row>
    <row r="250" spans="10:13">
      <c r="J250" s="343"/>
      <c r="M250" s="348"/>
    </row>
    <row r="251" spans="10:13">
      <c r="J251" s="343"/>
      <c r="M251" s="348"/>
    </row>
    <row r="252" spans="10:13">
      <c r="J252" s="343"/>
      <c r="M252" s="348"/>
    </row>
    <row r="253" spans="10:13">
      <c r="J253" s="343"/>
      <c r="M253" s="348"/>
    </row>
    <row r="254" spans="10:13">
      <c r="J254" s="343"/>
      <c r="M254" s="348"/>
    </row>
    <row r="255" spans="10:13">
      <c r="J255" s="343"/>
      <c r="M255" s="348"/>
    </row>
    <row r="256" spans="10:13">
      <c r="J256" s="343"/>
      <c r="M256" s="348"/>
    </row>
    <row r="257" spans="10:13">
      <c r="J257" s="343"/>
      <c r="M257" s="348"/>
    </row>
    <row r="258" spans="10:13">
      <c r="J258" s="343"/>
      <c r="M258" s="348"/>
    </row>
    <row r="259" spans="10:13">
      <c r="J259" s="343"/>
      <c r="M259" s="348"/>
    </row>
    <row r="260" spans="10:13">
      <c r="J260" s="343"/>
      <c r="M260" s="348"/>
    </row>
    <row r="261" spans="10:13">
      <c r="J261" s="343"/>
      <c r="M261" s="348"/>
    </row>
    <row r="262" spans="10:13">
      <c r="J262" s="343"/>
      <c r="M262" s="348"/>
    </row>
    <row r="263" spans="10:13">
      <c r="J263" s="343"/>
      <c r="M263" s="348"/>
    </row>
    <row r="264" spans="10:13">
      <c r="J264" s="343"/>
      <c r="M264" s="348"/>
    </row>
    <row r="265" spans="10:13">
      <c r="J265" s="343"/>
      <c r="M265" s="348"/>
    </row>
    <row r="266" spans="10:13">
      <c r="J266" s="343"/>
      <c r="M266" s="348"/>
    </row>
    <row r="267" spans="10:13">
      <c r="J267" s="343"/>
      <c r="M267" s="348"/>
    </row>
    <row r="268" spans="10:13">
      <c r="J268" s="343"/>
      <c r="M268" s="348"/>
    </row>
    <row r="269" spans="10:13">
      <c r="J269" s="343"/>
      <c r="M269" s="348"/>
    </row>
    <row r="270" spans="10:13">
      <c r="J270" s="343"/>
      <c r="M270" s="348"/>
    </row>
    <row r="271" spans="10:13">
      <c r="J271" s="343"/>
      <c r="M271" s="348"/>
    </row>
    <row r="272" spans="10:13">
      <c r="J272" s="343"/>
      <c r="M272" s="348"/>
    </row>
    <row r="273" spans="10:13">
      <c r="J273" s="343"/>
      <c r="M273" s="348"/>
    </row>
    <row r="274" spans="10:13">
      <c r="J274" s="343"/>
      <c r="M274" s="348"/>
    </row>
    <row r="275" spans="10:13">
      <c r="J275" s="343"/>
      <c r="M275" s="348"/>
    </row>
    <row r="276" spans="10:13">
      <c r="J276" s="343"/>
      <c r="M276" s="348"/>
    </row>
    <row r="277" spans="10:13">
      <c r="J277" s="343"/>
      <c r="M277" s="348"/>
    </row>
    <row r="278" spans="10:13">
      <c r="J278" s="343"/>
      <c r="M278" s="348"/>
    </row>
    <row r="279" spans="10:13">
      <c r="J279" s="343"/>
      <c r="M279" s="348"/>
    </row>
    <row r="280" spans="10:13">
      <c r="J280" s="343"/>
      <c r="M280" s="348"/>
    </row>
    <row r="281" spans="10:13">
      <c r="J281" s="343"/>
      <c r="M281" s="348"/>
    </row>
    <row r="282" spans="10:13">
      <c r="J282" s="343"/>
      <c r="M282" s="348"/>
    </row>
    <row r="283" spans="10:13">
      <c r="J283" s="343"/>
      <c r="M283" s="348"/>
    </row>
    <row r="284" spans="10:13">
      <c r="J284" s="343"/>
      <c r="M284" s="348"/>
    </row>
    <row r="285" spans="10:13">
      <c r="J285" s="343"/>
      <c r="M285" s="348"/>
    </row>
    <row r="286" spans="10:13">
      <c r="J286" s="343"/>
      <c r="M286" s="348"/>
    </row>
    <row r="287" spans="10:13">
      <c r="J287" s="343"/>
      <c r="M287" s="348"/>
    </row>
    <row r="288" spans="10:13">
      <c r="J288" s="343"/>
      <c r="M288" s="348"/>
    </row>
    <row r="289" spans="10:13">
      <c r="J289" s="343"/>
      <c r="M289" s="348"/>
    </row>
    <row r="290" spans="10:13">
      <c r="J290" s="343"/>
      <c r="M290" s="348"/>
    </row>
    <row r="291" spans="10:13">
      <c r="J291" s="343"/>
      <c r="M291" s="348"/>
    </row>
    <row r="292" spans="10:13">
      <c r="J292" s="343"/>
      <c r="M292" s="348"/>
    </row>
    <row r="293" spans="10:13">
      <c r="J293" s="343"/>
      <c r="M293" s="348"/>
    </row>
    <row r="294" spans="10:13">
      <c r="J294" s="343"/>
      <c r="M294" s="348"/>
    </row>
    <row r="295" spans="10:13">
      <c r="J295" s="343"/>
      <c r="M295" s="348"/>
    </row>
    <row r="296" spans="10:13">
      <c r="J296" s="343"/>
      <c r="M296" s="348"/>
    </row>
    <row r="297" spans="10:13">
      <c r="J297" s="343"/>
      <c r="M297" s="348"/>
    </row>
    <row r="298" spans="10:13">
      <c r="J298" s="343"/>
      <c r="M298" s="348"/>
    </row>
    <row r="299" spans="10:13">
      <c r="J299" s="343"/>
      <c r="M299" s="348"/>
    </row>
    <row r="300" spans="10:13">
      <c r="J300" s="343"/>
      <c r="M300" s="348"/>
    </row>
    <row r="301" spans="10:13">
      <c r="J301" s="343"/>
      <c r="M301" s="348"/>
    </row>
    <row r="302" spans="10:13">
      <c r="J302" s="343"/>
      <c r="M302" s="348"/>
    </row>
    <row r="303" spans="10:13">
      <c r="J303" s="343"/>
      <c r="M303" s="348"/>
    </row>
    <row r="304" spans="10:13">
      <c r="J304" s="343"/>
      <c r="M304" s="348"/>
    </row>
    <row r="305" spans="10:13">
      <c r="J305" s="343"/>
      <c r="M305" s="348"/>
    </row>
    <row r="306" spans="10:13">
      <c r="J306" s="343"/>
      <c r="M306" s="348"/>
    </row>
    <row r="307" spans="10:13">
      <c r="J307" s="343"/>
      <c r="M307" s="348"/>
    </row>
    <row r="308" spans="10:13">
      <c r="J308" s="343"/>
      <c r="M308" s="348"/>
    </row>
    <row r="309" spans="10:13">
      <c r="J309" s="343"/>
      <c r="M309" s="348"/>
    </row>
    <row r="310" spans="10:13">
      <c r="J310" s="343"/>
      <c r="M310" s="348"/>
    </row>
    <row r="311" spans="10:13">
      <c r="J311" s="343"/>
      <c r="M311" s="348"/>
    </row>
    <row r="312" spans="10:13">
      <c r="J312" s="343"/>
      <c r="M312" s="348"/>
    </row>
    <row r="313" spans="10:13">
      <c r="J313" s="343"/>
      <c r="M313" s="348"/>
    </row>
    <row r="314" spans="10:13">
      <c r="J314" s="343"/>
      <c r="M314" s="348"/>
    </row>
    <row r="315" spans="10:13">
      <c r="J315" s="343"/>
      <c r="M315" s="348"/>
    </row>
    <row r="316" spans="10:13">
      <c r="J316" s="343"/>
      <c r="M316" s="348"/>
    </row>
    <row r="317" spans="10:13">
      <c r="J317" s="343"/>
      <c r="M317" s="348"/>
    </row>
    <row r="318" spans="10:13">
      <c r="J318" s="343"/>
      <c r="M318" s="348"/>
    </row>
    <row r="319" spans="10:13">
      <c r="J319" s="343"/>
      <c r="M319" s="348"/>
    </row>
    <row r="320" spans="10:13">
      <c r="J320" s="343"/>
      <c r="M320" s="348"/>
    </row>
    <row r="321" spans="10:13">
      <c r="J321" s="343"/>
      <c r="M321" s="348"/>
    </row>
    <row r="322" spans="10:13">
      <c r="J322" s="343"/>
      <c r="M322" s="348"/>
    </row>
    <row r="323" spans="10:13">
      <c r="J323" s="343"/>
      <c r="M323" s="348"/>
    </row>
    <row r="324" spans="10:13">
      <c r="J324" s="343"/>
      <c r="M324" s="348"/>
    </row>
    <row r="325" spans="10:13">
      <c r="J325" s="343"/>
      <c r="M325" s="348"/>
    </row>
    <row r="326" spans="10:13">
      <c r="J326" s="343"/>
      <c r="M326" s="348"/>
    </row>
    <row r="327" spans="10:13">
      <c r="J327" s="343"/>
      <c r="M327" s="348"/>
    </row>
    <row r="328" spans="10:13">
      <c r="J328" s="343"/>
      <c r="M328" s="348"/>
    </row>
    <row r="329" spans="10:13">
      <c r="J329" s="343"/>
      <c r="M329" s="348"/>
    </row>
    <row r="330" spans="10:13">
      <c r="J330" s="343"/>
      <c r="M330" s="348"/>
    </row>
    <row r="331" spans="10:13">
      <c r="J331" s="343"/>
      <c r="M331" s="348"/>
    </row>
    <row r="332" spans="10:13">
      <c r="J332" s="343"/>
      <c r="M332" s="348"/>
    </row>
    <row r="333" spans="10:13">
      <c r="J333" s="343"/>
      <c r="M333" s="348"/>
    </row>
    <row r="334" spans="10:13">
      <c r="J334" s="343"/>
      <c r="M334" s="348"/>
    </row>
    <row r="335" spans="10:13">
      <c r="J335" s="343"/>
      <c r="M335" s="348"/>
    </row>
    <row r="336" spans="10:13">
      <c r="J336" s="343"/>
      <c r="M336" s="348"/>
    </row>
    <row r="337" spans="10:13">
      <c r="J337" s="343"/>
      <c r="M337" s="348"/>
    </row>
    <row r="338" spans="10:13">
      <c r="J338" s="343"/>
      <c r="M338" s="348"/>
    </row>
    <row r="339" spans="10:13">
      <c r="J339" s="343"/>
      <c r="M339" s="348"/>
    </row>
    <row r="340" spans="10:13">
      <c r="J340" s="343"/>
      <c r="M340" s="348"/>
    </row>
    <row r="341" spans="10:13">
      <c r="J341" s="343"/>
      <c r="M341" s="348"/>
    </row>
    <row r="342" spans="10:13">
      <c r="J342" s="343"/>
      <c r="M342" s="348"/>
    </row>
    <row r="343" spans="10:13">
      <c r="J343" s="343"/>
      <c r="M343" s="348"/>
    </row>
    <row r="344" spans="10:13">
      <c r="J344" s="343"/>
      <c r="M344" s="348"/>
    </row>
    <row r="345" spans="10:13">
      <c r="J345" s="343"/>
      <c r="M345" s="348"/>
    </row>
    <row r="346" spans="10:13">
      <c r="J346" s="343"/>
      <c r="M346" s="348"/>
    </row>
    <row r="347" spans="10:13">
      <c r="J347" s="343"/>
      <c r="M347" s="348"/>
    </row>
    <row r="348" spans="10:13">
      <c r="J348" s="343"/>
      <c r="M348" s="348"/>
    </row>
    <row r="349" spans="10:13">
      <c r="J349" s="343"/>
      <c r="M349" s="348"/>
    </row>
    <row r="350" spans="10:13">
      <c r="J350" s="343"/>
      <c r="M350" s="348"/>
    </row>
    <row r="351" spans="10:13">
      <c r="J351" s="343"/>
      <c r="M351" s="348"/>
    </row>
    <row r="352" spans="10:13">
      <c r="J352" s="343"/>
      <c r="M352" s="348"/>
    </row>
    <row r="353" spans="10:13">
      <c r="J353" s="343"/>
      <c r="M353" s="348"/>
    </row>
    <row r="354" spans="10:13">
      <c r="J354" s="343"/>
      <c r="M354" s="348"/>
    </row>
    <row r="355" spans="10:13">
      <c r="J355" s="343"/>
      <c r="M355" s="348"/>
    </row>
    <row r="356" spans="10:13">
      <c r="J356" s="343"/>
      <c r="M356" s="348"/>
    </row>
    <row r="357" spans="10:13">
      <c r="J357" s="343"/>
      <c r="M357" s="348"/>
    </row>
    <row r="358" spans="10:13">
      <c r="J358" s="343"/>
      <c r="M358" s="348"/>
    </row>
    <row r="359" spans="10:13">
      <c r="J359" s="343"/>
      <c r="M359" s="348"/>
    </row>
    <row r="360" spans="10:13">
      <c r="J360" s="343"/>
      <c r="M360" s="348"/>
    </row>
    <row r="361" spans="10:13">
      <c r="J361" s="343"/>
      <c r="M361" s="348"/>
    </row>
    <row r="362" spans="10:13">
      <c r="J362" s="343"/>
      <c r="M362" s="348"/>
    </row>
    <row r="363" spans="10:13">
      <c r="J363" s="343"/>
      <c r="M363" s="348"/>
    </row>
    <row r="364" spans="10:13">
      <c r="J364" s="343"/>
      <c r="M364" s="348"/>
    </row>
    <row r="365" spans="10:13">
      <c r="J365" s="343"/>
      <c r="M365" s="348"/>
    </row>
    <row r="366" spans="10:13">
      <c r="J366" s="343"/>
      <c r="M366" s="348"/>
    </row>
    <row r="367" spans="10:13">
      <c r="J367" s="343"/>
      <c r="M367" s="348"/>
    </row>
    <row r="368" spans="10:13">
      <c r="J368" s="343"/>
      <c r="M368" s="348"/>
    </row>
    <row r="369" spans="10:13">
      <c r="J369" s="343"/>
      <c r="M369" s="348"/>
    </row>
    <row r="370" spans="10:13">
      <c r="J370" s="343"/>
      <c r="M370" s="348"/>
    </row>
    <row r="371" spans="10:13">
      <c r="J371" s="343"/>
      <c r="M371" s="348"/>
    </row>
    <row r="372" spans="10:13">
      <c r="J372" s="343"/>
      <c r="M372" s="348"/>
    </row>
    <row r="373" spans="10:13">
      <c r="J373" s="343"/>
      <c r="M373" s="348"/>
    </row>
    <row r="374" spans="10:13">
      <c r="J374" s="343"/>
      <c r="M374" s="348"/>
    </row>
    <row r="375" spans="10:13">
      <c r="J375" s="343"/>
      <c r="M375" s="348"/>
    </row>
    <row r="376" spans="10:13">
      <c r="J376" s="343"/>
      <c r="M376" s="348"/>
    </row>
    <row r="377" spans="10:13">
      <c r="J377" s="343"/>
      <c r="M377" s="348"/>
    </row>
    <row r="378" spans="10:13">
      <c r="J378" s="343"/>
      <c r="M378" s="348"/>
    </row>
    <row r="379" spans="10:13">
      <c r="J379" s="343"/>
      <c r="M379" s="348"/>
    </row>
    <row r="380" spans="10:13">
      <c r="J380" s="343"/>
      <c r="M380" s="348"/>
    </row>
    <row r="381" spans="10:13">
      <c r="J381" s="343"/>
      <c r="M381" s="348"/>
    </row>
    <row r="382" spans="10:13">
      <c r="J382" s="343"/>
      <c r="M382" s="348"/>
    </row>
    <row r="383" spans="10:13">
      <c r="J383" s="343"/>
      <c r="M383" s="348"/>
    </row>
    <row r="384" spans="10:13">
      <c r="J384" s="343"/>
      <c r="M384" s="348"/>
    </row>
    <row r="385" spans="10:13">
      <c r="J385" s="343"/>
      <c r="M385" s="348"/>
    </row>
    <row r="386" spans="10:13">
      <c r="J386" s="343"/>
      <c r="M386" s="348"/>
    </row>
    <row r="387" spans="10:13">
      <c r="J387" s="343"/>
      <c r="M387" s="348"/>
    </row>
    <row r="388" spans="10:13">
      <c r="J388" s="343"/>
      <c r="M388" s="348"/>
    </row>
    <row r="389" spans="10:13">
      <c r="J389" s="343"/>
      <c r="M389" s="348"/>
    </row>
    <row r="390" spans="10:13">
      <c r="J390" s="343"/>
      <c r="M390" s="348"/>
    </row>
    <row r="391" spans="10:13">
      <c r="J391" s="343"/>
      <c r="M391" s="348"/>
    </row>
    <row r="392" spans="10:13">
      <c r="J392" s="343"/>
      <c r="M392" s="348"/>
    </row>
    <row r="393" spans="10:13">
      <c r="J393" s="343"/>
      <c r="M393" s="348"/>
    </row>
    <row r="394" spans="10:13">
      <c r="J394" s="343"/>
      <c r="M394" s="348"/>
    </row>
    <row r="395" spans="10:13">
      <c r="J395" s="343"/>
      <c r="M395" s="348"/>
    </row>
    <row r="396" spans="10:13">
      <c r="J396" s="343"/>
      <c r="M396" s="348"/>
    </row>
    <row r="397" spans="10:13">
      <c r="J397" s="343"/>
      <c r="M397" s="348"/>
    </row>
    <row r="398" spans="10:13">
      <c r="J398" s="343"/>
      <c r="M398" s="348"/>
    </row>
    <row r="399" spans="10:13">
      <c r="J399" s="343"/>
      <c r="M399" s="348"/>
    </row>
    <row r="400" spans="10:13">
      <c r="J400" s="343"/>
      <c r="M400" s="348"/>
    </row>
  </sheetData>
  <dataValidations count="2">
    <dataValidation type="list" allowBlank="1" showInputMessage="1" showErrorMessage="1" sqref="R6">
      <formula1>CurrentYear</formula1>
    </dataValidation>
    <dataValidation type="list" allowBlank="1" showInputMessage="1" showErrorMessage="1" sqref="R9 R12">
      <formula1>YesNo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N407"/>
  <sheetViews>
    <sheetView zoomScale="85" zoomScaleNormal="85" workbookViewId="0"/>
  </sheetViews>
  <sheetFormatPr defaultRowHeight="14.4"/>
  <cols>
    <col min="1" max="1" width="8.6640625" style="153" customWidth="1"/>
    <col min="2" max="2" width="35.33203125" style="153" bestFit="1" customWidth="1"/>
    <col min="3" max="3" width="8" style="153" bestFit="1" customWidth="1"/>
    <col min="4" max="4" width="4.109375" style="153" bestFit="1" customWidth="1"/>
    <col min="5" max="5" width="9" style="134" bestFit="1" customWidth="1"/>
    <col min="6" max="7" width="10.5546875" style="134" bestFit="1" customWidth="1"/>
    <col min="8" max="9" width="9.5546875" style="134" bestFit="1" customWidth="1"/>
    <col min="10" max="10" width="18.6640625" style="134" customWidth="1"/>
    <col min="11" max="12" width="18.6640625" style="146" customWidth="1"/>
    <col min="13" max="13" width="18.6640625" style="134" customWidth="1"/>
    <col min="14" max="15" width="10.88671875" style="134" bestFit="1" customWidth="1"/>
    <col min="16" max="16" width="14.33203125" style="134" bestFit="1" customWidth="1"/>
    <col min="17" max="17" width="14.33203125" style="145" bestFit="1" customWidth="1"/>
    <col min="18" max="18" width="11.44140625" style="134" bestFit="1" customWidth="1"/>
    <col min="19" max="19" width="14.33203125" style="134" bestFit="1" customWidth="1"/>
    <col min="20" max="20" width="16.5546875" style="147" customWidth="1" collapsed="1"/>
    <col min="21" max="21" width="16.5546875" style="147" customWidth="1"/>
    <col min="22" max="23" width="16.5546875" style="166" customWidth="1"/>
    <col min="24" max="25" width="13.33203125" style="166" customWidth="1"/>
    <col min="26" max="26" width="13.33203125" style="134" customWidth="1"/>
    <col min="27" max="27" width="11.6640625" style="134" bestFit="1" customWidth="1" collapsed="1"/>
    <col min="28" max="29" width="11.6640625" style="134" bestFit="1" customWidth="1"/>
    <col min="30" max="30" width="11" style="153" bestFit="1" customWidth="1"/>
    <col min="31" max="33" width="11" style="153" customWidth="1"/>
    <col min="34" max="35" width="14.33203125" style="153" bestFit="1" customWidth="1"/>
    <col min="36" max="41" width="11" style="134" customWidth="1"/>
    <col min="42" max="42" width="11" style="134" customWidth="1" collapsed="1"/>
    <col min="43" max="46" width="8.109375" style="134" bestFit="1" customWidth="1"/>
    <col min="47" max="48" width="9" style="134" bestFit="1" customWidth="1"/>
    <col min="49" max="49" width="10" style="134" bestFit="1" customWidth="1"/>
    <col min="50" max="50" width="9.109375" style="134"/>
    <col min="51" max="59" width="13.6640625" style="134" customWidth="1"/>
    <col min="60" max="255" width="9.109375" style="134"/>
    <col min="256" max="256" width="0" style="134" hidden="1" customWidth="1"/>
    <col min="257" max="257" width="9.109375" style="134"/>
    <col min="258" max="258" width="28.109375" style="134" customWidth="1"/>
    <col min="259" max="260" width="0" style="134" hidden="1" customWidth="1"/>
    <col min="261" max="267" width="11" style="134" customWidth="1"/>
    <col min="268" max="269" width="0" style="134" hidden="1" customWidth="1"/>
    <col min="270" max="271" width="11" style="134" customWidth="1"/>
    <col min="272" max="273" width="0" style="134" hidden="1" customWidth="1"/>
    <col min="274" max="274" width="11" style="134" customWidth="1"/>
    <col min="275" max="275" width="16.5546875" style="134" customWidth="1"/>
    <col min="276" max="279" width="11" style="134" customWidth="1"/>
    <col min="280" max="281" width="11.109375" style="134" customWidth="1"/>
    <col min="282" max="305" width="11" style="134" customWidth="1"/>
    <col min="306" max="511" width="9.109375" style="134"/>
    <col min="512" max="512" width="0" style="134" hidden="1" customWidth="1"/>
    <col min="513" max="513" width="9.109375" style="134"/>
    <col min="514" max="514" width="28.109375" style="134" customWidth="1"/>
    <col min="515" max="516" width="0" style="134" hidden="1" customWidth="1"/>
    <col min="517" max="523" width="11" style="134" customWidth="1"/>
    <col min="524" max="525" width="0" style="134" hidden="1" customWidth="1"/>
    <col min="526" max="527" width="11" style="134" customWidth="1"/>
    <col min="528" max="529" width="0" style="134" hidden="1" customWidth="1"/>
    <col min="530" max="530" width="11" style="134" customWidth="1"/>
    <col min="531" max="531" width="16.5546875" style="134" customWidth="1"/>
    <col min="532" max="535" width="11" style="134" customWidth="1"/>
    <col min="536" max="537" width="11.109375" style="134" customWidth="1"/>
    <col min="538" max="561" width="11" style="134" customWidth="1"/>
    <col min="562" max="767" width="9.109375" style="134"/>
    <col min="768" max="768" width="0" style="134" hidden="1" customWidth="1"/>
    <col min="769" max="769" width="9.109375" style="134"/>
    <col min="770" max="770" width="28.109375" style="134" customWidth="1"/>
    <col min="771" max="772" width="0" style="134" hidden="1" customWidth="1"/>
    <col min="773" max="779" width="11" style="134" customWidth="1"/>
    <col min="780" max="781" width="0" style="134" hidden="1" customWidth="1"/>
    <col min="782" max="783" width="11" style="134" customWidth="1"/>
    <col min="784" max="785" width="0" style="134" hidden="1" customWidth="1"/>
    <col min="786" max="786" width="11" style="134" customWidth="1"/>
    <col min="787" max="787" width="16.5546875" style="134" customWidth="1"/>
    <col min="788" max="791" width="11" style="134" customWidth="1"/>
    <col min="792" max="793" width="11.109375" style="134" customWidth="1"/>
    <col min="794" max="817" width="11" style="134" customWidth="1"/>
    <col min="818" max="1023" width="9.109375" style="134"/>
    <col min="1024" max="1024" width="0" style="134" hidden="1" customWidth="1"/>
    <col min="1025" max="1025" width="9.109375" style="134"/>
    <col min="1026" max="1026" width="28.109375" style="134" customWidth="1"/>
    <col min="1027" max="1028" width="0" style="134" hidden="1" customWidth="1"/>
    <col min="1029" max="1035" width="11" style="134" customWidth="1"/>
    <col min="1036" max="1037" width="0" style="134" hidden="1" customWidth="1"/>
    <col min="1038" max="1039" width="11" style="134" customWidth="1"/>
    <col min="1040" max="1041" width="0" style="134" hidden="1" customWidth="1"/>
    <col min="1042" max="1042" width="11" style="134" customWidth="1"/>
    <col min="1043" max="1043" width="16.5546875" style="134" customWidth="1"/>
    <col min="1044" max="1047" width="11" style="134" customWidth="1"/>
    <col min="1048" max="1049" width="11.109375" style="134" customWidth="1"/>
    <col min="1050" max="1073" width="11" style="134" customWidth="1"/>
    <col min="1074" max="1279" width="9.109375" style="134"/>
    <col min="1280" max="1280" width="0" style="134" hidden="1" customWidth="1"/>
    <col min="1281" max="1281" width="9.109375" style="134"/>
    <col min="1282" max="1282" width="28.109375" style="134" customWidth="1"/>
    <col min="1283" max="1284" width="0" style="134" hidden="1" customWidth="1"/>
    <col min="1285" max="1291" width="11" style="134" customWidth="1"/>
    <col min="1292" max="1293" width="0" style="134" hidden="1" customWidth="1"/>
    <col min="1294" max="1295" width="11" style="134" customWidth="1"/>
    <col min="1296" max="1297" width="0" style="134" hidden="1" customWidth="1"/>
    <col min="1298" max="1298" width="11" style="134" customWidth="1"/>
    <col min="1299" max="1299" width="16.5546875" style="134" customWidth="1"/>
    <col min="1300" max="1303" width="11" style="134" customWidth="1"/>
    <col min="1304" max="1305" width="11.109375" style="134" customWidth="1"/>
    <col min="1306" max="1329" width="11" style="134" customWidth="1"/>
    <col min="1330" max="1535" width="9.109375" style="134"/>
    <col min="1536" max="1536" width="0" style="134" hidden="1" customWidth="1"/>
    <col min="1537" max="1537" width="9.109375" style="134"/>
    <col min="1538" max="1538" width="28.109375" style="134" customWidth="1"/>
    <col min="1539" max="1540" width="0" style="134" hidden="1" customWidth="1"/>
    <col min="1541" max="1547" width="11" style="134" customWidth="1"/>
    <col min="1548" max="1549" width="0" style="134" hidden="1" customWidth="1"/>
    <col min="1550" max="1551" width="11" style="134" customWidth="1"/>
    <col min="1552" max="1553" width="0" style="134" hidden="1" customWidth="1"/>
    <col min="1554" max="1554" width="11" style="134" customWidth="1"/>
    <col min="1555" max="1555" width="16.5546875" style="134" customWidth="1"/>
    <col min="1556" max="1559" width="11" style="134" customWidth="1"/>
    <col min="1560" max="1561" width="11.109375" style="134" customWidth="1"/>
    <col min="1562" max="1585" width="11" style="134" customWidth="1"/>
    <col min="1586" max="1791" width="9.109375" style="134"/>
    <col min="1792" max="1792" width="0" style="134" hidden="1" customWidth="1"/>
    <col min="1793" max="1793" width="9.109375" style="134"/>
    <col min="1794" max="1794" width="28.109375" style="134" customWidth="1"/>
    <col min="1795" max="1796" width="0" style="134" hidden="1" customWidth="1"/>
    <col min="1797" max="1803" width="11" style="134" customWidth="1"/>
    <col min="1804" max="1805" width="0" style="134" hidden="1" customWidth="1"/>
    <col min="1806" max="1807" width="11" style="134" customWidth="1"/>
    <col min="1808" max="1809" width="0" style="134" hidden="1" customWidth="1"/>
    <col min="1810" max="1810" width="11" style="134" customWidth="1"/>
    <col min="1811" max="1811" width="16.5546875" style="134" customWidth="1"/>
    <col min="1812" max="1815" width="11" style="134" customWidth="1"/>
    <col min="1816" max="1817" width="11.109375" style="134" customWidth="1"/>
    <col min="1818" max="1841" width="11" style="134" customWidth="1"/>
    <col min="1842" max="2047" width="9.109375" style="134"/>
    <col min="2048" max="2048" width="0" style="134" hidden="1" customWidth="1"/>
    <col min="2049" max="2049" width="9.109375" style="134"/>
    <col min="2050" max="2050" width="28.109375" style="134" customWidth="1"/>
    <col min="2051" max="2052" width="0" style="134" hidden="1" customWidth="1"/>
    <col min="2053" max="2059" width="11" style="134" customWidth="1"/>
    <col min="2060" max="2061" width="0" style="134" hidden="1" customWidth="1"/>
    <col min="2062" max="2063" width="11" style="134" customWidth="1"/>
    <col min="2064" max="2065" width="0" style="134" hidden="1" customWidth="1"/>
    <col min="2066" max="2066" width="11" style="134" customWidth="1"/>
    <col min="2067" max="2067" width="16.5546875" style="134" customWidth="1"/>
    <col min="2068" max="2071" width="11" style="134" customWidth="1"/>
    <col min="2072" max="2073" width="11.109375" style="134" customWidth="1"/>
    <col min="2074" max="2097" width="11" style="134" customWidth="1"/>
    <col min="2098" max="2303" width="9.109375" style="134"/>
    <col min="2304" max="2304" width="0" style="134" hidden="1" customWidth="1"/>
    <col min="2305" max="2305" width="9.109375" style="134"/>
    <col min="2306" max="2306" width="28.109375" style="134" customWidth="1"/>
    <col min="2307" max="2308" width="0" style="134" hidden="1" customWidth="1"/>
    <col min="2309" max="2315" width="11" style="134" customWidth="1"/>
    <col min="2316" max="2317" width="0" style="134" hidden="1" customWidth="1"/>
    <col min="2318" max="2319" width="11" style="134" customWidth="1"/>
    <col min="2320" max="2321" width="0" style="134" hidden="1" customWidth="1"/>
    <col min="2322" max="2322" width="11" style="134" customWidth="1"/>
    <col min="2323" max="2323" width="16.5546875" style="134" customWidth="1"/>
    <col min="2324" max="2327" width="11" style="134" customWidth="1"/>
    <col min="2328" max="2329" width="11.109375" style="134" customWidth="1"/>
    <col min="2330" max="2353" width="11" style="134" customWidth="1"/>
    <col min="2354" max="2559" width="9.109375" style="134"/>
    <col min="2560" max="2560" width="0" style="134" hidden="1" customWidth="1"/>
    <col min="2561" max="2561" width="9.109375" style="134"/>
    <col min="2562" max="2562" width="28.109375" style="134" customWidth="1"/>
    <col min="2563" max="2564" width="0" style="134" hidden="1" customWidth="1"/>
    <col min="2565" max="2571" width="11" style="134" customWidth="1"/>
    <col min="2572" max="2573" width="0" style="134" hidden="1" customWidth="1"/>
    <col min="2574" max="2575" width="11" style="134" customWidth="1"/>
    <col min="2576" max="2577" width="0" style="134" hidden="1" customWidth="1"/>
    <col min="2578" max="2578" width="11" style="134" customWidth="1"/>
    <col min="2579" max="2579" width="16.5546875" style="134" customWidth="1"/>
    <col min="2580" max="2583" width="11" style="134" customWidth="1"/>
    <col min="2584" max="2585" width="11.109375" style="134" customWidth="1"/>
    <col min="2586" max="2609" width="11" style="134" customWidth="1"/>
    <col min="2610" max="2815" width="9.109375" style="134"/>
    <col min="2816" max="2816" width="0" style="134" hidden="1" customWidth="1"/>
    <col min="2817" max="2817" width="9.109375" style="134"/>
    <col min="2818" max="2818" width="28.109375" style="134" customWidth="1"/>
    <col min="2819" max="2820" width="0" style="134" hidden="1" customWidth="1"/>
    <col min="2821" max="2827" width="11" style="134" customWidth="1"/>
    <col min="2828" max="2829" width="0" style="134" hidden="1" customWidth="1"/>
    <col min="2830" max="2831" width="11" style="134" customWidth="1"/>
    <col min="2832" max="2833" width="0" style="134" hidden="1" customWidth="1"/>
    <col min="2834" max="2834" width="11" style="134" customWidth="1"/>
    <col min="2835" max="2835" width="16.5546875" style="134" customWidth="1"/>
    <col min="2836" max="2839" width="11" style="134" customWidth="1"/>
    <col min="2840" max="2841" width="11.109375" style="134" customWidth="1"/>
    <col min="2842" max="2865" width="11" style="134" customWidth="1"/>
    <col min="2866" max="3071" width="9.109375" style="134"/>
    <col min="3072" max="3072" width="0" style="134" hidden="1" customWidth="1"/>
    <col min="3073" max="3073" width="9.109375" style="134"/>
    <col min="3074" max="3074" width="28.109375" style="134" customWidth="1"/>
    <col min="3075" max="3076" width="0" style="134" hidden="1" customWidth="1"/>
    <col min="3077" max="3083" width="11" style="134" customWidth="1"/>
    <col min="3084" max="3085" width="0" style="134" hidden="1" customWidth="1"/>
    <col min="3086" max="3087" width="11" style="134" customWidth="1"/>
    <col min="3088" max="3089" width="0" style="134" hidden="1" customWidth="1"/>
    <col min="3090" max="3090" width="11" style="134" customWidth="1"/>
    <col min="3091" max="3091" width="16.5546875" style="134" customWidth="1"/>
    <col min="3092" max="3095" width="11" style="134" customWidth="1"/>
    <col min="3096" max="3097" width="11.109375" style="134" customWidth="1"/>
    <col min="3098" max="3121" width="11" style="134" customWidth="1"/>
    <col min="3122" max="3327" width="9.109375" style="134"/>
    <col min="3328" max="3328" width="0" style="134" hidden="1" customWidth="1"/>
    <col min="3329" max="3329" width="9.109375" style="134"/>
    <col min="3330" max="3330" width="28.109375" style="134" customWidth="1"/>
    <col min="3331" max="3332" width="0" style="134" hidden="1" customWidth="1"/>
    <col min="3333" max="3339" width="11" style="134" customWidth="1"/>
    <col min="3340" max="3341" width="0" style="134" hidden="1" customWidth="1"/>
    <col min="3342" max="3343" width="11" style="134" customWidth="1"/>
    <col min="3344" max="3345" width="0" style="134" hidden="1" customWidth="1"/>
    <col min="3346" max="3346" width="11" style="134" customWidth="1"/>
    <col min="3347" max="3347" width="16.5546875" style="134" customWidth="1"/>
    <col min="3348" max="3351" width="11" style="134" customWidth="1"/>
    <col min="3352" max="3353" width="11.109375" style="134" customWidth="1"/>
    <col min="3354" max="3377" width="11" style="134" customWidth="1"/>
    <col min="3378" max="3583" width="9.109375" style="134"/>
    <col min="3584" max="3584" width="0" style="134" hidden="1" customWidth="1"/>
    <col min="3585" max="3585" width="9.109375" style="134"/>
    <col min="3586" max="3586" width="28.109375" style="134" customWidth="1"/>
    <col min="3587" max="3588" width="0" style="134" hidden="1" customWidth="1"/>
    <col min="3589" max="3595" width="11" style="134" customWidth="1"/>
    <col min="3596" max="3597" width="0" style="134" hidden="1" customWidth="1"/>
    <col min="3598" max="3599" width="11" style="134" customWidth="1"/>
    <col min="3600" max="3601" width="0" style="134" hidden="1" customWidth="1"/>
    <col min="3602" max="3602" width="11" style="134" customWidth="1"/>
    <col min="3603" max="3603" width="16.5546875" style="134" customWidth="1"/>
    <col min="3604" max="3607" width="11" style="134" customWidth="1"/>
    <col min="3608" max="3609" width="11.109375" style="134" customWidth="1"/>
    <col min="3610" max="3633" width="11" style="134" customWidth="1"/>
    <col min="3634" max="3839" width="9.109375" style="134"/>
    <col min="3840" max="3840" width="0" style="134" hidden="1" customWidth="1"/>
    <col min="3841" max="3841" width="9.109375" style="134"/>
    <col min="3842" max="3842" width="28.109375" style="134" customWidth="1"/>
    <col min="3843" max="3844" width="0" style="134" hidden="1" customWidth="1"/>
    <col min="3845" max="3851" width="11" style="134" customWidth="1"/>
    <col min="3852" max="3853" width="0" style="134" hidden="1" customWidth="1"/>
    <col min="3854" max="3855" width="11" style="134" customWidth="1"/>
    <col min="3856" max="3857" width="0" style="134" hidden="1" customWidth="1"/>
    <col min="3858" max="3858" width="11" style="134" customWidth="1"/>
    <col min="3859" max="3859" width="16.5546875" style="134" customWidth="1"/>
    <col min="3860" max="3863" width="11" style="134" customWidth="1"/>
    <col min="3864" max="3865" width="11.109375" style="134" customWidth="1"/>
    <col min="3866" max="3889" width="11" style="134" customWidth="1"/>
    <col min="3890" max="4095" width="9.109375" style="134"/>
    <col min="4096" max="4096" width="0" style="134" hidden="1" customWidth="1"/>
    <col min="4097" max="4097" width="9.109375" style="134"/>
    <col min="4098" max="4098" width="28.109375" style="134" customWidth="1"/>
    <col min="4099" max="4100" width="0" style="134" hidden="1" customWidth="1"/>
    <col min="4101" max="4107" width="11" style="134" customWidth="1"/>
    <col min="4108" max="4109" width="0" style="134" hidden="1" customWidth="1"/>
    <col min="4110" max="4111" width="11" style="134" customWidth="1"/>
    <col min="4112" max="4113" width="0" style="134" hidden="1" customWidth="1"/>
    <col min="4114" max="4114" width="11" style="134" customWidth="1"/>
    <col min="4115" max="4115" width="16.5546875" style="134" customWidth="1"/>
    <col min="4116" max="4119" width="11" style="134" customWidth="1"/>
    <col min="4120" max="4121" width="11.109375" style="134" customWidth="1"/>
    <col min="4122" max="4145" width="11" style="134" customWidth="1"/>
    <col min="4146" max="4351" width="9.109375" style="134"/>
    <col min="4352" max="4352" width="0" style="134" hidden="1" customWidth="1"/>
    <col min="4353" max="4353" width="9.109375" style="134"/>
    <col min="4354" max="4354" width="28.109375" style="134" customWidth="1"/>
    <col min="4355" max="4356" width="0" style="134" hidden="1" customWidth="1"/>
    <col min="4357" max="4363" width="11" style="134" customWidth="1"/>
    <col min="4364" max="4365" width="0" style="134" hidden="1" customWidth="1"/>
    <col min="4366" max="4367" width="11" style="134" customWidth="1"/>
    <col min="4368" max="4369" width="0" style="134" hidden="1" customWidth="1"/>
    <col min="4370" max="4370" width="11" style="134" customWidth="1"/>
    <col min="4371" max="4371" width="16.5546875" style="134" customWidth="1"/>
    <col min="4372" max="4375" width="11" style="134" customWidth="1"/>
    <col min="4376" max="4377" width="11.109375" style="134" customWidth="1"/>
    <col min="4378" max="4401" width="11" style="134" customWidth="1"/>
    <col min="4402" max="4607" width="9.109375" style="134"/>
    <col min="4608" max="4608" width="0" style="134" hidden="1" customWidth="1"/>
    <col min="4609" max="4609" width="9.109375" style="134"/>
    <col min="4610" max="4610" width="28.109375" style="134" customWidth="1"/>
    <col min="4611" max="4612" width="0" style="134" hidden="1" customWidth="1"/>
    <col min="4613" max="4619" width="11" style="134" customWidth="1"/>
    <col min="4620" max="4621" width="0" style="134" hidden="1" customWidth="1"/>
    <col min="4622" max="4623" width="11" style="134" customWidth="1"/>
    <col min="4624" max="4625" width="0" style="134" hidden="1" customWidth="1"/>
    <col min="4626" max="4626" width="11" style="134" customWidth="1"/>
    <col min="4627" max="4627" width="16.5546875" style="134" customWidth="1"/>
    <col min="4628" max="4631" width="11" style="134" customWidth="1"/>
    <col min="4632" max="4633" width="11.109375" style="134" customWidth="1"/>
    <col min="4634" max="4657" width="11" style="134" customWidth="1"/>
    <col min="4658" max="4863" width="9.109375" style="134"/>
    <col min="4864" max="4864" width="0" style="134" hidden="1" customWidth="1"/>
    <col min="4865" max="4865" width="9.109375" style="134"/>
    <col min="4866" max="4866" width="28.109375" style="134" customWidth="1"/>
    <col min="4867" max="4868" width="0" style="134" hidden="1" customWidth="1"/>
    <col min="4869" max="4875" width="11" style="134" customWidth="1"/>
    <col min="4876" max="4877" width="0" style="134" hidden="1" customWidth="1"/>
    <col min="4878" max="4879" width="11" style="134" customWidth="1"/>
    <col min="4880" max="4881" width="0" style="134" hidden="1" customWidth="1"/>
    <col min="4882" max="4882" width="11" style="134" customWidth="1"/>
    <col min="4883" max="4883" width="16.5546875" style="134" customWidth="1"/>
    <col min="4884" max="4887" width="11" style="134" customWidth="1"/>
    <col min="4888" max="4889" width="11.109375" style="134" customWidth="1"/>
    <col min="4890" max="4913" width="11" style="134" customWidth="1"/>
    <col min="4914" max="5119" width="9.109375" style="134"/>
    <col min="5120" max="5120" width="0" style="134" hidden="1" customWidth="1"/>
    <col min="5121" max="5121" width="9.109375" style="134"/>
    <col min="5122" max="5122" width="28.109375" style="134" customWidth="1"/>
    <col min="5123" max="5124" width="0" style="134" hidden="1" customWidth="1"/>
    <col min="5125" max="5131" width="11" style="134" customWidth="1"/>
    <col min="5132" max="5133" width="0" style="134" hidden="1" customWidth="1"/>
    <col min="5134" max="5135" width="11" style="134" customWidth="1"/>
    <col min="5136" max="5137" width="0" style="134" hidden="1" customWidth="1"/>
    <col min="5138" max="5138" width="11" style="134" customWidth="1"/>
    <col min="5139" max="5139" width="16.5546875" style="134" customWidth="1"/>
    <col min="5140" max="5143" width="11" style="134" customWidth="1"/>
    <col min="5144" max="5145" width="11.109375" style="134" customWidth="1"/>
    <col min="5146" max="5169" width="11" style="134" customWidth="1"/>
    <col min="5170" max="5375" width="9.109375" style="134"/>
    <col min="5376" max="5376" width="0" style="134" hidden="1" customWidth="1"/>
    <col min="5377" max="5377" width="9.109375" style="134"/>
    <col min="5378" max="5378" width="28.109375" style="134" customWidth="1"/>
    <col min="5379" max="5380" width="0" style="134" hidden="1" customWidth="1"/>
    <col min="5381" max="5387" width="11" style="134" customWidth="1"/>
    <col min="5388" max="5389" width="0" style="134" hidden="1" customWidth="1"/>
    <col min="5390" max="5391" width="11" style="134" customWidth="1"/>
    <col min="5392" max="5393" width="0" style="134" hidden="1" customWidth="1"/>
    <col min="5394" max="5394" width="11" style="134" customWidth="1"/>
    <col min="5395" max="5395" width="16.5546875" style="134" customWidth="1"/>
    <col min="5396" max="5399" width="11" style="134" customWidth="1"/>
    <col min="5400" max="5401" width="11.109375" style="134" customWidth="1"/>
    <col min="5402" max="5425" width="11" style="134" customWidth="1"/>
    <col min="5426" max="5631" width="9.109375" style="134"/>
    <col min="5632" max="5632" width="0" style="134" hidden="1" customWidth="1"/>
    <col min="5633" max="5633" width="9.109375" style="134"/>
    <col min="5634" max="5634" width="28.109375" style="134" customWidth="1"/>
    <col min="5635" max="5636" width="0" style="134" hidden="1" customWidth="1"/>
    <col min="5637" max="5643" width="11" style="134" customWidth="1"/>
    <col min="5644" max="5645" width="0" style="134" hidden="1" customWidth="1"/>
    <col min="5646" max="5647" width="11" style="134" customWidth="1"/>
    <col min="5648" max="5649" width="0" style="134" hidden="1" customWidth="1"/>
    <col min="5650" max="5650" width="11" style="134" customWidth="1"/>
    <col min="5651" max="5651" width="16.5546875" style="134" customWidth="1"/>
    <col min="5652" max="5655" width="11" style="134" customWidth="1"/>
    <col min="5656" max="5657" width="11.109375" style="134" customWidth="1"/>
    <col min="5658" max="5681" width="11" style="134" customWidth="1"/>
    <col min="5682" max="5887" width="9.109375" style="134"/>
    <col min="5888" max="5888" width="0" style="134" hidden="1" customWidth="1"/>
    <col min="5889" max="5889" width="9.109375" style="134"/>
    <col min="5890" max="5890" width="28.109375" style="134" customWidth="1"/>
    <col min="5891" max="5892" width="0" style="134" hidden="1" customWidth="1"/>
    <col min="5893" max="5899" width="11" style="134" customWidth="1"/>
    <col min="5900" max="5901" width="0" style="134" hidden="1" customWidth="1"/>
    <col min="5902" max="5903" width="11" style="134" customWidth="1"/>
    <col min="5904" max="5905" width="0" style="134" hidden="1" customWidth="1"/>
    <col min="5906" max="5906" width="11" style="134" customWidth="1"/>
    <col min="5907" max="5907" width="16.5546875" style="134" customWidth="1"/>
    <col min="5908" max="5911" width="11" style="134" customWidth="1"/>
    <col min="5912" max="5913" width="11.109375" style="134" customWidth="1"/>
    <col min="5914" max="5937" width="11" style="134" customWidth="1"/>
    <col min="5938" max="6143" width="9.109375" style="134"/>
    <col min="6144" max="6144" width="0" style="134" hidden="1" customWidth="1"/>
    <col min="6145" max="6145" width="9.109375" style="134"/>
    <col min="6146" max="6146" width="28.109375" style="134" customWidth="1"/>
    <col min="6147" max="6148" width="0" style="134" hidden="1" customWidth="1"/>
    <col min="6149" max="6155" width="11" style="134" customWidth="1"/>
    <col min="6156" max="6157" width="0" style="134" hidden="1" customWidth="1"/>
    <col min="6158" max="6159" width="11" style="134" customWidth="1"/>
    <col min="6160" max="6161" width="0" style="134" hidden="1" customWidth="1"/>
    <col min="6162" max="6162" width="11" style="134" customWidth="1"/>
    <col min="6163" max="6163" width="16.5546875" style="134" customWidth="1"/>
    <col min="6164" max="6167" width="11" style="134" customWidth="1"/>
    <col min="6168" max="6169" width="11.109375" style="134" customWidth="1"/>
    <col min="6170" max="6193" width="11" style="134" customWidth="1"/>
    <col min="6194" max="6399" width="9.109375" style="134"/>
    <col min="6400" max="6400" width="0" style="134" hidden="1" customWidth="1"/>
    <col min="6401" max="6401" width="9.109375" style="134"/>
    <col min="6402" max="6402" width="28.109375" style="134" customWidth="1"/>
    <col min="6403" max="6404" width="0" style="134" hidden="1" customWidth="1"/>
    <col min="6405" max="6411" width="11" style="134" customWidth="1"/>
    <col min="6412" max="6413" width="0" style="134" hidden="1" customWidth="1"/>
    <col min="6414" max="6415" width="11" style="134" customWidth="1"/>
    <col min="6416" max="6417" width="0" style="134" hidden="1" customWidth="1"/>
    <col min="6418" max="6418" width="11" style="134" customWidth="1"/>
    <col min="6419" max="6419" width="16.5546875" style="134" customWidth="1"/>
    <col min="6420" max="6423" width="11" style="134" customWidth="1"/>
    <col min="6424" max="6425" width="11.109375" style="134" customWidth="1"/>
    <col min="6426" max="6449" width="11" style="134" customWidth="1"/>
    <col min="6450" max="6655" width="9.109375" style="134"/>
    <col min="6656" max="6656" width="0" style="134" hidden="1" customWidth="1"/>
    <col min="6657" max="6657" width="9.109375" style="134"/>
    <col min="6658" max="6658" width="28.109375" style="134" customWidth="1"/>
    <col min="6659" max="6660" width="0" style="134" hidden="1" customWidth="1"/>
    <col min="6661" max="6667" width="11" style="134" customWidth="1"/>
    <col min="6668" max="6669" width="0" style="134" hidden="1" customWidth="1"/>
    <col min="6670" max="6671" width="11" style="134" customWidth="1"/>
    <col min="6672" max="6673" width="0" style="134" hidden="1" customWidth="1"/>
    <col min="6674" max="6674" width="11" style="134" customWidth="1"/>
    <col min="6675" max="6675" width="16.5546875" style="134" customWidth="1"/>
    <col min="6676" max="6679" width="11" style="134" customWidth="1"/>
    <col min="6680" max="6681" width="11.109375" style="134" customWidth="1"/>
    <col min="6682" max="6705" width="11" style="134" customWidth="1"/>
    <col min="6706" max="6911" width="9.109375" style="134"/>
    <col min="6912" max="6912" width="0" style="134" hidden="1" customWidth="1"/>
    <col min="6913" max="6913" width="9.109375" style="134"/>
    <col min="6914" max="6914" width="28.109375" style="134" customWidth="1"/>
    <col min="6915" max="6916" width="0" style="134" hidden="1" customWidth="1"/>
    <col min="6917" max="6923" width="11" style="134" customWidth="1"/>
    <col min="6924" max="6925" width="0" style="134" hidden="1" customWidth="1"/>
    <col min="6926" max="6927" width="11" style="134" customWidth="1"/>
    <col min="6928" max="6929" width="0" style="134" hidden="1" customWidth="1"/>
    <col min="6930" max="6930" width="11" style="134" customWidth="1"/>
    <col min="6931" max="6931" width="16.5546875" style="134" customWidth="1"/>
    <col min="6932" max="6935" width="11" style="134" customWidth="1"/>
    <col min="6936" max="6937" width="11.109375" style="134" customWidth="1"/>
    <col min="6938" max="6961" width="11" style="134" customWidth="1"/>
    <col min="6962" max="7167" width="9.109375" style="134"/>
    <col min="7168" max="7168" width="0" style="134" hidden="1" customWidth="1"/>
    <col min="7169" max="7169" width="9.109375" style="134"/>
    <col min="7170" max="7170" width="28.109375" style="134" customWidth="1"/>
    <col min="7171" max="7172" width="0" style="134" hidden="1" customWidth="1"/>
    <col min="7173" max="7179" width="11" style="134" customWidth="1"/>
    <col min="7180" max="7181" width="0" style="134" hidden="1" customWidth="1"/>
    <col min="7182" max="7183" width="11" style="134" customWidth="1"/>
    <col min="7184" max="7185" width="0" style="134" hidden="1" customWidth="1"/>
    <col min="7186" max="7186" width="11" style="134" customWidth="1"/>
    <col min="7187" max="7187" width="16.5546875" style="134" customWidth="1"/>
    <col min="7188" max="7191" width="11" style="134" customWidth="1"/>
    <col min="7192" max="7193" width="11.109375" style="134" customWidth="1"/>
    <col min="7194" max="7217" width="11" style="134" customWidth="1"/>
    <col min="7218" max="7423" width="9.109375" style="134"/>
    <col min="7424" max="7424" width="0" style="134" hidden="1" customWidth="1"/>
    <col min="7425" max="7425" width="9.109375" style="134"/>
    <col min="7426" max="7426" width="28.109375" style="134" customWidth="1"/>
    <col min="7427" max="7428" width="0" style="134" hidden="1" customWidth="1"/>
    <col min="7429" max="7435" width="11" style="134" customWidth="1"/>
    <col min="7436" max="7437" width="0" style="134" hidden="1" customWidth="1"/>
    <col min="7438" max="7439" width="11" style="134" customWidth="1"/>
    <col min="7440" max="7441" width="0" style="134" hidden="1" customWidth="1"/>
    <col min="7442" max="7442" width="11" style="134" customWidth="1"/>
    <col min="7443" max="7443" width="16.5546875" style="134" customWidth="1"/>
    <col min="7444" max="7447" width="11" style="134" customWidth="1"/>
    <col min="7448" max="7449" width="11.109375" style="134" customWidth="1"/>
    <col min="7450" max="7473" width="11" style="134" customWidth="1"/>
    <col min="7474" max="7679" width="9.109375" style="134"/>
    <col min="7680" max="7680" width="0" style="134" hidden="1" customWidth="1"/>
    <col min="7681" max="7681" width="9.109375" style="134"/>
    <col min="7682" max="7682" width="28.109375" style="134" customWidth="1"/>
    <col min="7683" max="7684" width="0" style="134" hidden="1" customWidth="1"/>
    <col min="7685" max="7691" width="11" style="134" customWidth="1"/>
    <col min="7692" max="7693" width="0" style="134" hidden="1" customWidth="1"/>
    <col min="7694" max="7695" width="11" style="134" customWidth="1"/>
    <col min="7696" max="7697" width="0" style="134" hidden="1" customWidth="1"/>
    <col min="7698" max="7698" width="11" style="134" customWidth="1"/>
    <col min="7699" max="7699" width="16.5546875" style="134" customWidth="1"/>
    <col min="7700" max="7703" width="11" style="134" customWidth="1"/>
    <col min="7704" max="7705" width="11.109375" style="134" customWidth="1"/>
    <col min="7706" max="7729" width="11" style="134" customWidth="1"/>
    <col min="7730" max="7935" width="9.109375" style="134"/>
    <col min="7936" max="7936" width="0" style="134" hidden="1" customWidth="1"/>
    <col min="7937" max="7937" width="9.109375" style="134"/>
    <col min="7938" max="7938" width="28.109375" style="134" customWidth="1"/>
    <col min="7939" max="7940" width="0" style="134" hidden="1" customWidth="1"/>
    <col min="7941" max="7947" width="11" style="134" customWidth="1"/>
    <col min="7948" max="7949" width="0" style="134" hidden="1" customWidth="1"/>
    <col min="7950" max="7951" width="11" style="134" customWidth="1"/>
    <col min="7952" max="7953" width="0" style="134" hidden="1" customWidth="1"/>
    <col min="7954" max="7954" width="11" style="134" customWidth="1"/>
    <col min="7955" max="7955" width="16.5546875" style="134" customWidth="1"/>
    <col min="7956" max="7959" width="11" style="134" customWidth="1"/>
    <col min="7960" max="7961" width="11.109375" style="134" customWidth="1"/>
    <col min="7962" max="7985" width="11" style="134" customWidth="1"/>
    <col min="7986" max="8191" width="9.109375" style="134"/>
    <col min="8192" max="8192" width="0" style="134" hidden="1" customWidth="1"/>
    <col min="8193" max="8193" width="9.109375" style="134"/>
    <col min="8194" max="8194" width="28.109375" style="134" customWidth="1"/>
    <col min="8195" max="8196" width="0" style="134" hidden="1" customWidth="1"/>
    <col min="8197" max="8203" width="11" style="134" customWidth="1"/>
    <col min="8204" max="8205" width="0" style="134" hidden="1" customWidth="1"/>
    <col min="8206" max="8207" width="11" style="134" customWidth="1"/>
    <col min="8208" max="8209" width="0" style="134" hidden="1" customWidth="1"/>
    <col min="8210" max="8210" width="11" style="134" customWidth="1"/>
    <col min="8211" max="8211" width="16.5546875" style="134" customWidth="1"/>
    <col min="8212" max="8215" width="11" style="134" customWidth="1"/>
    <col min="8216" max="8217" width="11.109375" style="134" customWidth="1"/>
    <col min="8218" max="8241" width="11" style="134" customWidth="1"/>
    <col min="8242" max="8447" width="9.109375" style="134"/>
    <col min="8448" max="8448" width="0" style="134" hidden="1" customWidth="1"/>
    <col min="8449" max="8449" width="9.109375" style="134"/>
    <col min="8450" max="8450" width="28.109375" style="134" customWidth="1"/>
    <col min="8451" max="8452" width="0" style="134" hidden="1" customWidth="1"/>
    <col min="8453" max="8459" width="11" style="134" customWidth="1"/>
    <col min="8460" max="8461" width="0" style="134" hidden="1" customWidth="1"/>
    <col min="8462" max="8463" width="11" style="134" customWidth="1"/>
    <col min="8464" max="8465" width="0" style="134" hidden="1" customWidth="1"/>
    <col min="8466" max="8466" width="11" style="134" customWidth="1"/>
    <col min="8467" max="8467" width="16.5546875" style="134" customWidth="1"/>
    <col min="8468" max="8471" width="11" style="134" customWidth="1"/>
    <col min="8472" max="8473" width="11.109375" style="134" customWidth="1"/>
    <col min="8474" max="8497" width="11" style="134" customWidth="1"/>
    <col min="8498" max="8703" width="9.109375" style="134"/>
    <col min="8704" max="8704" width="0" style="134" hidden="1" customWidth="1"/>
    <col min="8705" max="8705" width="9.109375" style="134"/>
    <col min="8706" max="8706" width="28.109375" style="134" customWidth="1"/>
    <col min="8707" max="8708" width="0" style="134" hidden="1" customWidth="1"/>
    <col min="8709" max="8715" width="11" style="134" customWidth="1"/>
    <col min="8716" max="8717" width="0" style="134" hidden="1" customWidth="1"/>
    <col min="8718" max="8719" width="11" style="134" customWidth="1"/>
    <col min="8720" max="8721" width="0" style="134" hidden="1" customWidth="1"/>
    <col min="8722" max="8722" width="11" style="134" customWidth="1"/>
    <col min="8723" max="8723" width="16.5546875" style="134" customWidth="1"/>
    <col min="8724" max="8727" width="11" style="134" customWidth="1"/>
    <col min="8728" max="8729" width="11.109375" style="134" customWidth="1"/>
    <col min="8730" max="8753" width="11" style="134" customWidth="1"/>
    <col min="8754" max="8959" width="9.109375" style="134"/>
    <col min="8960" max="8960" width="0" style="134" hidden="1" customWidth="1"/>
    <col min="8961" max="8961" width="9.109375" style="134"/>
    <col min="8962" max="8962" width="28.109375" style="134" customWidth="1"/>
    <col min="8963" max="8964" width="0" style="134" hidden="1" customWidth="1"/>
    <col min="8965" max="8971" width="11" style="134" customWidth="1"/>
    <col min="8972" max="8973" width="0" style="134" hidden="1" customWidth="1"/>
    <col min="8974" max="8975" width="11" style="134" customWidth="1"/>
    <col min="8976" max="8977" width="0" style="134" hidden="1" customWidth="1"/>
    <col min="8978" max="8978" width="11" style="134" customWidth="1"/>
    <col min="8979" max="8979" width="16.5546875" style="134" customWidth="1"/>
    <col min="8980" max="8983" width="11" style="134" customWidth="1"/>
    <col min="8984" max="8985" width="11.109375" style="134" customWidth="1"/>
    <col min="8986" max="9009" width="11" style="134" customWidth="1"/>
    <col min="9010" max="9215" width="9.109375" style="134"/>
    <col min="9216" max="9216" width="0" style="134" hidden="1" customWidth="1"/>
    <col min="9217" max="9217" width="9.109375" style="134"/>
    <col min="9218" max="9218" width="28.109375" style="134" customWidth="1"/>
    <col min="9219" max="9220" width="0" style="134" hidden="1" customWidth="1"/>
    <col min="9221" max="9227" width="11" style="134" customWidth="1"/>
    <col min="9228" max="9229" width="0" style="134" hidden="1" customWidth="1"/>
    <col min="9230" max="9231" width="11" style="134" customWidth="1"/>
    <col min="9232" max="9233" width="0" style="134" hidden="1" customWidth="1"/>
    <col min="9234" max="9234" width="11" style="134" customWidth="1"/>
    <col min="9235" max="9235" width="16.5546875" style="134" customWidth="1"/>
    <col min="9236" max="9239" width="11" style="134" customWidth="1"/>
    <col min="9240" max="9241" width="11.109375" style="134" customWidth="1"/>
    <col min="9242" max="9265" width="11" style="134" customWidth="1"/>
    <col min="9266" max="9471" width="9.109375" style="134"/>
    <col min="9472" max="9472" width="0" style="134" hidden="1" customWidth="1"/>
    <col min="9473" max="9473" width="9.109375" style="134"/>
    <col min="9474" max="9474" width="28.109375" style="134" customWidth="1"/>
    <col min="9475" max="9476" width="0" style="134" hidden="1" customWidth="1"/>
    <col min="9477" max="9483" width="11" style="134" customWidth="1"/>
    <col min="9484" max="9485" width="0" style="134" hidden="1" customWidth="1"/>
    <col min="9486" max="9487" width="11" style="134" customWidth="1"/>
    <col min="9488" max="9489" width="0" style="134" hidden="1" customWidth="1"/>
    <col min="9490" max="9490" width="11" style="134" customWidth="1"/>
    <col min="9491" max="9491" width="16.5546875" style="134" customWidth="1"/>
    <col min="9492" max="9495" width="11" style="134" customWidth="1"/>
    <col min="9496" max="9497" width="11.109375" style="134" customWidth="1"/>
    <col min="9498" max="9521" width="11" style="134" customWidth="1"/>
    <col min="9522" max="9727" width="9.109375" style="134"/>
    <col min="9728" max="9728" width="0" style="134" hidden="1" customWidth="1"/>
    <col min="9729" max="9729" width="9.109375" style="134"/>
    <col min="9730" max="9730" width="28.109375" style="134" customWidth="1"/>
    <col min="9731" max="9732" width="0" style="134" hidden="1" customWidth="1"/>
    <col min="9733" max="9739" width="11" style="134" customWidth="1"/>
    <col min="9740" max="9741" width="0" style="134" hidden="1" customWidth="1"/>
    <col min="9742" max="9743" width="11" style="134" customWidth="1"/>
    <col min="9744" max="9745" width="0" style="134" hidden="1" customWidth="1"/>
    <col min="9746" max="9746" width="11" style="134" customWidth="1"/>
    <col min="9747" max="9747" width="16.5546875" style="134" customWidth="1"/>
    <col min="9748" max="9751" width="11" style="134" customWidth="1"/>
    <col min="9752" max="9753" width="11.109375" style="134" customWidth="1"/>
    <col min="9754" max="9777" width="11" style="134" customWidth="1"/>
    <col min="9778" max="9983" width="9.109375" style="134"/>
    <col min="9984" max="9984" width="0" style="134" hidden="1" customWidth="1"/>
    <col min="9985" max="9985" width="9.109375" style="134"/>
    <col min="9986" max="9986" width="28.109375" style="134" customWidth="1"/>
    <col min="9987" max="9988" width="0" style="134" hidden="1" customWidth="1"/>
    <col min="9989" max="9995" width="11" style="134" customWidth="1"/>
    <col min="9996" max="9997" width="0" style="134" hidden="1" customWidth="1"/>
    <col min="9998" max="9999" width="11" style="134" customWidth="1"/>
    <col min="10000" max="10001" width="0" style="134" hidden="1" customWidth="1"/>
    <col min="10002" max="10002" width="11" style="134" customWidth="1"/>
    <col min="10003" max="10003" width="16.5546875" style="134" customWidth="1"/>
    <col min="10004" max="10007" width="11" style="134" customWidth="1"/>
    <col min="10008" max="10009" width="11.109375" style="134" customWidth="1"/>
    <col min="10010" max="10033" width="11" style="134" customWidth="1"/>
    <col min="10034" max="10239" width="9.109375" style="134"/>
    <col min="10240" max="10240" width="0" style="134" hidden="1" customWidth="1"/>
    <col min="10241" max="10241" width="9.109375" style="134"/>
    <col min="10242" max="10242" width="28.109375" style="134" customWidth="1"/>
    <col min="10243" max="10244" width="0" style="134" hidden="1" customWidth="1"/>
    <col min="10245" max="10251" width="11" style="134" customWidth="1"/>
    <col min="10252" max="10253" width="0" style="134" hidden="1" customWidth="1"/>
    <col min="10254" max="10255" width="11" style="134" customWidth="1"/>
    <col min="10256" max="10257" width="0" style="134" hidden="1" customWidth="1"/>
    <col min="10258" max="10258" width="11" style="134" customWidth="1"/>
    <col min="10259" max="10259" width="16.5546875" style="134" customWidth="1"/>
    <col min="10260" max="10263" width="11" style="134" customWidth="1"/>
    <col min="10264" max="10265" width="11.109375" style="134" customWidth="1"/>
    <col min="10266" max="10289" width="11" style="134" customWidth="1"/>
    <col min="10290" max="10495" width="9.109375" style="134"/>
    <col min="10496" max="10496" width="0" style="134" hidden="1" customWidth="1"/>
    <col min="10497" max="10497" width="9.109375" style="134"/>
    <col min="10498" max="10498" width="28.109375" style="134" customWidth="1"/>
    <col min="10499" max="10500" width="0" style="134" hidden="1" customWidth="1"/>
    <col min="10501" max="10507" width="11" style="134" customWidth="1"/>
    <col min="10508" max="10509" width="0" style="134" hidden="1" customWidth="1"/>
    <col min="10510" max="10511" width="11" style="134" customWidth="1"/>
    <col min="10512" max="10513" width="0" style="134" hidden="1" customWidth="1"/>
    <col min="10514" max="10514" width="11" style="134" customWidth="1"/>
    <col min="10515" max="10515" width="16.5546875" style="134" customWidth="1"/>
    <col min="10516" max="10519" width="11" style="134" customWidth="1"/>
    <col min="10520" max="10521" width="11.109375" style="134" customWidth="1"/>
    <col min="10522" max="10545" width="11" style="134" customWidth="1"/>
    <col min="10546" max="10751" width="9.109375" style="134"/>
    <col min="10752" max="10752" width="0" style="134" hidden="1" customWidth="1"/>
    <col min="10753" max="10753" width="9.109375" style="134"/>
    <col min="10754" max="10754" width="28.109375" style="134" customWidth="1"/>
    <col min="10755" max="10756" width="0" style="134" hidden="1" customWidth="1"/>
    <col min="10757" max="10763" width="11" style="134" customWidth="1"/>
    <col min="10764" max="10765" width="0" style="134" hidden="1" customWidth="1"/>
    <col min="10766" max="10767" width="11" style="134" customWidth="1"/>
    <col min="10768" max="10769" width="0" style="134" hidden="1" customWidth="1"/>
    <col min="10770" max="10770" width="11" style="134" customWidth="1"/>
    <col min="10771" max="10771" width="16.5546875" style="134" customWidth="1"/>
    <col min="10772" max="10775" width="11" style="134" customWidth="1"/>
    <col min="10776" max="10777" width="11.109375" style="134" customWidth="1"/>
    <col min="10778" max="10801" width="11" style="134" customWidth="1"/>
    <col min="10802" max="11007" width="9.109375" style="134"/>
    <col min="11008" max="11008" width="0" style="134" hidden="1" customWidth="1"/>
    <col min="11009" max="11009" width="9.109375" style="134"/>
    <col min="11010" max="11010" width="28.109375" style="134" customWidth="1"/>
    <col min="11011" max="11012" width="0" style="134" hidden="1" customWidth="1"/>
    <col min="11013" max="11019" width="11" style="134" customWidth="1"/>
    <col min="11020" max="11021" width="0" style="134" hidden="1" customWidth="1"/>
    <col min="11022" max="11023" width="11" style="134" customWidth="1"/>
    <col min="11024" max="11025" width="0" style="134" hidden="1" customWidth="1"/>
    <col min="11026" max="11026" width="11" style="134" customWidth="1"/>
    <col min="11027" max="11027" width="16.5546875" style="134" customWidth="1"/>
    <col min="11028" max="11031" width="11" style="134" customWidth="1"/>
    <col min="11032" max="11033" width="11.109375" style="134" customWidth="1"/>
    <col min="11034" max="11057" width="11" style="134" customWidth="1"/>
    <col min="11058" max="11263" width="9.109375" style="134"/>
    <col min="11264" max="11264" width="0" style="134" hidden="1" customWidth="1"/>
    <col min="11265" max="11265" width="9.109375" style="134"/>
    <col min="11266" max="11266" width="28.109375" style="134" customWidth="1"/>
    <col min="11267" max="11268" width="0" style="134" hidden="1" customWidth="1"/>
    <col min="11269" max="11275" width="11" style="134" customWidth="1"/>
    <col min="11276" max="11277" width="0" style="134" hidden="1" customWidth="1"/>
    <col min="11278" max="11279" width="11" style="134" customWidth="1"/>
    <col min="11280" max="11281" width="0" style="134" hidden="1" customWidth="1"/>
    <col min="11282" max="11282" width="11" style="134" customWidth="1"/>
    <col min="11283" max="11283" width="16.5546875" style="134" customWidth="1"/>
    <col min="11284" max="11287" width="11" style="134" customWidth="1"/>
    <col min="11288" max="11289" width="11.109375" style="134" customWidth="1"/>
    <col min="11290" max="11313" width="11" style="134" customWidth="1"/>
    <col min="11314" max="11519" width="9.109375" style="134"/>
    <col min="11520" max="11520" width="0" style="134" hidden="1" customWidth="1"/>
    <col min="11521" max="11521" width="9.109375" style="134"/>
    <col min="11522" max="11522" width="28.109375" style="134" customWidth="1"/>
    <col min="11523" max="11524" width="0" style="134" hidden="1" customWidth="1"/>
    <col min="11525" max="11531" width="11" style="134" customWidth="1"/>
    <col min="11532" max="11533" width="0" style="134" hidden="1" customWidth="1"/>
    <col min="11534" max="11535" width="11" style="134" customWidth="1"/>
    <col min="11536" max="11537" width="0" style="134" hidden="1" customWidth="1"/>
    <col min="11538" max="11538" width="11" style="134" customWidth="1"/>
    <col min="11539" max="11539" width="16.5546875" style="134" customWidth="1"/>
    <col min="11540" max="11543" width="11" style="134" customWidth="1"/>
    <col min="11544" max="11545" width="11.109375" style="134" customWidth="1"/>
    <col min="11546" max="11569" width="11" style="134" customWidth="1"/>
    <col min="11570" max="11775" width="9.109375" style="134"/>
    <col min="11776" max="11776" width="0" style="134" hidden="1" customWidth="1"/>
    <col min="11777" max="11777" width="9.109375" style="134"/>
    <col min="11778" max="11778" width="28.109375" style="134" customWidth="1"/>
    <col min="11779" max="11780" width="0" style="134" hidden="1" customWidth="1"/>
    <col min="11781" max="11787" width="11" style="134" customWidth="1"/>
    <col min="11788" max="11789" width="0" style="134" hidden="1" customWidth="1"/>
    <col min="11790" max="11791" width="11" style="134" customWidth="1"/>
    <col min="11792" max="11793" width="0" style="134" hidden="1" customWidth="1"/>
    <col min="11794" max="11794" width="11" style="134" customWidth="1"/>
    <col min="11795" max="11795" width="16.5546875" style="134" customWidth="1"/>
    <col min="11796" max="11799" width="11" style="134" customWidth="1"/>
    <col min="11800" max="11801" width="11.109375" style="134" customWidth="1"/>
    <col min="11802" max="11825" width="11" style="134" customWidth="1"/>
    <col min="11826" max="12031" width="9.109375" style="134"/>
    <col min="12032" max="12032" width="0" style="134" hidden="1" customWidth="1"/>
    <col min="12033" max="12033" width="9.109375" style="134"/>
    <col min="12034" max="12034" width="28.109375" style="134" customWidth="1"/>
    <col min="12035" max="12036" width="0" style="134" hidden="1" customWidth="1"/>
    <col min="12037" max="12043" width="11" style="134" customWidth="1"/>
    <col min="12044" max="12045" width="0" style="134" hidden="1" customWidth="1"/>
    <col min="12046" max="12047" width="11" style="134" customWidth="1"/>
    <col min="12048" max="12049" width="0" style="134" hidden="1" customWidth="1"/>
    <col min="12050" max="12050" width="11" style="134" customWidth="1"/>
    <col min="12051" max="12051" width="16.5546875" style="134" customWidth="1"/>
    <col min="12052" max="12055" width="11" style="134" customWidth="1"/>
    <col min="12056" max="12057" width="11.109375" style="134" customWidth="1"/>
    <col min="12058" max="12081" width="11" style="134" customWidth="1"/>
    <col min="12082" max="12287" width="9.109375" style="134"/>
    <col min="12288" max="12288" width="0" style="134" hidden="1" customWidth="1"/>
    <col min="12289" max="12289" width="9.109375" style="134"/>
    <col min="12290" max="12290" width="28.109375" style="134" customWidth="1"/>
    <col min="12291" max="12292" width="0" style="134" hidden="1" customWidth="1"/>
    <col min="12293" max="12299" width="11" style="134" customWidth="1"/>
    <col min="12300" max="12301" width="0" style="134" hidden="1" customWidth="1"/>
    <col min="12302" max="12303" width="11" style="134" customWidth="1"/>
    <col min="12304" max="12305" width="0" style="134" hidden="1" customWidth="1"/>
    <col min="12306" max="12306" width="11" style="134" customWidth="1"/>
    <col min="12307" max="12307" width="16.5546875" style="134" customWidth="1"/>
    <col min="12308" max="12311" width="11" style="134" customWidth="1"/>
    <col min="12312" max="12313" width="11.109375" style="134" customWidth="1"/>
    <col min="12314" max="12337" width="11" style="134" customWidth="1"/>
    <col min="12338" max="12543" width="9.109375" style="134"/>
    <col min="12544" max="12544" width="0" style="134" hidden="1" customWidth="1"/>
    <col min="12545" max="12545" width="9.109375" style="134"/>
    <col min="12546" max="12546" width="28.109375" style="134" customWidth="1"/>
    <col min="12547" max="12548" width="0" style="134" hidden="1" customWidth="1"/>
    <col min="12549" max="12555" width="11" style="134" customWidth="1"/>
    <col min="12556" max="12557" width="0" style="134" hidden="1" customWidth="1"/>
    <col min="12558" max="12559" width="11" style="134" customWidth="1"/>
    <col min="12560" max="12561" width="0" style="134" hidden="1" customWidth="1"/>
    <col min="12562" max="12562" width="11" style="134" customWidth="1"/>
    <col min="12563" max="12563" width="16.5546875" style="134" customWidth="1"/>
    <col min="12564" max="12567" width="11" style="134" customWidth="1"/>
    <col min="12568" max="12569" width="11.109375" style="134" customWidth="1"/>
    <col min="12570" max="12593" width="11" style="134" customWidth="1"/>
    <col min="12594" max="12799" width="9.109375" style="134"/>
    <col min="12800" max="12800" width="0" style="134" hidden="1" customWidth="1"/>
    <col min="12801" max="12801" width="9.109375" style="134"/>
    <col min="12802" max="12802" width="28.109375" style="134" customWidth="1"/>
    <col min="12803" max="12804" width="0" style="134" hidden="1" customWidth="1"/>
    <col min="12805" max="12811" width="11" style="134" customWidth="1"/>
    <col min="12812" max="12813" width="0" style="134" hidden="1" customWidth="1"/>
    <col min="12814" max="12815" width="11" style="134" customWidth="1"/>
    <col min="12816" max="12817" width="0" style="134" hidden="1" customWidth="1"/>
    <col min="12818" max="12818" width="11" style="134" customWidth="1"/>
    <col min="12819" max="12819" width="16.5546875" style="134" customWidth="1"/>
    <col min="12820" max="12823" width="11" style="134" customWidth="1"/>
    <col min="12824" max="12825" width="11.109375" style="134" customWidth="1"/>
    <col min="12826" max="12849" width="11" style="134" customWidth="1"/>
    <col min="12850" max="13055" width="9.109375" style="134"/>
    <col min="13056" max="13056" width="0" style="134" hidden="1" customWidth="1"/>
    <col min="13057" max="13057" width="9.109375" style="134"/>
    <col min="13058" max="13058" width="28.109375" style="134" customWidth="1"/>
    <col min="13059" max="13060" width="0" style="134" hidden="1" customWidth="1"/>
    <col min="13061" max="13067" width="11" style="134" customWidth="1"/>
    <col min="13068" max="13069" width="0" style="134" hidden="1" customWidth="1"/>
    <col min="13070" max="13071" width="11" style="134" customWidth="1"/>
    <col min="13072" max="13073" width="0" style="134" hidden="1" customWidth="1"/>
    <col min="13074" max="13074" width="11" style="134" customWidth="1"/>
    <col min="13075" max="13075" width="16.5546875" style="134" customWidth="1"/>
    <col min="13076" max="13079" width="11" style="134" customWidth="1"/>
    <col min="13080" max="13081" width="11.109375" style="134" customWidth="1"/>
    <col min="13082" max="13105" width="11" style="134" customWidth="1"/>
    <col min="13106" max="13311" width="9.109375" style="134"/>
    <col min="13312" max="13312" width="0" style="134" hidden="1" customWidth="1"/>
    <col min="13313" max="13313" width="9.109375" style="134"/>
    <col min="13314" max="13314" width="28.109375" style="134" customWidth="1"/>
    <col min="13315" max="13316" width="0" style="134" hidden="1" customWidth="1"/>
    <col min="13317" max="13323" width="11" style="134" customWidth="1"/>
    <col min="13324" max="13325" width="0" style="134" hidden="1" customWidth="1"/>
    <col min="13326" max="13327" width="11" style="134" customWidth="1"/>
    <col min="13328" max="13329" width="0" style="134" hidden="1" customWidth="1"/>
    <col min="13330" max="13330" width="11" style="134" customWidth="1"/>
    <col min="13331" max="13331" width="16.5546875" style="134" customWidth="1"/>
    <col min="13332" max="13335" width="11" style="134" customWidth="1"/>
    <col min="13336" max="13337" width="11.109375" style="134" customWidth="1"/>
    <col min="13338" max="13361" width="11" style="134" customWidth="1"/>
    <col min="13362" max="13567" width="9.109375" style="134"/>
    <col min="13568" max="13568" width="0" style="134" hidden="1" customWidth="1"/>
    <col min="13569" max="13569" width="9.109375" style="134"/>
    <col min="13570" max="13570" width="28.109375" style="134" customWidth="1"/>
    <col min="13571" max="13572" width="0" style="134" hidden="1" customWidth="1"/>
    <col min="13573" max="13579" width="11" style="134" customWidth="1"/>
    <col min="13580" max="13581" width="0" style="134" hidden="1" customWidth="1"/>
    <col min="13582" max="13583" width="11" style="134" customWidth="1"/>
    <col min="13584" max="13585" width="0" style="134" hidden="1" customWidth="1"/>
    <col min="13586" max="13586" width="11" style="134" customWidth="1"/>
    <col min="13587" max="13587" width="16.5546875" style="134" customWidth="1"/>
    <col min="13588" max="13591" width="11" style="134" customWidth="1"/>
    <col min="13592" max="13593" width="11.109375" style="134" customWidth="1"/>
    <col min="13594" max="13617" width="11" style="134" customWidth="1"/>
    <col min="13618" max="13823" width="9.109375" style="134"/>
    <col min="13824" max="13824" width="0" style="134" hidden="1" customWidth="1"/>
    <col min="13825" max="13825" width="9.109375" style="134"/>
    <col min="13826" max="13826" width="28.109375" style="134" customWidth="1"/>
    <col min="13827" max="13828" width="0" style="134" hidden="1" customWidth="1"/>
    <col min="13829" max="13835" width="11" style="134" customWidth="1"/>
    <col min="13836" max="13837" width="0" style="134" hidden="1" customWidth="1"/>
    <col min="13838" max="13839" width="11" style="134" customWidth="1"/>
    <col min="13840" max="13841" width="0" style="134" hidden="1" customWidth="1"/>
    <col min="13842" max="13842" width="11" style="134" customWidth="1"/>
    <col min="13843" max="13843" width="16.5546875" style="134" customWidth="1"/>
    <col min="13844" max="13847" width="11" style="134" customWidth="1"/>
    <col min="13848" max="13849" width="11.109375" style="134" customWidth="1"/>
    <col min="13850" max="13873" width="11" style="134" customWidth="1"/>
    <col min="13874" max="14079" width="9.109375" style="134"/>
    <col min="14080" max="14080" width="0" style="134" hidden="1" customWidth="1"/>
    <col min="14081" max="14081" width="9.109375" style="134"/>
    <col min="14082" max="14082" width="28.109375" style="134" customWidth="1"/>
    <col min="14083" max="14084" width="0" style="134" hidden="1" customWidth="1"/>
    <col min="14085" max="14091" width="11" style="134" customWidth="1"/>
    <col min="14092" max="14093" width="0" style="134" hidden="1" customWidth="1"/>
    <col min="14094" max="14095" width="11" style="134" customWidth="1"/>
    <col min="14096" max="14097" width="0" style="134" hidden="1" customWidth="1"/>
    <col min="14098" max="14098" width="11" style="134" customWidth="1"/>
    <col min="14099" max="14099" width="16.5546875" style="134" customWidth="1"/>
    <col min="14100" max="14103" width="11" style="134" customWidth="1"/>
    <col min="14104" max="14105" width="11.109375" style="134" customWidth="1"/>
    <col min="14106" max="14129" width="11" style="134" customWidth="1"/>
    <col min="14130" max="14335" width="9.109375" style="134"/>
    <col min="14336" max="14336" width="0" style="134" hidden="1" customWidth="1"/>
    <col min="14337" max="14337" width="9.109375" style="134"/>
    <col min="14338" max="14338" width="28.109375" style="134" customWidth="1"/>
    <col min="14339" max="14340" width="0" style="134" hidden="1" customWidth="1"/>
    <col min="14341" max="14347" width="11" style="134" customWidth="1"/>
    <col min="14348" max="14349" width="0" style="134" hidden="1" customWidth="1"/>
    <col min="14350" max="14351" width="11" style="134" customWidth="1"/>
    <col min="14352" max="14353" width="0" style="134" hidden="1" customWidth="1"/>
    <col min="14354" max="14354" width="11" style="134" customWidth="1"/>
    <col min="14355" max="14355" width="16.5546875" style="134" customWidth="1"/>
    <col min="14356" max="14359" width="11" style="134" customWidth="1"/>
    <col min="14360" max="14361" width="11.109375" style="134" customWidth="1"/>
    <col min="14362" max="14385" width="11" style="134" customWidth="1"/>
    <col min="14386" max="14591" width="9.109375" style="134"/>
    <col min="14592" max="14592" width="0" style="134" hidden="1" customWidth="1"/>
    <col min="14593" max="14593" width="9.109375" style="134"/>
    <col min="14594" max="14594" width="28.109375" style="134" customWidth="1"/>
    <col min="14595" max="14596" width="0" style="134" hidden="1" customWidth="1"/>
    <col min="14597" max="14603" width="11" style="134" customWidth="1"/>
    <col min="14604" max="14605" width="0" style="134" hidden="1" customWidth="1"/>
    <col min="14606" max="14607" width="11" style="134" customWidth="1"/>
    <col min="14608" max="14609" width="0" style="134" hidden="1" customWidth="1"/>
    <col min="14610" max="14610" width="11" style="134" customWidth="1"/>
    <col min="14611" max="14611" width="16.5546875" style="134" customWidth="1"/>
    <col min="14612" max="14615" width="11" style="134" customWidth="1"/>
    <col min="14616" max="14617" width="11.109375" style="134" customWidth="1"/>
    <col min="14618" max="14641" width="11" style="134" customWidth="1"/>
    <col min="14642" max="14847" width="9.109375" style="134"/>
    <col min="14848" max="14848" width="0" style="134" hidden="1" customWidth="1"/>
    <col min="14849" max="14849" width="9.109375" style="134"/>
    <col min="14850" max="14850" width="28.109375" style="134" customWidth="1"/>
    <col min="14851" max="14852" width="0" style="134" hidden="1" customWidth="1"/>
    <col min="14853" max="14859" width="11" style="134" customWidth="1"/>
    <col min="14860" max="14861" width="0" style="134" hidden="1" customWidth="1"/>
    <col min="14862" max="14863" width="11" style="134" customWidth="1"/>
    <col min="14864" max="14865" width="0" style="134" hidden="1" customWidth="1"/>
    <col min="14866" max="14866" width="11" style="134" customWidth="1"/>
    <col min="14867" max="14867" width="16.5546875" style="134" customWidth="1"/>
    <col min="14868" max="14871" width="11" style="134" customWidth="1"/>
    <col min="14872" max="14873" width="11.109375" style="134" customWidth="1"/>
    <col min="14874" max="14897" width="11" style="134" customWidth="1"/>
    <col min="14898" max="15103" width="9.109375" style="134"/>
    <col min="15104" max="15104" width="0" style="134" hidden="1" customWidth="1"/>
    <col min="15105" max="15105" width="9.109375" style="134"/>
    <col min="15106" max="15106" width="28.109375" style="134" customWidth="1"/>
    <col min="15107" max="15108" width="0" style="134" hidden="1" customWidth="1"/>
    <col min="15109" max="15115" width="11" style="134" customWidth="1"/>
    <col min="15116" max="15117" width="0" style="134" hidden="1" customWidth="1"/>
    <col min="15118" max="15119" width="11" style="134" customWidth="1"/>
    <col min="15120" max="15121" width="0" style="134" hidden="1" customWidth="1"/>
    <col min="15122" max="15122" width="11" style="134" customWidth="1"/>
    <col min="15123" max="15123" width="16.5546875" style="134" customWidth="1"/>
    <col min="15124" max="15127" width="11" style="134" customWidth="1"/>
    <col min="15128" max="15129" width="11.109375" style="134" customWidth="1"/>
    <col min="15130" max="15153" width="11" style="134" customWidth="1"/>
    <col min="15154" max="15359" width="9.109375" style="134"/>
    <col min="15360" max="15360" width="0" style="134" hidden="1" customWidth="1"/>
    <col min="15361" max="15361" width="9.109375" style="134"/>
    <col min="15362" max="15362" width="28.109375" style="134" customWidth="1"/>
    <col min="15363" max="15364" width="0" style="134" hidden="1" customWidth="1"/>
    <col min="15365" max="15371" width="11" style="134" customWidth="1"/>
    <col min="15372" max="15373" width="0" style="134" hidden="1" customWidth="1"/>
    <col min="15374" max="15375" width="11" style="134" customWidth="1"/>
    <col min="15376" max="15377" width="0" style="134" hidden="1" customWidth="1"/>
    <col min="15378" max="15378" width="11" style="134" customWidth="1"/>
    <col min="15379" max="15379" width="16.5546875" style="134" customWidth="1"/>
    <col min="15380" max="15383" width="11" style="134" customWidth="1"/>
    <col min="15384" max="15385" width="11.109375" style="134" customWidth="1"/>
    <col min="15386" max="15409" width="11" style="134" customWidth="1"/>
    <col min="15410" max="15615" width="9.109375" style="134"/>
    <col min="15616" max="15616" width="0" style="134" hidden="1" customWidth="1"/>
    <col min="15617" max="15617" width="9.109375" style="134"/>
    <col min="15618" max="15618" width="28.109375" style="134" customWidth="1"/>
    <col min="15619" max="15620" width="0" style="134" hidden="1" customWidth="1"/>
    <col min="15621" max="15627" width="11" style="134" customWidth="1"/>
    <col min="15628" max="15629" width="0" style="134" hidden="1" customWidth="1"/>
    <col min="15630" max="15631" width="11" style="134" customWidth="1"/>
    <col min="15632" max="15633" width="0" style="134" hidden="1" customWidth="1"/>
    <col min="15634" max="15634" width="11" style="134" customWidth="1"/>
    <col min="15635" max="15635" width="16.5546875" style="134" customWidth="1"/>
    <col min="15636" max="15639" width="11" style="134" customWidth="1"/>
    <col min="15640" max="15641" width="11.109375" style="134" customWidth="1"/>
    <col min="15642" max="15665" width="11" style="134" customWidth="1"/>
    <col min="15666" max="15871" width="9.109375" style="134"/>
    <col min="15872" max="15872" width="0" style="134" hidden="1" customWidth="1"/>
    <col min="15873" max="15873" width="9.109375" style="134"/>
    <col min="15874" max="15874" width="28.109375" style="134" customWidth="1"/>
    <col min="15875" max="15876" width="0" style="134" hidden="1" customWidth="1"/>
    <col min="15877" max="15883" width="11" style="134" customWidth="1"/>
    <col min="15884" max="15885" width="0" style="134" hidden="1" customWidth="1"/>
    <col min="15886" max="15887" width="11" style="134" customWidth="1"/>
    <col min="15888" max="15889" width="0" style="134" hidden="1" customWidth="1"/>
    <col min="15890" max="15890" width="11" style="134" customWidth="1"/>
    <col min="15891" max="15891" width="16.5546875" style="134" customWidth="1"/>
    <col min="15892" max="15895" width="11" style="134" customWidth="1"/>
    <col min="15896" max="15897" width="11.109375" style="134" customWidth="1"/>
    <col min="15898" max="15921" width="11" style="134" customWidth="1"/>
    <col min="15922" max="16127" width="9.109375" style="134"/>
    <col min="16128" max="16128" width="0" style="134" hidden="1" customWidth="1"/>
    <col min="16129" max="16129" width="9.109375" style="134"/>
    <col min="16130" max="16130" width="28.109375" style="134" customWidth="1"/>
    <col min="16131" max="16132" width="0" style="134" hidden="1" customWidth="1"/>
    <col min="16133" max="16139" width="11" style="134" customWidth="1"/>
    <col min="16140" max="16141" width="0" style="134" hidden="1" customWidth="1"/>
    <col min="16142" max="16143" width="11" style="134" customWidth="1"/>
    <col min="16144" max="16145" width="0" style="134" hidden="1" customWidth="1"/>
    <col min="16146" max="16146" width="11" style="134" customWidth="1"/>
    <col min="16147" max="16147" width="16.5546875" style="134" customWidth="1"/>
    <col min="16148" max="16151" width="11" style="134" customWidth="1"/>
    <col min="16152" max="16153" width="11.109375" style="134" customWidth="1"/>
    <col min="16154" max="16177" width="11" style="134" customWidth="1"/>
    <col min="16178" max="16384" width="9.109375" style="134"/>
  </cols>
  <sheetData>
    <row r="1" spans="1:66" s="133" customFormat="1" ht="15.6">
      <c r="A1" s="126" t="s">
        <v>142</v>
      </c>
      <c r="B1" s="13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I1" s="132"/>
      <c r="BJ1" s="132"/>
      <c r="BK1" s="132"/>
      <c r="BL1" s="132"/>
      <c r="BM1" s="132"/>
      <c r="BN1" s="132"/>
    </row>
    <row r="2" spans="1:66" ht="57.6">
      <c r="A2" s="167" t="s">
        <v>2</v>
      </c>
      <c r="B2" s="167" t="s">
        <v>3</v>
      </c>
      <c r="C2" s="167" t="s">
        <v>4</v>
      </c>
      <c r="D2" s="167" t="s">
        <v>5</v>
      </c>
      <c r="E2" s="167" t="s">
        <v>265</v>
      </c>
      <c r="F2" s="167" t="s">
        <v>266</v>
      </c>
      <c r="G2" s="167" t="s">
        <v>267</v>
      </c>
      <c r="H2" s="167" t="s">
        <v>268</v>
      </c>
      <c r="I2" s="167" t="s">
        <v>269</v>
      </c>
      <c r="J2" s="167" t="s">
        <v>270</v>
      </c>
      <c r="K2" s="167" t="s">
        <v>271</v>
      </c>
      <c r="L2" s="167" t="s">
        <v>272</v>
      </c>
      <c r="M2" s="167" t="s">
        <v>273</v>
      </c>
      <c r="N2" s="167" t="s">
        <v>274</v>
      </c>
      <c r="O2" s="167" t="s">
        <v>275</v>
      </c>
      <c r="P2" s="167" t="s">
        <v>276</v>
      </c>
      <c r="Q2" s="167" t="s">
        <v>277</v>
      </c>
      <c r="R2" s="167" t="s">
        <v>278</v>
      </c>
      <c r="S2" s="167" t="s">
        <v>279</v>
      </c>
      <c r="T2" s="167" t="s">
        <v>280</v>
      </c>
      <c r="U2" s="167" t="s">
        <v>281</v>
      </c>
      <c r="V2" s="167" t="s">
        <v>282</v>
      </c>
      <c r="W2" s="167" t="s">
        <v>283</v>
      </c>
      <c r="X2" s="167" t="s">
        <v>284</v>
      </c>
      <c r="Y2" s="167" t="s">
        <v>285</v>
      </c>
      <c r="Z2" s="167" t="s">
        <v>286</v>
      </c>
      <c r="AA2" s="167" t="s">
        <v>287</v>
      </c>
      <c r="AB2" s="167" t="s">
        <v>288</v>
      </c>
      <c r="AC2" s="167" t="s">
        <v>6</v>
      </c>
      <c r="AD2" s="167" t="s">
        <v>289</v>
      </c>
      <c r="AE2" s="167" t="s">
        <v>290</v>
      </c>
      <c r="AF2" s="167" t="s">
        <v>291</v>
      </c>
      <c r="AG2" s="167" t="s">
        <v>292</v>
      </c>
      <c r="AH2" s="167" t="s">
        <v>293</v>
      </c>
      <c r="AI2" s="167" t="s">
        <v>294</v>
      </c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</row>
    <row r="3" spans="1:66">
      <c r="A3" s="132">
        <v>10005</v>
      </c>
      <c r="B3" s="132" t="s">
        <v>7</v>
      </c>
      <c r="C3" s="219">
        <v>1</v>
      </c>
      <c r="D3" s="244">
        <v>0</v>
      </c>
      <c r="E3" s="244">
        <v>0.55600000000000005</v>
      </c>
      <c r="F3" s="244">
        <v>0.65</v>
      </c>
      <c r="G3" s="244">
        <v>0.65200000000000002</v>
      </c>
      <c r="H3" s="244">
        <v>0</v>
      </c>
      <c r="I3" s="244">
        <v>0</v>
      </c>
      <c r="J3" s="244">
        <v>0</v>
      </c>
      <c r="K3" s="244">
        <v>0</v>
      </c>
      <c r="L3" s="244">
        <v>0</v>
      </c>
      <c r="M3" s="244">
        <v>0</v>
      </c>
      <c r="N3" s="244">
        <v>0.54400000000000004</v>
      </c>
      <c r="O3" s="244">
        <v>0.54500000000000004</v>
      </c>
      <c r="P3" s="244">
        <v>4778.4960000000001</v>
      </c>
      <c r="Q3" s="244">
        <v>4774.2000000000007</v>
      </c>
      <c r="R3" s="244">
        <v>0.54500000000000004</v>
      </c>
      <c r="S3" s="244">
        <v>4787.2800000000007</v>
      </c>
      <c r="T3" s="244">
        <v>0</v>
      </c>
      <c r="U3" s="244">
        <v>0</v>
      </c>
      <c r="V3" s="244">
        <v>0</v>
      </c>
      <c r="W3" s="244">
        <v>0</v>
      </c>
      <c r="X3" s="244">
        <v>7.7399999999999998E-5</v>
      </c>
      <c r="Y3" s="244">
        <v>7.7600000000000002E-5</v>
      </c>
      <c r="Z3" s="244">
        <v>0</v>
      </c>
      <c r="AA3" s="244">
        <v>7.7399999999999998E-5</v>
      </c>
      <c r="AB3" s="244">
        <v>7.7600000000000002E-5</v>
      </c>
      <c r="AC3" s="244">
        <v>7.75E-5</v>
      </c>
      <c r="AD3" s="244">
        <v>0.9994434352941175</v>
      </c>
      <c r="AE3" s="244">
        <v>1</v>
      </c>
      <c r="AF3" s="244">
        <v>1</v>
      </c>
      <c r="AG3" s="244">
        <v>1</v>
      </c>
      <c r="AH3" s="244">
        <v>3.5000000000000003E-2</v>
      </c>
      <c r="AI3" s="244">
        <v>3.5000000000000003E-2</v>
      </c>
      <c r="AJ3" s="123"/>
      <c r="AK3" s="123"/>
      <c r="AL3" s="123"/>
      <c r="AM3" s="123"/>
      <c r="AN3" s="123"/>
      <c r="AO3" s="123"/>
      <c r="AP3" s="123"/>
      <c r="AQ3" s="132"/>
      <c r="AR3" s="132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32"/>
      <c r="BH3" s="132"/>
      <c r="BI3" s="132"/>
      <c r="BJ3" s="132"/>
      <c r="BK3" s="132"/>
      <c r="BL3" s="132"/>
      <c r="BM3" s="132"/>
      <c r="BN3" s="132"/>
    </row>
    <row r="4" spans="1:66">
      <c r="A4" s="132">
        <v>10015</v>
      </c>
      <c r="B4" s="132" t="s">
        <v>8</v>
      </c>
      <c r="C4" s="244">
        <v>1</v>
      </c>
      <c r="D4" s="244">
        <v>0</v>
      </c>
      <c r="E4" s="244">
        <v>0.58199999999999996</v>
      </c>
      <c r="F4" s="244">
        <v>0.58199999999999996</v>
      </c>
      <c r="G4" s="244">
        <v>0.58299999999999996</v>
      </c>
      <c r="H4" s="244">
        <v>0</v>
      </c>
      <c r="I4" s="244">
        <v>0</v>
      </c>
      <c r="J4" s="244">
        <v>0</v>
      </c>
      <c r="K4" s="244">
        <v>0</v>
      </c>
      <c r="L4" s="244">
        <v>0</v>
      </c>
      <c r="M4" s="244">
        <v>0</v>
      </c>
      <c r="N4" s="244">
        <v>0.66700000000000004</v>
      </c>
      <c r="O4" s="244">
        <v>0.67</v>
      </c>
      <c r="P4" s="244">
        <v>5858.9279999999999</v>
      </c>
      <c r="Q4" s="244">
        <v>5869.2000000000007</v>
      </c>
      <c r="R4" s="244">
        <v>0.56999999999999995</v>
      </c>
      <c r="S4" s="244">
        <v>5006.8799999999992</v>
      </c>
      <c r="T4" s="244">
        <v>9.7000000000000003E-2</v>
      </c>
      <c r="U4" s="244">
        <v>0.1</v>
      </c>
      <c r="V4" s="244">
        <v>0</v>
      </c>
      <c r="W4" s="244">
        <v>0</v>
      </c>
      <c r="X4" s="244">
        <v>8.1100000000000006E-5</v>
      </c>
      <c r="Y4" s="244">
        <v>8.1100000000000006E-5</v>
      </c>
      <c r="Z4" s="244">
        <v>0</v>
      </c>
      <c r="AA4" s="244">
        <v>8.1100000000000006E-5</v>
      </c>
      <c r="AB4" s="244">
        <v>8.1100000000000006E-5</v>
      </c>
      <c r="AC4" s="244">
        <v>8.1100000000000006E-5</v>
      </c>
      <c r="AD4" s="244">
        <v>0.85410483238380819</v>
      </c>
      <c r="AE4" s="244">
        <v>0.85028048238805976</v>
      </c>
      <c r="AF4" s="244">
        <v>1.1701754385964913</v>
      </c>
      <c r="AG4" s="244">
        <v>1.1754385964912282</v>
      </c>
      <c r="AH4" s="244">
        <v>0</v>
      </c>
      <c r="AI4" s="244">
        <v>0</v>
      </c>
      <c r="AJ4" s="123"/>
      <c r="AK4" s="123"/>
      <c r="AL4" s="123"/>
      <c r="AM4" s="123"/>
      <c r="AN4" s="123"/>
      <c r="AO4" s="123"/>
      <c r="AP4" s="123"/>
      <c r="AQ4" s="132"/>
      <c r="AR4" s="132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32"/>
      <c r="BH4" s="132"/>
      <c r="BI4" s="132"/>
      <c r="BJ4" s="132"/>
      <c r="BK4" s="132"/>
      <c r="BL4" s="132"/>
      <c r="BM4" s="132"/>
      <c r="BN4" s="132"/>
    </row>
    <row r="5" spans="1:66">
      <c r="A5" s="132">
        <v>10024</v>
      </c>
      <c r="B5" s="132" t="s">
        <v>9</v>
      </c>
      <c r="C5" s="244">
        <v>1</v>
      </c>
      <c r="D5" s="244">
        <v>0</v>
      </c>
      <c r="E5" s="244">
        <v>204.28200000000001</v>
      </c>
      <c r="F5" s="244">
        <v>209.39400000000001</v>
      </c>
      <c r="G5" s="244">
        <v>209.982</v>
      </c>
      <c r="H5" s="244">
        <v>0</v>
      </c>
      <c r="I5" s="244">
        <v>0</v>
      </c>
      <c r="J5" s="244">
        <v>0.91600000000000004</v>
      </c>
      <c r="K5" s="244">
        <v>0.91900000000000004</v>
      </c>
      <c r="L5" s="244">
        <v>8046.1440000000002</v>
      </c>
      <c r="M5" s="244">
        <v>8050.4400000000005</v>
      </c>
      <c r="N5" s="244">
        <v>208.47800000000001</v>
      </c>
      <c r="O5" s="244">
        <v>209.06299999999999</v>
      </c>
      <c r="P5" s="244">
        <v>1831270.7520000001</v>
      </c>
      <c r="Q5" s="244">
        <v>1831391.88</v>
      </c>
      <c r="R5" s="244">
        <v>200.214</v>
      </c>
      <c r="S5" s="244">
        <v>1758679.7760000001</v>
      </c>
      <c r="T5" s="244">
        <v>5.4550000000000001</v>
      </c>
      <c r="U5" s="244">
        <v>6.306</v>
      </c>
      <c r="V5" s="244">
        <v>5.4550000000000001</v>
      </c>
      <c r="W5" s="244">
        <v>6.306</v>
      </c>
      <c r="X5" s="244">
        <v>2.8502199999999998E-2</v>
      </c>
      <c r="Y5" s="244">
        <v>2.8502199999999998E-2</v>
      </c>
      <c r="Z5" s="244">
        <v>1.3679200000000001E-2</v>
      </c>
      <c r="AA5" s="244">
        <v>1.4822999999999998E-2</v>
      </c>
      <c r="AB5" s="244">
        <v>1.4822999999999998E-2</v>
      </c>
      <c r="AC5" s="244">
        <v>1.4822999999999998E-2</v>
      </c>
      <c r="AD5" s="244">
        <v>0.97359488218716572</v>
      </c>
      <c r="AE5" s="244">
        <v>0.9696009232902203</v>
      </c>
      <c r="AF5" s="244">
        <v>1.0412758348567033</v>
      </c>
      <c r="AG5" s="244">
        <v>1.0441977084519563</v>
      </c>
      <c r="AH5" s="244">
        <v>0</v>
      </c>
      <c r="AI5" s="244">
        <v>0</v>
      </c>
      <c r="AJ5" s="123"/>
      <c r="AK5" s="123"/>
      <c r="AL5" s="123"/>
      <c r="AM5" s="123"/>
      <c r="AN5" s="123"/>
      <c r="AO5" s="123"/>
      <c r="AP5" s="123"/>
      <c r="AQ5" s="132"/>
      <c r="AR5" s="132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32"/>
      <c r="BH5" s="132"/>
      <c r="BI5" s="132"/>
      <c r="BJ5" s="132"/>
      <c r="BK5" s="132"/>
      <c r="BL5" s="132"/>
      <c r="BM5" s="132"/>
      <c r="BN5" s="132"/>
    </row>
    <row r="6" spans="1:66">
      <c r="A6" s="132">
        <v>10025</v>
      </c>
      <c r="B6" s="132" t="s">
        <v>10</v>
      </c>
      <c r="C6" s="244">
        <v>1</v>
      </c>
      <c r="D6" s="244">
        <v>0</v>
      </c>
      <c r="E6" s="244">
        <v>60.548999999999999</v>
      </c>
      <c r="F6" s="244">
        <v>66.831999999999994</v>
      </c>
      <c r="G6" s="244">
        <v>67.885000000000005</v>
      </c>
      <c r="H6" s="244">
        <v>0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66.507999999999996</v>
      </c>
      <c r="O6" s="244">
        <v>67.372</v>
      </c>
      <c r="P6" s="244">
        <v>584206.272</v>
      </c>
      <c r="Q6" s="244">
        <v>590178.72</v>
      </c>
      <c r="R6" s="244">
        <v>59.343000000000004</v>
      </c>
      <c r="S6" s="244">
        <v>521268.91200000001</v>
      </c>
      <c r="T6" s="244">
        <v>7.165</v>
      </c>
      <c r="U6" s="244">
        <v>8.0289999999999999</v>
      </c>
      <c r="V6" s="244">
        <v>7.165</v>
      </c>
      <c r="W6" s="244">
        <v>8.0289999999999999</v>
      </c>
      <c r="X6" s="244">
        <v>8.4480000000000006E-3</v>
      </c>
      <c r="Y6" s="244">
        <v>8.4480000000000006E-3</v>
      </c>
      <c r="Z6" s="244">
        <v>0</v>
      </c>
      <c r="AA6" s="244">
        <v>8.4480000000000006E-3</v>
      </c>
      <c r="AB6" s="244">
        <v>8.4480000000000006E-3</v>
      </c>
      <c r="AC6" s="244">
        <v>8.4480000000000006E-3</v>
      </c>
      <c r="AD6" s="244">
        <v>0.892269762675167</v>
      </c>
      <c r="AE6" s="244">
        <v>0.88082701086504789</v>
      </c>
      <c r="AF6" s="244">
        <v>1.1207387560453632</v>
      </c>
      <c r="AG6" s="244">
        <v>1.1352981817569048</v>
      </c>
      <c r="AH6" s="244">
        <v>6.7244325362721805E-2</v>
      </c>
      <c r="AI6" s="244">
        <v>6.8117890905414286E-2</v>
      </c>
      <c r="AJ6" s="123"/>
      <c r="AK6" s="123"/>
      <c r="AL6" s="123"/>
      <c r="AM6" s="123"/>
      <c r="AN6" s="123"/>
      <c r="AO6" s="123"/>
      <c r="AP6" s="123"/>
      <c r="AQ6" s="132"/>
      <c r="AR6" s="132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32"/>
      <c r="BH6" s="132"/>
      <c r="BI6" s="132"/>
      <c r="BJ6" s="132"/>
      <c r="BK6" s="132"/>
      <c r="BL6" s="132"/>
      <c r="BM6" s="132"/>
      <c r="BN6" s="132"/>
    </row>
    <row r="7" spans="1:66">
      <c r="A7" s="134">
        <v>10027</v>
      </c>
      <c r="B7" s="134" t="s">
        <v>11</v>
      </c>
      <c r="C7" s="244">
        <v>1</v>
      </c>
      <c r="D7" s="244">
        <v>0</v>
      </c>
      <c r="E7" s="244">
        <v>62.106999999999999</v>
      </c>
      <c r="F7" s="244">
        <v>66.088999999999999</v>
      </c>
      <c r="G7" s="244">
        <v>66.585999999999999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4">
        <v>65.198999999999998</v>
      </c>
      <c r="O7" s="244">
        <v>65.771000000000001</v>
      </c>
      <c r="P7" s="244">
        <v>572708.01599999995</v>
      </c>
      <c r="Q7" s="244">
        <v>576153.96</v>
      </c>
      <c r="R7" s="244">
        <v>60.87</v>
      </c>
      <c r="S7" s="244">
        <v>534682.07999999996</v>
      </c>
      <c r="T7" s="244">
        <v>4.3289999999999997</v>
      </c>
      <c r="U7" s="244">
        <v>4.9009999999999998</v>
      </c>
      <c r="V7" s="244">
        <v>4.3289999999999997</v>
      </c>
      <c r="W7" s="244">
        <v>4.9009999999999998</v>
      </c>
      <c r="X7" s="244">
        <v>8.6654000000000002E-3</v>
      </c>
      <c r="Y7" s="244">
        <v>8.6654000000000002E-3</v>
      </c>
      <c r="Z7" s="244">
        <v>0</v>
      </c>
      <c r="AA7" s="244">
        <v>8.6654000000000002E-3</v>
      </c>
      <c r="AB7" s="244">
        <v>8.6654000000000002E-3</v>
      </c>
      <c r="AC7" s="244">
        <v>8.6654000000000002E-3</v>
      </c>
      <c r="AD7" s="244">
        <v>0.93360644004969406</v>
      </c>
      <c r="AE7" s="244">
        <v>0.9254870122820088</v>
      </c>
      <c r="AF7" s="244">
        <v>1.0711187777230162</v>
      </c>
      <c r="AG7" s="244">
        <v>1.0805158534581896</v>
      </c>
      <c r="AH7" s="244">
        <v>7.4978314440611149E-2</v>
      </c>
      <c r="AI7" s="244">
        <v>7.5636109742073271E-2</v>
      </c>
      <c r="AJ7" s="130"/>
      <c r="AK7" s="130"/>
      <c r="AL7" s="130"/>
      <c r="AM7" s="130"/>
      <c r="AN7" s="130"/>
      <c r="AO7" s="130"/>
      <c r="AP7" s="130"/>
      <c r="AS7" s="129"/>
      <c r="AT7" s="129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29"/>
      <c r="BF7" s="129"/>
      <c r="BG7" s="132"/>
      <c r="BM7" s="132"/>
      <c r="BN7" s="132"/>
    </row>
    <row r="8" spans="1:66">
      <c r="A8" s="132">
        <v>10029</v>
      </c>
      <c r="B8" s="132" t="s">
        <v>12</v>
      </c>
      <c r="C8" s="244">
        <v>0</v>
      </c>
      <c r="D8" s="244">
        <v>1</v>
      </c>
      <c r="E8" s="244">
        <v>17.879000000000001</v>
      </c>
      <c r="F8" s="244">
        <v>20.295000000000002</v>
      </c>
      <c r="G8" s="244">
        <v>20.350000000000001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21.166</v>
      </c>
      <c r="O8" s="244">
        <v>21.178000000000001</v>
      </c>
      <c r="P8" s="244">
        <v>185922.144</v>
      </c>
      <c r="Q8" s="244">
        <v>185519.28</v>
      </c>
      <c r="R8" s="244">
        <v>17.523</v>
      </c>
      <c r="S8" s="244">
        <v>153922.03200000001</v>
      </c>
      <c r="T8" s="244">
        <v>3.6429999999999998</v>
      </c>
      <c r="U8" s="244">
        <v>3.6549999999999998</v>
      </c>
      <c r="V8" s="244">
        <v>3.6429999999999998</v>
      </c>
      <c r="W8" s="244">
        <v>3.6549999999999998</v>
      </c>
      <c r="X8" s="244">
        <v>2.4945000000000002E-3</v>
      </c>
      <c r="Y8" s="244">
        <v>2.4945000000000002E-3</v>
      </c>
      <c r="Z8" s="244">
        <v>0</v>
      </c>
      <c r="AA8" s="244">
        <v>2.4945000000000002E-3</v>
      </c>
      <c r="AB8" s="244">
        <v>2.4945000000000002E-3</v>
      </c>
      <c r="AC8" s="244">
        <v>2.4945000000000002E-3</v>
      </c>
      <c r="AD8" s="244">
        <v>0.82786757932533317</v>
      </c>
      <c r="AE8" s="244">
        <v>0.82739848824251583</v>
      </c>
      <c r="AF8" s="244">
        <v>1.2078981909490385</v>
      </c>
      <c r="AG8" s="244">
        <v>1.2085830051931747</v>
      </c>
      <c r="AH8" s="244">
        <v>7.2473891456942302E-2</v>
      </c>
      <c r="AI8" s="244">
        <v>7.2514980311590482E-2</v>
      </c>
      <c r="AJ8" s="123"/>
      <c r="AK8" s="123"/>
      <c r="AL8" s="123"/>
      <c r="AM8" s="123"/>
      <c r="AN8" s="123"/>
      <c r="AO8" s="123"/>
      <c r="AP8" s="123"/>
      <c r="AQ8" s="132"/>
      <c r="AR8" s="132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32"/>
      <c r="BH8" s="132"/>
      <c r="BI8" s="132"/>
      <c r="BJ8" s="132"/>
      <c r="BK8" s="132"/>
      <c r="BL8" s="132"/>
      <c r="BM8" s="132"/>
      <c r="BN8" s="132"/>
    </row>
    <row r="9" spans="1:66">
      <c r="A9" s="132">
        <v>10044</v>
      </c>
      <c r="B9" s="132" t="s">
        <v>13</v>
      </c>
      <c r="C9" s="244">
        <v>1</v>
      </c>
      <c r="D9" s="244">
        <v>0</v>
      </c>
      <c r="E9" s="244">
        <v>20.611999999999998</v>
      </c>
      <c r="F9" s="244">
        <v>21.797999999999998</v>
      </c>
      <c r="G9" s="244">
        <v>21.984000000000002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20.77</v>
      </c>
      <c r="O9" s="244">
        <v>20.893000000000001</v>
      </c>
      <c r="P9" s="244">
        <v>182443.68</v>
      </c>
      <c r="Q9" s="244">
        <v>183022.68</v>
      </c>
      <c r="R9" s="244">
        <v>20.202000000000002</v>
      </c>
      <c r="S9" s="244">
        <v>177454.36800000002</v>
      </c>
      <c r="T9" s="244">
        <v>0.56799999999999995</v>
      </c>
      <c r="U9" s="244">
        <v>0.69099999999999995</v>
      </c>
      <c r="V9" s="244">
        <v>0</v>
      </c>
      <c r="W9" s="244">
        <v>0</v>
      </c>
      <c r="X9" s="244">
        <v>2.8758999999999998E-3</v>
      </c>
      <c r="Y9" s="244">
        <v>2.8758999999999998E-3</v>
      </c>
      <c r="Z9" s="244">
        <v>0</v>
      </c>
      <c r="AA9" s="244">
        <v>2.8758999999999998E-3</v>
      </c>
      <c r="AB9" s="244">
        <v>2.8758999999999998E-3</v>
      </c>
      <c r="AC9" s="244">
        <v>2.8758999999999998E-3</v>
      </c>
      <c r="AD9" s="244">
        <v>0.97264294948483376</v>
      </c>
      <c r="AE9" s="244">
        <v>0.96691686501699114</v>
      </c>
      <c r="AF9" s="244">
        <v>1.028116028116028</v>
      </c>
      <c r="AG9" s="244">
        <v>1.0342045342045341</v>
      </c>
      <c r="AH9" s="244">
        <v>0</v>
      </c>
      <c r="AI9" s="244">
        <v>0</v>
      </c>
      <c r="AJ9" s="123"/>
      <c r="AK9" s="123"/>
      <c r="AL9" s="123"/>
      <c r="AM9" s="123"/>
      <c r="AN9" s="123"/>
      <c r="AO9" s="123"/>
      <c r="AP9" s="123"/>
      <c r="AQ9" s="132"/>
      <c r="AR9" s="132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32"/>
      <c r="BH9" s="132"/>
      <c r="BI9" s="132"/>
      <c r="BJ9" s="132"/>
      <c r="BK9" s="132"/>
      <c r="BL9" s="132"/>
      <c r="BM9" s="132"/>
      <c r="BN9" s="132"/>
    </row>
    <row r="10" spans="1:66">
      <c r="A10" s="132">
        <v>10046</v>
      </c>
      <c r="B10" s="132" t="s">
        <v>14</v>
      </c>
      <c r="C10" s="244">
        <v>0</v>
      </c>
      <c r="D10" s="244">
        <v>1</v>
      </c>
      <c r="E10" s="244">
        <v>83.072000000000003</v>
      </c>
      <c r="F10" s="244">
        <v>95.570999999999998</v>
      </c>
      <c r="G10" s="244">
        <v>97.424000000000007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90.593999999999994</v>
      </c>
      <c r="O10" s="244">
        <v>92.031000000000006</v>
      </c>
      <c r="P10" s="244">
        <v>795777.696</v>
      </c>
      <c r="Q10" s="244">
        <v>806191.56</v>
      </c>
      <c r="R10" s="244">
        <v>81.418000000000006</v>
      </c>
      <c r="S10" s="244">
        <v>715175.71200000006</v>
      </c>
      <c r="T10" s="244">
        <v>9.1760000000000002</v>
      </c>
      <c r="U10" s="244">
        <v>10.613</v>
      </c>
      <c r="V10" s="244">
        <v>9.1760000000000002</v>
      </c>
      <c r="W10" s="244">
        <v>10.613</v>
      </c>
      <c r="X10" s="244">
        <v>1.15906E-2</v>
      </c>
      <c r="Y10" s="244">
        <v>1.15906E-2</v>
      </c>
      <c r="Z10" s="244">
        <v>0</v>
      </c>
      <c r="AA10" s="244">
        <v>1.15906E-2</v>
      </c>
      <c r="AB10" s="244">
        <v>1.15906E-2</v>
      </c>
      <c r="AC10" s="244">
        <v>1.15906E-2</v>
      </c>
      <c r="AD10" s="244">
        <v>0.8987163475197032</v>
      </c>
      <c r="AE10" s="244">
        <v>0.88468351737132034</v>
      </c>
      <c r="AF10" s="244">
        <v>1.1127023508315113</v>
      </c>
      <c r="AG10" s="244">
        <v>1.130352010611904</v>
      </c>
      <c r="AH10" s="244">
        <v>7.2325652804048235E-2</v>
      </c>
      <c r="AI10" s="244">
        <v>7.347288068977377E-2</v>
      </c>
      <c r="AJ10" s="123"/>
      <c r="AK10" s="123"/>
      <c r="AL10" s="123"/>
      <c r="AM10" s="123"/>
      <c r="AN10" s="123"/>
      <c r="AO10" s="123"/>
      <c r="AP10" s="123"/>
      <c r="AQ10" s="132"/>
      <c r="AR10" s="132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32"/>
      <c r="BH10" s="132"/>
      <c r="BI10" s="132"/>
      <c r="BJ10" s="132"/>
      <c r="BK10" s="132"/>
      <c r="BL10" s="132"/>
      <c r="BM10" s="132"/>
      <c r="BN10" s="132"/>
    </row>
    <row r="11" spans="1:66">
      <c r="A11" s="132">
        <v>10047</v>
      </c>
      <c r="B11" s="132" t="s">
        <v>15</v>
      </c>
      <c r="C11" s="244">
        <v>1</v>
      </c>
      <c r="D11" s="244">
        <v>0</v>
      </c>
      <c r="E11" s="244">
        <v>159.01</v>
      </c>
      <c r="F11" s="244">
        <v>149.59299999999999</v>
      </c>
      <c r="G11" s="244">
        <v>150.245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154.20099999999999</v>
      </c>
      <c r="O11" s="244">
        <v>154.536</v>
      </c>
      <c r="P11" s="244">
        <v>1354501.584</v>
      </c>
      <c r="Q11" s="244">
        <v>1353735.36</v>
      </c>
      <c r="R11" s="244">
        <v>155.84299999999999</v>
      </c>
      <c r="S11" s="244">
        <v>1368924.912</v>
      </c>
      <c r="T11" s="244">
        <v>0</v>
      </c>
      <c r="U11" s="244">
        <v>0</v>
      </c>
      <c r="V11" s="244">
        <v>0</v>
      </c>
      <c r="W11" s="244">
        <v>0</v>
      </c>
      <c r="X11" s="244">
        <v>2.19518E-2</v>
      </c>
      <c r="Y11" s="244">
        <v>2.1999500000000002E-2</v>
      </c>
      <c r="Z11" s="244">
        <v>0</v>
      </c>
      <c r="AA11" s="244">
        <v>2.19518E-2</v>
      </c>
      <c r="AB11" s="244">
        <v>2.1999500000000002E-2</v>
      </c>
      <c r="AC11" s="244">
        <v>2.1975649999999999E-2</v>
      </c>
      <c r="AD11" s="244">
        <v>0.99999794113916252</v>
      </c>
      <c r="AE11" s="244">
        <v>0.99999839353936948</v>
      </c>
      <c r="AF11" s="244">
        <v>1</v>
      </c>
      <c r="AG11" s="244">
        <v>1</v>
      </c>
      <c r="AH11" s="244">
        <v>0</v>
      </c>
      <c r="AI11" s="244">
        <v>0</v>
      </c>
      <c r="AJ11" s="123"/>
      <c r="AK11" s="123"/>
      <c r="AL11" s="123"/>
      <c r="AM11" s="123"/>
      <c r="AN11" s="123"/>
      <c r="AO11" s="123"/>
      <c r="AP11" s="123"/>
      <c r="AQ11" s="132"/>
      <c r="AR11" s="132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32"/>
      <c r="BH11" s="132"/>
      <c r="BI11" s="132"/>
      <c r="BJ11" s="132"/>
      <c r="BK11" s="132"/>
      <c r="BL11" s="132"/>
      <c r="BM11" s="132"/>
      <c r="BN11" s="132"/>
    </row>
    <row r="12" spans="1:66">
      <c r="A12" s="132">
        <v>10055</v>
      </c>
      <c r="B12" s="132" t="s">
        <v>16</v>
      </c>
      <c r="C12" s="244">
        <v>1</v>
      </c>
      <c r="D12" s="244">
        <v>0</v>
      </c>
      <c r="E12" s="244">
        <v>0.40400000000000003</v>
      </c>
      <c r="F12" s="244">
        <v>0.38300000000000001</v>
      </c>
      <c r="G12" s="244">
        <v>0.38400000000000001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0.38500000000000001</v>
      </c>
      <c r="O12" s="244">
        <v>0.38500000000000001</v>
      </c>
      <c r="P12" s="244">
        <v>3381.84</v>
      </c>
      <c r="Q12" s="244">
        <v>3372.6</v>
      </c>
      <c r="R12" s="244">
        <v>0.39600000000000002</v>
      </c>
      <c r="S12" s="244">
        <v>3478.4639999999999</v>
      </c>
      <c r="T12" s="244">
        <v>0</v>
      </c>
      <c r="U12" s="244">
        <v>0</v>
      </c>
      <c r="V12" s="244">
        <v>0</v>
      </c>
      <c r="W12" s="244">
        <v>0</v>
      </c>
      <c r="X12" s="244">
        <v>5.4799999999999997E-5</v>
      </c>
      <c r="Y12" s="244">
        <v>5.4799999999999997E-5</v>
      </c>
      <c r="Z12" s="244">
        <v>0</v>
      </c>
      <c r="AA12" s="244">
        <v>5.4799999999999997E-5</v>
      </c>
      <c r="AB12" s="244">
        <v>5.4799999999999997E-5</v>
      </c>
      <c r="AC12" s="244">
        <v>5.4799999999999997E-5</v>
      </c>
      <c r="AD12" s="244">
        <v>0.99985261714285711</v>
      </c>
      <c r="AE12" s="244">
        <v>0.99985261714285711</v>
      </c>
      <c r="AF12" s="244">
        <v>1</v>
      </c>
      <c r="AG12" s="244">
        <v>1</v>
      </c>
      <c r="AH12" s="244">
        <v>0</v>
      </c>
      <c r="AI12" s="244">
        <v>0</v>
      </c>
      <c r="AJ12" s="123"/>
      <c r="AK12" s="123"/>
      <c r="AL12" s="123"/>
      <c r="AM12" s="123"/>
      <c r="AN12" s="123"/>
      <c r="AO12" s="123"/>
      <c r="AP12" s="123"/>
      <c r="AQ12" s="132"/>
      <c r="AR12" s="132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32"/>
      <c r="BH12" s="132"/>
      <c r="BI12" s="132"/>
      <c r="BJ12" s="132"/>
      <c r="BK12" s="132"/>
      <c r="BL12" s="132"/>
      <c r="BM12" s="132"/>
      <c r="BN12" s="132"/>
    </row>
    <row r="13" spans="1:66">
      <c r="A13" s="132">
        <v>10057</v>
      </c>
      <c r="B13" s="132" t="s">
        <v>17</v>
      </c>
      <c r="C13" s="244">
        <v>1</v>
      </c>
      <c r="D13" s="244">
        <v>0</v>
      </c>
      <c r="E13" s="244">
        <v>21.382999999999999</v>
      </c>
      <c r="F13" s="244">
        <v>20.079000000000001</v>
      </c>
      <c r="G13" s="244">
        <v>20.134</v>
      </c>
      <c r="H13" s="244">
        <v>0</v>
      </c>
      <c r="I13" s="244">
        <v>0</v>
      </c>
      <c r="J13" s="244">
        <v>0.158</v>
      </c>
      <c r="K13" s="244">
        <v>0.158</v>
      </c>
      <c r="L13" s="244">
        <v>1387.8720000000001</v>
      </c>
      <c r="M13" s="244">
        <v>1384.08</v>
      </c>
      <c r="N13" s="244">
        <v>19.991</v>
      </c>
      <c r="O13" s="244">
        <v>19.984000000000002</v>
      </c>
      <c r="P13" s="244">
        <v>175600.94399999999</v>
      </c>
      <c r="Q13" s="244">
        <v>175059.84000000003</v>
      </c>
      <c r="R13" s="244">
        <v>20.957000000000001</v>
      </c>
      <c r="S13" s="244">
        <v>184086.288</v>
      </c>
      <c r="T13" s="244">
        <v>0</v>
      </c>
      <c r="U13" s="244">
        <v>0</v>
      </c>
      <c r="V13" s="244">
        <v>0</v>
      </c>
      <c r="W13" s="244">
        <v>0</v>
      </c>
      <c r="X13" s="244">
        <v>2.8459000000000002E-3</v>
      </c>
      <c r="Y13" s="244">
        <v>2.8449E-3</v>
      </c>
      <c r="Z13" s="244">
        <v>0</v>
      </c>
      <c r="AA13" s="244">
        <v>2.8459000000000002E-3</v>
      </c>
      <c r="AB13" s="244">
        <v>2.8449E-3</v>
      </c>
      <c r="AC13" s="244">
        <v>2.8454000000000001E-3</v>
      </c>
      <c r="AD13" s="244">
        <v>1</v>
      </c>
      <c r="AE13" s="244">
        <v>1</v>
      </c>
      <c r="AF13" s="244">
        <v>1</v>
      </c>
      <c r="AG13" s="244">
        <v>1</v>
      </c>
      <c r="AH13" s="244">
        <v>0</v>
      </c>
      <c r="AI13" s="244">
        <v>0</v>
      </c>
      <c r="AJ13" s="123"/>
      <c r="AK13" s="123"/>
      <c r="AL13" s="123"/>
      <c r="AM13" s="123"/>
      <c r="AN13" s="123"/>
      <c r="AO13" s="123"/>
      <c r="AP13" s="123"/>
      <c r="AQ13" s="132"/>
      <c r="AR13" s="132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32"/>
      <c r="BH13" s="132"/>
      <c r="BI13" s="132"/>
      <c r="BJ13" s="132"/>
      <c r="BK13" s="132"/>
      <c r="BL13" s="132"/>
      <c r="BM13" s="132"/>
      <c r="BN13" s="132"/>
    </row>
    <row r="14" spans="1:66">
      <c r="A14" s="132">
        <v>10059</v>
      </c>
      <c r="B14" s="132" t="s">
        <v>18</v>
      </c>
      <c r="C14" s="244">
        <v>1</v>
      </c>
      <c r="D14" s="244">
        <v>0</v>
      </c>
      <c r="E14" s="244">
        <v>7.7530000000000001</v>
      </c>
      <c r="F14" s="244">
        <v>7.5780000000000003</v>
      </c>
      <c r="G14" s="244">
        <v>7.5990000000000002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7.4640000000000004</v>
      </c>
      <c r="O14" s="244">
        <v>7.4790000000000001</v>
      </c>
      <c r="P14" s="244">
        <v>65563.775999999998</v>
      </c>
      <c r="Q14" s="244">
        <v>65516.04</v>
      </c>
      <c r="R14" s="244">
        <v>7.5990000000000002</v>
      </c>
      <c r="S14" s="244">
        <v>66749.615999999995</v>
      </c>
      <c r="T14" s="244">
        <v>0</v>
      </c>
      <c r="U14" s="244">
        <v>0</v>
      </c>
      <c r="V14" s="244">
        <v>0</v>
      </c>
      <c r="W14" s="244">
        <v>0</v>
      </c>
      <c r="X14" s="244">
        <v>1.0625999999999999E-3</v>
      </c>
      <c r="Y14" s="244">
        <v>1.0647E-3</v>
      </c>
      <c r="Z14" s="244">
        <v>0</v>
      </c>
      <c r="AA14" s="244">
        <v>1.0625999999999999E-3</v>
      </c>
      <c r="AB14" s="244">
        <v>1.0647E-3</v>
      </c>
      <c r="AC14" s="244">
        <v>1.06365E-3</v>
      </c>
      <c r="AD14" s="244">
        <v>1</v>
      </c>
      <c r="AE14" s="244">
        <v>0.99999972274368232</v>
      </c>
      <c r="AF14" s="244">
        <v>1</v>
      </c>
      <c r="AG14" s="244">
        <v>1</v>
      </c>
      <c r="AH14" s="244">
        <v>0</v>
      </c>
      <c r="AI14" s="244">
        <v>0</v>
      </c>
      <c r="AJ14" s="123"/>
      <c r="AK14" s="123"/>
      <c r="AL14" s="123"/>
      <c r="AM14" s="123"/>
      <c r="AN14" s="123"/>
      <c r="AO14" s="123"/>
      <c r="AP14" s="123"/>
      <c r="AQ14" s="132"/>
      <c r="AR14" s="132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32"/>
      <c r="BH14" s="132"/>
      <c r="BI14" s="132"/>
      <c r="BJ14" s="132"/>
      <c r="BK14" s="132"/>
      <c r="BL14" s="132"/>
      <c r="BM14" s="132"/>
      <c r="BN14" s="132"/>
    </row>
    <row r="15" spans="1:66">
      <c r="A15" s="132">
        <v>10061</v>
      </c>
      <c r="B15" s="132" t="s">
        <v>19</v>
      </c>
      <c r="C15" s="244">
        <v>1</v>
      </c>
      <c r="D15" s="244">
        <v>0</v>
      </c>
      <c r="E15" s="244">
        <v>8.8770000000000007</v>
      </c>
      <c r="F15" s="244">
        <v>9.2690000000000001</v>
      </c>
      <c r="G15" s="244">
        <v>9.359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9.3539999999999992</v>
      </c>
      <c r="O15" s="244">
        <v>9.3559999999999999</v>
      </c>
      <c r="P15" s="244">
        <v>82165.535999999993</v>
      </c>
      <c r="Q15" s="244">
        <v>81958.559999999998</v>
      </c>
      <c r="R15" s="244">
        <v>8.6999999999999993</v>
      </c>
      <c r="S15" s="244">
        <v>76420.799999999988</v>
      </c>
      <c r="T15" s="244">
        <v>0.65400000000000003</v>
      </c>
      <c r="U15" s="244">
        <v>0.65600000000000003</v>
      </c>
      <c r="V15" s="244">
        <v>0</v>
      </c>
      <c r="W15" s="244">
        <v>0</v>
      </c>
      <c r="X15" s="244">
        <v>1.2385E-3</v>
      </c>
      <c r="Y15" s="244">
        <v>1.2385E-3</v>
      </c>
      <c r="Z15" s="244">
        <v>0</v>
      </c>
      <c r="AA15" s="244">
        <v>1.2385E-3</v>
      </c>
      <c r="AB15" s="244">
        <v>1.2385E-3</v>
      </c>
      <c r="AC15" s="244">
        <v>1.2385E-3</v>
      </c>
      <c r="AD15" s="244">
        <v>0.93006821808851825</v>
      </c>
      <c r="AE15" s="244">
        <v>0.92986940059854628</v>
      </c>
      <c r="AF15" s="244">
        <v>1.0751724137931034</v>
      </c>
      <c r="AG15" s="244">
        <v>1.0754022988505747</v>
      </c>
      <c r="AH15" s="244">
        <v>0</v>
      </c>
      <c r="AI15" s="244">
        <v>0</v>
      </c>
      <c r="AJ15" s="123"/>
      <c r="AK15" s="123"/>
      <c r="AL15" s="123"/>
      <c r="AM15" s="123"/>
      <c r="AN15" s="123"/>
      <c r="AO15" s="123"/>
      <c r="AP15" s="123"/>
      <c r="AQ15" s="132"/>
      <c r="AR15" s="132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32"/>
      <c r="BH15" s="132"/>
      <c r="BI15" s="132"/>
      <c r="BJ15" s="132"/>
      <c r="BK15" s="132"/>
      <c r="BL15" s="132"/>
      <c r="BM15" s="132"/>
      <c r="BN15" s="132"/>
    </row>
    <row r="16" spans="1:66">
      <c r="A16" s="132">
        <v>10062</v>
      </c>
      <c r="B16" s="132" t="s">
        <v>20</v>
      </c>
      <c r="C16" s="244">
        <v>1</v>
      </c>
      <c r="D16" s="244">
        <v>0</v>
      </c>
      <c r="E16" s="244">
        <v>5.399</v>
      </c>
      <c r="F16" s="244">
        <v>9.0269999999999992</v>
      </c>
      <c r="G16" s="244">
        <v>9.1470000000000002</v>
      </c>
      <c r="H16" s="244">
        <v>0</v>
      </c>
      <c r="I16" s="244">
        <v>0</v>
      </c>
      <c r="J16" s="244">
        <v>1.8759999999999999</v>
      </c>
      <c r="K16" s="244">
        <v>1.881</v>
      </c>
      <c r="L16" s="244">
        <v>16478.784</v>
      </c>
      <c r="M16" s="244">
        <v>16477.560000000001</v>
      </c>
      <c r="N16" s="244">
        <v>6.883</v>
      </c>
      <c r="O16" s="244">
        <v>6.93</v>
      </c>
      <c r="P16" s="244">
        <v>60460.271999999997</v>
      </c>
      <c r="Q16" s="244">
        <v>60706.799999999996</v>
      </c>
      <c r="R16" s="244">
        <v>5.2910000000000004</v>
      </c>
      <c r="S16" s="244">
        <v>46476.144</v>
      </c>
      <c r="T16" s="244">
        <v>1.5920000000000001</v>
      </c>
      <c r="U16" s="244">
        <v>1.639</v>
      </c>
      <c r="V16" s="244">
        <v>1.5920000000000001</v>
      </c>
      <c r="W16" s="244">
        <v>1.639</v>
      </c>
      <c r="X16" s="244">
        <v>7.5319999999999998E-4</v>
      </c>
      <c r="Y16" s="244">
        <v>7.5319999999999998E-4</v>
      </c>
      <c r="Z16" s="244">
        <v>0</v>
      </c>
      <c r="AA16" s="244">
        <v>7.5319999999999998E-4</v>
      </c>
      <c r="AB16" s="244">
        <v>7.5319999999999998E-4</v>
      </c>
      <c r="AC16" s="244">
        <v>7.5319999999999998E-4</v>
      </c>
      <c r="AD16" s="244">
        <v>0.81826988225088459</v>
      </c>
      <c r="AE16" s="244">
        <v>0.81396690936329585</v>
      </c>
      <c r="AF16" s="244">
        <v>1.3008883008883008</v>
      </c>
      <c r="AG16" s="244">
        <v>1.3097713097713097</v>
      </c>
      <c r="AH16" s="244">
        <v>0</v>
      </c>
      <c r="AI16" s="244">
        <v>0</v>
      </c>
      <c r="AJ16" s="123"/>
      <c r="AK16" s="123"/>
      <c r="AL16" s="123"/>
      <c r="AM16" s="123"/>
      <c r="AN16" s="123"/>
      <c r="AO16" s="123"/>
      <c r="AP16" s="123"/>
      <c r="AQ16" s="132"/>
      <c r="AR16" s="132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32"/>
      <c r="BH16" s="132"/>
      <c r="BI16" s="132"/>
      <c r="BJ16" s="132"/>
      <c r="BK16" s="132"/>
      <c r="BL16" s="132"/>
      <c r="BM16" s="132"/>
      <c r="BN16" s="132"/>
    </row>
    <row r="17" spans="1:66">
      <c r="A17" s="132">
        <v>10064</v>
      </c>
      <c r="B17" s="132" t="s">
        <v>21</v>
      </c>
      <c r="C17" s="244">
        <v>1</v>
      </c>
      <c r="D17" s="244">
        <v>0</v>
      </c>
      <c r="E17" s="244">
        <v>14.273999999999999</v>
      </c>
      <c r="F17" s="244">
        <v>13.709</v>
      </c>
      <c r="G17" s="244">
        <v>13.773999999999999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13.903</v>
      </c>
      <c r="O17" s="244">
        <v>13.927</v>
      </c>
      <c r="P17" s="244">
        <v>122123.952</v>
      </c>
      <c r="Q17" s="244">
        <v>122000.51999999999</v>
      </c>
      <c r="R17" s="244">
        <v>13.99</v>
      </c>
      <c r="S17" s="244">
        <v>122888.16</v>
      </c>
      <c r="T17" s="244">
        <v>0</v>
      </c>
      <c r="U17" s="244">
        <v>0</v>
      </c>
      <c r="V17" s="244">
        <v>0</v>
      </c>
      <c r="W17" s="244">
        <v>0</v>
      </c>
      <c r="X17" s="244">
        <v>1.9792E-3</v>
      </c>
      <c r="Y17" s="244">
        <v>1.9826000000000002E-3</v>
      </c>
      <c r="Z17" s="244">
        <v>0</v>
      </c>
      <c r="AA17" s="244">
        <v>1.9792E-3</v>
      </c>
      <c r="AB17" s="244">
        <v>1.9826000000000002E-3</v>
      </c>
      <c r="AC17" s="244">
        <v>1.9808999999999998E-3</v>
      </c>
      <c r="AD17" s="244">
        <v>0.99999382510249579</v>
      </c>
      <c r="AE17" s="244">
        <v>0.99998545926617366</v>
      </c>
      <c r="AF17" s="244">
        <v>1</v>
      </c>
      <c r="AG17" s="244">
        <v>1</v>
      </c>
      <c r="AH17" s="244">
        <v>0</v>
      </c>
      <c r="AI17" s="244">
        <v>0</v>
      </c>
      <c r="AJ17" s="123"/>
      <c r="AK17" s="123"/>
      <c r="AL17" s="123"/>
      <c r="AM17" s="123"/>
      <c r="AN17" s="123"/>
      <c r="AO17" s="123"/>
      <c r="AP17" s="123"/>
      <c r="AQ17" s="132"/>
      <c r="AR17" s="132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32"/>
      <c r="BH17" s="132"/>
      <c r="BI17" s="132"/>
      <c r="BJ17" s="132"/>
      <c r="BK17" s="132"/>
      <c r="BL17" s="132"/>
      <c r="BM17" s="132"/>
      <c r="BN17" s="132"/>
    </row>
    <row r="18" spans="1:66">
      <c r="A18" s="132">
        <v>10065</v>
      </c>
      <c r="B18" s="132" t="s">
        <v>22</v>
      </c>
      <c r="C18" s="244">
        <v>1</v>
      </c>
      <c r="D18" s="244">
        <v>0</v>
      </c>
      <c r="E18" s="244">
        <v>2.4129999999999998</v>
      </c>
      <c r="F18" s="244">
        <v>4.851</v>
      </c>
      <c r="G18" s="244">
        <v>5.0940000000000003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2.4660000000000002</v>
      </c>
      <c r="O18" s="244">
        <v>2.4750000000000001</v>
      </c>
      <c r="P18" s="244">
        <v>21661.344000000001</v>
      </c>
      <c r="Q18" s="244">
        <v>21681</v>
      </c>
      <c r="R18" s="244">
        <v>2.3650000000000002</v>
      </c>
      <c r="S18" s="244">
        <v>20774.160000000003</v>
      </c>
      <c r="T18" s="244">
        <v>0.10100000000000001</v>
      </c>
      <c r="U18" s="244">
        <v>0.11</v>
      </c>
      <c r="V18" s="244">
        <v>0</v>
      </c>
      <c r="W18" s="244">
        <v>0</v>
      </c>
      <c r="X18" s="244">
        <v>3.367E-4</v>
      </c>
      <c r="Y18" s="244">
        <v>3.367E-4</v>
      </c>
      <c r="Z18" s="244">
        <v>0</v>
      </c>
      <c r="AA18" s="244">
        <v>3.367E-4</v>
      </c>
      <c r="AB18" s="244">
        <v>3.367E-4</v>
      </c>
      <c r="AC18" s="244">
        <v>3.367E-4</v>
      </c>
      <c r="AD18" s="244">
        <v>0.95910510559610695</v>
      </c>
      <c r="AE18" s="244">
        <v>0.9556174506666667</v>
      </c>
      <c r="AF18" s="244">
        <v>1.0427061310782242</v>
      </c>
      <c r="AG18" s="244">
        <v>1.0465116279069766</v>
      </c>
      <c r="AH18" s="244">
        <v>5.7348837209302332E-2</v>
      </c>
      <c r="AI18" s="244">
        <v>5.7558139534883715E-2</v>
      </c>
      <c r="AJ18" s="123"/>
      <c r="AK18" s="123"/>
      <c r="AL18" s="123"/>
      <c r="AM18" s="123"/>
      <c r="AN18" s="123"/>
      <c r="AO18" s="123"/>
      <c r="AP18" s="123"/>
      <c r="AQ18" s="132"/>
      <c r="AR18" s="132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32"/>
      <c r="BH18" s="132"/>
      <c r="BI18" s="132"/>
      <c r="BJ18" s="132"/>
      <c r="BK18" s="132"/>
      <c r="BL18" s="132"/>
      <c r="BM18" s="132"/>
      <c r="BN18" s="132"/>
    </row>
    <row r="19" spans="1:66">
      <c r="A19" s="132">
        <v>10066</v>
      </c>
      <c r="B19" s="132" t="s">
        <v>23</v>
      </c>
      <c r="C19" s="244">
        <v>1</v>
      </c>
      <c r="D19" s="244">
        <v>0</v>
      </c>
      <c r="E19" s="244">
        <v>24.734999999999999</v>
      </c>
      <c r="F19" s="244">
        <v>31.702000000000002</v>
      </c>
      <c r="G19" s="244">
        <v>32.168999999999997</v>
      </c>
      <c r="H19" s="244">
        <v>0</v>
      </c>
      <c r="I19" s="244">
        <v>0</v>
      </c>
      <c r="J19" s="244">
        <v>7.0949999999999998</v>
      </c>
      <c r="K19" s="244">
        <v>7.1139999999999999</v>
      </c>
      <c r="L19" s="244">
        <v>62322.479999999996</v>
      </c>
      <c r="M19" s="244">
        <v>62318.64</v>
      </c>
      <c r="N19" s="244">
        <v>28.957000000000001</v>
      </c>
      <c r="O19" s="244">
        <v>29.581</v>
      </c>
      <c r="P19" s="244">
        <v>254358.288</v>
      </c>
      <c r="Q19" s="244">
        <v>259129.56</v>
      </c>
      <c r="R19" s="244">
        <v>24.242000000000001</v>
      </c>
      <c r="S19" s="244">
        <v>212941.728</v>
      </c>
      <c r="T19" s="244">
        <v>4.7149999999999999</v>
      </c>
      <c r="U19" s="244">
        <v>5.3390000000000004</v>
      </c>
      <c r="V19" s="244">
        <v>4.7149999999999999</v>
      </c>
      <c r="W19" s="244">
        <v>5.3390000000000004</v>
      </c>
      <c r="X19" s="244">
        <v>3.4510999999999999E-3</v>
      </c>
      <c r="Y19" s="244">
        <v>3.4510999999999999E-3</v>
      </c>
      <c r="Z19" s="244">
        <v>0</v>
      </c>
      <c r="AA19" s="244">
        <v>3.4510999999999999E-3</v>
      </c>
      <c r="AB19" s="244">
        <v>3.4510999999999999E-3</v>
      </c>
      <c r="AC19" s="244">
        <v>3.4510999999999999E-3</v>
      </c>
      <c r="AD19" s="244">
        <v>0.86927558817723061</v>
      </c>
      <c r="AE19" s="244">
        <v>0.85451133296634418</v>
      </c>
      <c r="AF19" s="244">
        <v>1.1944971537001898</v>
      </c>
      <c r="AG19" s="244">
        <v>1.2202376041580727</v>
      </c>
      <c r="AH19" s="244">
        <v>0</v>
      </c>
      <c r="AI19" s="244">
        <v>0</v>
      </c>
      <c r="AJ19" s="123"/>
      <c r="AK19" s="123"/>
      <c r="AL19" s="123"/>
      <c r="AM19" s="123"/>
      <c r="AN19" s="123"/>
      <c r="AO19" s="123"/>
      <c r="AP19" s="123"/>
      <c r="AQ19" s="132"/>
      <c r="AR19" s="132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32"/>
      <c r="BH19" s="132"/>
      <c r="BI19" s="132"/>
      <c r="BJ19" s="132"/>
      <c r="BK19" s="132"/>
      <c r="BL19" s="132"/>
      <c r="BM19" s="132"/>
      <c r="BN19" s="132"/>
    </row>
    <row r="20" spans="1:66">
      <c r="A20" s="132">
        <v>10067</v>
      </c>
      <c r="B20" s="132" t="s">
        <v>24</v>
      </c>
      <c r="C20" s="244">
        <v>1</v>
      </c>
      <c r="D20" s="244">
        <v>0</v>
      </c>
      <c r="E20" s="244">
        <v>16.053000000000001</v>
      </c>
      <c r="F20" s="244">
        <v>16.486999999999998</v>
      </c>
      <c r="G20" s="244">
        <v>16.669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17.082000000000001</v>
      </c>
      <c r="O20" s="244">
        <v>17.347000000000001</v>
      </c>
      <c r="P20" s="244">
        <v>150048.288</v>
      </c>
      <c r="Q20" s="244">
        <v>151959.72</v>
      </c>
      <c r="R20" s="244">
        <v>15.733000000000001</v>
      </c>
      <c r="S20" s="244">
        <v>138198.67199999999</v>
      </c>
      <c r="T20" s="244">
        <v>1.349</v>
      </c>
      <c r="U20" s="244">
        <v>1.6140000000000001</v>
      </c>
      <c r="V20" s="244">
        <v>1.349</v>
      </c>
      <c r="W20" s="244">
        <v>1.6140000000000001</v>
      </c>
      <c r="X20" s="244">
        <v>2.2396999999999999E-3</v>
      </c>
      <c r="Y20" s="244">
        <v>2.2396999999999999E-3</v>
      </c>
      <c r="Z20" s="244">
        <v>0</v>
      </c>
      <c r="AA20" s="244">
        <v>2.2396999999999999E-3</v>
      </c>
      <c r="AB20" s="244">
        <v>2.2396999999999999E-3</v>
      </c>
      <c r="AC20" s="244">
        <v>2.2396999999999999E-3</v>
      </c>
      <c r="AD20" s="244">
        <v>0.92101624671584115</v>
      </c>
      <c r="AE20" s="244">
        <v>0.90694641876981597</v>
      </c>
      <c r="AF20" s="244">
        <v>1.085743342019958</v>
      </c>
      <c r="AG20" s="244">
        <v>1.1025869192143902</v>
      </c>
      <c r="AH20" s="244">
        <v>0</v>
      </c>
      <c r="AI20" s="244">
        <v>0</v>
      </c>
      <c r="AJ20" s="123"/>
      <c r="AK20" s="123"/>
      <c r="AL20" s="123"/>
      <c r="AM20" s="123"/>
      <c r="AN20" s="123"/>
      <c r="AO20" s="123"/>
      <c r="AP20" s="123"/>
      <c r="AQ20" s="132"/>
      <c r="AR20" s="132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32"/>
      <c r="BH20" s="132"/>
      <c r="BI20" s="132"/>
      <c r="BJ20" s="132"/>
      <c r="BK20" s="132"/>
      <c r="BL20" s="132"/>
      <c r="BM20" s="132"/>
      <c r="BN20" s="132"/>
    </row>
    <row r="21" spans="1:66">
      <c r="A21" s="132">
        <v>10068</v>
      </c>
      <c r="B21" s="132" t="s">
        <v>25</v>
      </c>
      <c r="C21" s="244">
        <v>1</v>
      </c>
      <c r="D21" s="244">
        <v>0</v>
      </c>
      <c r="E21" s="244">
        <v>2.8109999999999999</v>
      </c>
      <c r="F21" s="244">
        <v>2.5009999999999999</v>
      </c>
      <c r="G21" s="244">
        <v>2.508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2.5550000000000002</v>
      </c>
      <c r="O21" s="244">
        <v>2.5579999999999998</v>
      </c>
      <c r="P21" s="244">
        <v>22443.120000000003</v>
      </c>
      <c r="Q21" s="244">
        <v>22408.079999999998</v>
      </c>
      <c r="R21" s="244">
        <v>2.7549999999999999</v>
      </c>
      <c r="S21" s="244">
        <v>24199.919999999998</v>
      </c>
      <c r="T21" s="244">
        <v>0</v>
      </c>
      <c r="U21" s="244">
        <v>0</v>
      </c>
      <c r="V21" s="244">
        <v>0</v>
      </c>
      <c r="W21" s="244">
        <v>0</v>
      </c>
      <c r="X21" s="244">
        <v>3.637E-4</v>
      </c>
      <c r="Y21" s="244">
        <v>3.6420000000000002E-4</v>
      </c>
      <c r="Z21" s="244">
        <v>0</v>
      </c>
      <c r="AA21" s="244">
        <v>3.637E-4</v>
      </c>
      <c r="AB21" s="244">
        <v>3.6420000000000002E-4</v>
      </c>
      <c r="AC21" s="244">
        <v>3.6395000000000004E-4</v>
      </c>
      <c r="AD21" s="244">
        <v>0.999927598590998</v>
      </c>
      <c r="AE21" s="244">
        <v>1</v>
      </c>
      <c r="AF21" s="244">
        <v>1</v>
      </c>
      <c r="AG21" s="244">
        <v>1</v>
      </c>
      <c r="AH21" s="244">
        <v>0</v>
      </c>
      <c r="AI21" s="244">
        <v>0</v>
      </c>
      <c r="AJ21" s="123"/>
      <c r="AK21" s="123"/>
      <c r="AL21" s="123"/>
      <c r="AM21" s="123"/>
      <c r="AN21" s="123"/>
      <c r="AO21" s="123"/>
      <c r="AP21" s="123"/>
      <c r="AQ21" s="132"/>
      <c r="AR21" s="132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32"/>
      <c r="BH21" s="132"/>
      <c r="BI21" s="132"/>
      <c r="BJ21" s="132"/>
      <c r="BK21" s="132"/>
      <c r="BL21" s="132"/>
      <c r="BM21" s="132"/>
      <c r="BN21" s="132"/>
    </row>
    <row r="22" spans="1:66">
      <c r="A22" s="132">
        <v>10070</v>
      </c>
      <c r="B22" s="132" t="s">
        <v>26</v>
      </c>
      <c r="C22" s="244">
        <v>1</v>
      </c>
      <c r="D22" s="244">
        <v>0</v>
      </c>
      <c r="E22" s="244">
        <v>0.36399999999999999</v>
      </c>
      <c r="F22" s="244">
        <v>0.377</v>
      </c>
      <c r="G22" s="244">
        <v>0.378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0.375</v>
      </c>
      <c r="O22" s="244">
        <v>0.376</v>
      </c>
      <c r="P22" s="244">
        <v>3294</v>
      </c>
      <c r="Q22" s="244">
        <v>3293.76</v>
      </c>
      <c r="R22" s="244">
        <v>0.35699999999999998</v>
      </c>
      <c r="S22" s="244">
        <v>3135.8879999999999</v>
      </c>
      <c r="T22" s="244">
        <v>1.7999999999999999E-2</v>
      </c>
      <c r="U22" s="244">
        <v>1.9E-2</v>
      </c>
      <c r="V22" s="244">
        <v>0</v>
      </c>
      <c r="W22" s="244">
        <v>0</v>
      </c>
      <c r="X22" s="244">
        <v>5.0800000000000002E-5</v>
      </c>
      <c r="Y22" s="244">
        <v>5.0800000000000002E-5</v>
      </c>
      <c r="Z22" s="244">
        <v>0</v>
      </c>
      <c r="AA22" s="244">
        <v>5.0800000000000002E-5</v>
      </c>
      <c r="AB22" s="244">
        <v>5.0800000000000002E-5</v>
      </c>
      <c r="AC22" s="244">
        <v>5.0800000000000002E-5</v>
      </c>
      <c r="AD22" s="244">
        <v>0.95158722559999998</v>
      </c>
      <c r="AE22" s="244">
        <v>0.94905640851063822</v>
      </c>
      <c r="AF22" s="244">
        <v>1.0504201680672269</v>
      </c>
      <c r="AG22" s="244">
        <v>1.0532212885154062</v>
      </c>
      <c r="AH22" s="244">
        <v>0</v>
      </c>
      <c r="AI22" s="244">
        <v>0</v>
      </c>
      <c r="AJ22" s="123"/>
      <c r="AK22" s="123"/>
      <c r="AL22" s="123"/>
      <c r="AM22" s="123"/>
      <c r="AN22" s="123"/>
      <c r="AO22" s="123"/>
      <c r="AP22" s="123"/>
      <c r="AQ22" s="132"/>
      <c r="AR22" s="132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32"/>
      <c r="BH22" s="132"/>
      <c r="BI22" s="132"/>
      <c r="BJ22" s="132"/>
      <c r="BK22" s="132"/>
      <c r="BL22" s="132"/>
      <c r="BM22" s="132"/>
      <c r="BN22" s="132"/>
    </row>
    <row r="23" spans="1:66">
      <c r="A23" s="132">
        <v>10071</v>
      </c>
      <c r="B23" s="132" t="s">
        <v>27</v>
      </c>
      <c r="C23" s="244">
        <v>1</v>
      </c>
      <c r="D23" s="244">
        <v>0</v>
      </c>
      <c r="E23" s="244">
        <v>1.9430000000000001</v>
      </c>
      <c r="F23" s="244">
        <v>1.857</v>
      </c>
      <c r="G23" s="244">
        <v>1.8620000000000001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1.8620000000000001</v>
      </c>
      <c r="O23" s="244">
        <v>1.8640000000000001</v>
      </c>
      <c r="P23" s="244">
        <v>16355.808000000001</v>
      </c>
      <c r="Q23" s="244">
        <v>16328.640000000001</v>
      </c>
      <c r="R23" s="244">
        <v>1.9039999999999999</v>
      </c>
      <c r="S23" s="244">
        <v>16724.736000000001</v>
      </c>
      <c r="T23" s="244">
        <v>0</v>
      </c>
      <c r="U23" s="244">
        <v>0</v>
      </c>
      <c r="V23" s="244">
        <v>0</v>
      </c>
      <c r="W23" s="244">
        <v>0</v>
      </c>
      <c r="X23" s="244">
        <v>2.6509999999999999E-4</v>
      </c>
      <c r="Y23" s="244">
        <v>2.654E-4</v>
      </c>
      <c r="Z23" s="244">
        <v>0</v>
      </c>
      <c r="AA23" s="244">
        <v>2.6509999999999999E-4</v>
      </c>
      <c r="AB23" s="244">
        <v>2.654E-4</v>
      </c>
      <c r="AC23" s="244">
        <v>2.6524999999999997E-4</v>
      </c>
      <c r="AD23" s="244">
        <v>1</v>
      </c>
      <c r="AE23" s="244">
        <v>1</v>
      </c>
      <c r="AF23" s="244">
        <v>1</v>
      </c>
      <c r="AG23" s="244">
        <v>1</v>
      </c>
      <c r="AH23" s="244">
        <v>0</v>
      </c>
      <c r="AI23" s="244">
        <v>0</v>
      </c>
      <c r="AJ23" s="123"/>
      <c r="AK23" s="123"/>
      <c r="AL23" s="123"/>
      <c r="AM23" s="123"/>
      <c r="AN23" s="123"/>
      <c r="AO23" s="123"/>
      <c r="AP23" s="123"/>
      <c r="AQ23" s="132"/>
      <c r="AR23" s="132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32"/>
      <c r="BH23" s="132"/>
      <c r="BI23" s="132"/>
      <c r="BJ23" s="132"/>
      <c r="BK23" s="132"/>
      <c r="BL23" s="132"/>
      <c r="BM23" s="132"/>
      <c r="BN23" s="132"/>
    </row>
    <row r="24" spans="1:66">
      <c r="A24" s="134">
        <v>10072</v>
      </c>
      <c r="B24" s="134" t="s">
        <v>28</v>
      </c>
      <c r="C24" s="244">
        <v>1</v>
      </c>
      <c r="D24" s="244">
        <v>0</v>
      </c>
      <c r="E24" s="244">
        <v>24.34</v>
      </c>
      <c r="F24" s="244">
        <v>23.937000000000001</v>
      </c>
      <c r="G24" s="244">
        <v>24.074999999999999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24.413</v>
      </c>
      <c r="O24" s="244">
        <v>24.523</v>
      </c>
      <c r="P24" s="244">
        <v>214443.79200000002</v>
      </c>
      <c r="Q24" s="244">
        <v>214821.48</v>
      </c>
      <c r="R24" s="244">
        <v>23.855</v>
      </c>
      <c r="S24" s="244">
        <v>209542.32</v>
      </c>
      <c r="T24" s="244">
        <v>0.55800000000000005</v>
      </c>
      <c r="U24" s="244">
        <v>0.66800000000000004</v>
      </c>
      <c r="V24" s="244">
        <v>0</v>
      </c>
      <c r="W24" s="244">
        <v>0</v>
      </c>
      <c r="X24" s="244">
        <v>3.3960000000000001E-3</v>
      </c>
      <c r="Y24" s="244">
        <v>3.3960000000000001E-3</v>
      </c>
      <c r="Z24" s="244">
        <v>0</v>
      </c>
      <c r="AA24" s="244">
        <v>3.3960000000000001E-3</v>
      </c>
      <c r="AB24" s="244">
        <v>3.3960000000000001E-3</v>
      </c>
      <c r="AC24" s="244">
        <v>3.3960000000000001E-3</v>
      </c>
      <c r="AD24" s="244">
        <v>0.97715326883217957</v>
      </c>
      <c r="AE24" s="244">
        <v>0.97277016482485823</v>
      </c>
      <c r="AF24" s="244">
        <v>1.0233913225738838</v>
      </c>
      <c r="AG24" s="244">
        <v>1.0280025151959757</v>
      </c>
      <c r="AH24" s="244">
        <v>0</v>
      </c>
      <c r="AI24" s="244">
        <v>0</v>
      </c>
      <c r="AJ24" s="130"/>
      <c r="AK24" s="130"/>
      <c r="AL24" s="130"/>
      <c r="AM24" s="130"/>
      <c r="AN24" s="130"/>
      <c r="AO24" s="130"/>
      <c r="AP24" s="130"/>
      <c r="AS24" s="129"/>
      <c r="AT24" s="129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29"/>
      <c r="BF24" s="129"/>
      <c r="BG24" s="132"/>
      <c r="BM24" s="132"/>
      <c r="BN24" s="132"/>
    </row>
    <row r="25" spans="1:66">
      <c r="A25" s="132">
        <v>10074</v>
      </c>
      <c r="B25" s="132" t="s">
        <v>29</v>
      </c>
      <c r="C25" s="244">
        <v>1</v>
      </c>
      <c r="D25" s="244">
        <v>0</v>
      </c>
      <c r="E25" s="244">
        <v>27.08</v>
      </c>
      <c r="F25" s="244">
        <v>30.2</v>
      </c>
      <c r="G25" s="244">
        <v>30.437000000000001</v>
      </c>
      <c r="H25" s="244">
        <v>0</v>
      </c>
      <c r="I25" s="244">
        <v>0</v>
      </c>
      <c r="J25" s="244">
        <v>2.9340000000000002</v>
      </c>
      <c r="K25" s="244">
        <v>2.9409999999999998</v>
      </c>
      <c r="L25" s="244">
        <v>25772.256000000001</v>
      </c>
      <c r="M25" s="244">
        <v>25763.16</v>
      </c>
      <c r="N25" s="244">
        <v>28.468</v>
      </c>
      <c r="O25" s="244">
        <v>28.603999999999999</v>
      </c>
      <c r="P25" s="244">
        <v>250062.91200000001</v>
      </c>
      <c r="Q25" s="244">
        <v>250571.03999999998</v>
      </c>
      <c r="R25" s="244">
        <v>26.541</v>
      </c>
      <c r="S25" s="244">
        <v>233136.144</v>
      </c>
      <c r="T25" s="244">
        <v>1.927</v>
      </c>
      <c r="U25" s="244">
        <v>2.0630000000000002</v>
      </c>
      <c r="V25" s="244">
        <v>1.927</v>
      </c>
      <c r="W25" s="244">
        <v>2.0630000000000002</v>
      </c>
      <c r="X25" s="244">
        <v>3.7783000000000001E-3</v>
      </c>
      <c r="Y25" s="244">
        <v>3.7783000000000001E-3</v>
      </c>
      <c r="Z25" s="244">
        <v>0</v>
      </c>
      <c r="AA25" s="244">
        <v>3.7783000000000001E-3</v>
      </c>
      <c r="AB25" s="244">
        <v>3.7783000000000001E-3</v>
      </c>
      <c r="AC25" s="244">
        <v>3.7783000000000001E-3</v>
      </c>
      <c r="AD25" s="244">
        <v>0.93863904261835784</v>
      </c>
      <c r="AE25" s="244">
        <v>0.9345922868790616</v>
      </c>
      <c r="AF25" s="244">
        <v>1.0726046494103463</v>
      </c>
      <c r="AG25" s="244">
        <v>1.0777287969556535</v>
      </c>
      <c r="AH25" s="244">
        <v>0</v>
      </c>
      <c r="AI25" s="244">
        <v>0</v>
      </c>
      <c r="AJ25" s="123"/>
      <c r="AK25" s="123"/>
      <c r="AL25" s="123"/>
      <c r="AM25" s="123"/>
      <c r="AN25" s="123"/>
      <c r="AO25" s="123"/>
      <c r="AP25" s="123"/>
      <c r="AQ25" s="132"/>
      <c r="AR25" s="132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32"/>
      <c r="BH25" s="132"/>
      <c r="BI25" s="132"/>
      <c r="BJ25" s="132"/>
      <c r="BK25" s="132"/>
      <c r="BL25" s="132"/>
      <c r="BM25" s="132"/>
      <c r="BN25" s="132"/>
    </row>
    <row r="26" spans="1:66">
      <c r="A26" s="132">
        <v>10076</v>
      </c>
      <c r="B26" s="132" t="s">
        <v>30</v>
      </c>
      <c r="C26" s="244">
        <v>1</v>
      </c>
      <c r="D26" s="244">
        <v>0</v>
      </c>
      <c r="E26" s="244">
        <v>4.8890000000000002</v>
      </c>
      <c r="F26" s="244">
        <v>7.7939999999999996</v>
      </c>
      <c r="G26" s="244">
        <v>7.8479999999999999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7.6959999999999997</v>
      </c>
      <c r="O26" s="244">
        <v>7.73</v>
      </c>
      <c r="P26" s="244">
        <v>67601.664000000004</v>
      </c>
      <c r="Q26" s="244">
        <v>67714.8</v>
      </c>
      <c r="R26" s="244">
        <v>4.7919999999999998</v>
      </c>
      <c r="S26" s="244">
        <v>42092.928</v>
      </c>
      <c r="T26" s="244">
        <v>2.9039999999999999</v>
      </c>
      <c r="U26" s="244">
        <v>2.9380000000000002</v>
      </c>
      <c r="V26" s="244">
        <v>2.9039999999999999</v>
      </c>
      <c r="W26" s="244">
        <v>2.9380000000000002</v>
      </c>
      <c r="X26" s="244">
        <v>6.8219999999999999E-4</v>
      </c>
      <c r="Y26" s="244">
        <v>6.8219999999999999E-4</v>
      </c>
      <c r="Z26" s="244">
        <v>0</v>
      </c>
      <c r="AA26" s="244">
        <v>6.8219999999999999E-4</v>
      </c>
      <c r="AB26" s="244">
        <v>6.8219999999999999E-4</v>
      </c>
      <c r="AC26" s="244">
        <v>6.8219999999999999E-4</v>
      </c>
      <c r="AD26" s="244">
        <v>0.62267698627858625</v>
      </c>
      <c r="AE26" s="244">
        <v>0.61993817417852515</v>
      </c>
      <c r="AF26" s="244">
        <v>1.6060100166944908</v>
      </c>
      <c r="AG26" s="244">
        <v>1.6131051752921537</v>
      </c>
      <c r="AH26" s="244">
        <v>0</v>
      </c>
      <c r="AI26" s="244">
        <v>0</v>
      </c>
      <c r="AJ26" s="123"/>
      <c r="AK26" s="123"/>
      <c r="AL26" s="123"/>
      <c r="AM26" s="123"/>
      <c r="AN26" s="123"/>
      <c r="AO26" s="123"/>
      <c r="AP26" s="123"/>
      <c r="AQ26" s="132"/>
      <c r="AR26" s="132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32"/>
      <c r="BH26" s="132"/>
      <c r="BI26" s="132"/>
      <c r="BJ26" s="132"/>
      <c r="BK26" s="132"/>
      <c r="BL26" s="132"/>
      <c r="BM26" s="132"/>
      <c r="BN26" s="132"/>
    </row>
    <row r="27" spans="1:66">
      <c r="A27" s="132">
        <v>10078</v>
      </c>
      <c r="B27" s="132" t="s">
        <v>31</v>
      </c>
      <c r="C27" s="244">
        <v>1</v>
      </c>
      <c r="D27" s="244">
        <v>0</v>
      </c>
      <c r="E27" s="244">
        <v>3.7729999999999997</v>
      </c>
      <c r="F27" s="244">
        <v>3.6539999999999999</v>
      </c>
      <c r="G27" s="244">
        <v>3.7120000000000002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3.7050000000000001</v>
      </c>
      <c r="O27" s="244">
        <v>3.71</v>
      </c>
      <c r="P27" s="244">
        <v>32544.720000000001</v>
      </c>
      <c r="Q27" s="244">
        <v>32499.599999999999</v>
      </c>
      <c r="R27" s="244">
        <v>3.698</v>
      </c>
      <c r="S27" s="244">
        <v>32483.232</v>
      </c>
      <c r="T27" s="244">
        <v>7.0000000000000001E-3</v>
      </c>
      <c r="U27" s="244">
        <v>1.2E-2</v>
      </c>
      <c r="V27" s="244">
        <v>0</v>
      </c>
      <c r="W27" s="244">
        <v>0</v>
      </c>
      <c r="X27" s="244">
        <v>5.264E-4</v>
      </c>
      <c r="Y27" s="244">
        <v>5.264E-4</v>
      </c>
      <c r="Z27" s="244">
        <v>0</v>
      </c>
      <c r="AA27" s="244">
        <v>5.264E-4</v>
      </c>
      <c r="AB27" s="244">
        <v>5.264E-4</v>
      </c>
      <c r="AC27" s="244">
        <v>5.264E-4</v>
      </c>
      <c r="AD27" s="244">
        <v>0.99803053085020244</v>
      </c>
      <c r="AE27" s="244">
        <v>0.99668547622641512</v>
      </c>
      <c r="AF27" s="244">
        <v>1.0018929150892375</v>
      </c>
      <c r="AG27" s="244">
        <v>1.0032449972958355</v>
      </c>
      <c r="AH27" s="244">
        <v>0</v>
      </c>
      <c r="AI27" s="244">
        <v>0</v>
      </c>
      <c r="AJ27" s="123"/>
      <c r="AK27" s="123"/>
      <c r="AL27" s="123"/>
      <c r="AM27" s="123"/>
      <c r="AN27" s="123"/>
      <c r="AO27" s="123"/>
      <c r="AP27" s="123"/>
      <c r="AQ27" s="132"/>
      <c r="AR27" s="132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32"/>
      <c r="BH27" s="132"/>
      <c r="BI27" s="132"/>
      <c r="BJ27" s="132"/>
      <c r="BK27" s="132"/>
      <c r="BL27" s="132"/>
      <c r="BM27" s="132"/>
      <c r="BN27" s="132"/>
    </row>
    <row r="28" spans="1:66">
      <c r="A28" s="132">
        <v>10079</v>
      </c>
      <c r="B28" s="132" t="s">
        <v>32</v>
      </c>
      <c r="C28" s="244">
        <v>1</v>
      </c>
      <c r="D28" s="244">
        <v>0</v>
      </c>
      <c r="E28" s="244">
        <v>89.494</v>
      </c>
      <c r="F28" s="244">
        <v>83.915999999999997</v>
      </c>
      <c r="G28" s="244">
        <v>84.355000000000004</v>
      </c>
      <c r="H28" s="244">
        <v>0</v>
      </c>
      <c r="I28" s="244">
        <v>0</v>
      </c>
      <c r="J28" s="244">
        <v>2.9340000000000002</v>
      </c>
      <c r="K28" s="244">
        <v>2.9409999999999998</v>
      </c>
      <c r="L28" s="244">
        <v>25772.256000000001</v>
      </c>
      <c r="M28" s="244">
        <v>25763.16</v>
      </c>
      <c r="N28" s="244">
        <v>86.61</v>
      </c>
      <c r="O28" s="244">
        <v>88.045000000000002</v>
      </c>
      <c r="P28" s="244">
        <v>760782.24</v>
      </c>
      <c r="Q28" s="244">
        <v>771274.20000000007</v>
      </c>
      <c r="R28" s="244">
        <v>87.712000000000003</v>
      </c>
      <c r="S28" s="244">
        <v>770462.20799999998</v>
      </c>
      <c r="T28" s="244">
        <v>0</v>
      </c>
      <c r="U28" s="244">
        <v>0.33300000000000002</v>
      </c>
      <c r="V28" s="244">
        <v>0</v>
      </c>
      <c r="W28" s="244">
        <v>0.33300000000000002</v>
      </c>
      <c r="X28" s="244">
        <v>1.2329700000000001E-2</v>
      </c>
      <c r="Y28" s="244">
        <v>1.24866E-2</v>
      </c>
      <c r="Z28" s="244">
        <v>0</v>
      </c>
      <c r="AA28" s="244">
        <v>1.2329700000000001E-2</v>
      </c>
      <c r="AB28" s="244">
        <v>1.24866E-2</v>
      </c>
      <c r="AC28" s="244">
        <v>1.240815E-2</v>
      </c>
      <c r="AD28" s="244">
        <v>1</v>
      </c>
      <c r="AE28" s="244">
        <v>0.9963430806849406</v>
      </c>
      <c r="AF28" s="244">
        <v>1</v>
      </c>
      <c r="AG28" s="244">
        <v>1.0037965158701203</v>
      </c>
      <c r="AH28" s="244">
        <v>0</v>
      </c>
      <c r="AI28" s="244">
        <v>0</v>
      </c>
      <c r="AJ28" s="123"/>
      <c r="AK28" s="123"/>
      <c r="AL28" s="123"/>
      <c r="AM28" s="123"/>
      <c r="AN28" s="123"/>
      <c r="AO28" s="123"/>
      <c r="AP28" s="123"/>
      <c r="AQ28" s="132"/>
      <c r="AR28" s="132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32"/>
      <c r="BH28" s="132"/>
      <c r="BI28" s="132"/>
      <c r="BJ28" s="132"/>
      <c r="BK28" s="132"/>
      <c r="BL28" s="132"/>
      <c r="BM28" s="132"/>
      <c r="BN28" s="132"/>
    </row>
    <row r="29" spans="1:66">
      <c r="A29" s="132">
        <v>10080</v>
      </c>
      <c r="B29" s="132" t="s">
        <v>33</v>
      </c>
      <c r="C29" s="244">
        <v>1</v>
      </c>
      <c r="D29" s="244">
        <v>0</v>
      </c>
      <c r="E29" s="244">
        <v>7.548</v>
      </c>
      <c r="F29" s="244">
        <v>6.5819999999999999</v>
      </c>
      <c r="G29" s="244">
        <v>6.6040000000000001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6.8890000000000002</v>
      </c>
      <c r="O29" s="244">
        <v>6.899</v>
      </c>
      <c r="P29" s="244">
        <v>60512.976000000002</v>
      </c>
      <c r="Q29" s="244">
        <v>60435.24</v>
      </c>
      <c r="R29" s="244">
        <v>7.3979999999999997</v>
      </c>
      <c r="S29" s="244">
        <v>64984.031999999999</v>
      </c>
      <c r="T29" s="244">
        <v>0</v>
      </c>
      <c r="U29" s="244">
        <v>0</v>
      </c>
      <c r="V29" s="244">
        <v>0</v>
      </c>
      <c r="W29" s="244">
        <v>0</v>
      </c>
      <c r="X29" s="244">
        <v>9.8069999999999993E-4</v>
      </c>
      <c r="Y29" s="244">
        <v>9.8210000000000007E-4</v>
      </c>
      <c r="Z29" s="244">
        <v>0</v>
      </c>
      <c r="AA29" s="244">
        <v>9.8069999999999993E-4</v>
      </c>
      <c r="AB29" s="244">
        <v>9.8210000000000007E-4</v>
      </c>
      <c r="AC29" s="244">
        <v>9.8139999999999989E-4</v>
      </c>
      <c r="AD29" s="244">
        <v>0.99999113345913759</v>
      </c>
      <c r="AE29" s="244">
        <v>0.99996713077257571</v>
      </c>
      <c r="AF29" s="244">
        <v>1</v>
      </c>
      <c r="AG29" s="244">
        <v>1</v>
      </c>
      <c r="AH29" s="244">
        <v>0</v>
      </c>
      <c r="AI29" s="244">
        <v>0</v>
      </c>
      <c r="AJ29" s="123"/>
      <c r="AK29" s="123"/>
      <c r="AL29" s="123"/>
      <c r="AM29" s="123"/>
      <c r="AN29" s="123"/>
      <c r="AO29" s="123"/>
      <c r="AP29" s="123"/>
      <c r="AQ29" s="132"/>
      <c r="AR29" s="132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32"/>
      <c r="BH29" s="132"/>
      <c r="BI29" s="132"/>
      <c r="BJ29" s="132"/>
      <c r="BK29" s="132"/>
      <c r="BL29" s="132"/>
      <c r="BM29" s="132"/>
      <c r="BN29" s="132"/>
    </row>
    <row r="30" spans="1:66">
      <c r="A30" s="132">
        <v>10081</v>
      </c>
      <c r="B30" s="132" t="s">
        <v>34</v>
      </c>
      <c r="C30" s="244">
        <v>1</v>
      </c>
      <c r="D30" s="244">
        <v>0</v>
      </c>
      <c r="E30" s="244">
        <v>10.611000000000001</v>
      </c>
      <c r="F30" s="244">
        <v>12.018000000000001</v>
      </c>
      <c r="G30" s="244">
        <v>12.051</v>
      </c>
      <c r="H30" s="244">
        <v>0</v>
      </c>
      <c r="I30" s="244">
        <v>0</v>
      </c>
      <c r="J30" s="244">
        <v>2.9340000000000002</v>
      </c>
      <c r="K30" s="244">
        <v>2.9409999999999998</v>
      </c>
      <c r="L30" s="244">
        <v>25772.256000000001</v>
      </c>
      <c r="M30" s="244">
        <v>25763.16</v>
      </c>
      <c r="N30" s="244">
        <v>10.673</v>
      </c>
      <c r="O30" s="244">
        <v>10.667999999999999</v>
      </c>
      <c r="P30" s="244">
        <v>93751.631999999998</v>
      </c>
      <c r="Q30" s="244">
        <v>93451.68</v>
      </c>
      <c r="R30" s="244">
        <v>10.4</v>
      </c>
      <c r="S30" s="244">
        <v>91353.600000000006</v>
      </c>
      <c r="T30" s="244">
        <v>0.27300000000000002</v>
      </c>
      <c r="U30" s="244">
        <v>0.26800000000000002</v>
      </c>
      <c r="V30" s="244">
        <v>0</v>
      </c>
      <c r="W30" s="244">
        <v>0</v>
      </c>
      <c r="X30" s="244">
        <v>1.4805E-3</v>
      </c>
      <c r="Y30" s="244">
        <v>1.4805E-3</v>
      </c>
      <c r="Z30" s="244">
        <v>0</v>
      </c>
      <c r="AA30" s="244">
        <v>1.4805E-3</v>
      </c>
      <c r="AB30" s="244">
        <v>1.4805E-3</v>
      </c>
      <c r="AC30" s="244">
        <v>1.4805E-3</v>
      </c>
      <c r="AD30" s="244">
        <v>0.97993168914352868</v>
      </c>
      <c r="AE30" s="244">
        <v>0.98029171989124841</v>
      </c>
      <c r="AF30" s="244">
        <v>1.0262499999999999</v>
      </c>
      <c r="AG30" s="244">
        <v>1.0257692307692308</v>
      </c>
      <c r="AH30" s="244">
        <v>0</v>
      </c>
      <c r="AI30" s="244">
        <v>0</v>
      </c>
      <c r="AJ30" s="123"/>
      <c r="AK30" s="123"/>
      <c r="AL30" s="123"/>
      <c r="AM30" s="123"/>
      <c r="AN30" s="123"/>
      <c r="AO30" s="123"/>
      <c r="AP30" s="123"/>
      <c r="AQ30" s="132"/>
      <c r="AR30" s="132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32"/>
      <c r="BH30" s="132"/>
      <c r="BI30" s="132"/>
      <c r="BJ30" s="132"/>
      <c r="BK30" s="132"/>
      <c r="BL30" s="132"/>
      <c r="BM30" s="132"/>
      <c r="BN30" s="132"/>
    </row>
    <row r="31" spans="1:66">
      <c r="A31" s="132">
        <v>10082</v>
      </c>
      <c r="B31" s="132" t="s">
        <v>35</v>
      </c>
      <c r="C31" s="244">
        <v>1</v>
      </c>
      <c r="D31" s="244">
        <v>0</v>
      </c>
      <c r="E31" s="244">
        <v>0.12</v>
      </c>
      <c r="F31" s="244">
        <v>9.5000000000000001E-2</v>
      </c>
      <c r="G31" s="244">
        <v>9.5000000000000001E-2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9.4E-2</v>
      </c>
      <c r="O31" s="244">
        <v>9.4E-2</v>
      </c>
      <c r="P31" s="244">
        <v>825.69600000000003</v>
      </c>
      <c r="Q31" s="244">
        <v>823.44</v>
      </c>
      <c r="R31" s="244">
        <v>0.11799999999999999</v>
      </c>
      <c r="S31" s="244">
        <v>1036.5119999999999</v>
      </c>
      <c r="T31" s="244">
        <v>0</v>
      </c>
      <c r="U31" s="244">
        <v>0</v>
      </c>
      <c r="V31" s="244">
        <v>0</v>
      </c>
      <c r="W31" s="244">
        <v>0</v>
      </c>
      <c r="X31" s="244">
        <v>1.34E-5</v>
      </c>
      <c r="Y31" s="244">
        <v>1.34E-5</v>
      </c>
      <c r="Z31" s="244">
        <v>0</v>
      </c>
      <c r="AA31" s="244">
        <v>1.34E-5</v>
      </c>
      <c r="AB31" s="244">
        <v>1.34E-5</v>
      </c>
      <c r="AC31" s="244">
        <v>1.34E-5</v>
      </c>
      <c r="AD31" s="244">
        <v>1</v>
      </c>
      <c r="AE31" s="244">
        <v>1</v>
      </c>
      <c r="AF31" s="244">
        <v>1</v>
      </c>
      <c r="AG31" s="244">
        <v>1</v>
      </c>
      <c r="AH31" s="244">
        <v>0</v>
      </c>
      <c r="AI31" s="244">
        <v>0</v>
      </c>
      <c r="AJ31" s="123"/>
      <c r="AK31" s="123"/>
      <c r="AL31" s="123"/>
      <c r="AM31" s="123"/>
      <c r="AN31" s="123"/>
      <c r="AO31" s="123"/>
      <c r="AP31" s="123"/>
      <c r="AQ31" s="132"/>
      <c r="AR31" s="132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32"/>
      <c r="BH31" s="132"/>
      <c r="BI31" s="132"/>
      <c r="BJ31" s="132"/>
      <c r="BK31" s="132"/>
      <c r="BL31" s="132"/>
      <c r="BM31" s="132"/>
      <c r="BN31" s="132"/>
    </row>
    <row r="32" spans="1:66">
      <c r="A32" s="132">
        <v>10083</v>
      </c>
      <c r="B32" s="132" t="s">
        <v>36</v>
      </c>
      <c r="C32" s="244">
        <v>1</v>
      </c>
      <c r="D32" s="244">
        <v>0</v>
      </c>
      <c r="E32" s="244">
        <v>8.4879999999999995</v>
      </c>
      <c r="F32" s="244">
        <v>8.5990000000000002</v>
      </c>
      <c r="G32" s="244">
        <v>8.6679999999999993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8.5259999999999998</v>
      </c>
      <c r="O32" s="244">
        <v>8.5679999999999996</v>
      </c>
      <c r="P32" s="244">
        <v>74892.384000000005</v>
      </c>
      <c r="Q32" s="244">
        <v>75055.679999999993</v>
      </c>
      <c r="R32" s="244">
        <v>8.3190000000000008</v>
      </c>
      <c r="S32" s="244">
        <v>73074.096000000005</v>
      </c>
      <c r="T32" s="244">
        <v>0.20699999999999999</v>
      </c>
      <c r="U32" s="244">
        <v>0.249</v>
      </c>
      <c r="V32" s="244">
        <v>0</v>
      </c>
      <c r="W32" s="244">
        <v>0</v>
      </c>
      <c r="X32" s="244">
        <v>1.1842999999999999E-3</v>
      </c>
      <c r="Y32" s="244">
        <v>1.1842999999999999E-3</v>
      </c>
      <c r="Z32" s="244">
        <v>0</v>
      </c>
      <c r="AA32" s="244">
        <v>1.1842999999999999E-3</v>
      </c>
      <c r="AB32" s="244">
        <v>1.1842999999999999E-3</v>
      </c>
      <c r="AC32" s="244">
        <v>1.1842999999999999E-3</v>
      </c>
      <c r="AD32" s="244">
        <v>0.97573651907107661</v>
      </c>
      <c r="AE32" s="244">
        <v>0.97095349691876742</v>
      </c>
      <c r="AF32" s="244">
        <v>1.0248827984132707</v>
      </c>
      <c r="AG32" s="244">
        <v>1.0299314821492966</v>
      </c>
      <c r="AH32" s="244">
        <v>0</v>
      </c>
      <c r="AI32" s="244">
        <v>0</v>
      </c>
      <c r="AJ32" s="123"/>
      <c r="AK32" s="123"/>
      <c r="AL32" s="123"/>
      <c r="AM32" s="123"/>
      <c r="AN32" s="123"/>
      <c r="AO32" s="123"/>
      <c r="AP32" s="123"/>
      <c r="AQ32" s="132"/>
      <c r="AR32" s="132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32"/>
      <c r="BH32" s="132"/>
      <c r="BI32" s="132"/>
      <c r="BJ32" s="132"/>
      <c r="BK32" s="132"/>
      <c r="BL32" s="132"/>
      <c r="BM32" s="132"/>
      <c r="BN32" s="132"/>
    </row>
    <row r="33" spans="1:66">
      <c r="A33" s="132">
        <v>10086</v>
      </c>
      <c r="B33" s="132" t="s">
        <v>37</v>
      </c>
      <c r="C33" s="244">
        <v>1</v>
      </c>
      <c r="D33" s="244">
        <v>0</v>
      </c>
      <c r="E33" s="244">
        <v>4.0039999999999996</v>
      </c>
      <c r="F33" s="244">
        <v>3.8290000000000002</v>
      </c>
      <c r="G33" s="244">
        <v>3.847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3.8730000000000002</v>
      </c>
      <c r="O33" s="244">
        <v>3.8820000000000001</v>
      </c>
      <c r="P33" s="244">
        <v>34020.432000000001</v>
      </c>
      <c r="Q33" s="244">
        <v>34006.32</v>
      </c>
      <c r="R33" s="244">
        <v>3.9239999999999999</v>
      </c>
      <c r="S33" s="244">
        <v>34468.415999999997</v>
      </c>
      <c r="T33" s="244">
        <v>0</v>
      </c>
      <c r="U33" s="244">
        <v>0</v>
      </c>
      <c r="V33" s="244">
        <v>0</v>
      </c>
      <c r="W33" s="244">
        <v>0</v>
      </c>
      <c r="X33" s="244">
        <v>5.5139999999999996E-4</v>
      </c>
      <c r="Y33" s="244">
        <v>5.5259999999999999E-4</v>
      </c>
      <c r="Z33" s="244">
        <v>0</v>
      </c>
      <c r="AA33" s="244">
        <v>5.5139999999999996E-4</v>
      </c>
      <c r="AB33" s="244">
        <v>5.5259999999999999E-4</v>
      </c>
      <c r="AC33" s="244">
        <v>5.5199999999999997E-4</v>
      </c>
      <c r="AD33" s="244">
        <v>1</v>
      </c>
      <c r="AE33" s="244">
        <v>0.99993439752704782</v>
      </c>
      <c r="AF33" s="244">
        <v>1</v>
      </c>
      <c r="AG33" s="244">
        <v>1</v>
      </c>
      <c r="AH33" s="244">
        <v>0</v>
      </c>
      <c r="AI33" s="244">
        <v>0</v>
      </c>
      <c r="AJ33" s="123"/>
      <c r="AK33" s="123"/>
      <c r="AL33" s="123"/>
      <c r="AM33" s="123"/>
      <c r="AN33" s="123"/>
      <c r="AO33" s="123"/>
      <c r="AP33" s="123"/>
      <c r="AQ33" s="132"/>
      <c r="AR33" s="132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32"/>
      <c r="BH33" s="132"/>
      <c r="BI33" s="132"/>
      <c r="BJ33" s="132"/>
      <c r="BK33" s="132"/>
      <c r="BL33" s="132"/>
      <c r="BM33" s="132"/>
      <c r="BN33" s="132"/>
    </row>
    <row r="34" spans="1:66">
      <c r="A34" s="132">
        <v>10087</v>
      </c>
      <c r="B34" s="132" t="s">
        <v>38</v>
      </c>
      <c r="C34" s="244">
        <v>1</v>
      </c>
      <c r="D34" s="244">
        <v>0</v>
      </c>
      <c r="E34" s="244">
        <v>86.754999999999995</v>
      </c>
      <c r="F34" s="244">
        <v>43.292000000000002</v>
      </c>
      <c r="G34" s="244">
        <v>43.411000000000001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30.669</v>
      </c>
      <c r="O34" s="244">
        <v>30.68</v>
      </c>
      <c r="P34" s="244">
        <v>269396.49599999998</v>
      </c>
      <c r="Q34" s="244">
        <v>268756.8</v>
      </c>
      <c r="R34" s="244">
        <v>85.027000000000001</v>
      </c>
      <c r="S34" s="244">
        <v>746877.16800000006</v>
      </c>
      <c r="T34" s="244">
        <v>0</v>
      </c>
      <c r="U34" s="244">
        <v>0</v>
      </c>
      <c r="V34" s="244">
        <v>0</v>
      </c>
      <c r="W34" s="244">
        <v>0</v>
      </c>
      <c r="X34" s="244">
        <v>4.3660000000000001E-3</v>
      </c>
      <c r="Y34" s="244">
        <v>4.3676000000000001E-3</v>
      </c>
      <c r="Z34" s="244">
        <v>0</v>
      </c>
      <c r="AA34" s="244">
        <v>4.3660000000000001E-3</v>
      </c>
      <c r="AB34" s="244">
        <v>4.3676000000000001E-3</v>
      </c>
      <c r="AC34" s="244">
        <v>4.3668000000000005E-3</v>
      </c>
      <c r="AD34" s="244">
        <v>1</v>
      </c>
      <c r="AE34" s="244">
        <v>1</v>
      </c>
      <c r="AF34" s="244">
        <v>1</v>
      </c>
      <c r="AG34" s="244">
        <v>1</v>
      </c>
      <c r="AH34" s="244">
        <v>0</v>
      </c>
      <c r="AI34" s="244">
        <v>0</v>
      </c>
      <c r="AJ34" s="123"/>
      <c r="AK34" s="123"/>
      <c r="AL34" s="123"/>
      <c r="AM34" s="123"/>
      <c r="AN34" s="123"/>
      <c r="AO34" s="123"/>
      <c r="AP34" s="123"/>
      <c r="AQ34" s="132"/>
      <c r="AR34" s="132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32"/>
      <c r="BH34" s="132"/>
      <c r="BI34" s="132"/>
      <c r="BJ34" s="132"/>
      <c r="BK34" s="132"/>
      <c r="BL34" s="132"/>
      <c r="BM34" s="132"/>
      <c r="BN34" s="132"/>
    </row>
    <row r="35" spans="1:66">
      <c r="A35" s="132">
        <v>10089</v>
      </c>
      <c r="B35" s="132" t="s">
        <v>39</v>
      </c>
      <c r="C35" s="244">
        <v>1</v>
      </c>
      <c r="D35" s="244">
        <v>0</v>
      </c>
      <c r="E35" s="244">
        <v>105.40600000000001</v>
      </c>
      <c r="F35" s="244">
        <v>109.304</v>
      </c>
      <c r="G35" s="244">
        <v>110.422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114.26</v>
      </c>
      <c r="O35" s="244">
        <v>115.386</v>
      </c>
      <c r="P35" s="244">
        <v>1003659.8400000001</v>
      </c>
      <c r="Q35" s="244">
        <v>1010781.36</v>
      </c>
      <c r="R35" s="244">
        <v>103.307</v>
      </c>
      <c r="S35" s="244">
        <v>907448.68799999997</v>
      </c>
      <c r="T35" s="244">
        <v>10.952999999999999</v>
      </c>
      <c r="U35" s="244">
        <v>12.079000000000001</v>
      </c>
      <c r="V35" s="244">
        <v>10.952999999999999</v>
      </c>
      <c r="W35" s="244">
        <v>12.079000000000001</v>
      </c>
      <c r="X35" s="244">
        <v>1.47066E-2</v>
      </c>
      <c r="Y35" s="244">
        <v>1.47066E-2</v>
      </c>
      <c r="Z35" s="244">
        <v>0</v>
      </c>
      <c r="AA35" s="244">
        <v>1.47066E-2</v>
      </c>
      <c r="AB35" s="244">
        <v>1.47066E-2</v>
      </c>
      <c r="AC35" s="244">
        <v>1.47066E-2</v>
      </c>
      <c r="AD35" s="244">
        <v>0.90413695238228597</v>
      </c>
      <c r="AE35" s="244">
        <v>0.89531388711975457</v>
      </c>
      <c r="AF35" s="244">
        <v>1.1060237931601924</v>
      </c>
      <c r="AG35" s="244">
        <v>1.1169233449814631</v>
      </c>
      <c r="AH35" s="244">
        <v>0</v>
      </c>
      <c r="AI35" s="244">
        <v>0</v>
      </c>
      <c r="AJ35" s="123"/>
      <c r="AK35" s="123"/>
      <c r="AL35" s="123"/>
      <c r="AM35" s="123"/>
      <c r="AN35" s="123"/>
      <c r="AO35" s="123"/>
      <c r="AP35" s="123"/>
      <c r="AQ35" s="132"/>
      <c r="AR35" s="132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32"/>
      <c r="BH35" s="132"/>
      <c r="BI35" s="132"/>
      <c r="BJ35" s="132"/>
      <c r="BK35" s="132"/>
      <c r="BL35" s="132"/>
      <c r="BM35" s="132"/>
      <c r="BN35" s="132"/>
    </row>
    <row r="36" spans="1:66">
      <c r="A36" s="132">
        <v>10091</v>
      </c>
      <c r="B36" s="132" t="s">
        <v>40</v>
      </c>
      <c r="C36" s="244">
        <v>1</v>
      </c>
      <c r="D36" s="244">
        <v>0</v>
      </c>
      <c r="E36" s="244">
        <v>9.5630000000000006</v>
      </c>
      <c r="F36" s="244">
        <v>9.2780000000000005</v>
      </c>
      <c r="G36" s="244">
        <v>9.1150000000000002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9.6669999999999998</v>
      </c>
      <c r="O36" s="244">
        <v>9.6649999999999991</v>
      </c>
      <c r="P36" s="244">
        <v>84914.928</v>
      </c>
      <c r="Q36" s="244">
        <v>84665.4</v>
      </c>
      <c r="R36" s="244">
        <v>9.3729999999999993</v>
      </c>
      <c r="S36" s="244">
        <v>82332.432000000001</v>
      </c>
      <c r="T36" s="244">
        <v>0.29399999999999998</v>
      </c>
      <c r="U36" s="244">
        <v>0.29199999999999998</v>
      </c>
      <c r="V36" s="244">
        <v>0</v>
      </c>
      <c r="W36" s="244">
        <v>0</v>
      </c>
      <c r="X36" s="244">
        <v>1.3343000000000001E-3</v>
      </c>
      <c r="Y36" s="244">
        <v>1.3343000000000001E-3</v>
      </c>
      <c r="Z36" s="244">
        <v>0</v>
      </c>
      <c r="AA36" s="244">
        <v>1.3343000000000001E-3</v>
      </c>
      <c r="AB36" s="244">
        <v>1.3343000000000001E-3</v>
      </c>
      <c r="AC36" s="244">
        <v>1.3343000000000001E-3</v>
      </c>
      <c r="AD36" s="244">
        <v>0.96956722474397439</v>
      </c>
      <c r="AE36" s="244">
        <v>0.96976785945162969</v>
      </c>
      <c r="AF36" s="244">
        <v>1.0313666915608664</v>
      </c>
      <c r="AG36" s="244">
        <v>1.0311533127067107</v>
      </c>
      <c r="AH36" s="244">
        <v>0</v>
      </c>
      <c r="AI36" s="244">
        <v>0</v>
      </c>
      <c r="AJ36" s="123"/>
      <c r="AK36" s="123"/>
      <c r="AL36" s="123"/>
      <c r="AM36" s="123"/>
      <c r="AN36" s="123"/>
      <c r="AO36" s="123"/>
      <c r="AP36" s="123"/>
      <c r="AQ36" s="132"/>
      <c r="AR36" s="132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32"/>
      <c r="BH36" s="132"/>
      <c r="BI36" s="132"/>
      <c r="BJ36" s="132"/>
      <c r="BK36" s="132"/>
      <c r="BL36" s="132"/>
      <c r="BM36" s="132"/>
      <c r="BN36" s="132"/>
    </row>
    <row r="37" spans="1:66">
      <c r="A37" s="132">
        <v>10094</v>
      </c>
      <c r="B37" s="132" t="s">
        <v>41</v>
      </c>
      <c r="C37" s="244">
        <v>1</v>
      </c>
      <c r="D37" s="244">
        <v>0</v>
      </c>
      <c r="E37" s="244">
        <v>3.0820000000000003</v>
      </c>
      <c r="F37" s="244">
        <v>3.1360000000000001</v>
      </c>
      <c r="G37" s="244">
        <v>3.1440000000000001</v>
      </c>
      <c r="H37" s="244">
        <v>0</v>
      </c>
      <c r="I37" s="244">
        <v>0</v>
      </c>
      <c r="J37" s="244">
        <v>0.112</v>
      </c>
      <c r="K37" s="244">
        <v>0.112</v>
      </c>
      <c r="L37" s="244">
        <v>983.80799999999999</v>
      </c>
      <c r="M37" s="244">
        <v>981.12</v>
      </c>
      <c r="N37" s="244">
        <v>3.0910000000000002</v>
      </c>
      <c r="O37" s="244">
        <v>3.093</v>
      </c>
      <c r="P37" s="244">
        <v>27151.344000000001</v>
      </c>
      <c r="Q37" s="244">
        <v>27094.68</v>
      </c>
      <c r="R37" s="244">
        <v>3.0209999999999999</v>
      </c>
      <c r="S37" s="244">
        <v>26536.464</v>
      </c>
      <c r="T37" s="244">
        <v>7.0000000000000007E-2</v>
      </c>
      <c r="U37" s="244">
        <v>7.1999999999999995E-2</v>
      </c>
      <c r="V37" s="244">
        <v>0</v>
      </c>
      <c r="W37" s="244">
        <v>0</v>
      </c>
      <c r="X37" s="244">
        <v>4.3009999999999999E-4</v>
      </c>
      <c r="Y37" s="244">
        <v>4.3009999999999999E-4</v>
      </c>
      <c r="Z37" s="244">
        <v>0</v>
      </c>
      <c r="AA37" s="244">
        <v>4.3009999999999999E-4</v>
      </c>
      <c r="AB37" s="244">
        <v>4.3009999999999999E-4</v>
      </c>
      <c r="AC37" s="244">
        <v>4.3009999999999999E-4</v>
      </c>
      <c r="AD37" s="244">
        <v>0.97822803096129829</v>
      </c>
      <c r="AE37" s="244">
        <v>0.97761778265751709</v>
      </c>
      <c r="AF37" s="244">
        <v>1.0231711353856341</v>
      </c>
      <c r="AG37" s="244">
        <v>1.0238331678252235</v>
      </c>
      <c r="AH37" s="244">
        <v>0</v>
      </c>
      <c r="AI37" s="244">
        <v>0</v>
      </c>
      <c r="AJ37" s="123"/>
      <c r="AK37" s="123"/>
      <c r="AL37" s="123"/>
      <c r="AM37" s="123"/>
      <c r="AN37" s="123"/>
      <c r="AO37" s="123"/>
      <c r="AP37" s="123"/>
      <c r="AQ37" s="132"/>
      <c r="AR37" s="132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32"/>
      <c r="BH37" s="132"/>
      <c r="BI37" s="132"/>
      <c r="BJ37" s="132"/>
      <c r="BK37" s="132"/>
      <c r="BL37" s="132"/>
      <c r="BM37" s="132"/>
      <c r="BN37" s="132"/>
    </row>
    <row r="38" spans="1:66">
      <c r="A38" s="132">
        <v>10095</v>
      </c>
      <c r="B38" s="132" t="s">
        <v>42</v>
      </c>
      <c r="C38" s="244">
        <v>1</v>
      </c>
      <c r="D38" s="244">
        <v>0</v>
      </c>
      <c r="E38" s="244">
        <v>3.6970000000000001</v>
      </c>
      <c r="F38" s="244">
        <v>3.754</v>
      </c>
      <c r="G38" s="244">
        <v>3.7679999999999998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3.742</v>
      </c>
      <c r="O38" s="244">
        <v>3.7509999999999999</v>
      </c>
      <c r="P38" s="244">
        <v>32869.728000000003</v>
      </c>
      <c r="Q38" s="244">
        <v>32858.76</v>
      </c>
      <c r="R38" s="244">
        <v>3.6230000000000002</v>
      </c>
      <c r="S38" s="244">
        <v>31824.432000000001</v>
      </c>
      <c r="T38" s="244">
        <v>0.11899999999999999</v>
      </c>
      <c r="U38" s="244">
        <v>0.128</v>
      </c>
      <c r="V38" s="244">
        <v>0</v>
      </c>
      <c r="W38" s="244">
        <v>0</v>
      </c>
      <c r="X38" s="244">
        <v>5.1579999999999996E-4</v>
      </c>
      <c r="Y38" s="244">
        <v>5.1579999999999996E-4</v>
      </c>
      <c r="Z38" s="244">
        <v>0</v>
      </c>
      <c r="AA38" s="244">
        <v>5.1579999999999996E-4</v>
      </c>
      <c r="AB38" s="244">
        <v>5.1579999999999996E-4</v>
      </c>
      <c r="AC38" s="244">
        <v>5.1579999999999996E-4</v>
      </c>
      <c r="AD38" s="244">
        <v>0.96826384008551569</v>
      </c>
      <c r="AE38" s="244">
        <v>0.96594062639296174</v>
      </c>
      <c r="AF38" s="244">
        <v>1.0328457079768147</v>
      </c>
      <c r="AG38" s="244">
        <v>1.0353298371515318</v>
      </c>
      <c r="AH38" s="244">
        <v>0</v>
      </c>
      <c r="AI38" s="244">
        <v>0</v>
      </c>
      <c r="AJ38" s="123"/>
      <c r="AK38" s="123"/>
      <c r="AL38" s="123"/>
      <c r="AM38" s="123"/>
      <c r="AN38" s="123"/>
      <c r="AO38" s="123"/>
      <c r="AP38" s="123"/>
      <c r="AQ38" s="132"/>
      <c r="AR38" s="132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32"/>
      <c r="BH38" s="132"/>
      <c r="BI38" s="132"/>
      <c r="BJ38" s="132"/>
      <c r="BK38" s="132"/>
      <c r="BL38" s="132"/>
      <c r="BM38" s="132"/>
      <c r="BN38" s="132"/>
    </row>
    <row r="39" spans="1:66">
      <c r="A39" s="132">
        <v>10097</v>
      </c>
      <c r="B39" s="132" t="s">
        <v>43</v>
      </c>
      <c r="C39" s="244">
        <v>1</v>
      </c>
      <c r="D39" s="244">
        <v>0</v>
      </c>
      <c r="E39" s="244">
        <v>2.0680000000000001</v>
      </c>
      <c r="F39" s="244">
        <v>1.98</v>
      </c>
      <c r="G39" s="244">
        <v>1.9890000000000001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2.0110000000000001</v>
      </c>
      <c r="O39" s="244">
        <v>2.0209999999999999</v>
      </c>
      <c r="P39" s="244">
        <v>17664.624</v>
      </c>
      <c r="Q39" s="244">
        <v>17703.96</v>
      </c>
      <c r="R39" s="244">
        <v>2.0270000000000001</v>
      </c>
      <c r="S39" s="244">
        <v>17805.168000000001</v>
      </c>
      <c r="T39" s="244">
        <v>0</v>
      </c>
      <c r="U39" s="244">
        <v>0</v>
      </c>
      <c r="V39" s="244">
        <v>0</v>
      </c>
      <c r="W39" s="244">
        <v>0</v>
      </c>
      <c r="X39" s="244">
        <v>2.8630000000000002E-4</v>
      </c>
      <c r="Y39" s="244">
        <v>2.877E-4</v>
      </c>
      <c r="Z39" s="244">
        <v>0</v>
      </c>
      <c r="AA39" s="244">
        <v>2.8630000000000002E-4</v>
      </c>
      <c r="AB39" s="244">
        <v>2.877E-4</v>
      </c>
      <c r="AC39" s="244">
        <v>2.8700000000000004E-4</v>
      </c>
      <c r="AD39" s="244">
        <v>1</v>
      </c>
      <c r="AE39" s="244">
        <v>0.99997630004948046</v>
      </c>
      <c r="AF39" s="244">
        <v>1</v>
      </c>
      <c r="AG39" s="244">
        <v>1</v>
      </c>
      <c r="AH39" s="244">
        <v>0</v>
      </c>
      <c r="AI39" s="244">
        <v>0</v>
      </c>
      <c r="AJ39" s="123"/>
      <c r="AK39" s="123"/>
      <c r="AL39" s="123"/>
      <c r="AM39" s="123"/>
      <c r="AN39" s="123"/>
      <c r="AO39" s="123"/>
      <c r="AP39" s="123"/>
      <c r="AQ39" s="132"/>
      <c r="AR39" s="132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32"/>
      <c r="BH39" s="132"/>
      <c r="BI39" s="132"/>
      <c r="BJ39" s="132"/>
      <c r="BK39" s="132"/>
      <c r="BL39" s="132"/>
      <c r="BM39" s="132"/>
      <c r="BN39" s="132"/>
    </row>
    <row r="40" spans="1:66">
      <c r="A40" s="132">
        <v>10101</v>
      </c>
      <c r="B40" s="132" t="s">
        <v>44</v>
      </c>
      <c r="C40" s="244">
        <v>1</v>
      </c>
      <c r="D40" s="244">
        <v>0</v>
      </c>
      <c r="E40" s="244">
        <v>77.162000000000006</v>
      </c>
      <c r="F40" s="244">
        <v>76.56</v>
      </c>
      <c r="G40" s="244">
        <v>76.77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  <c r="M40" s="244">
        <v>0</v>
      </c>
      <c r="N40" s="244">
        <v>77.37</v>
      </c>
      <c r="O40" s="244">
        <v>77.911000000000001</v>
      </c>
      <c r="P40" s="244">
        <v>679618.08000000007</v>
      </c>
      <c r="Q40" s="244">
        <v>682500.36</v>
      </c>
      <c r="R40" s="244">
        <v>75.625</v>
      </c>
      <c r="S40" s="244">
        <v>664290</v>
      </c>
      <c r="T40" s="244">
        <v>1.7450000000000001</v>
      </c>
      <c r="U40" s="244">
        <v>2.286</v>
      </c>
      <c r="V40" s="244">
        <v>1.7450000000000001</v>
      </c>
      <c r="W40" s="244">
        <v>2.286</v>
      </c>
      <c r="X40" s="244">
        <v>1.07659E-2</v>
      </c>
      <c r="Y40" s="244">
        <v>1.07659E-2</v>
      </c>
      <c r="Z40" s="244">
        <v>0</v>
      </c>
      <c r="AA40" s="244">
        <v>1.07659E-2</v>
      </c>
      <c r="AB40" s="244">
        <v>1.07659E-2</v>
      </c>
      <c r="AC40" s="244">
        <v>1.07659E-2</v>
      </c>
      <c r="AD40" s="244">
        <v>0.97744854259790614</v>
      </c>
      <c r="AE40" s="244">
        <v>0.97066131535726663</v>
      </c>
      <c r="AF40" s="244">
        <v>1.0230743801652893</v>
      </c>
      <c r="AG40" s="244">
        <v>1.0302280991735537</v>
      </c>
      <c r="AH40" s="244">
        <v>5.1153719008264466E-2</v>
      </c>
      <c r="AI40" s="244">
        <v>5.151140495867769E-2</v>
      </c>
      <c r="AJ40" s="123"/>
      <c r="AK40" s="123"/>
      <c r="AL40" s="123"/>
      <c r="AM40" s="123"/>
      <c r="AN40" s="123"/>
      <c r="AO40" s="123"/>
      <c r="AP40" s="123"/>
      <c r="AQ40" s="132"/>
      <c r="AR40" s="132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32"/>
      <c r="BH40" s="132"/>
      <c r="BI40" s="132"/>
      <c r="BJ40" s="132"/>
      <c r="BK40" s="132"/>
      <c r="BL40" s="132"/>
      <c r="BM40" s="132"/>
      <c r="BN40" s="132"/>
    </row>
    <row r="41" spans="1:66">
      <c r="A41" s="132">
        <v>10103</v>
      </c>
      <c r="B41" s="132" t="s">
        <v>45</v>
      </c>
      <c r="C41" s="244">
        <v>1</v>
      </c>
      <c r="D41" s="244">
        <v>0</v>
      </c>
      <c r="E41" s="244">
        <v>323.245</v>
      </c>
      <c r="F41" s="244">
        <v>530.77</v>
      </c>
      <c r="G41" s="244">
        <v>534.31299999999999</v>
      </c>
      <c r="H41" s="244">
        <v>0</v>
      </c>
      <c r="I41" s="244">
        <v>0</v>
      </c>
      <c r="J41" s="244">
        <v>225.33099999999999</v>
      </c>
      <c r="K41" s="244">
        <v>225.94900000000001</v>
      </c>
      <c r="L41" s="244">
        <v>1979307.504</v>
      </c>
      <c r="M41" s="244">
        <v>1979313.2400000002</v>
      </c>
      <c r="N41" s="244">
        <v>305.43900000000002</v>
      </c>
      <c r="O41" s="244">
        <v>308.36399999999998</v>
      </c>
      <c r="P41" s="244">
        <v>2682976.176</v>
      </c>
      <c r="Q41" s="244">
        <v>2701268.6399999997</v>
      </c>
      <c r="R41" s="244">
        <v>316.80799999999999</v>
      </c>
      <c r="S41" s="244">
        <v>2782841.4720000001</v>
      </c>
      <c r="T41" s="244">
        <v>0</v>
      </c>
      <c r="U41" s="244">
        <v>0</v>
      </c>
      <c r="V41" s="244">
        <v>0</v>
      </c>
      <c r="W41" s="244">
        <v>0</v>
      </c>
      <c r="X41" s="244">
        <v>4.3481899999999997E-2</v>
      </c>
      <c r="Y41" s="244">
        <v>4.3898300000000001E-2</v>
      </c>
      <c r="Z41" s="244">
        <v>2.1821500000000001E-2</v>
      </c>
      <c r="AA41" s="244">
        <v>2.1660399999999996E-2</v>
      </c>
      <c r="AB41" s="244">
        <v>2.2076800000000001E-2</v>
      </c>
      <c r="AC41" s="244">
        <v>2.1868599999999998E-2</v>
      </c>
      <c r="AD41" s="244">
        <v>0.99999997995705281</v>
      </c>
      <c r="AE41" s="244">
        <v>0.99999975658651852</v>
      </c>
      <c r="AF41" s="244">
        <v>1</v>
      </c>
      <c r="AG41" s="244">
        <v>1</v>
      </c>
      <c r="AH41" s="244">
        <v>0</v>
      </c>
      <c r="AI41" s="244">
        <v>0</v>
      </c>
      <c r="AJ41" s="123"/>
      <c r="AK41" s="123"/>
      <c r="AL41" s="123"/>
      <c r="AM41" s="123"/>
      <c r="AN41" s="123"/>
      <c r="AO41" s="123"/>
      <c r="AP41" s="123"/>
      <c r="AQ41" s="132"/>
      <c r="AR41" s="132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32"/>
      <c r="BH41" s="132"/>
      <c r="BI41" s="132"/>
      <c r="BJ41" s="132"/>
      <c r="BK41" s="132"/>
      <c r="BL41" s="132"/>
      <c r="BM41" s="132"/>
      <c r="BN41" s="132"/>
    </row>
    <row r="42" spans="1:66">
      <c r="A42" s="132">
        <v>10105</v>
      </c>
      <c r="B42" s="132" t="s">
        <v>46</v>
      </c>
      <c r="C42" s="244">
        <v>1</v>
      </c>
      <c r="D42" s="244">
        <v>0</v>
      </c>
      <c r="E42" s="244">
        <v>94.222999999999999</v>
      </c>
      <c r="F42" s="244">
        <v>82.656999999999996</v>
      </c>
      <c r="G42" s="244">
        <v>83.238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82.656999999999996</v>
      </c>
      <c r="O42" s="244">
        <v>83.238</v>
      </c>
      <c r="P42" s="244">
        <v>726059.08799999999</v>
      </c>
      <c r="Q42" s="244">
        <v>729164.88</v>
      </c>
      <c r="R42" s="244">
        <v>92.346999999999994</v>
      </c>
      <c r="S42" s="244">
        <v>811176.04799999995</v>
      </c>
      <c r="T42" s="244">
        <v>0.11700000000000001</v>
      </c>
      <c r="U42" s="244">
        <v>3.1640000000000001</v>
      </c>
      <c r="V42" s="244">
        <v>0</v>
      </c>
      <c r="W42" s="244">
        <v>3.1640000000000001</v>
      </c>
      <c r="X42" s="244">
        <v>1.17669E-2</v>
      </c>
      <c r="Y42" s="244">
        <v>1.18496E-2</v>
      </c>
      <c r="Z42" s="244">
        <v>7.2534000000000001E-3</v>
      </c>
      <c r="AA42" s="244">
        <v>4.5135000000000002E-3</v>
      </c>
      <c r="AB42" s="244">
        <v>4.5961999999999999E-3</v>
      </c>
      <c r="AC42" s="244">
        <v>4.55485E-3</v>
      </c>
      <c r="AD42" s="244">
        <v>0.99873512455442115</v>
      </c>
      <c r="AE42" s="244">
        <v>0.96687339214121937</v>
      </c>
      <c r="AF42" s="244">
        <v>1</v>
      </c>
      <c r="AG42" s="244">
        <v>1</v>
      </c>
      <c r="AH42" s="244">
        <v>0</v>
      </c>
      <c r="AI42" s="244">
        <v>0</v>
      </c>
      <c r="AJ42" s="123"/>
      <c r="AK42" s="123"/>
      <c r="AL42" s="123"/>
      <c r="AM42" s="123"/>
      <c r="AN42" s="123"/>
      <c r="AO42" s="123"/>
      <c r="AP42" s="123"/>
      <c r="AQ42" s="132"/>
      <c r="AR42" s="132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32"/>
      <c r="BH42" s="132"/>
      <c r="BI42" s="132"/>
      <c r="BJ42" s="132"/>
      <c r="BK42" s="132"/>
      <c r="BL42" s="132"/>
      <c r="BM42" s="132"/>
      <c r="BN42" s="132"/>
    </row>
    <row r="43" spans="1:66">
      <c r="A43" s="132">
        <v>10106</v>
      </c>
      <c r="B43" s="132" t="s">
        <v>47</v>
      </c>
      <c r="C43" s="244">
        <v>0</v>
      </c>
      <c r="D43" s="244">
        <v>1</v>
      </c>
      <c r="E43" s="244">
        <v>24.234999999999999</v>
      </c>
      <c r="F43" s="244">
        <v>23.622</v>
      </c>
      <c r="G43" s="244">
        <v>23.795000000000002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23.68</v>
      </c>
      <c r="O43" s="244">
        <v>23.777000000000001</v>
      </c>
      <c r="P43" s="244">
        <v>208005.12</v>
      </c>
      <c r="Q43" s="244">
        <v>208286.52000000002</v>
      </c>
      <c r="R43" s="244">
        <v>23.751999999999999</v>
      </c>
      <c r="S43" s="244">
        <v>208637.568</v>
      </c>
      <c r="T43" s="244">
        <v>0</v>
      </c>
      <c r="U43" s="244">
        <v>2.5000000000000001E-2</v>
      </c>
      <c r="V43" s="244">
        <v>0</v>
      </c>
      <c r="W43" s="244">
        <v>2.5000000000000001E-2</v>
      </c>
      <c r="X43" s="244">
        <v>3.3711000000000001E-3</v>
      </c>
      <c r="Y43" s="244">
        <v>3.3812999999999998E-3</v>
      </c>
      <c r="Z43" s="244">
        <v>0</v>
      </c>
      <c r="AA43" s="244">
        <v>3.3711000000000001E-3</v>
      </c>
      <c r="AB43" s="244">
        <v>3.3812999999999998E-3</v>
      </c>
      <c r="AC43" s="244">
        <v>3.3762000000000002E-3</v>
      </c>
      <c r="AD43" s="244">
        <v>1</v>
      </c>
      <c r="AE43" s="244">
        <v>0.99894782460360843</v>
      </c>
      <c r="AF43" s="244">
        <v>1</v>
      </c>
      <c r="AG43" s="244">
        <v>1.0010525429437522</v>
      </c>
      <c r="AH43" s="244">
        <v>7.0000000000000007E-2</v>
      </c>
      <c r="AI43" s="244">
        <v>7.0073678006062665E-2</v>
      </c>
      <c r="AJ43" s="123"/>
      <c r="AK43" s="123"/>
      <c r="AL43" s="123"/>
      <c r="AM43" s="123"/>
      <c r="AN43" s="123"/>
      <c r="AO43" s="123"/>
      <c r="AP43" s="123"/>
      <c r="AQ43" s="132"/>
      <c r="AR43" s="132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32"/>
      <c r="BH43" s="132"/>
      <c r="BI43" s="132"/>
      <c r="BJ43" s="132"/>
      <c r="BK43" s="132"/>
      <c r="BL43" s="132"/>
      <c r="BM43" s="132"/>
      <c r="BN43" s="132"/>
    </row>
    <row r="44" spans="1:66">
      <c r="A44" s="132">
        <v>10109</v>
      </c>
      <c r="B44" s="132" t="s">
        <v>48</v>
      </c>
      <c r="C44" s="244">
        <v>1</v>
      </c>
      <c r="D44" s="244">
        <v>0</v>
      </c>
      <c r="E44" s="244">
        <v>12.298999999999999</v>
      </c>
      <c r="F44" s="244">
        <v>13.956</v>
      </c>
      <c r="G44" s="244">
        <v>14.048999999999999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13.648</v>
      </c>
      <c r="O44" s="244">
        <v>13.712</v>
      </c>
      <c r="P44" s="244">
        <v>119884.03199999999</v>
      </c>
      <c r="Q44" s="244">
        <v>120117.12</v>
      </c>
      <c r="R44" s="244">
        <v>12.054</v>
      </c>
      <c r="S44" s="244">
        <v>105882.336</v>
      </c>
      <c r="T44" s="244">
        <v>1.5940000000000001</v>
      </c>
      <c r="U44" s="244">
        <v>1.6579999999999999</v>
      </c>
      <c r="V44" s="244">
        <v>1.5940000000000001</v>
      </c>
      <c r="W44" s="244">
        <v>1.6579999999999999</v>
      </c>
      <c r="X44" s="244">
        <v>1.7160000000000001E-3</v>
      </c>
      <c r="Y44" s="244">
        <v>1.7160000000000001E-3</v>
      </c>
      <c r="Z44" s="244">
        <v>0</v>
      </c>
      <c r="AA44" s="244">
        <v>1.7160000000000001E-3</v>
      </c>
      <c r="AB44" s="244">
        <v>1.7160000000000001E-3</v>
      </c>
      <c r="AC44" s="244">
        <v>1.7160000000000001E-3</v>
      </c>
      <c r="AD44" s="244">
        <v>0.88321091676436103</v>
      </c>
      <c r="AE44" s="244">
        <v>0.87908857876312718</v>
      </c>
      <c r="AF44" s="244">
        <v>1.1322382611581217</v>
      </c>
      <c r="AG44" s="244">
        <v>1.1375477020076323</v>
      </c>
      <c r="AH44" s="244">
        <v>7.9256678281068527E-2</v>
      </c>
      <c r="AI44" s="244">
        <v>7.9628339140534271E-2</v>
      </c>
      <c r="AJ44" s="123"/>
      <c r="AK44" s="123"/>
      <c r="AL44" s="123"/>
      <c r="AM44" s="123"/>
      <c r="AN44" s="123"/>
      <c r="AO44" s="123"/>
      <c r="AP44" s="123"/>
      <c r="AQ44" s="132"/>
      <c r="AR44" s="132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32"/>
      <c r="BH44" s="132"/>
      <c r="BI44" s="132"/>
      <c r="BJ44" s="132"/>
      <c r="BK44" s="132"/>
      <c r="BL44" s="132"/>
      <c r="BM44" s="132"/>
      <c r="BN44" s="132"/>
    </row>
    <row r="45" spans="1:66">
      <c r="A45" s="132">
        <v>10111</v>
      </c>
      <c r="B45" s="132" t="s">
        <v>49</v>
      </c>
      <c r="C45" s="244">
        <v>1</v>
      </c>
      <c r="D45" s="244">
        <v>0</v>
      </c>
      <c r="E45" s="244">
        <v>3.2829999999999999</v>
      </c>
      <c r="F45" s="244">
        <v>3.0270000000000001</v>
      </c>
      <c r="G45" s="244">
        <v>3.0339999999999998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3.0459999999999998</v>
      </c>
      <c r="O45" s="244">
        <v>3.0510000000000002</v>
      </c>
      <c r="P45" s="244">
        <v>26756.063999999998</v>
      </c>
      <c r="Q45" s="244">
        <v>26726.760000000002</v>
      </c>
      <c r="R45" s="244">
        <v>3.218</v>
      </c>
      <c r="S45" s="244">
        <v>28266.912</v>
      </c>
      <c r="T45" s="244">
        <v>0</v>
      </c>
      <c r="U45" s="244">
        <v>0</v>
      </c>
      <c r="V45" s="244">
        <v>0</v>
      </c>
      <c r="W45" s="244">
        <v>0</v>
      </c>
      <c r="X45" s="244">
        <v>4.3360000000000002E-4</v>
      </c>
      <c r="Y45" s="244">
        <v>4.3429999999999999E-4</v>
      </c>
      <c r="Z45" s="244">
        <v>0</v>
      </c>
      <c r="AA45" s="244">
        <v>4.3360000000000002E-4</v>
      </c>
      <c r="AB45" s="244">
        <v>4.3429999999999999E-4</v>
      </c>
      <c r="AC45" s="244">
        <v>4.3395E-4</v>
      </c>
      <c r="AD45" s="244">
        <v>0.9999436648719634</v>
      </c>
      <c r="AE45" s="244">
        <v>0.99991660491642076</v>
      </c>
      <c r="AF45" s="244">
        <v>1</v>
      </c>
      <c r="AG45" s="244">
        <v>1</v>
      </c>
      <c r="AH45" s="244">
        <v>7.0000000000000007E-2</v>
      </c>
      <c r="AI45" s="244">
        <v>7.0000000000000007E-2</v>
      </c>
      <c r="AJ45" s="123"/>
      <c r="AK45" s="123"/>
      <c r="AL45" s="123"/>
      <c r="AM45" s="123"/>
      <c r="AN45" s="123"/>
      <c r="AO45" s="123"/>
      <c r="AP45" s="123"/>
      <c r="AQ45" s="132"/>
      <c r="AR45" s="132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32"/>
      <c r="BH45" s="132"/>
      <c r="BI45" s="132"/>
      <c r="BJ45" s="132"/>
      <c r="BK45" s="132"/>
      <c r="BL45" s="132"/>
      <c r="BM45" s="132"/>
      <c r="BN45" s="132"/>
    </row>
    <row r="46" spans="1:66">
      <c r="A46" s="132">
        <v>10112</v>
      </c>
      <c r="B46" s="132" t="s">
        <v>50</v>
      </c>
      <c r="C46" s="244">
        <v>1</v>
      </c>
      <c r="D46" s="244">
        <v>0</v>
      </c>
      <c r="E46" s="244">
        <v>59.119</v>
      </c>
      <c r="F46" s="244">
        <v>58.222000000000001</v>
      </c>
      <c r="G46" s="244">
        <v>58.826000000000001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54.478999999999999</v>
      </c>
      <c r="O46" s="244">
        <v>54.555999999999997</v>
      </c>
      <c r="P46" s="244">
        <v>478543.53600000002</v>
      </c>
      <c r="Q46" s="244">
        <v>477910.56</v>
      </c>
      <c r="R46" s="244">
        <v>57.942</v>
      </c>
      <c r="S46" s="244">
        <v>508962.52799999999</v>
      </c>
      <c r="T46" s="244">
        <v>0</v>
      </c>
      <c r="U46" s="244">
        <v>0</v>
      </c>
      <c r="V46" s="244">
        <v>0</v>
      </c>
      <c r="W46" s="244">
        <v>0</v>
      </c>
      <c r="X46" s="244">
        <v>7.7555999999999996E-3</v>
      </c>
      <c r="Y46" s="244">
        <v>7.7665E-3</v>
      </c>
      <c r="Z46" s="244">
        <v>0</v>
      </c>
      <c r="AA46" s="244">
        <v>7.7555999999999996E-3</v>
      </c>
      <c r="AB46" s="244">
        <v>7.7665E-3</v>
      </c>
      <c r="AC46" s="244">
        <v>7.7610500000000002E-3</v>
      </c>
      <c r="AD46" s="244">
        <v>1</v>
      </c>
      <c r="AE46" s="244">
        <v>0.99999766199868023</v>
      </c>
      <c r="AF46" s="244">
        <v>1</v>
      </c>
      <c r="AG46" s="244">
        <v>1</v>
      </c>
      <c r="AH46" s="244">
        <v>0</v>
      </c>
      <c r="AI46" s="244">
        <v>0</v>
      </c>
      <c r="AJ46" s="123"/>
      <c r="AK46" s="123"/>
      <c r="AL46" s="123"/>
      <c r="AM46" s="123"/>
      <c r="AN46" s="123"/>
      <c r="AO46" s="123"/>
      <c r="AP46" s="123"/>
      <c r="AQ46" s="132"/>
      <c r="AR46" s="132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32"/>
      <c r="BH46" s="132"/>
      <c r="BI46" s="132"/>
      <c r="BJ46" s="132"/>
      <c r="BK46" s="132"/>
      <c r="BL46" s="132"/>
      <c r="BM46" s="132"/>
      <c r="BN46" s="132"/>
    </row>
    <row r="47" spans="1:66">
      <c r="A47" s="132">
        <v>10113</v>
      </c>
      <c r="B47" s="132" t="s">
        <v>51</v>
      </c>
      <c r="C47" s="244">
        <v>1</v>
      </c>
      <c r="D47" s="244">
        <v>0</v>
      </c>
      <c r="E47" s="244">
        <v>38.255000000000003</v>
      </c>
      <c r="F47" s="244">
        <v>42.091999999999999</v>
      </c>
      <c r="G47" s="244">
        <v>42.524000000000001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43.765000000000001</v>
      </c>
      <c r="O47" s="244">
        <v>44.648000000000003</v>
      </c>
      <c r="P47" s="244">
        <v>384431.76</v>
      </c>
      <c r="Q47" s="244">
        <v>391116.48000000004</v>
      </c>
      <c r="R47" s="244">
        <v>37.493000000000002</v>
      </c>
      <c r="S47" s="244">
        <v>329338.51200000005</v>
      </c>
      <c r="T47" s="244">
        <v>6.2720000000000002</v>
      </c>
      <c r="U47" s="244">
        <v>7.1550000000000002</v>
      </c>
      <c r="V47" s="244">
        <v>6.2720000000000002</v>
      </c>
      <c r="W47" s="244">
        <v>7.1550000000000002</v>
      </c>
      <c r="X47" s="244">
        <v>5.3375000000000002E-3</v>
      </c>
      <c r="Y47" s="244">
        <v>5.3375000000000002E-3</v>
      </c>
      <c r="Z47" s="244">
        <v>0</v>
      </c>
      <c r="AA47" s="244">
        <v>5.3375000000000002E-3</v>
      </c>
      <c r="AB47" s="244">
        <v>5.3375000000000002E-3</v>
      </c>
      <c r="AC47" s="244">
        <v>5.3375000000000002E-3</v>
      </c>
      <c r="AD47" s="244">
        <v>0.85669673940363278</v>
      </c>
      <c r="AE47" s="244">
        <v>0.83975391506898378</v>
      </c>
      <c r="AF47" s="244">
        <v>1.167284559784493</v>
      </c>
      <c r="AG47" s="244">
        <v>1.1908356226495613</v>
      </c>
      <c r="AH47" s="244">
        <v>8.170991918491452E-2</v>
      </c>
      <c r="AI47" s="244">
        <v>8.3358493585469304E-2</v>
      </c>
      <c r="AJ47" s="123"/>
      <c r="AK47" s="123"/>
      <c r="AL47" s="123"/>
      <c r="AM47" s="123"/>
      <c r="AN47" s="123"/>
      <c r="AO47" s="123"/>
      <c r="AP47" s="123"/>
      <c r="AQ47" s="132"/>
      <c r="AR47" s="132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32"/>
      <c r="BH47" s="132"/>
      <c r="BI47" s="132"/>
      <c r="BJ47" s="132"/>
      <c r="BK47" s="132"/>
      <c r="BL47" s="132"/>
      <c r="BM47" s="132"/>
      <c r="BN47" s="132"/>
    </row>
    <row r="48" spans="1:66">
      <c r="A48" s="132">
        <v>10116</v>
      </c>
      <c r="B48" s="132" t="s">
        <v>52</v>
      </c>
      <c r="C48" s="244">
        <v>1</v>
      </c>
      <c r="D48" s="244">
        <v>0</v>
      </c>
      <c r="E48" s="244">
        <v>0.23100000000000001</v>
      </c>
      <c r="F48" s="244">
        <v>0.23</v>
      </c>
      <c r="G48" s="244">
        <v>0.23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0.22900000000000001</v>
      </c>
      <c r="O48" s="244">
        <v>0.23</v>
      </c>
      <c r="P48" s="244">
        <v>2011.5360000000001</v>
      </c>
      <c r="Q48" s="244">
        <v>2014.8000000000002</v>
      </c>
      <c r="R48" s="244">
        <v>0.22600000000000001</v>
      </c>
      <c r="S48" s="244">
        <v>1985.184</v>
      </c>
      <c r="T48" s="244">
        <v>3.0000000000000001E-3</v>
      </c>
      <c r="U48" s="244">
        <v>4.0000000000000001E-3</v>
      </c>
      <c r="V48" s="244">
        <v>0</v>
      </c>
      <c r="W48" s="244">
        <v>0</v>
      </c>
      <c r="X48" s="244">
        <v>3.2199999999999997E-5</v>
      </c>
      <c r="Y48" s="244">
        <v>3.2199999999999997E-5</v>
      </c>
      <c r="Z48" s="244">
        <v>0</v>
      </c>
      <c r="AA48" s="244">
        <v>3.2199999999999997E-5</v>
      </c>
      <c r="AB48" s="244">
        <v>3.2199999999999997E-5</v>
      </c>
      <c r="AC48" s="244">
        <v>3.2199999999999997E-5</v>
      </c>
      <c r="AD48" s="244">
        <v>0.98772614148471594</v>
      </c>
      <c r="AE48" s="244">
        <v>0.98343167999999981</v>
      </c>
      <c r="AF48" s="244">
        <v>1.0132743362831858</v>
      </c>
      <c r="AG48" s="244">
        <v>1.0176991150442478</v>
      </c>
      <c r="AH48" s="244">
        <v>0</v>
      </c>
      <c r="AI48" s="244">
        <v>0</v>
      </c>
      <c r="AJ48" s="123"/>
      <c r="AK48" s="123"/>
      <c r="AL48" s="123"/>
      <c r="AM48" s="123"/>
      <c r="AN48" s="123"/>
      <c r="AO48" s="123"/>
      <c r="AP48" s="123"/>
      <c r="AQ48" s="132"/>
      <c r="AR48" s="132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32"/>
      <c r="BH48" s="132"/>
      <c r="BI48" s="132"/>
      <c r="BJ48" s="132"/>
      <c r="BK48" s="132"/>
      <c r="BL48" s="132"/>
      <c r="BM48" s="132"/>
      <c r="BN48" s="132"/>
    </row>
    <row r="49" spans="1:66">
      <c r="A49" s="134">
        <v>10118</v>
      </c>
      <c r="B49" s="134" t="s">
        <v>53</v>
      </c>
      <c r="C49" s="244">
        <v>0</v>
      </c>
      <c r="D49" s="244">
        <v>1</v>
      </c>
      <c r="E49" s="244">
        <v>46.354999999999997</v>
      </c>
      <c r="F49" s="244">
        <v>49.701000000000001</v>
      </c>
      <c r="G49" s="244">
        <v>50.210999999999999</v>
      </c>
      <c r="H49" s="244">
        <v>0</v>
      </c>
      <c r="I49" s="244">
        <v>0</v>
      </c>
      <c r="J49" s="244">
        <v>2.3559999999999999</v>
      </c>
      <c r="K49" s="244">
        <v>2.363</v>
      </c>
      <c r="L49" s="244">
        <v>20695.103999999999</v>
      </c>
      <c r="M49" s="244">
        <v>20699.88</v>
      </c>
      <c r="N49" s="244">
        <v>47.008000000000003</v>
      </c>
      <c r="O49" s="244">
        <v>47.228000000000002</v>
      </c>
      <c r="P49" s="244">
        <v>412918.272</v>
      </c>
      <c r="Q49" s="244">
        <v>413717.28</v>
      </c>
      <c r="R49" s="244">
        <v>45.432000000000002</v>
      </c>
      <c r="S49" s="244">
        <v>399074.68800000002</v>
      </c>
      <c r="T49" s="244">
        <v>1.5760000000000001</v>
      </c>
      <c r="U49" s="244">
        <v>1.796</v>
      </c>
      <c r="V49" s="244">
        <v>1.5760000000000001</v>
      </c>
      <c r="W49" s="244">
        <v>1.796</v>
      </c>
      <c r="X49" s="244">
        <v>6.4676000000000004E-3</v>
      </c>
      <c r="Y49" s="244">
        <v>6.4676000000000004E-3</v>
      </c>
      <c r="Z49" s="244">
        <v>0</v>
      </c>
      <c r="AA49" s="244">
        <v>6.4676000000000004E-3</v>
      </c>
      <c r="AB49" s="244">
        <v>6.4676000000000004E-3</v>
      </c>
      <c r="AC49" s="244">
        <v>6.4676000000000004E-3</v>
      </c>
      <c r="AD49" s="244">
        <v>0.96807303500435482</v>
      </c>
      <c r="AE49" s="244">
        <v>0.96377838340021382</v>
      </c>
      <c r="AF49" s="244">
        <v>1.0346892058460997</v>
      </c>
      <c r="AG49" s="244">
        <v>1.0395316076774079</v>
      </c>
      <c r="AH49" s="244">
        <v>6.7254798379996483E-2</v>
      </c>
      <c r="AI49" s="244">
        <v>6.7569554499031514E-2</v>
      </c>
      <c r="AJ49" s="130"/>
      <c r="AK49" s="130"/>
      <c r="AL49" s="130"/>
      <c r="AM49" s="130"/>
      <c r="AN49" s="130"/>
      <c r="AO49" s="130"/>
      <c r="AP49" s="130"/>
      <c r="AS49" s="129"/>
      <c r="AT49" s="129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29"/>
      <c r="BF49" s="129"/>
      <c r="BG49" s="132"/>
      <c r="BM49" s="132"/>
      <c r="BN49" s="132"/>
    </row>
    <row r="50" spans="1:66">
      <c r="A50" s="132">
        <v>10121</v>
      </c>
      <c r="B50" s="132" t="s">
        <v>54</v>
      </c>
      <c r="C50" s="244">
        <v>0</v>
      </c>
      <c r="D50" s="244">
        <v>1</v>
      </c>
      <c r="E50" s="244">
        <v>41.484999999999999</v>
      </c>
      <c r="F50" s="244">
        <v>39.134999999999998</v>
      </c>
      <c r="G50" s="244">
        <v>39.241999999999997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38.926000000000002</v>
      </c>
      <c r="O50" s="244">
        <v>38.908000000000001</v>
      </c>
      <c r="P50" s="244">
        <v>341925.984</v>
      </c>
      <c r="Q50" s="244">
        <v>340834.08</v>
      </c>
      <c r="R50" s="244">
        <v>40.658999999999999</v>
      </c>
      <c r="S50" s="244">
        <v>357148.65600000002</v>
      </c>
      <c r="T50" s="244">
        <v>0</v>
      </c>
      <c r="U50" s="244">
        <v>0</v>
      </c>
      <c r="V50" s="244">
        <v>0</v>
      </c>
      <c r="W50" s="244">
        <v>0</v>
      </c>
      <c r="X50" s="244">
        <v>5.5415000000000004E-3</v>
      </c>
      <c r="Y50" s="244">
        <v>5.5389000000000002E-3</v>
      </c>
      <c r="Z50" s="244">
        <v>0</v>
      </c>
      <c r="AA50" s="244">
        <v>5.5415000000000004E-3</v>
      </c>
      <c r="AB50" s="244">
        <v>5.5389000000000002E-3</v>
      </c>
      <c r="AC50" s="244">
        <v>5.5402000000000003E-3</v>
      </c>
      <c r="AD50" s="244">
        <v>1</v>
      </c>
      <c r="AE50" s="244">
        <v>1</v>
      </c>
      <c r="AF50" s="244">
        <v>1</v>
      </c>
      <c r="AG50" s="244">
        <v>1</v>
      </c>
      <c r="AH50" s="244">
        <v>0.06</v>
      </c>
      <c r="AI50" s="244">
        <v>0.06</v>
      </c>
      <c r="AJ50" s="123"/>
      <c r="AK50" s="123"/>
      <c r="AL50" s="123"/>
      <c r="AM50" s="123"/>
      <c r="AN50" s="123"/>
      <c r="AO50" s="123"/>
      <c r="AP50" s="123"/>
      <c r="AQ50" s="132"/>
      <c r="AR50" s="132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32"/>
      <c r="BH50" s="132"/>
      <c r="BI50" s="132"/>
      <c r="BJ50" s="132"/>
      <c r="BK50" s="132"/>
      <c r="BL50" s="132"/>
      <c r="BM50" s="132"/>
      <c r="BN50" s="132"/>
    </row>
    <row r="51" spans="1:66">
      <c r="A51" s="132">
        <v>10123</v>
      </c>
      <c r="B51" s="132" t="s">
        <v>55</v>
      </c>
      <c r="C51" s="244">
        <v>1</v>
      </c>
      <c r="D51" s="244">
        <v>0</v>
      </c>
      <c r="E51" s="244">
        <v>557.39200000000005</v>
      </c>
      <c r="F51" s="244">
        <v>494.04899999999998</v>
      </c>
      <c r="G51" s="244">
        <v>518.68499999999995</v>
      </c>
      <c r="H51" s="244">
        <v>25.928999999999998</v>
      </c>
      <c r="I51" s="244">
        <v>26</v>
      </c>
      <c r="J51" s="244">
        <v>15.677</v>
      </c>
      <c r="K51" s="244">
        <v>15.72</v>
      </c>
      <c r="L51" s="244">
        <v>137706.76800000001</v>
      </c>
      <c r="M51" s="244">
        <v>137707.20000000001</v>
      </c>
      <c r="N51" s="244">
        <v>452.44299999999998</v>
      </c>
      <c r="O51" s="244">
        <v>476.96499999999997</v>
      </c>
      <c r="P51" s="244">
        <v>3974259.3119999999</v>
      </c>
      <c r="Q51" s="244">
        <v>4178213.4</v>
      </c>
      <c r="R51" s="244">
        <v>546.29200000000003</v>
      </c>
      <c r="S51" s="244">
        <v>4798628.9280000003</v>
      </c>
      <c r="T51" s="244">
        <v>0</v>
      </c>
      <c r="U51" s="244">
        <v>0</v>
      </c>
      <c r="V51" s="244">
        <v>0</v>
      </c>
      <c r="W51" s="244">
        <v>0</v>
      </c>
      <c r="X51" s="244">
        <v>6.4409099999999997E-2</v>
      </c>
      <c r="Y51" s="244">
        <v>6.7900100000000005E-2</v>
      </c>
      <c r="Z51" s="244">
        <v>3.9884000000000003E-2</v>
      </c>
      <c r="AA51" s="244">
        <v>2.4525099999999994E-2</v>
      </c>
      <c r="AB51" s="244">
        <v>2.8016100000000002E-2</v>
      </c>
      <c r="AC51" s="244">
        <v>2.6270599999999998E-2</v>
      </c>
      <c r="AD51" s="244">
        <v>0.99999940882263549</v>
      </c>
      <c r="AE51" s="244">
        <v>0.99999982596084946</v>
      </c>
      <c r="AF51" s="244">
        <v>1</v>
      </c>
      <c r="AG51" s="244">
        <v>1</v>
      </c>
      <c r="AH51" s="244">
        <v>0</v>
      </c>
      <c r="AI51" s="244">
        <v>0</v>
      </c>
      <c r="AJ51" s="123"/>
      <c r="AK51" s="123"/>
      <c r="AL51" s="123"/>
      <c r="AM51" s="123"/>
      <c r="AN51" s="123"/>
      <c r="AO51" s="123"/>
      <c r="AP51" s="123"/>
      <c r="AQ51" s="132"/>
      <c r="AR51" s="132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32"/>
      <c r="BH51" s="132"/>
      <c r="BI51" s="132"/>
      <c r="BJ51" s="132"/>
      <c r="BK51" s="132"/>
      <c r="BL51" s="132"/>
      <c r="BM51" s="132"/>
      <c r="BN51" s="132"/>
    </row>
    <row r="52" spans="1:66">
      <c r="A52" s="132">
        <v>10136</v>
      </c>
      <c r="B52" s="132" t="s">
        <v>56</v>
      </c>
      <c r="C52" s="244">
        <v>0</v>
      </c>
      <c r="D52" s="244">
        <v>1</v>
      </c>
      <c r="E52" s="244">
        <v>18.814</v>
      </c>
      <c r="F52" s="244">
        <v>18.245999999999999</v>
      </c>
      <c r="G52" s="244">
        <v>18.341999999999999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18.117000000000001</v>
      </c>
      <c r="O52" s="244">
        <v>18.152000000000001</v>
      </c>
      <c r="P52" s="244">
        <v>159139.728</v>
      </c>
      <c r="Q52" s="244">
        <v>159011.52000000002</v>
      </c>
      <c r="R52" s="244">
        <v>18.439</v>
      </c>
      <c r="S52" s="244">
        <v>161968.17600000001</v>
      </c>
      <c r="T52" s="244">
        <v>0</v>
      </c>
      <c r="U52" s="244">
        <v>0</v>
      </c>
      <c r="V52" s="244">
        <v>0</v>
      </c>
      <c r="W52" s="244">
        <v>0</v>
      </c>
      <c r="X52" s="244">
        <v>2.5791E-3</v>
      </c>
      <c r="Y52" s="244">
        <v>2.5841000000000002E-3</v>
      </c>
      <c r="Z52" s="244">
        <v>0</v>
      </c>
      <c r="AA52" s="244">
        <v>2.5791E-3</v>
      </c>
      <c r="AB52" s="244">
        <v>2.5841000000000002E-3</v>
      </c>
      <c r="AC52" s="244">
        <v>2.5815999999999999E-3</v>
      </c>
      <c r="AD52" s="244">
        <v>0.99999552349726761</v>
      </c>
      <c r="AE52" s="244">
        <v>1</v>
      </c>
      <c r="AF52" s="244">
        <v>1</v>
      </c>
      <c r="AG52" s="244">
        <v>1</v>
      </c>
      <c r="AH52" s="244">
        <v>7.0000000000000007E-2</v>
      </c>
      <c r="AI52" s="244">
        <v>7.0000000000000007E-2</v>
      </c>
      <c r="AJ52" s="123"/>
      <c r="AK52" s="123"/>
      <c r="AL52" s="123"/>
      <c r="AM52" s="123"/>
      <c r="AN52" s="123"/>
      <c r="AO52" s="123"/>
      <c r="AP52" s="123"/>
      <c r="AQ52" s="132"/>
      <c r="AR52" s="132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32"/>
      <c r="BH52" s="132"/>
      <c r="BI52" s="132"/>
      <c r="BJ52" s="132"/>
      <c r="BK52" s="132"/>
      <c r="BL52" s="132"/>
      <c r="BM52" s="132"/>
      <c r="BN52" s="132"/>
    </row>
    <row r="53" spans="1:66">
      <c r="A53" s="132">
        <v>10142</v>
      </c>
      <c r="B53" s="132" t="s">
        <v>57</v>
      </c>
      <c r="C53" s="244">
        <v>1</v>
      </c>
      <c r="D53" s="244">
        <v>0</v>
      </c>
      <c r="E53" s="244">
        <v>2.7269999999999999</v>
      </c>
      <c r="F53" s="244">
        <v>3.2290000000000001</v>
      </c>
      <c r="G53" s="244">
        <v>3.2429999999999999</v>
      </c>
      <c r="H53" s="244">
        <v>0</v>
      </c>
      <c r="I53" s="244">
        <v>0</v>
      </c>
      <c r="J53" s="244">
        <v>0</v>
      </c>
      <c r="K53" s="244">
        <v>0</v>
      </c>
      <c r="L53" s="244">
        <v>0</v>
      </c>
      <c r="M53" s="244">
        <v>0</v>
      </c>
      <c r="N53" s="244">
        <v>2.9369999999999998</v>
      </c>
      <c r="O53" s="244">
        <v>2.944</v>
      </c>
      <c r="P53" s="244">
        <v>25798.608</v>
      </c>
      <c r="Q53" s="244">
        <v>25789.439999999999</v>
      </c>
      <c r="R53" s="244">
        <v>2.673</v>
      </c>
      <c r="S53" s="244">
        <v>23479.632000000001</v>
      </c>
      <c r="T53" s="244">
        <v>0.26400000000000001</v>
      </c>
      <c r="U53" s="244">
        <v>0.27100000000000002</v>
      </c>
      <c r="V53" s="244">
        <v>0</v>
      </c>
      <c r="W53" s="244">
        <v>0</v>
      </c>
      <c r="X53" s="244">
        <v>3.8049999999999998E-4</v>
      </c>
      <c r="Y53" s="244">
        <v>3.8049999999999998E-4</v>
      </c>
      <c r="Z53" s="244">
        <v>0</v>
      </c>
      <c r="AA53" s="244">
        <v>3.8049999999999998E-4</v>
      </c>
      <c r="AB53" s="244">
        <v>3.8049999999999998E-4</v>
      </c>
      <c r="AC53" s="244">
        <v>3.8049999999999998E-4</v>
      </c>
      <c r="AD53" s="244">
        <v>0.91005339325842693</v>
      </c>
      <c r="AE53" s="244">
        <v>0.90788954347826079</v>
      </c>
      <c r="AF53" s="244">
        <v>1.0987654320987654</v>
      </c>
      <c r="AG53" s="244">
        <v>1.1013842124953235</v>
      </c>
      <c r="AH53" s="244">
        <v>3.2962962962962965E-2</v>
      </c>
      <c r="AI53" s="244">
        <v>3.3041526374859707E-2</v>
      </c>
      <c r="AJ53" s="123"/>
      <c r="AK53" s="123"/>
      <c r="AL53" s="123"/>
      <c r="AM53" s="123"/>
      <c r="AN53" s="123"/>
      <c r="AO53" s="123"/>
      <c r="AP53" s="123"/>
      <c r="AQ53" s="132"/>
      <c r="AR53" s="132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32"/>
      <c r="BH53" s="132"/>
      <c r="BI53" s="132"/>
      <c r="BJ53" s="132"/>
      <c r="BK53" s="132"/>
      <c r="BL53" s="132"/>
      <c r="BM53" s="132"/>
      <c r="BN53" s="132"/>
    </row>
    <row r="54" spans="1:66">
      <c r="A54" s="132">
        <v>10144</v>
      </c>
      <c r="B54" s="132" t="s">
        <v>58</v>
      </c>
      <c r="C54" s="244">
        <v>1</v>
      </c>
      <c r="D54" s="244">
        <v>0</v>
      </c>
      <c r="E54" s="244">
        <v>3.4180000000000001</v>
      </c>
      <c r="F54" s="244">
        <v>3.286</v>
      </c>
      <c r="G54" s="244">
        <v>3.2989999999999999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3.3809999999999998</v>
      </c>
      <c r="O54" s="244">
        <v>3.4</v>
      </c>
      <c r="P54" s="244">
        <v>29698.703999999998</v>
      </c>
      <c r="Q54" s="244">
        <v>29784</v>
      </c>
      <c r="R54" s="244">
        <v>3.35</v>
      </c>
      <c r="S54" s="244">
        <v>29426.400000000001</v>
      </c>
      <c r="T54" s="244">
        <v>3.1E-2</v>
      </c>
      <c r="U54" s="244">
        <v>0.05</v>
      </c>
      <c r="V54" s="244">
        <v>0</v>
      </c>
      <c r="W54" s="244">
        <v>0</v>
      </c>
      <c r="X54" s="244">
        <v>4.7689999999999999E-4</v>
      </c>
      <c r="Y54" s="244">
        <v>4.7689999999999999E-4</v>
      </c>
      <c r="Z54" s="244">
        <v>0</v>
      </c>
      <c r="AA54" s="244">
        <v>4.7689999999999999E-4</v>
      </c>
      <c r="AB54" s="244">
        <v>4.7689999999999999E-4</v>
      </c>
      <c r="AC54" s="244">
        <v>4.7689999999999999E-4</v>
      </c>
      <c r="AD54" s="244">
        <v>0.99082809015084294</v>
      </c>
      <c r="AE54" s="244">
        <v>0.98529110964705879</v>
      </c>
      <c r="AF54" s="244">
        <v>1.0092537313432834</v>
      </c>
      <c r="AG54" s="244">
        <v>1.0149253731343284</v>
      </c>
      <c r="AH54" s="244">
        <v>0</v>
      </c>
      <c r="AI54" s="244">
        <v>0</v>
      </c>
      <c r="AJ54" s="123"/>
      <c r="AK54" s="123"/>
      <c r="AL54" s="123"/>
      <c r="AM54" s="123"/>
      <c r="AN54" s="123"/>
      <c r="AO54" s="123"/>
      <c r="AP54" s="123"/>
      <c r="AQ54" s="132"/>
      <c r="AR54" s="132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32"/>
      <c r="BH54" s="132"/>
      <c r="BI54" s="132"/>
      <c r="BJ54" s="132"/>
      <c r="BK54" s="132"/>
      <c r="BL54" s="132"/>
      <c r="BM54" s="132"/>
      <c r="BN54" s="132"/>
    </row>
    <row r="55" spans="1:66">
      <c r="A55" s="132">
        <v>10156</v>
      </c>
      <c r="B55" s="132" t="s">
        <v>59</v>
      </c>
      <c r="C55" s="244">
        <v>1</v>
      </c>
      <c r="D55" s="244">
        <v>0</v>
      </c>
      <c r="E55" s="244">
        <v>32.719000000000001</v>
      </c>
      <c r="F55" s="244">
        <v>32.408000000000001</v>
      </c>
      <c r="G55" s="244">
        <v>32.6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32.155000000000001</v>
      </c>
      <c r="O55" s="244">
        <v>32.411000000000001</v>
      </c>
      <c r="P55" s="244">
        <v>282449.52</v>
      </c>
      <c r="Q55" s="244">
        <v>283920.36</v>
      </c>
      <c r="R55" s="244">
        <v>32.067</v>
      </c>
      <c r="S55" s="244">
        <v>281676.52799999999</v>
      </c>
      <c r="T55" s="244">
        <v>8.7999999999999995E-2</v>
      </c>
      <c r="U55" s="244">
        <v>0.34399999999999997</v>
      </c>
      <c r="V55" s="244">
        <v>0</v>
      </c>
      <c r="W55" s="244">
        <v>0</v>
      </c>
      <c r="X55" s="244">
        <v>4.5649999999999996E-3</v>
      </c>
      <c r="Y55" s="244">
        <v>4.5649999999999996E-3</v>
      </c>
      <c r="Z55" s="244">
        <v>0</v>
      </c>
      <c r="AA55" s="244">
        <v>4.5649999999999996E-3</v>
      </c>
      <c r="AB55" s="244">
        <v>4.5649999999999996E-3</v>
      </c>
      <c r="AC55" s="244">
        <v>4.5649999999999996E-3</v>
      </c>
      <c r="AD55" s="244">
        <v>0.99726006157673763</v>
      </c>
      <c r="AE55" s="244">
        <v>0.98938315016506739</v>
      </c>
      <c r="AF55" s="244">
        <v>1.0027442542177316</v>
      </c>
      <c r="AG55" s="244">
        <v>1.0107275392147692</v>
      </c>
      <c r="AH55" s="244">
        <v>0</v>
      </c>
      <c r="AI55" s="244">
        <v>0</v>
      </c>
      <c r="AJ55" s="123"/>
      <c r="AK55" s="123"/>
      <c r="AL55" s="123"/>
      <c r="AM55" s="123"/>
      <c r="AN55" s="123"/>
      <c r="AO55" s="123"/>
      <c r="AP55" s="123"/>
      <c r="AQ55" s="132"/>
      <c r="AR55" s="132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32"/>
      <c r="BH55" s="132"/>
      <c r="BI55" s="132"/>
      <c r="BJ55" s="132"/>
      <c r="BK55" s="132"/>
      <c r="BL55" s="132"/>
      <c r="BM55" s="132"/>
      <c r="BN55" s="132"/>
    </row>
    <row r="56" spans="1:66">
      <c r="A56" s="132">
        <v>10157</v>
      </c>
      <c r="B56" s="132" t="s">
        <v>60</v>
      </c>
      <c r="C56" s="244">
        <v>1</v>
      </c>
      <c r="D56" s="244">
        <v>0</v>
      </c>
      <c r="E56" s="244">
        <v>50.703000000000003</v>
      </c>
      <c r="F56" s="244">
        <v>90.875</v>
      </c>
      <c r="G56" s="244">
        <v>91.301000000000002</v>
      </c>
      <c r="H56" s="244">
        <v>38.362000000000002</v>
      </c>
      <c r="I56" s="244">
        <v>38.466999999999999</v>
      </c>
      <c r="J56" s="244">
        <v>2.5419999999999998</v>
      </c>
      <c r="K56" s="244">
        <v>2.5489999999999999</v>
      </c>
      <c r="L56" s="244">
        <v>22328.928</v>
      </c>
      <c r="M56" s="244">
        <v>22329.239999999998</v>
      </c>
      <c r="N56" s="244">
        <v>49.970999999999997</v>
      </c>
      <c r="O56" s="244">
        <v>50.284999999999997</v>
      </c>
      <c r="P56" s="244">
        <v>438945.26399999997</v>
      </c>
      <c r="Q56" s="244">
        <v>440496.6</v>
      </c>
      <c r="R56" s="244">
        <v>49.692999999999998</v>
      </c>
      <c r="S56" s="244">
        <v>436503.31199999998</v>
      </c>
      <c r="T56" s="244">
        <v>2.488</v>
      </c>
      <c r="U56" s="244">
        <v>2.9119999999999999</v>
      </c>
      <c r="V56" s="244">
        <v>2.488</v>
      </c>
      <c r="W56" s="244">
        <v>2.9119999999999999</v>
      </c>
      <c r="X56" s="244">
        <v>7.0742000000000001E-3</v>
      </c>
      <c r="Y56" s="244">
        <v>7.0742000000000001E-3</v>
      </c>
      <c r="Z56" s="244">
        <v>3.6979999999999999E-3</v>
      </c>
      <c r="AA56" s="244">
        <v>3.3762000000000002E-3</v>
      </c>
      <c r="AB56" s="244">
        <v>3.3762000000000002E-3</v>
      </c>
      <c r="AC56" s="244">
        <v>3.3762000000000002E-3</v>
      </c>
      <c r="AD56" s="244">
        <v>0.95453769875207828</v>
      </c>
      <c r="AE56" s="244">
        <v>0.94719880317656024</v>
      </c>
      <c r="AF56" s="244">
        <v>1.005594349304731</v>
      </c>
      <c r="AG56" s="244">
        <v>1.0119131467208662</v>
      </c>
      <c r="AH56" s="244">
        <v>5.0279717465236545E-2</v>
      </c>
      <c r="AI56" s="244">
        <v>5.0595657336043307E-2</v>
      </c>
      <c r="AJ56" s="123"/>
      <c r="AK56" s="123"/>
      <c r="AL56" s="123"/>
      <c r="AM56" s="123"/>
      <c r="AN56" s="123"/>
      <c r="AO56" s="123"/>
      <c r="AP56" s="123"/>
      <c r="AQ56" s="132"/>
      <c r="AR56" s="132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32"/>
      <c r="BH56" s="132"/>
      <c r="BI56" s="132"/>
      <c r="BJ56" s="132"/>
      <c r="BK56" s="132"/>
      <c r="BL56" s="132"/>
      <c r="BM56" s="132"/>
      <c r="BN56" s="132"/>
    </row>
    <row r="57" spans="1:66">
      <c r="A57" s="132">
        <v>10158</v>
      </c>
      <c r="B57" s="132" t="s">
        <v>61</v>
      </c>
      <c r="C57" s="244">
        <v>1</v>
      </c>
      <c r="D57" s="244">
        <v>0</v>
      </c>
      <c r="E57" s="244">
        <v>2.8330000000000002</v>
      </c>
      <c r="F57" s="244">
        <v>2.262</v>
      </c>
      <c r="G57" s="244">
        <v>2.2679999999999998</v>
      </c>
      <c r="H57" s="244">
        <v>0</v>
      </c>
      <c r="I57" s="244">
        <v>0</v>
      </c>
      <c r="J57" s="244">
        <v>0</v>
      </c>
      <c r="K57" s="244">
        <v>0</v>
      </c>
      <c r="L57" s="244">
        <v>0</v>
      </c>
      <c r="M57" s="244">
        <v>0</v>
      </c>
      <c r="N57" s="244">
        <v>2.4159999999999999</v>
      </c>
      <c r="O57" s="244">
        <v>2.4140000000000001</v>
      </c>
      <c r="P57" s="244">
        <v>21222.144</v>
      </c>
      <c r="Q57" s="244">
        <v>21146.640000000003</v>
      </c>
      <c r="R57" s="244">
        <v>2.7770000000000001</v>
      </c>
      <c r="S57" s="244">
        <v>24393.168000000001</v>
      </c>
      <c r="T57" s="244">
        <v>0</v>
      </c>
      <c r="U57" s="244">
        <v>0</v>
      </c>
      <c r="V57" s="244">
        <v>0</v>
      </c>
      <c r="W57" s="244">
        <v>0</v>
      </c>
      <c r="X57" s="244">
        <v>3.4390000000000001E-4</v>
      </c>
      <c r="Y57" s="244">
        <v>3.4370000000000001E-4</v>
      </c>
      <c r="Z57" s="244">
        <v>0</v>
      </c>
      <c r="AA57" s="244">
        <v>3.4390000000000001E-4</v>
      </c>
      <c r="AB57" s="244">
        <v>3.4370000000000001E-4</v>
      </c>
      <c r="AC57" s="244">
        <v>3.4380000000000001E-4</v>
      </c>
      <c r="AD57" s="244">
        <v>0.99988811125827814</v>
      </c>
      <c r="AE57" s="244">
        <v>1</v>
      </c>
      <c r="AF57" s="244">
        <v>1</v>
      </c>
      <c r="AG57" s="244">
        <v>1</v>
      </c>
      <c r="AH57" s="244">
        <v>0</v>
      </c>
      <c r="AI57" s="244">
        <v>0</v>
      </c>
      <c r="AJ57" s="123"/>
      <c r="AK57" s="123"/>
      <c r="AL57" s="123"/>
      <c r="AM57" s="123"/>
      <c r="AN57" s="123"/>
      <c r="AO57" s="123"/>
      <c r="AP57" s="123"/>
      <c r="AQ57" s="132"/>
      <c r="AR57" s="132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32"/>
      <c r="BH57" s="132"/>
      <c r="BI57" s="132"/>
      <c r="BJ57" s="132"/>
      <c r="BK57" s="132"/>
      <c r="BL57" s="132"/>
      <c r="BM57" s="132"/>
      <c r="BN57" s="132"/>
    </row>
    <row r="58" spans="1:66">
      <c r="A58" s="132">
        <v>10170</v>
      </c>
      <c r="B58" s="132" t="s">
        <v>62</v>
      </c>
      <c r="C58" s="244">
        <v>1</v>
      </c>
      <c r="D58" s="244">
        <v>0</v>
      </c>
      <c r="E58" s="244">
        <v>254.84299999999999</v>
      </c>
      <c r="F58" s="244">
        <v>269.63200000000001</v>
      </c>
      <c r="G58" s="244">
        <v>271.47500000000002</v>
      </c>
      <c r="H58" s="244">
        <v>0.997</v>
      </c>
      <c r="I58" s="244">
        <v>1</v>
      </c>
      <c r="J58" s="244">
        <v>42.274000000000001</v>
      </c>
      <c r="K58" s="244">
        <v>42.39</v>
      </c>
      <c r="L58" s="244">
        <v>371334.81599999999</v>
      </c>
      <c r="M58" s="244">
        <v>371336.4</v>
      </c>
      <c r="N58" s="244">
        <v>226.36099999999999</v>
      </c>
      <c r="O58" s="244">
        <v>228.08500000000001</v>
      </c>
      <c r="P58" s="244">
        <v>1988355.024</v>
      </c>
      <c r="Q58" s="244">
        <v>1998024.6</v>
      </c>
      <c r="R58" s="244">
        <v>249.768</v>
      </c>
      <c r="S58" s="244">
        <v>2193962.1120000002</v>
      </c>
      <c r="T58" s="244">
        <v>0</v>
      </c>
      <c r="U58" s="244">
        <v>0</v>
      </c>
      <c r="V58" s="244">
        <v>0</v>
      </c>
      <c r="W58" s="244">
        <v>0</v>
      </c>
      <c r="X58" s="244">
        <v>3.22244E-2</v>
      </c>
      <c r="Y58" s="244">
        <v>3.2469900000000003E-2</v>
      </c>
      <c r="Z58" s="244">
        <v>1.7933600000000001E-2</v>
      </c>
      <c r="AA58" s="244">
        <v>1.4290799999999999E-2</v>
      </c>
      <c r="AB58" s="244">
        <v>1.4536300000000002E-2</v>
      </c>
      <c r="AC58" s="244">
        <v>1.4413550000000001E-2</v>
      </c>
      <c r="AD58" s="244">
        <v>1</v>
      </c>
      <c r="AE58" s="244">
        <v>1</v>
      </c>
      <c r="AF58" s="244">
        <v>1</v>
      </c>
      <c r="AG58" s="244">
        <v>1</v>
      </c>
      <c r="AH58" s="244">
        <v>0</v>
      </c>
      <c r="AI58" s="244">
        <v>0</v>
      </c>
      <c r="AJ58" s="123"/>
      <c r="AK58" s="123"/>
      <c r="AL58" s="123"/>
      <c r="AM58" s="123"/>
      <c r="AN58" s="123"/>
      <c r="AO58" s="123"/>
      <c r="AP58" s="123"/>
      <c r="AQ58" s="132"/>
      <c r="AR58" s="132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32"/>
      <c r="BH58" s="132"/>
      <c r="BI58" s="132"/>
      <c r="BJ58" s="132"/>
      <c r="BK58" s="132"/>
      <c r="BL58" s="132"/>
      <c r="BM58" s="132"/>
      <c r="BN58" s="132"/>
    </row>
    <row r="59" spans="1:66">
      <c r="A59" s="132">
        <v>10172</v>
      </c>
      <c r="B59" s="132" t="s">
        <v>63</v>
      </c>
      <c r="C59" s="244">
        <v>1</v>
      </c>
      <c r="D59" s="244">
        <v>0</v>
      </c>
      <c r="E59" s="244">
        <v>6.1929999999999996</v>
      </c>
      <c r="F59" s="244">
        <v>5.2480000000000002</v>
      </c>
      <c r="G59" s="244">
        <v>5.2759999999999998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5.4</v>
      </c>
      <c r="O59" s="244">
        <v>5.4279999999999999</v>
      </c>
      <c r="P59" s="244">
        <v>47433.600000000006</v>
      </c>
      <c r="Q59" s="244">
        <v>47549.279999999999</v>
      </c>
      <c r="R59" s="244">
        <v>6.07</v>
      </c>
      <c r="S59" s="244">
        <v>53318.880000000005</v>
      </c>
      <c r="T59" s="244">
        <v>0</v>
      </c>
      <c r="U59" s="244">
        <v>0</v>
      </c>
      <c r="V59" s="244">
        <v>0</v>
      </c>
      <c r="W59" s="244">
        <v>0</v>
      </c>
      <c r="X59" s="244">
        <v>7.6869999999999998E-4</v>
      </c>
      <c r="Y59" s="244">
        <v>7.7269999999999997E-4</v>
      </c>
      <c r="Z59" s="244">
        <v>0</v>
      </c>
      <c r="AA59" s="244">
        <v>7.6869999999999998E-4</v>
      </c>
      <c r="AB59" s="244">
        <v>7.7269999999999997E-4</v>
      </c>
      <c r="AC59" s="244">
        <v>7.7070000000000003E-4</v>
      </c>
      <c r="AD59" s="244">
        <v>0.99995229155555543</v>
      </c>
      <c r="AE59" s="244">
        <v>0.99997060103168744</v>
      </c>
      <c r="AF59" s="244">
        <v>1</v>
      </c>
      <c r="AG59" s="244">
        <v>1</v>
      </c>
      <c r="AH59" s="244">
        <v>0</v>
      </c>
      <c r="AI59" s="244">
        <v>0</v>
      </c>
      <c r="AJ59" s="123"/>
      <c r="AK59" s="123"/>
      <c r="AL59" s="123"/>
      <c r="AM59" s="123"/>
      <c r="AN59" s="123"/>
      <c r="AO59" s="123"/>
      <c r="AP59" s="123"/>
      <c r="AQ59" s="132"/>
      <c r="AR59" s="132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32"/>
      <c r="BH59" s="132"/>
      <c r="BI59" s="132"/>
      <c r="BJ59" s="132"/>
      <c r="BK59" s="132"/>
      <c r="BL59" s="132"/>
      <c r="BM59" s="132"/>
      <c r="BN59" s="132"/>
    </row>
    <row r="60" spans="1:66">
      <c r="A60" s="132">
        <v>10173</v>
      </c>
      <c r="B60" s="132" t="s">
        <v>64</v>
      </c>
      <c r="C60" s="244">
        <v>0</v>
      </c>
      <c r="D60" s="244">
        <v>1</v>
      </c>
      <c r="E60" s="244">
        <v>33.624000000000002</v>
      </c>
      <c r="F60" s="244">
        <v>40.945</v>
      </c>
      <c r="G60" s="244">
        <v>41.656999999999996</v>
      </c>
      <c r="H60" s="244">
        <v>0</v>
      </c>
      <c r="I60" s="244">
        <v>0</v>
      </c>
      <c r="J60" s="244">
        <v>2.0880000000000001</v>
      </c>
      <c r="K60" s="244">
        <v>2.0939999999999999</v>
      </c>
      <c r="L60" s="244">
        <v>18340.992000000002</v>
      </c>
      <c r="M60" s="244">
        <v>18343.439999999999</v>
      </c>
      <c r="N60" s="244">
        <v>36.72</v>
      </c>
      <c r="O60" s="244">
        <v>37.222999999999999</v>
      </c>
      <c r="P60" s="244">
        <v>322548.47999999998</v>
      </c>
      <c r="Q60" s="244">
        <v>326073.48</v>
      </c>
      <c r="R60" s="244">
        <v>32.954000000000001</v>
      </c>
      <c r="S60" s="244">
        <v>289467.93599999999</v>
      </c>
      <c r="T60" s="244">
        <v>3.766</v>
      </c>
      <c r="U60" s="244">
        <v>4.2690000000000001</v>
      </c>
      <c r="V60" s="244">
        <v>3.766</v>
      </c>
      <c r="W60" s="244">
        <v>4.2690000000000001</v>
      </c>
      <c r="X60" s="244">
        <v>4.6912999999999998E-3</v>
      </c>
      <c r="Y60" s="244">
        <v>4.6912999999999998E-3</v>
      </c>
      <c r="Z60" s="244">
        <v>0</v>
      </c>
      <c r="AA60" s="244">
        <v>4.6912999999999998E-3</v>
      </c>
      <c r="AB60" s="244">
        <v>4.6912999999999998E-3</v>
      </c>
      <c r="AC60" s="244">
        <v>4.6912999999999998E-3</v>
      </c>
      <c r="AD60" s="244">
        <v>0.90296555386755994</v>
      </c>
      <c r="AE60" s="244">
        <v>0.89142338290306988</v>
      </c>
      <c r="AF60" s="244">
        <v>1.1142805122291679</v>
      </c>
      <c r="AG60" s="244">
        <v>1.1295442131455968</v>
      </c>
      <c r="AH60" s="244">
        <v>7.7999635856041763E-2</v>
      </c>
      <c r="AI60" s="244">
        <v>7.9068094920191789E-2</v>
      </c>
      <c r="AJ60" s="123"/>
      <c r="AK60" s="123"/>
      <c r="AL60" s="123"/>
      <c r="AM60" s="123"/>
      <c r="AN60" s="123"/>
      <c r="AO60" s="123"/>
      <c r="AP60" s="123"/>
      <c r="AQ60" s="132"/>
      <c r="AR60" s="132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32"/>
      <c r="BH60" s="132"/>
      <c r="BI60" s="132"/>
      <c r="BJ60" s="132"/>
      <c r="BK60" s="132"/>
      <c r="BL60" s="132"/>
      <c r="BM60" s="132"/>
      <c r="BN60" s="132"/>
    </row>
    <row r="61" spans="1:66">
      <c r="A61" s="132">
        <v>10174</v>
      </c>
      <c r="B61" s="132" t="s">
        <v>65</v>
      </c>
      <c r="C61" s="244">
        <v>1</v>
      </c>
      <c r="D61" s="244">
        <v>0</v>
      </c>
      <c r="E61" s="244">
        <v>0.51500000000000001</v>
      </c>
      <c r="F61" s="244">
        <v>0.49099999999999999</v>
      </c>
      <c r="G61" s="244">
        <v>0.49299999999999999</v>
      </c>
      <c r="H61" s="244">
        <v>0</v>
      </c>
      <c r="I61" s="244">
        <v>0</v>
      </c>
      <c r="J61" s="244">
        <v>0</v>
      </c>
      <c r="K61" s="244">
        <v>0</v>
      </c>
      <c r="L61" s="244">
        <v>0</v>
      </c>
      <c r="M61" s="244">
        <v>0</v>
      </c>
      <c r="N61" s="244">
        <v>0.497</v>
      </c>
      <c r="O61" s="244">
        <v>0.496</v>
      </c>
      <c r="P61" s="244">
        <v>4365.6480000000001</v>
      </c>
      <c r="Q61" s="244">
        <v>4344.96</v>
      </c>
      <c r="R61" s="244">
        <v>0.505</v>
      </c>
      <c r="S61" s="244">
        <v>4435.92</v>
      </c>
      <c r="T61" s="244">
        <v>0</v>
      </c>
      <c r="U61" s="244">
        <v>0</v>
      </c>
      <c r="V61" s="244">
        <v>0</v>
      </c>
      <c r="W61" s="244">
        <v>0</v>
      </c>
      <c r="X61" s="244">
        <v>7.08E-5</v>
      </c>
      <c r="Y61" s="244">
        <v>7.0599999999999995E-5</v>
      </c>
      <c r="Z61" s="244">
        <v>0</v>
      </c>
      <c r="AA61" s="244">
        <v>7.08E-5</v>
      </c>
      <c r="AB61" s="244">
        <v>7.0599999999999995E-5</v>
      </c>
      <c r="AC61" s="244">
        <v>7.0699999999999997E-5</v>
      </c>
      <c r="AD61" s="244">
        <v>1</v>
      </c>
      <c r="AE61" s="244">
        <v>0.99985997419354833</v>
      </c>
      <c r="AF61" s="244">
        <v>1</v>
      </c>
      <c r="AG61" s="244">
        <v>1</v>
      </c>
      <c r="AH61" s="244">
        <v>0</v>
      </c>
      <c r="AI61" s="244">
        <v>0</v>
      </c>
      <c r="AJ61" s="123"/>
      <c r="AK61" s="123"/>
      <c r="AL61" s="123"/>
      <c r="AM61" s="123"/>
      <c r="AN61" s="123"/>
      <c r="AO61" s="123"/>
      <c r="AP61" s="123"/>
      <c r="AQ61" s="132"/>
      <c r="AR61" s="132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32"/>
      <c r="BH61" s="132"/>
      <c r="BI61" s="132"/>
      <c r="BJ61" s="132"/>
      <c r="BK61" s="132"/>
      <c r="BL61" s="132"/>
      <c r="BM61" s="132"/>
      <c r="BN61" s="132"/>
    </row>
    <row r="62" spans="1:66">
      <c r="A62" s="132">
        <v>10177</v>
      </c>
      <c r="B62" s="132" t="s">
        <v>66</v>
      </c>
      <c r="C62" s="244">
        <v>1</v>
      </c>
      <c r="D62" s="244">
        <v>0</v>
      </c>
      <c r="E62" s="244">
        <v>11.839</v>
      </c>
      <c r="F62" s="244">
        <v>8.2249999999999996</v>
      </c>
      <c r="G62" s="244">
        <v>8.2639999999999993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9.1950000000000003</v>
      </c>
      <c r="O62" s="244">
        <v>9.2420000000000009</v>
      </c>
      <c r="P62" s="244">
        <v>80768.88</v>
      </c>
      <c r="Q62" s="244">
        <v>80959.920000000013</v>
      </c>
      <c r="R62" s="244">
        <v>11.603</v>
      </c>
      <c r="S62" s="244">
        <v>101920.75199999999</v>
      </c>
      <c r="T62" s="244">
        <v>0</v>
      </c>
      <c r="U62" s="244">
        <v>0</v>
      </c>
      <c r="V62" s="244">
        <v>0</v>
      </c>
      <c r="W62" s="244">
        <v>0</v>
      </c>
      <c r="X62" s="244">
        <v>1.3090000000000001E-3</v>
      </c>
      <c r="Y62" s="244">
        <v>1.3156999999999999E-3</v>
      </c>
      <c r="Z62" s="244">
        <v>0</v>
      </c>
      <c r="AA62" s="244">
        <v>1.3090000000000001E-3</v>
      </c>
      <c r="AB62" s="244">
        <v>1.3156999999999999E-3</v>
      </c>
      <c r="AC62" s="244">
        <v>1.3123499999999999E-3</v>
      </c>
      <c r="AD62" s="244">
        <v>1</v>
      </c>
      <c r="AE62" s="244">
        <v>1</v>
      </c>
      <c r="AF62" s="244">
        <v>1</v>
      </c>
      <c r="AG62" s="244">
        <v>1</v>
      </c>
      <c r="AH62" s="244">
        <v>7.0000000000000007E-2</v>
      </c>
      <c r="AI62" s="244">
        <v>7.0000000000000007E-2</v>
      </c>
      <c r="AJ62" s="123"/>
      <c r="AK62" s="123"/>
      <c r="AL62" s="123"/>
      <c r="AM62" s="123"/>
      <c r="AN62" s="123"/>
      <c r="AO62" s="123"/>
      <c r="AP62" s="123"/>
      <c r="AQ62" s="132"/>
      <c r="AR62" s="132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32"/>
      <c r="BH62" s="132"/>
      <c r="BI62" s="132"/>
      <c r="BJ62" s="132"/>
      <c r="BK62" s="132"/>
      <c r="BL62" s="132"/>
      <c r="BM62" s="132"/>
      <c r="BN62" s="132"/>
    </row>
    <row r="63" spans="1:66">
      <c r="A63" s="132">
        <v>10179</v>
      </c>
      <c r="B63" s="132" t="s">
        <v>67</v>
      </c>
      <c r="C63" s="244">
        <v>1</v>
      </c>
      <c r="D63" s="244">
        <v>0</v>
      </c>
      <c r="E63" s="244">
        <v>169.31100000000001</v>
      </c>
      <c r="F63" s="244">
        <v>187.60599999999999</v>
      </c>
      <c r="G63" s="244">
        <v>190.18899999999999</v>
      </c>
      <c r="H63" s="244">
        <v>0</v>
      </c>
      <c r="I63" s="244">
        <v>0</v>
      </c>
      <c r="J63" s="244">
        <v>9.3789999999999996</v>
      </c>
      <c r="K63" s="244">
        <v>9.4039999999999999</v>
      </c>
      <c r="L63" s="244">
        <v>82385.135999999999</v>
      </c>
      <c r="M63" s="244">
        <v>82379.039999999994</v>
      </c>
      <c r="N63" s="244">
        <v>182.358</v>
      </c>
      <c r="O63" s="244">
        <v>185.02</v>
      </c>
      <c r="P63" s="244">
        <v>1601832.672</v>
      </c>
      <c r="Q63" s="244">
        <v>1620775.2000000002</v>
      </c>
      <c r="R63" s="244">
        <v>165.93899999999999</v>
      </c>
      <c r="S63" s="244">
        <v>1457608.176</v>
      </c>
      <c r="T63" s="244">
        <v>6.4189999999999996</v>
      </c>
      <c r="U63" s="244">
        <v>9.0809999999999995</v>
      </c>
      <c r="V63" s="244">
        <v>6.4189999999999996</v>
      </c>
      <c r="W63" s="244">
        <v>9.0809999999999995</v>
      </c>
      <c r="X63" s="244">
        <v>2.3622799999999999E-2</v>
      </c>
      <c r="Y63" s="244">
        <v>2.3622799999999999E-2</v>
      </c>
      <c r="Z63" s="244">
        <v>0</v>
      </c>
      <c r="AA63" s="244">
        <v>2.3622799999999999E-2</v>
      </c>
      <c r="AB63" s="244">
        <v>2.3622799999999999E-2</v>
      </c>
      <c r="AC63" s="244">
        <v>2.3622799999999999E-2</v>
      </c>
      <c r="AD63" s="244">
        <v>0.90996085761853052</v>
      </c>
      <c r="AE63" s="244">
        <v>0.89686867405469672</v>
      </c>
      <c r="AF63" s="244">
        <v>1.0989459982282648</v>
      </c>
      <c r="AG63" s="244">
        <v>1.1149880377729167</v>
      </c>
      <c r="AH63" s="244">
        <v>0</v>
      </c>
      <c r="AI63" s="244">
        <v>0</v>
      </c>
      <c r="AJ63" s="123"/>
      <c r="AK63" s="123"/>
      <c r="AL63" s="123"/>
      <c r="AM63" s="123"/>
      <c r="AN63" s="123"/>
      <c r="AO63" s="123"/>
      <c r="AP63" s="123"/>
      <c r="AQ63" s="132"/>
      <c r="AR63" s="132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32"/>
      <c r="BH63" s="132"/>
      <c r="BI63" s="132"/>
      <c r="BJ63" s="132"/>
      <c r="BK63" s="132"/>
      <c r="BL63" s="132"/>
      <c r="BM63" s="132"/>
      <c r="BN63" s="132"/>
    </row>
    <row r="64" spans="1:66">
      <c r="A64" s="132">
        <v>10183</v>
      </c>
      <c r="B64" s="132" t="s">
        <v>68</v>
      </c>
      <c r="C64" s="244">
        <v>1</v>
      </c>
      <c r="D64" s="244">
        <v>0</v>
      </c>
      <c r="E64" s="244">
        <v>119.102</v>
      </c>
      <c r="F64" s="244">
        <v>123.929</v>
      </c>
      <c r="G64" s="244">
        <v>124.761</v>
      </c>
      <c r="H64" s="244">
        <v>0</v>
      </c>
      <c r="I64" s="244">
        <v>0</v>
      </c>
      <c r="J64" s="244">
        <v>0.68700000000000006</v>
      </c>
      <c r="K64" s="244">
        <v>0.68899999999999995</v>
      </c>
      <c r="L64" s="244">
        <v>6034.6080000000002</v>
      </c>
      <c r="M64" s="244">
        <v>6035.6399999999994</v>
      </c>
      <c r="N64" s="244">
        <v>123.242</v>
      </c>
      <c r="O64" s="244">
        <v>124.072</v>
      </c>
      <c r="P64" s="244">
        <v>1082557.7280000001</v>
      </c>
      <c r="Q64" s="244">
        <v>1086870.72</v>
      </c>
      <c r="R64" s="244">
        <v>116.73</v>
      </c>
      <c r="S64" s="244">
        <v>1025356.3200000001</v>
      </c>
      <c r="T64" s="244">
        <v>6.0679999999999996</v>
      </c>
      <c r="U64" s="244">
        <v>6.8230000000000004</v>
      </c>
      <c r="V64" s="244">
        <v>6.0679999999999996</v>
      </c>
      <c r="W64" s="244">
        <v>6.8230000000000004</v>
      </c>
      <c r="X64" s="244">
        <v>1.66175E-2</v>
      </c>
      <c r="Y64" s="244">
        <v>1.66175E-2</v>
      </c>
      <c r="Z64" s="244">
        <v>7.7895000000000004E-3</v>
      </c>
      <c r="AA64" s="244">
        <v>8.827999999999999E-3</v>
      </c>
      <c r="AB64" s="244">
        <v>8.827999999999999E-3</v>
      </c>
      <c r="AC64" s="244">
        <v>8.827999999999999E-3</v>
      </c>
      <c r="AD64" s="244">
        <v>0.95085983269493946</v>
      </c>
      <c r="AE64" s="244">
        <v>0.94508160010302467</v>
      </c>
      <c r="AF64" s="244">
        <v>1.0557868585624945</v>
      </c>
      <c r="AG64" s="244">
        <v>1.0628972843313629</v>
      </c>
      <c r="AH64" s="244">
        <v>0</v>
      </c>
      <c r="AI64" s="244">
        <v>0</v>
      </c>
      <c r="AJ64" s="123"/>
      <c r="AK64" s="123"/>
      <c r="AL64" s="123"/>
      <c r="AM64" s="123"/>
      <c r="AN64" s="123"/>
      <c r="AO64" s="123"/>
      <c r="AP64" s="123"/>
      <c r="AQ64" s="132"/>
      <c r="AR64" s="132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32"/>
      <c r="BH64" s="132"/>
      <c r="BI64" s="132"/>
      <c r="BJ64" s="132"/>
      <c r="BK64" s="132"/>
      <c r="BL64" s="132"/>
      <c r="BM64" s="132"/>
      <c r="BN64" s="132"/>
    </row>
    <row r="65" spans="1:66">
      <c r="A65" s="132">
        <v>10186</v>
      </c>
      <c r="B65" s="132" t="s">
        <v>69</v>
      </c>
      <c r="C65" s="244">
        <v>1</v>
      </c>
      <c r="D65" s="244">
        <v>0</v>
      </c>
      <c r="E65" s="244">
        <v>21.635000000000002</v>
      </c>
      <c r="F65" s="244">
        <v>20.693999999999999</v>
      </c>
      <c r="G65" s="244">
        <v>20.87</v>
      </c>
      <c r="H65" s="244">
        <v>0</v>
      </c>
      <c r="I65" s="244">
        <v>0</v>
      </c>
      <c r="J65" s="244">
        <v>3.3069999999999999</v>
      </c>
      <c r="K65" s="244">
        <v>3.3159999999999998</v>
      </c>
      <c r="L65" s="244">
        <v>29048.687999999998</v>
      </c>
      <c r="M65" s="244">
        <v>29048.16</v>
      </c>
      <c r="N65" s="244">
        <v>17.808</v>
      </c>
      <c r="O65" s="244">
        <v>20.460999999999999</v>
      </c>
      <c r="P65" s="244">
        <v>156425.47200000001</v>
      </c>
      <c r="Q65" s="244">
        <v>179238.36</v>
      </c>
      <c r="R65" s="244">
        <v>21.204000000000001</v>
      </c>
      <c r="S65" s="244">
        <v>186255.93600000002</v>
      </c>
      <c r="T65" s="244">
        <v>0</v>
      </c>
      <c r="U65" s="244">
        <v>0</v>
      </c>
      <c r="V65" s="244">
        <v>0</v>
      </c>
      <c r="W65" s="244">
        <v>0</v>
      </c>
      <c r="X65" s="244">
        <v>2.5351000000000002E-3</v>
      </c>
      <c r="Y65" s="244">
        <v>2.9128000000000001E-3</v>
      </c>
      <c r="Z65" s="244">
        <v>0</v>
      </c>
      <c r="AA65" s="244">
        <v>2.5351000000000002E-3</v>
      </c>
      <c r="AB65" s="244">
        <v>2.9128000000000001E-3</v>
      </c>
      <c r="AC65" s="244">
        <v>2.7239500000000002E-3</v>
      </c>
      <c r="AD65" s="244">
        <v>0.99999244396478282</v>
      </c>
      <c r="AE65" s="244">
        <v>0.999999932062001</v>
      </c>
      <c r="AF65" s="244">
        <v>1</v>
      </c>
      <c r="AG65" s="244">
        <v>1</v>
      </c>
      <c r="AH65" s="244">
        <v>7.0000000000000007E-2</v>
      </c>
      <c r="AI65" s="244">
        <v>7.0000000000000007E-2</v>
      </c>
      <c r="AJ65" s="123"/>
      <c r="AK65" s="123"/>
      <c r="AL65" s="123"/>
      <c r="AM65" s="123"/>
      <c r="AN65" s="123"/>
      <c r="AO65" s="123"/>
      <c r="AP65" s="123"/>
      <c r="AQ65" s="132"/>
      <c r="AR65" s="132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32"/>
      <c r="BH65" s="132"/>
      <c r="BI65" s="132"/>
      <c r="BJ65" s="132"/>
      <c r="BK65" s="132"/>
      <c r="BL65" s="132"/>
      <c r="BM65" s="132"/>
      <c r="BN65" s="132"/>
    </row>
    <row r="66" spans="1:66">
      <c r="A66" s="132">
        <v>10190</v>
      </c>
      <c r="B66" s="132" t="s">
        <v>70</v>
      </c>
      <c r="C66" s="244">
        <v>1</v>
      </c>
      <c r="D66" s="244">
        <v>0</v>
      </c>
      <c r="E66" s="244">
        <v>5.2690000000000001</v>
      </c>
      <c r="F66" s="244">
        <v>6.7640000000000002</v>
      </c>
      <c r="G66" s="244">
        <v>7.415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5.44</v>
      </c>
      <c r="O66" s="244">
        <v>5.4569999999999999</v>
      </c>
      <c r="P66" s="244">
        <v>47784.960000000006</v>
      </c>
      <c r="Q66" s="244">
        <v>47803.32</v>
      </c>
      <c r="R66" s="244">
        <v>5.1639999999999997</v>
      </c>
      <c r="S66" s="244">
        <v>45360.576000000001</v>
      </c>
      <c r="T66" s="244">
        <v>0.27600000000000002</v>
      </c>
      <c r="U66" s="244">
        <v>0.29299999999999998</v>
      </c>
      <c r="V66" s="244">
        <v>0</v>
      </c>
      <c r="W66" s="244">
        <v>0</v>
      </c>
      <c r="X66" s="244">
        <v>7.3510000000000003E-4</v>
      </c>
      <c r="Y66" s="244">
        <v>7.3510000000000003E-4</v>
      </c>
      <c r="Z66" s="244">
        <v>0</v>
      </c>
      <c r="AA66" s="244">
        <v>7.3510000000000003E-4</v>
      </c>
      <c r="AB66" s="244">
        <v>7.3510000000000003E-4</v>
      </c>
      <c r="AC66" s="244">
        <v>7.3510000000000003E-4</v>
      </c>
      <c r="AD66" s="244">
        <v>0.94921300941176467</v>
      </c>
      <c r="AE66" s="244">
        <v>0.94625595953820785</v>
      </c>
      <c r="AF66" s="244">
        <v>1.0534469403563131</v>
      </c>
      <c r="AG66" s="244">
        <v>1.0567389620449263</v>
      </c>
      <c r="AH66" s="244">
        <v>0</v>
      </c>
      <c r="AI66" s="244">
        <v>0</v>
      </c>
      <c r="AJ66" s="123"/>
      <c r="AK66" s="123"/>
      <c r="AL66" s="123"/>
      <c r="AM66" s="123"/>
      <c r="AN66" s="123"/>
      <c r="AO66" s="123"/>
      <c r="AP66" s="123"/>
      <c r="AQ66" s="132"/>
      <c r="AR66" s="132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32"/>
      <c r="BH66" s="132"/>
      <c r="BI66" s="132"/>
      <c r="BJ66" s="132"/>
      <c r="BK66" s="132"/>
      <c r="BL66" s="132"/>
      <c r="BM66" s="132"/>
      <c r="BN66" s="132"/>
    </row>
    <row r="67" spans="1:66">
      <c r="A67" s="132">
        <v>10191</v>
      </c>
      <c r="B67" s="132" t="s">
        <v>71</v>
      </c>
      <c r="C67" s="244">
        <v>1</v>
      </c>
      <c r="D67" s="244">
        <v>0</v>
      </c>
      <c r="E67" s="244">
        <v>133.17400000000001</v>
      </c>
      <c r="F67" s="244">
        <v>128.84700000000001</v>
      </c>
      <c r="G67" s="244">
        <v>129.16999999999999</v>
      </c>
      <c r="H67" s="244">
        <v>0</v>
      </c>
      <c r="I67" s="244">
        <v>0</v>
      </c>
      <c r="J67" s="244">
        <v>0</v>
      </c>
      <c r="K67" s="244">
        <v>0</v>
      </c>
      <c r="L67" s="244">
        <v>0</v>
      </c>
      <c r="M67" s="244">
        <v>0</v>
      </c>
      <c r="N67" s="244">
        <v>128.84700000000001</v>
      </c>
      <c r="O67" s="244">
        <v>129.16999999999999</v>
      </c>
      <c r="P67" s="244">
        <v>1131792.0480000002</v>
      </c>
      <c r="Q67" s="244">
        <v>1131529.2</v>
      </c>
      <c r="R67" s="244">
        <v>130.52199999999999</v>
      </c>
      <c r="S67" s="244">
        <v>1146505.2479999999</v>
      </c>
      <c r="T67" s="244">
        <v>0</v>
      </c>
      <c r="U67" s="244">
        <v>0</v>
      </c>
      <c r="V67" s="244">
        <v>0</v>
      </c>
      <c r="W67" s="244">
        <v>0</v>
      </c>
      <c r="X67" s="244">
        <v>1.8342500000000001E-2</v>
      </c>
      <c r="Y67" s="244">
        <v>1.8388499999999999E-2</v>
      </c>
      <c r="Z67" s="244">
        <v>9.6827000000000007E-3</v>
      </c>
      <c r="AA67" s="244">
        <v>8.6598000000000005E-3</v>
      </c>
      <c r="AB67" s="244">
        <v>8.7057999999999979E-3</v>
      </c>
      <c r="AC67" s="244">
        <v>8.6827999999999992E-3</v>
      </c>
      <c r="AD67" s="244">
        <v>0.99999785884318992</v>
      </c>
      <c r="AE67" s="244">
        <v>0.99999947411782009</v>
      </c>
      <c r="AF67" s="244">
        <v>1</v>
      </c>
      <c r="AG67" s="244">
        <v>1</v>
      </c>
      <c r="AH67" s="244">
        <v>0</v>
      </c>
      <c r="AI67" s="244">
        <v>0</v>
      </c>
      <c r="AJ67" s="123"/>
      <c r="AK67" s="123"/>
      <c r="AL67" s="123"/>
      <c r="AM67" s="123"/>
      <c r="AN67" s="123"/>
      <c r="AO67" s="123"/>
      <c r="AP67" s="123"/>
      <c r="AQ67" s="132"/>
      <c r="AR67" s="132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32"/>
      <c r="BH67" s="132"/>
      <c r="BI67" s="132"/>
      <c r="BJ67" s="132"/>
      <c r="BK67" s="132"/>
      <c r="BL67" s="132"/>
      <c r="BM67" s="132"/>
      <c r="BN67" s="132"/>
    </row>
    <row r="68" spans="1:66">
      <c r="A68" s="132">
        <v>10197</v>
      </c>
      <c r="B68" s="132" t="s">
        <v>72</v>
      </c>
      <c r="C68" s="244">
        <v>1</v>
      </c>
      <c r="D68" s="244">
        <v>0</v>
      </c>
      <c r="E68" s="244">
        <v>23.091999999999999</v>
      </c>
      <c r="F68" s="244">
        <v>26.506</v>
      </c>
      <c r="G68" s="244">
        <v>26.556999999999999</v>
      </c>
      <c r="H68" s="244">
        <v>0</v>
      </c>
      <c r="I68" s="244">
        <v>0</v>
      </c>
      <c r="J68" s="244">
        <v>0</v>
      </c>
      <c r="K68" s="244">
        <v>0</v>
      </c>
      <c r="L68" s="244">
        <v>0</v>
      </c>
      <c r="M68" s="244">
        <v>0</v>
      </c>
      <c r="N68" s="244">
        <v>25.149000000000001</v>
      </c>
      <c r="O68" s="244">
        <v>25.195</v>
      </c>
      <c r="P68" s="244">
        <v>220908.81600000002</v>
      </c>
      <c r="Q68" s="244">
        <v>220708.2</v>
      </c>
      <c r="R68" s="244">
        <v>22.632000000000001</v>
      </c>
      <c r="S68" s="244">
        <v>198799.48800000001</v>
      </c>
      <c r="T68" s="244">
        <v>2.5169999999999999</v>
      </c>
      <c r="U68" s="244">
        <v>2.5630000000000002</v>
      </c>
      <c r="V68" s="244">
        <v>2.5169999999999999</v>
      </c>
      <c r="W68" s="244">
        <v>2.5630000000000002</v>
      </c>
      <c r="X68" s="244">
        <v>3.2219000000000002E-3</v>
      </c>
      <c r="Y68" s="244">
        <v>3.2219000000000002E-3</v>
      </c>
      <c r="Z68" s="244">
        <v>0</v>
      </c>
      <c r="AA68" s="244">
        <v>3.2219000000000002E-3</v>
      </c>
      <c r="AB68" s="244">
        <v>3.2219000000000002E-3</v>
      </c>
      <c r="AC68" s="244">
        <v>3.2219000000000002E-3</v>
      </c>
      <c r="AD68" s="244">
        <v>0.89992744096385535</v>
      </c>
      <c r="AE68" s="244">
        <v>0.89828439026791029</v>
      </c>
      <c r="AF68" s="244">
        <v>1.1112142099681865</v>
      </c>
      <c r="AG68" s="244">
        <v>1.1132467302933899</v>
      </c>
      <c r="AH68" s="244">
        <v>7.7784994697773072E-2</v>
      </c>
      <c r="AI68" s="244">
        <v>7.7927271120537309E-2</v>
      </c>
      <c r="AJ68" s="123"/>
      <c r="AK68" s="123"/>
      <c r="AL68" s="123"/>
      <c r="AM68" s="123"/>
      <c r="AN68" s="123"/>
      <c r="AO68" s="123"/>
      <c r="AP68" s="123"/>
      <c r="AQ68" s="132"/>
      <c r="AR68" s="132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32"/>
      <c r="BH68" s="132"/>
      <c r="BI68" s="132"/>
      <c r="BJ68" s="132"/>
      <c r="BK68" s="132"/>
      <c r="BL68" s="132"/>
      <c r="BM68" s="132"/>
      <c r="BN68" s="132"/>
    </row>
    <row r="69" spans="1:66">
      <c r="A69" s="132">
        <v>10202</v>
      </c>
      <c r="B69" s="132" t="s">
        <v>73</v>
      </c>
      <c r="C69" s="244">
        <v>1</v>
      </c>
      <c r="D69" s="244">
        <v>0</v>
      </c>
      <c r="E69" s="244">
        <v>13.294</v>
      </c>
      <c r="F69" s="244">
        <v>15.195</v>
      </c>
      <c r="G69" s="244">
        <v>15.435</v>
      </c>
      <c r="H69" s="244">
        <v>0</v>
      </c>
      <c r="I69" s="244">
        <v>0</v>
      </c>
      <c r="J69" s="244">
        <v>0</v>
      </c>
      <c r="K69" s="244">
        <v>0</v>
      </c>
      <c r="L69" s="244">
        <v>0</v>
      </c>
      <c r="M69" s="244">
        <v>0</v>
      </c>
      <c r="N69" s="244">
        <v>14.763</v>
      </c>
      <c r="O69" s="244">
        <v>14.965999999999999</v>
      </c>
      <c r="P69" s="244">
        <v>129678.192</v>
      </c>
      <c r="Q69" s="244">
        <v>131102.16</v>
      </c>
      <c r="R69" s="244">
        <v>13.029</v>
      </c>
      <c r="S69" s="244">
        <v>114446.736</v>
      </c>
      <c r="T69" s="244">
        <v>1.734</v>
      </c>
      <c r="U69" s="244">
        <v>1.9370000000000001</v>
      </c>
      <c r="V69" s="244">
        <v>1.734</v>
      </c>
      <c r="W69" s="244">
        <v>1.9370000000000001</v>
      </c>
      <c r="X69" s="244">
        <v>1.8548E-3</v>
      </c>
      <c r="Y69" s="244">
        <v>1.8548E-3</v>
      </c>
      <c r="Z69" s="244">
        <v>0</v>
      </c>
      <c r="AA69" s="244">
        <v>1.8548E-3</v>
      </c>
      <c r="AB69" s="244">
        <v>1.8548E-3</v>
      </c>
      <c r="AC69" s="244">
        <v>1.8548E-3</v>
      </c>
      <c r="AD69" s="244">
        <v>0.88254859158707577</v>
      </c>
      <c r="AE69" s="244">
        <v>0.87057763314178804</v>
      </c>
      <c r="AF69" s="244">
        <v>1.1330877273773889</v>
      </c>
      <c r="AG69" s="244">
        <v>1.1486683552076138</v>
      </c>
      <c r="AH69" s="244">
        <v>0</v>
      </c>
      <c r="AI69" s="244">
        <v>0</v>
      </c>
      <c r="AJ69" s="123"/>
      <c r="AK69" s="123"/>
      <c r="AL69" s="123"/>
      <c r="AM69" s="123"/>
      <c r="AN69" s="123"/>
      <c r="AO69" s="123"/>
      <c r="AP69" s="123"/>
      <c r="AQ69" s="132"/>
      <c r="AR69" s="132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32"/>
      <c r="BH69" s="132"/>
      <c r="BI69" s="132"/>
      <c r="BJ69" s="132"/>
      <c r="BK69" s="132"/>
      <c r="BL69" s="132"/>
      <c r="BM69" s="132"/>
      <c r="BN69" s="132"/>
    </row>
    <row r="70" spans="1:66">
      <c r="A70" s="132">
        <v>10203</v>
      </c>
      <c r="B70" s="132" t="s">
        <v>74</v>
      </c>
      <c r="C70" s="244">
        <v>1</v>
      </c>
      <c r="D70" s="244">
        <v>0</v>
      </c>
      <c r="E70" s="244">
        <v>6.306</v>
      </c>
      <c r="F70" s="244">
        <v>6.4550000000000001</v>
      </c>
      <c r="G70" s="244">
        <v>6.5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6.4020000000000001</v>
      </c>
      <c r="O70" s="244">
        <v>6.4459999999999997</v>
      </c>
      <c r="P70" s="244">
        <v>56235.167999999998</v>
      </c>
      <c r="Q70" s="244">
        <v>56466.96</v>
      </c>
      <c r="R70" s="244">
        <v>6.18</v>
      </c>
      <c r="S70" s="244">
        <v>54285.119999999995</v>
      </c>
      <c r="T70" s="244">
        <v>0.222</v>
      </c>
      <c r="U70" s="244">
        <v>0.26600000000000001</v>
      </c>
      <c r="V70" s="244">
        <v>0</v>
      </c>
      <c r="W70" s="244">
        <v>0</v>
      </c>
      <c r="X70" s="244">
        <v>8.7980000000000003E-4</v>
      </c>
      <c r="Y70" s="244">
        <v>8.7980000000000003E-4</v>
      </c>
      <c r="Z70" s="244">
        <v>0</v>
      </c>
      <c r="AA70" s="244">
        <v>8.7980000000000003E-4</v>
      </c>
      <c r="AB70" s="244">
        <v>8.7980000000000003E-4</v>
      </c>
      <c r="AC70" s="244">
        <v>8.7980000000000003E-4</v>
      </c>
      <c r="AD70" s="244">
        <v>0.96534921237113402</v>
      </c>
      <c r="AE70" s="244">
        <v>0.95875979795221844</v>
      </c>
      <c r="AF70" s="244">
        <v>1.0359223300970875</v>
      </c>
      <c r="AG70" s="244">
        <v>1.0430420711974111</v>
      </c>
      <c r="AH70" s="244">
        <v>7.2514563106796132E-2</v>
      </c>
      <c r="AI70" s="244">
        <v>7.3012944983818787E-2</v>
      </c>
      <c r="AJ70" s="123"/>
      <c r="AK70" s="123"/>
      <c r="AL70" s="123"/>
      <c r="AM70" s="123"/>
      <c r="AN70" s="123"/>
      <c r="AO70" s="123"/>
      <c r="AP70" s="123"/>
      <c r="AQ70" s="132"/>
      <c r="AR70" s="132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32"/>
      <c r="BH70" s="132"/>
      <c r="BI70" s="132"/>
      <c r="BJ70" s="132"/>
      <c r="BK70" s="132"/>
      <c r="BL70" s="132"/>
      <c r="BM70" s="132"/>
      <c r="BN70" s="132"/>
    </row>
    <row r="71" spans="1:66">
      <c r="A71" s="132">
        <v>10204</v>
      </c>
      <c r="B71" s="132" t="s">
        <v>75</v>
      </c>
      <c r="C71" s="244">
        <v>1</v>
      </c>
      <c r="D71" s="244">
        <v>0</v>
      </c>
      <c r="E71" s="244">
        <v>80.742999999999995</v>
      </c>
      <c r="F71" s="244">
        <v>80.12</v>
      </c>
      <c r="G71" s="244">
        <v>80.384</v>
      </c>
      <c r="H71" s="244">
        <v>0</v>
      </c>
      <c r="I71" s="244">
        <v>0</v>
      </c>
      <c r="J71" s="244">
        <v>17.274999999999999</v>
      </c>
      <c r="K71" s="244">
        <v>17.321999999999999</v>
      </c>
      <c r="L71" s="244">
        <v>151743.59999999998</v>
      </c>
      <c r="M71" s="244">
        <v>151740.72</v>
      </c>
      <c r="N71" s="244">
        <v>62.844999999999999</v>
      </c>
      <c r="O71" s="244">
        <v>63.061999999999998</v>
      </c>
      <c r="P71" s="244">
        <v>552030.48</v>
      </c>
      <c r="Q71" s="244">
        <v>552423.12</v>
      </c>
      <c r="R71" s="244">
        <v>79.135000000000005</v>
      </c>
      <c r="S71" s="244">
        <v>695121.84000000008</v>
      </c>
      <c r="T71" s="244">
        <v>0</v>
      </c>
      <c r="U71" s="244">
        <v>0</v>
      </c>
      <c r="V71" s="244">
        <v>0</v>
      </c>
      <c r="W71" s="244">
        <v>0</v>
      </c>
      <c r="X71" s="244">
        <v>8.9464999999999996E-3</v>
      </c>
      <c r="Y71" s="244">
        <v>8.9774E-3</v>
      </c>
      <c r="Z71" s="244">
        <v>5.4892999999999999E-3</v>
      </c>
      <c r="AA71" s="244">
        <v>3.4571999999999997E-3</v>
      </c>
      <c r="AB71" s="244">
        <v>3.4881000000000001E-3</v>
      </c>
      <c r="AC71" s="244">
        <v>3.4726499999999999E-3</v>
      </c>
      <c r="AD71" s="244">
        <v>0.99999906309262332</v>
      </c>
      <c r="AE71" s="244">
        <v>0.99999746181712224</v>
      </c>
      <c r="AF71" s="244">
        <v>1</v>
      </c>
      <c r="AG71" s="244">
        <v>1</v>
      </c>
      <c r="AH71" s="244">
        <v>0</v>
      </c>
      <c r="AI71" s="244">
        <v>0</v>
      </c>
      <c r="AJ71" s="123"/>
      <c r="AK71" s="123"/>
      <c r="AL71" s="123"/>
      <c r="AM71" s="123"/>
      <c r="AN71" s="123"/>
      <c r="AO71" s="123"/>
      <c r="AP71" s="123"/>
      <c r="AQ71" s="132"/>
      <c r="AR71" s="132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32"/>
      <c r="BH71" s="132"/>
      <c r="BI71" s="132"/>
      <c r="BJ71" s="132"/>
      <c r="BK71" s="132"/>
      <c r="BL71" s="132"/>
      <c r="BM71" s="132"/>
      <c r="BN71" s="132"/>
    </row>
    <row r="72" spans="1:66">
      <c r="A72" s="132">
        <v>10209</v>
      </c>
      <c r="B72" s="132" t="s">
        <v>76</v>
      </c>
      <c r="C72" s="244">
        <v>1</v>
      </c>
      <c r="D72" s="244">
        <v>0</v>
      </c>
      <c r="E72" s="244">
        <v>106.455</v>
      </c>
      <c r="F72" s="244">
        <v>122.661</v>
      </c>
      <c r="G72" s="244">
        <v>124.172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110.23</v>
      </c>
      <c r="O72" s="244">
        <v>112.47199999999999</v>
      </c>
      <c r="P72" s="244">
        <v>968260.32000000007</v>
      </c>
      <c r="Q72" s="244">
        <v>985254.72</v>
      </c>
      <c r="R72" s="244">
        <v>104.33499999999999</v>
      </c>
      <c r="S72" s="244">
        <v>916478.6399999999</v>
      </c>
      <c r="T72" s="244">
        <v>5.8949999999999996</v>
      </c>
      <c r="U72" s="244">
        <v>8.1370000000000005</v>
      </c>
      <c r="V72" s="244">
        <v>5.8949999999999996</v>
      </c>
      <c r="W72" s="244">
        <v>8.1370000000000005</v>
      </c>
      <c r="X72" s="244">
        <v>1.4853E-2</v>
      </c>
      <c r="Y72" s="244">
        <v>1.4853E-2</v>
      </c>
      <c r="Z72" s="244">
        <v>0</v>
      </c>
      <c r="AA72" s="244">
        <v>1.4853E-2</v>
      </c>
      <c r="AB72" s="244">
        <v>1.4853E-2</v>
      </c>
      <c r="AC72" s="244">
        <v>1.4853E-2</v>
      </c>
      <c r="AD72" s="244">
        <v>0.94652160696725018</v>
      </c>
      <c r="AE72" s="244">
        <v>0.92765378704032997</v>
      </c>
      <c r="AF72" s="244">
        <v>1.0565006948770788</v>
      </c>
      <c r="AG72" s="244">
        <v>1.0779891695020847</v>
      </c>
      <c r="AH72" s="244">
        <v>7.3955048641395515E-2</v>
      </c>
      <c r="AI72" s="244">
        <v>7.5459241865145937E-2</v>
      </c>
      <c r="AJ72" s="123"/>
      <c r="AK72" s="123"/>
      <c r="AL72" s="123"/>
      <c r="AM72" s="123"/>
      <c r="AN72" s="123"/>
      <c r="AO72" s="123"/>
      <c r="AP72" s="123"/>
      <c r="AQ72" s="132"/>
      <c r="AR72" s="132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32"/>
      <c r="BH72" s="132"/>
      <c r="BI72" s="132"/>
      <c r="BJ72" s="132"/>
      <c r="BK72" s="132"/>
      <c r="BL72" s="132"/>
      <c r="BM72" s="132"/>
      <c r="BN72" s="132"/>
    </row>
    <row r="73" spans="1:66">
      <c r="A73" s="132">
        <v>10230</v>
      </c>
      <c r="B73" s="132" t="s">
        <v>77</v>
      </c>
      <c r="C73" s="244">
        <v>1</v>
      </c>
      <c r="D73" s="244">
        <v>0</v>
      </c>
      <c r="E73" s="244">
        <v>9.8469999999999995</v>
      </c>
      <c r="F73" s="244">
        <v>12.704000000000001</v>
      </c>
      <c r="G73" s="244">
        <v>12.802</v>
      </c>
      <c r="H73" s="244">
        <v>0</v>
      </c>
      <c r="I73" s="244">
        <v>0</v>
      </c>
      <c r="J73" s="244">
        <v>0.97799999999999998</v>
      </c>
      <c r="K73" s="244">
        <v>0.98</v>
      </c>
      <c r="L73" s="244">
        <v>8590.7520000000004</v>
      </c>
      <c r="M73" s="244">
        <v>8584.7999999999993</v>
      </c>
      <c r="N73" s="244">
        <v>12.071</v>
      </c>
      <c r="O73" s="244">
        <v>12.134</v>
      </c>
      <c r="P73" s="244">
        <v>106031.664</v>
      </c>
      <c r="Q73" s="244">
        <v>106293.84</v>
      </c>
      <c r="R73" s="244">
        <v>9.6509999999999998</v>
      </c>
      <c r="S73" s="244">
        <v>84774.384000000005</v>
      </c>
      <c r="T73" s="244">
        <v>2.42</v>
      </c>
      <c r="U73" s="244">
        <v>2.4830000000000001</v>
      </c>
      <c r="V73" s="244">
        <v>2.42</v>
      </c>
      <c r="W73" s="244">
        <v>2.4830000000000001</v>
      </c>
      <c r="X73" s="244">
        <v>1.3738999999999999E-3</v>
      </c>
      <c r="Y73" s="244">
        <v>1.3738999999999999E-3</v>
      </c>
      <c r="Z73" s="244">
        <v>0</v>
      </c>
      <c r="AA73" s="244">
        <v>1.3738999999999999E-3</v>
      </c>
      <c r="AB73" s="244">
        <v>1.3738999999999999E-3</v>
      </c>
      <c r="AC73" s="244">
        <v>1.3738999999999999E-3</v>
      </c>
      <c r="AD73" s="244">
        <v>0.81457183639567843</v>
      </c>
      <c r="AE73" s="244">
        <v>0.8106586119261856</v>
      </c>
      <c r="AF73" s="244">
        <v>1.2507512174904154</v>
      </c>
      <c r="AG73" s="244">
        <v>1.2572790384416124</v>
      </c>
      <c r="AH73" s="244">
        <v>8.7552585224329085E-2</v>
      </c>
      <c r="AI73" s="244">
        <v>8.800953269091287E-2</v>
      </c>
      <c r="AJ73" s="123"/>
      <c r="AK73" s="123"/>
      <c r="AL73" s="123"/>
      <c r="AM73" s="123"/>
      <c r="AN73" s="123"/>
      <c r="AO73" s="123"/>
      <c r="AP73" s="123"/>
      <c r="AQ73" s="132"/>
      <c r="AR73" s="132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32"/>
      <c r="BH73" s="132"/>
      <c r="BI73" s="132"/>
      <c r="BJ73" s="132"/>
      <c r="BK73" s="132"/>
      <c r="BL73" s="132"/>
      <c r="BM73" s="132"/>
      <c r="BN73" s="132"/>
    </row>
    <row r="74" spans="1:66">
      <c r="A74" s="132">
        <v>10231</v>
      </c>
      <c r="B74" s="132" t="s">
        <v>78</v>
      </c>
      <c r="C74" s="244">
        <v>1</v>
      </c>
      <c r="D74" s="244">
        <v>0</v>
      </c>
      <c r="E74" s="244">
        <v>37.206000000000003</v>
      </c>
      <c r="F74" s="244">
        <v>57.883000000000003</v>
      </c>
      <c r="G74" s="244">
        <v>59.128999999999998</v>
      </c>
      <c r="H74" s="244">
        <v>0</v>
      </c>
      <c r="I74" s="244">
        <v>0</v>
      </c>
      <c r="J74" s="244">
        <v>4.407</v>
      </c>
      <c r="K74" s="244">
        <v>4.4189999999999996</v>
      </c>
      <c r="L74" s="244">
        <v>38711.088000000003</v>
      </c>
      <c r="M74" s="244">
        <v>38710.439999999995</v>
      </c>
      <c r="N74" s="244">
        <v>44.238999999999997</v>
      </c>
      <c r="O74" s="244">
        <v>44.703000000000003</v>
      </c>
      <c r="P74" s="244">
        <v>388595.37599999999</v>
      </c>
      <c r="Q74" s="244">
        <v>391598.28</v>
      </c>
      <c r="R74" s="244">
        <v>36.465000000000003</v>
      </c>
      <c r="S74" s="244">
        <v>320308.56000000006</v>
      </c>
      <c r="T74" s="244">
        <v>7.774</v>
      </c>
      <c r="U74" s="244">
        <v>8.2379999999999995</v>
      </c>
      <c r="V74" s="244">
        <v>7.774</v>
      </c>
      <c r="W74" s="244">
        <v>8.2379999999999995</v>
      </c>
      <c r="X74" s="244">
        <v>5.1910999999999997E-3</v>
      </c>
      <c r="Y74" s="244">
        <v>5.1910999999999997E-3</v>
      </c>
      <c r="Z74" s="244">
        <v>0</v>
      </c>
      <c r="AA74" s="244">
        <v>5.1910999999999997E-3</v>
      </c>
      <c r="AB74" s="244">
        <v>5.1910999999999997E-3</v>
      </c>
      <c r="AC74" s="244">
        <v>5.1910999999999997E-3</v>
      </c>
      <c r="AD74" s="244">
        <v>0.84023067621357206</v>
      </c>
      <c r="AE74" s="244">
        <v>0.8322939669231707</v>
      </c>
      <c r="AF74" s="244">
        <v>1.2131907308377894</v>
      </c>
      <c r="AG74" s="244">
        <v>1.2259152612093789</v>
      </c>
      <c r="AH74" s="244">
        <v>8.4923351158645272E-2</v>
      </c>
      <c r="AI74" s="244">
        <v>8.5814068284656528E-2</v>
      </c>
      <c r="AJ74" s="123"/>
      <c r="AK74" s="123"/>
      <c r="AL74" s="123"/>
      <c r="AM74" s="123"/>
      <c r="AN74" s="123"/>
      <c r="AO74" s="123"/>
      <c r="AP74" s="123"/>
      <c r="AQ74" s="132"/>
      <c r="AR74" s="132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32"/>
      <c r="BH74" s="132"/>
      <c r="BI74" s="132"/>
      <c r="BJ74" s="132"/>
      <c r="BK74" s="132"/>
      <c r="BL74" s="132"/>
      <c r="BM74" s="132"/>
      <c r="BN74" s="132"/>
    </row>
    <row r="75" spans="1:66">
      <c r="A75" s="132">
        <v>10234</v>
      </c>
      <c r="B75" s="132" t="s">
        <v>79</v>
      </c>
      <c r="C75" s="244">
        <v>1</v>
      </c>
      <c r="D75" s="244">
        <v>0</v>
      </c>
      <c r="E75" s="244">
        <v>51.76</v>
      </c>
      <c r="F75" s="244">
        <v>61.863</v>
      </c>
      <c r="G75" s="244">
        <v>63.607999999999997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54.965000000000003</v>
      </c>
      <c r="O75" s="244">
        <v>55.378999999999998</v>
      </c>
      <c r="P75" s="244">
        <v>482812.56000000006</v>
      </c>
      <c r="Q75" s="244">
        <v>485120.04</v>
      </c>
      <c r="R75" s="244">
        <v>50.728999999999999</v>
      </c>
      <c r="S75" s="244">
        <v>445603.53600000002</v>
      </c>
      <c r="T75" s="244">
        <v>4.2359999999999998</v>
      </c>
      <c r="U75" s="244">
        <v>4.6500000000000004</v>
      </c>
      <c r="V75" s="244">
        <v>4.2359999999999998</v>
      </c>
      <c r="W75" s="244">
        <v>4.6500000000000004</v>
      </c>
      <c r="X75" s="244">
        <v>7.2217000000000002E-3</v>
      </c>
      <c r="Y75" s="244">
        <v>7.2217000000000002E-3</v>
      </c>
      <c r="Z75" s="244">
        <v>0</v>
      </c>
      <c r="AA75" s="244">
        <v>7.2217000000000002E-3</v>
      </c>
      <c r="AB75" s="244">
        <v>7.2217000000000002E-3</v>
      </c>
      <c r="AC75" s="244">
        <v>7.2217000000000002E-3</v>
      </c>
      <c r="AD75" s="244">
        <v>0.92293128919130341</v>
      </c>
      <c r="AE75" s="244">
        <v>0.91603167826071252</v>
      </c>
      <c r="AF75" s="244">
        <v>1.0835025330678705</v>
      </c>
      <c r="AG75" s="244">
        <v>1.0916635455065149</v>
      </c>
      <c r="AH75" s="244">
        <v>5.4175126653393524E-2</v>
      </c>
      <c r="AI75" s="244">
        <v>5.4583177275325745E-2</v>
      </c>
      <c r="AJ75" s="123"/>
      <c r="AK75" s="123"/>
      <c r="AL75" s="123"/>
      <c r="AM75" s="123"/>
      <c r="AN75" s="123"/>
      <c r="AO75" s="123"/>
      <c r="AP75" s="123"/>
      <c r="AQ75" s="132"/>
      <c r="AR75" s="132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32"/>
      <c r="BH75" s="132"/>
      <c r="BI75" s="132"/>
      <c r="BJ75" s="132"/>
      <c r="BK75" s="132"/>
      <c r="BL75" s="132"/>
      <c r="BM75" s="132"/>
      <c r="BN75" s="132"/>
    </row>
    <row r="76" spans="1:66">
      <c r="A76" s="132">
        <v>10235</v>
      </c>
      <c r="B76" s="132" t="s">
        <v>80</v>
      </c>
      <c r="C76" s="244">
        <v>1</v>
      </c>
      <c r="D76" s="244">
        <v>0</v>
      </c>
      <c r="E76" s="244">
        <v>33.606999999999999</v>
      </c>
      <c r="F76" s="244">
        <v>30.012</v>
      </c>
      <c r="G76" s="244">
        <v>30.155000000000001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31.431000000000001</v>
      </c>
      <c r="O76" s="244">
        <v>31.565999999999999</v>
      </c>
      <c r="P76" s="244">
        <v>276089.90399999998</v>
      </c>
      <c r="Q76" s="244">
        <v>276518.15999999997</v>
      </c>
      <c r="R76" s="244">
        <v>32.938000000000002</v>
      </c>
      <c r="S76" s="244">
        <v>289327.39199999999</v>
      </c>
      <c r="T76" s="244">
        <v>0</v>
      </c>
      <c r="U76" s="244">
        <v>0</v>
      </c>
      <c r="V76" s="244">
        <v>0</v>
      </c>
      <c r="W76" s="244">
        <v>0</v>
      </c>
      <c r="X76" s="244">
        <v>4.4745000000000002E-3</v>
      </c>
      <c r="Y76" s="244">
        <v>4.4936999999999998E-3</v>
      </c>
      <c r="Z76" s="244">
        <v>0</v>
      </c>
      <c r="AA76" s="244">
        <v>4.4745000000000002E-3</v>
      </c>
      <c r="AB76" s="244">
        <v>4.4936999999999998E-3</v>
      </c>
      <c r="AC76" s="244">
        <v>4.4840999999999995E-3</v>
      </c>
      <c r="AD76" s="244">
        <v>1</v>
      </c>
      <c r="AE76" s="244">
        <v>1</v>
      </c>
      <c r="AF76" s="244">
        <v>1</v>
      </c>
      <c r="AG76" s="244">
        <v>1</v>
      </c>
      <c r="AH76" s="244">
        <v>0</v>
      </c>
      <c r="AI76" s="244">
        <v>0</v>
      </c>
      <c r="AJ76" s="123"/>
      <c r="AK76" s="123"/>
      <c r="AL76" s="123"/>
      <c r="AM76" s="123"/>
      <c r="AN76" s="123"/>
      <c r="AO76" s="123"/>
      <c r="AP76" s="123"/>
      <c r="AQ76" s="132"/>
      <c r="AR76" s="132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32"/>
      <c r="BH76" s="132"/>
      <c r="BI76" s="132"/>
      <c r="BJ76" s="132"/>
      <c r="BK76" s="132"/>
      <c r="BL76" s="132"/>
      <c r="BM76" s="132"/>
      <c r="BN76" s="132"/>
    </row>
    <row r="77" spans="1:66">
      <c r="A77" s="132">
        <v>10236</v>
      </c>
      <c r="B77" s="132" t="s">
        <v>81</v>
      </c>
      <c r="C77" s="244">
        <v>0</v>
      </c>
      <c r="D77" s="244">
        <v>1</v>
      </c>
      <c r="E77" s="244">
        <v>29.536999999999999</v>
      </c>
      <c r="F77" s="244">
        <v>28.111000000000001</v>
      </c>
      <c r="G77" s="244">
        <v>28.187999999999999</v>
      </c>
      <c r="H77" s="244">
        <v>0</v>
      </c>
      <c r="I77" s="244">
        <v>0</v>
      </c>
      <c r="J77" s="244">
        <v>0.13200000000000001</v>
      </c>
      <c r="K77" s="244">
        <v>0.13200000000000001</v>
      </c>
      <c r="L77" s="244">
        <v>1159.4880000000001</v>
      </c>
      <c r="M77" s="244">
        <v>1156.3200000000002</v>
      </c>
      <c r="N77" s="244">
        <v>27.437999999999999</v>
      </c>
      <c r="O77" s="244">
        <v>27.411000000000001</v>
      </c>
      <c r="P77" s="244">
        <v>241015.39199999999</v>
      </c>
      <c r="Q77" s="244">
        <v>240120.36000000002</v>
      </c>
      <c r="R77" s="244">
        <v>28.949000000000002</v>
      </c>
      <c r="S77" s="244">
        <v>254288.016</v>
      </c>
      <c r="T77" s="244">
        <v>0</v>
      </c>
      <c r="U77" s="244">
        <v>0</v>
      </c>
      <c r="V77" s="244">
        <v>0</v>
      </c>
      <c r="W77" s="244">
        <v>0</v>
      </c>
      <c r="X77" s="244">
        <v>3.9060000000000002E-3</v>
      </c>
      <c r="Y77" s="244">
        <v>3.9022000000000002E-3</v>
      </c>
      <c r="Z77" s="244">
        <v>0</v>
      </c>
      <c r="AA77" s="244">
        <v>3.9060000000000002E-3</v>
      </c>
      <c r="AB77" s="244">
        <v>3.9022000000000002E-3</v>
      </c>
      <c r="AC77" s="244">
        <v>3.9041000000000002E-3</v>
      </c>
      <c r="AD77" s="244">
        <v>0.99999070990206751</v>
      </c>
      <c r="AE77" s="244">
        <v>1</v>
      </c>
      <c r="AF77" s="244">
        <v>1</v>
      </c>
      <c r="AG77" s="244">
        <v>1</v>
      </c>
      <c r="AH77" s="244">
        <v>6.5000000000000002E-2</v>
      </c>
      <c r="AI77" s="244">
        <v>6.5000000000000002E-2</v>
      </c>
      <c r="AJ77" s="123"/>
      <c r="AK77" s="123"/>
      <c r="AL77" s="123"/>
      <c r="AM77" s="123"/>
      <c r="AN77" s="123"/>
      <c r="AO77" s="123"/>
      <c r="AP77" s="123"/>
      <c r="AQ77" s="132"/>
      <c r="AR77" s="132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32"/>
      <c r="BH77" s="132"/>
      <c r="BI77" s="132"/>
      <c r="BJ77" s="132"/>
      <c r="BK77" s="132"/>
      <c r="BL77" s="132"/>
      <c r="BM77" s="132"/>
      <c r="BN77" s="132"/>
    </row>
    <row r="78" spans="1:66">
      <c r="A78" s="132">
        <v>10237</v>
      </c>
      <c r="B78" s="132" t="s">
        <v>82</v>
      </c>
      <c r="C78" s="244">
        <v>1</v>
      </c>
      <c r="D78" s="244">
        <v>0</v>
      </c>
      <c r="E78" s="244">
        <v>115.429</v>
      </c>
      <c r="F78" s="244">
        <v>105.827</v>
      </c>
      <c r="G78" s="244">
        <v>106.117</v>
      </c>
      <c r="H78" s="244">
        <v>0</v>
      </c>
      <c r="I78" s="244">
        <v>0</v>
      </c>
      <c r="J78" s="244">
        <v>1.1859999999999999</v>
      </c>
      <c r="K78" s="244">
        <v>1.19</v>
      </c>
      <c r="L78" s="244">
        <v>10417.823999999999</v>
      </c>
      <c r="M78" s="244">
        <v>10424.4</v>
      </c>
      <c r="N78" s="244">
        <v>104.64100000000001</v>
      </c>
      <c r="O78" s="244">
        <v>104.92700000000001</v>
      </c>
      <c r="P78" s="244">
        <v>919166.54399999999</v>
      </c>
      <c r="Q78" s="244">
        <v>919160.52</v>
      </c>
      <c r="R78" s="244">
        <v>113.13</v>
      </c>
      <c r="S78" s="244">
        <v>993733.91999999993</v>
      </c>
      <c r="T78" s="244">
        <v>0</v>
      </c>
      <c r="U78" s="244">
        <v>0</v>
      </c>
      <c r="V78" s="244">
        <v>0</v>
      </c>
      <c r="W78" s="244">
        <v>0</v>
      </c>
      <c r="X78" s="244">
        <v>1.48965E-2</v>
      </c>
      <c r="Y78" s="244">
        <v>1.4937300000000001E-2</v>
      </c>
      <c r="Z78" s="244">
        <v>9.6048000000000001E-3</v>
      </c>
      <c r="AA78" s="244">
        <v>5.2916999999999999E-3</v>
      </c>
      <c r="AB78" s="244">
        <v>5.3325000000000004E-3</v>
      </c>
      <c r="AC78" s="244">
        <v>5.3121000000000002E-3</v>
      </c>
      <c r="AD78" s="244">
        <v>0.99999971806780974</v>
      </c>
      <c r="AE78" s="244">
        <v>0.99999687939390081</v>
      </c>
      <c r="AF78" s="244">
        <v>1</v>
      </c>
      <c r="AG78" s="244">
        <v>1</v>
      </c>
      <c r="AH78" s="244">
        <v>0.05</v>
      </c>
      <c r="AI78" s="244">
        <v>0.05</v>
      </c>
      <c r="AJ78" s="123"/>
      <c r="AK78" s="123"/>
      <c r="AL78" s="123"/>
      <c r="AM78" s="123"/>
      <c r="AN78" s="123"/>
      <c r="AO78" s="123"/>
      <c r="AP78" s="123"/>
      <c r="AQ78" s="132"/>
      <c r="AR78" s="132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32"/>
      <c r="BH78" s="132"/>
      <c r="BI78" s="132"/>
      <c r="BJ78" s="132"/>
      <c r="BK78" s="132"/>
      <c r="BL78" s="132"/>
      <c r="BM78" s="132"/>
      <c r="BN78" s="132"/>
    </row>
    <row r="79" spans="1:66">
      <c r="A79" s="132">
        <v>10239</v>
      </c>
      <c r="B79" s="132" t="s">
        <v>83</v>
      </c>
      <c r="C79" s="244">
        <v>0</v>
      </c>
      <c r="D79" s="244">
        <v>1</v>
      </c>
      <c r="E79" s="244">
        <v>14.209</v>
      </c>
      <c r="F79" s="244">
        <v>14.317</v>
      </c>
      <c r="G79" s="244">
        <v>14.429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13.936</v>
      </c>
      <c r="O79" s="244">
        <v>13.923</v>
      </c>
      <c r="P79" s="244">
        <v>122413.82399999999</v>
      </c>
      <c r="Q79" s="244">
        <v>121965.48</v>
      </c>
      <c r="R79" s="244">
        <v>13.926</v>
      </c>
      <c r="S79" s="244">
        <v>122325.984</v>
      </c>
      <c r="T79" s="244">
        <v>0.01</v>
      </c>
      <c r="U79" s="244">
        <v>0</v>
      </c>
      <c r="V79" s="244">
        <v>0.01</v>
      </c>
      <c r="W79" s="244">
        <v>0</v>
      </c>
      <c r="X79" s="244">
        <v>1.9824999999999999E-3</v>
      </c>
      <c r="Y79" s="244">
        <v>1.9821000000000001E-3</v>
      </c>
      <c r="Z79" s="244">
        <v>0</v>
      </c>
      <c r="AA79" s="244">
        <v>1.9824999999999999E-3</v>
      </c>
      <c r="AB79" s="244">
        <v>1.9821000000000001E-3</v>
      </c>
      <c r="AC79" s="244">
        <v>1.9823000000000002E-3</v>
      </c>
      <c r="AD79" s="244">
        <v>0.99928925373134314</v>
      </c>
      <c r="AE79" s="244">
        <v>1</v>
      </c>
      <c r="AF79" s="244">
        <v>1.0007180812868017</v>
      </c>
      <c r="AG79" s="244">
        <v>1</v>
      </c>
      <c r="AH79" s="244">
        <v>7.0050265690076122E-2</v>
      </c>
      <c r="AI79" s="244">
        <v>7.0000000000000007E-2</v>
      </c>
      <c r="AJ79" s="123"/>
      <c r="AK79" s="123"/>
      <c r="AL79" s="123"/>
      <c r="AM79" s="123"/>
      <c r="AN79" s="123"/>
      <c r="AO79" s="123"/>
      <c r="AP79" s="123"/>
      <c r="AQ79" s="132"/>
      <c r="AR79" s="132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32"/>
      <c r="BH79" s="132"/>
      <c r="BI79" s="132"/>
      <c r="BJ79" s="132"/>
      <c r="BK79" s="132"/>
      <c r="BL79" s="132"/>
      <c r="BM79" s="132"/>
      <c r="BN79" s="132"/>
    </row>
    <row r="80" spans="1:66">
      <c r="A80" s="132">
        <v>10242</v>
      </c>
      <c r="B80" s="132" t="s">
        <v>84</v>
      </c>
      <c r="C80" s="244">
        <v>1</v>
      </c>
      <c r="D80" s="244">
        <v>0</v>
      </c>
      <c r="E80" s="244">
        <v>9.6679999999999993</v>
      </c>
      <c r="F80" s="244">
        <v>9.9860000000000007</v>
      </c>
      <c r="G80" s="244">
        <v>10.073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9.9169999999999998</v>
      </c>
      <c r="O80" s="244">
        <v>10.023999999999999</v>
      </c>
      <c r="P80" s="244">
        <v>87110.928</v>
      </c>
      <c r="Q80" s="244">
        <v>87810.239999999991</v>
      </c>
      <c r="R80" s="244">
        <v>9.4749999999999996</v>
      </c>
      <c r="S80" s="244">
        <v>83228.399999999994</v>
      </c>
      <c r="T80" s="244">
        <v>0.442</v>
      </c>
      <c r="U80" s="244">
        <v>0.54900000000000004</v>
      </c>
      <c r="V80" s="244">
        <v>0</v>
      </c>
      <c r="W80" s="244">
        <v>0</v>
      </c>
      <c r="X80" s="244">
        <v>1.3488E-3</v>
      </c>
      <c r="Y80" s="244">
        <v>1.3488E-3</v>
      </c>
      <c r="Z80" s="244">
        <v>0</v>
      </c>
      <c r="AA80" s="244">
        <v>1.3488E-3</v>
      </c>
      <c r="AB80" s="244">
        <v>1.3488E-3</v>
      </c>
      <c r="AC80" s="244">
        <v>1.3488E-3</v>
      </c>
      <c r="AD80" s="244">
        <v>0.95539596507008173</v>
      </c>
      <c r="AE80" s="244">
        <v>0.94519770407023151</v>
      </c>
      <c r="AF80" s="244">
        <v>1.0466490765171503</v>
      </c>
      <c r="AG80" s="244">
        <v>1.0579419525065963</v>
      </c>
      <c r="AH80" s="244">
        <v>7.3265435356200531E-2</v>
      </c>
      <c r="AI80" s="244">
        <v>7.4055936675461745E-2</v>
      </c>
      <c r="AJ80" s="123"/>
      <c r="AK80" s="123"/>
      <c r="AL80" s="123"/>
      <c r="AM80" s="123"/>
      <c r="AN80" s="123"/>
      <c r="AO80" s="123"/>
      <c r="AP80" s="123"/>
      <c r="AQ80" s="132"/>
      <c r="AR80" s="132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32"/>
      <c r="BH80" s="132"/>
      <c r="BI80" s="132"/>
      <c r="BJ80" s="132"/>
      <c r="BK80" s="132"/>
      <c r="BL80" s="132"/>
      <c r="BM80" s="132"/>
      <c r="BN80" s="132"/>
    </row>
    <row r="81" spans="1:66">
      <c r="A81" s="132">
        <v>10244</v>
      </c>
      <c r="B81" s="132" t="s">
        <v>85</v>
      </c>
      <c r="C81" s="244">
        <v>1</v>
      </c>
      <c r="D81" s="244">
        <v>0</v>
      </c>
      <c r="E81" s="244">
        <v>87.320999999999998</v>
      </c>
      <c r="F81" s="244">
        <v>99.643000000000001</v>
      </c>
      <c r="G81" s="244">
        <v>101.25</v>
      </c>
      <c r="H81" s="244">
        <v>0</v>
      </c>
      <c r="I81" s="244">
        <v>0</v>
      </c>
      <c r="J81" s="244">
        <v>1.7729999999999999</v>
      </c>
      <c r="K81" s="244">
        <v>1.778</v>
      </c>
      <c r="L81" s="244">
        <v>15574.031999999999</v>
      </c>
      <c r="M81" s="244">
        <v>15575.28</v>
      </c>
      <c r="N81" s="244">
        <v>96.599000000000004</v>
      </c>
      <c r="O81" s="244">
        <v>98.415999999999997</v>
      </c>
      <c r="P81" s="244">
        <v>848525.61600000004</v>
      </c>
      <c r="Q81" s="244">
        <v>862124.15999999992</v>
      </c>
      <c r="R81" s="244">
        <v>85.581999999999994</v>
      </c>
      <c r="S81" s="244">
        <v>751752.28799999994</v>
      </c>
      <c r="T81" s="244">
        <v>11.016999999999999</v>
      </c>
      <c r="U81" s="244">
        <v>12.834</v>
      </c>
      <c r="V81" s="244">
        <v>11.016999999999999</v>
      </c>
      <c r="W81" s="244">
        <v>12.834</v>
      </c>
      <c r="X81" s="244">
        <v>1.2183299999999999E-2</v>
      </c>
      <c r="Y81" s="244">
        <v>1.2183299999999999E-2</v>
      </c>
      <c r="Z81" s="244">
        <v>0</v>
      </c>
      <c r="AA81" s="244">
        <v>1.2183299999999999E-2</v>
      </c>
      <c r="AB81" s="244">
        <v>1.2183299999999999E-2</v>
      </c>
      <c r="AC81" s="244">
        <v>1.2183299999999999E-2</v>
      </c>
      <c r="AD81" s="244">
        <v>0.88800635380893334</v>
      </c>
      <c r="AE81" s="244">
        <v>0.87190587310218171</v>
      </c>
      <c r="AF81" s="244">
        <v>1.1287303404921596</v>
      </c>
      <c r="AG81" s="244">
        <v>1.1499614404898226</v>
      </c>
      <c r="AH81" s="244">
        <v>6.2080168727068785E-2</v>
      </c>
      <c r="AI81" s="244">
        <v>6.3247879226940251E-2</v>
      </c>
      <c r="AJ81" s="123"/>
      <c r="AK81" s="123"/>
      <c r="AL81" s="123"/>
      <c r="AM81" s="123"/>
      <c r="AN81" s="123"/>
      <c r="AO81" s="123"/>
      <c r="AP81" s="123"/>
      <c r="AQ81" s="132"/>
      <c r="AR81" s="132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32"/>
      <c r="BH81" s="132"/>
      <c r="BI81" s="132"/>
      <c r="BJ81" s="132"/>
      <c r="BK81" s="132"/>
      <c r="BL81" s="132"/>
      <c r="BM81" s="132"/>
      <c r="BN81" s="132"/>
    </row>
    <row r="82" spans="1:66">
      <c r="A82" s="132">
        <v>10246</v>
      </c>
      <c r="B82" s="132" t="s">
        <v>86</v>
      </c>
      <c r="C82" s="244">
        <v>1</v>
      </c>
      <c r="D82" s="244">
        <v>0</v>
      </c>
      <c r="E82" s="244">
        <v>9.1210000000000004</v>
      </c>
      <c r="F82" s="244">
        <v>9.3230000000000004</v>
      </c>
      <c r="G82" s="244">
        <v>9.3849999999999998</v>
      </c>
      <c r="H82" s="244">
        <v>0</v>
      </c>
      <c r="I82" s="244">
        <v>0</v>
      </c>
      <c r="J82" s="244">
        <v>0.54</v>
      </c>
      <c r="K82" s="244">
        <v>0.54200000000000004</v>
      </c>
      <c r="L82" s="244">
        <v>4743.3600000000006</v>
      </c>
      <c r="M82" s="244">
        <v>4747.92</v>
      </c>
      <c r="N82" s="244">
        <v>8.7850000000000001</v>
      </c>
      <c r="O82" s="244">
        <v>8.85</v>
      </c>
      <c r="P82" s="244">
        <v>77167.44</v>
      </c>
      <c r="Q82" s="244">
        <v>77526</v>
      </c>
      <c r="R82" s="244">
        <v>8.9390000000000001</v>
      </c>
      <c r="S82" s="244">
        <v>78520.176000000007</v>
      </c>
      <c r="T82" s="244">
        <v>0</v>
      </c>
      <c r="U82" s="244">
        <v>0</v>
      </c>
      <c r="V82" s="244">
        <v>0</v>
      </c>
      <c r="W82" s="244">
        <v>0</v>
      </c>
      <c r="X82" s="244">
        <v>1.2505999999999999E-3</v>
      </c>
      <c r="Y82" s="244">
        <v>1.2599E-3</v>
      </c>
      <c r="Z82" s="244">
        <v>0</v>
      </c>
      <c r="AA82" s="244">
        <v>1.2505999999999999E-3</v>
      </c>
      <c r="AB82" s="244">
        <v>1.2599E-3</v>
      </c>
      <c r="AC82" s="244">
        <v>1.2552499999999999E-3</v>
      </c>
      <c r="AD82" s="244">
        <v>0.99998441900268109</v>
      </c>
      <c r="AE82" s="244">
        <v>1</v>
      </c>
      <c r="AF82" s="244">
        <v>1</v>
      </c>
      <c r="AG82" s="244">
        <v>1</v>
      </c>
      <c r="AH82" s="244">
        <v>5.5000000000000007E-2</v>
      </c>
      <c r="AI82" s="244">
        <v>5.5000000000000007E-2</v>
      </c>
      <c r="AJ82" s="123"/>
      <c r="AK82" s="123"/>
      <c r="AL82" s="123"/>
      <c r="AM82" s="123"/>
      <c r="AN82" s="123"/>
      <c r="AO82" s="123"/>
      <c r="AP82" s="123"/>
      <c r="AQ82" s="132"/>
      <c r="AR82" s="132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32"/>
      <c r="BH82" s="132"/>
      <c r="BI82" s="132"/>
      <c r="BJ82" s="132"/>
      <c r="BK82" s="132"/>
      <c r="BL82" s="132"/>
      <c r="BM82" s="132"/>
      <c r="BN82" s="132"/>
    </row>
    <row r="83" spans="1:66">
      <c r="A83" s="132">
        <v>10247</v>
      </c>
      <c r="B83" s="132" t="s">
        <v>87</v>
      </c>
      <c r="C83" s="244">
        <v>1</v>
      </c>
      <c r="D83" s="244">
        <v>0</v>
      </c>
      <c r="E83" s="244">
        <v>81.120999999999995</v>
      </c>
      <c r="F83" s="244">
        <v>79.647000000000006</v>
      </c>
      <c r="G83" s="244">
        <v>80.287000000000006</v>
      </c>
      <c r="H83" s="244">
        <v>0</v>
      </c>
      <c r="I83" s="244">
        <v>0</v>
      </c>
      <c r="J83" s="244">
        <v>0.65400000000000003</v>
      </c>
      <c r="K83" s="244">
        <v>0.65600000000000003</v>
      </c>
      <c r="L83" s="244">
        <v>5744.7359999999999</v>
      </c>
      <c r="M83" s="244">
        <v>5746.56</v>
      </c>
      <c r="N83" s="244">
        <v>79.222999999999999</v>
      </c>
      <c r="O83" s="244">
        <v>79.138000000000005</v>
      </c>
      <c r="P83" s="244">
        <v>695894.83199999994</v>
      </c>
      <c r="Q83" s="244">
        <v>693248.88</v>
      </c>
      <c r="R83" s="244">
        <v>79.504999999999995</v>
      </c>
      <c r="S83" s="244">
        <v>698371.91999999993</v>
      </c>
      <c r="T83" s="244">
        <v>0</v>
      </c>
      <c r="U83" s="244">
        <v>0</v>
      </c>
      <c r="V83" s="244">
        <v>0</v>
      </c>
      <c r="W83" s="244">
        <v>0</v>
      </c>
      <c r="X83" s="244">
        <v>1.1278099999999999E-2</v>
      </c>
      <c r="Y83" s="244">
        <v>1.1266E-2</v>
      </c>
      <c r="Z83" s="244">
        <v>0</v>
      </c>
      <c r="AA83" s="244">
        <v>1.1278099999999999E-2</v>
      </c>
      <c r="AB83" s="244">
        <v>1.1266E-2</v>
      </c>
      <c r="AC83" s="244">
        <v>1.1272049999999999E-2</v>
      </c>
      <c r="AD83" s="244">
        <v>1</v>
      </c>
      <c r="AE83" s="244">
        <v>1</v>
      </c>
      <c r="AF83" s="244">
        <v>1</v>
      </c>
      <c r="AG83" s="244">
        <v>1</v>
      </c>
      <c r="AH83" s="244">
        <v>0.05</v>
      </c>
      <c r="AI83" s="244">
        <v>0.05</v>
      </c>
      <c r="AJ83" s="123"/>
      <c r="AK83" s="123"/>
      <c r="AL83" s="123"/>
      <c r="AM83" s="123"/>
      <c r="AN83" s="123"/>
      <c r="AO83" s="123"/>
      <c r="AP83" s="123"/>
      <c r="AQ83" s="132"/>
      <c r="AR83" s="132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32"/>
      <c r="BH83" s="132"/>
      <c r="BI83" s="132"/>
      <c r="BJ83" s="132"/>
      <c r="BK83" s="132"/>
      <c r="BL83" s="132"/>
      <c r="BM83" s="132"/>
      <c r="BN83" s="132"/>
    </row>
    <row r="84" spans="1:66">
      <c r="A84" s="132">
        <v>10256</v>
      </c>
      <c r="B84" s="132" t="s">
        <v>88</v>
      </c>
      <c r="C84" s="244">
        <v>1</v>
      </c>
      <c r="D84" s="244">
        <v>0</v>
      </c>
      <c r="E84" s="244">
        <v>47.442999999999998</v>
      </c>
      <c r="F84" s="244">
        <v>51.481000000000002</v>
      </c>
      <c r="G84" s="244">
        <v>52.177999999999997</v>
      </c>
      <c r="H84" s="244">
        <v>0</v>
      </c>
      <c r="I84" s="244">
        <v>0</v>
      </c>
      <c r="J84" s="244">
        <v>0.52</v>
      </c>
      <c r="K84" s="244">
        <v>0.52200000000000002</v>
      </c>
      <c r="L84" s="244">
        <v>4567.68</v>
      </c>
      <c r="M84" s="244">
        <v>4572.72</v>
      </c>
      <c r="N84" s="244">
        <v>46.329000000000001</v>
      </c>
      <c r="O84" s="244">
        <v>46.558</v>
      </c>
      <c r="P84" s="244">
        <v>406953.93599999999</v>
      </c>
      <c r="Q84" s="244">
        <v>407848.08</v>
      </c>
      <c r="R84" s="244">
        <v>46.497999999999998</v>
      </c>
      <c r="S84" s="244">
        <v>408438.43199999997</v>
      </c>
      <c r="T84" s="244">
        <v>0</v>
      </c>
      <c r="U84" s="244">
        <v>0.06</v>
      </c>
      <c r="V84" s="244">
        <v>0</v>
      </c>
      <c r="W84" s="244">
        <v>0</v>
      </c>
      <c r="X84" s="244">
        <v>6.5953000000000001E-3</v>
      </c>
      <c r="Y84" s="244">
        <v>6.6194000000000001E-3</v>
      </c>
      <c r="Z84" s="244">
        <v>0</v>
      </c>
      <c r="AA84" s="244">
        <v>6.5953000000000001E-3</v>
      </c>
      <c r="AB84" s="244">
        <v>6.6194000000000001E-3</v>
      </c>
      <c r="AC84" s="244">
        <v>6.6073499999999997E-3</v>
      </c>
      <c r="AD84" s="244">
        <v>0.99999496261766019</v>
      </c>
      <c r="AE84" s="244">
        <v>0.99872673604078166</v>
      </c>
      <c r="AF84" s="244">
        <v>1</v>
      </c>
      <c r="AG84" s="244">
        <v>1.0012903780807778</v>
      </c>
      <c r="AH84" s="244">
        <v>6.5000000000000002E-2</v>
      </c>
      <c r="AI84" s="244">
        <v>6.5083874575250555E-2</v>
      </c>
      <c r="AJ84" s="123"/>
      <c r="AK84" s="123"/>
      <c r="AL84" s="123"/>
      <c r="AM84" s="123"/>
      <c r="AN84" s="123"/>
      <c r="AO84" s="123"/>
      <c r="AP84" s="123"/>
      <c r="AQ84" s="132"/>
      <c r="AR84" s="132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32"/>
      <c r="BH84" s="132"/>
      <c r="BI84" s="132"/>
      <c r="BJ84" s="132"/>
      <c r="BK84" s="132"/>
      <c r="BL84" s="132"/>
      <c r="BM84" s="132"/>
      <c r="BN84" s="132"/>
    </row>
    <row r="85" spans="1:66">
      <c r="A85" s="132">
        <v>10258</v>
      </c>
      <c r="B85" s="132" t="s">
        <v>89</v>
      </c>
      <c r="C85" s="244">
        <v>1</v>
      </c>
      <c r="D85" s="244">
        <v>0</v>
      </c>
      <c r="E85" s="244">
        <v>38.518000000000001</v>
      </c>
      <c r="F85" s="244">
        <v>48.113</v>
      </c>
      <c r="G85" s="244">
        <v>48.502000000000002</v>
      </c>
      <c r="H85" s="244">
        <v>0</v>
      </c>
      <c r="I85" s="244">
        <v>0</v>
      </c>
      <c r="J85" s="244">
        <v>9.7249999999999996</v>
      </c>
      <c r="K85" s="244">
        <v>9.7509999999999994</v>
      </c>
      <c r="L85" s="244">
        <v>85424.4</v>
      </c>
      <c r="M85" s="244">
        <v>85418.76</v>
      </c>
      <c r="N85" s="244">
        <v>37.945</v>
      </c>
      <c r="O85" s="244">
        <v>38.393999999999998</v>
      </c>
      <c r="P85" s="244">
        <v>333308.88</v>
      </c>
      <c r="Q85" s="244">
        <v>336331.44</v>
      </c>
      <c r="R85" s="244">
        <v>37.750999999999998</v>
      </c>
      <c r="S85" s="244">
        <v>331604.78399999999</v>
      </c>
      <c r="T85" s="244">
        <v>0.19400000000000001</v>
      </c>
      <c r="U85" s="244">
        <v>0.64300000000000002</v>
      </c>
      <c r="V85" s="244">
        <v>0</v>
      </c>
      <c r="W85" s="244">
        <v>0</v>
      </c>
      <c r="X85" s="244">
        <v>5.3742E-3</v>
      </c>
      <c r="Y85" s="244">
        <v>5.3742E-3</v>
      </c>
      <c r="Z85" s="244">
        <v>0</v>
      </c>
      <c r="AA85" s="244">
        <v>5.3742E-3</v>
      </c>
      <c r="AB85" s="244">
        <v>5.3742E-3</v>
      </c>
      <c r="AC85" s="244">
        <v>5.3742E-3</v>
      </c>
      <c r="AD85" s="244">
        <v>0.99593483729083654</v>
      </c>
      <c r="AE85" s="244">
        <v>0.9866472611984628</v>
      </c>
      <c r="AF85" s="244">
        <v>1.0051389367169081</v>
      </c>
      <c r="AG85" s="244">
        <v>1.0170326613864533</v>
      </c>
      <c r="AH85" s="244">
        <v>6.0308336203014491E-2</v>
      </c>
      <c r="AI85" s="244">
        <v>6.1021959683187202E-2</v>
      </c>
      <c r="AJ85" s="123"/>
      <c r="AK85" s="123"/>
      <c r="AL85" s="123"/>
      <c r="AM85" s="123"/>
      <c r="AN85" s="123"/>
      <c r="AO85" s="123"/>
      <c r="AP85" s="123"/>
      <c r="AQ85" s="132"/>
      <c r="AR85" s="132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32"/>
      <c r="BH85" s="132"/>
      <c r="BI85" s="132"/>
      <c r="BJ85" s="132"/>
      <c r="BK85" s="132"/>
      <c r="BL85" s="132"/>
      <c r="BM85" s="132"/>
      <c r="BN85" s="132"/>
    </row>
    <row r="86" spans="1:66">
      <c r="A86" s="132">
        <v>10259</v>
      </c>
      <c r="B86" s="132" t="s">
        <v>90</v>
      </c>
      <c r="C86" s="244">
        <v>1</v>
      </c>
      <c r="D86" s="244">
        <v>0</v>
      </c>
      <c r="E86" s="244">
        <v>27.388000000000002</v>
      </c>
      <c r="F86" s="244">
        <v>29.667000000000002</v>
      </c>
      <c r="G86" s="244">
        <v>30.14</v>
      </c>
      <c r="H86" s="244">
        <v>0</v>
      </c>
      <c r="I86" s="244">
        <v>0</v>
      </c>
      <c r="J86" s="244">
        <v>0</v>
      </c>
      <c r="K86" s="244">
        <v>0</v>
      </c>
      <c r="L86" s="244">
        <v>0</v>
      </c>
      <c r="M86" s="244">
        <v>0</v>
      </c>
      <c r="N86" s="244">
        <v>26.95</v>
      </c>
      <c r="O86" s="244">
        <v>27.131</v>
      </c>
      <c r="P86" s="244">
        <v>236728.8</v>
      </c>
      <c r="Q86" s="244">
        <v>237667.56</v>
      </c>
      <c r="R86" s="244">
        <v>26.843</v>
      </c>
      <c r="S86" s="244">
        <v>235788.91200000001</v>
      </c>
      <c r="T86" s="244">
        <v>0.107</v>
      </c>
      <c r="U86" s="244">
        <v>0.28799999999999998</v>
      </c>
      <c r="V86" s="244">
        <v>0</v>
      </c>
      <c r="W86" s="244">
        <v>0</v>
      </c>
      <c r="X86" s="244">
        <v>3.8213000000000001E-3</v>
      </c>
      <c r="Y86" s="244">
        <v>3.8213000000000001E-3</v>
      </c>
      <c r="Z86" s="244">
        <v>0</v>
      </c>
      <c r="AA86" s="244">
        <v>3.8213000000000001E-3</v>
      </c>
      <c r="AB86" s="244">
        <v>3.8213000000000001E-3</v>
      </c>
      <c r="AC86" s="244">
        <v>3.8213000000000001E-3</v>
      </c>
      <c r="AD86" s="244">
        <v>0.99602106514285715</v>
      </c>
      <c r="AE86" s="244">
        <v>0.98937627457889499</v>
      </c>
      <c r="AF86" s="244">
        <v>1.0039861416384159</v>
      </c>
      <c r="AG86" s="244">
        <v>1.0107290541295681</v>
      </c>
      <c r="AH86" s="244">
        <v>6.5259099206497043E-2</v>
      </c>
      <c r="AI86" s="244">
        <v>6.5697388518421926E-2</v>
      </c>
      <c r="AJ86" s="123"/>
      <c r="AK86" s="123"/>
      <c r="AL86" s="123"/>
      <c r="AM86" s="123"/>
      <c r="AN86" s="123"/>
      <c r="AO86" s="123"/>
      <c r="AP86" s="123"/>
      <c r="AQ86" s="132"/>
      <c r="AR86" s="132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32"/>
      <c r="BH86" s="132"/>
      <c r="BI86" s="132"/>
      <c r="BJ86" s="132"/>
      <c r="BK86" s="132"/>
      <c r="BL86" s="132"/>
      <c r="BM86" s="132"/>
      <c r="BN86" s="132"/>
    </row>
    <row r="87" spans="1:66">
      <c r="A87" s="132">
        <v>10260</v>
      </c>
      <c r="B87" s="132" t="s">
        <v>91</v>
      </c>
      <c r="C87" s="244">
        <v>1</v>
      </c>
      <c r="D87" s="244">
        <v>0</v>
      </c>
      <c r="E87" s="244">
        <v>26.677</v>
      </c>
      <c r="F87" s="244">
        <v>26.606000000000002</v>
      </c>
      <c r="G87" s="244">
        <v>26.794</v>
      </c>
      <c r="H87" s="244">
        <v>0</v>
      </c>
      <c r="I87" s="244">
        <v>0</v>
      </c>
      <c r="J87" s="244">
        <v>0</v>
      </c>
      <c r="K87" s="244">
        <v>0</v>
      </c>
      <c r="L87" s="244">
        <v>0</v>
      </c>
      <c r="M87" s="244">
        <v>0</v>
      </c>
      <c r="N87" s="244">
        <v>27.81</v>
      </c>
      <c r="O87" s="244">
        <v>28.004000000000001</v>
      </c>
      <c r="P87" s="244">
        <v>244283.03999999998</v>
      </c>
      <c r="Q87" s="244">
        <v>245315.04</v>
      </c>
      <c r="R87" s="244">
        <v>26.146000000000001</v>
      </c>
      <c r="S87" s="244">
        <v>229666.46400000001</v>
      </c>
      <c r="T87" s="244">
        <v>1.6639999999999999</v>
      </c>
      <c r="U87" s="244">
        <v>1.8580000000000001</v>
      </c>
      <c r="V87" s="244">
        <v>1.6639999999999999</v>
      </c>
      <c r="W87" s="244">
        <v>1.8580000000000001</v>
      </c>
      <c r="X87" s="244">
        <v>3.7220999999999999E-3</v>
      </c>
      <c r="Y87" s="244">
        <v>3.7220999999999999E-3</v>
      </c>
      <c r="Z87" s="244">
        <v>0</v>
      </c>
      <c r="AA87" s="244">
        <v>3.7220999999999999E-3</v>
      </c>
      <c r="AB87" s="244">
        <v>3.7220999999999999E-3</v>
      </c>
      <c r="AC87" s="244">
        <v>3.7220999999999999E-3</v>
      </c>
      <c r="AD87" s="244">
        <v>0.94016311093851124</v>
      </c>
      <c r="AE87" s="244">
        <v>0.9336500541065561</v>
      </c>
      <c r="AF87" s="244">
        <v>1.0636426221984241</v>
      </c>
      <c r="AG87" s="244">
        <v>1.0710624952191541</v>
      </c>
      <c r="AH87" s="244">
        <v>0</v>
      </c>
      <c r="AI87" s="244">
        <v>0</v>
      </c>
      <c r="AJ87" s="123"/>
      <c r="AK87" s="123"/>
      <c r="AL87" s="123"/>
      <c r="AM87" s="123"/>
      <c r="AN87" s="123"/>
      <c r="AO87" s="123"/>
      <c r="AP87" s="123"/>
      <c r="AQ87" s="132"/>
      <c r="AR87" s="132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32"/>
      <c r="BH87" s="132"/>
      <c r="BI87" s="132"/>
      <c r="BJ87" s="132"/>
      <c r="BK87" s="132"/>
      <c r="BL87" s="132"/>
      <c r="BM87" s="132"/>
      <c r="BN87" s="132"/>
    </row>
    <row r="88" spans="1:66">
      <c r="A88" s="132">
        <v>10273</v>
      </c>
      <c r="B88" s="132" t="s">
        <v>92</v>
      </c>
      <c r="C88" s="244">
        <v>1</v>
      </c>
      <c r="D88" s="244">
        <v>0</v>
      </c>
      <c r="E88" s="244">
        <v>5.9690000000000003</v>
      </c>
      <c r="F88" s="244">
        <v>8.2289999999999992</v>
      </c>
      <c r="G88" s="244">
        <v>8.5909999999999993</v>
      </c>
      <c r="H88" s="244">
        <v>0</v>
      </c>
      <c r="I88" s="244">
        <v>0</v>
      </c>
      <c r="J88" s="244">
        <v>0</v>
      </c>
      <c r="K88" s="244">
        <v>0</v>
      </c>
      <c r="L88" s="244">
        <v>0</v>
      </c>
      <c r="M88" s="244">
        <v>0</v>
      </c>
      <c r="N88" s="244">
        <v>8.0630000000000006</v>
      </c>
      <c r="O88" s="244">
        <v>8.4120000000000008</v>
      </c>
      <c r="P88" s="244">
        <v>70825.392000000007</v>
      </c>
      <c r="Q88" s="244">
        <v>73689.12000000001</v>
      </c>
      <c r="R88" s="244">
        <v>5.85</v>
      </c>
      <c r="S88" s="244">
        <v>51386.399999999994</v>
      </c>
      <c r="T88" s="244">
        <v>2.2130000000000001</v>
      </c>
      <c r="U88" s="244">
        <v>2.5619999999999998</v>
      </c>
      <c r="V88" s="244">
        <v>2.2130000000000001</v>
      </c>
      <c r="W88" s="244">
        <v>2.5619999999999998</v>
      </c>
      <c r="X88" s="244">
        <v>8.3279999999999997E-4</v>
      </c>
      <c r="Y88" s="244">
        <v>8.3279999999999997E-4</v>
      </c>
      <c r="Z88" s="244">
        <v>0</v>
      </c>
      <c r="AA88" s="244">
        <v>8.3279999999999997E-4</v>
      </c>
      <c r="AB88" s="244">
        <v>8.3279999999999997E-4</v>
      </c>
      <c r="AC88" s="244">
        <v>8.3279999999999997E-4</v>
      </c>
      <c r="AD88" s="244">
        <v>0.72553808676671205</v>
      </c>
      <c r="AE88" s="244">
        <v>0.69543670870185437</v>
      </c>
      <c r="AF88" s="244">
        <v>1.3782905982905984</v>
      </c>
      <c r="AG88" s="244">
        <v>1.4379487179487183</v>
      </c>
      <c r="AH88" s="244">
        <v>9.6480341880341894E-2</v>
      </c>
      <c r="AI88" s="244">
        <v>0.10065641025641028</v>
      </c>
      <c r="AJ88" s="123"/>
      <c r="AK88" s="123"/>
      <c r="AL88" s="123"/>
      <c r="AM88" s="123"/>
      <c r="AN88" s="123"/>
      <c r="AO88" s="123"/>
      <c r="AP88" s="123"/>
      <c r="AQ88" s="132"/>
      <c r="AR88" s="132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32"/>
      <c r="BH88" s="132"/>
      <c r="BI88" s="132"/>
      <c r="BJ88" s="132"/>
      <c r="BK88" s="132"/>
      <c r="BL88" s="132"/>
      <c r="BM88" s="132"/>
      <c r="BN88" s="132"/>
    </row>
    <row r="89" spans="1:66">
      <c r="A89" s="132">
        <v>10278</v>
      </c>
      <c r="B89" s="132" t="s">
        <v>93</v>
      </c>
      <c r="C89" s="244">
        <v>0</v>
      </c>
      <c r="D89" s="244">
        <v>1</v>
      </c>
      <c r="E89" s="244">
        <v>36.463999999999999</v>
      </c>
      <c r="F89" s="244">
        <v>39.880000000000003</v>
      </c>
      <c r="G89" s="244">
        <v>40.539000000000001</v>
      </c>
      <c r="H89" s="244">
        <v>0</v>
      </c>
      <c r="I89" s="244">
        <v>0</v>
      </c>
      <c r="J89" s="244">
        <v>1.526</v>
      </c>
      <c r="K89" s="244">
        <v>1.53</v>
      </c>
      <c r="L89" s="244">
        <v>13404.384</v>
      </c>
      <c r="M89" s="244">
        <v>13402.800000000001</v>
      </c>
      <c r="N89" s="244">
        <v>35.652000000000001</v>
      </c>
      <c r="O89" s="244">
        <v>35.83</v>
      </c>
      <c r="P89" s="244">
        <v>313167.16800000001</v>
      </c>
      <c r="Q89" s="244">
        <v>313870.8</v>
      </c>
      <c r="R89" s="244">
        <v>35.738</v>
      </c>
      <c r="S89" s="244">
        <v>313922.592</v>
      </c>
      <c r="T89" s="244">
        <v>0</v>
      </c>
      <c r="U89" s="244">
        <v>9.1999999999999998E-2</v>
      </c>
      <c r="V89" s="244">
        <v>0</v>
      </c>
      <c r="W89" s="244">
        <v>9.1999999999999998E-2</v>
      </c>
      <c r="X89" s="244">
        <v>5.0753999999999999E-3</v>
      </c>
      <c r="Y89" s="244">
        <v>5.0876000000000003E-3</v>
      </c>
      <c r="Z89" s="244">
        <v>0</v>
      </c>
      <c r="AA89" s="244">
        <v>5.0753999999999999E-3</v>
      </c>
      <c r="AB89" s="244">
        <v>5.0876000000000003E-3</v>
      </c>
      <c r="AC89" s="244">
        <v>5.0815000000000001E-3</v>
      </c>
      <c r="AD89" s="244">
        <v>1</v>
      </c>
      <c r="AE89" s="244">
        <v>0.99753499066381157</v>
      </c>
      <c r="AF89" s="244">
        <v>1</v>
      </c>
      <c r="AG89" s="244">
        <v>1.0025742906709945</v>
      </c>
      <c r="AH89" s="244">
        <v>6.5000000000000002E-2</v>
      </c>
      <c r="AI89" s="244">
        <v>6.5167328893614637E-2</v>
      </c>
      <c r="AJ89" s="123"/>
      <c r="AK89" s="123"/>
      <c r="AL89" s="123"/>
      <c r="AM89" s="123"/>
      <c r="AN89" s="123"/>
      <c r="AO89" s="123"/>
      <c r="AP89" s="123"/>
      <c r="AQ89" s="132"/>
      <c r="AR89" s="132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32"/>
      <c r="BH89" s="132"/>
      <c r="BI89" s="132"/>
      <c r="BJ89" s="132"/>
      <c r="BK89" s="132"/>
      <c r="BL89" s="132"/>
      <c r="BM89" s="132"/>
      <c r="BN89" s="132"/>
    </row>
    <row r="90" spans="1:66">
      <c r="A90" s="132">
        <v>10279</v>
      </c>
      <c r="B90" s="132" t="s">
        <v>94</v>
      </c>
      <c r="C90" s="244">
        <v>1</v>
      </c>
      <c r="D90" s="244">
        <v>0</v>
      </c>
      <c r="E90" s="244">
        <v>65.730999999999995</v>
      </c>
      <c r="F90" s="244">
        <v>137.32400000000001</v>
      </c>
      <c r="G90" s="244">
        <v>163.57599999999999</v>
      </c>
      <c r="H90" s="244">
        <v>62.976999999999997</v>
      </c>
      <c r="I90" s="244">
        <v>87.570999999999998</v>
      </c>
      <c r="J90" s="244">
        <v>4.3920000000000003</v>
      </c>
      <c r="K90" s="244">
        <v>4.4039999999999999</v>
      </c>
      <c r="L90" s="244">
        <v>38579.328000000001</v>
      </c>
      <c r="M90" s="244">
        <v>38579.040000000001</v>
      </c>
      <c r="N90" s="244">
        <v>84.37</v>
      </c>
      <c r="O90" s="244">
        <v>91.027000000000001</v>
      </c>
      <c r="P90" s="244">
        <v>741106.08000000007</v>
      </c>
      <c r="Q90" s="244">
        <v>797396.52</v>
      </c>
      <c r="R90" s="244">
        <v>64.421999999999997</v>
      </c>
      <c r="S90" s="244">
        <v>565882.848</v>
      </c>
      <c r="T90" s="244">
        <v>19.948</v>
      </c>
      <c r="U90" s="244">
        <v>26.605</v>
      </c>
      <c r="V90" s="244">
        <v>19.948</v>
      </c>
      <c r="W90" s="244">
        <v>26.605</v>
      </c>
      <c r="X90" s="244">
        <v>9.1710000000000003E-3</v>
      </c>
      <c r="Y90" s="244">
        <v>9.1710000000000003E-3</v>
      </c>
      <c r="Z90" s="244">
        <v>0</v>
      </c>
      <c r="AA90" s="244">
        <v>9.1710000000000003E-3</v>
      </c>
      <c r="AB90" s="244">
        <v>9.1710000000000003E-3</v>
      </c>
      <c r="AC90" s="244">
        <v>9.1710000000000003E-3</v>
      </c>
      <c r="AD90" s="244">
        <v>0.77529484147564054</v>
      </c>
      <c r="AE90" s="244">
        <v>0.72121008427031053</v>
      </c>
      <c r="AF90" s="244">
        <v>1.3096457731830742</v>
      </c>
      <c r="AG90" s="244">
        <v>1.4129800378752602</v>
      </c>
      <c r="AH90" s="244">
        <v>0</v>
      </c>
      <c r="AI90" s="244">
        <v>0</v>
      </c>
      <c r="AJ90" s="123"/>
      <c r="AK90" s="123"/>
      <c r="AL90" s="123"/>
      <c r="AM90" s="123"/>
      <c r="AN90" s="123"/>
      <c r="AO90" s="123"/>
      <c r="AP90" s="123"/>
      <c r="AQ90" s="132"/>
      <c r="AR90" s="132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32"/>
      <c r="BH90" s="132"/>
      <c r="BI90" s="132"/>
      <c r="BJ90" s="132"/>
      <c r="BK90" s="132"/>
      <c r="BL90" s="132"/>
      <c r="BM90" s="132"/>
      <c r="BN90" s="132"/>
    </row>
    <row r="91" spans="1:66">
      <c r="A91" s="132">
        <v>10284</v>
      </c>
      <c r="B91" s="132" t="s">
        <v>95</v>
      </c>
      <c r="C91" s="244">
        <v>1</v>
      </c>
      <c r="D91" s="244">
        <v>0</v>
      </c>
      <c r="E91" s="244">
        <v>10.31</v>
      </c>
      <c r="F91" s="244">
        <v>10.586</v>
      </c>
      <c r="G91" s="244">
        <v>10.667</v>
      </c>
      <c r="H91" s="244">
        <v>0</v>
      </c>
      <c r="I91" s="244">
        <v>0</v>
      </c>
      <c r="J91" s="244">
        <v>0</v>
      </c>
      <c r="K91" s="244">
        <v>0</v>
      </c>
      <c r="L91" s="244">
        <v>0</v>
      </c>
      <c r="M91" s="244">
        <v>0</v>
      </c>
      <c r="N91" s="244">
        <v>9.8260000000000005</v>
      </c>
      <c r="O91" s="244">
        <v>9.8360000000000003</v>
      </c>
      <c r="P91" s="244">
        <v>86311.584000000003</v>
      </c>
      <c r="Q91" s="244">
        <v>86163.36</v>
      </c>
      <c r="R91" s="244">
        <v>10.105</v>
      </c>
      <c r="S91" s="244">
        <v>88762.32</v>
      </c>
      <c r="T91" s="244">
        <v>0</v>
      </c>
      <c r="U91" s="244">
        <v>0</v>
      </c>
      <c r="V91" s="244">
        <v>0</v>
      </c>
      <c r="W91" s="244">
        <v>0</v>
      </c>
      <c r="X91" s="244">
        <v>1.3988E-3</v>
      </c>
      <c r="Y91" s="244">
        <v>1.4002000000000001E-3</v>
      </c>
      <c r="Z91" s="244">
        <v>0</v>
      </c>
      <c r="AA91" s="244">
        <v>1.3988E-3</v>
      </c>
      <c r="AB91" s="244">
        <v>1.4002000000000001E-3</v>
      </c>
      <c r="AC91" s="244">
        <v>1.3995000000000001E-3</v>
      </c>
      <c r="AD91" s="244">
        <v>0.99998853914105423</v>
      </c>
      <c r="AE91" s="244">
        <v>0.99997170622204157</v>
      </c>
      <c r="AF91" s="244">
        <v>1</v>
      </c>
      <c r="AG91" s="244">
        <v>1</v>
      </c>
      <c r="AH91" s="244">
        <v>0.05</v>
      </c>
      <c r="AI91" s="244">
        <v>0.05</v>
      </c>
      <c r="AJ91" s="123"/>
      <c r="AK91" s="123"/>
      <c r="AL91" s="123"/>
      <c r="AM91" s="123"/>
      <c r="AN91" s="123"/>
      <c r="AO91" s="123"/>
      <c r="AP91" s="123"/>
      <c r="AQ91" s="132"/>
      <c r="AR91" s="132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32"/>
      <c r="BH91" s="132"/>
      <c r="BI91" s="132"/>
      <c r="BJ91" s="132"/>
      <c r="BK91" s="132"/>
      <c r="BL91" s="132"/>
      <c r="BM91" s="132"/>
      <c r="BN91" s="132"/>
    </row>
    <row r="92" spans="1:66">
      <c r="A92" s="132">
        <v>10285</v>
      </c>
      <c r="B92" s="132" t="s">
        <v>96</v>
      </c>
      <c r="C92" s="244">
        <v>0</v>
      </c>
      <c r="D92" s="244">
        <v>1</v>
      </c>
      <c r="E92" s="244">
        <v>6.6260000000000003</v>
      </c>
      <c r="F92" s="244">
        <v>7.4550000000000001</v>
      </c>
      <c r="G92" s="244">
        <v>7.5149999999999997</v>
      </c>
      <c r="H92" s="244">
        <v>0</v>
      </c>
      <c r="I92" s="244">
        <v>0</v>
      </c>
      <c r="J92" s="244">
        <v>0</v>
      </c>
      <c r="K92" s="244">
        <v>0</v>
      </c>
      <c r="L92" s="244">
        <v>0</v>
      </c>
      <c r="M92" s="244">
        <v>0</v>
      </c>
      <c r="N92" s="244">
        <v>6.9610000000000003</v>
      </c>
      <c r="O92" s="244">
        <v>7.0220000000000002</v>
      </c>
      <c r="P92" s="244">
        <v>61145.423999999999</v>
      </c>
      <c r="Q92" s="244">
        <v>61512.72</v>
      </c>
      <c r="R92" s="244">
        <v>6.4939999999999998</v>
      </c>
      <c r="S92" s="244">
        <v>57043.295999999995</v>
      </c>
      <c r="T92" s="244">
        <v>0.46700000000000003</v>
      </c>
      <c r="U92" s="244">
        <v>0.52800000000000002</v>
      </c>
      <c r="V92" s="244">
        <v>0.46700000000000003</v>
      </c>
      <c r="W92" s="244">
        <v>0.52800000000000002</v>
      </c>
      <c r="X92" s="244">
        <v>9.2449999999999997E-4</v>
      </c>
      <c r="Y92" s="244">
        <v>9.2449999999999997E-4</v>
      </c>
      <c r="Z92" s="244">
        <v>0</v>
      </c>
      <c r="AA92" s="244">
        <v>9.2449999999999997E-4</v>
      </c>
      <c r="AB92" s="244">
        <v>9.2449999999999997E-4</v>
      </c>
      <c r="AC92" s="244">
        <v>9.2449999999999997E-4</v>
      </c>
      <c r="AD92" s="244">
        <v>0.93293511621893388</v>
      </c>
      <c r="AE92" s="244">
        <v>0.92483072401025335</v>
      </c>
      <c r="AF92" s="244">
        <v>1.0719125346473668</v>
      </c>
      <c r="AG92" s="244">
        <v>1.0813058207576225</v>
      </c>
      <c r="AH92" s="244">
        <v>6.9674314752078845E-2</v>
      </c>
      <c r="AI92" s="244">
        <v>7.0284878349245461E-2</v>
      </c>
      <c r="AJ92" s="123"/>
      <c r="AK92" s="123"/>
      <c r="AL92" s="123"/>
      <c r="AM92" s="123"/>
      <c r="AN92" s="123"/>
      <c r="AO92" s="123"/>
      <c r="AP92" s="123"/>
      <c r="AQ92" s="132"/>
      <c r="AR92" s="132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32"/>
      <c r="BH92" s="132"/>
      <c r="BI92" s="132"/>
      <c r="BJ92" s="132"/>
      <c r="BK92" s="132"/>
      <c r="BL92" s="132"/>
      <c r="BM92" s="132"/>
      <c r="BN92" s="132"/>
    </row>
    <row r="93" spans="1:66">
      <c r="A93" s="132">
        <v>10286</v>
      </c>
      <c r="B93" s="132" t="s">
        <v>97</v>
      </c>
      <c r="C93" s="244">
        <v>1</v>
      </c>
      <c r="D93" s="244">
        <v>0</v>
      </c>
      <c r="E93" s="244">
        <v>46.595999999999997</v>
      </c>
      <c r="F93" s="244">
        <v>72.775000000000006</v>
      </c>
      <c r="G93" s="244">
        <v>72.802999999999997</v>
      </c>
      <c r="H93" s="244">
        <v>0</v>
      </c>
      <c r="I93" s="244">
        <v>0</v>
      </c>
      <c r="J93" s="244">
        <v>24.065000000000001</v>
      </c>
      <c r="K93" s="244">
        <v>24.131</v>
      </c>
      <c r="L93" s="244">
        <v>211386.96000000002</v>
      </c>
      <c r="M93" s="244">
        <v>211387.56</v>
      </c>
      <c r="N93" s="244">
        <v>48.71</v>
      </c>
      <c r="O93" s="244">
        <v>48.671999999999997</v>
      </c>
      <c r="P93" s="244">
        <v>427868.64</v>
      </c>
      <c r="Q93" s="244">
        <v>426366.71999999997</v>
      </c>
      <c r="R93" s="244">
        <v>45.667999999999999</v>
      </c>
      <c r="S93" s="244">
        <v>401147.712</v>
      </c>
      <c r="T93" s="244">
        <v>5.7789999999999999</v>
      </c>
      <c r="U93" s="244">
        <v>6.984</v>
      </c>
      <c r="V93" s="244">
        <v>5.7789999999999999</v>
      </c>
      <c r="W93" s="244">
        <v>6.984</v>
      </c>
      <c r="X93" s="244">
        <v>6.5012000000000004E-3</v>
      </c>
      <c r="Y93" s="244">
        <v>6.5012000000000004E-3</v>
      </c>
      <c r="Z93" s="244">
        <v>0</v>
      </c>
      <c r="AA93" s="244">
        <v>6.5012000000000004E-3</v>
      </c>
      <c r="AB93" s="244">
        <v>6.5012000000000004E-3</v>
      </c>
      <c r="AC93" s="244">
        <v>6.5012000000000004E-3</v>
      </c>
      <c r="AD93" s="244">
        <v>0.92366807658495353</v>
      </c>
      <c r="AE93" s="244">
        <v>0.90923425448874562</v>
      </c>
      <c r="AF93" s="244">
        <v>1.0666111938337568</v>
      </c>
      <c r="AG93" s="244">
        <v>1.0657791013401068</v>
      </c>
      <c r="AH93" s="244">
        <v>0</v>
      </c>
      <c r="AI93" s="244">
        <v>0</v>
      </c>
      <c r="AJ93" s="123"/>
      <c r="AK93" s="123"/>
      <c r="AL93" s="123"/>
      <c r="AM93" s="123"/>
      <c r="AN93" s="123"/>
      <c r="AO93" s="123"/>
      <c r="AP93" s="123"/>
      <c r="AQ93" s="132"/>
      <c r="AR93" s="132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32"/>
      <c r="BH93" s="132"/>
      <c r="BI93" s="132"/>
      <c r="BJ93" s="132"/>
      <c r="BK93" s="132"/>
      <c r="BL93" s="132"/>
      <c r="BM93" s="132"/>
      <c r="BN93" s="132"/>
    </row>
    <row r="94" spans="1:66">
      <c r="A94" s="132">
        <v>10288</v>
      </c>
      <c r="B94" s="132" t="s">
        <v>98</v>
      </c>
      <c r="C94" s="244">
        <v>0</v>
      </c>
      <c r="D94" s="244">
        <v>1</v>
      </c>
      <c r="E94" s="244">
        <v>25.103000000000002</v>
      </c>
      <c r="F94" s="244">
        <v>27.396000000000001</v>
      </c>
      <c r="G94" s="244">
        <v>27.539000000000001</v>
      </c>
      <c r="H94" s="244">
        <v>0</v>
      </c>
      <c r="I94" s="244">
        <v>0</v>
      </c>
      <c r="J94" s="244">
        <v>6.6000000000000003E-2</v>
      </c>
      <c r="K94" s="244">
        <v>6.6000000000000003E-2</v>
      </c>
      <c r="L94" s="244">
        <v>579.74400000000003</v>
      </c>
      <c r="M94" s="244">
        <v>578.16000000000008</v>
      </c>
      <c r="N94" s="244">
        <v>24.209</v>
      </c>
      <c r="O94" s="244">
        <v>24.271000000000001</v>
      </c>
      <c r="P94" s="244">
        <v>212651.856</v>
      </c>
      <c r="Q94" s="244">
        <v>212613.96000000002</v>
      </c>
      <c r="R94" s="244">
        <v>24.603000000000002</v>
      </c>
      <c r="S94" s="244">
        <v>216112.75200000001</v>
      </c>
      <c r="T94" s="244">
        <v>0</v>
      </c>
      <c r="U94" s="244">
        <v>0</v>
      </c>
      <c r="V94" s="244">
        <v>0</v>
      </c>
      <c r="W94" s="244">
        <v>0</v>
      </c>
      <c r="X94" s="244">
        <v>3.4464000000000001E-3</v>
      </c>
      <c r="Y94" s="244">
        <v>3.4551999999999999E-3</v>
      </c>
      <c r="Z94" s="244">
        <v>0</v>
      </c>
      <c r="AA94" s="244">
        <v>3.4464000000000001E-3</v>
      </c>
      <c r="AB94" s="244">
        <v>3.4551999999999999E-3</v>
      </c>
      <c r="AC94" s="244">
        <v>3.4508E-3</v>
      </c>
      <c r="AD94" s="244">
        <v>1</v>
      </c>
      <c r="AE94" s="244">
        <v>1</v>
      </c>
      <c r="AF94" s="244">
        <v>1</v>
      </c>
      <c r="AG94" s="244">
        <v>1</v>
      </c>
      <c r="AH94" s="244">
        <v>5.5E-2</v>
      </c>
      <c r="AI94" s="244">
        <v>5.5E-2</v>
      </c>
      <c r="AJ94" s="123"/>
      <c r="AK94" s="123"/>
      <c r="AL94" s="123"/>
      <c r="AM94" s="123"/>
      <c r="AN94" s="123"/>
      <c r="AO94" s="123"/>
      <c r="AP94" s="123"/>
      <c r="AQ94" s="132"/>
      <c r="AR94" s="132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32"/>
      <c r="BH94" s="132"/>
      <c r="BI94" s="132"/>
      <c r="BJ94" s="132"/>
      <c r="BK94" s="132"/>
      <c r="BL94" s="132"/>
      <c r="BM94" s="132"/>
      <c r="BN94" s="132"/>
    </row>
    <row r="95" spans="1:66">
      <c r="A95" s="132">
        <v>10291</v>
      </c>
      <c r="B95" s="132" t="s">
        <v>99</v>
      </c>
      <c r="C95" s="244">
        <v>1</v>
      </c>
      <c r="D95" s="244">
        <v>0</v>
      </c>
      <c r="E95" s="244">
        <v>80.363</v>
      </c>
      <c r="F95" s="244">
        <v>76.522000000000006</v>
      </c>
      <c r="G95" s="244">
        <v>76.837000000000003</v>
      </c>
      <c r="H95" s="244">
        <v>0</v>
      </c>
      <c r="I95" s="244">
        <v>0</v>
      </c>
      <c r="J95" s="244">
        <v>0</v>
      </c>
      <c r="K95" s="244">
        <v>0</v>
      </c>
      <c r="L95" s="244">
        <v>0</v>
      </c>
      <c r="M95" s="244">
        <v>0</v>
      </c>
      <c r="N95" s="244">
        <v>79.117000000000004</v>
      </c>
      <c r="O95" s="244">
        <v>78.379000000000005</v>
      </c>
      <c r="P95" s="244">
        <v>694963.728</v>
      </c>
      <c r="Q95" s="244">
        <v>686600.04</v>
      </c>
      <c r="R95" s="244">
        <v>78.763000000000005</v>
      </c>
      <c r="S95" s="244">
        <v>691854.19200000004</v>
      </c>
      <c r="T95" s="244">
        <v>0.35399999999999998</v>
      </c>
      <c r="U95" s="244">
        <v>0</v>
      </c>
      <c r="V95" s="244">
        <v>0</v>
      </c>
      <c r="W95" s="244">
        <v>0</v>
      </c>
      <c r="X95" s="244">
        <v>1.12126E-2</v>
      </c>
      <c r="Y95" s="244">
        <v>1.11579E-2</v>
      </c>
      <c r="Z95" s="244">
        <v>0</v>
      </c>
      <c r="AA95" s="244">
        <v>1.12126E-2</v>
      </c>
      <c r="AB95" s="244">
        <v>1.11579E-2</v>
      </c>
      <c r="AC95" s="244">
        <v>1.1185250000000001E-2</v>
      </c>
      <c r="AD95" s="244">
        <v>0.99552616063804222</v>
      </c>
      <c r="AE95" s="244">
        <v>0.99999747948812812</v>
      </c>
      <c r="AF95" s="244">
        <v>1.0044944961466677</v>
      </c>
      <c r="AG95" s="244">
        <v>1</v>
      </c>
      <c r="AH95" s="244">
        <v>5.0224724807333393E-2</v>
      </c>
      <c r="AI95" s="244">
        <v>0.05</v>
      </c>
      <c r="AJ95" s="123"/>
      <c r="AK95" s="123"/>
      <c r="AL95" s="123"/>
      <c r="AM95" s="123"/>
      <c r="AN95" s="123"/>
      <c r="AO95" s="123"/>
      <c r="AP95" s="123"/>
      <c r="AQ95" s="132"/>
      <c r="AR95" s="132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32"/>
      <c r="BH95" s="132"/>
      <c r="BI95" s="132"/>
      <c r="BJ95" s="132"/>
      <c r="BK95" s="132"/>
      <c r="BL95" s="132"/>
      <c r="BM95" s="132"/>
      <c r="BN95" s="132"/>
    </row>
    <row r="96" spans="1:66">
      <c r="A96" s="132">
        <v>10294</v>
      </c>
      <c r="B96" s="132" t="s">
        <v>100</v>
      </c>
      <c r="C96" s="244">
        <v>1</v>
      </c>
      <c r="D96" s="244">
        <v>0</v>
      </c>
      <c r="E96" s="244">
        <v>36.869</v>
      </c>
      <c r="F96" s="244">
        <v>35.905000000000001</v>
      </c>
      <c r="G96" s="244">
        <v>36.042000000000002</v>
      </c>
      <c r="H96" s="244">
        <v>0</v>
      </c>
      <c r="I96" s="244">
        <v>0</v>
      </c>
      <c r="J96" s="244">
        <v>0</v>
      </c>
      <c r="K96" s="244">
        <v>0</v>
      </c>
      <c r="L96" s="244">
        <v>0</v>
      </c>
      <c r="M96" s="244">
        <v>0</v>
      </c>
      <c r="N96" s="244">
        <v>35.905000000000001</v>
      </c>
      <c r="O96" s="244">
        <v>36.042000000000002</v>
      </c>
      <c r="P96" s="244">
        <v>315389.52</v>
      </c>
      <c r="Q96" s="244">
        <v>315727.92000000004</v>
      </c>
      <c r="R96" s="244">
        <v>36.134999999999998</v>
      </c>
      <c r="S96" s="244">
        <v>317409.83999999997</v>
      </c>
      <c r="T96" s="244">
        <v>0.19900000000000001</v>
      </c>
      <c r="U96" s="244">
        <v>0.19800000000000001</v>
      </c>
      <c r="V96" s="244">
        <v>0</v>
      </c>
      <c r="W96" s="244">
        <v>0</v>
      </c>
      <c r="X96" s="244">
        <v>5.1114000000000003E-3</v>
      </c>
      <c r="Y96" s="244">
        <v>5.1308999999999999E-3</v>
      </c>
      <c r="Z96" s="244">
        <v>2.8159000000000001E-3</v>
      </c>
      <c r="AA96" s="244">
        <v>2.2955000000000002E-3</v>
      </c>
      <c r="AB96" s="244">
        <v>2.3149999999999998E-3</v>
      </c>
      <c r="AC96" s="244">
        <v>2.30525E-3</v>
      </c>
      <c r="AD96" s="244">
        <v>0.99451731654098074</v>
      </c>
      <c r="AE96" s="244">
        <v>0.99454468882833791</v>
      </c>
      <c r="AF96" s="244">
        <v>1</v>
      </c>
      <c r="AG96" s="244">
        <v>1</v>
      </c>
      <c r="AH96" s="244">
        <v>0</v>
      </c>
      <c r="AI96" s="244">
        <v>0</v>
      </c>
      <c r="AJ96" s="123"/>
      <c r="AK96" s="123"/>
      <c r="AL96" s="123"/>
      <c r="AM96" s="123"/>
      <c r="AN96" s="123"/>
      <c r="AO96" s="123"/>
      <c r="AP96" s="123"/>
      <c r="AQ96" s="132"/>
      <c r="AR96" s="132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32"/>
      <c r="BH96" s="132"/>
      <c r="BI96" s="132"/>
      <c r="BJ96" s="132"/>
      <c r="BK96" s="132"/>
      <c r="BL96" s="132"/>
      <c r="BM96" s="132"/>
      <c r="BN96" s="132"/>
    </row>
    <row r="97" spans="1:66">
      <c r="A97" s="132">
        <v>10304</v>
      </c>
      <c r="B97" s="132" t="s">
        <v>101</v>
      </c>
      <c r="C97" s="244">
        <v>1</v>
      </c>
      <c r="D97" s="244">
        <v>0</v>
      </c>
      <c r="E97" s="244">
        <v>14.278</v>
      </c>
      <c r="F97" s="244">
        <v>13.314</v>
      </c>
      <c r="G97" s="244">
        <v>13.382999999999999</v>
      </c>
      <c r="H97" s="244">
        <v>0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44">
        <v>13.672000000000001</v>
      </c>
      <c r="O97" s="244">
        <v>13.708</v>
      </c>
      <c r="P97" s="244">
        <v>120094.848</v>
      </c>
      <c r="Q97" s="244">
        <v>120082.08</v>
      </c>
      <c r="R97" s="244">
        <v>13.994</v>
      </c>
      <c r="S97" s="244">
        <v>122923.296</v>
      </c>
      <c r="T97" s="244">
        <v>0</v>
      </c>
      <c r="U97" s="244">
        <v>0</v>
      </c>
      <c r="V97" s="244">
        <v>0</v>
      </c>
      <c r="W97" s="244">
        <v>0</v>
      </c>
      <c r="X97" s="244">
        <v>1.9463E-3</v>
      </c>
      <c r="Y97" s="244">
        <v>1.9514999999999999E-3</v>
      </c>
      <c r="Z97" s="244">
        <v>0</v>
      </c>
      <c r="AA97" s="244">
        <v>1.9463E-3</v>
      </c>
      <c r="AB97" s="244">
        <v>1.9514999999999999E-3</v>
      </c>
      <c r="AC97" s="244">
        <v>1.9488999999999999E-3</v>
      </c>
      <c r="AD97" s="244">
        <v>0.99998593516676404</v>
      </c>
      <c r="AE97" s="244">
        <v>1</v>
      </c>
      <c r="AF97" s="244">
        <v>1</v>
      </c>
      <c r="AG97" s="244">
        <v>1</v>
      </c>
      <c r="AH97" s="244">
        <v>0</v>
      </c>
      <c r="AI97" s="244">
        <v>0</v>
      </c>
      <c r="AJ97" s="123"/>
      <c r="AK97" s="123"/>
      <c r="AL97" s="123"/>
      <c r="AM97" s="123"/>
      <c r="AN97" s="123"/>
      <c r="AO97" s="123"/>
      <c r="AP97" s="123"/>
      <c r="AQ97" s="132"/>
      <c r="AR97" s="132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32"/>
      <c r="BH97" s="132"/>
      <c r="BI97" s="132"/>
      <c r="BJ97" s="132"/>
      <c r="BK97" s="132"/>
      <c r="BL97" s="132"/>
      <c r="BM97" s="132"/>
      <c r="BN97" s="132"/>
    </row>
    <row r="98" spans="1:66">
      <c r="A98" s="132">
        <v>10306</v>
      </c>
      <c r="B98" s="132" t="s">
        <v>102</v>
      </c>
      <c r="C98" s="244">
        <v>1</v>
      </c>
      <c r="D98" s="244">
        <v>0</v>
      </c>
      <c r="E98" s="244">
        <v>26.152999999999999</v>
      </c>
      <c r="F98" s="244">
        <v>33.905999999999999</v>
      </c>
      <c r="G98" s="244">
        <v>34.332999999999998</v>
      </c>
      <c r="H98" s="244">
        <v>0</v>
      </c>
      <c r="I98" s="244">
        <v>0</v>
      </c>
      <c r="J98" s="244">
        <v>87.222999999999999</v>
      </c>
      <c r="K98" s="244">
        <v>87.460999999999999</v>
      </c>
      <c r="L98" s="244">
        <v>766166.83199999994</v>
      </c>
      <c r="M98" s="244">
        <v>766158.36</v>
      </c>
      <c r="N98" s="244">
        <v>0</v>
      </c>
      <c r="O98" s="244">
        <v>0</v>
      </c>
      <c r="P98" s="244">
        <v>0</v>
      </c>
      <c r="Q98" s="244">
        <v>0</v>
      </c>
      <c r="R98" s="244">
        <v>25.632000000000001</v>
      </c>
      <c r="S98" s="244">
        <v>225151.48800000001</v>
      </c>
      <c r="T98" s="244">
        <v>0</v>
      </c>
      <c r="U98" s="244">
        <v>0</v>
      </c>
      <c r="V98" s="244">
        <v>0</v>
      </c>
      <c r="W98" s="244">
        <v>0</v>
      </c>
      <c r="X98" s="244">
        <v>0</v>
      </c>
      <c r="Y98" s="244">
        <v>0</v>
      </c>
      <c r="Z98" s="244">
        <v>0</v>
      </c>
      <c r="AA98" s="244">
        <v>0</v>
      </c>
      <c r="AB98" s="244">
        <v>0</v>
      </c>
      <c r="AC98" s="244">
        <v>0</v>
      </c>
      <c r="AD98" s="244">
        <v>1</v>
      </c>
      <c r="AE98" s="244">
        <v>1</v>
      </c>
      <c r="AF98" s="244">
        <v>1</v>
      </c>
      <c r="AG98" s="244">
        <v>1</v>
      </c>
      <c r="AH98" s="244">
        <v>0</v>
      </c>
      <c r="AI98" s="244">
        <v>0</v>
      </c>
      <c r="AJ98" s="123"/>
      <c r="AK98" s="123"/>
      <c r="AL98" s="123"/>
      <c r="AM98" s="123"/>
      <c r="AN98" s="123"/>
      <c r="AO98" s="123"/>
      <c r="AP98" s="123"/>
      <c r="AQ98" s="132"/>
      <c r="AR98" s="132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32"/>
      <c r="BH98" s="132"/>
      <c r="BI98" s="132"/>
      <c r="BJ98" s="132"/>
      <c r="BK98" s="132"/>
      <c r="BL98" s="132"/>
      <c r="BM98" s="132"/>
      <c r="BN98" s="132"/>
    </row>
    <row r="99" spans="1:66">
      <c r="A99" s="132">
        <v>10307</v>
      </c>
      <c r="B99" s="132" t="s">
        <v>103</v>
      </c>
      <c r="C99" s="244">
        <v>1</v>
      </c>
      <c r="D99" s="244">
        <v>0</v>
      </c>
      <c r="E99" s="244">
        <v>73.058999999999997</v>
      </c>
      <c r="F99" s="244">
        <v>68.025999999999996</v>
      </c>
      <c r="G99" s="244">
        <v>68.284000000000006</v>
      </c>
      <c r="H99" s="244">
        <v>0</v>
      </c>
      <c r="I99" s="244">
        <v>0</v>
      </c>
      <c r="J99" s="244">
        <v>0</v>
      </c>
      <c r="K99" s="244">
        <v>0</v>
      </c>
      <c r="L99" s="244">
        <v>0</v>
      </c>
      <c r="M99" s="244">
        <v>0</v>
      </c>
      <c r="N99" s="244">
        <v>67.447000000000003</v>
      </c>
      <c r="O99" s="244">
        <v>67.498999999999995</v>
      </c>
      <c r="P99" s="244">
        <v>592454.44799999997</v>
      </c>
      <c r="Q99" s="244">
        <v>591291.24</v>
      </c>
      <c r="R99" s="244">
        <v>71.603999999999999</v>
      </c>
      <c r="S99" s="244">
        <v>628969.53599999996</v>
      </c>
      <c r="T99" s="244">
        <v>0</v>
      </c>
      <c r="U99" s="244">
        <v>0</v>
      </c>
      <c r="V99" s="244">
        <v>0</v>
      </c>
      <c r="W99" s="244">
        <v>0</v>
      </c>
      <c r="X99" s="244">
        <v>9.6016999999999995E-3</v>
      </c>
      <c r="Y99" s="244">
        <v>9.6091000000000006E-3</v>
      </c>
      <c r="Z99" s="244">
        <v>0</v>
      </c>
      <c r="AA99" s="244">
        <v>9.6016999999999995E-3</v>
      </c>
      <c r="AB99" s="244">
        <v>9.6091000000000006E-3</v>
      </c>
      <c r="AC99" s="244">
        <v>9.6054E-3</v>
      </c>
      <c r="AD99" s="244">
        <v>1</v>
      </c>
      <c r="AE99" s="244">
        <v>1</v>
      </c>
      <c r="AF99" s="244">
        <v>1</v>
      </c>
      <c r="AG99" s="244">
        <v>1</v>
      </c>
      <c r="AH99" s="244">
        <v>0</v>
      </c>
      <c r="AI99" s="244">
        <v>0</v>
      </c>
      <c r="AJ99" s="123"/>
      <c r="AK99" s="123"/>
      <c r="AL99" s="123"/>
      <c r="AM99" s="123"/>
      <c r="AN99" s="123"/>
      <c r="AO99" s="123"/>
      <c r="AP99" s="123"/>
      <c r="AQ99" s="132"/>
      <c r="AR99" s="132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32"/>
      <c r="BH99" s="132"/>
      <c r="BI99" s="132"/>
      <c r="BJ99" s="132"/>
      <c r="BK99" s="132"/>
      <c r="BL99" s="132"/>
      <c r="BM99" s="132"/>
      <c r="BN99" s="132"/>
    </row>
    <row r="100" spans="1:66">
      <c r="A100" s="132">
        <v>10326</v>
      </c>
      <c r="B100" s="132" t="s">
        <v>104</v>
      </c>
      <c r="C100" s="244">
        <v>1</v>
      </c>
      <c r="D100" s="244">
        <v>0</v>
      </c>
      <c r="E100" s="244">
        <v>30.914000000000001</v>
      </c>
      <c r="F100" s="244">
        <v>27.777999999999999</v>
      </c>
      <c r="G100" s="244">
        <v>27.849</v>
      </c>
      <c r="H100" s="244">
        <v>0</v>
      </c>
      <c r="I100" s="244">
        <v>0</v>
      </c>
      <c r="J100" s="244">
        <v>0</v>
      </c>
      <c r="K100" s="244">
        <v>0</v>
      </c>
      <c r="L100" s="244">
        <v>0</v>
      </c>
      <c r="M100" s="244">
        <v>0</v>
      </c>
      <c r="N100" s="244">
        <v>29.521000000000001</v>
      </c>
      <c r="O100" s="244">
        <v>29.536999999999999</v>
      </c>
      <c r="P100" s="244">
        <v>259312.46400000001</v>
      </c>
      <c r="Q100" s="244">
        <v>258744.12</v>
      </c>
      <c r="R100" s="244">
        <v>30.297999999999998</v>
      </c>
      <c r="S100" s="244">
        <v>266137.63199999998</v>
      </c>
      <c r="T100" s="244">
        <v>0</v>
      </c>
      <c r="U100" s="244">
        <v>0</v>
      </c>
      <c r="V100" s="244">
        <v>0</v>
      </c>
      <c r="W100" s="244">
        <v>0</v>
      </c>
      <c r="X100" s="244">
        <v>4.2025999999999999E-3</v>
      </c>
      <c r="Y100" s="244">
        <v>4.2047999999999999E-3</v>
      </c>
      <c r="Z100" s="244">
        <v>0</v>
      </c>
      <c r="AA100" s="244">
        <v>4.2025999999999999E-3</v>
      </c>
      <c r="AB100" s="244">
        <v>4.2047999999999999E-3</v>
      </c>
      <c r="AC100" s="244">
        <v>4.2036999999999995E-3</v>
      </c>
      <c r="AD100" s="244">
        <v>1</v>
      </c>
      <c r="AE100" s="244">
        <v>0.99998876181061036</v>
      </c>
      <c r="AF100" s="244">
        <v>1</v>
      </c>
      <c r="AG100" s="244">
        <v>1</v>
      </c>
      <c r="AH100" s="244">
        <v>0</v>
      </c>
      <c r="AI100" s="244">
        <v>0</v>
      </c>
      <c r="AJ100" s="123"/>
      <c r="AK100" s="123"/>
      <c r="AL100" s="123"/>
      <c r="AM100" s="123"/>
      <c r="AN100" s="123"/>
      <c r="AO100" s="123"/>
      <c r="AP100" s="123"/>
      <c r="AQ100" s="132"/>
      <c r="AR100" s="132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32"/>
      <c r="BH100" s="132"/>
      <c r="BI100" s="132"/>
      <c r="BJ100" s="132"/>
      <c r="BK100" s="132"/>
      <c r="BL100" s="132"/>
      <c r="BM100" s="132"/>
      <c r="BN100" s="132"/>
    </row>
    <row r="101" spans="1:66">
      <c r="A101" s="132">
        <v>10331</v>
      </c>
      <c r="B101" s="132" t="s">
        <v>105</v>
      </c>
      <c r="C101" s="244">
        <v>0</v>
      </c>
      <c r="D101" s="244">
        <v>1</v>
      </c>
      <c r="E101" s="244">
        <v>37.148000000000003</v>
      </c>
      <c r="F101" s="244">
        <v>35.311</v>
      </c>
      <c r="G101" s="244">
        <v>35.408000000000001</v>
      </c>
      <c r="H101" s="244">
        <v>0</v>
      </c>
      <c r="I101" s="244">
        <v>0</v>
      </c>
      <c r="J101" s="244">
        <v>0</v>
      </c>
      <c r="K101" s="244">
        <v>0</v>
      </c>
      <c r="L101" s="244">
        <v>0</v>
      </c>
      <c r="M101" s="244">
        <v>0</v>
      </c>
      <c r="N101" s="244">
        <v>35.935000000000002</v>
      </c>
      <c r="O101" s="244">
        <v>35.984000000000002</v>
      </c>
      <c r="P101" s="244">
        <v>315653.04000000004</v>
      </c>
      <c r="Q101" s="244">
        <v>315219.84000000003</v>
      </c>
      <c r="R101" s="244">
        <v>36.408000000000001</v>
      </c>
      <c r="S101" s="244">
        <v>319807.87200000003</v>
      </c>
      <c r="T101" s="244">
        <v>0</v>
      </c>
      <c r="U101" s="244">
        <v>0</v>
      </c>
      <c r="V101" s="244">
        <v>0</v>
      </c>
      <c r="W101" s="244">
        <v>0</v>
      </c>
      <c r="X101" s="244">
        <v>5.1156999999999999E-3</v>
      </c>
      <c r="Y101" s="244">
        <v>5.1225999999999997E-3</v>
      </c>
      <c r="Z101" s="244">
        <v>0</v>
      </c>
      <c r="AA101" s="244">
        <v>5.1156999999999999E-3</v>
      </c>
      <c r="AB101" s="244">
        <v>5.1225999999999997E-3</v>
      </c>
      <c r="AC101" s="244">
        <v>5.1191499999999994E-3</v>
      </c>
      <c r="AD101" s="244">
        <v>1</v>
      </c>
      <c r="AE101" s="244">
        <v>0.99999347407736761</v>
      </c>
      <c r="AF101" s="244">
        <v>1</v>
      </c>
      <c r="AG101" s="244">
        <v>1</v>
      </c>
      <c r="AH101" s="244">
        <v>7.0000000000000007E-2</v>
      </c>
      <c r="AI101" s="244">
        <v>7.0000000000000007E-2</v>
      </c>
      <c r="AJ101" s="123"/>
      <c r="AK101" s="123"/>
      <c r="AL101" s="123"/>
      <c r="AM101" s="123"/>
      <c r="AN101" s="123"/>
      <c r="AO101" s="123"/>
      <c r="AP101" s="123"/>
      <c r="AQ101" s="132"/>
      <c r="AR101" s="132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32"/>
      <c r="BH101" s="132"/>
      <c r="BI101" s="132"/>
      <c r="BJ101" s="132"/>
      <c r="BK101" s="132"/>
      <c r="BL101" s="132"/>
      <c r="BM101" s="132"/>
      <c r="BN101" s="132"/>
    </row>
    <row r="102" spans="1:66">
      <c r="A102" s="132">
        <v>10333</v>
      </c>
      <c r="B102" s="132" t="s">
        <v>106</v>
      </c>
      <c r="C102" s="244">
        <v>0</v>
      </c>
      <c r="D102" s="244">
        <v>1</v>
      </c>
      <c r="E102" s="244">
        <v>18.791</v>
      </c>
      <c r="F102" s="244">
        <v>19.975000000000001</v>
      </c>
      <c r="G102" s="244">
        <v>20.228999999999999</v>
      </c>
      <c r="H102" s="244">
        <v>0</v>
      </c>
      <c r="I102" s="244">
        <v>0</v>
      </c>
      <c r="J102" s="244">
        <v>0</v>
      </c>
      <c r="K102" s="244">
        <v>0</v>
      </c>
      <c r="L102" s="244">
        <v>0</v>
      </c>
      <c r="M102" s="244">
        <v>0</v>
      </c>
      <c r="N102" s="244">
        <v>18.283000000000001</v>
      </c>
      <c r="O102" s="244">
        <v>18.417999999999999</v>
      </c>
      <c r="P102" s="244">
        <v>160597.872</v>
      </c>
      <c r="Q102" s="244">
        <v>161341.68</v>
      </c>
      <c r="R102" s="244">
        <v>18.417000000000002</v>
      </c>
      <c r="S102" s="244">
        <v>161774.92800000001</v>
      </c>
      <c r="T102" s="244">
        <v>0</v>
      </c>
      <c r="U102" s="244">
        <v>1E-3</v>
      </c>
      <c r="V102" s="244">
        <v>0</v>
      </c>
      <c r="W102" s="244">
        <v>1E-3</v>
      </c>
      <c r="X102" s="244">
        <v>2.6026999999999999E-3</v>
      </c>
      <c r="Y102" s="244">
        <v>2.6218000000000001E-3</v>
      </c>
      <c r="Z102" s="244">
        <v>0</v>
      </c>
      <c r="AA102" s="244">
        <v>2.6026999999999999E-3</v>
      </c>
      <c r="AB102" s="244">
        <v>2.6218000000000001E-3</v>
      </c>
      <c r="AC102" s="244">
        <v>2.61225E-3</v>
      </c>
      <c r="AD102" s="244">
        <v>0.9999834481430836</v>
      </c>
      <c r="AE102" s="244">
        <v>0.99993840599413608</v>
      </c>
      <c r="AF102" s="244">
        <v>1</v>
      </c>
      <c r="AG102" s="244">
        <v>1.0000542976597708</v>
      </c>
      <c r="AH102" s="244">
        <v>6.5000000000000002E-2</v>
      </c>
      <c r="AI102" s="244">
        <v>6.50035293478851E-2</v>
      </c>
      <c r="AJ102" s="123"/>
      <c r="AK102" s="123"/>
      <c r="AL102" s="123"/>
      <c r="AM102" s="123"/>
      <c r="AN102" s="123"/>
      <c r="AO102" s="123"/>
      <c r="AP102" s="123"/>
      <c r="AQ102" s="132"/>
      <c r="AR102" s="132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32"/>
      <c r="BH102" s="132"/>
      <c r="BI102" s="132"/>
      <c r="BJ102" s="132"/>
      <c r="BK102" s="132"/>
      <c r="BL102" s="132"/>
      <c r="BM102" s="132"/>
      <c r="BN102" s="132"/>
    </row>
    <row r="103" spans="1:66">
      <c r="A103" s="132">
        <v>10338</v>
      </c>
      <c r="B103" s="132" t="s">
        <v>107</v>
      </c>
      <c r="C103" s="244">
        <v>1</v>
      </c>
      <c r="D103" s="244">
        <v>0</v>
      </c>
      <c r="E103" s="244">
        <v>2.4079999999999999</v>
      </c>
      <c r="F103" s="244">
        <v>2.577</v>
      </c>
      <c r="G103" s="244">
        <v>2.5920000000000001</v>
      </c>
      <c r="H103" s="244">
        <v>0</v>
      </c>
      <c r="I103" s="244">
        <v>0</v>
      </c>
      <c r="J103" s="244">
        <v>0</v>
      </c>
      <c r="K103" s="244">
        <v>0</v>
      </c>
      <c r="L103" s="244">
        <v>0</v>
      </c>
      <c r="M103" s="244">
        <v>0</v>
      </c>
      <c r="N103" s="244">
        <v>2.4329999999999998</v>
      </c>
      <c r="O103" s="244">
        <v>2.4409999999999998</v>
      </c>
      <c r="P103" s="244">
        <v>21371.471999999998</v>
      </c>
      <c r="Q103" s="244">
        <v>21383.16</v>
      </c>
      <c r="R103" s="244">
        <v>2.36</v>
      </c>
      <c r="S103" s="244">
        <v>20730.239999999998</v>
      </c>
      <c r="T103" s="244">
        <v>7.2999999999999995E-2</v>
      </c>
      <c r="U103" s="244">
        <v>8.1000000000000003E-2</v>
      </c>
      <c r="V103" s="244">
        <v>0</v>
      </c>
      <c r="W103" s="244">
        <v>0</v>
      </c>
      <c r="X103" s="244">
        <v>3.3599999999999998E-4</v>
      </c>
      <c r="Y103" s="244">
        <v>3.3599999999999998E-4</v>
      </c>
      <c r="Z103" s="244">
        <v>0</v>
      </c>
      <c r="AA103" s="244">
        <v>3.3599999999999998E-4</v>
      </c>
      <c r="AB103" s="244">
        <v>3.3599999999999998E-4</v>
      </c>
      <c r="AC103" s="244">
        <v>3.3599999999999998E-4</v>
      </c>
      <c r="AD103" s="244">
        <v>0.97009290258939584</v>
      </c>
      <c r="AE103" s="244">
        <v>0.9669135731257682</v>
      </c>
      <c r="AF103" s="244">
        <v>1.0309322033898305</v>
      </c>
      <c r="AG103" s="244">
        <v>1.034322033898305</v>
      </c>
      <c r="AH103" s="244">
        <v>3.6082627118644073E-2</v>
      </c>
      <c r="AI103" s="244">
        <v>3.6201271186440676E-2</v>
      </c>
      <c r="AJ103" s="123"/>
      <c r="AK103" s="123"/>
      <c r="AL103" s="123"/>
      <c r="AM103" s="123"/>
      <c r="AN103" s="123"/>
      <c r="AO103" s="123"/>
      <c r="AP103" s="123"/>
      <c r="AQ103" s="132"/>
      <c r="AR103" s="132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32"/>
      <c r="BH103" s="132"/>
      <c r="BI103" s="132"/>
      <c r="BJ103" s="132"/>
      <c r="BK103" s="132"/>
      <c r="BL103" s="132"/>
      <c r="BM103" s="132"/>
      <c r="BN103" s="132"/>
    </row>
    <row r="104" spans="1:66">
      <c r="A104" s="132">
        <v>10342</v>
      </c>
      <c r="B104" s="132" t="s">
        <v>108</v>
      </c>
      <c r="C104" s="244">
        <v>1</v>
      </c>
      <c r="D104" s="244">
        <v>0</v>
      </c>
      <c r="E104" s="244">
        <v>39.268000000000001</v>
      </c>
      <c r="F104" s="244">
        <v>37.731000000000002</v>
      </c>
      <c r="G104" s="244">
        <v>37.917000000000002</v>
      </c>
      <c r="H104" s="244">
        <v>0</v>
      </c>
      <c r="I104" s="244">
        <v>0</v>
      </c>
      <c r="J104" s="244">
        <v>0</v>
      </c>
      <c r="K104" s="244">
        <v>0</v>
      </c>
      <c r="L104" s="244">
        <v>0</v>
      </c>
      <c r="M104" s="244">
        <v>0</v>
      </c>
      <c r="N104" s="244">
        <v>37.942999999999998</v>
      </c>
      <c r="O104" s="244">
        <v>38.042999999999999</v>
      </c>
      <c r="P104" s="244">
        <v>333291.31199999998</v>
      </c>
      <c r="Q104" s="244">
        <v>333256.68</v>
      </c>
      <c r="R104" s="244">
        <v>38.485999999999997</v>
      </c>
      <c r="S104" s="244">
        <v>338061.02399999998</v>
      </c>
      <c r="T104" s="244">
        <v>0</v>
      </c>
      <c r="U104" s="244">
        <v>0</v>
      </c>
      <c r="V104" s="244">
        <v>0</v>
      </c>
      <c r="W104" s="244">
        <v>0</v>
      </c>
      <c r="X104" s="244">
        <v>5.4015000000000001E-3</v>
      </c>
      <c r="Y104" s="244">
        <v>5.4156999999999999E-3</v>
      </c>
      <c r="Z104" s="244">
        <v>0</v>
      </c>
      <c r="AA104" s="244">
        <v>5.4015000000000001E-3</v>
      </c>
      <c r="AB104" s="244">
        <v>5.4156999999999999E-3</v>
      </c>
      <c r="AC104" s="244">
        <v>5.4085999999999995E-3</v>
      </c>
      <c r="AD104" s="244">
        <v>0.99999740579289986</v>
      </c>
      <c r="AE104" s="244">
        <v>0.9999907903793076</v>
      </c>
      <c r="AF104" s="244">
        <v>1</v>
      </c>
      <c r="AG104" s="244">
        <v>1</v>
      </c>
      <c r="AH104" s="244">
        <v>0</v>
      </c>
      <c r="AI104" s="244">
        <v>0</v>
      </c>
      <c r="AJ104" s="123"/>
      <c r="AK104" s="123"/>
      <c r="AL104" s="123"/>
      <c r="AM104" s="123"/>
      <c r="AN104" s="123"/>
      <c r="AO104" s="123"/>
      <c r="AP104" s="123"/>
      <c r="AQ104" s="132"/>
      <c r="AR104" s="132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32"/>
      <c r="BH104" s="132"/>
      <c r="BI104" s="132"/>
      <c r="BJ104" s="132"/>
      <c r="BK104" s="132"/>
      <c r="BL104" s="132"/>
      <c r="BM104" s="132"/>
      <c r="BN104" s="132"/>
    </row>
    <row r="105" spans="1:66">
      <c r="A105" s="132">
        <v>10343</v>
      </c>
      <c r="B105" s="132" t="s">
        <v>109</v>
      </c>
      <c r="C105" s="244">
        <v>1</v>
      </c>
      <c r="D105" s="244">
        <v>0</v>
      </c>
      <c r="E105" s="244">
        <v>31.856999999999999</v>
      </c>
      <c r="F105" s="244">
        <v>11.999000000000001</v>
      </c>
      <c r="G105" s="244">
        <v>12.032</v>
      </c>
      <c r="H105" s="244">
        <v>0</v>
      </c>
      <c r="I105" s="244">
        <v>0</v>
      </c>
      <c r="J105" s="244">
        <v>7.9000000000000001E-2</v>
      </c>
      <c r="K105" s="244">
        <v>7.9000000000000001E-2</v>
      </c>
      <c r="L105" s="244">
        <v>693.93600000000004</v>
      </c>
      <c r="M105" s="244">
        <v>692.04</v>
      </c>
      <c r="N105" s="244">
        <v>12.076000000000001</v>
      </c>
      <c r="O105" s="244">
        <v>12.074</v>
      </c>
      <c r="P105" s="244">
        <v>106075.584</v>
      </c>
      <c r="Q105" s="244">
        <v>105768.24</v>
      </c>
      <c r="R105" s="244">
        <v>31.222999999999999</v>
      </c>
      <c r="S105" s="244">
        <v>274262.83199999999</v>
      </c>
      <c r="T105" s="244">
        <v>0</v>
      </c>
      <c r="U105" s="244">
        <v>0</v>
      </c>
      <c r="V105" s="244">
        <v>0</v>
      </c>
      <c r="W105" s="244">
        <v>0</v>
      </c>
      <c r="X105" s="244">
        <v>1.7191000000000001E-3</v>
      </c>
      <c r="Y105" s="244">
        <v>1.7187999999999999E-3</v>
      </c>
      <c r="Z105" s="244">
        <v>0</v>
      </c>
      <c r="AA105" s="244">
        <v>1.7191000000000001E-3</v>
      </c>
      <c r="AB105" s="244">
        <v>1.7187999999999999E-3</v>
      </c>
      <c r="AC105" s="244">
        <v>1.7189499999999999E-3</v>
      </c>
      <c r="AD105" s="244">
        <v>0.9999866329248096</v>
      </c>
      <c r="AE105" s="244">
        <v>0.9999777394069902</v>
      </c>
      <c r="AF105" s="244">
        <v>1</v>
      </c>
      <c r="AG105" s="244">
        <v>1</v>
      </c>
      <c r="AH105" s="244">
        <v>7.0000000000000007E-2</v>
      </c>
      <c r="AI105" s="244">
        <v>7.0000000000000007E-2</v>
      </c>
      <c r="AJ105" s="123"/>
      <c r="AK105" s="123"/>
      <c r="AL105" s="123"/>
      <c r="AM105" s="123"/>
      <c r="AN105" s="123"/>
      <c r="AO105" s="123"/>
      <c r="AP105" s="123"/>
      <c r="AQ105" s="132"/>
      <c r="AR105" s="132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32"/>
      <c r="BH105" s="132"/>
      <c r="BI105" s="132"/>
      <c r="BJ105" s="132"/>
      <c r="BK105" s="132"/>
      <c r="BL105" s="132"/>
      <c r="BM105" s="132"/>
      <c r="BN105" s="132"/>
    </row>
    <row r="106" spans="1:66">
      <c r="A106" s="132">
        <v>10349</v>
      </c>
      <c r="B106" s="132" t="s">
        <v>110</v>
      </c>
      <c r="C106" s="244">
        <v>1</v>
      </c>
      <c r="D106" s="244">
        <v>0</v>
      </c>
      <c r="E106" s="244">
        <v>531.72699999999998</v>
      </c>
      <c r="F106" s="244">
        <v>1043.2840000000001</v>
      </c>
      <c r="G106" s="244">
        <v>1043.6759999999999</v>
      </c>
      <c r="H106" s="244">
        <v>0</v>
      </c>
      <c r="I106" s="244">
        <v>0</v>
      </c>
      <c r="J106" s="244">
        <v>613.83399999999995</v>
      </c>
      <c r="K106" s="244">
        <v>614.37400000000002</v>
      </c>
      <c r="L106" s="244">
        <v>5391917.8559999997</v>
      </c>
      <c r="M106" s="244">
        <v>5381916.2400000002</v>
      </c>
      <c r="N106" s="244">
        <v>429.45</v>
      </c>
      <c r="O106" s="244">
        <v>429.30200000000002</v>
      </c>
      <c r="P106" s="244">
        <v>3772288.8</v>
      </c>
      <c r="Q106" s="244">
        <v>3760685.52</v>
      </c>
      <c r="R106" s="244">
        <v>521.13800000000003</v>
      </c>
      <c r="S106" s="244">
        <v>4577676.1920000007</v>
      </c>
      <c r="T106" s="244">
        <v>0</v>
      </c>
      <c r="U106" s="244">
        <v>0</v>
      </c>
      <c r="V106" s="244">
        <v>0</v>
      </c>
      <c r="W106" s="244">
        <v>0</v>
      </c>
      <c r="X106" s="244">
        <v>6.11359E-2</v>
      </c>
      <c r="Y106" s="244">
        <v>6.1114799999999997E-2</v>
      </c>
      <c r="Z106" s="244">
        <v>0</v>
      </c>
      <c r="AA106" s="244">
        <v>6.11359E-2</v>
      </c>
      <c r="AB106" s="244">
        <v>6.1114799999999997E-2</v>
      </c>
      <c r="AC106" s="244">
        <v>6.1125349999999995E-2</v>
      </c>
      <c r="AD106" s="244">
        <v>0.99999953505194272</v>
      </c>
      <c r="AE106" s="244">
        <v>0.99999981280105266</v>
      </c>
      <c r="AF106" s="244">
        <v>1</v>
      </c>
      <c r="AG106" s="244">
        <v>1</v>
      </c>
      <c r="AH106" s="244">
        <v>0</v>
      </c>
      <c r="AI106" s="244">
        <v>0</v>
      </c>
      <c r="AJ106" s="123"/>
      <c r="AK106" s="123"/>
      <c r="AL106" s="123"/>
      <c r="AM106" s="123"/>
      <c r="AN106" s="123"/>
      <c r="AO106" s="123"/>
      <c r="AP106" s="123"/>
      <c r="AQ106" s="132"/>
      <c r="AR106" s="132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32"/>
      <c r="BH106" s="132"/>
      <c r="BI106" s="132"/>
      <c r="BJ106" s="132"/>
      <c r="BK106" s="132"/>
      <c r="BL106" s="132"/>
      <c r="BM106" s="132"/>
      <c r="BN106" s="132"/>
    </row>
    <row r="107" spans="1:66">
      <c r="A107" s="132">
        <v>10352</v>
      </c>
      <c r="B107" s="132" t="s">
        <v>111</v>
      </c>
      <c r="C107" s="244">
        <v>1</v>
      </c>
      <c r="D107" s="244">
        <v>0</v>
      </c>
      <c r="E107" s="244">
        <v>16.143999999999998</v>
      </c>
      <c r="F107" s="244">
        <v>16.696999999999999</v>
      </c>
      <c r="G107" s="244">
        <v>16.805</v>
      </c>
      <c r="H107" s="244">
        <v>0</v>
      </c>
      <c r="I107" s="244">
        <v>0</v>
      </c>
      <c r="J107" s="244">
        <v>0</v>
      </c>
      <c r="K107" s="244">
        <v>0</v>
      </c>
      <c r="L107" s="244">
        <v>0</v>
      </c>
      <c r="M107" s="244">
        <v>0</v>
      </c>
      <c r="N107" s="244">
        <v>15.319000000000001</v>
      </c>
      <c r="O107" s="244">
        <v>15.339</v>
      </c>
      <c r="P107" s="244">
        <v>134562.09600000002</v>
      </c>
      <c r="Q107" s="244">
        <v>134369.64000000001</v>
      </c>
      <c r="R107" s="244">
        <v>15.821999999999999</v>
      </c>
      <c r="S107" s="244">
        <v>138980.448</v>
      </c>
      <c r="T107" s="244">
        <v>0</v>
      </c>
      <c r="U107" s="244">
        <v>0</v>
      </c>
      <c r="V107" s="244">
        <v>0</v>
      </c>
      <c r="W107" s="244">
        <v>0</v>
      </c>
      <c r="X107" s="244">
        <v>2.1808000000000001E-3</v>
      </c>
      <c r="Y107" s="244">
        <v>2.1836E-3</v>
      </c>
      <c r="Z107" s="244">
        <v>0</v>
      </c>
      <c r="AA107" s="244">
        <v>2.1808000000000001E-3</v>
      </c>
      <c r="AB107" s="244">
        <v>2.1836E-3</v>
      </c>
      <c r="AC107" s="244">
        <v>2.1822E-3</v>
      </c>
      <c r="AD107" s="244">
        <v>1</v>
      </c>
      <c r="AE107" s="244">
        <v>0.99998203293565413</v>
      </c>
      <c r="AF107" s="244">
        <v>1</v>
      </c>
      <c r="AG107" s="244">
        <v>1</v>
      </c>
      <c r="AH107" s="244">
        <v>4.4999999999999998E-2</v>
      </c>
      <c r="AI107" s="244">
        <v>4.4999999999999998E-2</v>
      </c>
      <c r="AJ107" s="123"/>
      <c r="AK107" s="123"/>
      <c r="AL107" s="123"/>
      <c r="AM107" s="123"/>
      <c r="AN107" s="123"/>
      <c r="AO107" s="123"/>
      <c r="AP107" s="123"/>
      <c r="AQ107" s="132"/>
      <c r="AR107" s="132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32"/>
      <c r="BH107" s="132"/>
      <c r="BI107" s="132"/>
      <c r="BJ107" s="132"/>
      <c r="BK107" s="132"/>
      <c r="BL107" s="132"/>
      <c r="BM107" s="132"/>
      <c r="BN107" s="132"/>
    </row>
    <row r="108" spans="1:66">
      <c r="A108" s="132">
        <v>10354</v>
      </c>
      <c r="B108" s="132" t="s">
        <v>112</v>
      </c>
      <c r="C108" s="244">
        <v>1</v>
      </c>
      <c r="D108" s="244">
        <v>0</v>
      </c>
      <c r="E108" s="244">
        <v>810.99</v>
      </c>
      <c r="F108" s="244">
        <v>734.59699999999998</v>
      </c>
      <c r="G108" s="244">
        <v>731.904</v>
      </c>
      <c r="H108" s="244">
        <v>0</v>
      </c>
      <c r="I108" s="244">
        <v>0</v>
      </c>
      <c r="J108" s="244">
        <v>30.744</v>
      </c>
      <c r="K108" s="244">
        <v>30.827999999999999</v>
      </c>
      <c r="L108" s="244">
        <v>270055.29599999997</v>
      </c>
      <c r="M108" s="244">
        <v>270053.27999999997</v>
      </c>
      <c r="N108" s="244">
        <v>703.85299999999995</v>
      </c>
      <c r="O108" s="244">
        <v>701.07600000000002</v>
      </c>
      <c r="P108" s="244">
        <v>6182644.7519999994</v>
      </c>
      <c r="Q108" s="244">
        <v>6141425.7599999998</v>
      </c>
      <c r="R108" s="244">
        <v>794.83900000000006</v>
      </c>
      <c r="S108" s="244">
        <v>6981865.7760000005</v>
      </c>
      <c r="T108" s="244">
        <v>0</v>
      </c>
      <c r="U108" s="244">
        <v>0</v>
      </c>
      <c r="V108" s="244">
        <v>0</v>
      </c>
      <c r="W108" s="244">
        <v>0</v>
      </c>
      <c r="X108" s="244">
        <v>0.1001995</v>
      </c>
      <c r="Y108" s="244">
        <v>9.9804199999999996E-2</v>
      </c>
      <c r="Z108" s="244">
        <v>5.4363700000000001E-2</v>
      </c>
      <c r="AA108" s="244">
        <v>4.5835799999999996E-2</v>
      </c>
      <c r="AB108" s="244">
        <v>4.5440499999999995E-2</v>
      </c>
      <c r="AC108" s="244">
        <v>4.5638149999999995E-2</v>
      </c>
      <c r="AD108" s="244">
        <v>0.99999950375116875</v>
      </c>
      <c r="AE108" s="244">
        <v>0.9999999467430829</v>
      </c>
      <c r="AF108" s="244">
        <v>1</v>
      </c>
      <c r="AG108" s="244">
        <v>1</v>
      </c>
      <c r="AH108" s="244">
        <v>0</v>
      </c>
      <c r="AI108" s="244">
        <v>0</v>
      </c>
      <c r="AJ108" s="123"/>
      <c r="AK108" s="123"/>
      <c r="AL108" s="123"/>
      <c r="AM108" s="123"/>
      <c r="AN108" s="123"/>
      <c r="AO108" s="123"/>
      <c r="AP108" s="123"/>
      <c r="AQ108" s="132"/>
      <c r="AR108" s="132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32"/>
      <c r="BH108" s="132"/>
      <c r="BI108" s="132"/>
      <c r="BJ108" s="132"/>
      <c r="BK108" s="132"/>
      <c r="BL108" s="132"/>
      <c r="BM108" s="132"/>
      <c r="BN108" s="132"/>
    </row>
    <row r="109" spans="1:66">
      <c r="A109" s="132">
        <v>10360</v>
      </c>
      <c r="B109" s="132" t="s">
        <v>113</v>
      </c>
      <c r="C109" s="244">
        <v>1</v>
      </c>
      <c r="D109" s="244">
        <v>0</v>
      </c>
      <c r="E109" s="244">
        <v>6.8659999999999997</v>
      </c>
      <c r="F109" s="244">
        <v>7.1539999999999999</v>
      </c>
      <c r="G109" s="244">
        <v>7.1959999999999997</v>
      </c>
      <c r="H109" s="244">
        <v>0</v>
      </c>
      <c r="I109" s="244">
        <v>0</v>
      </c>
      <c r="J109" s="244">
        <v>0</v>
      </c>
      <c r="K109" s="244">
        <v>0</v>
      </c>
      <c r="L109" s="244">
        <v>0</v>
      </c>
      <c r="M109" s="244">
        <v>0</v>
      </c>
      <c r="N109" s="244">
        <v>7.1470000000000002</v>
      </c>
      <c r="O109" s="244">
        <v>7.1749999999999998</v>
      </c>
      <c r="P109" s="244">
        <v>62779.248</v>
      </c>
      <c r="Q109" s="244">
        <v>62853</v>
      </c>
      <c r="R109" s="244">
        <v>6.7290000000000001</v>
      </c>
      <c r="S109" s="244">
        <v>59107.536</v>
      </c>
      <c r="T109" s="244">
        <v>0.41799999999999998</v>
      </c>
      <c r="U109" s="244">
        <v>0.44600000000000001</v>
      </c>
      <c r="V109" s="244">
        <v>0</v>
      </c>
      <c r="W109" s="244">
        <v>0</v>
      </c>
      <c r="X109" s="244">
        <v>9.5790000000000003E-4</v>
      </c>
      <c r="Y109" s="244">
        <v>9.5790000000000003E-4</v>
      </c>
      <c r="Z109" s="244">
        <v>0</v>
      </c>
      <c r="AA109" s="244">
        <v>9.5790000000000003E-4</v>
      </c>
      <c r="AB109" s="244">
        <v>9.5790000000000003E-4</v>
      </c>
      <c r="AC109" s="244">
        <v>9.5790000000000003E-4</v>
      </c>
      <c r="AD109" s="244">
        <v>0.94148314604729244</v>
      </c>
      <c r="AE109" s="244">
        <v>0.93780906547735188</v>
      </c>
      <c r="AF109" s="244">
        <v>1.0621191856145045</v>
      </c>
      <c r="AG109" s="244">
        <v>1.0662802793877246</v>
      </c>
      <c r="AH109" s="244">
        <v>4.7795363352652699E-2</v>
      </c>
      <c r="AI109" s="244">
        <v>4.7982612572447604E-2</v>
      </c>
      <c r="AJ109" s="123"/>
      <c r="AK109" s="123"/>
      <c r="AL109" s="123"/>
      <c r="AM109" s="123"/>
      <c r="AN109" s="123"/>
      <c r="AO109" s="123"/>
      <c r="AP109" s="123"/>
      <c r="AQ109" s="132"/>
      <c r="AR109" s="132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32"/>
      <c r="BH109" s="132"/>
      <c r="BI109" s="132"/>
      <c r="BJ109" s="132"/>
      <c r="BK109" s="132"/>
      <c r="BL109" s="132"/>
      <c r="BM109" s="132"/>
      <c r="BN109" s="132"/>
    </row>
    <row r="110" spans="1:66">
      <c r="A110" s="132">
        <v>10363</v>
      </c>
      <c r="B110" s="132" t="s">
        <v>114</v>
      </c>
      <c r="C110" s="244">
        <v>1</v>
      </c>
      <c r="D110" s="244">
        <v>0</v>
      </c>
      <c r="E110" s="244">
        <v>102.208</v>
      </c>
      <c r="F110" s="244">
        <v>90.441000000000003</v>
      </c>
      <c r="G110" s="244">
        <v>90.912999999999997</v>
      </c>
      <c r="H110" s="244">
        <v>0</v>
      </c>
      <c r="I110" s="244">
        <v>0</v>
      </c>
      <c r="J110" s="244">
        <v>0</v>
      </c>
      <c r="K110" s="244">
        <v>0</v>
      </c>
      <c r="L110" s="244">
        <v>0</v>
      </c>
      <c r="M110" s="244">
        <v>0</v>
      </c>
      <c r="N110" s="244">
        <v>94.820999999999998</v>
      </c>
      <c r="O110" s="244">
        <v>94.988</v>
      </c>
      <c r="P110" s="244">
        <v>832907.66399999999</v>
      </c>
      <c r="Q110" s="244">
        <v>832094.88</v>
      </c>
      <c r="R110" s="244">
        <v>100.173</v>
      </c>
      <c r="S110" s="244">
        <v>879919.63199999998</v>
      </c>
      <c r="T110" s="244">
        <v>0</v>
      </c>
      <c r="U110" s="244">
        <v>0</v>
      </c>
      <c r="V110" s="244">
        <v>0</v>
      </c>
      <c r="W110" s="244">
        <v>0</v>
      </c>
      <c r="X110" s="244">
        <v>1.3498599999999999E-2</v>
      </c>
      <c r="Y110" s="244">
        <v>1.35224E-2</v>
      </c>
      <c r="Z110" s="244">
        <v>0</v>
      </c>
      <c r="AA110" s="244">
        <v>1.3498599999999999E-2</v>
      </c>
      <c r="AB110" s="244">
        <v>1.35224E-2</v>
      </c>
      <c r="AC110" s="244">
        <v>1.35105E-2</v>
      </c>
      <c r="AD110" s="244">
        <v>1</v>
      </c>
      <c r="AE110" s="244">
        <v>1</v>
      </c>
      <c r="AF110" s="244">
        <v>1</v>
      </c>
      <c r="AG110" s="244">
        <v>1</v>
      </c>
      <c r="AH110" s="244">
        <v>0</v>
      </c>
      <c r="AI110" s="244">
        <v>0</v>
      </c>
      <c r="AJ110" s="123"/>
      <c r="AK110" s="123"/>
      <c r="AL110" s="123"/>
      <c r="AM110" s="123"/>
      <c r="AN110" s="123"/>
      <c r="AO110" s="123"/>
      <c r="AP110" s="123"/>
      <c r="AQ110" s="132"/>
      <c r="AR110" s="132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32"/>
      <c r="BH110" s="132"/>
      <c r="BI110" s="132"/>
      <c r="BJ110" s="132"/>
      <c r="BK110" s="132"/>
      <c r="BL110" s="132"/>
      <c r="BM110" s="132"/>
      <c r="BN110" s="132"/>
    </row>
    <row r="111" spans="1:66">
      <c r="A111" s="132">
        <v>10369</v>
      </c>
      <c r="B111" s="132" t="s">
        <v>115</v>
      </c>
      <c r="C111" s="244">
        <v>1</v>
      </c>
      <c r="D111" s="244">
        <v>0</v>
      </c>
      <c r="E111" s="244">
        <v>16.677</v>
      </c>
      <c r="F111" s="244">
        <v>17.263000000000002</v>
      </c>
      <c r="G111" s="244">
        <v>17.311</v>
      </c>
      <c r="H111" s="244">
        <v>0</v>
      </c>
      <c r="I111" s="244">
        <v>0</v>
      </c>
      <c r="J111" s="244">
        <v>0</v>
      </c>
      <c r="K111" s="244">
        <v>0</v>
      </c>
      <c r="L111" s="244">
        <v>0</v>
      </c>
      <c r="M111" s="244">
        <v>0</v>
      </c>
      <c r="N111" s="244">
        <v>18.013999999999999</v>
      </c>
      <c r="O111" s="244">
        <v>18.039000000000001</v>
      </c>
      <c r="P111" s="244">
        <v>158234.976</v>
      </c>
      <c r="Q111" s="244">
        <v>158021.64000000001</v>
      </c>
      <c r="R111" s="244">
        <v>16.344999999999999</v>
      </c>
      <c r="S111" s="244">
        <v>143574.47999999998</v>
      </c>
      <c r="T111" s="244">
        <v>1.669</v>
      </c>
      <c r="U111" s="244">
        <v>1.694</v>
      </c>
      <c r="V111" s="244">
        <v>1.669</v>
      </c>
      <c r="W111" s="244">
        <v>1.694</v>
      </c>
      <c r="X111" s="244">
        <v>2.3268999999999998E-3</v>
      </c>
      <c r="Y111" s="244">
        <v>2.3268999999999998E-3</v>
      </c>
      <c r="Z111" s="244">
        <v>0</v>
      </c>
      <c r="AA111" s="244">
        <v>2.3268999999999998E-3</v>
      </c>
      <c r="AB111" s="244">
        <v>2.3268999999999998E-3</v>
      </c>
      <c r="AC111" s="244">
        <v>2.3268999999999998E-3</v>
      </c>
      <c r="AD111" s="244">
        <v>0.90736854517597421</v>
      </c>
      <c r="AE111" s="244">
        <v>0.90611103568933959</v>
      </c>
      <c r="AF111" s="244">
        <v>1.1021107372285104</v>
      </c>
      <c r="AG111" s="244">
        <v>1.1036402569593149</v>
      </c>
      <c r="AH111" s="244">
        <v>7.714775160599574E-2</v>
      </c>
      <c r="AI111" s="244">
        <v>7.7254817987152044E-2</v>
      </c>
      <c r="AJ111" s="123"/>
      <c r="AK111" s="123"/>
      <c r="AL111" s="123"/>
      <c r="AM111" s="123"/>
      <c r="AN111" s="123"/>
      <c r="AO111" s="123"/>
      <c r="AP111" s="123"/>
      <c r="AQ111" s="132"/>
      <c r="AR111" s="132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32"/>
      <c r="BH111" s="132"/>
      <c r="BI111" s="132"/>
      <c r="BJ111" s="132"/>
      <c r="BK111" s="132"/>
      <c r="BL111" s="132"/>
      <c r="BM111" s="132"/>
      <c r="BN111" s="132"/>
    </row>
    <row r="112" spans="1:66">
      <c r="A112" s="132">
        <v>10370</v>
      </c>
      <c r="B112" s="132" t="s">
        <v>116</v>
      </c>
      <c r="C112" s="244">
        <v>1</v>
      </c>
      <c r="D112" s="244">
        <v>0</v>
      </c>
      <c r="E112" s="244">
        <v>408.39299999999997</v>
      </c>
      <c r="F112" s="244">
        <v>539.09400000000005</v>
      </c>
      <c r="G112" s="244">
        <v>541.72199999999998</v>
      </c>
      <c r="H112" s="244">
        <v>0</v>
      </c>
      <c r="I112" s="244">
        <v>0</v>
      </c>
      <c r="J112" s="244">
        <v>177.93799999999999</v>
      </c>
      <c r="K112" s="244">
        <v>178.42599999999999</v>
      </c>
      <c r="L112" s="244">
        <v>1563007.392</v>
      </c>
      <c r="M112" s="244">
        <v>1563011.7599999998</v>
      </c>
      <c r="N112" s="244">
        <v>361.15600000000001</v>
      </c>
      <c r="O112" s="244">
        <v>363.29599999999999</v>
      </c>
      <c r="P112" s="244">
        <v>3172394.304</v>
      </c>
      <c r="Q112" s="244">
        <v>3182472.96</v>
      </c>
      <c r="R112" s="244">
        <v>400.26</v>
      </c>
      <c r="S112" s="244">
        <v>3515883.84</v>
      </c>
      <c r="T112" s="244">
        <v>0</v>
      </c>
      <c r="U112" s="244">
        <v>0</v>
      </c>
      <c r="V112" s="244">
        <v>0</v>
      </c>
      <c r="W112" s="244">
        <v>0</v>
      </c>
      <c r="X112" s="244">
        <v>5.14137E-2</v>
      </c>
      <c r="Y112" s="244">
        <v>5.1718300000000002E-2</v>
      </c>
      <c r="Z112" s="244">
        <v>2.9611100000000001E-2</v>
      </c>
      <c r="AA112" s="244">
        <v>2.1802599999999998E-2</v>
      </c>
      <c r="AB112" s="244">
        <v>2.21072E-2</v>
      </c>
      <c r="AC112" s="244">
        <v>2.1954899999999999E-2</v>
      </c>
      <c r="AD112" s="244">
        <v>0.99999928893443357</v>
      </c>
      <c r="AE112" s="244">
        <v>0.99999995551904253</v>
      </c>
      <c r="AF112" s="244">
        <v>1</v>
      </c>
      <c r="AG112" s="244">
        <v>1</v>
      </c>
      <c r="AH112" s="244">
        <v>0</v>
      </c>
      <c r="AI112" s="244">
        <v>0</v>
      </c>
      <c r="AJ112" s="123"/>
      <c r="AK112" s="123"/>
      <c r="AL112" s="123"/>
      <c r="AM112" s="123"/>
      <c r="AN112" s="123"/>
      <c r="AO112" s="123"/>
      <c r="AP112" s="123"/>
      <c r="AQ112" s="132"/>
      <c r="AR112" s="132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32"/>
      <c r="BH112" s="132"/>
      <c r="BI112" s="132"/>
      <c r="BJ112" s="132"/>
      <c r="BK112" s="132"/>
      <c r="BL112" s="132"/>
      <c r="BM112" s="132"/>
      <c r="BN112" s="132"/>
    </row>
    <row r="113" spans="1:66">
      <c r="A113" s="132">
        <v>10371</v>
      </c>
      <c r="B113" s="132" t="s">
        <v>117</v>
      </c>
      <c r="C113" s="244">
        <v>1</v>
      </c>
      <c r="D113" s="244">
        <v>0</v>
      </c>
      <c r="E113" s="244">
        <v>11.196999999999999</v>
      </c>
      <c r="F113" s="244">
        <v>11.215</v>
      </c>
      <c r="G113" s="244">
        <v>11.272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11.664</v>
      </c>
      <c r="O113" s="244">
        <v>11.816000000000001</v>
      </c>
      <c r="P113" s="244">
        <v>102456.576</v>
      </c>
      <c r="Q113" s="244">
        <v>103508.16</v>
      </c>
      <c r="R113" s="244">
        <v>10.974</v>
      </c>
      <c r="S113" s="244">
        <v>96395.615999999995</v>
      </c>
      <c r="T113" s="244">
        <v>0.69</v>
      </c>
      <c r="U113" s="244">
        <v>0.84199999999999997</v>
      </c>
      <c r="V113" s="244">
        <v>0</v>
      </c>
      <c r="W113" s="244">
        <v>0</v>
      </c>
      <c r="X113" s="244">
        <v>1.5621999999999999E-3</v>
      </c>
      <c r="Y113" s="244">
        <v>1.5621999999999999E-3</v>
      </c>
      <c r="Z113" s="244">
        <v>0</v>
      </c>
      <c r="AA113" s="244">
        <v>1.5621999999999999E-3</v>
      </c>
      <c r="AB113" s="244">
        <v>1.5621999999999999E-3</v>
      </c>
      <c r="AC113" s="244">
        <v>1.5621999999999999E-3</v>
      </c>
      <c r="AD113" s="244">
        <v>0.94081727078189292</v>
      </c>
      <c r="AE113" s="244">
        <v>0.92871467894380477</v>
      </c>
      <c r="AF113" s="244">
        <v>1.0628758884636413</v>
      </c>
      <c r="AG113" s="244">
        <v>1.0767268088208493</v>
      </c>
      <c r="AH113" s="244">
        <v>0</v>
      </c>
      <c r="AI113" s="244">
        <v>0</v>
      </c>
      <c r="AJ113" s="123"/>
      <c r="AK113" s="123"/>
      <c r="AL113" s="123"/>
      <c r="AM113" s="123"/>
      <c r="AN113" s="123"/>
      <c r="AO113" s="123"/>
      <c r="AP113" s="123"/>
      <c r="AQ113" s="132"/>
      <c r="AR113" s="132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32"/>
      <c r="BH113" s="132"/>
      <c r="BI113" s="132"/>
      <c r="BJ113" s="132"/>
      <c r="BK113" s="132"/>
      <c r="BL113" s="132"/>
      <c r="BM113" s="132"/>
      <c r="BN113" s="132"/>
    </row>
    <row r="114" spans="1:66">
      <c r="A114" s="132">
        <v>10376</v>
      </c>
      <c r="B114" s="132" t="s">
        <v>118</v>
      </c>
      <c r="C114" s="244">
        <v>1</v>
      </c>
      <c r="D114" s="244">
        <v>0</v>
      </c>
      <c r="E114" s="244">
        <v>56.865000000000002</v>
      </c>
      <c r="F114" s="244">
        <v>55.65</v>
      </c>
      <c r="G114" s="244">
        <v>55.939</v>
      </c>
      <c r="H114" s="244">
        <v>0</v>
      </c>
      <c r="I114" s="244">
        <v>0</v>
      </c>
      <c r="J114" s="244">
        <v>0.69499999999999995</v>
      </c>
      <c r="K114" s="244">
        <v>0.69699999999999995</v>
      </c>
      <c r="L114" s="244">
        <v>6104.8799999999992</v>
      </c>
      <c r="M114" s="244">
        <v>6105.7199999999993</v>
      </c>
      <c r="N114" s="244">
        <v>54.506999999999998</v>
      </c>
      <c r="O114" s="244">
        <v>54.621000000000002</v>
      </c>
      <c r="P114" s="244">
        <v>478789.48799999995</v>
      </c>
      <c r="Q114" s="244">
        <v>478479.96</v>
      </c>
      <c r="R114" s="244">
        <v>55.732999999999997</v>
      </c>
      <c r="S114" s="244">
        <v>489558.67199999996</v>
      </c>
      <c r="T114" s="244">
        <v>0</v>
      </c>
      <c r="U114" s="244">
        <v>0</v>
      </c>
      <c r="V114" s="244">
        <v>0</v>
      </c>
      <c r="W114" s="244">
        <v>0</v>
      </c>
      <c r="X114" s="244">
        <v>7.7594999999999999E-3</v>
      </c>
      <c r="Y114" s="244">
        <v>7.7758000000000002E-3</v>
      </c>
      <c r="Z114" s="244">
        <v>0</v>
      </c>
      <c r="AA114" s="244">
        <v>7.7594999999999999E-3</v>
      </c>
      <c r="AB114" s="244">
        <v>7.7758000000000002E-3</v>
      </c>
      <c r="AC114" s="244">
        <v>7.7676500000000001E-3</v>
      </c>
      <c r="AD114" s="244">
        <v>0.99999458126222729</v>
      </c>
      <c r="AE114" s="244">
        <v>1</v>
      </c>
      <c r="AF114" s="244">
        <v>1</v>
      </c>
      <c r="AG114" s="244">
        <v>1</v>
      </c>
      <c r="AH114" s="244">
        <v>0</v>
      </c>
      <c r="AI114" s="244">
        <v>0</v>
      </c>
      <c r="AJ114" s="123"/>
      <c r="AK114" s="123"/>
      <c r="AL114" s="123"/>
      <c r="AM114" s="123"/>
      <c r="AN114" s="123"/>
      <c r="AO114" s="123"/>
      <c r="AP114" s="123"/>
      <c r="AQ114" s="132"/>
      <c r="AR114" s="132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32"/>
      <c r="BH114" s="132"/>
      <c r="BI114" s="132"/>
      <c r="BJ114" s="132"/>
      <c r="BK114" s="132"/>
      <c r="BL114" s="132"/>
      <c r="BM114" s="132"/>
      <c r="BN114" s="132"/>
    </row>
    <row r="115" spans="1:66">
      <c r="A115" s="132">
        <v>10378</v>
      </c>
      <c r="B115" s="132" t="s">
        <v>119</v>
      </c>
      <c r="C115" s="244">
        <v>1</v>
      </c>
      <c r="D115" s="244">
        <v>0</v>
      </c>
      <c r="E115" s="244">
        <v>2.0510000000000002</v>
      </c>
      <c r="F115" s="244">
        <v>2.0150000000000001</v>
      </c>
      <c r="G115" s="244">
        <v>2.0270000000000001</v>
      </c>
      <c r="H115" s="244">
        <v>0</v>
      </c>
      <c r="I115" s="244">
        <v>0</v>
      </c>
      <c r="J115" s="244">
        <v>0</v>
      </c>
      <c r="K115" s="244">
        <v>0</v>
      </c>
      <c r="L115" s="244">
        <v>0</v>
      </c>
      <c r="M115" s="244">
        <v>0</v>
      </c>
      <c r="N115" s="244">
        <v>1.903</v>
      </c>
      <c r="O115" s="244">
        <v>1.9219999999999999</v>
      </c>
      <c r="P115" s="244">
        <v>16715.952000000001</v>
      </c>
      <c r="Q115" s="244">
        <v>16836.72</v>
      </c>
      <c r="R115" s="244">
        <v>2.0099999999999998</v>
      </c>
      <c r="S115" s="244">
        <v>17655.839999999997</v>
      </c>
      <c r="T115" s="244">
        <v>0</v>
      </c>
      <c r="U115" s="244">
        <v>0</v>
      </c>
      <c r="V115" s="244">
        <v>0</v>
      </c>
      <c r="W115" s="244">
        <v>0</v>
      </c>
      <c r="X115" s="244">
        <v>2.7090000000000003E-4</v>
      </c>
      <c r="Y115" s="244">
        <v>2.7359999999999998E-4</v>
      </c>
      <c r="Z115" s="244">
        <v>0</v>
      </c>
      <c r="AA115" s="244">
        <v>2.7090000000000003E-4</v>
      </c>
      <c r="AB115" s="244">
        <v>2.7359999999999998E-4</v>
      </c>
      <c r="AC115" s="244">
        <v>2.7225000000000003E-4</v>
      </c>
      <c r="AD115" s="244">
        <v>0.9999686289017341</v>
      </c>
      <c r="AE115" s="244">
        <v>0.99995134401664931</v>
      </c>
      <c r="AF115" s="244">
        <v>1</v>
      </c>
      <c r="AG115" s="244">
        <v>1</v>
      </c>
      <c r="AH115" s="244">
        <v>0</v>
      </c>
      <c r="AI115" s="244">
        <v>0</v>
      </c>
      <c r="AJ115" s="123"/>
      <c r="AK115" s="123"/>
      <c r="AL115" s="123"/>
      <c r="AM115" s="123"/>
      <c r="AN115" s="123"/>
      <c r="AO115" s="123"/>
      <c r="AP115" s="123"/>
      <c r="AQ115" s="132"/>
      <c r="AR115" s="132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32"/>
      <c r="BH115" s="132"/>
      <c r="BI115" s="132"/>
      <c r="BJ115" s="132"/>
      <c r="BK115" s="132"/>
      <c r="BL115" s="132"/>
      <c r="BM115" s="132"/>
      <c r="BN115" s="132"/>
    </row>
    <row r="116" spans="1:66">
      <c r="A116" s="132">
        <v>10379</v>
      </c>
      <c r="B116" s="132" t="s">
        <v>120</v>
      </c>
      <c r="C116" s="244">
        <v>1</v>
      </c>
      <c r="D116" s="244">
        <v>0</v>
      </c>
      <c r="E116" s="244">
        <v>4.88</v>
      </c>
      <c r="F116" s="244">
        <v>4.47</v>
      </c>
      <c r="G116" s="244">
        <v>4.5049999999999999</v>
      </c>
      <c r="H116" s="244">
        <v>0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>
        <v>4.7460000000000004</v>
      </c>
      <c r="O116" s="244">
        <v>4.7679999999999998</v>
      </c>
      <c r="P116" s="244">
        <v>41688.864000000001</v>
      </c>
      <c r="Q116" s="244">
        <v>41767.68</v>
      </c>
      <c r="R116" s="244">
        <v>4.7830000000000004</v>
      </c>
      <c r="S116" s="244">
        <v>42013.872000000003</v>
      </c>
      <c r="T116" s="244">
        <v>0</v>
      </c>
      <c r="U116" s="244">
        <v>0</v>
      </c>
      <c r="V116" s="244">
        <v>0</v>
      </c>
      <c r="W116" s="244">
        <v>0</v>
      </c>
      <c r="X116" s="244">
        <v>6.7560000000000005E-4</v>
      </c>
      <c r="Y116" s="244">
        <v>6.7880000000000002E-4</v>
      </c>
      <c r="Z116" s="244">
        <v>0</v>
      </c>
      <c r="AA116" s="244">
        <v>6.7560000000000005E-4</v>
      </c>
      <c r="AB116" s="244">
        <v>6.7880000000000002E-4</v>
      </c>
      <c r="AC116" s="244">
        <v>6.7719999999999998E-4</v>
      </c>
      <c r="AD116" s="244">
        <v>0.99994949582806569</v>
      </c>
      <c r="AE116" s="244">
        <v>1</v>
      </c>
      <c r="AF116" s="244">
        <v>1</v>
      </c>
      <c r="AG116" s="244">
        <v>1</v>
      </c>
      <c r="AH116" s="244">
        <v>0</v>
      </c>
      <c r="AI116" s="244">
        <v>0</v>
      </c>
      <c r="AJ116" s="123"/>
      <c r="AK116" s="123"/>
      <c r="AL116" s="123"/>
      <c r="AM116" s="123"/>
      <c r="AN116" s="123"/>
      <c r="AO116" s="123"/>
      <c r="AP116" s="123"/>
      <c r="AQ116" s="132"/>
      <c r="AR116" s="132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32"/>
      <c r="BH116" s="132"/>
      <c r="BI116" s="132"/>
      <c r="BJ116" s="132"/>
      <c r="BK116" s="132"/>
      <c r="BL116" s="132"/>
      <c r="BM116" s="132"/>
      <c r="BN116" s="132"/>
    </row>
    <row r="117" spans="1:66">
      <c r="A117" s="132">
        <v>10388</v>
      </c>
      <c r="B117" s="132" t="s">
        <v>121</v>
      </c>
      <c r="C117" s="244">
        <v>1</v>
      </c>
      <c r="D117" s="244">
        <v>0</v>
      </c>
      <c r="E117" s="244">
        <v>114.91200000000001</v>
      </c>
      <c r="F117" s="244">
        <v>576.79999999999995</v>
      </c>
      <c r="G117" s="244">
        <v>702.48800000000006</v>
      </c>
      <c r="H117" s="244">
        <v>237.80600000000007</v>
      </c>
      <c r="I117" s="244">
        <v>300.81000000000006</v>
      </c>
      <c r="J117" s="244">
        <v>0.23200000000000001</v>
      </c>
      <c r="K117" s="244">
        <v>0.23200000000000001</v>
      </c>
      <c r="L117" s="244">
        <v>2037.8880000000001</v>
      </c>
      <c r="M117" s="244">
        <v>2032.3200000000002</v>
      </c>
      <c r="N117" s="244">
        <v>220.2</v>
      </c>
      <c r="O117" s="244">
        <v>223.422</v>
      </c>
      <c r="P117" s="244">
        <v>1934236.7999999998</v>
      </c>
      <c r="Q117" s="244">
        <v>1957176.72</v>
      </c>
      <c r="R117" s="244">
        <v>112.624</v>
      </c>
      <c r="S117" s="244">
        <v>989289.21600000001</v>
      </c>
      <c r="T117" s="244">
        <v>107.57599999999999</v>
      </c>
      <c r="U117" s="244">
        <v>110.798</v>
      </c>
      <c r="V117" s="244">
        <v>107.57599999999999</v>
      </c>
      <c r="W117" s="244">
        <v>110.798</v>
      </c>
      <c r="X117" s="244">
        <v>1.6032999999999999E-2</v>
      </c>
      <c r="Y117" s="244">
        <v>1.6032999999999999E-2</v>
      </c>
      <c r="Z117" s="244">
        <v>0</v>
      </c>
      <c r="AA117" s="244">
        <v>1.6032999999999999E-2</v>
      </c>
      <c r="AB117" s="244">
        <v>1.6032999999999999E-2</v>
      </c>
      <c r="AC117" s="244">
        <v>1.6032999999999999E-2</v>
      </c>
      <c r="AD117" s="244">
        <v>0.5119764866081149</v>
      </c>
      <c r="AE117" s="244">
        <v>0.50460086068659615</v>
      </c>
      <c r="AF117" s="244">
        <v>1.9551782923710754</v>
      </c>
      <c r="AG117" s="244">
        <v>1.9837867594828811</v>
      </c>
      <c r="AH117" s="244">
        <v>0.10753480608040915</v>
      </c>
      <c r="AI117" s="244">
        <v>0.10910827177155846</v>
      </c>
      <c r="AJ117" s="123"/>
      <c r="AK117" s="123"/>
      <c r="AL117" s="123"/>
      <c r="AM117" s="123"/>
      <c r="AN117" s="123"/>
      <c r="AO117" s="123"/>
      <c r="AP117" s="123"/>
      <c r="AQ117" s="132"/>
      <c r="AR117" s="132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32"/>
      <c r="BH117" s="132"/>
      <c r="BI117" s="132"/>
      <c r="BJ117" s="132"/>
      <c r="BK117" s="132"/>
      <c r="BL117" s="132"/>
      <c r="BM117" s="132"/>
      <c r="BN117" s="132"/>
    </row>
    <row r="118" spans="1:66">
      <c r="A118" s="132">
        <v>10391</v>
      </c>
      <c r="B118" s="132" t="s">
        <v>122</v>
      </c>
      <c r="C118" s="244">
        <v>1</v>
      </c>
      <c r="D118" s="244">
        <v>0</v>
      </c>
      <c r="E118" s="244">
        <v>30.423999999999999</v>
      </c>
      <c r="F118" s="244">
        <v>32.432000000000002</v>
      </c>
      <c r="G118" s="244">
        <v>33.017000000000003</v>
      </c>
      <c r="H118" s="244">
        <v>0</v>
      </c>
      <c r="I118" s="244">
        <v>0</v>
      </c>
      <c r="J118" s="244">
        <v>0</v>
      </c>
      <c r="K118" s="244">
        <v>0</v>
      </c>
      <c r="L118" s="244">
        <v>0</v>
      </c>
      <c r="M118" s="244">
        <v>0</v>
      </c>
      <c r="N118" s="244">
        <v>35.795999999999999</v>
      </c>
      <c r="O118" s="244">
        <v>36.351999999999997</v>
      </c>
      <c r="P118" s="244">
        <v>314432.06400000001</v>
      </c>
      <c r="Q118" s="244">
        <v>318443.51999999996</v>
      </c>
      <c r="R118" s="244">
        <v>29.818000000000001</v>
      </c>
      <c r="S118" s="244">
        <v>261921.31200000001</v>
      </c>
      <c r="T118" s="244">
        <v>5.9779999999999998</v>
      </c>
      <c r="U118" s="244">
        <v>6.5339999999999998</v>
      </c>
      <c r="V118" s="244">
        <v>5.9779999999999998</v>
      </c>
      <c r="W118" s="244">
        <v>6.5339999999999998</v>
      </c>
      <c r="X118" s="244">
        <v>4.2448E-3</v>
      </c>
      <c r="Y118" s="244">
        <v>4.2448E-3</v>
      </c>
      <c r="Z118" s="244">
        <v>0</v>
      </c>
      <c r="AA118" s="244">
        <v>4.2448E-3</v>
      </c>
      <c r="AB118" s="244">
        <v>4.2448E-3</v>
      </c>
      <c r="AC118" s="244">
        <v>4.2448E-3</v>
      </c>
      <c r="AD118" s="244">
        <v>0.8329882818638954</v>
      </c>
      <c r="AE118" s="244">
        <v>0.82024781408450709</v>
      </c>
      <c r="AF118" s="244">
        <v>1.2004829297739619</v>
      </c>
      <c r="AG118" s="244">
        <v>1.2191293849352738</v>
      </c>
      <c r="AH118" s="244">
        <v>3.6014487893218858E-2</v>
      </c>
      <c r="AI118" s="244">
        <v>3.6573881548058219E-2</v>
      </c>
      <c r="AJ118" s="123"/>
      <c r="AK118" s="123"/>
      <c r="AL118" s="123"/>
      <c r="AM118" s="123"/>
      <c r="AN118" s="123"/>
      <c r="AO118" s="123"/>
      <c r="AP118" s="123"/>
      <c r="AQ118" s="132"/>
      <c r="AR118" s="132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32"/>
      <c r="BH118" s="132"/>
      <c r="BI118" s="132"/>
      <c r="BJ118" s="132"/>
      <c r="BK118" s="132"/>
      <c r="BL118" s="132"/>
      <c r="BM118" s="132"/>
      <c r="BN118" s="132"/>
    </row>
    <row r="119" spans="1:66">
      <c r="A119" s="132">
        <v>10406</v>
      </c>
      <c r="B119" s="132" t="s">
        <v>123</v>
      </c>
      <c r="C119" s="244">
        <v>1</v>
      </c>
      <c r="D119" s="244">
        <v>0</v>
      </c>
      <c r="E119" s="244">
        <v>0.46500000000000002</v>
      </c>
      <c r="F119" s="244">
        <v>0.70099999999999996</v>
      </c>
      <c r="G119" s="244">
        <v>0.71799999999999997</v>
      </c>
      <c r="H119" s="244">
        <v>0</v>
      </c>
      <c r="I119" s="244">
        <v>0</v>
      </c>
      <c r="J119" s="244">
        <v>0</v>
      </c>
      <c r="K119" s="244">
        <v>0</v>
      </c>
      <c r="L119" s="244">
        <v>0</v>
      </c>
      <c r="M119" s="244">
        <v>0</v>
      </c>
      <c r="N119" s="244">
        <v>0.64</v>
      </c>
      <c r="O119" s="244">
        <v>0.64</v>
      </c>
      <c r="P119" s="244">
        <v>5621.76</v>
      </c>
      <c r="Q119" s="244">
        <v>5606.4000000000005</v>
      </c>
      <c r="R119" s="244">
        <v>0.45600000000000002</v>
      </c>
      <c r="S119" s="244">
        <v>4005.5040000000004</v>
      </c>
      <c r="T119" s="244">
        <v>0.184</v>
      </c>
      <c r="U119" s="244">
        <v>0.184</v>
      </c>
      <c r="V119" s="244">
        <v>0</v>
      </c>
      <c r="W119" s="244">
        <v>0</v>
      </c>
      <c r="X119" s="244">
        <v>6.4900000000000005E-5</v>
      </c>
      <c r="Y119" s="244">
        <v>6.4900000000000005E-5</v>
      </c>
      <c r="Z119" s="244">
        <v>0</v>
      </c>
      <c r="AA119" s="244">
        <v>6.4900000000000005E-5</v>
      </c>
      <c r="AB119" s="244">
        <v>6.4900000000000005E-5</v>
      </c>
      <c r="AC119" s="244">
        <v>6.4900000000000005E-5</v>
      </c>
      <c r="AD119" s="244">
        <v>0.71232941999999999</v>
      </c>
      <c r="AE119" s="244">
        <v>0.71232941999999999</v>
      </c>
      <c r="AF119" s="244">
        <v>1.4035087719298245</v>
      </c>
      <c r="AG119" s="244">
        <v>1.4035087719298245</v>
      </c>
      <c r="AH119" s="244">
        <v>0</v>
      </c>
      <c r="AI119" s="244">
        <v>0</v>
      </c>
      <c r="AJ119" s="123"/>
      <c r="AK119" s="123"/>
      <c r="AL119" s="123"/>
      <c r="AM119" s="123"/>
      <c r="AN119" s="123"/>
      <c r="AO119" s="123"/>
      <c r="AP119" s="123"/>
      <c r="AQ119" s="132"/>
      <c r="AR119" s="132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32"/>
      <c r="BH119" s="132"/>
      <c r="BI119" s="132"/>
      <c r="BJ119" s="132"/>
      <c r="BK119" s="132"/>
      <c r="BL119" s="132"/>
      <c r="BM119" s="132"/>
      <c r="BN119" s="132"/>
    </row>
    <row r="120" spans="1:66">
      <c r="A120" s="132">
        <v>10408</v>
      </c>
      <c r="B120" s="132" t="s">
        <v>124</v>
      </c>
      <c r="C120" s="244">
        <v>1</v>
      </c>
      <c r="D120" s="244">
        <v>0</v>
      </c>
      <c r="E120" s="244">
        <v>1.55</v>
      </c>
      <c r="F120" s="244">
        <v>1.6359999999999999</v>
      </c>
      <c r="G120" s="244">
        <v>1.64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1.486</v>
      </c>
      <c r="O120" s="244">
        <v>1.4850000000000001</v>
      </c>
      <c r="P120" s="244">
        <v>13053.023999999999</v>
      </c>
      <c r="Q120" s="244">
        <v>13008.6</v>
      </c>
      <c r="R120" s="244">
        <v>1.5189999999999999</v>
      </c>
      <c r="S120" s="244">
        <v>13342.895999999999</v>
      </c>
      <c r="T120" s="244">
        <v>0</v>
      </c>
      <c r="U120" s="244">
        <v>0</v>
      </c>
      <c r="V120" s="244">
        <v>0</v>
      </c>
      <c r="W120" s="244">
        <v>0</v>
      </c>
      <c r="X120" s="244">
        <v>2.1149999999999999E-4</v>
      </c>
      <c r="Y120" s="244">
        <v>2.1139999999999999E-4</v>
      </c>
      <c r="Z120" s="244">
        <v>0</v>
      </c>
      <c r="AA120" s="244">
        <v>2.1149999999999999E-4</v>
      </c>
      <c r="AB120" s="244">
        <v>2.1139999999999999E-4</v>
      </c>
      <c r="AC120" s="244">
        <v>2.1144999999999999E-4</v>
      </c>
      <c r="AD120" s="244">
        <v>0.99978754239569301</v>
      </c>
      <c r="AE120" s="244">
        <v>0.99998776888888874</v>
      </c>
      <c r="AF120" s="244">
        <v>1</v>
      </c>
      <c r="AG120" s="244">
        <v>1</v>
      </c>
      <c r="AH120" s="244">
        <v>0</v>
      </c>
      <c r="AI120" s="244">
        <v>0</v>
      </c>
      <c r="AJ120" s="123"/>
      <c r="AK120" s="123"/>
      <c r="AL120" s="123"/>
      <c r="AM120" s="123"/>
      <c r="AN120" s="123"/>
      <c r="AO120" s="123"/>
      <c r="AP120" s="123"/>
      <c r="AQ120" s="132"/>
      <c r="AR120" s="132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32"/>
      <c r="BH120" s="132"/>
      <c r="BI120" s="132"/>
      <c r="BJ120" s="132"/>
      <c r="BK120" s="132"/>
      <c r="BL120" s="132"/>
      <c r="BM120" s="132"/>
      <c r="BN120" s="132"/>
    </row>
    <row r="121" spans="1:66">
      <c r="A121" s="132">
        <v>10409</v>
      </c>
      <c r="B121" s="132" t="s">
        <v>125</v>
      </c>
      <c r="C121" s="244">
        <v>1</v>
      </c>
      <c r="D121" s="244">
        <v>0</v>
      </c>
      <c r="E121" s="244">
        <v>20.725999999999999</v>
      </c>
      <c r="F121" s="244">
        <v>21.209</v>
      </c>
      <c r="G121" s="244">
        <v>25.484999999999999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44">
        <v>19.513000000000002</v>
      </c>
      <c r="O121" s="244">
        <v>19.512</v>
      </c>
      <c r="P121" s="244">
        <v>171402.19200000001</v>
      </c>
      <c r="Q121" s="244">
        <v>170925.12</v>
      </c>
      <c r="R121" s="244">
        <v>20.312999999999999</v>
      </c>
      <c r="S121" s="244">
        <v>178429.39199999999</v>
      </c>
      <c r="T121" s="244">
        <v>0</v>
      </c>
      <c r="U121" s="244">
        <v>0</v>
      </c>
      <c r="V121" s="244">
        <v>0</v>
      </c>
      <c r="W121" s="244">
        <v>0</v>
      </c>
      <c r="X121" s="244">
        <v>2.7778E-3</v>
      </c>
      <c r="Y121" s="244">
        <v>2.7777000000000001E-3</v>
      </c>
      <c r="Z121" s="244">
        <v>0</v>
      </c>
      <c r="AA121" s="244">
        <v>2.7778E-3</v>
      </c>
      <c r="AB121" s="244">
        <v>2.7777000000000001E-3</v>
      </c>
      <c r="AC121" s="244">
        <v>2.7777499999999998E-3</v>
      </c>
      <c r="AD121" s="244">
        <v>0.99998408412852957</v>
      </c>
      <c r="AE121" s="244">
        <v>0.99999933284132836</v>
      </c>
      <c r="AF121" s="244">
        <v>1</v>
      </c>
      <c r="AG121" s="244">
        <v>1</v>
      </c>
      <c r="AH121" s="244">
        <v>0</v>
      </c>
      <c r="AI121" s="244">
        <v>0</v>
      </c>
      <c r="AJ121" s="123"/>
      <c r="AK121" s="123"/>
      <c r="AL121" s="123"/>
      <c r="AM121" s="123"/>
      <c r="AN121" s="123"/>
      <c r="AO121" s="123"/>
      <c r="AP121" s="123"/>
      <c r="AQ121" s="132"/>
      <c r="AR121" s="132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32"/>
      <c r="BH121" s="132"/>
      <c r="BI121" s="132"/>
      <c r="BJ121" s="132"/>
      <c r="BK121" s="132"/>
      <c r="BL121" s="132"/>
      <c r="BM121" s="132"/>
      <c r="BN121" s="132"/>
    </row>
    <row r="122" spans="1:66">
      <c r="A122" s="134">
        <v>10426</v>
      </c>
      <c r="B122" s="134" t="s">
        <v>126</v>
      </c>
      <c r="C122" s="244">
        <v>1</v>
      </c>
      <c r="D122" s="244">
        <v>0</v>
      </c>
      <c r="E122" s="244">
        <v>35.594999999999999</v>
      </c>
      <c r="F122" s="244">
        <v>15.775</v>
      </c>
      <c r="G122" s="244">
        <v>15.818</v>
      </c>
      <c r="H122" s="244">
        <v>0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30.58</v>
      </c>
      <c r="O122" s="244">
        <v>35.594999999999999</v>
      </c>
      <c r="P122" s="244">
        <v>268614.71999999997</v>
      </c>
      <c r="Q122" s="244">
        <v>311812.2</v>
      </c>
      <c r="R122" s="244">
        <v>34.886000000000003</v>
      </c>
      <c r="S122" s="244">
        <v>306438.62400000001</v>
      </c>
      <c r="T122" s="244">
        <v>0</v>
      </c>
      <c r="U122" s="244">
        <v>0.70899999999999996</v>
      </c>
      <c r="V122" s="244">
        <v>0</v>
      </c>
      <c r="W122" s="244">
        <v>0</v>
      </c>
      <c r="X122" s="244">
        <v>4.3533000000000001E-3</v>
      </c>
      <c r="Y122" s="244">
        <v>4.9662999999999999E-3</v>
      </c>
      <c r="Z122" s="244">
        <v>0</v>
      </c>
      <c r="AA122" s="244">
        <v>4.3533000000000001E-3</v>
      </c>
      <c r="AB122" s="244">
        <v>4.9662999999999999E-3</v>
      </c>
      <c r="AC122" s="244">
        <v>4.6598000000000004E-3</v>
      </c>
      <c r="AD122" s="244">
        <v>0.99999372431654687</v>
      </c>
      <c r="AE122" s="244">
        <v>0.98007680701222077</v>
      </c>
      <c r="AF122" s="244">
        <v>1</v>
      </c>
      <c r="AG122" s="244">
        <v>1.0203233388751933</v>
      </c>
      <c r="AH122" s="244">
        <v>0</v>
      </c>
      <c r="AI122" s="244">
        <v>0</v>
      </c>
      <c r="AJ122" s="123"/>
      <c r="AK122" s="123"/>
      <c r="AL122" s="123"/>
      <c r="AM122" s="123"/>
      <c r="AN122" s="123"/>
      <c r="AO122" s="123"/>
      <c r="AP122" s="123"/>
      <c r="AQ122" s="132"/>
      <c r="AR122" s="132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32"/>
      <c r="BH122" s="132"/>
      <c r="BI122" s="132"/>
      <c r="BJ122" s="132"/>
      <c r="BK122" s="132"/>
      <c r="BL122" s="132"/>
      <c r="BM122" s="132"/>
      <c r="BN122" s="132"/>
    </row>
    <row r="123" spans="1:66">
      <c r="A123" s="134">
        <v>10434</v>
      </c>
      <c r="B123" s="134" t="s">
        <v>127</v>
      </c>
      <c r="C123" s="244">
        <v>1</v>
      </c>
      <c r="D123" s="244">
        <v>0</v>
      </c>
      <c r="E123" s="244">
        <v>27.562000000000001</v>
      </c>
      <c r="F123" s="244">
        <v>26.265999999999998</v>
      </c>
      <c r="G123" s="244">
        <v>26.47</v>
      </c>
      <c r="H123" s="244">
        <v>0</v>
      </c>
      <c r="I123" s="244">
        <v>0</v>
      </c>
      <c r="J123" s="244">
        <v>0</v>
      </c>
      <c r="K123" s="244">
        <v>0</v>
      </c>
      <c r="L123" s="244">
        <v>0</v>
      </c>
      <c r="M123" s="244">
        <v>0</v>
      </c>
      <c r="N123" s="244">
        <v>28.288</v>
      </c>
      <c r="O123" s="244">
        <v>28.507999999999999</v>
      </c>
      <c r="P123" s="244">
        <v>248481.79200000002</v>
      </c>
      <c r="Q123" s="244">
        <v>249730.08</v>
      </c>
      <c r="R123" s="244">
        <v>27.013000000000002</v>
      </c>
      <c r="S123" s="244">
        <v>237282.19200000001</v>
      </c>
      <c r="T123" s="244">
        <v>1.2749999999999999</v>
      </c>
      <c r="U123" s="244">
        <v>1.4950000000000001</v>
      </c>
      <c r="V123" s="244">
        <v>1.2749999999999999</v>
      </c>
      <c r="W123" s="244">
        <v>1.4950000000000001</v>
      </c>
      <c r="X123" s="244">
        <v>3.8455E-3</v>
      </c>
      <c r="Y123" s="244">
        <v>3.8455E-3</v>
      </c>
      <c r="Z123" s="244">
        <v>0</v>
      </c>
      <c r="AA123" s="244">
        <v>3.8455E-3</v>
      </c>
      <c r="AB123" s="244">
        <v>3.8455E-3</v>
      </c>
      <c r="AC123" s="244">
        <v>3.8455E-3</v>
      </c>
      <c r="AD123" s="244">
        <v>0.95491943212669683</v>
      </c>
      <c r="AE123" s="244">
        <v>0.94755019278798935</v>
      </c>
      <c r="AF123" s="244">
        <v>1.0471994965387035</v>
      </c>
      <c r="AG123" s="244">
        <v>1.0553437233924405</v>
      </c>
      <c r="AH123" s="244">
        <v>0</v>
      </c>
      <c r="AI123" s="244">
        <v>0</v>
      </c>
      <c r="AJ123" s="123"/>
      <c r="AK123" s="123"/>
      <c r="AL123" s="123"/>
      <c r="AM123" s="123"/>
      <c r="AN123" s="123"/>
      <c r="AO123" s="123"/>
      <c r="AP123" s="123"/>
      <c r="AQ123" s="132"/>
      <c r="AR123" s="132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32"/>
      <c r="BH123" s="132"/>
      <c r="BI123" s="132"/>
      <c r="BJ123" s="132"/>
      <c r="BK123" s="132"/>
      <c r="BL123" s="132"/>
      <c r="BM123" s="132"/>
      <c r="BN123" s="132"/>
    </row>
    <row r="124" spans="1:66">
      <c r="A124" s="134">
        <v>10436</v>
      </c>
      <c r="B124" s="134" t="s">
        <v>128</v>
      </c>
      <c r="C124" s="244">
        <v>1</v>
      </c>
      <c r="D124" s="244">
        <v>0</v>
      </c>
      <c r="E124" s="244">
        <v>19.437999999999999</v>
      </c>
      <c r="F124" s="244">
        <v>23.478999999999999</v>
      </c>
      <c r="G124" s="244">
        <v>23.738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21.093</v>
      </c>
      <c r="O124" s="244">
        <v>21.324000000000002</v>
      </c>
      <c r="P124" s="244">
        <v>185280.91200000001</v>
      </c>
      <c r="Q124" s="244">
        <v>186798.24000000002</v>
      </c>
      <c r="R124" s="244">
        <v>19.050999999999998</v>
      </c>
      <c r="S124" s="244">
        <v>167343.984</v>
      </c>
      <c r="T124" s="244">
        <v>2.0419999999999998</v>
      </c>
      <c r="U124" s="244">
        <v>2.2730000000000001</v>
      </c>
      <c r="V124" s="244">
        <v>2.0419999999999998</v>
      </c>
      <c r="W124" s="244">
        <v>2.2730000000000001</v>
      </c>
      <c r="X124" s="244">
        <v>2.7120999999999998E-3</v>
      </c>
      <c r="Y124" s="244">
        <v>2.7120999999999998E-3</v>
      </c>
      <c r="Z124" s="244">
        <v>0</v>
      </c>
      <c r="AA124" s="244">
        <v>2.7120999999999998E-3</v>
      </c>
      <c r="AB124" s="244">
        <v>2.7120999999999998E-3</v>
      </c>
      <c r="AC124" s="244">
        <v>2.7120999999999998E-3</v>
      </c>
      <c r="AD124" s="244">
        <v>0.90319911796330521</v>
      </c>
      <c r="AE124" s="244">
        <v>0.89341488441193007</v>
      </c>
      <c r="AF124" s="244">
        <v>1.1071859744895283</v>
      </c>
      <c r="AG124" s="244">
        <v>1.1193113222403026</v>
      </c>
      <c r="AH124" s="244">
        <v>7.7503018214266986E-2</v>
      </c>
      <c r="AI124" s="244">
        <v>7.835179255682119E-2</v>
      </c>
      <c r="AJ124" s="123"/>
      <c r="AK124" s="123"/>
      <c r="AL124" s="123"/>
      <c r="AM124" s="123"/>
      <c r="AN124" s="123"/>
      <c r="AO124" s="123"/>
      <c r="AP124" s="123"/>
      <c r="AQ124" s="132"/>
      <c r="AR124" s="132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32"/>
      <c r="BH124" s="132"/>
      <c r="BI124" s="132"/>
      <c r="BJ124" s="132"/>
      <c r="BK124" s="132"/>
      <c r="BL124" s="132"/>
      <c r="BM124" s="132"/>
      <c r="BN124" s="132"/>
    </row>
    <row r="125" spans="1:66">
      <c r="A125" s="134">
        <v>10440</v>
      </c>
      <c r="B125" s="134" t="s">
        <v>129</v>
      </c>
      <c r="C125" s="244">
        <v>1</v>
      </c>
      <c r="D125" s="244">
        <v>0</v>
      </c>
      <c r="E125" s="244">
        <v>5.08</v>
      </c>
      <c r="F125" s="244">
        <v>5.1539999999999999</v>
      </c>
      <c r="G125" s="244">
        <v>5.194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44">
        <v>4.9249999999999998</v>
      </c>
      <c r="O125" s="244">
        <v>4.9210000000000003</v>
      </c>
      <c r="P125" s="244">
        <v>43261.2</v>
      </c>
      <c r="Q125" s="244">
        <v>43107.96</v>
      </c>
      <c r="R125" s="244">
        <v>4.9790000000000001</v>
      </c>
      <c r="S125" s="244">
        <v>43735.536</v>
      </c>
      <c r="T125" s="244">
        <v>0</v>
      </c>
      <c r="U125" s="244">
        <v>0</v>
      </c>
      <c r="V125" s="244">
        <v>0</v>
      </c>
      <c r="W125" s="244">
        <v>0</v>
      </c>
      <c r="X125" s="244">
        <v>7.0109999999999997E-4</v>
      </c>
      <c r="Y125" s="244">
        <v>7.0049999999999995E-4</v>
      </c>
      <c r="Z125" s="244">
        <v>0</v>
      </c>
      <c r="AA125" s="244">
        <v>7.0109999999999997E-4</v>
      </c>
      <c r="AB125" s="244">
        <v>7.0049999999999995E-4</v>
      </c>
      <c r="AC125" s="244">
        <v>7.007999999999999E-4</v>
      </c>
      <c r="AD125" s="244">
        <v>0.99997672349238576</v>
      </c>
      <c r="AE125" s="244">
        <v>0.99993307376549467</v>
      </c>
      <c r="AF125" s="244">
        <v>1</v>
      </c>
      <c r="AG125" s="244">
        <v>1</v>
      </c>
      <c r="AH125" s="244">
        <v>5.5E-2</v>
      </c>
      <c r="AI125" s="244">
        <v>5.5E-2</v>
      </c>
      <c r="AJ125" s="123"/>
      <c r="AK125" s="123"/>
      <c r="AL125" s="123"/>
      <c r="AM125" s="123"/>
      <c r="AN125" s="123"/>
      <c r="AO125" s="123"/>
      <c r="AP125" s="123"/>
      <c r="AQ125" s="132"/>
      <c r="AR125" s="132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32"/>
      <c r="BH125" s="132"/>
      <c r="BI125" s="132"/>
      <c r="BJ125" s="132"/>
      <c r="BK125" s="132"/>
      <c r="BL125" s="132"/>
      <c r="BM125" s="132"/>
      <c r="BN125" s="132"/>
    </row>
    <row r="126" spans="1:66">
      <c r="A126" s="134">
        <v>10442</v>
      </c>
      <c r="B126" s="134" t="s">
        <v>130</v>
      </c>
      <c r="C126" s="244">
        <v>1</v>
      </c>
      <c r="D126" s="244">
        <v>0</v>
      </c>
      <c r="E126" s="244">
        <v>13.596</v>
      </c>
      <c r="F126" s="244">
        <v>11.553000000000001</v>
      </c>
      <c r="G126" s="244">
        <v>11.459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4">
        <v>12.571999999999999</v>
      </c>
      <c r="O126" s="244">
        <v>12.63</v>
      </c>
      <c r="P126" s="244">
        <v>110432.44799999999</v>
      </c>
      <c r="Q126" s="244">
        <v>110638.8</v>
      </c>
      <c r="R126" s="244">
        <v>13.324999999999999</v>
      </c>
      <c r="S126" s="244">
        <v>117046.79999999999</v>
      </c>
      <c r="T126" s="244">
        <v>0</v>
      </c>
      <c r="U126" s="244">
        <v>0</v>
      </c>
      <c r="V126" s="244">
        <v>0</v>
      </c>
      <c r="W126" s="244">
        <v>0</v>
      </c>
      <c r="X126" s="244">
        <v>1.7897E-3</v>
      </c>
      <c r="Y126" s="244">
        <v>1.7979999999999999E-3</v>
      </c>
      <c r="Z126" s="244">
        <v>0</v>
      </c>
      <c r="AA126" s="244">
        <v>1.7897E-3</v>
      </c>
      <c r="AB126" s="244">
        <v>1.7979999999999999E-3</v>
      </c>
      <c r="AC126" s="244">
        <v>1.79385E-3</v>
      </c>
      <c r="AD126" s="244">
        <v>0.9999816358892778</v>
      </c>
      <c r="AE126" s="244">
        <v>1</v>
      </c>
      <c r="AF126" s="244">
        <v>1</v>
      </c>
      <c r="AG126" s="244">
        <v>1</v>
      </c>
      <c r="AH126" s="244">
        <v>7.0000000000000007E-2</v>
      </c>
      <c r="AI126" s="244">
        <v>7.0000000000000007E-2</v>
      </c>
      <c r="AJ126" s="123"/>
      <c r="AK126" s="123"/>
      <c r="AL126" s="123"/>
      <c r="AM126" s="123"/>
      <c r="AN126" s="123"/>
      <c r="AO126" s="123"/>
      <c r="AP126" s="123"/>
      <c r="AQ126" s="132"/>
      <c r="AR126" s="132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32"/>
      <c r="BH126" s="132"/>
      <c r="BI126" s="132"/>
      <c r="BJ126" s="132"/>
      <c r="BK126" s="132"/>
      <c r="BL126" s="132"/>
      <c r="BM126" s="132"/>
      <c r="BN126" s="132"/>
    </row>
    <row r="127" spans="1:66">
      <c r="A127" s="134">
        <v>10446</v>
      </c>
      <c r="B127" s="134" t="s">
        <v>131</v>
      </c>
      <c r="C127" s="244">
        <v>1</v>
      </c>
      <c r="D127" s="244">
        <v>0</v>
      </c>
      <c r="E127" s="244">
        <v>97.2</v>
      </c>
      <c r="F127" s="244">
        <v>99.194999999999993</v>
      </c>
      <c r="G127" s="244">
        <v>101.621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93.082999999999998</v>
      </c>
      <c r="O127" s="244">
        <v>93.177000000000007</v>
      </c>
      <c r="P127" s="244">
        <v>817641.07200000004</v>
      </c>
      <c r="Q127" s="244">
        <v>816230.52</v>
      </c>
      <c r="R127" s="244">
        <v>95.263999999999996</v>
      </c>
      <c r="S127" s="244">
        <v>836798.97599999991</v>
      </c>
      <c r="T127" s="244">
        <v>0</v>
      </c>
      <c r="U127" s="244">
        <v>0</v>
      </c>
      <c r="V127" s="244">
        <v>0</v>
      </c>
      <c r="W127" s="244">
        <v>0</v>
      </c>
      <c r="X127" s="244">
        <v>1.3251199999999999E-2</v>
      </c>
      <c r="Y127" s="244">
        <v>1.32645E-2</v>
      </c>
      <c r="Z127" s="244">
        <v>0</v>
      </c>
      <c r="AA127" s="244">
        <v>1.3251199999999999E-2</v>
      </c>
      <c r="AB127" s="244">
        <v>1.32645E-2</v>
      </c>
      <c r="AC127" s="244">
        <v>1.325785E-2</v>
      </c>
      <c r="AD127" s="244">
        <v>1</v>
      </c>
      <c r="AE127" s="244">
        <v>0.99999613020380562</v>
      </c>
      <c r="AF127" s="244">
        <v>1</v>
      </c>
      <c r="AG127" s="244">
        <v>1</v>
      </c>
      <c r="AH127" s="244">
        <v>6.5000000000000002E-2</v>
      </c>
      <c r="AI127" s="244">
        <v>6.5000000000000002E-2</v>
      </c>
      <c r="AJ127" s="123"/>
      <c r="AK127" s="123"/>
      <c r="AL127" s="123"/>
      <c r="AM127" s="123"/>
      <c r="AN127" s="123"/>
      <c r="AO127" s="123"/>
      <c r="AP127" s="123"/>
      <c r="AQ127" s="132"/>
      <c r="AR127" s="132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32"/>
      <c r="BH127" s="132"/>
      <c r="BI127" s="132"/>
      <c r="BJ127" s="132"/>
      <c r="BK127" s="132"/>
      <c r="BL127" s="132"/>
      <c r="BM127" s="132"/>
      <c r="BN127" s="132"/>
    </row>
    <row r="128" spans="1:66">
      <c r="A128" s="134">
        <v>10448</v>
      </c>
      <c r="B128" s="134" t="s">
        <v>132</v>
      </c>
      <c r="C128" s="244">
        <v>0</v>
      </c>
      <c r="D128" s="244">
        <v>1</v>
      </c>
      <c r="E128" s="244">
        <v>8.6079999999999988</v>
      </c>
      <c r="F128" s="244">
        <v>8.2129999999999992</v>
      </c>
      <c r="G128" s="244">
        <v>8.2360000000000007</v>
      </c>
      <c r="H128" s="244">
        <v>0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8.1359999999999992</v>
      </c>
      <c r="O128" s="244">
        <v>8.1310000000000002</v>
      </c>
      <c r="P128" s="244">
        <v>71466.623999999996</v>
      </c>
      <c r="Q128" s="244">
        <v>71227.56</v>
      </c>
      <c r="R128" s="244">
        <v>8.4369999999999994</v>
      </c>
      <c r="S128" s="244">
        <v>74110.607999999993</v>
      </c>
      <c r="T128" s="244">
        <v>0</v>
      </c>
      <c r="U128" s="244">
        <v>0</v>
      </c>
      <c r="V128" s="244">
        <v>0</v>
      </c>
      <c r="W128" s="244">
        <v>0</v>
      </c>
      <c r="X128" s="244">
        <v>1.1582000000000001E-3</v>
      </c>
      <c r="Y128" s="244">
        <v>1.1574999999999999E-3</v>
      </c>
      <c r="Z128" s="244">
        <v>0</v>
      </c>
      <c r="AA128" s="244">
        <v>1.1582000000000001E-3</v>
      </c>
      <c r="AB128" s="244">
        <v>1.1574999999999999E-3</v>
      </c>
      <c r="AC128" s="244">
        <v>1.15785E-3</v>
      </c>
      <c r="AD128" s="244">
        <v>0.99997416401179939</v>
      </c>
      <c r="AE128" s="244">
        <v>0.99998433648997653</v>
      </c>
      <c r="AF128" s="244">
        <v>1</v>
      </c>
      <c r="AG128" s="244">
        <v>1</v>
      </c>
      <c r="AH128" s="244">
        <v>7.0000000000000007E-2</v>
      </c>
      <c r="AI128" s="244">
        <v>7.0000000000000007E-2</v>
      </c>
      <c r="AJ128" s="123"/>
      <c r="AK128" s="123"/>
      <c r="AL128" s="123"/>
      <c r="AM128" s="123"/>
      <c r="AN128" s="123"/>
      <c r="AO128" s="123"/>
      <c r="AP128" s="123"/>
      <c r="AQ128" s="132"/>
      <c r="AR128" s="132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32"/>
      <c r="BH128" s="132"/>
      <c r="BI128" s="132"/>
      <c r="BJ128" s="132"/>
      <c r="BK128" s="132"/>
      <c r="BL128" s="132"/>
      <c r="BM128" s="132"/>
      <c r="BN128" s="132"/>
    </row>
    <row r="129" spans="1:66">
      <c r="A129" s="134">
        <v>10451</v>
      </c>
      <c r="B129" s="134" t="s">
        <v>133</v>
      </c>
      <c r="C129" s="244">
        <v>1</v>
      </c>
      <c r="D129" s="244">
        <v>0</v>
      </c>
      <c r="E129" s="244">
        <v>27.233000000000001</v>
      </c>
      <c r="F129" s="244">
        <v>26.273</v>
      </c>
      <c r="G129" s="244">
        <v>31.109000000000002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44">
        <v>26.344999999999999</v>
      </c>
      <c r="O129" s="244">
        <v>23.530999999999999</v>
      </c>
      <c r="P129" s="244">
        <v>231414.47999999998</v>
      </c>
      <c r="Q129" s="244">
        <v>206131.56</v>
      </c>
      <c r="R129" s="244">
        <v>26.690999999999999</v>
      </c>
      <c r="S129" s="244">
        <v>234453.74399999998</v>
      </c>
      <c r="T129" s="244">
        <v>0</v>
      </c>
      <c r="U129" s="244">
        <v>0</v>
      </c>
      <c r="V129" s="244">
        <v>0</v>
      </c>
      <c r="W129" s="244">
        <v>0</v>
      </c>
      <c r="X129" s="244">
        <v>3.7504000000000001E-3</v>
      </c>
      <c r="Y129" s="244">
        <v>3.3498E-3</v>
      </c>
      <c r="Z129" s="244">
        <v>0</v>
      </c>
      <c r="AA129" s="244">
        <v>3.7504000000000001E-3</v>
      </c>
      <c r="AB129" s="244">
        <v>3.3498E-3</v>
      </c>
      <c r="AC129" s="244">
        <v>3.5501E-3</v>
      </c>
      <c r="AD129" s="244">
        <v>0.99998974396659712</v>
      </c>
      <c r="AE129" s="244">
        <v>0.99998768847902764</v>
      </c>
      <c r="AF129" s="244">
        <v>1</v>
      </c>
      <c r="AG129" s="244">
        <v>1</v>
      </c>
      <c r="AH129" s="244">
        <v>0</v>
      </c>
      <c r="AI129" s="244">
        <v>0</v>
      </c>
      <c r="AJ129" s="123"/>
      <c r="AK129" s="123"/>
      <c r="AL129" s="123"/>
      <c r="AM129" s="123"/>
      <c r="AN129" s="123"/>
      <c r="AO129" s="123"/>
      <c r="AP129" s="123"/>
      <c r="AQ129" s="132"/>
      <c r="AR129" s="132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32"/>
      <c r="BH129" s="132"/>
      <c r="BI129" s="132"/>
      <c r="BJ129" s="132"/>
      <c r="BK129" s="132"/>
      <c r="BL129" s="132"/>
      <c r="BM129" s="132"/>
      <c r="BN129" s="132"/>
    </row>
    <row r="130" spans="1:66">
      <c r="A130" s="134">
        <v>10482</v>
      </c>
      <c r="B130" s="134" t="s">
        <v>134</v>
      </c>
      <c r="C130" s="244">
        <v>1</v>
      </c>
      <c r="D130" s="244">
        <v>0</v>
      </c>
      <c r="E130" s="244">
        <v>4.1749999999999998</v>
      </c>
      <c r="F130" s="244">
        <v>2.802</v>
      </c>
      <c r="G130" s="244">
        <v>2.81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2.6989999999999998</v>
      </c>
      <c r="O130" s="244">
        <v>2.698</v>
      </c>
      <c r="P130" s="244">
        <v>23708.016</v>
      </c>
      <c r="Q130" s="244">
        <v>23634.48</v>
      </c>
      <c r="R130" s="244">
        <v>4.0919999999999996</v>
      </c>
      <c r="S130" s="244">
        <v>35944.127999999997</v>
      </c>
      <c r="T130" s="244">
        <v>0</v>
      </c>
      <c r="U130" s="244">
        <v>0</v>
      </c>
      <c r="V130" s="244">
        <v>0</v>
      </c>
      <c r="W130" s="244">
        <v>0</v>
      </c>
      <c r="X130" s="244">
        <v>3.8420000000000001E-4</v>
      </c>
      <c r="Y130" s="244">
        <v>3.8410000000000001E-4</v>
      </c>
      <c r="Z130" s="244">
        <v>0</v>
      </c>
      <c r="AA130" s="244">
        <v>3.8420000000000001E-4</v>
      </c>
      <c r="AB130" s="244">
        <v>3.8410000000000001E-4</v>
      </c>
      <c r="AC130" s="244">
        <v>3.8414999999999999E-4</v>
      </c>
      <c r="AD130" s="244">
        <v>0.99993238621711755</v>
      </c>
      <c r="AE130" s="244">
        <v>1</v>
      </c>
      <c r="AF130" s="244">
        <v>1</v>
      </c>
      <c r="AG130" s="244">
        <v>1</v>
      </c>
      <c r="AH130" s="244">
        <v>0</v>
      </c>
      <c r="AI130" s="244">
        <v>0</v>
      </c>
      <c r="AJ130" s="123"/>
      <c r="AK130" s="123"/>
      <c r="AL130" s="123"/>
      <c r="AM130" s="123"/>
      <c r="AN130" s="123"/>
      <c r="AO130" s="123"/>
      <c r="AP130" s="123"/>
      <c r="AQ130" s="132"/>
      <c r="AR130" s="132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32"/>
      <c r="BH130" s="132"/>
      <c r="BI130" s="132"/>
      <c r="BJ130" s="132"/>
      <c r="BK130" s="132"/>
      <c r="BL130" s="132"/>
      <c r="BM130" s="132"/>
      <c r="BN130" s="132"/>
    </row>
    <row r="131" spans="1:66">
      <c r="A131" s="134">
        <v>10502</v>
      </c>
      <c r="B131" s="134" t="s">
        <v>135</v>
      </c>
      <c r="C131" s="244">
        <v>1</v>
      </c>
      <c r="D131" s="244">
        <v>0</v>
      </c>
      <c r="E131" s="244">
        <v>18.986000000000001</v>
      </c>
      <c r="F131" s="244">
        <v>18.274999999999999</v>
      </c>
      <c r="G131" s="244">
        <v>18.846</v>
      </c>
      <c r="H131" s="244">
        <v>0</v>
      </c>
      <c r="I131" s="244">
        <v>0</v>
      </c>
      <c r="J131" s="244">
        <v>0</v>
      </c>
      <c r="K131" s="244">
        <v>0</v>
      </c>
      <c r="L131" s="244">
        <v>0</v>
      </c>
      <c r="M131" s="244">
        <v>0</v>
      </c>
      <c r="N131" s="244">
        <v>18.690999999999999</v>
      </c>
      <c r="O131" s="244">
        <v>18.963000000000001</v>
      </c>
      <c r="P131" s="244">
        <v>164181.74399999998</v>
      </c>
      <c r="Q131" s="244">
        <v>166115.88</v>
      </c>
      <c r="R131" s="244">
        <v>18.608000000000001</v>
      </c>
      <c r="S131" s="244">
        <v>163452.67199999999</v>
      </c>
      <c r="T131" s="244">
        <v>8.3000000000000004E-2</v>
      </c>
      <c r="U131" s="244">
        <v>0.35499999999999998</v>
      </c>
      <c r="V131" s="244">
        <v>0</v>
      </c>
      <c r="W131" s="244">
        <v>0</v>
      </c>
      <c r="X131" s="244">
        <v>2.6489999999999999E-3</v>
      </c>
      <c r="Y131" s="244">
        <v>2.6489999999999999E-3</v>
      </c>
      <c r="Z131" s="244">
        <v>0</v>
      </c>
      <c r="AA131" s="244">
        <v>2.6489999999999999E-3</v>
      </c>
      <c r="AB131" s="244">
        <v>2.6489999999999999E-3</v>
      </c>
      <c r="AC131" s="244">
        <v>2.6489999999999999E-3</v>
      </c>
      <c r="AD131" s="244">
        <v>0.99555573741372838</v>
      </c>
      <c r="AE131" s="244">
        <v>0.98127576269577577</v>
      </c>
      <c r="AF131" s="244">
        <v>1.0044604471195184</v>
      </c>
      <c r="AG131" s="244">
        <v>1.0190778159931213</v>
      </c>
      <c r="AH131" s="244">
        <v>7.0312231298366293E-2</v>
      </c>
      <c r="AI131" s="244">
        <v>7.1335447119518502E-2</v>
      </c>
      <c r="AJ131" s="123"/>
      <c r="AK131" s="123"/>
      <c r="AL131" s="123"/>
      <c r="AM131" s="123"/>
      <c r="AN131" s="123"/>
      <c r="AO131" s="123"/>
      <c r="AP131" s="123"/>
      <c r="AQ131" s="132"/>
      <c r="AR131" s="132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32"/>
      <c r="BH131" s="132"/>
      <c r="BI131" s="132"/>
      <c r="BJ131" s="132"/>
      <c r="BK131" s="132"/>
      <c r="BL131" s="132"/>
      <c r="BM131" s="132"/>
      <c r="BN131" s="132"/>
    </row>
    <row r="132" spans="1:66">
      <c r="A132" s="134">
        <v>13927</v>
      </c>
      <c r="B132" s="134" t="s">
        <v>238</v>
      </c>
      <c r="C132" s="244">
        <v>1</v>
      </c>
      <c r="D132" s="244">
        <v>0</v>
      </c>
      <c r="E132" s="244">
        <v>4.1340000000000003</v>
      </c>
      <c r="F132" s="244">
        <v>3.4169999999999998</v>
      </c>
      <c r="G132" s="244">
        <v>3.4729999999999999</v>
      </c>
      <c r="H132" s="244">
        <v>0</v>
      </c>
      <c r="I132" s="244">
        <v>0</v>
      </c>
      <c r="J132" s="244">
        <v>0</v>
      </c>
      <c r="K132" s="244">
        <v>0</v>
      </c>
      <c r="L132" s="244">
        <v>0</v>
      </c>
      <c r="M132" s="244">
        <v>0</v>
      </c>
      <c r="N132" s="244">
        <v>3.0190000000000001</v>
      </c>
      <c r="O132" s="244">
        <v>3.3690000000000002</v>
      </c>
      <c r="P132" s="244">
        <v>26518.896000000001</v>
      </c>
      <c r="Q132" s="244">
        <v>29512.440000000002</v>
      </c>
      <c r="R132" s="244">
        <v>4.0519999999999996</v>
      </c>
      <c r="S132" s="244">
        <v>35592.767999999996</v>
      </c>
      <c r="T132" s="244">
        <v>0</v>
      </c>
      <c r="U132" s="244">
        <v>0</v>
      </c>
      <c r="V132" s="244">
        <v>0</v>
      </c>
      <c r="W132" s="244">
        <v>0</v>
      </c>
      <c r="X132" s="244">
        <v>4.2979999999999998E-4</v>
      </c>
      <c r="Y132" s="244">
        <v>4.796E-4</v>
      </c>
      <c r="Z132" s="244">
        <v>0</v>
      </c>
      <c r="AA132" s="244">
        <v>4.2979999999999998E-4</v>
      </c>
      <c r="AB132" s="244">
        <v>4.796E-4</v>
      </c>
      <c r="AC132" s="244">
        <v>4.5469999999999999E-4</v>
      </c>
      <c r="AD132" s="244">
        <v>1</v>
      </c>
      <c r="AE132" s="244">
        <v>0.99998692644701681</v>
      </c>
      <c r="AF132" s="244">
        <v>1</v>
      </c>
      <c r="AG132" s="244">
        <v>1</v>
      </c>
      <c r="AH132" s="244">
        <v>0</v>
      </c>
      <c r="AI132" s="244">
        <v>0</v>
      </c>
      <c r="AJ132" s="123"/>
      <c r="AK132" s="123"/>
      <c r="AL132" s="123"/>
      <c r="AM132" s="123"/>
      <c r="AN132" s="123"/>
      <c r="AO132" s="123"/>
      <c r="AP132" s="123"/>
      <c r="AQ132" s="132"/>
      <c r="AR132" s="132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32"/>
      <c r="BH132" s="132"/>
      <c r="BI132" s="132"/>
      <c r="BJ132" s="132"/>
      <c r="BK132" s="132"/>
      <c r="BL132" s="132"/>
      <c r="BM132" s="132"/>
      <c r="BN132" s="132"/>
    </row>
    <row r="133" spans="1:66">
      <c r="A133" s="134">
        <v>10597</v>
      </c>
      <c r="B133" s="134" t="s">
        <v>136</v>
      </c>
      <c r="C133" s="244">
        <v>1</v>
      </c>
      <c r="D133" s="244">
        <v>0</v>
      </c>
      <c r="E133" s="244">
        <v>13.13</v>
      </c>
      <c r="F133" s="244">
        <v>12.273</v>
      </c>
      <c r="G133" s="244">
        <v>12.314</v>
      </c>
      <c r="H133" s="244">
        <v>0</v>
      </c>
      <c r="I133" s="244">
        <v>0</v>
      </c>
      <c r="J133" s="244">
        <v>0</v>
      </c>
      <c r="K133" s="244">
        <v>0</v>
      </c>
      <c r="L133" s="244">
        <v>0</v>
      </c>
      <c r="M133" s="244">
        <v>0</v>
      </c>
      <c r="N133" s="244">
        <v>12.298</v>
      </c>
      <c r="O133" s="244">
        <v>12.304</v>
      </c>
      <c r="P133" s="244">
        <v>108025.632</v>
      </c>
      <c r="Q133" s="244">
        <v>107783.04000000001</v>
      </c>
      <c r="R133" s="244">
        <v>12.869</v>
      </c>
      <c r="S133" s="244">
        <v>113041.296</v>
      </c>
      <c r="T133" s="244">
        <v>0</v>
      </c>
      <c r="U133" s="244">
        <v>0</v>
      </c>
      <c r="V133" s="244">
        <v>0</v>
      </c>
      <c r="W133" s="244">
        <v>0</v>
      </c>
      <c r="X133" s="244">
        <v>1.7507E-3</v>
      </c>
      <c r="Y133" s="244">
        <v>1.7516000000000001E-3</v>
      </c>
      <c r="Z133" s="244">
        <v>0</v>
      </c>
      <c r="AA133" s="244">
        <v>1.7507E-3</v>
      </c>
      <c r="AB133" s="244">
        <v>1.7516000000000001E-3</v>
      </c>
      <c r="AC133" s="244">
        <v>1.7511499999999999E-3</v>
      </c>
      <c r="AD133" s="244">
        <v>0.99998480715563509</v>
      </c>
      <c r="AE133" s="244">
        <v>1</v>
      </c>
      <c r="AF133" s="244">
        <v>1</v>
      </c>
      <c r="AG133" s="244">
        <v>1</v>
      </c>
      <c r="AH133" s="244">
        <v>0</v>
      </c>
      <c r="AI133" s="244">
        <v>0</v>
      </c>
      <c r="AJ133" s="123"/>
      <c r="AK133" s="123"/>
      <c r="AL133" s="123"/>
      <c r="AM133" s="123"/>
      <c r="AN133" s="123"/>
      <c r="AO133" s="123"/>
      <c r="AP133" s="123"/>
      <c r="AQ133" s="132"/>
      <c r="AR133" s="132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32"/>
      <c r="BH133" s="132"/>
      <c r="BI133" s="132"/>
      <c r="BJ133" s="132"/>
      <c r="BK133" s="132"/>
      <c r="BL133" s="132"/>
      <c r="BM133" s="132"/>
      <c r="BN133" s="132"/>
    </row>
    <row r="134" spans="1:66">
      <c r="A134" s="134">
        <v>10706</v>
      </c>
      <c r="B134" s="134" t="s">
        <v>137</v>
      </c>
      <c r="C134" s="244">
        <v>1</v>
      </c>
      <c r="D134" s="244">
        <v>0</v>
      </c>
      <c r="E134" s="244">
        <v>17.536000000000001</v>
      </c>
      <c r="F134" s="244">
        <v>15.753</v>
      </c>
      <c r="G134" s="244">
        <v>16.209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21.876999999999999</v>
      </c>
      <c r="O134" s="244">
        <v>21.899000000000001</v>
      </c>
      <c r="P134" s="244">
        <v>192167.568</v>
      </c>
      <c r="Q134" s="244">
        <v>191835.24000000002</v>
      </c>
      <c r="R134" s="244">
        <v>17.187000000000001</v>
      </c>
      <c r="S134" s="244">
        <v>150970.60800000001</v>
      </c>
      <c r="T134" s="244">
        <v>4.6900000000000004</v>
      </c>
      <c r="U134" s="244">
        <v>4.7119999999999997</v>
      </c>
      <c r="V134" s="244">
        <v>4.6900000000000004</v>
      </c>
      <c r="W134" s="244">
        <v>4.7119999999999997</v>
      </c>
      <c r="X134" s="244">
        <v>2.4467E-3</v>
      </c>
      <c r="Y134" s="244">
        <v>2.4467E-3</v>
      </c>
      <c r="Z134" s="244">
        <v>0</v>
      </c>
      <c r="AA134" s="244">
        <v>2.4467E-3</v>
      </c>
      <c r="AB134" s="244">
        <v>2.4467E-3</v>
      </c>
      <c r="AC134" s="244">
        <v>2.4467E-3</v>
      </c>
      <c r="AD134" s="244">
        <v>0.78561381864058144</v>
      </c>
      <c r="AE134" s="244">
        <v>0.78482458150600476</v>
      </c>
      <c r="AF134" s="244">
        <v>1.2728806656193634</v>
      </c>
      <c r="AG134" s="244">
        <v>1.2741607028568103</v>
      </c>
      <c r="AH134" s="244">
        <v>0</v>
      </c>
      <c r="AI134" s="244">
        <v>0</v>
      </c>
      <c r="AJ134" s="123"/>
      <c r="AK134" s="123"/>
      <c r="AL134" s="123"/>
      <c r="AM134" s="123"/>
      <c r="AN134" s="123"/>
      <c r="AO134" s="123"/>
      <c r="AP134" s="123"/>
      <c r="AQ134" s="132"/>
      <c r="AR134" s="132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32"/>
      <c r="BH134" s="132"/>
      <c r="BI134" s="132"/>
      <c r="BJ134" s="132"/>
      <c r="BK134" s="132"/>
      <c r="BL134" s="132"/>
      <c r="BM134" s="132"/>
      <c r="BN134" s="132"/>
    </row>
    <row r="135" spans="1:66">
      <c r="A135" s="134">
        <v>11680</v>
      </c>
      <c r="B135" s="134" t="s">
        <v>138</v>
      </c>
      <c r="C135" s="244">
        <v>1</v>
      </c>
      <c r="D135" s="244">
        <v>0</v>
      </c>
      <c r="E135" s="244">
        <v>6.423</v>
      </c>
      <c r="F135" s="244">
        <v>6.3920000000000003</v>
      </c>
      <c r="G135" s="244">
        <v>6.4219999999999997</v>
      </c>
      <c r="H135" s="244">
        <v>0</v>
      </c>
      <c r="I135" s="244">
        <v>0</v>
      </c>
      <c r="J135" s="244">
        <v>0</v>
      </c>
      <c r="K135" s="244">
        <v>0</v>
      </c>
      <c r="L135" s="244">
        <v>0</v>
      </c>
      <c r="M135" s="244">
        <v>0</v>
      </c>
      <c r="N135" s="244">
        <v>6.3109999999999999</v>
      </c>
      <c r="O135" s="244">
        <v>6.3280000000000003</v>
      </c>
      <c r="P135" s="244">
        <v>55435.824000000001</v>
      </c>
      <c r="Q135" s="244">
        <v>55433.280000000006</v>
      </c>
      <c r="R135" s="244">
        <v>6.2949999999999999</v>
      </c>
      <c r="S135" s="244">
        <v>55295.28</v>
      </c>
      <c r="T135" s="244">
        <v>1.6E-2</v>
      </c>
      <c r="U135" s="244">
        <v>3.3000000000000002E-2</v>
      </c>
      <c r="V135" s="244">
        <v>0</v>
      </c>
      <c r="W135" s="244">
        <v>0</v>
      </c>
      <c r="X135" s="244">
        <v>8.9610000000000004E-4</v>
      </c>
      <c r="Y135" s="244">
        <v>8.9610000000000004E-4</v>
      </c>
      <c r="Z135" s="244">
        <v>0</v>
      </c>
      <c r="AA135" s="244">
        <v>8.9610000000000004E-4</v>
      </c>
      <c r="AB135" s="244">
        <v>8.9610000000000004E-4</v>
      </c>
      <c r="AC135" s="244">
        <v>8.9610000000000004E-4</v>
      </c>
      <c r="AD135" s="244">
        <v>0.99741169437490096</v>
      </c>
      <c r="AE135" s="244">
        <v>0.99473217496839439</v>
      </c>
      <c r="AF135" s="244">
        <v>1.0025416997617156</v>
      </c>
      <c r="AG135" s="244">
        <v>1.0052422557585385</v>
      </c>
      <c r="AH135" s="244">
        <v>0</v>
      </c>
      <c r="AI135" s="244">
        <v>0</v>
      </c>
      <c r="AJ135" s="123"/>
      <c r="AK135" s="123"/>
      <c r="AL135" s="123"/>
      <c r="AM135" s="123"/>
      <c r="AN135" s="123"/>
      <c r="AO135" s="123"/>
      <c r="AP135" s="123"/>
      <c r="AQ135" s="132"/>
      <c r="AR135" s="132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32"/>
      <c r="BH135" s="132"/>
      <c r="BI135" s="132"/>
      <c r="BJ135" s="132"/>
      <c r="BK135" s="132"/>
      <c r="BL135" s="132"/>
      <c r="BM135" s="132"/>
      <c r="BN135" s="132"/>
    </row>
    <row r="136" spans="1:66">
      <c r="A136" s="134">
        <v>12026</v>
      </c>
      <c r="B136" s="134" t="s">
        <v>139</v>
      </c>
      <c r="C136" s="244">
        <v>1</v>
      </c>
      <c r="D136" s="244">
        <v>0</v>
      </c>
      <c r="E136" s="244">
        <v>45.847000000000001</v>
      </c>
      <c r="F136" s="244">
        <v>45.296999999999997</v>
      </c>
      <c r="G136" s="244">
        <v>45.612000000000002</v>
      </c>
      <c r="H136" s="244">
        <v>0</v>
      </c>
      <c r="I136" s="244">
        <v>0</v>
      </c>
      <c r="J136" s="244">
        <v>0</v>
      </c>
      <c r="K136" s="244">
        <v>0</v>
      </c>
      <c r="L136" s="244">
        <v>0</v>
      </c>
      <c r="M136" s="244">
        <v>0</v>
      </c>
      <c r="N136" s="244">
        <v>44.484999999999999</v>
      </c>
      <c r="O136" s="244">
        <v>44.677</v>
      </c>
      <c r="P136" s="244">
        <v>390756.24</v>
      </c>
      <c r="Q136" s="244">
        <v>391370.52</v>
      </c>
      <c r="R136" s="244">
        <v>44.933999999999997</v>
      </c>
      <c r="S136" s="244">
        <v>394700.25599999999</v>
      </c>
      <c r="T136" s="244">
        <v>0</v>
      </c>
      <c r="U136" s="244">
        <v>0</v>
      </c>
      <c r="V136" s="244">
        <v>0</v>
      </c>
      <c r="W136" s="244">
        <v>0</v>
      </c>
      <c r="X136" s="244">
        <v>6.3328000000000004E-3</v>
      </c>
      <c r="Y136" s="244">
        <v>6.3601999999999999E-3</v>
      </c>
      <c r="Z136" s="244">
        <v>0</v>
      </c>
      <c r="AA136" s="244">
        <v>6.3328000000000004E-3</v>
      </c>
      <c r="AB136" s="244">
        <v>6.3601999999999999E-3</v>
      </c>
      <c r="AC136" s="244">
        <v>6.3464999999999997E-3</v>
      </c>
      <c r="AD136" s="244">
        <v>0.99999616935146685</v>
      </c>
      <c r="AE136" s="244">
        <v>1</v>
      </c>
      <c r="AF136" s="244">
        <v>1</v>
      </c>
      <c r="AG136" s="244">
        <v>1</v>
      </c>
      <c r="AH136" s="244">
        <v>0</v>
      </c>
      <c r="AI136" s="244">
        <v>0</v>
      </c>
      <c r="AJ136" s="123"/>
      <c r="AK136" s="123"/>
      <c r="AL136" s="123"/>
      <c r="AM136" s="123"/>
      <c r="AN136" s="123"/>
      <c r="AO136" s="123"/>
      <c r="AP136" s="123"/>
      <c r="AQ136" s="132"/>
      <c r="AR136" s="132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32"/>
      <c r="BH136" s="132"/>
      <c r="BI136" s="132"/>
      <c r="BJ136" s="132"/>
      <c r="BK136" s="132"/>
      <c r="BL136" s="132"/>
      <c r="BM136" s="132"/>
      <c r="BN136" s="132"/>
    </row>
    <row r="137" spans="1:66" s="150" customFormat="1">
      <c r="A137" s="132">
        <v>10298</v>
      </c>
      <c r="B137" s="132" t="s">
        <v>140</v>
      </c>
      <c r="C137" s="244">
        <v>1</v>
      </c>
      <c r="D137" s="244">
        <v>0</v>
      </c>
      <c r="E137" s="244">
        <v>441.95</v>
      </c>
      <c r="F137" s="244">
        <v>468.173</v>
      </c>
      <c r="G137" s="244">
        <v>473.10300000000001</v>
      </c>
      <c r="H137" s="244">
        <v>237.80600000000007</v>
      </c>
      <c r="I137" s="244">
        <v>300.81000000000006</v>
      </c>
      <c r="J137" s="244">
        <v>6.1680000000000001</v>
      </c>
      <c r="K137" s="244">
        <v>6.1849999999999996</v>
      </c>
      <c r="L137" s="244">
        <v>54179.712</v>
      </c>
      <c r="M137" s="244">
        <v>54180.6</v>
      </c>
      <c r="N137" s="244">
        <v>446.76100000000002</v>
      </c>
      <c r="O137" s="244">
        <v>449.48700000000002</v>
      </c>
      <c r="P137" s="244">
        <v>3924348.6240000003</v>
      </c>
      <c r="Q137" s="244">
        <v>3937506.12</v>
      </c>
      <c r="R137" s="244">
        <v>433.149</v>
      </c>
      <c r="S137" s="244">
        <v>3804780.8160000001</v>
      </c>
      <c r="T137" s="244">
        <v>18.638000000000002</v>
      </c>
      <c r="U137" s="244">
        <v>20.978999999999996</v>
      </c>
      <c r="V137" s="244">
        <v>18.638000000000002</v>
      </c>
      <c r="W137" s="244">
        <v>20.978999999999996</v>
      </c>
      <c r="X137" s="244">
        <v>6.0947099999999997E-2</v>
      </c>
      <c r="Y137" s="244">
        <v>6.1001800000000002E-2</v>
      </c>
      <c r="Z137" s="244">
        <v>0</v>
      </c>
      <c r="AA137" s="244">
        <v>6.0947099999999997E-2</v>
      </c>
      <c r="AB137" s="244">
        <v>6.1001800000000002E-2</v>
      </c>
      <c r="AC137" s="244">
        <v>6.0974449999999999E-2</v>
      </c>
      <c r="AD137" s="244">
        <v>0.80731630209183802</v>
      </c>
      <c r="AE137" s="244">
        <v>0.80059259378702674</v>
      </c>
      <c r="AF137" s="244">
        <v>1.031425675691275</v>
      </c>
      <c r="AG137" s="244">
        <v>1.0377191220573059</v>
      </c>
      <c r="AH137" s="244">
        <v>0</v>
      </c>
      <c r="AI137" s="244">
        <v>0</v>
      </c>
      <c r="AJ137" s="123"/>
      <c r="AK137" s="123"/>
      <c r="AL137" s="123"/>
      <c r="AM137" s="123"/>
      <c r="AN137" s="123"/>
      <c r="AO137" s="123"/>
      <c r="AP137" s="123"/>
      <c r="AQ137" s="132"/>
      <c r="AR137" s="132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32"/>
      <c r="BH137" s="132"/>
      <c r="BI137" s="132"/>
      <c r="BJ137" s="132"/>
      <c r="BK137" s="132"/>
      <c r="BL137" s="132"/>
      <c r="BM137" s="132"/>
      <c r="BN137" s="132"/>
    </row>
    <row r="138" spans="1:66" s="150" customForma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61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</row>
    <row r="139" spans="1:66" s="150" customFormat="1" ht="42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62"/>
      <c r="K139" s="132"/>
      <c r="L139" s="132"/>
      <c r="M139" s="132"/>
      <c r="N139" s="132"/>
      <c r="O139" s="162"/>
      <c r="P139" s="132"/>
      <c r="Q139" s="162"/>
      <c r="R139" s="132"/>
      <c r="S139" s="132"/>
      <c r="T139" s="132"/>
      <c r="U139" s="132"/>
      <c r="V139" s="128"/>
      <c r="W139" s="162"/>
      <c r="X139" s="16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</row>
    <row r="140" spans="1:66">
      <c r="A140" s="132" t="s">
        <v>141</v>
      </c>
      <c r="B140" s="132" t="s">
        <v>141</v>
      </c>
      <c r="C140" s="132" t="s">
        <v>141</v>
      </c>
      <c r="D140" s="132" t="s">
        <v>141</v>
      </c>
      <c r="E140" s="132"/>
      <c r="F140" s="132"/>
      <c r="G140" s="132"/>
      <c r="H140" s="132"/>
      <c r="I140" s="132"/>
      <c r="J140" s="16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</row>
    <row r="141" spans="1:66">
      <c r="A141" s="135" t="s">
        <v>141</v>
      </c>
      <c r="B141" s="136" t="s">
        <v>141</v>
      </c>
      <c r="C141" s="137" t="s">
        <v>141</v>
      </c>
      <c r="D141" s="137" t="s">
        <v>141</v>
      </c>
      <c r="E141" s="139"/>
      <c r="F141" s="139"/>
      <c r="G141" s="139"/>
      <c r="H141" s="139"/>
      <c r="I141" s="139"/>
      <c r="J141" s="139"/>
      <c r="K141" s="140"/>
      <c r="L141" s="140"/>
      <c r="M141" s="139"/>
      <c r="N141" s="139"/>
      <c r="O141" s="140"/>
      <c r="P141" s="140"/>
      <c r="Q141" s="138"/>
      <c r="R141" s="139"/>
      <c r="S141" s="139"/>
      <c r="T141" s="141"/>
      <c r="U141" s="141"/>
      <c r="V141" s="164"/>
      <c r="W141" s="164"/>
      <c r="X141" s="165"/>
      <c r="Y141" s="165"/>
      <c r="Z141" s="139"/>
      <c r="AA141" s="139"/>
      <c r="AB141" s="151"/>
      <c r="AC141" s="151"/>
      <c r="AD141" s="148"/>
      <c r="AE141" s="148"/>
      <c r="AF141" s="142"/>
      <c r="AG141" s="149"/>
      <c r="AH141" s="149"/>
      <c r="AI141" s="149"/>
      <c r="AJ141" s="143"/>
      <c r="AK141" s="143"/>
      <c r="AL141" s="143"/>
      <c r="AM141" s="143"/>
      <c r="AN141" s="144"/>
      <c r="AO141" s="144"/>
      <c r="AP141" s="144"/>
      <c r="AQ141" s="144"/>
      <c r="AR141" s="144"/>
      <c r="AS141" s="144"/>
      <c r="AT141" s="144"/>
      <c r="AU141" s="144"/>
    </row>
    <row r="142" spans="1:66">
      <c r="A142" s="132" t="s">
        <v>141</v>
      </c>
      <c r="B142" s="132" t="s">
        <v>141</v>
      </c>
      <c r="C142" s="132" t="s">
        <v>141</v>
      </c>
      <c r="D142" s="132" t="s">
        <v>141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24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</row>
    <row r="143" spans="1:66">
      <c r="A143" s="132" t="s">
        <v>141</v>
      </c>
      <c r="B143" s="132" t="s">
        <v>141</v>
      </c>
      <c r="C143" s="132" t="s">
        <v>141</v>
      </c>
      <c r="D143" s="132" t="s">
        <v>141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6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</row>
    <row r="144" spans="1:66">
      <c r="A144" s="135" t="s">
        <v>141</v>
      </c>
      <c r="B144" s="136" t="s">
        <v>141</v>
      </c>
      <c r="C144" s="137" t="s">
        <v>141</v>
      </c>
      <c r="D144" s="137" t="s">
        <v>141</v>
      </c>
      <c r="E144" s="139"/>
      <c r="F144" s="139"/>
      <c r="G144" s="139"/>
      <c r="H144" s="139"/>
      <c r="I144" s="139"/>
      <c r="J144" s="139"/>
      <c r="K144" s="140"/>
      <c r="L144" s="140"/>
      <c r="M144" s="139"/>
      <c r="N144" s="139"/>
      <c r="O144" s="140"/>
      <c r="P144" s="140"/>
      <c r="Q144" s="138"/>
      <c r="R144" s="139"/>
      <c r="S144" s="139"/>
      <c r="T144" s="141"/>
      <c r="U144" s="141"/>
      <c r="V144" s="164"/>
      <c r="W144" s="164"/>
      <c r="X144" s="165"/>
      <c r="Y144" s="165"/>
      <c r="Z144" s="139"/>
      <c r="AA144" s="139"/>
      <c r="AB144" s="151"/>
      <c r="AC144" s="151"/>
      <c r="AD144" s="148"/>
      <c r="AE144" s="148"/>
      <c r="AF144" s="142"/>
      <c r="AG144" s="149"/>
      <c r="AH144" s="149"/>
      <c r="AI144" s="149"/>
      <c r="AJ144" s="143"/>
      <c r="AK144" s="143"/>
      <c r="AL144" s="143"/>
      <c r="AM144" s="143"/>
      <c r="AN144" s="144"/>
      <c r="AO144" s="144"/>
      <c r="AP144" s="144"/>
      <c r="AQ144" s="144"/>
      <c r="AR144" s="144"/>
      <c r="AS144" s="144"/>
      <c r="AT144" s="144"/>
      <c r="AU144" s="144"/>
    </row>
    <row r="145" spans="1:56">
      <c r="A145" s="135" t="s">
        <v>141</v>
      </c>
      <c r="B145" s="136" t="s">
        <v>141</v>
      </c>
      <c r="C145" s="137" t="s">
        <v>141</v>
      </c>
      <c r="D145" s="137" t="s">
        <v>141</v>
      </c>
      <c r="E145" s="139"/>
      <c r="F145" s="139"/>
      <c r="G145" s="16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</row>
    <row r="146" spans="1:56">
      <c r="A146" s="135" t="s">
        <v>141</v>
      </c>
      <c r="B146" s="136" t="s">
        <v>141</v>
      </c>
      <c r="C146" s="137" t="s">
        <v>141</v>
      </c>
      <c r="D146" s="137" t="s">
        <v>141</v>
      </c>
      <c r="E146" s="139"/>
      <c r="F146" s="139"/>
      <c r="G146" s="139"/>
      <c r="H146" s="139"/>
      <c r="I146" s="139"/>
      <c r="J146" s="139"/>
      <c r="K146" s="140"/>
      <c r="L146" s="140"/>
      <c r="M146" s="139"/>
      <c r="N146" s="139"/>
      <c r="O146" s="140"/>
      <c r="P146" s="140"/>
      <c r="Q146" s="138"/>
      <c r="R146" s="139"/>
      <c r="S146" s="139"/>
      <c r="T146" s="141"/>
      <c r="U146" s="141"/>
      <c r="V146" s="164"/>
      <c r="W146" s="164"/>
      <c r="X146" s="165"/>
      <c r="Y146" s="165"/>
      <c r="Z146" s="139"/>
      <c r="AA146" s="139"/>
      <c r="AB146" s="151"/>
      <c r="AC146" s="151"/>
      <c r="AD146" s="148"/>
      <c r="AE146" s="148"/>
      <c r="AF146" s="142"/>
      <c r="AG146" s="149"/>
      <c r="AH146" s="149"/>
      <c r="AI146" s="149"/>
      <c r="AJ146" s="143"/>
      <c r="AK146" s="143"/>
      <c r="AL146" s="143"/>
      <c r="AM146" s="143"/>
      <c r="AN146" s="144"/>
      <c r="AO146" s="144"/>
      <c r="AP146" s="144"/>
      <c r="AQ146" s="144"/>
      <c r="AR146" s="144"/>
      <c r="AS146" s="144"/>
      <c r="AT146" s="144"/>
      <c r="AU146" s="144"/>
    </row>
    <row r="147" spans="1:56">
      <c r="A147" s="135" t="s">
        <v>141</v>
      </c>
      <c r="B147" s="136" t="s">
        <v>141</v>
      </c>
      <c r="C147" s="137" t="s">
        <v>141</v>
      </c>
      <c r="D147" s="137" t="s">
        <v>141</v>
      </c>
      <c r="E147" s="139"/>
      <c r="F147" s="139"/>
      <c r="G147" s="139"/>
      <c r="H147" s="139"/>
      <c r="I147" s="139"/>
      <c r="J147" s="139"/>
      <c r="K147" s="140"/>
      <c r="L147" s="140"/>
      <c r="M147" s="139"/>
      <c r="N147" s="139"/>
      <c r="O147" s="140"/>
      <c r="P147" s="140"/>
      <c r="Q147" s="138"/>
      <c r="R147" s="139"/>
      <c r="S147" s="139"/>
      <c r="T147" s="141"/>
      <c r="U147" s="141"/>
      <c r="V147" s="164"/>
      <c r="W147" s="164"/>
      <c r="X147" s="165"/>
      <c r="Y147" s="165"/>
      <c r="Z147" s="139"/>
      <c r="AA147" s="139"/>
      <c r="AB147" s="151"/>
      <c r="AC147" s="151"/>
      <c r="AD147" s="148"/>
      <c r="AE147" s="148"/>
      <c r="AF147" s="142"/>
      <c r="AG147" s="149"/>
      <c r="AH147" s="149"/>
      <c r="AI147" s="149"/>
      <c r="AJ147" s="143"/>
      <c r="AK147" s="143"/>
      <c r="AL147" s="143"/>
      <c r="AM147" s="143"/>
      <c r="AN147" s="144"/>
      <c r="AO147" s="144"/>
      <c r="AP147" s="144"/>
      <c r="AQ147" s="144"/>
      <c r="AR147" s="144"/>
      <c r="AS147" s="144"/>
      <c r="AT147" s="144"/>
      <c r="AU147" s="144"/>
    </row>
    <row r="148" spans="1:56">
      <c r="A148" s="135" t="s">
        <v>141</v>
      </c>
      <c r="B148" s="136" t="s">
        <v>141</v>
      </c>
      <c r="C148" s="137" t="s">
        <v>141</v>
      </c>
      <c r="D148" s="137" t="s">
        <v>141</v>
      </c>
      <c r="E148" s="139"/>
      <c r="F148" s="139"/>
      <c r="G148" s="139"/>
      <c r="H148" s="139"/>
      <c r="I148" s="139"/>
      <c r="J148" s="139"/>
      <c r="K148" s="140"/>
      <c r="L148" s="140"/>
      <c r="M148" s="139"/>
      <c r="N148" s="139"/>
      <c r="O148" s="140"/>
      <c r="P148" s="140"/>
      <c r="Q148" s="138"/>
      <c r="R148" s="139"/>
      <c r="S148" s="139"/>
      <c r="T148" s="141"/>
      <c r="U148" s="141"/>
      <c r="V148" s="164"/>
      <c r="W148" s="164"/>
      <c r="X148" s="165"/>
      <c r="Y148" s="165"/>
      <c r="Z148" s="139"/>
      <c r="AA148" s="139"/>
      <c r="AB148" s="151"/>
      <c r="AC148" s="151"/>
      <c r="AD148" s="148"/>
      <c r="AE148" s="148"/>
      <c r="AF148" s="142"/>
      <c r="AG148" s="149"/>
      <c r="AH148" s="149"/>
      <c r="AI148" s="149"/>
      <c r="AJ148" s="143"/>
      <c r="AK148" s="143"/>
      <c r="AL148" s="143"/>
      <c r="AM148" s="143"/>
      <c r="AN148" s="144"/>
      <c r="AO148" s="144"/>
      <c r="AP148" s="144"/>
      <c r="AQ148" s="144"/>
      <c r="AR148" s="144"/>
      <c r="AS148" s="144"/>
      <c r="AT148" s="144"/>
      <c r="AU148" s="144"/>
    </row>
    <row r="149" spans="1:56">
      <c r="A149" s="135">
        <v>1</v>
      </c>
      <c r="B149" s="136">
        <v>2</v>
      </c>
      <c r="C149" s="137">
        <v>3</v>
      </c>
      <c r="D149" s="137">
        <v>4</v>
      </c>
      <c r="E149" s="178">
        <v>6</v>
      </c>
      <c r="F149" s="178">
        <v>7</v>
      </c>
      <c r="G149" s="178">
        <v>8</v>
      </c>
      <c r="H149" s="178">
        <v>9</v>
      </c>
      <c r="I149" s="178">
        <v>10</v>
      </c>
      <c r="J149" s="178">
        <v>11</v>
      </c>
      <c r="K149" s="178">
        <v>12</v>
      </c>
      <c r="L149" s="178">
        <v>13</v>
      </c>
      <c r="M149" s="178">
        <v>14</v>
      </c>
      <c r="N149" s="178">
        <v>15</v>
      </c>
      <c r="O149" s="178">
        <v>16</v>
      </c>
      <c r="P149" s="178">
        <v>17</v>
      </c>
      <c r="Q149" s="178">
        <v>18</v>
      </c>
      <c r="R149" s="178">
        <v>19</v>
      </c>
      <c r="S149" s="178">
        <v>20</v>
      </c>
      <c r="T149" s="179">
        <v>22</v>
      </c>
      <c r="U149" s="179">
        <v>23</v>
      </c>
      <c r="V149" s="180">
        <v>24</v>
      </c>
      <c r="W149" s="180">
        <v>25</v>
      </c>
      <c r="X149" s="181">
        <v>32</v>
      </c>
      <c r="Y149" s="181">
        <v>33</v>
      </c>
      <c r="Z149" s="178">
        <v>34</v>
      </c>
      <c r="AA149" s="178">
        <v>35</v>
      </c>
      <c r="AB149" s="182">
        <v>36</v>
      </c>
      <c r="AC149" s="182">
        <v>37</v>
      </c>
      <c r="AD149" s="183">
        <v>38</v>
      </c>
      <c r="AE149" s="183">
        <v>39</v>
      </c>
      <c r="AF149" s="137">
        <v>40</v>
      </c>
      <c r="AG149" s="183">
        <v>41</v>
      </c>
      <c r="AH149" s="183">
        <v>42</v>
      </c>
      <c r="AI149" s="183">
        <v>43</v>
      </c>
      <c r="AJ149" s="143"/>
      <c r="AK149" s="143"/>
      <c r="AL149" s="143"/>
      <c r="AM149" s="143"/>
      <c r="AN149" s="144"/>
      <c r="AO149" s="144"/>
      <c r="AP149" s="144"/>
      <c r="AQ149" s="144"/>
      <c r="AR149" s="144"/>
      <c r="AS149" s="144"/>
      <c r="AT149" s="144"/>
      <c r="AU149" s="144"/>
    </row>
    <row r="150" spans="1:56">
      <c r="A150" s="135" t="s">
        <v>141</v>
      </c>
      <c r="B150" s="136" t="s">
        <v>141</v>
      </c>
      <c r="C150" s="137" t="s">
        <v>141</v>
      </c>
      <c r="D150" s="137" t="s">
        <v>141</v>
      </c>
      <c r="E150" s="139"/>
      <c r="F150" s="139"/>
      <c r="G150" s="139"/>
      <c r="H150" s="139"/>
      <c r="I150" s="139"/>
      <c r="J150" s="139"/>
      <c r="K150" s="140"/>
      <c r="L150" s="140"/>
      <c r="M150" s="139"/>
      <c r="N150" s="139"/>
      <c r="O150" s="140"/>
      <c r="P150" s="140"/>
      <c r="Q150" s="138"/>
      <c r="R150" s="139"/>
      <c r="S150" s="139"/>
      <c r="T150" s="141"/>
      <c r="U150" s="141"/>
      <c r="V150" s="164"/>
      <c r="W150" s="164"/>
      <c r="X150" s="165"/>
      <c r="Y150" s="165"/>
      <c r="Z150" s="139"/>
      <c r="AA150" s="139"/>
      <c r="AB150" s="151"/>
      <c r="AC150" s="151"/>
      <c r="AD150" s="148"/>
      <c r="AE150" s="148"/>
      <c r="AF150" s="142"/>
      <c r="AG150" s="149"/>
      <c r="AH150" s="149"/>
      <c r="AI150" s="149"/>
      <c r="AJ150" s="143"/>
      <c r="AK150" s="143"/>
      <c r="AL150" s="143"/>
      <c r="AM150" s="143"/>
      <c r="AN150" s="144"/>
      <c r="AO150" s="144"/>
      <c r="AP150" s="144"/>
      <c r="AQ150" s="144"/>
      <c r="AR150" s="144"/>
      <c r="AS150" s="144"/>
      <c r="AT150" s="144"/>
      <c r="AU150" s="144"/>
    </row>
    <row r="151" spans="1:56">
      <c r="A151" s="135" t="s">
        <v>141</v>
      </c>
      <c r="B151" s="136" t="s">
        <v>141</v>
      </c>
      <c r="C151" s="137" t="s">
        <v>141</v>
      </c>
      <c r="D151" s="137" t="s">
        <v>141</v>
      </c>
      <c r="E151" s="139"/>
      <c r="F151" s="139"/>
      <c r="G151" s="139"/>
      <c r="H151" s="139"/>
      <c r="I151" s="139"/>
      <c r="J151" s="139"/>
      <c r="K151" s="140"/>
      <c r="L151" s="140"/>
      <c r="M151" s="139"/>
      <c r="N151" s="139"/>
      <c r="O151" s="140"/>
      <c r="P151" s="140"/>
      <c r="Q151" s="138"/>
      <c r="R151" s="139"/>
      <c r="S151" s="139"/>
      <c r="T151" s="141"/>
      <c r="U151" s="141"/>
      <c r="V151" s="164"/>
      <c r="W151" s="164"/>
      <c r="X151" s="165"/>
      <c r="Y151" s="165"/>
      <c r="Z151" s="139"/>
      <c r="AA151" s="139"/>
      <c r="AB151" s="151"/>
      <c r="AC151" s="151"/>
      <c r="AD151" s="148"/>
      <c r="AE151" s="148"/>
      <c r="AF151" s="142"/>
      <c r="AG151" s="149"/>
      <c r="AH151" s="149"/>
      <c r="AI151" s="149"/>
      <c r="AJ151" s="143"/>
      <c r="AK151" s="143"/>
      <c r="AL151" s="143"/>
      <c r="AM151" s="143"/>
      <c r="AN151" s="144"/>
      <c r="AO151" s="144"/>
      <c r="AP151" s="144"/>
      <c r="AQ151" s="144"/>
      <c r="AR151" s="144"/>
      <c r="AS151" s="144"/>
      <c r="AT151" s="144"/>
      <c r="AU151" s="144"/>
    </row>
    <row r="152" spans="1:56">
      <c r="A152" s="135" t="s">
        <v>141</v>
      </c>
      <c r="B152" s="136" t="s">
        <v>141</v>
      </c>
      <c r="C152" s="137" t="s">
        <v>141</v>
      </c>
      <c r="D152" s="137" t="s">
        <v>141</v>
      </c>
      <c r="E152" s="139"/>
      <c r="F152" s="139"/>
      <c r="G152" s="139"/>
      <c r="H152" s="139"/>
      <c r="I152" s="139"/>
      <c r="J152" s="139"/>
      <c r="K152" s="140"/>
      <c r="L152" s="140"/>
      <c r="M152" s="139"/>
      <c r="N152" s="139"/>
      <c r="O152" s="140"/>
      <c r="P152" s="140"/>
      <c r="Q152" s="138"/>
      <c r="R152" s="139"/>
      <c r="S152" s="139"/>
      <c r="T152" s="141"/>
      <c r="U152" s="141"/>
      <c r="V152" s="164"/>
      <c r="W152" s="164"/>
      <c r="X152" s="165"/>
      <c r="Y152" s="165"/>
      <c r="Z152" s="139"/>
      <c r="AA152" s="139"/>
      <c r="AB152" s="151"/>
      <c r="AC152" s="151"/>
      <c r="AD152" s="148"/>
      <c r="AE152" s="148"/>
      <c r="AF152" s="142"/>
      <c r="AG152" s="149"/>
      <c r="AH152" s="149"/>
      <c r="AI152" s="149"/>
      <c r="AJ152" s="143"/>
      <c r="AK152" s="143"/>
      <c r="AL152" s="143"/>
      <c r="AM152" s="143"/>
      <c r="AN152" s="144"/>
      <c r="AO152" s="144"/>
      <c r="AP152" s="144"/>
      <c r="AQ152" s="144"/>
      <c r="AR152" s="144"/>
      <c r="AS152" s="144"/>
      <c r="AT152" s="144"/>
      <c r="AU152" s="144"/>
    </row>
    <row r="153" spans="1:56">
      <c r="A153" s="135" t="s">
        <v>141</v>
      </c>
      <c r="B153" s="136" t="s">
        <v>141</v>
      </c>
      <c r="C153" s="137" t="s">
        <v>141</v>
      </c>
      <c r="D153" s="137" t="s">
        <v>141</v>
      </c>
      <c r="E153" s="139"/>
      <c r="F153" s="139"/>
      <c r="G153" s="139"/>
      <c r="H153" s="139"/>
      <c r="I153" s="139"/>
      <c r="J153" s="139"/>
      <c r="K153" s="140"/>
      <c r="L153" s="140"/>
      <c r="M153" s="139"/>
      <c r="N153" s="139"/>
      <c r="O153" s="140"/>
      <c r="P153" s="140"/>
      <c r="Q153" s="138"/>
      <c r="R153" s="139"/>
      <c r="S153" s="139"/>
      <c r="T153" s="141"/>
      <c r="U153" s="141"/>
      <c r="V153" s="164"/>
      <c r="W153" s="164"/>
      <c r="X153" s="165"/>
      <c r="Y153" s="165"/>
      <c r="Z153" s="139"/>
      <c r="AA153" s="139"/>
      <c r="AB153" s="151"/>
      <c r="AC153" s="151"/>
      <c r="AD153" s="148"/>
      <c r="AE153" s="148"/>
      <c r="AF153" s="142"/>
      <c r="AG153" s="149"/>
      <c r="AH153" s="149"/>
      <c r="AI153" s="149"/>
      <c r="AJ153" s="143"/>
      <c r="AK153" s="143"/>
      <c r="AL153" s="143"/>
      <c r="AM153" s="143"/>
      <c r="AN153" s="144"/>
      <c r="AO153" s="144"/>
      <c r="AP153" s="144"/>
      <c r="AQ153" s="144"/>
      <c r="AR153" s="144"/>
      <c r="AS153" s="144"/>
      <c r="AT153" s="144"/>
      <c r="AU153" s="144"/>
    </row>
    <row r="154" spans="1:56">
      <c r="A154" s="135" t="s">
        <v>141</v>
      </c>
      <c r="B154" s="136" t="s">
        <v>141</v>
      </c>
      <c r="C154" s="137" t="s">
        <v>141</v>
      </c>
      <c r="D154" s="137" t="s">
        <v>141</v>
      </c>
      <c r="E154" s="139"/>
      <c r="F154" s="139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23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</row>
    <row r="155" spans="1:56">
      <c r="A155" s="135" t="s">
        <v>141</v>
      </c>
      <c r="B155" s="136" t="s">
        <v>141</v>
      </c>
      <c r="C155" s="137" t="s">
        <v>141</v>
      </c>
      <c r="D155" s="137" t="s">
        <v>141</v>
      </c>
      <c r="E155" s="139"/>
      <c r="F155" s="139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23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</row>
    <row r="156" spans="1:56">
      <c r="A156" s="135" t="s">
        <v>141</v>
      </c>
      <c r="B156" s="136" t="s">
        <v>141</v>
      </c>
      <c r="C156" s="137" t="s">
        <v>141</v>
      </c>
      <c r="D156" s="137" t="s">
        <v>141</v>
      </c>
      <c r="E156" s="139"/>
      <c r="F156" s="139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23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</row>
    <row r="157" spans="1:56">
      <c r="A157" s="135" t="s">
        <v>141</v>
      </c>
      <c r="B157" s="136" t="s">
        <v>141</v>
      </c>
      <c r="C157" s="137" t="s">
        <v>141</v>
      </c>
      <c r="D157" s="137" t="s">
        <v>141</v>
      </c>
      <c r="E157" s="139"/>
      <c r="F157" s="139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23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</row>
    <row r="158" spans="1:56">
      <c r="A158" s="135" t="s">
        <v>141</v>
      </c>
      <c r="B158" s="136" t="s">
        <v>141</v>
      </c>
      <c r="C158" s="137" t="s">
        <v>141</v>
      </c>
      <c r="D158" s="137" t="s">
        <v>141</v>
      </c>
      <c r="E158" s="139"/>
      <c r="F158" s="139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23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</row>
    <row r="159" spans="1:56">
      <c r="A159" s="135" t="s">
        <v>141</v>
      </c>
      <c r="B159" s="136" t="s">
        <v>141</v>
      </c>
      <c r="C159" s="137" t="s">
        <v>141</v>
      </c>
      <c r="D159" s="137" t="s">
        <v>141</v>
      </c>
      <c r="E159" s="139"/>
      <c r="F159" s="139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23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</row>
    <row r="160" spans="1:56">
      <c r="A160" s="135" t="s">
        <v>141</v>
      </c>
      <c r="B160" s="136" t="s">
        <v>141</v>
      </c>
      <c r="C160" s="137" t="s">
        <v>141</v>
      </c>
      <c r="D160" s="137" t="s">
        <v>141</v>
      </c>
      <c r="E160" s="139"/>
      <c r="F160" s="139"/>
      <c r="G160" s="139"/>
      <c r="H160" s="139"/>
      <c r="I160" s="139"/>
      <c r="J160" s="139"/>
      <c r="K160" s="140"/>
      <c r="L160" s="140"/>
      <c r="M160" s="139"/>
      <c r="N160" s="139"/>
      <c r="O160" s="140"/>
      <c r="P160" s="140"/>
      <c r="Q160" s="138"/>
      <c r="R160" s="139"/>
      <c r="S160" s="139"/>
      <c r="T160" s="141"/>
      <c r="U160" s="141"/>
      <c r="V160" s="164"/>
      <c r="W160" s="164"/>
      <c r="X160" s="165"/>
      <c r="Y160" s="165"/>
      <c r="Z160" s="139"/>
      <c r="AA160" s="139"/>
      <c r="AB160" s="151"/>
      <c r="AC160" s="132"/>
      <c r="AD160" s="123"/>
      <c r="AE160" s="148"/>
      <c r="AF160" s="142"/>
      <c r="AG160" s="149"/>
      <c r="AH160" s="149"/>
      <c r="AI160" s="149"/>
      <c r="AJ160" s="143"/>
      <c r="AK160" s="143"/>
      <c r="AL160" s="143"/>
      <c r="AM160" s="143"/>
      <c r="AN160" s="144"/>
      <c r="AO160" s="144"/>
      <c r="AP160" s="144"/>
      <c r="AQ160" s="144"/>
      <c r="AR160" s="144"/>
      <c r="AS160" s="144"/>
      <c r="AT160" s="144"/>
      <c r="AU160" s="144"/>
    </row>
    <row r="161" spans="1:47">
      <c r="A161" s="135" t="s">
        <v>141</v>
      </c>
      <c r="B161" s="136" t="s">
        <v>141</v>
      </c>
      <c r="C161" s="137" t="s">
        <v>141</v>
      </c>
      <c r="D161" s="137" t="s">
        <v>141</v>
      </c>
      <c r="E161" s="139"/>
      <c r="F161" s="139"/>
      <c r="G161" s="139"/>
      <c r="H161" s="139"/>
      <c r="I161" s="139"/>
      <c r="J161" s="139"/>
      <c r="K161" s="140"/>
      <c r="L161" s="140"/>
      <c r="M161" s="139"/>
      <c r="N161" s="139"/>
      <c r="O161" s="140"/>
      <c r="P161" s="140"/>
      <c r="Q161" s="138"/>
      <c r="R161" s="139"/>
      <c r="S161" s="139"/>
      <c r="T161" s="141"/>
      <c r="U161" s="141"/>
      <c r="V161" s="164"/>
      <c r="W161" s="164"/>
      <c r="X161" s="165"/>
      <c r="Y161" s="165"/>
      <c r="Z161" s="139"/>
      <c r="AA161" s="139"/>
      <c r="AB161" s="151"/>
      <c r="AC161" s="132"/>
      <c r="AD161" s="123"/>
      <c r="AE161" s="148"/>
      <c r="AF161" s="142"/>
      <c r="AG161" s="149"/>
      <c r="AH161" s="149"/>
      <c r="AI161" s="149"/>
      <c r="AJ161" s="143"/>
      <c r="AK161" s="143"/>
      <c r="AL161" s="143"/>
      <c r="AM161" s="143"/>
      <c r="AN161" s="144"/>
      <c r="AO161" s="144"/>
      <c r="AP161" s="144"/>
      <c r="AQ161" s="144"/>
      <c r="AR161" s="144"/>
      <c r="AS161" s="144"/>
      <c r="AT161" s="144"/>
      <c r="AU161" s="144"/>
    </row>
    <row r="162" spans="1:47">
      <c r="A162" s="135" t="s">
        <v>141</v>
      </c>
      <c r="B162" s="136" t="s">
        <v>141</v>
      </c>
      <c r="C162" s="137" t="s">
        <v>141</v>
      </c>
      <c r="D162" s="137" t="s">
        <v>141</v>
      </c>
      <c r="E162" s="139"/>
      <c r="F162" s="139"/>
      <c r="G162" s="139"/>
      <c r="H162" s="139"/>
      <c r="I162" s="139"/>
      <c r="J162" s="139"/>
      <c r="K162" s="140"/>
      <c r="L162" s="140"/>
      <c r="M162" s="139"/>
      <c r="N162" s="139"/>
      <c r="O162" s="140"/>
      <c r="P162" s="140"/>
      <c r="Q162" s="138"/>
      <c r="R162" s="139"/>
      <c r="S162" s="139"/>
      <c r="T162" s="141"/>
      <c r="U162" s="141"/>
      <c r="V162" s="164"/>
      <c r="W162" s="164"/>
      <c r="X162" s="165"/>
      <c r="Y162" s="165"/>
      <c r="Z162" s="139"/>
      <c r="AA162" s="139"/>
      <c r="AB162" s="151"/>
      <c r="AC162" s="132"/>
      <c r="AD162" s="123"/>
      <c r="AE162" s="148"/>
      <c r="AF162" s="142"/>
      <c r="AG162" s="149"/>
      <c r="AH162" s="149"/>
      <c r="AI162" s="149"/>
      <c r="AJ162" s="143"/>
      <c r="AK162" s="143"/>
      <c r="AL162" s="143"/>
      <c r="AM162" s="143"/>
      <c r="AN162" s="144"/>
      <c r="AO162" s="144"/>
      <c r="AP162" s="144"/>
      <c r="AQ162" s="144"/>
      <c r="AR162" s="144"/>
      <c r="AS162" s="144"/>
      <c r="AT162" s="144"/>
      <c r="AU162" s="144"/>
    </row>
    <row r="163" spans="1:47">
      <c r="A163" s="135" t="s">
        <v>141</v>
      </c>
      <c r="B163" s="136" t="s">
        <v>141</v>
      </c>
      <c r="C163" s="137" t="s">
        <v>141</v>
      </c>
      <c r="D163" s="137" t="s">
        <v>141</v>
      </c>
      <c r="E163" s="139"/>
      <c r="F163" s="139"/>
      <c r="G163" s="139"/>
      <c r="H163" s="139"/>
      <c r="I163" s="139"/>
      <c r="J163" s="139"/>
      <c r="K163" s="140"/>
      <c r="L163" s="140"/>
      <c r="M163" s="139"/>
      <c r="N163" s="139"/>
      <c r="O163" s="140"/>
      <c r="P163" s="140"/>
      <c r="Q163" s="138"/>
      <c r="R163" s="139"/>
      <c r="S163" s="139"/>
      <c r="T163" s="141"/>
      <c r="U163" s="141"/>
      <c r="V163" s="164"/>
      <c r="W163" s="164"/>
      <c r="X163" s="165"/>
      <c r="Y163" s="165"/>
      <c r="Z163" s="139"/>
      <c r="AA163" s="139"/>
      <c r="AB163" s="151"/>
      <c r="AC163" s="132"/>
      <c r="AD163" s="123"/>
      <c r="AE163" s="148"/>
      <c r="AF163" s="142"/>
      <c r="AG163" s="149"/>
      <c r="AH163" s="149"/>
      <c r="AI163" s="149"/>
      <c r="AJ163" s="143"/>
      <c r="AK163" s="143"/>
      <c r="AL163" s="143"/>
      <c r="AM163" s="143"/>
      <c r="AN163" s="144"/>
      <c r="AO163" s="144"/>
      <c r="AP163" s="144"/>
      <c r="AQ163" s="144"/>
      <c r="AR163" s="144"/>
      <c r="AS163" s="144"/>
      <c r="AT163" s="144"/>
      <c r="AU163" s="144"/>
    </row>
    <row r="164" spans="1:47">
      <c r="A164" s="135" t="s">
        <v>141</v>
      </c>
      <c r="B164" s="136" t="s">
        <v>141</v>
      </c>
      <c r="C164" s="137" t="s">
        <v>141</v>
      </c>
      <c r="D164" s="137" t="s">
        <v>141</v>
      </c>
      <c r="E164" s="139"/>
      <c r="F164" s="139"/>
      <c r="G164" s="139"/>
      <c r="H164" s="139"/>
      <c r="I164" s="139"/>
      <c r="J164" s="139"/>
      <c r="K164" s="140"/>
      <c r="L164" s="140"/>
      <c r="M164" s="139"/>
      <c r="N164" s="139"/>
      <c r="O164" s="140"/>
      <c r="P164" s="140"/>
      <c r="Q164" s="138"/>
      <c r="R164" s="139"/>
      <c r="S164" s="139"/>
      <c r="T164" s="141"/>
      <c r="U164" s="141"/>
      <c r="V164" s="164"/>
      <c r="W164" s="164"/>
      <c r="X164" s="165"/>
      <c r="Y164" s="165"/>
      <c r="Z164" s="139"/>
      <c r="AA164" s="139"/>
      <c r="AB164" s="151"/>
      <c r="AC164" s="132"/>
      <c r="AD164" s="123"/>
      <c r="AE164" s="148"/>
      <c r="AF164" s="142"/>
      <c r="AG164" s="149"/>
      <c r="AH164" s="149"/>
      <c r="AI164" s="149"/>
      <c r="AJ164" s="143"/>
      <c r="AK164" s="143"/>
      <c r="AL164" s="143"/>
      <c r="AM164" s="143"/>
      <c r="AN164" s="144"/>
      <c r="AO164" s="144"/>
      <c r="AP164" s="144"/>
      <c r="AQ164" s="144"/>
      <c r="AR164" s="144"/>
      <c r="AS164" s="144"/>
      <c r="AT164" s="144"/>
      <c r="AU164" s="144"/>
    </row>
    <row r="165" spans="1:47">
      <c r="A165" s="152" t="s">
        <v>141</v>
      </c>
      <c r="B165" s="152" t="s">
        <v>141</v>
      </c>
      <c r="C165" s="137" t="s">
        <v>141</v>
      </c>
      <c r="D165" s="137" t="s">
        <v>141</v>
      </c>
      <c r="E165" s="139"/>
      <c r="F165" s="139"/>
      <c r="G165" s="139"/>
      <c r="H165" s="139"/>
      <c r="I165" s="139"/>
      <c r="J165" s="139"/>
      <c r="K165" s="140"/>
      <c r="L165" s="140"/>
      <c r="M165" s="139"/>
      <c r="N165" s="139"/>
      <c r="O165" s="140"/>
      <c r="P165" s="140"/>
      <c r="Q165" s="138"/>
      <c r="R165" s="139"/>
      <c r="S165" s="139"/>
      <c r="T165" s="141"/>
      <c r="U165" s="141"/>
      <c r="V165" s="164"/>
      <c r="W165" s="164"/>
      <c r="X165" s="165"/>
      <c r="Y165" s="165"/>
      <c r="Z165" s="139"/>
      <c r="AA165" s="139"/>
      <c r="AB165" s="151"/>
      <c r="AC165" s="132"/>
      <c r="AD165" s="123"/>
      <c r="AE165" s="148"/>
      <c r="AF165" s="142"/>
      <c r="AG165" s="149"/>
      <c r="AH165" s="149"/>
      <c r="AI165" s="149"/>
      <c r="AJ165" s="143"/>
      <c r="AK165" s="143"/>
      <c r="AL165" s="143"/>
      <c r="AM165" s="143"/>
      <c r="AN165" s="144"/>
      <c r="AO165" s="144"/>
      <c r="AP165" s="144"/>
      <c r="AQ165" s="144"/>
      <c r="AR165" s="144"/>
      <c r="AS165" s="144"/>
      <c r="AT165" s="144"/>
      <c r="AU165" s="144"/>
    </row>
    <row r="166" spans="1:47">
      <c r="A166" s="152" t="s">
        <v>141</v>
      </c>
      <c r="B166" s="152" t="s">
        <v>141</v>
      </c>
      <c r="C166" s="137" t="s">
        <v>141</v>
      </c>
      <c r="D166" s="137" t="s">
        <v>141</v>
      </c>
      <c r="E166" s="139"/>
      <c r="F166" s="139"/>
      <c r="G166" s="139"/>
      <c r="H166" s="139"/>
      <c r="I166" s="139"/>
      <c r="J166" s="139"/>
      <c r="K166" s="140"/>
      <c r="L166" s="140"/>
      <c r="M166" s="139"/>
      <c r="N166" s="139"/>
      <c r="O166" s="140"/>
      <c r="P166" s="140"/>
      <c r="Q166" s="138"/>
      <c r="R166" s="139"/>
      <c r="S166" s="139"/>
      <c r="T166" s="141"/>
      <c r="U166" s="141"/>
      <c r="V166" s="164"/>
      <c r="W166" s="164"/>
      <c r="X166" s="165"/>
      <c r="Y166" s="165"/>
      <c r="Z166" s="139"/>
      <c r="AA166" s="139"/>
      <c r="AB166" s="151"/>
      <c r="AC166" s="132"/>
      <c r="AD166" s="123"/>
      <c r="AE166" s="148"/>
      <c r="AF166" s="142"/>
      <c r="AG166" s="149"/>
      <c r="AH166" s="149"/>
      <c r="AI166" s="149"/>
      <c r="AJ166" s="143"/>
      <c r="AK166" s="143"/>
      <c r="AL166" s="143"/>
      <c r="AM166" s="143"/>
      <c r="AN166" s="144"/>
      <c r="AO166" s="144"/>
      <c r="AP166" s="144"/>
      <c r="AQ166" s="144"/>
      <c r="AR166" s="144"/>
      <c r="AS166" s="144"/>
      <c r="AT166" s="144"/>
      <c r="AU166" s="144"/>
    </row>
    <row r="167" spans="1:47">
      <c r="A167" s="152" t="s">
        <v>141</v>
      </c>
      <c r="B167" s="152" t="s">
        <v>141</v>
      </c>
      <c r="C167" s="137" t="s">
        <v>141</v>
      </c>
      <c r="D167" s="137" t="s">
        <v>141</v>
      </c>
      <c r="E167" s="139"/>
      <c r="F167" s="139"/>
      <c r="G167" s="139"/>
      <c r="H167" s="139"/>
      <c r="I167" s="139"/>
      <c r="J167" s="139"/>
      <c r="K167" s="140"/>
      <c r="L167" s="140"/>
      <c r="M167" s="139"/>
      <c r="N167" s="139"/>
      <c r="O167" s="140"/>
      <c r="P167" s="140"/>
      <c r="Q167" s="138"/>
      <c r="R167" s="139"/>
      <c r="S167" s="139"/>
      <c r="T167" s="141"/>
      <c r="U167" s="141"/>
      <c r="V167" s="164"/>
      <c r="W167" s="164"/>
      <c r="X167" s="165"/>
      <c r="Y167" s="165"/>
      <c r="Z167" s="139"/>
      <c r="AA167" s="139"/>
      <c r="AB167" s="151"/>
      <c r="AC167" s="132"/>
      <c r="AD167" s="123"/>
      <c r="AE167" s="148"/>
      <c r="AF167" s="142"/>
      <c r="AG167" s="149"/>
      <c r="AH167" s="149"/>
      <c r="AI167" s="149"/>
      <c r="AJ167" s="143"/>
      <c r="AK167" s="143"/>
      <c r="AL167" s="143"/>
      <c r="AM167" s="143"/>
      <c r="AN167" s="144"/>
      <c r="AO167" s="144"/>
      <c r="AP167" s="144"/>
      <c r="AQ167" s="144"/>
      <c r="AR167" s="144"/>
      <c r="AS167" s="144"/>
      <c r="AT167" s="144"/>
      <c r="AU167" s="144"/>
    </row>
    <row r="168" spans="1:47">
      <c r="A168" s="153" t="s">
        <v>141</v>
      </c>
      <c r="B168" s="153" t="s">
        <v>141</v>
      </c>
      <c r="C168" s="137" t="s">
        <v>141</v>
      </c>
      <c r="D168" s="137" t="s">
        <v>141</v>
      </c>
      <c r="E168" s="139"/>
      <c r="F168" s="139"/>
      <c r="G168" s="139"/>
      <c r="H168" s="139"/>
      <c r="I168" s="139"/>
      <c r="J168" s="139"/>
      <c r="K168" s="140"/>
      <c r="L168" s="140"/>
      <c r="M168" s="139"/>
      <c r="N168" s="139"/>
      <c r="O168" s="140"/>
      <c r="P168" s="140"/>
      <c r="Q168" s="138"/>
      <c r="R168" s="139"/>
      <c r="S168" s="139"/>
      <c r="T168" s="141"/>
      <c r="U168" s="141"/>
      <c r="V168" s="164"/>
      <c r="W168" s="164"/>
      <c r="X168" s="165"/>
      <c r="Y168" s="165"/>
      <c r="Z168" s="139"/>
      <c r="AA168" s="139"/>
      <c r="AB168" s="151"/>
      <c r="AC168" s="151"/>
      <c r="AD168" s="148"/>
      <c r="AE168" s="148"/>
      <c r="AF168" s="142"/>
      <c r="AG168" s="149"/>
      <c r="AH168" s="149"/>
      <c r="AI168" s="149"/>
      <c r="AJ168" s="143"/>
      <c r="AK168" s="143"/>
      <c r="AL168" s="143"/>
      <c r="AM168" s="143"/>
      <c r="AN168" s="144"/>
      <c r="AO168" s="144"/>
      <c r="AP168" s="144"/>
      <c r="AQ168" s="144"/>
      <c r="AR168" s="144"/>
      <c r="AS168" s="144"/>
      <c r="AT168" s="144"/>
      <c r="AU168" s="144"/>
    </row>
    <row r="169" spans="1:47">
      <c r="A169" s="153" t="s">
        <v>141</v>
      </c>
      <c r="B169" s="153" t="s">
        <v>141</v>
      </c>
      <c r="C169" s="148" t="s">
        <v>141</v>
      </c>
      <c r="D169" s="148" t="s">
        <v>141</v>
      </c>
      <c r="E169" s="139"/>
      <c r="F169" s="139"/>
      <c r="G169" s="139"/>
      <c r="H169" s="139"/>
      <c r="I169" s="139"/>
      <c r="J169" s="139"/>
      <c r="K169" s="140"/>
      <c r="L169" s="140"/>
      <c r="M169" s="139"/>
      <c r="N169" s="139"/>
      <c r="O169" s="140"/>
      <c r="P169" s="140"/>
      <c r="Q169" s="138"/>
      <c r="R169" s="139"/>
      <c r="S169" s="139"/>
      <c r="T169" s="141"/>
      <c r="U169" s="141"/>
      <c r="V169" s="164"/>
      <c r="W169" s="164"/>
      <c r="X169" s="165"/>
      <c r="Y169" s="165"/>
      <c r="Z169" s="139"/>
      <c r="AA169" s="139"/>
      <c r="AB169" s="151"/>
      <c r="AC169" s="151"/>
      <c r="AD169" s="148"/>
      <c r="AE169" s="148"/>
      <c r="AF169" s="142"/>
      <c r="AG169" s="149"/>
      <c r="AH169" s="149"/>
      <c r="AI169" s="149"/>
      <c r="AJ169" s="143"/>
      <c r="AK169" s="143"/>
      <c r="AL169" s="143"/>
      <c r="AM169" s="143"/>
      <c r="AN169" s="144"/>
      <c r="AO169" s="144"/>
      <c r="AP169" s="144"/>
      <c r="AQ169" s="144"/>
      <c r="AR169" s="144"/>
      <c r="AS169" s="144"/>
      <c r="AT169" s="144"/>
      <c r="AU169" s="144"/>
    </row>
    <row r="170" spans="1:47">
      <c r="A170" s="153" t="s">
        <v>141</v>
      </c>
      <c r="B170" s="153" t="s">
        <v>141</v>
      </c>
      <c r="C170" s="148" t="s">
        <v>141</v>
      </c>
      <c r="D170" s="148" t="s">
        <v>141</v>
      </c>
      <c r="E170" s="139"/>
      <c r="F170" s="139"/>
      <c r="G170" s="139"/>
      <c r="H170" s="139"/>
      <c r="I170" s="139"/>
      <c r="J170" s="139"/>
      <c r="K170" s="140"/>
      <c r="L170" s="140"/>
      <c r="M170" s="139"/>
      <c r="N170" s="139"/>
      <c r="O170" s="140"/>
      <c r="P170" s="140"/>
      <c r="Q170" s="138"/>
      <c r="R170" s="139"/>
      <c r="S170" s="139"/>
      <c r="T170" s="141"/>
      <c r="U170" s="141"/>
      <c r="V170" s="164"/>
      <c r="W170" s="164"/>
      <c r="X170" s="165"/>
      <c r="Y170" s="165"/>
      <c r="Z170" s="139"/>
      <c r="AA170" s="139"/>
      <c r="AB170" s="151"/>
      <c r="AC170" s="151"/>
      <c r="AD170" s="148"/>
      <c r="AE170" s="148"/>
      <c r="AF170" s="142"/>
      <c r="AG170" s="149"/>
      <c r="AH170" s="149"/>
      <c r="AI170" s="149"/>
      <c r="AJ170" s="143"/>
      <c r="AK170" s="143"/>
      <c r="AL170" s="143"/>
      <c r="AM170" s="143"/>
      <c r="AN170" s="144"/>
      <c r="AO170" s="144"/>
      <c r="AP170" s="144"/>
      <c r="AQ170" s="144"/>
      <c r="AR170" s="144"/>
      <c r="AS170" s="144"/>
      <c r="AT170" s="144"/>
      <c r="AU170" s="144"/>
    </row>
    <row r="171" spans="1:47">
      <c r="C171" s="148" t="s">
        <v>141</v>
      </c>
      <c r="D171" s="148" t="s">
        <v>141</v>
      </c>
      <c r="E171" s="139"/>
      <c r="F171" s="139"/>
      <c r="G171" s="139"/>
      <c r="H171" s="139"/>
      <c r="I171" s="139"/>
      <c r="J171" s="139"/>
      <c r="K171" s="140"/>
      <c r="L171" s="140"/>
      <c r="M171" s="139"/>
      <c r="N171" s="139"/>
      <c r="O171" s="140"/>
      <c r="P171" s="140"/>
      <c r="Q171" s="138"/>
      <c r="R171" s="139"/>
      <c r="S171" s="139"/>
      <c r="T171" s="141"/>
      <c r="U171" s="141"/>
      <c r="V171" s="164"/>
      <c r="W171" s="164"/>
      <c r="X171" s="165"/>
      <c r="Y171" s="165"/>
      <c r="Z171" s="139"/>
      <c r="AA171" s="139"/>
      <c r="AB171" s="151"/>
      <c r="AC171" s="151"/>
      <c r="AD171" s="148"/>
      <c r="AE171" s="148"/>
      <c r="AF171" s="142"/>
      <c r="AG171" s="149"/>
      <c r="AH171" s="149"/>
      <c r="AI171" s="149"/>
      <c r="AJ171" s="143"/>
      <c r="AK171" s="143"/>
      <c r="AL171" s="143"/>
      <c r="AM171" s="143"/>
      <c r="AN171" s="144"/>
      <c r="AO171" s="144"/>
      <c r="AP171" s="144"/>
      <c r="AQ171" s="144"/>
      <c r="AR171" s="144"/>
      <c r="AS171" s="144"/>
      <c r="AT171" s="144"/>
      <c r="AU171" s="144"/>
    </row>
    <row r="172" spans="1:47">
      <c r="C172" s="148" t="s">
        <v>141</v>
      </c>
      <c r="D172" s="148" t="s">
        <v>141</v>
      </c>
      <c r="E172" s="139"/>
      <c r="F172" s="139"/>
      <c r="G172" s="139"/>
      <c r="H172" s="139"/>
      <c r="I172" s="139"/>
      <c r="J172" s="139"/>
      <c r="K172" s="140"/>
      <c r="L172" s="140"/>
      <c r="M172" s="139"/>
      <c r="N172" s="139"/>
      <c r="O172" s="140"/>
      <c r="P172" s="140"/>
      <c r="Q172" s="138"/>
      <c r="R172" s="139"/>
      <c r="S172" s="139"/>
      <c r="T172" s="141"/>
      <c r="U172" s="141"/>
      <c r="V172" s="164"/>
      <c r="W172" s="164"/>
      <c r="X172" s="165"/>
      <c r="Y172" s="165"/>
      <c r="Z172" s="139"/>
      <c r="AA172" s="139"/>
      <c r="AB172" s="151"/>
      <c r="AC172" s="151"/>
      <c r="AD172" s="148"/>
      <c r="AE172" s="148"/>
      <c r="AF172" s="142"/>
      <c r="AG172" s="149"/>
      <c r="AH172" s="149"/>
      <c r="AI172" s="149"/>
      <c r="AJ172" s="143"/>
      <c r="AK172" s="143"/>
      <c r="AL172" s="143"/>
      <c r="AM172" s="143"/>
      <c r="AN172" s="144"/>
      <c r="AO172" s="144"/>
      <c r="AP172" s="144"/>
      <c r="AQ172" s="144"/>
      <c r="AR172" s="144"/>
      <c r="AS172" s="144"/>
      <c r="AT172" s="144"/>
      <c r="AU172" s="144"/>
    </row>
    <row r="173" spans="1:47">
      <c r="C173" s="148" t="s">
        <v>141</v>
      </c>
      <c r="D173" s="148" t="s">
        <v>141</v>
      </c>
      <c r="E173" s="139"/>
      <c r="F173" s="139"/>
      <c r="G173" s="139"/>
      <c r="H173" s="139"/>
      <c r="I173" s="139"/>
      <c r="J173" s="139"/>
      <c r="K173" s="140"/>
      <c r="L173" s="140"/>
      <c r="M173" s="139"/>
      <c r="N173" s="139"/>
      <c r="O173" s="140"/>
      <c r="P173" s="140"/>
      <c r="Q173" s="138"/>
      <c r="R173" s="139"/>
      <c r="S173" s="139"/>
      <c r="T173" s="141"/>
      <c r="U173" s="141"/>
      <c r="V173" s="164"/>
      <c r="W173" s="164"/>
      <c r="X173" s="165"/>
      <c r="Y173" s="165"/>
      <c r="Z173" s="139"/>
      <c r="AA173" s="139"/>
      <c r="AB173" s="151"/>
      <c r="AC173" s="151"/>
      <c r="AD173" s="148"/>
      <c r="AE173" s="148"/>
      <c r="AF173" s="142"/>
      <c r="AG173" s="149"/>
      <c r="AH173" s="149"/>
      <c r="AI173" s="149"/>
      <c r="AJ173" s="143"/>
      <c r="AK173" s="143"/>
      <c r="AL173" s="143"/>
      <c r="AM173" s="143"/>
      <c r="AN173" s="144"/>
      <c r="AO173" s="144"/>
      <c r="AP173" s="144"/>
      <c r="AQ173" s="144"/>
      <c r="AR173" s="144"/>
      <c r="AS173" s="144"/>
      <c r="AT173" s="144"/>
      <c r="AU173" s="144"/>
    </row>
    <row r="174" spans="1:47">
      <c r="C174" s="148" t="s">
        <v>141</v>
      </c>
      <c r="D174" s="148" t="s">
        <v>141</v>
      </c>
      <c r="E174" s="139"/>
      <c r="F174" s="139"/>
      <c r="G174" s="139"/>
      <c r="H174" s="139"/>
      <c r="I174" s="139"/>
      <c r="J174" s="139"/>
      <c r="K174" s="140"/>
      <c r="L174" s="140"/>
      <c r="M174" s="139"/>
      <c r="N174" s="139"/>
      <c r="O174" s="140"/>
      <c r="P174" s="140"/>
      <c r="Q174" s="138"/>
      <c r="R174" s="139"/>
      <c r="S174" s="139"/>
      <c r="T174" s="141"/>
      <c r="U174" s="141"/>
      <c r="V174" s="164"/>
      <c r="W174" s="164"/>
      <c r="X174" s="165"/>
      <c r="Y174" s="165"/>
      <c r="Z174" s="139"/>
      <c r="AA174" s="139"/>
      <c r="AB174" s="151"/>
      <c r="AC174" s="151"/>
      <c r="AD174" s="148"/>
      <c r="AE174" s="148"/>
      <c r="AF174" s="142"/>
      <c r="AG174" s="149"/>
      <c r="AH174" s="149"/>
      <c r="AI174" s="149"/>
      <c r="AJ174" s="143"/>
      <c r="AK174" s="143"/>
      <c r="AL174" s="143"/>
      <c r="AM174" s="143"/>
      <c r="AN174" s="144"/>
      <c r="AO174" s="144"/>
      <c r="AP174" s="144"/>
      <c r="AQ174" s="144"/>
      <c r="AR174" s="144"/>
      <c r="AS174" s="144"/>
      <c r="AT174" s="144"/>
      <c r="AU174" s="144"/>
    </row>
    <row r="175" spans="1:47">
      <c r="C175" s="148" t="s">
        <v>141</v>
      </c>
      <c r="D175" s="148" t="s">
        <v>141</v>
      </c>
      <c r="E175" s="139"/>
      <c r="F175" s="139"/>
      <c r="G175" s="139"/>
      <c r="H175" s="139"/>
      <c r="I175" s="139"/>
      <c r="J175" s="139"/>
      <c r="K175" s="140"/>
      <c r="L175" s="140"/>
      <c r="M175" s="139"/>
      <c r="N175" s="139"/>
      <c r="O175" s="140"/>
      <c r="P175" s="140"/>
      <c r="Q175" s="138"/>
      <c r="R175" s="139"/>
      <c r="S175" s="139"/>
      <c r="T175" s="141"/>
      <c r="U175" s="141"/>
      <c r="V175" s="164"/>
      <c r="W175" s="164"/>
      <c r="X175" s="165"/>
      <c r="Y175" s="165"/>
      <c r="Z175" s="139"/>
      <c r="AA175" s="139"/>
      <c r="AB175" s="151"/>
      <c r="AC175" s="151"/>
      <c r="AD175" s="148"/>
      <c r="AE175" s="148"/>
      <c r="AF175" s="142"/>
      <c r="AG175" s="149"/>
      <c r="AH175" s="149"/>
      <c r="AI175" s="149"/>
      <c r="AJ175" s="143"/>
      <c r="AK175" s="143"/>
      <c r="AL175" s="143"/>
      <c r="AM175" s="143"/>
      <c r="AN175" s="144"/>
      <c r="AO175" s="144"/>
      <c r="AP175" s="144"/>
      <c r="AQ175" s="144"/>
      <c r="AR175" s="144"/>
      <c r="AS175" s="144"/>
      <c r="AT175" s="144"/>
      <c r="AU175" s="144"/>
    </row>
    <row r="176" spans="1:47">
      <c r="C176" s="148" t="s">
        <v>141</v>
      </c>
      <c r="D176" s="148" t="s">
        <v>141</v>
      </c>
      <c r="E176" s="139"/>
      <c r="F176" s="139"/>
      <c r="G176" s="139"/>
      <c r="H176" s="139"/>
      <c r="I176" s="139"/>
      <c r="J176" s="139"/>
      <c r="K176" s="140"/>
      <c r="L176" s="140"/>
      <c r="M176" s="139"/>
      <c r="N176" s="139"/>
      <c r="O176" s="140"/>
      <c r="P176" s="140"/>
      <c r="Q176" s="138"/>
      <c r="R176" s="139"/>
      <c r="S176" s="139"/>
      <c r="T176" s="141"/>
      <c r="U176" s="141"/>
      <c r="V176" s="164"/>
      <c r="W176" s="164"/>
      <c r="X176" s="165"/>
      <c r="Y176" s="165"/>
      <c r="Z176" s="139"/>
      <c r="AA176" s="139"/>
      <c r="AB176" s="151"/>
      <c r="AC176" s="151"/>
      <c r="AD176" s="148"/>
      <c r="AE176" s="148"/>
      <c r="AF176" s="142"/>
      <c r="AG176" s="149"/>
      <c r="AH176" s="149"/>
      <c r="AI176" s="149"/>
      <c r="AJ176" s="143"/>
      <c r="AK176" s="143"/>
      <c r="AL176" s="143"/>
      <c r="AM176" s="143"/>
      <c r="AN176" s="144"/>
      <c r="AO176" s="144"/>
      <c r="AP176" s="144"/>
      <c r="AQ176" s="144"/>
      <c r="AR176" s="144"/>
      <c r="AS176" s="144"/>
      <c r="AT176" s="144"/>
      <c r="AU176" s="144"/>
    </row>
    <row r="177" spans="3:47">
      <c r="C177" s="148" t="s">
        <v>141</v>
      </c>
      <c r="D177" s="148" t="s">
        <v>141</v>
      </c>
      <c r="E177" s="139"/>
      <c r="F177" s="139"/>
      <c r="G177" s="139"/>
      <c r="H177" s="139"/>
      <c r="I177" s="139"/>
      <c r="J177" s="139"/>
      <c r="K177" s="140"/>
      <c r="L177" s="140"/>
      <c r="M177" s="139"/>
      <c r="N177" s="139"/>
      <c r="O177" s="140"/>
      <c r="P177" s="140"/>
      <c r="Q177" s="138"/>
      <c r="R177" s="139"/>
      <c r="S177" s="139"/>
      <c r="T177" s="141"/>
      <c r="U177" s="141"/>
      <c r="V177" s="164"/>
      <c r="W177" s="164"/>
      <c r="X177" s="165"/>
      <c r="Y177" s="165"/>
      <c r="Z177" s="139"/>
      <c r="AA177" s="139"/>
      <c r="AB177" s="151"/>
      <c r="AC177" s="151"/>
      <c r="AD177" s="148"/>
      <c r="AE177" s="148"/>
      <c r="AF177" s="142"/>
      <c r="AG177" s="149"/>
      <c r="AH177" s="149"/>
      <c r="AI177" s="149"/>
      <c r="AJ177" s="143"/>
      <c r="AK177" s="143"/>
      <c r="AL177" s="143"/>
      <c r="AM177" s="143"/>
      <c r="AN177" s="144"/>
      <c r="AO177" s="144"/>
      <c r="AP177" s="144"/>
      <c r="AQ177" s="144"/>
      <c r="AR177" s="144"/>
      <c r="AS177" s="144"/>
      <c r="AT177" s="144"/>
      <c r="AU177" s="144"/>
    </row>
    <row r="178" spans="3:47">
      <c r="C178" s="148" t="s">
        <v>141</v>
      </c>
      <c r="D178" s="148" t="s">
        <v>141</v>
      </c>
      <c r="E178" s="139"/>
      <c r="F178" s="139"/>
      <c r="G178" s="139"/>
      <c r="H178" s="139"/>
      <c r="I178" s="139"/>
      <c r="J178" s="139"/>
      <c r="K178" s="140"/>
      <c r="L178" s="140"/>
      <c r="M178" s="139"/>
      <c r="N178" s="139"/>
      <c r="O178" s="140"/>
      <c r="P178" s="140"/>
      <c r="Q178" s="138"/>
      <c r="R178" s="139"/>
      <c r="S178" s="139"/>
      <c r="T178" s="141"/>
      <c r="U178" s="141"/>
      <c r="V178" s="164"/>
      <c r="W178" s="164"/>
      <c r="X178" s="165"/>
      <c r="Y178" s="165"/>
      <c r="Z178" s="139"/>
      <c r="AA178" s="139"/>
      <c r="AB178" s="151"/>
      <c r="AC178" s="151"/>
      <c r="AD178" s="148"/>
      <c r="AE178" s="148"/>
      <c r="AF178" s="142"/>
      <c r="AG178" s="149"/>
      <c r="AH178" s="149"/>
      <c r="AI178" s="149"/>
      <c r="AJ178" s="143"/>
      <c r="AK178" s="143"/>
      <c r="AL178" s="143"/>
      <c r="AM178" s="143"/>
      <c r="AN178" s="144"/>
      <c r="AO178" s="144"/>
      <c r="AP178" s="144"/>
      <c r="AQ178" s="144"/>
      <c r="AR178" s="144"/>
      <c r="AS178" s="144"/>
      <c r="AT178" s="144"/>
      <c r="AU178" s="144"/>
    </row>
    <row r="179" spans="3:47">
      <c r="C179" s="148" t="s">
        <v>141</v>
      </c>
      <c r="D179" s="148" t="s">
        <v>141</v>
      </c>
      <c r="E179" s="139"/>
      <c r="F179" s="139"/>
      <c r="G179" s="139"/>
      <c r="H179" s="139"/>
      <c r="I179" s="139"/>
      <c r="J179" s="139"/>
      <c r="K179" s="140"/>
      <c r="L179" s="140"/>
      <c r="M179" s="139"/>
      <c r="N179" s="139"/>
      <c r="O179" s="140"/>
      <c r="P179" s="140"/>
      <c r="Q179" s="138"/>
      <c r="R179" s="139"/>
      <c r="S179" s="139"/>
      <c r="T179" s="141"/>
      <c r="U179" s="141"/>
      <c r="V179" s="164"/>
      <c r="W179" s="164"/>
      <c r="X179" s="165"/>
      <c r="Y179" s="165"/>
      <c r="Z179" s="139"/>
      <c r="AA179" s="139"/>
      <c r="AB179" s="151"/>
      <c r="AC179" s="151"/>
      <c r="AD179" s="148"/>
      <c r="AE179" s="148"/>
      <c r="AF179" s="142"/>
      <c r="AG179" s="149"/>
      <c r="AH179" s="149"/>
      <c r="AI179" s="149"/>
      <c r="AJ179" s="143"/>
      <c r="AK179" s="143"/>
      <c r="AL179" s="143"/>
      <c r="AM179" s="143"/>
      <c r="AN179" s="144"/>
      <c r="AO179" s="144"/>
      <c r="AP179" s="144"/>
      <c r="AQ179" s="144"/>
      <c r="AR179" s="144"/>
      <c r="AS179" s="144"/>
      <c r="AT179" s="144"/>
      <c r="AU179" s="144"/>
    </row>
    <row r="180" spans="3:47">
      <c r="C180" s="148" t="s">
        <v>141</v>
      </c>
      <c r="D180" s="148" t="s">
        <v>141</v>
      </c>
      <c r="E180" s="139"/>
      <c r="F180" s="139"/>
      <c r="G180" s="139"/>
      <c r="H180" s="139"/>
      <c r="I180" s="139"/>
      <c r="J180" s="139"/>
      <c r="K180" s="140"/>
      <c r="L180" s="140"/>
      <c r="M180" s="139"/>
      <c r="N180" s="139"/>
      <c r="O180" s="140"/>
      <c r="P180" s="140"/>
      <c r="Q180" s="138"/>
      <c r="R180" s="139"/>
      <c r="S180" s="139"/>
      <c r="T180" s="141"/>
      <c r="U180" s="141"/>
      <c r="V180" s="164"/>
      <c r="W180" s="164"/>
      <c r="Z180" s="139"/>
      <c r="AA180" s="139"/>
      <c r="AB180" s="151"/>
      <c r="AC180" s="151"/>
      <c r="AD180" s="148"/>
      <c r="AE180" s="148"/>
      <c r="AF180" s="142"/>
      <c r="AG180" s="149"/>
      <c r="AH180" s="149"/>
      <c r="AI180" s="149"/>
      <c r="AJ180" s="143"/>
      <c r="AK180" s="143"/>
      <c r="AL180" s="143"/>
      <c r="AM180" s="143"/>
      <c r="AN180" s="144"/>
      <c r="AO180" s="144"/>
      <c r="AP180" s="144"/>
      <c r="AQ180" s="144"/>
      <c r="AR180" s="144"/>
      <c r="AS180" s="144"/>
      <c r="AT180" s="144"/>
      <c r="AU180" s="144"/>
    </row>
    <row r="181" spans="3:47">
      <c r="C181" s="148" t="s">
        <v>141</v>
      </c>
      <c r="D181" s="148" t="s">
        <v>141</v>
      </c>
      <c r="E181" s="139"/>
      <c r="F181" s="139"/>
      <c r="G181" s="139"/>
      <c r="H181" s="139"/>
      <c r="I181" s="139"/>
      <c r="J181" s="139"/>
      <c r="K181" s="140"/>
      <c r="L181" s="140"/>
      <c r="M181" s="139"/>
      <c r="N181" s="139"/>
      <c r="O181" s="140"/>
      <c r="P181" s="140"/>
      <c r="Q181" s="138"/>
      <c r="R181" s="139"/>
      <c r="S181" s="139"/>
      <c r="T181" s="141"/>
      <c r="U181" s="141"/>
      <c r="V181" s="164"/>
      <c r="W181" s="164"/>
      <c r="Z181" s="139"/>
      <c r="AA181" s="139"/>
      <c r="AB181" s="151"/>
      <c r="AC181" s="151"/>
      <c r="AD181" s="148"/>
      <c r="AE181" s="148"/>
      <c r="AF181" s="142"/>
      <c r="AG181" s="149"/>
      <c r="AH181" s="149"/>
      <c r="AI181" s="149"/>
      <c r="AJ181" s="143"/>
      <c r="AK181" s="143"/>
      <c r="AL181" s="143"/>
      <c r="AM181" s="143"/>
      <c r="AN181" s="144"/>
      <c r="AO181" s="144"/>
      <c r="AP181" s="144"/>
      <c r="AQ181" s="144"/>
      <c r="AR181" s="144"/>
      <c r="AS181" s="144"/>
      <c r="AT181" s="144"/>
      <c r="AU181" s="144"/>
    </row>
    <row r="182" spans="3:47">
      <c r="C182" s="148" t="s">
        <v>141</v>
      </c>
      <c r="D182" s="148" t="s">
        <v>141</v>
      </c>
      <c r="E182" s="139"/>
      <c r="F182" s="139"/>
      <c r="G182" s="139"/>
      <c r="H182" s="139"/>
      <c r="I182" s="139"/>
      <c r="J182" s="139"/>
      <c r="K182" s="140"/>
      <c r="L182" s="140"/>
      <c r="M182" s="139"/>
      <c r="N182" s="139"/>
      <c r="O182" s="140"/>
      <c r="P182" s="140"/>
      <c r="Q182" s="138"/>
      <c r="R182" s="139"/>
      <c r="S182" s="139"/>
      <c r="T182" s="141"/>
      <c r="U182" s="141"/>
      <c r="V182" s="164"/>
      <c r="W182" s="164"/>
      <c r="Z182" s="139"/>
      <c r="AA182" s="139"/>
      <c r="AB182" s="151"/>
      <c r="AC182" s="151"/>
      <c r="AD182" s="148"/>
      <c r="AE182" s="148"/>
      <c r="AF182" s="142"/>
      <c r="AG182" s="149"/>
      <c r="AH182" s="149"/>
      <c r="AI182" s="149"/>
      <c r="AJ182" s="143"/>
      <c r="AK182" s="143"/>
      <c r="AL182" s="143"/>
      <c r="AM182" s="143"/>
      <c r="AN182" s="144"/>
      <c r="AO182" s="144"/>
      <c r="AP182" s="144"/>
      <c r="AQ182" s="144"/>
      <c r="AR182" s="144"/>
      <c r="AS182" s="144"/>
      <c r="AT182" s="144"/>
      <c r="AU182" s="144"/>
    </row>
    <row r="183" spans="3:47">
      <c r="C183" s="153" t="s">
        <v>141</v>
      </c>
      <c r="D183" s="153" t="s">
        <v>141</v>
      </c>
    </row>
    <row r="184" spans="3:47">
      <c r="C184" s="153" t="s">
        <v>141</v>
      </c>
      <c r="D184" s="153" t="s">
        <v>141</v>
      </c>
    </row>
    <row r="274" spans="1:35">
      <c r="A274" s="134"/>
      <c r="B274" s="134"/>
      <c r="C274" s="134"/>
      <c r="D274" s="134"/>
      <c r="K274" s="134"/>
      <c r="L274" s="134"/>
      <c r="Q274" s="134"/>
      <c r="T274" s="134"/>
      <c r="U274" s="134"/>
      <c r="V274" s="134"/>
      <c r="W274" s="134"/>
      <c r="X274" s="134"/>
      <c r="Y274" s="134"/>
      <c r="AD274" s="134"/>
      <c r="AE274" s="134"/>
      <c r="AF274" s="134"/>
      <c r="AG274" s="134"/>
      <c r="AH274" s="134"/>
      <c r="AI274" s="134"/>
    </row>
    <row r="275" spans="1:35">
      <c r="A275" s="134"/>
      <c r="B275" s="134"/>
      <c r="C275" s="134"/>
      <c r="D275" s="134"/>
      <c r="K275" s="134"/>
      <c r="L275" s="134"/>
      <c r="Q275" s="134"/>
      <c r="T275" s="134"/>
      <c r="U275" s="134"/>
      <c r="V275" s="134"/>
      <c r="W275" s="134"/>
      <c r="X275" s="134"/>
      <c r="Y275" s="134"/>
      <c r="AD275" s="134"/>
      <c r="AE275" s="134"/>
      <c r="AF275" s="134"/>
      <c r="AG275" s="134"/>
      <c r="AH275" s="134"/>
      <c r="AI275" s="134"/>
    </row>
    <row r="276" spans="1:35">
      <c r="A276" s="134"/>
      <c r="B276" s="134"/>
      <c r="C276" s="134"/>
      <c r="D276" s="134"/>
      <c r="K276" s="134"/>
      <c r="L276" s="134"/>
      <c r="Q276" s="134"/>
      <c r="T276" s="134"/>
      <c r="U276" s="134"/>
      <c r="V276" s="134"/>
      <c r="W276" s="134"/>
      <c r="X276" s="134"/>
      <c r="Y276" s="134"/>
      <c r="AD276" s="134"/>
      <c r="AE276" s="134"/>
      <c r="AF276" s="134"/>
      <c r="AG276" s="134"/>
      <c r="AH276" s="134"/>
      <c r="AI276" s="134"/>
    </row>
    <row r="277" spans="1:35">
      <c r="A277" s="134"/>
      <c r="B277" s="134"/>
      <c r="C277" s="134"/>
      <c r="D277" s="134"/>
      <c r="K277" s="134"/>
      <c r="L277" s="134"/>
      <c r="Q277" s="134"/>
      <c r="T277" s="134"/>
      <c r="U277" s="134"/>
      <c r="V277" s="134"/>
      <c r="W277" s="134"/>
      <c r="X277" s="134"/>
      <c r="Y277" s="134"/>
      <c r="AD277" s="134"/>
      <c r="AE277" s="134"/>
      <c r="AF277" s="134"/>
      <c r="AG277" s="134"/>
      <c r="AH277" s="134"/>
      <c r="AI277" s="134"/>
    </row>
    <row r="278" spans="1:35">
      <c r="A278" s="134"/>
      <c r="B278" s="134"/>
      <c r="C278" s="134"/>
      <c r="D278" s="134"/>
      <c r="K278" s="134"/>
      <c r="L278" s="134"/>
      <c r="Q278" s="134"/>
      <c r="T278" s="134"/>
      <c r="U278" s="134"/>
      <c r="V278" s="134"/>
      <c r="W278" s="134"/>
      <c r="X278" s="134"/>
      <c r="Y278" s="134"/>
      <c r="AD278" s="134"/>
      <c r="AE278" s="134"/>
      <c r="AF278" s="134"/>
      <c r="AG278" s="134"/>
      <c r="AH278" s="134"/>
      <c r="AI278" s="134"/>
    </row>
    <row r="279" spans="1:35">
      <c r="A279" s="134"/>
      <c r="B279" s="134"/>
      <c r="C279" s="134"/>
      <c r="D279" s="134"/>
      <c r="K279" s="134"/>
      <c r="L279" s="134"/>
      <c r="Q279" s="134"/>
      <c r="T279" s="134"/>
      <c r="U279" s="134"/>
      <c r="V279" s="134"/>
      <c r="W279" s="134"/>
      <c r="X279" s="134"/>
      <c r="Y279" s="134"/>
      <c r="AD279" s="134"/>
      <c r="AE279" s="134"/>
      <c r="AF279" s="134"/>
      <c r="AG279" s="134"/>
      <c r="AH279" s="134"/>
      <c r="AI279" s="134"/>
    </row>
    <row r="280" spans="1:35">
      <c r="A280" s="134"/>
      <c r="B280" s="134"/>
      <c r="C280" s="134"/>
      <c r="D280" s="134"/>
      <c r="K280" s="134"/>
      <c r="L280" s="134"/>
      <c r="Q280" s="134"/>
      <c r="T280" s="134"/>
      <c r="U280" s="134"/>
      <c r="V280" s="134"/>
      <c r="W280" s="134"/>
      <c r="X280" s="134"/>
      <c r="Y280" s="134"/>
      <c r="AD280" s="134"/>
      <c r="AE280" s="134"/>
      <c r="AF280" s="134"/>
      <c r="AG280" s="134"/>
      <c r="AH280" s="134"/>
      <c r="AI280" s="134"/>
    </row>
    <row r="281" spans="1:35">
      <c r="A281" s="134"/>
      <c r="B281" s="134"/>
      <c r="C281" s="134"/>
      <c r="D281" s="134"/>
      <c r="K281" s="134"/>
      <c r="L281" s="134"/>
      <c r="Q281" s="134"/>
      <c r="T281" s="134"/>
      <c r="U281" s="134"/>
      <c r="V281" s="134"/>
      <c r="W281" s="134"/>
      <c r="X281" s="134"/>
      <c r="Y281" s="134"/>
      <c r="AD281" s="134"/>
      <c r="AE281" s="134"/>
      <c r="AF281" s="134"/>
      <c r="AG281" s="134"/>
      <c r="AH281" s="134"/>
      <c r="AI281" s="134"/>
    </row>
    <row r="282" spans="1:35">
      <c r="A282" s="134"/>
      <c r="B282" s="134"/>
      <c r="C282" s="134"/>
      <c r="D282" s="134"/>
      <c r="K282" s="134"/>
      <c r="L282" s="134"/>
      <c r="Q282" s="134"/>
      <c r="T282" s="134"/>
      <c r="U282" s="134"/>
      <c r="V282" s="134"/>
      <c r="W282" s="134"/>
      <c r="X282" s="134"/>
      <c r="Y282" s="134"/>
      <c r="AD282" s="134"/>
      <c r="AE282" s="134"/>
      <c r="AF282" s="134"/>
      <c r="AG282" s="134"/>
      <c r="AH282" s="134"/>
      <c r="AI282" s="134"/>
    </row>
    <row r="283" spans="1:35">
      <c r="A283" s="134"/>
      <c r="B283" s="134"/>
      <c r="C283" s="134"/>
      <c r="D283" s="134"/>
      <c r="K283" s="134"/>
      <c r="L283" s="134"/>
      <c r="Q283" s="134"/>
      <c r="T283" s="134"/>
      <c r="U283" s="134"/>
      <c r="V283" s="134"/>
      <c r="W283" s="134"/>
      <c r="X283" s="134"/>
      <c r="Y283" s="134"/>
      <c r="AD283" s="134"/>
      <c r="AE283" s="134"/>
      <c r="AF283" s="134"/>
      <c r="AG283" s="134"/>
      <c r="AH283" s="134"/>
      <c r="AI283" s="134"/>
    </row>
    <row r="284" spans="1:35">
      <c r="A284" s="134"/>
      <c r="B284" s="134"/>
      <c r="C284" s="134"/>
      <c r="D284" s="134"/>
      <c r="K284" s="134"/>
      <c r="L284" s="134"/>
      <c r="Q284" s="134"/>
      <c r="T284" s="134"/>
      <c r="U284" s="134"/>
      <c r="V284" s="134"/>
      <c r="W284" s="134"/>
      <c r="X284" s="134"/>
      <c r="Y284" s="134"/>
      <c r="AD284" s="134"/>
      <c r="AE284" s="134"/>
      <c r="AF284" s="134"/>
      <c r="AG284" s="134"/>
      <c r="AH284" s="134"/>
      <c r="AI284" s="134"/>
    </row>
    <row r="285" spans="1:35">
      <c r="A285" s="134"/>
      <c r="B285" s="134"/>
      <c r="C285" s="134"/>
      <c r="D285" s="134"/>
      <c r="K285" s="134"/>
      <c r="L285" s="134"/>
      <c r="Q285" s="134"/>
      <c r="T285" s="134"/>
      <c r="U285" s="134"/>
      <c r="V285" s="134"/>
      <c r="W285" s="134"/>
      <c r="X285" s="134"/>
      <c r="Y285" s="134"/>
      <c r="AD285" s="134"/>
      <c r="AE285" s="134"/>
      <c r="AF285" s="134"/>
      <c r="AG285" s="134"/>
      <c r="AH285" s="134"/>
      <c r="AI285" s="134"/>
    </row>
    <row r="286" spans="1:35">
      <c r="A286" s="134"/>
      <c r="B286" s="134"/>
      <c r="C286" s="134"/>
      <c r="D286" s="134"/>
      <c r="K286" s="134"/>
      <c r="L286" s="134"/>
      <c r="Q286" s="134"/>
      <c r="T286" s="134"/>
      <c r="U286" s="134"/>
      <c r="V286" s="134"/>
      <c r="W286" s="134"/>
      <c r="X286" s="134"/>
      <c r="Y286" s="134"/>
      <c r="AD286" s="134"/>
      <c r="AE286" s="134"/>
      <c r="AF286" s="134"/>
      <c r="AG286" s="134"/>
      <c r="AH286" s="134"/>
      <c r="AI286" s="134"/>
    </row>
    <row r="287" spans="1:35">
      <c r="A287" s="134"/>
      <c r="B287" s="134"/>
      <c r="C287" s="134"/>
      <c r="D287" s="134"/>
      <c r="K287" s="134"/>
      <c r="L287" s="134"/>
      <c r="Q287" s="134"/>
      <c r="T287" s="134"/>
      <c r="U287" s="134"/>
      <c r="V287" s="134"/>
      <c r="W287" s="134"/>
      <c r="X287" s="134"/>
      <c r="Y287" s="134"/>
      <c r="AD287" s="134"/>
      <c r="AE287" s="134"/>
      <c r="AF287" s="134"/>
      <c r="AG287" s="134"/>
      <c r="AH287" s="134"/>
      <c r="AI287" s="134"/>
    </row>
    <row r="288" spans="1:35">
      <c r="A288" s="134"/>
      <c r="B288" s="134"/>
      <c r="C288" s="134"/>
      <c r="D288" s="134"/>
      <c r="K288" s="134"/>
      <c r="L288" s="134"/>
      <c r="Q288" s="134"/>
      <c r="T288" s="134"/>
      <c r="U288" s="134"/>
      <c r="V288" s="134"/>
      <c r="W288" s="134"/>
      <c r="X288" s="134"/>
      <c r="Y288" s="134"/>
      <c r="AD288" s="134"/>
      <c r="AE288" s="134"/>
      <c r="AF288" s="134"/>
      <c r="AG288" s="134"/>
      <c r="AH288" s="134"/>
      <c r="AI288" s="134"/>
    </row>
    <row r="289" spans="1:35">
      <c r="A289" s="134"/>
      <c r="B289" s="134"/>
      <c r="C289" s="134"/>
      <c r="D289" s="134"/>
      <c r="K289" s="134"/>
      <c r="L289" s="134"/>
      <c r="Q289" s="134"/>
      <c r="T289" s="134"/>
      <c r="U289" s="134"/>
      <c r="V289" s="134"/>
      <c r="W289" s="134"/>
      <c r="X289" s="134"/>
      <c r="Y289" s="134"/>
      <c r="AD289" s="134"/>
      <c r="AE289" s="134"/>
      <c r="AF289" s="134"/>
      <c r="AG289" s="134"/>
      <c r="AH289" s="134"/>
      <c r="AI289" s="134"/>
    </row>
    <row r="290" spans="1:35">
      <c r="A290" s="134"/>
      <c r="B290" s="134"/>
      <c r="C290" s="134"/>
      <c r="D290" s="134"/>
      <c r="K290" s="134"/>
      <c r="L290" s="134"/>
      <c r="Q290" s="134"/>
      <c r="T290" s="134"/>
      <c r="U290" s="134"/>
      <c r="V290" s="134"/>
      <c r="W290" s="134"/>
      <c r="X290" s="134"/>
      <c r="Y290" s="134"/>
      <c r="AD290" s="134"/>
      <c r="AE290" s="134"/>
      <c r="AF290" s="134"/>
      <c r="AG290" s="134"/>
      <c r="AH290" s="134"/>
      <c r="AI290" s="134"/>
    </row>
    <row r="291" spans="1:35">
      <c r="A291" s="134"/>
      <c r="B291" s="134"/>
      <c r="C291" s="134"/>
      <c r="D291" s="134"/>
      <c r="K291" s="134"/>
      <c r="L291" s="134"/>
      <c r="Q291" s="134"/>
      <c r="T291" s="134"/>
      <c r="U291" s="134"/>
      <c r="V291" s="134"/>
      <c r="W291" s="134"/>
      <c r="X291" s="134"/>
      <c r="Y291" s="134"/>
      <c r="AD291" s="134"/>
      <c r="AE291" s="134"/>
      <c r="AF291" s="134"/>
      <c r="AG291" s="134"/>
      <c r="AH291" s="134"/>
      <c r="AI291" s="134"/>
    </row>
    <row r="292" spans="1:35">
      <c r="A292" s="134"/>
      <c r="B292" s="134"/>
      <c r="C292" s="134"/>
      <c r="D292" s="134"/>
      <c r="K292" s="134"/>
      <c r="L292" s="134"/>
      <c r="Q292" s="134"/>
      <c r="T292" s="134"/>
      <c r="U292" s="134"/>
      <c r="V292" s="134"/>
      <c r="W292" s="134"/>
      <c r="X292" s="134"/>
      <c r="Y292" s="134"/>
      <c r="AD292" s="134"/>
      <c r="AE292" s="134"/>
      <c r="AF292" s="134"/>
      <c r="AG292" s="134"/>
      <c r="AH292" s="134"/>
      <c r="AI292" s="134"/>
    </row>
    <row r="293" spans="1:35">
      <c r="A293" s="134"/>
      <c r="B293" s="134"/>
      <c r="C293" s="134"/>
      <c r="D293" s="134"/>
      <c r="K293" s="134"/>
      <c r="L293" s="134"/>
      <c r="Q293" s="134"/>
      <c r="T293" s="134"/>
      <c r="U293" s="134"/>
      <c r="V293" s="134"/>
      <c r="W293" s="134"/>
      <c r="X293" s="134"/>
      <c r="Y293" s="134"/>
      <c r="AD293" s="134"/>
      <c r="AE293" s="134"/>
      <c r="AF293" s="134"/>
      <c r="AG293" s="134"/>
      <c r="AH293" s="134"/>
      <c r="AI293" s="134"/>
    </row>
    <row r="294" spans="1:35">
      <c r="A294" s="134"/>
      <c r="B294" s="134"/>
      <c r="C294" s="134"/>
      <c r="D294" s="134"/>
      <c r="K294" s="134"/>
      <c r="L294" s="134"/>
      <c r="Q294" s="134"/>
      <c r="T294" s="134"/>
      <c r="U294" s="134"/>
      <c r="V294" s="134"/>
      <c r="W294" s="134"/>
      <c r="X294" s="134"/>
      <c r="Y294" s="134"/>
      <c r="AD294" s="134"/>
      <c r="AE294" s="134"/>
      <c r="AF294" s="134"/>
      <c r="AG294" s="134"/>
      <c r="AH294" s="134"/>
      <c r="AI294" s="134"/>
    </row>
    <row r="295" spans="1:35">
      <c r="A295" s="134"/>
      <c r="B295" s="134"/>
      <c r="C295" s="134"/>
      <c r="D295" s="134"/>
      <c r="K295" s="134"/>
      <c r="L295" s="134"/>
      <c r="Q295" s="134"/>
      <c r="T295" s="134"/>
      <c r="U295" s="134"/>
      <c r="V295" s="134"/>
      <c r="W295" s="134"/>
      <c r="X295" s="134"/>
      <c r="Y295" s="134"/>
      <c r="AD295" s="134"/>
      <c r="AE295" s="134"/>
      <c r="AF295" s="134"/>
      <c r="AG295" s="134"/>
      <c r="AH295" s="134"/>
      <c r="AI295" s="134"/>
    </row>
    <row r="296" spans="1:35">
      <c r="A296" s="134"/>
      <c r="B296" s="134"/>
      <c r="C296" s="134"/>
      <c r="D296" s="134"/>
      <c r="K296" s="134"/>
      <c r="L296" s="134"/>
      <c r="Q296" s="134"/>
      <c r="T296" s="134"/>
      <c r="U296" s="134"/>
      <c r="V296" s="134"/>
      <c r="W296" s="134"/>
      <c r="X296" s="134"/>
      <c r="Y296" s="134"/>
      <c r="AD296" s="134"/>
      <c r="AE296" s="134"/>
      <c r="AF296" s="134"/>
      <c r="AG296" s="134"/>
      <c r="AH296" s="134"/>
      <c r="AI296" s="134"/>
    </row>
    <row r="297" spans="1:35">
      <c r="A297" s="134"/>
      <c r="B297" s="134"/>
      <c r="C297" s="134"/>
      <c r="D297" s="134"/>
      <c r="K297" s="134"/>
      <c r="L297" s="134"/>
      <c r="Q297" s="134"/>
      <c r="T297" s="134"/>
      <c r="U297" s="134"/>
      <c r="V297" s="134"/>
      <c r="W297" s="134"/>
      <c r="X297" s="134"/>
      <c r="Y297" s="134"/>
      <c r="AD297" s="134"/>
      <c r="AE297" s="134"/>
      <c r="AF297" s="134"/>
      <c r="AG297" s="134"/>
      <c r="AH297" s="134"/>
      <c r="AI297" s="134"/>
    </row>
    <row r="298" spans="1:35">
      <c r="A298" s="134"/>
      <c r="B298" s="134"/>
      <c r="C298" s="134"/>
      <c r="D298" s="134"/>
      <c r="K298" s="134"/>
      <c r="L298" s="134"/>
      <c r="Q298" s="134"/>
      <c r="T298" s="134"/>
      <c r="U298" s="134"/>
      <c r="V298" s="134"/>
      <c r="W298" s="134"/>
      <c r="X298" s="134"/>
      <c r="Y298" s="134"/>
      <c r="AD298" s="134"/>
      <c r="AE298" s="134"/>
      <c r="AF298" s="134"/>
      <c r="AG298" s="134"/>
      <c r="AH298" s="134"/>
      <c r="AI298" s="134"/>
    </row>
    <row r="299" spans="1:35">
      <c r="A299" s="134"/>
      <c r="B299" s="134"/>
      <c r="C299" s="134"/>
      <c r="D299" s="134"/>
      <c r="K299" s="134"/>
      <c r="L299" s="134"/>
      <c r="Q299" s="134"/>
      <c r="T299" s="134"/>
      <c r="U299" s="134"/>
      <c r="V299" s="134"/>
      <c r="W299" s="134"/>
      <c r="X299" s="134"/>
      <c r="Y299" s="134"/>
      <c r="AD299" s="134"/>
      <c r="AE299" s="134"/>
      <c r="AF299" s="134"/>
      <c r="AG299" s="134"/>
      <c r="AH299" s="134"/>
      <c r="AI299" s="134"/>
    </row>
    <row r="300" spans="1:35">
      <c r="A300" s="134"/>
      <c r="B300" s="134"/>
      <c r="C300" s="134"/>
      <c r="D300" s="134"/>
      <c r="K300" s="134"/>
      <c r="L300" s="134"/>
      <c r="Q300" s="134"/>
      <c r="T300" s="134"/>
      <c r="U300" s="134"/>
      <c r="V300" s="134"/>
      <c r="W300" s="134"/>
      <c r="X300" s="134"/>
      <c r="Y300" s="134"/>
      <c r="AD300" s="134"/>
      <c r="AE300" s="134"/>
      <c r="AF300" s="134"/>
      <c r="AG300" s="134"/>
      <c r="AH300" s="134"/>
      <c r="AI300" s="134"/>
    </row>
    <row r="301" spans="1:35">
      <c r="A301" s="134"/>
      <c r="B301" s="134"/>
      <c r="C301" s="134"/>
      <c r="D301" s="134"/>
      <c r="K301" s="134"/>
      <c r="L301" s="134"/>
      <c r="Q301" s="134"/>
      <c r="T301" s="134"/>
      <c r="U301" s="134"/>
      <c r="V301" s="134"/>
      <c r="W301" s="134"/>
      <c r="X301" s="134"/>
      <c r="Y301" s="134"/>
      <c r="AD301" s="134"/>
      <c r="AE301" s="134"/>
      <c r="AF301" s="134"/>
      <c r="AG301" s="134"/>
      <c r="AH301" s="134"/>
      <c r="AI301" s="134"/>
    </row>
    <row r="302" spans="1:35">
      <c r="A302" s="134"/>
      <c r="B302" s="134"/>
      <c r="C302" s="134"/>
      <c r="D302" s="134"/>
      <c r="K302" s="134"/>
      <c r="L302" s="134"/>
      <c r="Q302" s="134"/>
      <c r="T302" s="134"/>
      <c r="U302" s="134"/>
      <c r="V302" s="134"/>
      <c r="W302" s="134"/>
      <c r="X302" s="134"/>
      <c r="Y302" s="134"/>
      <c r="AD302" s="134"/>
      <c r="AE302" s="134"/>
      <c r="AF302" s="134"/>
      <c r="AG302" s="134"/>
      <c r="AH302" s="134"/>
      <c r="AI302" s="134"/>
    </row>
    <row r="303" spans="1:35">
      <c r="A303" s="134"/>
      <c r="B303" s="134"/>
      <c r="C303" s="134"/>
      <c r="D303" s="134"/>
      <c r="K303" s="134"/>
      <c r="L303" s="134"/>
      <c r="Q303" s="134"/>
      <c r="T303" s="134"/>
      <c r="U303" s="134"/>
      <c r="V303" s="134"/>
      <c r="W303" s="134"/>
      <c r="X303" s="134"/>
      <c r="Y303" s="134"/>
      <c r="AD303" s="134"/>
      <c r="AE303" s="134"/>
      <c r="AF303" s="134"/>
      <c r="AG303" s="134"/>
      <c r="AH303" s="134"/>
      <c r="AI303" s="134"/>
    </row>
    <row r="304" spans="1:35">
      <c r="A304" s="134"/>
      <c r="B304" s="134"/>
      <c r="C304" s="134"/>
      <c r="D304" s="134"/>
      <c r="K304" s="134"/>
      <c r="L304" s="134"/>
      <c r="Q304" s="134"/>
      <c r="T304" s="134"/>
      <c r="U304" s="134"/>
      <c r="V304" s="134"/>
      <c r="W304" s="134"/>
      <c r="X304" s="134"/>
      <c r="Y304" s="134"/>
      <c r="AD304" s="134"/>
      <c r="AE304" s="134"/>
      <c r="AF304" s="134"/>
      <c r="AG304" s="134"/>
      <c r="AH304" s="134"/>
      <c r="AI304" s="134"/>
    </row>
    <row r="305" spans="1:35">
      <c r="A305" s="134"/>
      <c r="B305" s="134"/>
      <c r="C305" s="134"/>
      <c r="D305" s="134"/>
      <c r="K305" s="134"/>
      <c r="L305" s="134"/>
      <c r="Q305" s="134"/>
      <c r="T305" s="134"/>
      <c r="U305" s="134"/>
      <c r="V305" s="134"/>
      <c r="W305" s="134"/>
      <c r="X305" s="134"/>
      <c r="Y305" s="134"/>
      <c r="AD305" s="134"/>
      <c r="AE305" s="134"/>
      <c r="AF305" s="134"/>
      <c r="AG305" s="134"/>
      <c r="AH305" s="134"/>
      <c r="AI305" s="134"/>
    </row>
    <row r="306" spans="1:35">
      <c r="A306" s="134"/>
      <c r="B306" s="134"/>
      <c r="C306" s="134"/>
      <c r="D306" s="134"/>
      <c r="K306" s="134"/>
      <c r="L306" s="134"/>
      <c r="Q306" s="134"/>
      <c r="T306" s="134"/>
      <c r="U306" s="134"/>
      <c r="V306" s="134"/>
      <c r="W306" s="134"/>
      <c r="X306" s="134"/>
      <c r="Y306" s="134"/>
      <c r="AD306" s="134"/>
      <c r="AE306" s="134"/>
      <c r="AF306" s="134"/>
      <c r="AG306" s="134"/>
      <c r="AH306" s="134"/>
      <c r="AI306" s="134"/>
    </row>
    <row r="307" spans="1:35">
      <c r="A307" s="134"/>
      <c r="B307" s="134"/>
      <c r="C307" s="134"/>
      <c r="D307" s="134"/>
      <c r="K307" s="134"/>
      <c r="L307" s="134"/>
      <c r="Q307" s="134"/>
      <c r="T307" s="134"/>
      <c r="U307" s="134"/>
      <c r="V307" s="134"/>
      <c r="W307" s="134"/>
      <c r="X307" s="134"/>
      <c r="Y307" s="134"/>
      <c r="AD307" s="134"/>
      <c r="AE307" s="134"/>
      <c r="AF307" s="134"/>
      <c r="AG307" s="134"/>
      <c r="AH307" s="134"/>
      <c r="AI307" s="134"/>
    </row>
    <row r="308" spans="1:35">
      <c r="A308" s="134"/>
      <c r="B308" s="134"/>
      <c r="C308" s="134"/>
      <c r="D308" s="134"/>
      <c r="K308" s="134"/>
      <c r="L308" s="134"/>
      <c r="Q308" s="134"/>
      <c r="T308" s="134"/>
      <c r="U308" s="134"/>
      <c r="V308" s="134"/>
      <c r="W308" s="134"/>
      <c r="X308" s="134"/>
      <c r="Y308" s="134"/>
      <c r="AD308" s="134"/>
      <c r="AE308" s="134"/>
      <c r="AF308" s="134"/>
      <c r="AG308" s="134"/>
      <c r="AH308" s="134"/>
      <c r="AI308" s="134"/>
    </row>
    <row r="309" spans="1:35">
      <c r="A309" s="134"/>
      <c r="B309" s="134"/>
      <c r="C309" s="134"/>
      <c r="D309" s="134"/>
      <c r="K309" s="134"/>
      <c r="L309" s="134"/>
      <c r="Q309" s="134"/>
      <c r="T309" s="134"/>
      <c r="U309" s="134"/>
      <c r="V309" s="134"/>
      <c r="W309" s="134"/>
      <c r="X309" s="134"/>
      <c r="Y309" s="134"/>
      <c r="AD309" s="134"/>
      <c r="AE309" s="134"/>
      <c r="AF309" s="134"/>
      <c r="AG309" s="134"/>
      <c r="AH309" s="134"/>
      <c r="AI309" s="134"/>
    </row>
    <row r="310" spans="1:35">
      <c r="A310" s="134"/>
      <c r="B310" s="134"/>
      <c r="C310" s="134"/>
      <c r="D310" s="134"/>
      <c r="K310" s="134"/>
      <c r="L310" s="134"/>
      <c r="Q310" s="134"/>
      <c r="T310" s="134"/>
      <c r="U310" s="134"/>
      <c r="V310" s="134"/>
      <c r="W310" s="134"/>
      <c r="X310" s="134"/>
      <c r="Y310" s="134"/>
      <c r="AD310" s="134"/>
      <c r="AE310" s="134"/>
      <c r="AF310" s="134"/>
      <c r="AG310" s="134"/>
      <c r="AH310" s="134"/>
      <c r="AI310" s="134"/>
    </row>
    <row r="311" spans="1:35">
      <c r="A311" s="134"/>
      <c r="B311" s="134"/>
      <c r="C311" s="134"/>
      <c r="D311" s="134"/>
      <c r="K311" s="134"/>
      <c r="L311" s="134"/>
      <c r="Q311" s="134"/>
      <c r="T311" s="134"/>
      <c r="U311" s="134"/>
      <c r="V311" s="134"/>
      <c r="W311" s="134"/>
      <c r="X311" s="134"/>
      <c r="Y311" s="134"/>
      <c r="AD311" s="134"/>
      <c r="AE311" s="134"/>
      <c r="AF311" s="134"/>
      <c r="AG311" s="134"/>
      <c r="AH311" s="134"/>
      <c r="AI311" s="134"/>
    </row>
    <row r="312" spans="1:35">
      <c r="A312" s="134"/>
      <c r="B312" s="134"/>
      <c r="C312" s="134"/>
      <c r="D312" s="134"/>
      <c r="K312" s="134"/>
      <c r="L312" s="134"/>
      <c r="Q312" s="134"/>
      <c r="T312" s="134"/>
      <c r="U312" s="134"/>
      <c r="V312" s="134"/>
      <c r="W312" s="134"/>
      <c r="X312" s="134"/>
      <c r="Y312" s="134"/>
      <c r="AD312" s="134"/>
      <c r="AE312" s="134"/>
      <c r="AF312" s="134"/>
      <c r="AG312" s="134"/>
      <c r="AH312" s="134"/>
      <c r="AI312" s="134"/>
    </row>
    <row r="313" spans="1:35">
      <c r="A313" s="134"/>
      <c r="B313" s="134"/>
      <c r="C313" s="134"/>
      <c r="D313" s="134"/>
      <c r="K313" s="134"/>
      <c r="L313" s="134"/>
      <c r="Q313" s="134"/>
      <c r="T313" s="134"/>
      <c r="U313" s="134"/>
      <c r="V313" s="134"/>
      <c r="W313" s="134"/>
      <c r="X313" s="134"/>
      <c r="Y313" s="134"/>
      <c r="AD313" s="134"/>
      <c r="AE313" s="134"/>
      <c r="AF313" s="134"/>
      <c r="AG313" s="134"/>
      <c r="AH313" s="134"/>
      <c r="AI313" s="134"/>
    </row>
    <row r="314" spans="1:35">
      <c r="A314" s="134"/>
      <c r="B314" s="134"/>
      <c r="C314" s="134"/>
      <c r="D314" s="134"/>
      <c r="K314" s="134"/>
      <c r="L314" s="134"/>
      <c r="Q314" s="134"/>
      <c r="T314" s="134"/>
      <c r="U314" s="134"/>
      <c r="V314" s="134"/>
      <c r="W314" s="134"/>
      <c r="X314" s="134"/>
      <c r="Y314" s="134"/>
      <c r="AD314" s="134"/>
      <c r="AE314" s="134"/>
      <c r="AF314" s="134"/>
      <c r="AG314" s="134"/>
      <c r="AH314" s="134"/>
      <c r="AI314" s="134"/>
    </row>
    <row r="315" spans="1:35">
      <c r="A315" s="134"/>
      <c r="B315" s="134"/>
      <c r="C315" s="134"/>
      <c r="D315" s="134"/>
      <c r="K315" s="134"/>
      <c r="L315" s="134"/>
      <c r="Q315" s="134"/>
      <c r="T315" s="134"/>
      <c r="U315" s="134"/>
      <c r="V315" s="134"/>
      <c r="W315" s="134"/>
      <c r="X315" s="134"/>
      <c r="Y315" s="134"/>
      <c r="AD315" s="134"/>
      <c r="AE315" s="134"/>
      <c r="AF315" s="134"/>
      <c r="AG315" s="134"/>
      <c r="AH315" s="134"/>
      <c r="AI315" s="134"/>
    </row>
    <row r="316" spans="1:35">
      <c r="A316" s="134"/>
      <c r="B316" s="134"/>
      <c r="C316" s="134"/>
      <c r="D316" s="134"/>
      <c r="K316" s="134"/>
      <c r="L316" s="134"/>
      <c r="Q316" s="134"/>
      <c r="T316" s="134"/>
      <c r="U316" s="134"/>
      <c r="V316" s="134"/>
      <c r="W316" s="134"/>
      <c r="X316" s="134"/>
      <c r="Y316" s="134"/>
      <c r="AD316" s="134"/>
      <c r="AE316" s="134"/>
      <c r="AF316" s="134"/>
      <c r="AG316" s="134"/>
      <c r="AH316" s="134"/>
      <c r="AI316" s="134"/>
    </row>
    <row r="317" spans="1:35">
      <c r="A317" s="134"/>
      <c r="B317" s="134"/>
      <c r="C317" s="134"/>
      <c r="D317" s="134"/>
      <c r="K317" s="134"/>
      <c r="L317" s="134"/>
      <c r="Q317" s="134"/>
      <c r="T317" s="134"/>
      <c r="U317" s="134"/>
      <c r="V317" s="134"/>
      <c r="W317" s="134"/>
      <c r="X317" s="134"/>
      <c r="Y317" s="134"/>
      <c r="AD317" s="134"/>
      <c r="AE317" s="134"/>
      <c r="AF317" s="134"/>
      <c r="AG317" s="134"/>
      <c r="AH317" s="134"/>
      <c r="AI317" s="134"/>
    </row>
    <row r="318" spans="1:35">
      <c r="A318" s="134"/>
      <c r="B318" s="134"/>
      <c r="C318" s="134"/>
      <c r="D318" s="134"/>
      <c r="K318" s="134"/>
      <c r="L318" s="134"/>
      <c r="Q318" s="134"/>
      <c r="T318" s="134"/>
      <c r="U318" s="134"/>
      <c r="V318" s="134"/>
      <c r="W318" s="134"/>
      <c r="X318" s="134"/>
      <c r="Y318" s="134"/>
      <c r="AD318" s="134"/>
      <c r="AE318" s="134"/>
      <c r="AF318" s="134"/>
      <c r="AG318" s="134"/>
      <c r="AH318" s="134"/>
      <c r="AI318" s="134"/>
    </row>
    <row r="319" spans="1:35">
      <c r="A319" s="134"/>
      <c r="B319" s="134"/>
      <c r="C319" s="134"/>
      <c r="D319" s="134"/>
      <c r="K319" s="134"/>
      <c r="L319" s="134"/>
      <c r="Q319" s="134"/>
      <c r="T319" s="134"/>
      <c r="U319" s="134"/>
      <c r="V319" s="134"/>
      <c r="W319" s="134"/>
      <c r="X319" s="134"/>
      <c r="Y319" s="134"/>
      <c r="AD319" s="134"/>
      <c r="AE319" s="134"/>
      <c r="AF319" s="134"/>
      <c r="AG319" s="134"/>
      <c r="AH319" s="134"/>
      <c r="AI319" s="134"/>
    </row>
    <row r="320" spans="1:35">
      <c r="A320" s="134"/>
      <c r="B320" s="134"/>
      <c r="C320" s="134"/>
      <c r="D320" s="134"/>
      <c r="K320" s="134"/>
      <c r="L320" s="134"/>
      <c r="Q320" s="134"/>
      <c r="T320" s="134"/>
      <c r="U320" s="134"/>
      <c r="V320" s="134"/>
      <c r="W320" s="134"/>
      <c r="X320" s="134"/>
      <c r="Y320" s="134"/>
      <c r="AD320" s="134"/>
      <c r="AE320" s="134"/>
      <c r="AF320" s="134"/>
      <c r="AG320" s="134"/>
      <c r="AH320" s="134"/>
      <c r="AI320" s="134"/>
    </row>
    <row r="321" spans="1:35">
      <c r="A321" s="134"/>
      <c r="B321" s="134"/>
      <c r="C321" s="134"/>
      <c r="D321" s="134"/>
      <c r="K321" s="134"/>
      <c r="L321" s="134"/>
      <c r="Q321" s="134"/>
      <c r="T321" s="134"/>
      <c r="U321" s="134"/>
      <c r="V321" s="134"/>
      <c r="W321" s="134"/>
      <c r="X321" s="134"/>
      <c r="Y321" s="134"/>
      <c r="AD321" s="134"/>
      <c r="AE321" s="134"/>
      <c r="AF321" s="134"/>
      <c r="AG321" s="134"/>
      <c r="AH321" s="134"/>
      <c r="AI321" s="134"/>
    </row>
    <row r="322" spans="1:35">
      <c r="A322" s="134"/>
      <c r="B322" s="134"/>
      <c r="C322" s="134"/>
      <c r="D322" s="134"/>
      <c r="K322" s="134"/>
      <c r="L322" s="134"/>
      <c r="Q322" s="134"/>
      <c r="T322" s="134"/>
      <c r="U322" s="134"/>
      <c r="V322" s="134"/>
      <c r="W322" s="134"/>
      <c r="X322" s="134"/>
      <c r="Y322" s="134"/>
      <c r="AD322" s="134"/>
      <c r="AE322" s="134"/>
      <c r="AF322" s="134"/>
      <c r="AG322" s="134"/>
      <c r="AH322" s="134"/>
      <c r="AI322" s="134"/>
    </row>
    <row r="323" spans="1:35">
      <c r="A323" s="134"/>
      <c r="B323" s="134"/>
      <c r="C323" s="134"/>
      <c r="D323" s="134"/>
      <c r="K323" s="134"/>
      <c r="L323" s="134"/>
      <c r="Q323" s="134"/>
      <c r="T323" s="134"/>
      <c r="U323" s="134"/>
      <c r="V323" s="134"/>
      <c r="W323" s="134"/>
      <c r="X323" s="134"/>
      <c r="Y323" s="134"/>
      <c r="AD323" s="134"/>
      <c r="AE323" s="134"/>
      <c r="AF323" s="134"/>
      <c r="AG323" s="134"/>
      <c r="AH323" s="134"/>
      <c r="AI323" s="134"/>
    </row>
    <row r="324" spans="1:35">
      <c r="A324" s="134"/>
      <c r="B324" s="134"/>
      <c r="C324" s="134"/>
      <c r="D324" s="134"/>
      <c r="K324" s="134"/>
      <c r="L324" s="134"/>
      <c r="Q324" s="134"/>
      <c r="T324" s="134"/>
      <c r="U324" s="134"/>
      <c r="V324" s="134"/>
      <c r="W324" s="134"/>
      <c r="X324" s="134"/>
      <c r="Y324" s="134"/>
      <c r="AD324" s="134"/>
      <c r="AE324" s="134"/>
      <c r="AF324" s="134"/>
      <c r="AG324" s="134"/>
      <c r="AH324" s="134"/>
      <c r="AI324" s="134"/>
    </row>
    <row r="325" spans="1:35">
      <c r="A325" s="134"/>
      <c r="B325" s="134"/>
      <c r="C325" s="134"/>
      <c r="D325" s="134"/>
      <c r="K325" s="134"/>
      <c r="L325" s="134"/>
      <c r="Q325" s="134"/>
      <c r="T325" s="134"/>
      <c r="U325" s="134"/>
      <c r="V325" s="134"/>
      <c r="W325" s="134"/>
      <c r="X325" s="134"/>
      <c r="Y325" s="134"/>
      <c r="AD325" s="134"/>
      <c r="AE325" s="134"/>
      <c r="AF325" s="134"/>
      <c r="AG325" s="134"/>
      <c r="AH325" s="134"/>
      <c r="AI325" s="134"/>
    </row>
    <row r="326" spans="1:35">
      <c r="A326" s="134"/>
      <c r="B326" s="134"/>
      <c r="C326" s="134"/>
      <c r="D326" s="134"/>
      <c r="K326" s="134"/>
      <c r="L326" s="134"/>
      <c r="Q326" s="134"/>
      <c r="T326" s="134"/>
      <c r="U326" s="134"/>
      <c r="V326" s="134"/>
      <c r="W326" s="134"/>
      <c r="X326" s="134"/>
      <c r="Y326" s="134"/>
      <c r="AD326" s="134"/>
      <c r="AE326" s="134"/>
      <c r="AF326" s="134"/>
      <c r="AG326" s="134"/>
      <c r="AH326" s="134"/>
      <c r="AI326" s="134"/>
    </row>
    <row r="327" spans="1:35">
      <c r="A327" s="134"/>
      <c r="B327" s="134"/>
      <c r="C327" s="134"/>
      <c r="D327" s="134"/>
      <c r="K327" s="134"/>
      <c r="L327" s="134"/>
      <c r="Q327" s="134"/>
      <c r="T327" s="134"/>
      <c r="U327" s="134"/>
      <c r="V327" s="134"/>
      <c r="W327" s="134"/>
      <c r="X327" s="134"/>
      <c r="Y327" s="134"/>
      <c r="AD327" s="134"/>
      <c r="AE327" s="134"/>
      <c r="AF327" s="134"/>
      <c r="AG327" s="134"/>
      <c r="AH327" s="134"/>
      <c r="AI327" s="134"/>
    </row>
    <row r="328" spans="1:35">
      <c r="A328" s="134"/>
      <c r="B328" s="134"/>
      <c r="C328" s="134"/>
      <c r="D328" s="134"/>
      <c r="K328" s="134"/>
      <c r="L328" s="134"/>
      <c r="Q328" s="134"/>
      <c r="T328" s="134"/>
      <c r="U328" s="134"/>
      <c r="V328" s="134"/>
      <c r="W328" s="134"/>
      <c r="X328" s="134"/>
      <c r="Y328" s="134"/>
      <c r="AD328" s="134"/>
      <c r="AE328" s="134"/>
      <c r="AF328" s="134"/>
      <c r="AG328" s="134"/>
      <c r="AH328" s="134"/>
      <c r="AI328" s="134"/>
    </row>
    <row r="329" spans="1:35">
      <c r="A329" s="134"/>
      <c r="B329" s="134"/>
      <c r="C329" s="134"/>
      <c r="D329" s="134"/>
      <c r="K329" s="134"/>
      <c r="L329" s="134"/>
      <c r="Q329" s="134"/>
      <c r="T329" s="134"/>
      <c r="U329" s="134"/>
      <c r="V329" s="134"/>
      <c r="W329" s="134"/>
      <c r="X329" s="134"/>
      <c r="Y329" s="134"/>
      <c r="AD329" s="134"/>
      <c r="AE329" s="134"/>
      <c r="AF329" s="134"/>
      <c r="AG329" s="134"/>
      <c r="AH329" s="134"/>
      <c r="AI329" s="134"/>
    </row>
    <row r="330" spans="1:35">
      <c r="A330" s="134"/>
      <c r="B330" s="134"/>
      <c r="C330" s="134"/>
      <c r="D330" s="134"/>
      <c r="K330" s="134"/>
      <c r="L330" s="134"/>
      <c r="Q330" s="134"/>
      <c r="T330" s="134"/>
      <c r="U330" s="134"/>
      <c r="V330" s="134"/>
      <c r="W330" s="134"/>
      <c r="X330" s="134"/>
      <c r="Y330" s="134"/>
      <c r="AD330" s="134"/>
      <c r="AE330" s="134"/>
      <c r="AF330" s="134"/>
      <c r="AG330" s="134"/>
      <c r="AH330" s="134"/>
      <c r="AI330" s="134"/>
    </row>
    <row r="331" spans="1:35">
      <c r="A331" s="134"/>
      <c r="B331" s="134"/>
      <c r="C331" s="134"/>
      <c r="D331" s="134"/>
      <c r="K331" s="134"/>
      <c r="L331" s="134"/>
      <c r="Q331" s="134"/>
      <c r="T331" s="134"/>
      <c r="U331" s="134"/>
      <c r="V331" s="134"/>
      <c r="W331" s="134"/>
      <c r="X331" s="134"/>
      <c r="Y331" s="134"/>
      <c r="AD331" s="134"/>
      <c r="AE331" s="134"/>
      <c r="AF331" s="134"/>
      <c r="AG331" s="134"/>
      <c r="AH331" s="134"/>
      <c r="AI331" s="134"/>
    </row>
    <row r="332" spans="1:35">
      <c r="A332" s="134"/>
      <c r="B332" s="134"/>
      <c r="C332" s="134"/>
      <c r="D332" s="134"/>
      <c r="K332" s="134"/>
      <c r="L332" s="134"/>
      <c r="Q332" s="134"/>
      <c r="T332" s="134"/>
      <c r="U332" s="134"/>
      <c r="V332" s="134"/>
      <c r="W332" s="134"/>
      <c r="X332" s="134"/>
      <c r="Y332" s="134"/>
      <c r="AD332" s="134"/>
      <c r="AE332" s="134"/>
      <c r="AF332" s="134"/>
      <c r="AG332" s="134"/>
      <c r="AH332" s="134"/>
      <c r="AI332" s="134"/>
    </row>
    <row r="333" spans="1:35">
      <c r="A333" s="134"/>
      <c r="B333" s="134"/>
      <c r="C333" s="134"/>
      <c r="D333" s="134"/>
      <c r="K333" s="134"/>
      <c r="L333" s="134"/>
      <c r="Q333" s="134"/>
      <c r="T333" s="134"/>
      <c r="U333" s="134"/>
      <c r="V333" s="134"/>
      <c r="W333" s="134"/>
      <c r="X333" s="134"/>
      <c r="Y333" s="134"/>
      <c r="AD333" s="134"/>
      <c r="AE333" s="134"/>
      <c r="AF333" s="134"/>
      <c r="AG333" s="134"/>
      <c r="AH333" s="134"/>
      <c r="AI333" s="134"/>
    </row>
    <row r="334" spans="1:35">
      <c r="A334" s="134"/>
      <c r="B334" s="134"/>
      <c r="C334" s="134"/>
      <c r="D334" s="134"/>
      <c r="K334" s="134"/>
      <c r="L334" s="134"/>
      <c r="Q334" s="134"/>
      <c r="T334" s="134"/>
      <c r="U334" s="134"/>
      <c r="V334" s="134"/>
      <c r="W334" s="134"/>
      <c r="X334" s="134"/>
      <c r="Y334" s="134"/>
      <c r="AD334" s="134"/>
      <c r="AE334" s="134"/>
      <c r="AF334" s="134"/>
      <c r="AG334" s="134"/>
      <c r="AH334" s="134"/>
      <c r="AI334" s="134"/>
    </row>
    <row r="335" spans="1:35">
      <c r="A335" s="134"/>
      <c r="B335" s="134"/>
      <c r="C335" s="134"/>
      <c r="D335" s="134"/>
      <c r="K335" s="134"/>
      <c r="L335" s="134"/>
      <c r="Q335" s="134"/>
      <c r="T335" s="134"/>
      <c r="U335" s="134"/>
      <c r="V335" s="134"/>
      <c r="W335" s="134"/>
      <c r="X335" s="134"/>
      <c r="Y335" s="134"/>
      <c r="AD335" s="134"/>
      <c r="AE335" s="134"/>
      <c r="AF335" s="134"/>
      <c r="AG335" s="134"/>
      <c r="AH335" s="134"/>
      <c r="AI335" s="134"/>
    </row>
    <row r="336" spans="1:35">
      <c r="A336" s="134"/>
      <c r="B336" s="134"/>
      <c r="C336" s="134"/>
      <c r="D336" s="134"/>
      <c r="K336" s="134"/>
      <c r="L336" s="134"/>
      <c r="Q336" s="134"/>
      <c r="T336" s="134"/>
      <c r="U336" s="134"/>
      <c r="V336" s="134"/>
      <c r="W336" s="134"/>
      <c r="X336" s="134"/>
      <c r="Y336" s="134"/>
      <c r="AD336" s="134"/>
      <c r="AE336" s="134"/>
      <c r="AF336" s="134"/>
      <c r="AG336" s="134"/>
      <c r="AH336" s="134"/>
      <c r="AI336" s="134"/>
    </row>
    <row r="337" spans="1:35">
      <c r="A337" s="134"/>
      <c r="B337" s="134"/>
      <c r="C337" s="134"/>
      <c r="D337" s="134"/>
      <c r="K337" s="134"/>
      <c r="L337" s="134"/>
      <c r="Q337" s="134"/>
      <c r="T337" s="134"/>
      <c r="U337" s="134"/>
      <c r="V337" s="134"/>
      <c r="W337" s="134"/>
      <c r="X337" s="134"/>
      <c r="Y337" s="134"/>
      <c r="AD337" s="134"/>
      <c r="AE337" s="134"/>
      <c r="AF337" s="134"/>
      <c r="AG337" s="134"/>
      <c r="AH337" s="134"/>
      <c r="AI337" s="134"/>
    </row>
    <row r="338" spans="1:35">
      <c r="A338" s="134"/>
      <c r="B338" s="134"/>
      <c r="C338" s="134"/>
      <c r="D338" s="134"/>
      <c r="K338" s="134"/>
      <c r="L338" s="134"/>
      <c r="Q338" s="134"/>
      <c r="T338" s="134"/>
      <c r="U338" s="134"/>
      <c r="V338" s="134"/>
      <c r="W338" s="134"/>
      <c r="X338" s="134"/>
      <c r="Y338" s="134"/>
      <c r="AD338" s="134"/>
      <c r="AE338" s="134"/>
      <c r="AF338" s="134"/>
      <c r="AG338" s="134"/>
      <c r="AH338" s="134"/>
      <c r="AI338" s="134"/>
    </row>
    <row r="339" spans="1:35">
      <c r="A339" s="134"/>
      <c r="B339" s="134"/>
      <c r="C339" s="134"/>
      <c r="D339" s="134"/>
      <c r="K339" s="134"/>
      <c r="L339" s="134"/>
      <c r="Q339" s="134"/>
      <c r="T339" s="134"/>
      <c r="U339" s="134"/>
      <c r="V339" s="134"/>
      <c r="W339" s="134"/>
      <c r="X339" s="134"/>
      <c r="Y339" s="134"/>
      <c r="AD339" s="134"/>
      <c r="AE339" s="134"/>
      <c r="AF339" s="134"/>
      <c r="AG339" s="134"/>
      <c r="AH339" s="134"/>
      <c r="AI339" s="134"/>
    </row>
    <row r="340" spans="1:35">
      <c r="A340" s="134"/>
      <c r="B340" s="134"/>
      <c r="C340" s="134"/>
      <c r="D340" s="134"/>
      <c r="K340" s="134"/>
      <c r="L340" s="134"/>
      <c r="Q340" s="134"/>
      <c r="T340" s="134"/>
      <c r="U340" s="134"/>
      <c r="V340" s="134"/>
      <c r="W340" s="134"/>
      <c r="X340" s="134"/>
      <c r="Y340" s="134"/>
      <c r="AD340" s="134"/>
      <c r="AE340" s="134"/>
      <c r="AF340" s="134"/>
      <c r="AG340" s="134"/>
      <c r="AH340" s="134"/>
      <c r="AI340" s="134"/>
    </row>
    <row r="341" spans="1:35">
      <c r="A341" s="134"/>
      <c r="B341" s="134"/>
      <c r="C341" s="134"/>
      <c r="D341" s="134"/>
      <c r="K341" s="134"/>
      <c r="L341" s="134"/>
      <c r="Q341" s="134"/>
      <c r="T341" s="134"/>
      <c r="U341" s="134"/>
      <c r="V341" s="134"/>
      <c r="W341" s="134"/>
      <c r="X341" s="134"/>
      <c r="Y341" s="134"/>
      <c r="AD341" s="134"/>
      <c r="AE341" s="134"/>
      <c r="AF341" s="134"/>
      <c r="AG341" s="134"/>
      <c r="AH341" s="134"/>
      <c r="AI341" s="134"/>
    </row>
    <row r="342" spans="1:35">
      <c r="A342" s="134"/>
      <c r="B342" s="134"/>
      <c r="C342" s="134"/>
      <c r="D342" s="134"/>
      <c r="K342" s="134"/>
      <c r="L342" s="134"/>
      <c r="Q342" s="134"/>
      <c r="T342" s="134"/>
      <c r="U342" s="134"/>
      <c r="V342" s="134"/>
      <c r="W342" s="134"/>
      <c r="X342" s="134"/>
      <c r="Y342" s="134"/>
      <c r="AD342" s="134"/>
      <c r="AE342" s="134"/>
      <c r="AF342" s="134"/>
      <c r="AG342" s="134"/>
      <c r="AH342" s="134"/>
      <c r="AI342" s="134"/>
    </row>
    <row r="343" spans="1:35">
      <c r="A343" s="134"/>
      <c r="B343" s="134"/>
      <c r="C343" s="134"/>
      <c r="D343" s="134"/>
      <c r="K343" s="134"/>
      <c r="L343" s="134"/>
      <c r="Q343" s="134"/>
      <c r="T343" s="134"/>
      <c r="U343" s="134"/>
      <c r="V343" s="134"/>
      <c r="W343" s="134"/>
      <c r="X343" s="134"/>
      <c r="Y343" s="134"/>
      <c r="AD343" s="134"/>
      <c r="AE343" s="134"/>
      <c r="AF343" s="134"/>
      <c r="AG343" s="134"/>
      <c r="AH343" s="134"/>
      <c r="AI343" s="134"/>
    </row>
    <row r="344" spans="1:35">
      <c r="A344" s="134"/>
      <c r="B344" s="134"/>
      <c r="C344" s="134"/>
      <c r="D344" s="134"/>
      <c r="K344" s="134"/>
      <c r="L344" s="134"/>
      <c r="Q344" s="134"/>
      <c r="T344" s="134"/>
      <c r="U344" s="134"/>
      <c r="V344" s="134"/>
      <c r="W344" s="134"/>
      <c r="X344" s="134"/>
      <c r="Y344" s="134"/>
      <c r="AD344" s="134"/>
      <c r="AE344" s="134"/>
      <c r="AF344" s="134"/>
      <c r="AG344" s="134"/>
      <c r="AH344" s="134"/>
      <c r="AI344" s="134"/>
    </row>
    <row r="345" spans="1:35">
      <c r="A345" s="134"/>
      <c r="B345" s="134"/>
      <c r="C345" s="134"/>
      <c r="D345" s="134"/>
      <c r="K345" s="134"/>
      <c r="L345" s="134"/>
      <c r="Q345" s="134"/>
      <c r="T345" s="134"/>
      <c r="U345" s="134"/>
      <c r="V345" s="134"/>
      <c r="W345" s="134"/>
      <c r="X345" s="134"/>
      <c r="Y345" s="134"/>
      <c r="AD345" s="134"/>
      <c r="AE345" s="134"/>
      <c r="AF345" s="134"/>
      <c r="AG345" s="134"/>
      <c r="AH345" s="134"/>
      <c r="AI345" s="134"/>
    </row>
    <row r="346" spans="1:35">
      <c r="A346" s="134"/>
      <c r="B346" s="134"/>
      <c r="C346" s="134"/>
      <c r="D346" s="134"/>
      <c r="K346" s="134"/>
      <c r="L346" s="134"/>
      <c r="Q346" s="134"/>
      <c r="T346" s="134"/>
      <c r="U346" s="134"/>
      <c r="V346" s="134"/>
      <c r="W346" s="134"/>
      <c r="X346" s="134"/>
      <c r="Y346" s="134"/>
      <c r="AD346" s="134"/>
      <c r="AE346" s="134"/>
      <c r="AF346" s="134"/>
      <c r="AG346" s="134"/>
      <c r="AH346" s="134"/>
      <c r="AI346" s="134"/>
    </row>
    <row r="347" spans="1:35">
      <c r="A347" s="134"/>
      <c r="B347" s="134"/>
      <c r="C347" s="134"/>
      <c r="D347" s="134"/>
      <c r="K347" s="134"/>
      <c r="L347" s="134"/>
      <c r="Q347" s="134"/>
      <c r="T347" s="134"/>
      <c r="U347" s="134"/>
      <c r="V347" s="134"/>
      <c r="W347" s="134"/>
      <c r="X347" s="134"/>
      <c r="Y347" s="134"/>
      <c r="AD347" s="134"/>
      <c r="AE347" s="134"/>
      <c r="AF347" s="134"/>
      <c r="AG347" s="134"/>
      <c r="AH347" s="134"/>
      <c r="AI347" s="134"/>
    </row>
    <row r="348" spans="1:35">
      <c r="A348" s="134"/>
      <c r="B348" s="134"/>
      <c r="C348" s="134"/>
      <c r="D348" s="134"/>
      <c r="K348" s="134"/>
      <c r="L348" s="134"/>
      <c r="Q348" s="134"/>
      <c r="T348" s="134"/>
      <c r="U348" s="134"/>
      <c r="V348" s="134"/>
      <c r="W348" s="134"/>
      <c r="X348" s="134"/>
      <c r="Y348" s="134"/>
      <c r="AD348" s="134"/>
      <c r="AE348" s="134"/>
      <c r="AF348" s="134"/>
      <c r="AG348" s="134"/>
      <c r="AH348" s="134"/>
      <c r="AI348" s="134"/>
    </row>
    <row r="349" spans="1:35">
      <c r="A349" s="134"/>
      <c r="B349" s="134"/>
      <c r="C349" s="134"/>
      <c r="D349" s="134"/>
      <c r="K349" s="134"/>
      <c r="L349" s="134"/>
      <c r="Q349" s="134"/>
      <c r="T349" s="134"/>
      <c r="U349" s="134"/>
      <c r="V349" s="134"/>
      <c r="W349" s="134"/>
      <c r="X349" s="134"/>
      <c r="Y349" s="134"/>
      <c r="AD349" s="134"/>
      <c r="AE349" s="134"/>
      <c r="AF349" s="134"/>
      <c r="AG349" s="134"/>
      <c r="AH349" s="134"/>
      <c r="AI349" s="134"/>
    </row>
    <row r="350" spans="1:35">
      <c r="A350" s="134"/>
      <c r="B350" s="134"/>
      <c r="C350" s="134"/>
      <c r="D350" s="134"/>
      <c r="K350" s="134"/>
      <c r="L350" s="134"/>
      <c r="Q350" s="134"/>
      <c r="T350" s="134"/>
      <c r="U350" s="134"/>
      <c r="V350" s="134"/>
      <c r="W350" s="134"/>
      <c r="X350" s="134"/>
      <c r="Y350" s="134"/>
      <c r="AD350" s="134"/>
      <c r="AE350" s="134"/>
      <c r="AF350" s="134"/>
      <c r="AG350" s="134"/>
      <c r="AH350" s="134"/>
      <c r="AI350" s="134"/>
    </row>
    <row r="351" spans="1:35">
      <c r="A351" s="134"/>
      <c r="B351" s="134"/>
      <c r="C351" s="134"/>
      <c r="D351" s="134"/>
      <c r="K351" s="134"/>
      <c r="L351" s="134"/>
      <c r="Q351" s="134"/>
      <c r="T351" s="134"/>
      <c r="U351" s="134"/>
      <c r="V351" s="134"/>
      <c r="W351" s="134"/>
      <c r="X351" s="134"/>
      <c r="Y351" s="134"/>
      <c r="AD351" s="134"/>
      <c r="AE351" s="134"/>
      <c r="AF351" s="134"/>
      <c r="AG351" s="134"/>
      <c r="AH351" s="134"/>
      <c r="AI351" s="134"/>
    </row>
    <row r="352" spans="1:35">
      <c r="A352" s="134"/>
      <c r="B352" s="134"/>
      <c r="C352" s="134"/>
      <c r="D352" s="134"/>
      <c r="K352" s="134"/>
      <c r="L352" s="134"/>
      <c r="Q352" s="134"/>
      <c r="T352" s="134"/>
      <c r="U352" s="134"/>
      <c r="V352" s="134"/>
      <c r="W352" s="134"/>
      <c r="X352" s="134"/>
      <c r="Y352" s="134"/>
      <c r="AD352" s="134"/>
      <c r="AE352" s="134"/>
      <c r="AF352" s="134"/>
      <c r="AG352" s="134"/>
      <c r="AH352" s="134"/>
      <c r="AI352" s="134"/>
    </row>
    <row r="353" spans="1:35">
      <c r="A353" s="134"/>
      <c r="B353" s="134"/>
      <c r="C353" s="134"/>
      <c r="D353" s="134"/>
      <c r="K353" s="134"/>
      <c r="L353" s="134"/>
      <c r="Q353" s="134"/>
      <c r="T353" s="134"/>
      <c r="U353" s="134"/>
      <c r="V353" s="134"/>
      <c r="W353" s="134"/>
      <c r="X353" s="134"/>
      <c r="Y353" s="134"/>
      <c r="AD353" s="134"/>
      <c r="AE353" s="134"/>
      <c r="AF353" s="134"/>
      <c r="AG353" s="134"/>
      <c r="AH353" s="134"/>
      <c r="AI353" s="134"/>
    </row>
    <row r="354" spans="1:35">
      <c r="A354" s="134"/>
      <c r="B354" s="134"/>
      <c r="C354" s="134"/>
      <c r="D354" s="134"/>
      <c r="K354" s="134"/>
      <c r="L354" s="134"/>
      <c r="Q354" s="134"/>
      <c r="T354" s="134"/>
      <c r="U354" s="134"/>
      <c r="V354" s="134"/>
      <c r="W354" s="134"/>
      <c r="X354" s="134"/>
      <c r="Y354" s="134"/>
      <c r="AD354" s="134"/>
      <c r="AE354" s="134"/>
      <c r="AF354" s="134"/>
      <c r="AG354" s="134"/>
      <c r="AH354" s="134"/>
      <c r="AI354" s="134"/>
    </row>
    <row r="355" spans="1:35">
      <c r="A355" s="134"/>
      <c r="B355" s="134"/>
      <c r="C355" s="134"/>
      <c r="D355" s="134"/>
      <c r="K355" s="134"/>
      <c r="L355" s="134"/>
      <c r="Q355" s="134"/>
      <c r="T355" s="134"/>
      <c r="U355" s="134"/>
      <c r="V355" s="134"/>
      <c r="W355" s="134"/>
      <c r="X355" s="134"/>
      <c r="Y355" s="134"/>
      <c r="AD355" s="134"/>
      <c r="AE355" s="134"/>
      <c r="AF355" s="134"/>
      <c r="AG355" s="134"/>
      <c r="AH355" s="134"/>
      <c r="AI355" s="134"/>
    </row>
    <row r="356" spans="1:35">
      <c r="A356" s="134"/>
      <c r="B356" s="134"/>
      <c r="C356" s="134"/>
      <c r="D356" s="134"/>
      <c r="K356" s="134"/>
      <c r="L356" s="134"/>
      <c r="Q356" s="134"/>
      <c r="T356" s="134"/>
      <c r="U356" s="134"/>
      <c r="V356" s="134"/>
      <c r="W356" s="134"/>
      <c r="X356" s="134"/>
      <c r="Y356" s="134"/>
      <c r="AD356" s="134"/>
      <c r="AE356" s="134"/>
      <c r="AF356" s="134"/>
      <c r="AG356" s="134"/>
      <c r="AH356" s="134"/>
      <c r="AI356" s="134"/>
    </row>
    <row r="357" spans="1:35">
      <c r="A357" s="134"/>
      <c r="B357" s="134"/>
      <c r="C357" s="134"/>
      <c r="D357" s="134"/>
      <c r="K357" s="134"/>
      <c r="L357" s="134"/>
      <c r="Q357" s="134"/>
      <c r="T357" s="134"/>
      <c r="U357" s="134"/>
      <c r="V357" s="134"/>
      <c r="W357" s="134"/>
      <c r="X357" s="134"/>
      <c r="Y357" s="134"/>
      <c r="AD357" s="134"/>
      <c r="AE357" s="134"/>
      <c r="AF357" s="134"/>
      <c r="AG357" s="134"/>
      <c r="AH357" s="134"/>
      <c r="AI357" s="134"/>
    </row>
    <row r="358" spans="1:35">
      <c r="A358" s="134"/>
      <c r="B358" s="134"/>
      <c r="C358" s="134"/>
      <c r="D358" s="134"/>
      <c r="K358" s="134"/>
      <c r="L358" s="134"/>
      <c r="Q358" s="134"/>
      <c r="T358" s="134"/>
      <c r="U358" s="134"/>
      <c r="V358" s="134"/>
      <c r="W358" s="134"/>
      <c r="X358" s="134"/>
      <c r="Y358" s="134"/>
      <c r="AD358" s="134"/>
      <c r="AE358" s="134"/>
      <c r="AF358" s="134"/>
      <c r="AG358" s="134"/>
      <c r="AH358" s="134"/>
      <c r="AI358" s="134"/>
    </row>
    <row r="359" spans="1:35">
      <c r="A359" s="134"/>
      <c r="B359" s="134"/>
      <c r="C359" s="134"/>
      <c r="D359" s="134"/>
      <c r="K359" s="134"/>
      <c r="L359" s="134"/>
      <c r="Q359" s="134"/>
      <c r="T359" s="134"/>
      <c r="U359" s="134"/>
      <c r="V359" s="134"/>
      <c r="W359" s="134"/>
      <c r="X359" s="134"/>
      <c r="Y359" s="134"/>
      <c r="AD359" s="134"/>
      <c r="AE359" s="134"/>
      <c r="AF359" s="134"/>
      <c r="AG359" s="134"/>
      <c r="AH359" s="134"/>
      <c r="AI359" s="134"/>
    </row>
    <row r="360" spans="1:35">
      <c r="A360" s="134"/>
      <c r="B360" s="134"/>
      <c r="C360" s="134"/>
      <c r="D360" s="134"/>
      <c r="K360" s="134"/>
      <c r="L360" s="134"/>
      <c r="Q360" s="134"/>
      <c r="T360" s="134"/>
      <c r="U360" s="134"/>
      <c r="V360" s="134"/>
      <c r="W360" s="134"/>
      <c r="X360" s="134"/>
      <c r="Y360" s="134"/>
      <c r="AD360" s="134"/>
      <c r="AE360" s="134"/>
      <c r="AF360" s="134"/>
      <c r="AG360" s="134"/>
      <c r="AH360" s="134"/>
      <c r="AI360" s="134"/>
    </row>
    <row r="361" spans="1:35">
      <c r="A361" s="134"/>
      <c r="B361" s="134"/>
      <c r="C361" s="134"/>
      <c r="D361" s="134"/>
      <c r="K361" s="134"/>
      <c r="L361" s="134"/>
      <c r="Q361" s="134"/>
      <c r="T361" s="134"/>
      <c r="U361" s="134"/>
      <c r="V361" s="134"/>
      <c r="W361" s="134"/>
      <c r="X361" s="134"/>
      <c r="Y361" s="134"/>
      <c r="AD361" s="134"/>
      <c r="AE361" s="134"/>
      <c r="AF361" s="134"/>
      <c r="AG361" s="134"/>
      <c r="AH361" s="134"/>
      <c r="AI361" s="134"/>
    </row>
    <row r="362" spans="1:35">
      <c r="A362" s="134"/>
      <c r="B362" s="134"/>
      <c r="C362" s="134"/>
      <c r="D362" s="134"/>
      <c r="K362" s="134"/>
      <c r="L362" s="134"/>
      <c r="Q362" s="134"/>
      <c r="T362" s="134"/>
      <c r="U362" s="134"/>
      <c r="V362" s="134"/>
      <c r="W362" s="134"/>
      <c r="X362" s="134"/>
      <c r="Y362" s="134"/>
      <c r="AD362" s="134"/>
      <c r="AE362" s="134"/>
      <c r="AF362" s="134"/>
      <c r="AG362" s="134"/>
      <c r="AH362" s="134"/>
      <c r="AI362" s="134"/>
    </row>
    <row r="363" spans="1:35">
      <c r="A363" s="134"/>
      <c r="B363" s="134"/>
      <c r="C363" s="134"/>
      <c r="D363" s="134"/>
      <c r="K363" s="134"/>
      <c r="L363" s="134"/>
      <c r="Q363" s="134"/>
      <c r="T363" s="134"/>
      <c r="U363" s="134"/>
      <c r="V363" s="134"/>
      <c r="W363" s="134"/>
      <c r="X363" s="134"/>
      <c r="Y363" s="134"/>
      <c r="AD363" s="134"/>
      <c r="AE363" s="134"/>
      <c r="AF363" s="134"/>
      <c r="AG363" s="134"/>
      <c r="AH363" s="134"/>
      <c r="AI363" s="134"/>
    </row>
    <row r="364" spans="1:35">
      <c r="A364" s="134"/>
      <c r="B364" s="134"/>
      <c r="C364" s="134"/>
      <c r="D364" s="134"/>
      <c r="K364" s="134"/>
      <c r="L364" s="134"/>
      <c r="Q364" s="134"/>
      <c r="T364" s="134"/>
      <c r="U364" s="134"/>
      <c r="V364" s="134"/>
      <c r="W364" s="134"/>
      <c r="X364" s="134"/>
      <c r="Y364" s="134"/>
      <c r="AD364" s="134"/>
      <c r="AE364" s="134"/>
      <c r="AF364" s="134"/>
      <c r="AG364" s="134"/>
      <c r="AH364" s="134"/>
      <c r="AI364" s="134"/>
    </row>
    <row r="365" spans="1:35">
      <c r="A365" s="134"/>
      <c r="B365" s="134"/>
      <c r="C365" s="134"/>
      <c r="D365" s="134"/>
      <c r="K365" s="134"/>
      <c r="L365" s="134"/>
      <c r="Q365" s="134"/>
      <c r="T365" s="134"/>
      <c r="U365" s="134"/>
      <c r="V365" s="134"/>
      <c r="W365" s="134"/>
      <c r="X365" s="134"/>
      <c r="Y365" s="134"/>
      <c r="AD365" s="134"/>
      <c r="AE365" s="134"/>
      <c r="AF365" s="134"/>
      <c r="AG365" s="134"/>
      <c r="AH365" s="134"/>
      <c r="AI365" s="134"/>
    </row>
    <row r="366" spans="1:35">
      <c r="A366" s="134"/>
      <c r="B366" s="134"/>
      <c r="C366" s="134"/>
      <c r="D366" s="134"/>
      <c r="K366" s="134"/>
      <c r="L366" s="134"/>
      <c r="Q366" s="134"/>
      <c r="T366" s="134"/>
      <c r="U366" s="134"/>
      <c r="V366" s="134"/>
      <c r="W366" s="134"/>
      <c r="X366" s="134"/>
      <c r="Y366" s="134"/>
      <c r="AD366" s="134"/>
      <c r="AE366" s="134"/>
      <c r="AF366" s="134"/>
      <c r="AG366" s="134"/>
      <c r="AH366" s="134"/>
      <c r="AI366" s="134"/>
    </row>
    <row r="367" spans="1:35">
      <c r="A367" s="134"/>
      <c r="B367" s="134"/>
      <c r="C367" s="134"/>
      <c r="D367" s="134"/>
      <c r="K367" s="134"/>
      <c r="L367" s="134"/>
      <c r="Q367" s="134"/>
      <c r="T367" s="134"/>
      <c r="U367" s="134"/>
      <c r="V367" s="134"/>
      <c r="W367" s="134"/>
      <c r="X367" s="134"/>
      <c r="Y367" s="134"/>
      <c r="AD367" s="134"/>
      <c r="AE367" s="134"/>
      <c r="AF367" s="134"/>
      <c r="AG367" s="134"/>
      <c r="AH367" s="134"/>
      <c r="AI367" s="134"/>
    </row>
    <row r="368" spans="1:35">
      <c r="A368" s="134"/>
      <c r="B368" s="134"/>
      <c r="C368" s="134"/>
      <c r="D368" s="134"/>
      <c r="K368" s="134"/>
      <c r="L368" s="134"/>
      <c r="Q368" s="134"/>
      <c r="T368" s="134"/>
      <c r="U368" s="134"/>
      <c r="V368" s="134"/>
      <c r="W368" s="134"/>
      <c r="X368" s="134"/>
      <c r="Y368" s="134"/>
      <c r="AD368" s="134"/>
      <c r="AE368" s="134"/>
      <c r="AF368" s="134"/>
      <c r="AG368" s="134"/>
      <c r="AH368" s="134"/>
      <c r="AI368" s="134"/>
    </row>
    <row r="369" spans="1:35">
      <c r="A369" s="134"/>
      <c r="B369" s="134"/>
      <c r="C369" s="134"/>
      <c r="D369" s="134"/>
      <c r="K369" s="134"/>
      <c r="L369" s="134"/>
      <c r="Q369" s="134"/>
      <c r="T369" s="134"/>
      <c r="U369" s="134"/>
      <c r="V369" s="134"/>
      <c r="W369" s="134"/>
      <c r="X369" s="134"/>
      <c r="Y369" s="134"/>
      <c r="AD369" s="134"/>
      <c r="AE369" s="134"/>
      <c r="AF369" s="134"/>
      <c r="AG369" s="134"/>
      <c r="AH369" s="134"/>
      <c r="AI369" s="134"/>
    </row>
    <row r="370" spans="1:35">
      <c r="A370" s="134"/>
      <c r="B370" s="134"/>
      <c r="C370" s="134"/>
      <c r="D370" s="134"/>
      <c r="K370" s="134"/>
      <c r="L370" s="134"/>
      <c r="Q370" s="134"/>
      <c r="T370" s="134"/>
      <c r="U370" s="134"/>
      <c r="V370" s="134"/>
      <c r="W370" s="134"/>
      <c r="X370" s="134"/>
      <c r="Y370" s="134"/>
      <c r="AD370" s="134"/>
      <c r="AE370" s="134"/>
      <c r="AF370" s="134"/>
      <c r="AG370" s="134"/>
      <c r="AH370" s="134"/>
      <c r="AI370" s="134"/>
    </row>
    <row r="371" spans="1:35">
      <c r="A371" s="134"/>
      <c r="B371" s="134"/>
      <c r="C371" s="134"/>
      <c r="D371" s="134"/>
      <c r="K371" s="134"/>
      <c r="L371" s="134"/>
      <c r="Q371" s="134"/>
      <c r="T371" s="134"/>
      <c r="U371" s="134"/>
      <c r="V371" s="134"/>
      <c r="W371" s="134"/>
      <c r="X371" s="134"/>
      <c r="Y371" s="134"/>
      <c r="AD371" s="134"/>
      <c r="AE371" s="134"/>
      <c r="AF371" s="134"/>
      <c r="AG371" s="134"/>
      <c r="AH371" s="134"/>
      <c r="AI371" s="134"/>
    </row>
    <row r="372" spans="1:35">
      <c r="A372" s="134"/>
      <c r="B372" s="134"/>
      <c r="C372" s="134"/>
      <c r="D372" s="134"/>
      <c r="K372" s="134"/>
      <c r="L372" s="134"/>
      <c r="Q372" s="134"/>
      <c r="T372" s="134"/>
      <c r="U372" s="134"/>
      <c r="V372" s="134"/>
      <c r="W372" s="134"/>
      <c r="X372" s="134"/>
      <c r="Y372" s="134"/>
      <c r="AD372" s="134"/>
      <c r="AE372" s="134"/>
      <c r="AF372" s="134"/>
      <c r="AG372" s="134"/>
      <c r="AH372" s="134"/>
      <c r="AI372" s="134"/>
    </row>
    <row r="373" spans="1:35">
      <c r="A373" s="134"/>
      <c r="B373" s="134"/>
      <c r="C373" s="134"/>
      <c r="D373" s="134"/>
      <c r="K373" s="134"/>
      <c r="L373" s="134"/>
      <c r="Q373" s="134"/>
      <c r="T373" s="134"/>
      <c r="U373" s="134"/>
      <c r="V373" s="134"/>
      <c r="W373" s="134"/>
      <c r="X373" s="134"/>
      <c r="Y373" s="134"/>
      <c r="AD373" s="134"/>
      <c r="AE373" s="134"/>
      <c r="AF373" s="134"/>
      <c r="AG373" s="134"/>
      <c r="AH373" s="134"/>
      <c r="AI373" s="134"/>
    </row>
    <row r="374" spans="1:35">
      <c r="A374" s="134"/>
      <c r="B374" s="134"/>
      <c r="C374" s="134"/>
      <c r="D374" s="134"/>
      <c r="K374" s="134"/>
      <c r="L374" s="134"/>
      <c r="Q374" s="134"/>
      <c r="T374" s="134"/>
      <c r="U374" s="134"/>
      <c r="V374" s="134"/>
      <c r="W374" s="134"/>
      <c r="X374" s="134"/>
      <c r="Y374" s="134"/>
      <c r="AD374" s="134"/>
      <c r="AE374" s="134"/>
      <c r="AF374" s="134"/>
      <c r="AG374" s="134"/>
      <c r="AH374" s="134"/>
      <c r="AI374" s="134"/>
    </row>
    <row r="375" spans="1:35">
      <c r="A375" s="134"/>
      <c r="B375" s="134"/>
      <c r="C375" s="134"/>
      <c r="D375" s="134"/>
      <c r="K375" s="134"/>
      <c r="L375" s="134"/>
      <c r="Q375" s="134"/>
      <c r="T375" s="134"/>
      <c r="U375" s="134"/>
      <c r="V375" s="134"/>
      <c r="W375" s="134"/>
      <c r="X375" s="134"/>
      <c r="Y375" s="134"/>
      <c r="AD375" s="134"/>
      <c r="AE375" s="134"/>
      <c r="AF375" s="134"/>
      <c r="AG375" s="134"/>
      <c r="AH375" s="134"/>
      <c r="AI375" s="134"/>
    </row>
    <row r="376" spans="1:35">
      <c r="A376" s="134"/>
      <c r="B376" s="134"/>
      <c r="C376" s="134"/>
      <c r="D376" s="134"/>
      <c r="K376" s="134"/>
      <c r="L376" s="134"/>
      <c r="Q376" s="134"/>
      <c r="T376" s="134"/>
      <c r="U376" s="134"/>
      <c r="V376" s="134"/>
      <c r="W376" s="134"/>
      <c r="X376" s="134"/>
      <c r="Y376" s="134"/>
      <c r="AD376" s="134"/>
      <c r="AE376" s="134"/>
      <c r="AF376" s="134"/>
      <c r="AG376" s="134"/>
      <c r="AH376" s="134"/>
      <c r="AI376" s="134"/>
    </row>
    <row r="377" spans="1:35">
      <c r="A377" s="134"/>
      <c r="B377" s="134"/>
      <c r="C377" s="134"/>
      <c r="D377" s="134"/>
      <c r="K377" s="134"/>
      <c r="L377" s="134"/>
      <c r="Q377" s="134"/>
      <c r="T377" s="134"/>
      <c r="U377" s="134"/>
      <c r="V377" s="134"/>
      <c r="W377" s="134"/>
      <c r="X377" s="134"/>
      <c r="Y377" s="134"/>
      <c r="AD377" s="134"/>
      <c r="AE377" s="134"/>
      <c r="AF377" s="134"/>
      <c r="AG377" s="134"/>
      <c r="AH377" s="134"/>
      <c r="AI377" s="134"/>
    </row>
    <row r="378" spans="1:35">
      <c r="A378" s="134"/>
      <c r="B378" s="134"/>
      <c r="C378" s="134"/>
      <c r="D378" s="134"/>
      <c r="K378" s="134"/>
      <c r="L378" s="134"/>
      <c r="Q378" s="134"/>
      <c r="T378" s="134"/>
      <c r="U378" s="134"/>
      <c r="V378" s="134"/>
      <c r="W378" s="134"/>
      <c r="X378" s="134"/>
      <c r="Y378" s="134"/>
      <c r="AD378" s="134"/>
      <c r="AE378" s="134"/>
      <c r="AF378" s="134"/>
      <c r="AG378" s="134"/>
      <c r="AH378" s="134"/>
      <c r="AI378" s="134"/>
    </row>
    <row r="379" spans="1:35">
      <c r="A379" s="134"/>
      <c r="B379" s="134"/>
      <c r="C379" s="134"/>
      <c r="D379" s="134"/>
      <c r="K379" s="134"/>
      <c r="L379" s="134"/>
      <c r="Q379" s="134"/>
      <c r="T379" s="134"/>
      <c r="U379" s="134"/>
      <c r="V379" s="134"/>
      <c r="W379" s="134"/>
      <c r="X379" s="134"/>
      <c r="Y379" s="134"/>
      <c r="AD379" s="134"/>
      <c r="AE379" s="134"/>
      <c r="AF379" s="134"/>
      <c r="AG379" s="134"/>
      <c r="AH379" s="134"/>
      <c r="AI379" s="134"/>
    </row>
    <row r="380" spans="1:35">
      <c r="A380" s="134"/>
      <c r="B380" s="134"/>
      <c r="C380" s="134"/>
      <c r="D380" s="134"/>
      <c r="K380" s="134"/>
      <c r="L380" s="134"/>
      <c r="Q380" s="134"/>
      <c r="T380" s="134"/>
      <c r="U380" s="134"/>
      <c r="V380" s="134"/>
      <c r="W380" s="134"/>
      <c r="X380" s="134"/>
      <c r="Y380" s="134"/>
      <c r="AD380" s="134"/>
      <c r="AE380" s="134"/>
      <c r="AF380" s="134"/>
      <c r="AG380" s="134"/>
      <c r="AH380" s="134"/>
      <c r="AI380" s="134"/>
    </row>
    <row r="381" spans="1:35">
      <c r="A381" s="134"/>
      <c r="B381" s="134"/>
      <c r="C381" s="134"/>
      <c r="D381" s="134"/>
      <c r="K381" s="134"/>
      <c r="L381" s="134"/>
      <c r="Q381" s="134"/>
      <c r="T381" s="134"/>
      <c r="U381" s="134"/>
      <c r="V381" s="134"/>
      <c r="W381" s="134"/>
      <c r="X381" s="134"/>
      <c r="Y381" s="134"/>
      <c r="AD381" s="134"/>
      <c r="AE381" s="134"/>
      <c r="AF381" s="134"/>
      <c r="AG381" s="134"/>
      <c r="AH381" s="134"/>
      <c r="AI381" s="134"/>
    </row>
    <row r="382" spans="1:35">
      <c r="A382" s="134"/>
      <c r="B382" s="134"/>
      <c r="C382" s="134"/>
      <c r="D382" s="134"/>
      <c r="K382" s="134"/>
      <c r="L382" s="134"/>
      <c r="Q382" s="134"/>
      <c r="T382" s="134"/>
      <c r="U382" s="134"/>
      <c r="V382" s="134"/>
      <c r="W382" s="134"/>
      <c r="X382" s="134"/>
      <c r="Y382" s="134"/>
      <c r="AD382" s="134"/>
      <c r="AE382" s="134"/>
      <c r="AF382" s="134"/>
      <c r="AG382" s="134"/>
      <c r="AH382" s="134"/>
      <c r="AI382" s="134"/>
    </row>
    <row r="383" spans="1:35">
      <c r="A383" s="134"/>
      <c r="B383" s="134"/>
      <c r="C383" s="134"/>
      <c r="D383" s="134"/>
      <c r="K383" s="134"/>
      <c r="L383" s="134"/>
      <c r="Q383" s="134"/>
      <c r="T383" s="134"/>
      <c r="U383" s="134"/>
      <c r="V383" s="134"/>
      <c r="W383" s="134"/>
      <c r="X383" s="134"/>
      <c r="Y383" s="134"/>
      <c r="AD383" s="134"/>
      <c r="AE383" s="134"/>
      <c r="AF383" s="134"/>
      <c r="AG383" s="134"/>
      <c r="AH383" s="134"/>
      <c r="AI383" s="134"/>
    </row>
    <row r="384" spans="1:35">
      <c r="A384" s="134"/>
      <c r="B384" s="134"/>
      <c r="C384" s="134"/>
      <c r="D384" s="134"/>
      <c r="K384" s="134"/>
      <c r="L384" s="134"/>
      <c r="Q384" s="134"/>
      <c r="T384" s="134"/>
      <c r="U384" s="134"/>
      <c r="V384" s="134"/>
      <c r="W384" s="134"/>
      <c r="X384" s="134"/>
      <c r="Y384" s="134"/>
      <c r="AD384" s="134"/>
      <c r="AE384" s="134"/>
      <c r="AF384" s="134"/>
      <c r="AG384" s="134"/>
      <c r="AH384" s="134"/>
      <c r="AI384" s="134"/>
    </row>
    <row r="385" spans="1:35">
      <c r="A385" s="134"/>
      <c r="B385" s="134"/>
      <c r="C385" s="134"/>
      <c r="D385" s="134"/>
      <c r="K385" s="134"/>
      <c r="L385" s="134"/>
      <c r="Q385" s="134"/>
      <c r="T385" s="134"/>
      <c r="U385" s="134"/>
      <c r="V385" s="134"/>
      <c r="W385" s="134"/>
      <c r="X385" s="134"/>
      <c r="Y385" s="134"/>
      <c r="AD385" s="134"/>
      <c r="AE385" s="134"/>
      <c r="AF385" s="134"/>
      <c r="AG385" s="134"/>
      <c r="AH385" s="134"/>
      <c r="AI385" s="134"/>
    </row>
    <row r="386" spans="1:35">
      <c r="A386" s="134"/>
      <c r="B386" s="134"/>
      <c r="C386" s="134"/>
      <c r="D386" s="134"/>
      <c r="K386" s="134"/>
      <c r="L386" s="134"/>
      <c r="Q386" s="134"/>
      <c r="T386" s="134"/>
      <c r="U386" s="134"/>
      <c r="V386" s="134"/>
      <c r="W386" s="134"/>
      <c r="X386" s="134"/>
      <c r="Y386" s="134"/>
      <c r="AD386" s="134"/>
      <c r="AE386" s="134"/>
      <c r="AF386" s="134"/>
      <c r="AG386" s="134"/>
      <c r="AH386" s="134"/>
      <c r="AI386" s="134"/>
    </row>
    <row r="387" spans="1:35">
      <c r="A387" s="134"/>
      <c r="B387" s="134"/>
      <c r="C387" s="134"/>
      <c r="D387" s="134"/>
      <c r="K387" s="134"/>
      <c r="L387" s="134"/>
      <c r="Q387" s="134"/>
      <c r="T387" s="134"/>
      <c r="U387" s="134"/>
      <c r="V387" s="134"/>
      <c r="W387" s="134"/>
      <c r="X387" s="134"/>
      <c r="Y387" s="134"/>
      <c r="AD387" s="134"/>
      <c r="AE387" s="134"/>
      <c r="AF387" s="134"/>
      <c r="AG387" s="134"/>
      <c r="AH387" s="134"/>
      <c r="AI387" s="134"/>
    </row>
    <row r="388" spans="1:35">
      <c r="A388" s="134"/>
      <c r="B388" s="134"/>
      <c r="C388" s="134"/>
      <c r="D388" s="134"/>
      <c r="K388" s="134"/>
      <c r="L388" s="134"/>
      <c r="Q388" s="134"/>
      <c r="T388" s="134"/>
      <c r="U388" s="134"/>
      <c r="V388" s="134"/>
      <c r="W388" s="134"/>
      <c r="X388" s="134"/>
      <c r="Y388" s="134"/>
      <c r="AD388" s="134"/>
      <c r="AE388" s="134"/>
      <c r="AF388" s="134"/>
      <c r="AG388" s="134"/>
      <c r="AH388" s="134"/>
      <c r="AI388" s="134"/>
    </row>
    <row r="389" spans="1:35">
      <c r="A389" s="134"/>
      <c r="B389" s="134"/>
      <c r="C389" s="134"/>
      <c r="D389" s="134"/>
      <c r="K389" s="134"/>
      <c r="L389" s="134"/>
      <c r="Q389" s="134"/>
      <c r="T389" s="134"/>
      <c r="U389" s="134"/>
      <c r="V389" s="134"/>
      <c r="W389" s="134"/>
      <c r="X389" s="134"/>
      <c r="Y389" s="134"/>
      <c r="AD389" s="134"/>
      <c r="AE389" s="134"/>
      <c r="AF389" s="134"/>
      <c r="AG389" s="134"/>
      <c r="AH389" s="134"/>
      <c r="AI389" s="134"/>
    </row>
    <row r="390" spans="1:35">
      <c r="A390" s="134"/>
      <c r="B390" s="134"/>
      <c r="C390" s="134"/>
      <c r="D390" s="134"/>
      <c r="K390" s="134"/>
      <c r="L390" s="134"/>
      <c r="Q390" s="134"/>
      <c r="T390" s="134"/>
      <c r="U390" s="134"/>
      <c r="V390" s="134"/>
      <c r="W390" s="134"/>
      <c r="X390" s="134"/>
      <c r="Y390" s="134"/>
      <c r="AD390" s="134"/>
      <c r="AE390" s="134"/>
      <c r="AF390" s="134"/>
      <c r="AG390" s="134"/>
      <c r="AH390" s="134"/>
      <c r="AI390" s="134"/>
    </row>
    <row r="391" spans="1:35">
      <c r="A391" s="134"/>
      <c r="B391" s="134"/>
      <c r="C391" s="134"/>
      <c r="D391" s="134"/>
      <c r="K391" s="134"/>
      <c r="L391" s="134"/>
      <c r="Q391" s="134"/>
      <c r="T391" s="134"/>
      <c r="U391" s="134"/>
      <c r="V391" s="134"/>
      <c r="W391" s="134"/>
      <c r="X391" s="134"/>
      <c r="Y391" s="134"/>
      <c r="AD391" s="134"/>
      <c r="AE391" s="134"/>
      <c r="AF391" s="134"/>
      <c r="AG391" s="134"/>
      <c r="AH391" s="134"/>
      <c r="AI391" s="134"/>
    </row>
    <row r="392" spans="1:35">
      <c r="A392" s="134"/>
      <c r="B392" s="134"/>
      <c r="C392" s="134"/>
      <c r="D392" s="134"/>
      <c r="K392" s="134"/>
      <c r="L392" s="134"/>
      <c r="Q392" s="134"/>
      <c r="T392" s="134"/>
      <c r="U392" s="134"/>
      <c r="V392" s="134"/>
      <c r="W392" s="134"/>
      <c r="X392" s="134"/>
      <c r="Y392" s="134"/>
      <c r="AD392" s="134"/>
      <c r="AE392" s="134"/>
      <c r="AF392" s="134"/>
      <c r="AG392" s="134"/>
      <c r="AH392" s="134"/>
      <c r="AI392" s="134"/>
    </row>
    <row r="393" spans="1:35">
      <c r="A393" s="134"/>
      <c r="B393" s="134"/>
      <c r="C393" s="134"/>
      <c r="D393" s="134"/>
      <c r="K393" s="134"/>
      <c r="L393" s="134"/>
      <c r="Q393" s="134"/>
      <c r="T393" s="134"/>
      <c r="U393" s="134"/>
      <c r="V393" s="134"/>
      <c r="W393" s="134"/>
      <c r="X393" s="134"/>
      <c r="Y393" s="134"/>
      <c r="AD393" s="134"/>
      <c r="AE393" s="134"/>
      <c r="AF393" s="134"/>
      <c r="AG393" s="134"/>
      <c r="AH393" s="134"/>
      <c r="AI393" s="134"/>
    </row>
    <row r="394" spans="1:35">
      <c r="A394" s="134"/>
      <c r="B394" s="134"/>
      <c r="C394" s="134"/>
      <c r="D394" s="134"/>
      <c r="K394" s="134"/>
      <c r="L394" s="134"/>
      <c r="Q394" s="134"/>
      <c r="T394" s="134"/>
      <c r="U394" s="134"/>
      <c r="V394" s="134"/>
      <c r="W394" s="134"/>
      <c r="X394" s="134"/>
      <c r="Y394" s="134"/>
      <c r="AD394" s="134"/>
      <c r="AE394" s="134"/>
      <c r="AF394" s="134"/>
      <c r="AG394" s="134"/>
      <c r="AH394" s="134"/>
      <c r="AI394" s="134"/>
    </row>
    <row r="395" spans="1:35">
      <c r="A395" s="134"/>
      <c r="B395" s="134"/>
      <c r="C395" s="134"/>
      <c r="D395" s="134"/>
      <c r="K395" s="134"/>
      <c r="L395" s="134"/>
      <c r="Q395" s="134"/>
      <c r="T395" s="134"/>
      <c r="U395" s="134"/>
      <c r="V395" s="134"/>
      <c r="W395" s="134"/>
      <c r="X395" s="134"/>
      <c r="Y395" s="134"/>
      <c r="AD395" s="134"/>
      <c r="AE395" s="134"/>
      <c r="AF395" s="134"/>
      <c r="AG395" s="134"/>
      <c r="AH395" s="134"/>
      <c r="AI395" s="134"/>
    </row>
    <row r="396" spans="1:35">
      <c r="A396" s="134"/>
      <c r="B396" s="134"/>
      <c r="C396" s="134"/>
      <c r="D396" s="134"/>
      <c r="K396" s="134"/>
      <c r="L396" s="134"/>
      <c r="Q396" s="134"/>
      <c r="T396" s="134"/>
      <c r="U396" s="134"/>
      <c r="V396" s="134"/>
      <c r="W396" s="134"/>
      <c r="X396" s="134"/>
      <c r="Y396" s="134"/>
      <c r="AD396" s="134"/>
      <c r="AE396" s="134"/>
      <c r="AF396" s="134"/>
      <c r="AG396" s="134"/>
      <c r="AH396" s="134"/>
      <c r="AI396" s="134"/>
    </row>
    <row r="397" spans="1:35">
      <c r="A397" s="134"/>
      <c r="B397" s="134"/>
      <c r="C397" s="134"/>
      <c r="D397" s="134"/>
      <c r="K397" s="134"/>
      <c r="L397" s="134"/>
      <c r="Q397" s="134"/>
      <c r="T397" s="134"/>
      <c r="U397" s="134"/>
      <c r="V397" s="134"/>
      <c r="W397" s="134"/>
      <c r="X397" s="134"/>
      <c r="Y397" s="134"/>
      <c r="AD397" s="134"/>
      <c r="AE397" s="134"/>
      <c r="AF397" s="134"/>
      <c r="AG397" s="134"/>
      <c r="AH397" s="134"/>
      <c r="AI397" s="134"/>
    </row>
    <row r="398" spans="1:35">
      <c r="A398" s="134"/>
      <c r="B398" s="134"/>
      <c r="C398" s="134"/>
      <c r="D398" s="134"/>
      <c r="K398" s="134"/>
      <c r="L398" s="134"/>
      <c r="Q398" s="134"/>
      <c r="T398" s="134"/>
      <c r="U398" s="134"/>
      <c r="V398" s="134"/>
      <c r="W398" s="134"/>
      <c r="X398" s="134"/>
      <c r="Y398" s="134"/>
      <c r="AD398" s="134"/>
      <c r="AE398" s="134"/>
      <c r="AF398" s="134"/>
      <c r="AG398" s="134"/>
      <c r="AH398" s="134"/>
      <c r="AI398" s="134"/>
    </row>
    <row r="399" spans="1:35">
      <c r="A399" s="134"/>
      <c r="B399" s="134"/>
      <c r="C399" s="134"/>
      <c r="D399" s="134"/>
      <c r="K399" s="134"/>
      <c r="L399" s="134"/>
      <c r="Q399" s="134"/>
      <c r="T399" s="134"/>
      <c r="U399" s="134"/>
      <c r="V399" s="134"/>
      <c r="W399" s="134"/>
      <c r="X399" s="134"/>
      <c r="Y399" s="134"/>
      <c r="AD399" s="134"/>
      <c r="AE399" s="134"/>
      <c r="AF399" s="134"/>
      <c r="AG399" s="134"/>
      <c r="AH399" s="134"/>
      <c r="AI399" s="134"/>
    </row>
    <row r="400" spans="1:35">
      <c r="A400" s="134"/>
      <c r="B400" s="134"/>
      <c r="C400" s="134"/>
      <c r="D400" s="134"/>
      <c r="K400" s="134"/>
      <c r="L400" s="134"/>
      <c r="Q400" s="134"/>
      <c r="T400" s="134"/>
      <c r="U400" s="134"/>
      <c r="V400" s="134"/>
      <c r="W400" s="134"/>
      <c r="X400" s="134"/>
      <c r="Y400" s="134"/>
      <c r="AD400" s="134"/>
      <c r="AE400" s="134"/>
      <c r="AF400" s="134"/>
      <c r="AG400" s="134"/>
      <c r="AH400" s="134"/>
      <c r="AI400" s="134"/>
    </row>
    <row r="401" spans="1:35">
      <c r="A401" s="134"/>
      <c r="B401" s="134"/>
      <c r="C401" s="134"/>
      <c r="D401" s="134"/>
      <c r="K401" s="134"/>
      <c r="L401" s="134"/>
      <c r="Q401" s="134"/>
      <c r="T401" s="134"/>
      <c r="U401" s="134"/>
      <c r="V401" s="134"/>
      <c r="W401" s="134"/>
      <c r="X401" s="134"/>
      <c r="Y401" s="134"/>
      <c r="AD401" s="134"/>
      <c r="AE401" s="134"/>
      <c r="AF401" s="134"/>
      <c r="AG401" s="134"/>
      <c r="AH401" s="134"/>
      <c r="AI401" s="134"/>
    </row>
    <row r="402" spans="1:35">
      <c r="A402" s="134"/>
      <c r="B402" s="134"/>
      <c r="C402" s="134"/>
      <c r="D402" s="134"/>
      <c r="K402" s="134"/>
      <c r="L402" s="134"/>
      <c r="Q402" s="134"/>
      <c r="T402" s="134"/>
      <c r="U402" s="134"/>
      <c r="V402" s="134"/>
      <c r="W402" s="134"/>
      <c r="X402" s="134"/>
      <c r="Y402" s="134"/>
      <c r="AD402" s="134"/>
      <c r="AE402" s="134"/>
      <c r="AF402" s="134"/>
      <c r="AG402" s="134"/>
      <c r="AH402" s="134"/>
      <c r="AI402" s="134"/>
    </row>
    <row r="403" spans="1:35">
      <c r="A403" s="134"/>
      <c r="B403" s="134"/>
      <c r="C403" s="134"/>
      <c r="D403" s="134"/>
      <c r="K403" s="134"/>
      <c r="L403" s="134"/>
      <c r="Q403" s="134"/>
      <c r="T403" s="134"/>
      <c r="U403" s="134"/>
      <c r="V403" s="134"/>
      <c r="W403" s="134"/>
      <c r="X403" s="134"/>
      <c r="Y403" s="134"/>
      <c r="AD403" s="134"/>
      <c r="AE403" s="134"/>
      <c r="AF403" s="134"/>
      <c r="AG403" s="134"/>
      <c r="AH403" s="134"/>
      <c r="AI403" s="134"/>
    </row>
    <row r="404" spans="1:35">
      <c r="A404" s="134"/>
      <c r="B404" s="134"/>
      <c r="C404" s="134"/>
      <c r="D404" s="134"/>
      <c r="K404" s="134"/>
      <c r="L404" s="134"/>
      <c r="Q404" s="134"/>
      <c r="T404" s="134"/>
      <c r="U404" s="134"/>
      <c r="V404" s="134"/>
      <c r="W404" s="134"/>
      <c r="X404" s="134"/>
      <c r="Y404" s="134"/>
      <c r="AD404" s="134"/>
      <c r="AE404" s="134"/>
      <c r="AF404" s="134"/>
      <c r="AG404" s="134"/>
      <c r="AH404" s="134"/>
      <c r="AI404" s="134"/>
    </row>
    <row r="405" spans="1:35">
      <c r="A405" s="134"/>
      <c r="B405" s="134"/>
      <c r="C405" s="134"/>
      <c r="D405" s="134"/>
      <c r="K405" s="134"/>
      <c r="L405" s="134"/>
      <c r="Q405" s="134"/>
      <c r="T405" s="134"/>
      <c r="U405" s="134"/>
      <c r="V405" s="134"/>
      <c r="W405" s="134"/>
      <c r="X405" s="134"/>
      <c r="Y405" s="134"/>
      <c r="AD405" s="134"/>
      <c r="AE405" s="134"/>
      <c r="AF405" s="134"/>
      <c r="AG405" s="134"/>
      <c r="AH405" s="134"/>
      <c r="AI405" s="134"/>
    </row>
    <row r="406" spans="1:35">
      <c r="A406" s="134"/>
      <c r="B406" s="134"/>
      <c r="C406" s="134"/>
      <c r="D406" s="134"/>
      <c r="K406" s="134"/>
      <c r="L406" s="134"/>
      <c r="Q406" s="134"/>
      <c r="T406" s="134"/>
      <c r="U406" s="134"/>
      <c r="V406" s="134"/>
      <c r="W406" s="134"/>
      <c r="X406" s="134"/>
      <c r="Y406" s="134"/>
      <c r="AD406" s="134"/>
      <c r="AE406" s="134"/>
      <c r="AF406" s="134"/>
      <c r="AG406" s="134"/>
      <c r="AH406" s="134"/>
      <c r="AI406" s="134"/>
    </row>
    <row r="407" spans="1:35">
      <c r="A407" s="134"/>
      <c r="B407" s="134"/>
      <c r="C407" s="134"/>
      <c r="D407" s="134"/>
      <c r="K407" s="134"/>
      <c r="L407" s="134"/>
      <c r="Q407" s="134"/>
      <c r="T407" s="134"/>
      <c r="U407" s="134"/>
      <c r="V407" s="134"/>
      <c r="W407" s="134"/>
      <c r="X407" s="134"/>
      <c r="Y407" s="134"/>
      <c r="AD407" s="134"/>
      <c r="AE407" s="134"/>
      <c r="AF407" s="134"/>
      <c r="AG407" s="134"/>
      <c r="AH407" s="134"/>
      <c r="AI407" s="1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BQ407"/>
  <sheetViews>
    <sheetView zoomScale="85" zoomScaleNormal="85" workbookViewId="0">
      <pane xSplit="2" ySplit="2" topLeftCell="C26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8.6640625" style="22" customWidth="1"/>
    <col min="2" max="2" width="35.33203125" style="22" bestFit="1" customWidth="1"/>
    <col min="3" max="3" width="8" style="22" bestFit="1" customWidth="1"/>
    <col min="4" max="4" width="4.109375" style="22" bestFit="1" customWidth="1"/>
    <col min="5" max="5" width="9" style="2" bestFit="1" customWidth="1"/>
    <col min="6" max="7" width="10.5546875" style="2" bestFit="1" customWidth="1"/>
    <col min="8" max="9" width="9.5546875" style="2" bestFit="1" customWidth="1"/>
    <col min="10" max="10" width="18.6640625" style="2" customWidth="1"/>
    <col min="11" max="12" width="18.6640625" style="14" customWidth="1"/>
    <col min="13" max="13" width="18.6640625" style="2" customWidth="1"/>
    <col min="14" max="16" width="10.88671875" style="2" bestFit="1" customWidth="1"/>
    <col min="17" max="17" width="10.88671875" style="13" bestFit="1" customWidth="1"/>
    <col min="18" max="18" width="11.44140625" style="2" bestFit="1" customWidth="1"/>
    <col min="19" max="19" width="12.109375" style="2" bestFit="1" customWidth="1"/>
    <col min="20" max="20" width="10.5546875" style="15" bestFit="1" customWidth="1" collapsed="1"/>
    <col min="21" max="21" width="8" style="15" bestFit="1" customWidth="1"/>
    <col min="22" max="22" width="8" style="86" bestFit="1" customWidth="1"/>
    <col min="23" max="25" width="13.33203125" style="86" customWidth="1"/>
    <col min="26" max="26" width="13.33203125" style="2" customWidth="1"/>
    <col min="27" max="27" width="7.88671875" style="2" bestFit="1" customWidth="1" collapsed="1"/>
    <col min="28" max="28" width="7.88671875" style="2" bestFit="1" customWidth="1"/>
    <col min="29" max="29" width="10.44140625" style="2" bestFit="1" customWidth="1"/>
    <col min="30" max="30" width="10.44140625" style="22" bestFit="1" customWidth="1"/>
    <col min="31" max="35" width="11" style="22" customWidth="1"/>
    <col min="36" max="40" width="11" style="2" customWidth="1"/>
    <col min="41" max="41" width="14.33203125" style="2" bestFit="1" customWidth="1"/>
    <col min="42" max="42" width="14.33203125" style="2" bestFit="1" customWidth="1" collapsed="1"/>
    <col min="43" max="46" width="8.109375" style="2" bestFit="1" customWidth="1"/>
    <col min="47" max="48" width="9" style="2" bestFit="1" customWidth="1"/>
    <col min="49" max="49" width="10" style="2" bestFit="1" customWidth="1"/>
    <col min="50" max="50" width="9.109375" style="2"/>
    <col min="51" max="59" width="13.6640625" style="2" customWidth="1"/>
    <col min="60" max="255" width="9.109375" style="2"/>
    <col min="256" max="256" width="0" style="2" hidden="1" customWidth="1"/>
    <col min="257" max="257" width="9.109375" style="2"/>
    <col min="258" max="258" width="28.109375" style="2" customWidth="1"/>
    <col min="259" max="260" width="0" style="2" hidden="1" customWidth="1"/>
    <col min="261" max="267" width="11" style="2" customWidth="1"/>
    <col min="268" max="269" width="0" style="2" hidden="1" customWidth="1"/>
    <col min="270" max="271" width="11" style="2" customWidth="1"/>
    <col min="272" max="273" width="0" style="2" hidden="1" customWidth="1"/>
    <col min="274" max="274" width="11" style="2" customWidth="1"/>
    <col min="275" max="275" width="16.5546875" style="2" customWidth="1"/>
    <col min="276" max="279" width="11" style="2" customWidth="1"/>
    <col min="280" max="281" width="11.109375" style="2" customWidth="1"/>
    <col min="282" max="305" width="11" style="2" customWidth="1"/>
    <col min="306" max="511" width="9.109375" style="2"/>
    <col min="512" max="512" width="0" style="2" hidden="1" customWidth="1"/>
    <col min="513" max="513" width="9.109375" style="2"/>
    <col min="514" max="514" width="28.109375" style="2" customWidth="1"/>
    <col min="515" max="516" width="0" style="2" hidden="1" customWidth="1"/>
    <col min="517" max="523" width="11" style="2" customWidth="1"/>
    <col min="524" max="525" width="0" style="2" hidden="1" customWidth="1"/>
    <col min="526" max="527" width="11" style="2" customWidth="1"/>
    <col min="528" max="529" width="0" style="2" hidden="1" customWidth="1"/>
    <col min="530" max="530" width="11" style="2" customWidth="1"/>
    <col min="531" max="531" width="16.5546875" style="2" customWidth="1"/>
    <col min="532" max="535" width="11" style="2" customWidth="1"/>
    <col min="536" max="537" width="11.109375" style="2" customWidth="1"/>
    <col min="538" max="561" width="11" style="2" customWidth="1"/>
    <col min="562" max="767" width="9.109375" style="2"/>
    <col min="768" max="768" width="0" style="2" hidden="1" customWidth="1"/>
    <col min="769" max="769" width="9.109375" style="2"/>
    <col min="770" max="770" width="28.109375" style="2" customWidth="1"/>
    <col min="771" max="772" width="0" style="2" hidden="1" customWidth="1"/>
    <col min="773" max="779" width="11" style="2" customWidth="1"/>
    <col min="780" max="781" width="0" style="2" hidden="1" customWidth="1"/>
    <col min="782" max="783" width="11" style="2" customWidth="1"/>
    <col min="784" max="785" width="0" style="2" hidden="1" customWidth="1"/>
    <col min="786" max="786" width="11" style="2" customWidth="1"/>
    <col min="787" max="787" width="16.5546875" style="2" customWidth="1"/>
    <col min="788" max="791" width="11" style="2" customWidth="1"/>
    <col min="792" max="793" width="11.109375" style="2" customWidth="1"/>
    <col min="794" max="817" width="11" style="2" customWidth="1"/>
    <col min="818" max="1023" width="9.109375" style="2"/>
    <col min="1024" max="1024" width="0" style="2" hidden="1" customWidth="1"/>
    <col min="1025" max="1025" width="9.109375" style="2"/>
    <col min="1026" max="1026" width="28.109375" style="2" customWidth="1"/>
    <col min="1027" max="1028" width="0" style="2" hidden="1" customWidth="1"/>
    <col min="1029" max="1035" width="11" style="2" customWidth="1"/>
    <col min="1036" max="1037" width="0" style="2" hidden="1" customWidth="1"/>
    <col min="1038" max="1039" width="11" style="2" customWidth="1"/>
    <col min="1040" max="1041" width="0" style="2" hidden="1" customWidth="1"/>
    <col min="1042" max="1042" width="11" style="2" customWidth="1"/>
    <col min="1043" max="1043" width="16.5546875" style="2" customWidth="1"/>
    <col min="1044" max="1047" width="11" style="2" customWidth="1"/>
    <col min="1048" max="1049" width="11.109375" style="2" customWidth="1"/>
    <col min="1050" max="1073" width="11" style="2" customWidth="1"/>
    <col min="1074" max="1279" width="9.109375" style="2"/>
    <col min="1280" max="1280" width="0" style="2" hidden="1" customWidth="1"/>
    <col min="1281" max="1281" width="9.109375" style="2"/>
    <col min="1282" max="1282" width="28.109375" style="2" customWidth="1"/>
    <col min="1283" max="1284" width="0" style="2" hidden="1" customWidth="1"/>
    <col min="1285" max="1291" width="11" style="2" customWidth="1"/>
    <col min="1292" max="1293" width="0" style="2" hidden="1" customWidth="1"/>
    <col min="1294" max="1295" width="11" style="2" customWidth="1"/>
    <col min="1296" max="1297" width="0" style="2" hidden="1" customWidth="1"/>
    <col min="1298" max="1298" width="11" style="2" customWidth="1"/>
    <col min="1299" max="1299" width="16.5546875" style="2" customWidth="1"/>
    <col min="1300" max="1303" width="11" style="2" customWidth="1"/>
    <col min="1304" max="1305" width="11.109375" style="2" customWidth="1"/>
    <col min="1306" max="1329" width="11" style="2" customWidth="1"/>
    <col min="1330" max="1535" width="9.109375" style="2"/>
    <col min="1536" max="1536" width="0" style="2" hidden="1" customWidth="1"/>
    <col min="1537" max="1537" width="9.109375" style="2"/>
    <col min="1538" max="1538" width="28.109375" style="2" customWidth="1"/>
    <col min="1539" max="1540" width="0" style="2" hidden="1" customWidth="1"/>
    <col min="1541" max="1547" width="11" style="2" customWidth="1"/>
    <col min="1548" max="1549" width="0" style="2" hidden="1" customWidth="1"/>
    <col min="1550" max="1551" width="11" style="2" customWidth="1"/>
    <col min="1552" max="1553" width="0" style="2" hidden="1" customWidth="1"/>
    <col min="1554" max="1554" width="11" style="2" customWidth="1"/>
    <col min="1555" max="1555" width="16.5546875" style="2" customWidth="1"/>
    <col min="1556" max="1559" width="11" style="2" customWidth="1"/>
    <col min="1560" max="1561" width="11.109375" style="2" customWidth="1"/>
    <col min="1562" max="1585" width="11" style="2" customWidth="1"/>
    <col min="1586" max="1791" width="9.109375" style="2"/>
    <col min="1792" max="1792" width="0" style="2" hidden="1" customWidth="1"/>
    <col min="1793" max="1793" width="9.109375" style="2"/>
    <col min="1794" max="1794" width="28.109375" style="2" customWidth="1"/>
    <col min="1795" max="1796" width="0" style="2" hidden="1" customWidth="1"/>
    <col min="1797" max="1803" width="11" style="2" customWidth="1"/>
    <col min="1804" max="1805" width="0" style="2" hidden="1" customWidth="1"/>
    <col min="1806" max="1807" width="11" style="2" customWidth="1"/>
    <col min="1808" max="1809" width="0" style="2" hidden="1" customWidth="1"/>
    <col min="1810" max="1810" width="11" style="2" customWidth="1"/>
    <col min="1811" max="1811" width="16.5546875" style="2" customWidth="1"/>
    <col min="1812" max="1815" width="11" style="2" customWidth="1"/>
    <col min="1816" max="1817" width="11.109375" style="2" customWidth="1"/>
    <col min="1818" max="1841" width="11" style="2" customWidth="1"/>
    <col min="1842" max="2047" width="9.109375" style="2"/>
    <col min="2048" max="2048" width="0" style="2" hidden="1" customWidth="1"/>
    <col min="2049" max="2049" width="9.109375" style="2"/>
    <col min="2050" max="2050" width="28.109375" style="2" customWidth="1"/>
    <col min="2051" max="2052" width="0" style="2" hidden="1" customWidth="1"/>
    <col min="2053" max="2059" width="11" style="2" customWidth="1"/>
    <col min="2060" max="2061" width="0" style="2" hidden="1" customWidth="1"/>
    <col min="2062" max="2063" width="11" style="2" customWidth="1"/>
    <col min="2064" max="2065" width="0" style="2" hidden="1" customWidth="1"/>
    <col min="2066" max="2066" width="11" style="2" customWidth="1"/>
    <col min="2067" max="2067" width="16.5546875" style="2" customWidth="1"/>
    <col min="2068" max="2071" width="11" style="2" customWidth="1"/>
    <col min="2072" max="2073" width="11.109375" style="2" customWidth="1"/>
    <col min="2074" max="2097" width="11" style="2" customWidth="1"/>
    <col min="2098" max="2303" width="9.109375" style="2"/>
    <col min="2304" max="2304" width="0" style="2" hidden="1" customWidth="1"/>
    <col min="2305" max="2305" width="9.109375" style="2"/>
    <col min="2306" max="2306" width="28.109375" style="2" customWidth="1"/>
    <col min="2307" max="2308" width="0" style="2" hidden="1" customWidth="1"/>
    <col min="2309" max="2315" width="11" style="2" customWidth="1"/>
    <col min="2316" max="2317" width="0" style="2" hidden="1" customWidth="1"/>
    <col min="2318" max="2319" width="11" style="2" customWidth="1"/>
    <col min="2320" max="2321" width="0" style="2" hidden="1" customWidth="1"/>
    <col min="2322" max="2322" width="11" style="2" customWidth="1"/>
    <col min="2323" max="2323" width="16.5546875" style="2" customWidth="1"/>
    <col min="2324" max="2327" width="11" style="2" customWidth="1"/>
    <col min="2328" max="2329" width="11.109375" style="2" customWidth="1"/>
    <col min="2330" max="2353" width="11" style="2" customWidth="1"/>
    <col min="2354" max="2559" width="9.109375" style="2"/>
    <col min="2560" max="2560" width="0" style="2" hidden="1" customWidth="1"/>
    <col min="2561" max="2561" width="9.109375" style="2"/>
    <col min="2562" max="2562" width="28.109375" style="2" customWidth="1"/>
    <col min="2563" max="2564" width="0" style="2" hidden="1" customWidth="1"/>
    <col min="2565" max="2571" width="11" style="2" customWidth="1"/>
    <col min="2572" max="2573" width="0" style="2" hidden="1" customWidth="1"/>
    <col min="2574" max="2575" width="11" style="2" customWidth="1"/>
    <col min="2576" max="2577" width="0" style="2" hidden="1" customWidth="1"/>
    <col min="2578" max="2578" width="11" style="2" customWidth="1"/>
    <col min="2579" max="2579" width="16.5546875" style="2" customWidth="1"/>
    <col min="2580" max="2583" width="11" style="2" customWidth="1"/>
    <col min="2584" max="2585" width="11.109375" style="2" customWidth="1"/>
    <col min="2586" max="2609" width="11" style="2" customWidth="1"/>
    <col min="2610" max="2815" width="9.109375" style="2"/>
    <col min="2816" max="2816" width="0" style="2" hidden="1" customWidth="1"/>
    <col min="2817" max="2817" width="9.109375" style="2"/>
    <col min="2818" max="2818" width="28.109375" style="2" customWidth="1"/>
    <col min="2819" max="2820" width="0" style="2" hidden="1" customWidth="1"/>
    <col min="2821" max="2827" width="11" style="2" customWidth="1"/>
    <col min="2828" max="2829" width="0" style="2" hidden="1" customWidth="1"/>
    <col min="2830" max="2831" width="11" style="2" customWidth="1"/>
    <col min="2832" max="2833" width="0" style="2" hidden="1" customWidth="1"/>
    <col min="2834" max="2834" width="11" style="2" customWidth="1"/>
    <col min="2835" max="2835" width="16.5546875" style="2" customWidth="1"/>
    <col min="2836" max="2839" width="11" style="2" customWidth="1"/>
    <col min="2840" max="2841" width="11.109375" style="2" customWidth="1"/>
    <col min="2842" max="2865" width="11" style="2" customWidth="1"/>
    <col min="2866" max="3071" width="9.109375" style="2"/>
    <col min="3072" max="3072" width="0" style="2" hidden="1" customWidth="1"/>
    <col min="3073" max="3073" width="9.109375" style="2"/>
    <col min="3074" max="3074" width="28.109375" style="2" customWidth="1"/>
    <col min="3075" max="3076" width="0" style="2" hidden="1" customWidth="1"/>
    <col min="3077" max="3083" width="11" style="2" customWidth="1"/>
    <col min="3084" max="3085" width="0" style="2" hidden="1" customWidth="1"/>
    <col min="3086" max="3087" width="11" style="2" customWidth="1"/>
    <col min="3088" max="3089" width="0" style="2" hidden="1" customWidth="1"/>
    <col min="3090" max="3090" width="11" style="2" customWidth="1"/>
    <col min="3091" max="3091" width="16.5546875" style="2" customWidth="1"/>
    <col min="3092" max="3095" width="11" style="2" customWidth="1"/>
    <col min="3096" max="3097" width="11.109375" style="2" customWidth="1"/>
    <col min="3098" max="3121" width="11" style="2" customWidth="1"/>
    <col min="3122" max="3327" width="9.109375" style="2"/>
    <col min="3328" max="3328" width="0" style="2" hidden="1" customWidth="1"/>
    <col min="3329" max="3329" width="9.109375" style="2"/>
    <col min="3330" max="3330" width="28.109375" style="2" customWidth="1"/>
    <col min="3331" max="3332" width="0" style="2" hidden="1" customWidth="1"/>
    <col min="3333" max="3339" width="11" style="2" customWidth="1"/>
    <col min="3340" max="3341" width="0" style="2" hidden="1" customWidth="1"/>
    <col min="3342" max="3343" width="11" style="2" customWidth="1"/>
    <col min="3344" max="3345" width="0" style="2" hidden="1" customWidth="1"/>
    <col min="3346" max="3346" width="11" style="2" customWidth="1"/>
    <col min="3347" max="3347" width="16.5546875" style="2" customWidth="1"/>
    <col min="3348" max="3351" width="11" style="2" customWidth="1"/>
    <col min="3352" max="3353" width="11.109375" style="2" customWidth="1"/>
    <col min="3354" max="3377" width="11" style="2" customWidth="1"/>
    <col min="3378" max="3583" width="9.109375" style="2"/>
    <col min="3584" max="3584" width="0" style="2" hidden="1" customWidth="1"/>
    <col min="3585" max="3585" width="9.109375" style="2"/>
    <col min="3586" max="3586" width="28.109375" style="2" customWidth="1"/>
    <col min="3587" max="3588" width="0" style="2" hidden="1" customWidth="1"/>
    <col min="3589" max="3595" width="11" style="2" customWidth="1"/>
    <col min="3596" max="3597" width="0" style="2" hidden="1" customWidth="1"/>
    <col min="3598" max="3599" width="11" style="2" customWidth="1"/>
    <col min="3600" max="3601" width="0" style="2" hidden="1" customWidth="1"/>
    <col min="3602" max="3602" width="11" style="2" customWidth="1"/>
    <col min="3603" max="3603" width="16.5546875" style="2" customWidth="1"/>
    <col min="3604" max="3607" width="11" style="2" customWidth="1"/>
    <col min="3608" max="3609" width="11.109375" style="2" customWidth="1"/>
    <col min="3610" max="3633" width="11" style="2" customWidth="1"/>
    <col min="3634" max="3839" width="9.109375" style="2"/>
    <col min="3840" max="3840" width="0" style="2" hidden="1" customWidth="1"/>
    <col min="3841" max="3841" width="9.109375" style="2"/>
    <col min="3842" max="3842" width="28.109375" style="2" customWidth="1"/>
    <col min="3843" max="3844" width="0" style="2" hidden="1" customWidth="1"/>
    <col min="3845" max="3851" width="11" style="2" customWidth="1"/>
    <col min="3852" max="3853" width="0" style="2" hidden="1" customWidth="1"/>
    <col min="3854" max="3855" width="11" style="2" customWidth="1"/>
    <col min="3856" max="3857" width="0" style="2" hidden="1" customWidth="1"/>
    <col min="3858" max="3858" width="11" style="2" customWidth="1"/>
    <col min="3859" max="3859" width="16.5546875" style="2" customWidth="1"/>
    <col min="3860" max="3863" width="11" style="2" customWidth="1"/>
    <col min="3864" max="3865" width="11.109375" style="2" customWidth="1"/>
    <col min="3866" max="3889" width="11" style="2" customWidth="1"/>
    <col min="3890" max="4095" width="9.109375" style="2"/>
    <col min="4096" max="4096" width="0" style="2" hidden="1" customWidth="1"/>
    <col min="4097" max="4097" width="9.109375" style="2"/>
    <col min="4098" max="4098" width="28.109375" style="2" customWidth="1"/>
    <col min="4099" max="4100" width="0" style="2" hidden="1" customWidth="1"/>
    <col min="4101" max="4107" width="11" style="2" customWidth="1"/>
    <col min="4108" max="4109" width="0" style="2" hidden="1" customWidth="1"/>
    <col min="4110" max="4111" width="11" style="2" customWidth="1"/>
    <col min="4112" max="4113" width="0" style="2" hidden="1" customWidth="1"/>
    <col min="4114" max="4114" width="11" style="2" customWidth="1"/>
    <col min="4115" max="4115" width="16.5546875" style="2" customWidth="1"/>
    <col min="4116" max="4119" width="11" style="2" customWidth="1"/>
    <col min="4120" max="4121" width="11.109375" style="2" customWidth="1"/>
    <col min="4122" max="4145" width="11" style="2" customWidth="1"/>
    <col min="4146" max="4351" width="9.109375" style="2"/>
    <col min="4352" max="4352" width="0" style="2" hidden="1" customWidth="1"/>
    <col min="4353" max="4353" width="9.109375" style="2"/>
    <col min="4354" max="4354" width="28.109375" style="2" customWidth="1"/>
    <col min="4355" max="4356" width="0" style="2" hidden="1" customWidth="1"/>
    <col min="4357" max="4363" width="11" style="2" customWidth="1"/>
    <col min="4364" max="4365" width="0" style="2" hidden="1" customWidth="1"/>
    <col min="4366" max="4367" width="11" style="2" customWidth="1"/>
    <col min="4368" max="4369" width="0" style="2" hidden="1" customWidth="1"/>
    <col min="4370" max="4370" width="11" style="2" customWidth="1"/>
    <col min="4371" max="4371" width="16.5546875" style="2" customWidth="1"/>
    <col min="4372" max="4375" width="11" style="2" customWidth="1"/>
    <col min="4376" max="4377" width="11.109375" style="2" customWidth="1"/>
    <col min="4378" max="4401" width="11" style="2" customWidth="1"/>
    <col min="4402" max="4607" width="9.109375" style="2"/>
    <col min="4608" max="4608" width="0" style="2" hidden="1" customWidth="1"/>
    <col min="4609" max="4609" width="9.109375" style="2"/>
    <col min="4610" max="4610" width="28.109375" style="2" customWidth="1"/>
    <col min="4611" max="4612" width="0" style="2" hidden="1" customWidth="1"/>
    <col min="4613" max="4619" width="11" style="2" customWidth="1"/>
    <col min="4620" max="4621" width="0" style="2" hidden="1" customWidth="1"/>
    <col min="4622" max="4623" width="11" style="2" customWidth="1"/>
    <col min="4624" max="4625" width="0" style="2" hidden="1" customWidth="1"/>
    <col min="4626" max="4626" width="11" style="2" customWidth="1"/>
    <col min="4627" max="4627" width="16.5546875" style="2" customWidth="1"/>
    <col min="4628" max="4631" width="11" style="2" customWidth="1"/>
    <col min="4632" max="4633" width="11.109375" style="2" customWidth="1"/>
    <col min="4634" max="4657" width="11" style="2" customWidth="1"/>
    <col min="4658" max="4863" width="9.109375" style="2"/>
    <col min="4864" max="4864" width="0" style="2" hidden="1" customWidth="1"/>
    <col min="4865" max="4865" width="9.109375" style="2"/>
    <col min="4866" max="4866" width="28.109375" style="2" customWidth="1"/>
    <col min="4867" max="4868" width="0" style="2" hidden="1" customWidth="1"/>
    <col min="4869" max="4875" width="11" style="2" customWidth="1"/>
    <col min="4876" max="4877" width="0" style="2" hidden="1" customWidth="1"/>
    <col min="4878" max="4879" width="11" style="2" customWidth="1"/>
    <col min="4880" max="4881" width="0" style="2" hidden="1" customWidth="1"/>
    <col min="4882" max="4882" width="11" style="2" customWidth="1"/>
    <col min="4883" max="4883" width="16.5546875" style="2" customWidth="1"/>
    <col min="4884" max="4887" width="11" style="2" customWidth="1"/>
    <col min="4888" max="4889" width="11.109375" style="2" customWidth="1"/>
    <col min="4890" max="4913" width="11" style="2" customWidth="1"/>
    <col min="4914" max="5119" width="9.109375" style="2"/>
    <col min="5120" max="5120" width="0" style="2" hidden="1" customWidth="1"/>
    <col min="5121" max="5121" width="9.109375" style="2"/>
    <col min="5122" max="5122" width="28.109375" style="2" customWidth="1"/>
    <col min="5123" max="5124" width="0" style="2" hidden="1" customWidth="1"/>
    <col min="5125" max="5131" width="11" style="2" customWidth="1"/>
    <col min="5132" max="5133" width="0" style="2" hidden="1" customWidth="1"/>
    <col min="5134" max="5135" width="11" style="2" customWidth="1"/>
    <col min="5136" max="5137" width="0" style="2" hidden="1" customWidth="1"/>
    <col min="5138" max="5138" width="11" style="2" customWidth="1"/>
    <col min="5139" max="5139" width="16.5546875" style="2" customWidth="1"/>
    <col min="5140" max="5143" width="11" style="2" customWidth="1"/>
    <col min="5144" max="5145" width="11.109375" style="2" customWidth="1"/>
    <col min="5146" max="5169" width="11" style="2" customWidth="1"/>
    <col min="5170" max="5375" width="9.109375" style="2"/>
    <col min="5376" max="5376" width="0" style="2" hidden="1" customWidth="1"/>
    <col min="5377" max="5377" width="9.109375" style="2"/>
    <col min="5378" max="5378" width="28.109375" style="2" customWidth="1"/>
    <col min="5379" max="5380" width="0" style="2" hidden="1" customWidth="1"/>
    <col min="5381" max="5387" width="11" style="2" customWidth="1"/>
    <col min="5388" max="5389" width="0" style="2" hidden="1" customWidth="1"/>
    <col min="5390" max="5391" width="11" style="2" customWidth="1"/>
    <col min="5392" max="5393" width="0" style="2" hidden="1" customWidth="1"/>
    <col min="5394" max="5394" width="11" style="2" customWidth="1"/>
    <col min="5395" max="5395" width="16.5546875" style="2" customWidth="1"/>
    <col min="5396" max="5399" width="11" style="2" customWidth="1"/>
    <col min="5400" max="5401" width="11.109375" style="2" customWidth="1"/>
    <col min="5402" max="5425" width="11" style="2" customWidth="1"/>
    <col min="5426" max="5631" width="9.109375" style="2"/>
    <col min="5632" max="5632" width="0" style="2" hidden="1" customWidth="1"/>
    <col min="5633" max="5633" width="9.109375" style="2"/>
    <col min="5634" max="5634" width="28.109375" style="2" customWidth="1"/>
    <col min="5635" max="5636" width="0" style="2" hidden="1" customWidth="1"/>
    <col min="5637" max="5643" width="11" style="2" customWidth="1"/>
    <col min="5644" max="5645" width="0" style="2" hidden="1" customWidth="1"/>
    <col min="5646" max="5647" width="11" style="2" customWidth="1"/>
    <col min="5648" max="5649" width="0" style="2" hidden="1" customWidth="1"/>
    <col min="5650" max="5650" width="11" style="2" customWidth="1"/>
    <col min="5651" max="5651" width="16.5546875" style="2" customWidth="1"/>
    <col min="5652" max="5655" width="11" style="2" customWidth="1"/>
    <col min="5656" max="5657" width="11.109375" style="2" customWidth="1"/>
    <col min="5658" max="5681" width="11" style="2" customWidth="1"/>
    <col min="5682" max="5887" width="9.109375" style="2"/>
    <col min="5888" max="5888" width="0" style="2" hidden="1" customWidth="1"/>
    <col min="5889" max="5889" width="9.109375" style="2"/>
    <col min="5890" max="5890" width="28.109375" style="2" customWidth="1"/>
    <col min="5891" max="5892" width="0" style="2" hidden="1" customWidth="1"/>
    <col min="5893" max="5899" width="11" style="2" customWidth="1"/>
    <col min="5900" max="5901" width="0" style="2" hidden="1" customWidth="1"/>
    <col min="5902" max="5903" width="11" style="2" customWidth="1"/>
    <col min="5904" max="5905" width="0" style="2" hidden="1" customWidth="1"/>
    <col min="5906" max="5906" width="11" style="2" customWidth="1"/>
    <col min="5907" max="5907" width="16.5546875" style="2" customWidth="1"/>
    <col min="5908" max="5911" width="11" style="2" customWidth="1"/>
    <col min="5912" max="5913" width="11.109375" style="2" customWidth="1"/>
    <col min="5914" max="5937" width="11" style="2" customWidth="1"/>
    <col min="5938" max="6143" width="9.109375" style="2"/>
    <col min="6144" max="6144" width="0" style="2" hidden="1" customWidth="1"/>
    <col min="6145" max="6145" width="9.109375" style="2"/>
    <col min="6146" max="6146" width="28.109375" style="2" customWidth="1"/>
    <col min="6147" max="6148" width="0" style="2" hidden="1" customWidth="1"/>
    <col min="6149" max="6155" width="11" style="2" customWidth="1"/>
    <col min="6156" max="6157" width="0" style="2" hidden="1" customWidth="1"/>
    <col min="6158" max="6159" width="11" style="2" customWidth="1"/>
    <col min="6160" max="6161" width="0" style="2" hidden="1" customWidth="1"/>
    <col min="6162" max="6162" width="11" style="2" customWidth="1"/>
    <col min="6163" max="6163" width="16.5546875" style="2" customWidth="1"/>
    <col min="6164" max="6167" width="11" style="2" customWidth="1"/>
    <col min="6168" max="6169" width="11.109375" style="2" customWidth="1"/>
    <col min="6170" max="6193" width="11" style="2" customWidth="1"/>
    <col min="6194" max="6399" width="9.109375" style="2"/>
    <col min="6400" max="6400" width="0" style="2" hidden="1" customWidth="1"/>
    <col min="6401" max="6401" width="9.109375" style="2"/>
    <col min="6402" max="6402" width="28.109375" style="2" customWidth="1"/>
    <col min="6403" max="6404" width="0" style="2" hidden="1" customWidth="1"/>
    <col min="6405" max="6411" width="11" style="2" customWidth="1"/>
    <col min="6412" max="6413" width="0" style="2" hidden="1" customWidth="1"/>
    <col min="6414" max="6415" width="11" style="2" customWidth="1"/>
    <col min="6416" max="6417" width="0" style="2" hidden="1" customWidth="1"/>
    <col min="6418" max="6418" width="11" style="2" customWidth="1"/>
    <col min="6419" max="6419" width="16.5546875" style="2" customWidth="1"/>
    <col min="6420" max="6423" width="11" style="2" customWidth="1"/>
    <col min="6424" max="6425" width="11.109375" style="2" customWidth="1"/>
    <col min="6426" max="6449" width="11" style="2" customWidth="1"/>
    <col min="6450" max="6655" width="9.109375" style="2"/>
    <col min="6656" max="6656" width="0" style="2" hidden="1" customWidth="1"/>
    <col min="6657" max="6657" width="9.109375" style="2"/>
    <col min="6658" max="6658" width="28.109375" style="2" customWidth="1"/>
    <col min="6659" max="6660" width="0" style="2" hidden="1" customWidth="1"/>
    <col min="6661" max="6667" width="11" style="2" customWidth="1"/>
    <col min="6668" max="6669" width="0" style="2" hidden="1" customWidth="1"/>
    <col min="6670" max="6671" width="11" style="2" customWidth="1"/>
    <col min="6672" max="6673" width="0" style="2" hidden="1" customWidth="1"/>
    <col min="6674" max="6674" width="11" style="2" customWidth="1"/>
    <col min="6675" max="6675" width="16.5546875" style="2" customWidth="1"/>
    <col min="6676" max="6679" width="11" style="2" customWidth="1"/>
    <col min="6680" max="6681" width="11.109375" style="2" customWidth="1"/>
    <col min="6682" max="6705" width="11" style="2" customWidth="1"/>
    <col min="6706" max="6911" width="9.109375" style="2"/>
    <col min="6912" max="6912" width="0" style="2" hidden="1" customWidth="1"/>
    <col min="6913" max="6913" width="9.109375" style="2"/>
    <col min="6914" max="6914" width="28.109375" style="2" customWidth="1"/>
    <col min="6915" max="6916" width="0" style="2" hidden="1" customWidth="1"/>
    <col min="6917" max="6923" width="11" style="2" customWidth="1"/>
    <col min="6924" max="6925" width="0" style="2" hidden="1" customWidth="1"/>
    <col min="6926" max="6927" width="11" style="2" customWidth="1"/>
    <col min="6928" max="6929" width="0" style="2" hidden="1" customWidth="1"/>
    <col min="6930" max="6930" width="11" style="2" customWidth="1"/>
    <col min="6931" max="6931" width="16.5546875" style="2" customWidth="1"/>
    <col min="6932" max="6935" width="11" style="2" customWidth="1"/>
    <col min="6936" max="6937" width="11.109375" style="2" customWidth="1"/>
    <col min="6938" max="6961" width="11" style="2" customWidth="1"/>
    <col min="6962" max="7167" width="9.109375" style="2"/>
    <col min="7168" max="7168" width="0" style="2" hidden="1" customWidth="1"/>
    <col min="7169" max="7169" width="9.109375" style="2"/>
    <col min="7170" max="7170" width="28.109375" style="2" customWidth="1"/>
    <col min="7171" max="7172" width="0" style="2" hidden="1" customWidth="1"/>
    <col min="7173" max="7179" width="11" style="2" customWidth="1"/>
    <col min="7180" max="7181" width="0" style="2" hidden="1" customWidth="1"/>
    <col min="7182" max="7183" width="11" style="2" customWidth="1"/>
    <col min="7184" max="7185" width="0" style="2" hidden="1" customWidth="1"/>
    <col min="7186" max="7186" width="11" style="2" customWidth="1"/>
    <col min="7187" max="7187" width="16.5546875" style="2" customWidth="1"/>
    <col min="7188" max="7191" width="11" style="2" customWidth="1"/>
    <col min="7192" max="7193" width="11.109375" style="2" customWidth="1"/>
    <col min="7194" max="7217" width="11" style="2" customWidth="1"/>
    <col min="7218" max="7423" width="9.109375" style="2"/>
    <col min="7424" max="7424" width="0" style="2" hidden="1" customWidth="1"/>
    <col min="7425" max="7425" width="9.109375" style="2"/>
    <col min="7426" max="7426" width="28.109375" style="2" customWidth="1"/>
    <col min="7427" max="7428" width="0" style="2" hidden="1" customWidth="1"/>
    <col min="7429" max="7435" width="11" style="2" customWidth="1"/>
    <col min="7436" max="7437" width="0" style="2" hidden="1" customWidth="1"/>
    <col min="7438" max="7439" width="11" style="2" customWidth="1"/>
    <col min="7440" max="7441" width="0" style="2" hidden="1" customWidth="1"/>
    <col min="7442" max="7442" width="11" style="2" customWidth="1"/>
    <col min="7443" max="7443" width="16.5546875" style="2" customWidth="1"/>
    <col min="7444" max="7447" width="11" style="2" customWidth="1"/>
    <col min="7448" max="7449" width="11.109375" style="2" customWidth="1"/>
    <col min="7450" max="7473" width="11" style="2" customWidth="1"/>
    <col min="7474" max="7679" width="9.109375" style="2"/>
    <col min="7680" max="7680" width="0" style="2" hidden="1" customWidth="1"/>
    <col min="7681" max="7681" width="9.109375" style="2"/>
    <col min="7682" max="7682" width="28.109375" style="2" customWidth="1"/>
    <col min="7683" max="7684" width="0" style="2" hidden="1" customWidth="1"/>
    <col min="7685" max="7691" width="11" style="2" customWidth="1"/>
    <col min="7692" max="7693" width="0" style="2" hidden="1" customWidth="1"/>
    <col min="7694" max="7695" width="11" style="2" customWidth="1"/>
    <col min="7696" max="7697" width="0" style="2" hidden="1" customWidth="1"/>
    <col min="7698" max="7698" width="11" style="2" customWidth="1"/>
    <col min="7699" max="7699" width="16.5546875" style="2" customWidth="1"/>
    <col min="7700" max="7703" width="11" style="2" customWidth="1"/>
    <col min="7704" max="7705" width="11.109375" style="2" customWidth="1"/>
    <col min="7706" max="7729" width="11" style="2" customWidth="1"/>
    <col min="7730" max="7935" width="9.109375" style="2"/>
    <col min="7936" max="7936" width="0" style="2" hidden="1" customWidth="1"/>
    <col min="7937" max="7937" width="9.109375" style="2"/>
    <col min="7938" max="7938" width="28.109375" style="2" customWidth="1"/>
    <col min="7939" max="7940" width="0" style="2" hidden="1" customWidth="1"/>
    <col min="7941" max="7947" width="11" style="2" customWidth="1"/>
    <col min="7948" max="7949" width="0" style="2" hidden="1" customWidth="1"/>
    <col min="7950" max="7951" width="11" style="2" customWidth="1"/>
    <col min="7952" max="7953" width="0" style="2" hidden="1" customWidth="1"/>
    <col min="7954" max="7954" width="11" style="2" customWidth="1"/>
    <col min="7955" max="7955" width="16.5546875" style="2" customWidth="1"/>
    <col min="7956" max="7959" width="11" style="2" customWidth="1"/>
    <col min="7960" max="7961" width="11.109375" style="2" customWidth="1"/>
    <col min="7962" max="7985" width="11" style="2" customWidth="1"/>
    <col min="7986" max="8191" width="9.109375" style="2"/>
    <col min="8192" max="8192" width="0" style="2" hidden="1" customWidth="1"/>
    <col min="8193" max="8193" width="9.109375" style="2"/>
    <col min="8194" max="8194" width="28.109375" style="2" customWidth="1"/>
    <col min="8195" max="8196" width="0" style="2" hidden="1" customWidth="1"/>
    <col min="8197" max="8203" width="11" style="2" customWidth="1"/>
    <col min="8204" max="8205" width="0" style="2" hidden="1" customWidth="1"/>
    <col min="8206" max="8207" width="11" style="2" customWidth="1"/>
    <col min="8208" max="8209" width="0" style="2" hidden="1" customWidth="1"/>
    <col min="8210" max="8210" width="11" style="2" customWidth="1"/>
    <col min="8211" max="8211" width="16.5546875" style="2" customWidth="1"/>
    <col min="8212" max="8215" width="11" style="2" customWidth="1"/>
    <col min="8216" max="8217" width="11.109375" style="2" customWidth="1"/>
    <col min="8218" max="8241" width="11" style="2" customWidth="1"/>
    <col min="8242" max="8447" width="9.109375" style="2"/>
    <col min="8448" max="8448" width="0" style="2" hidden="1" customWidth="1"/>
    <col min="8449" max="8449" width="9.109375" style="2"/>
    <col min="8450" max="8450" width="28.109375" style="2" customWidth="1"/>
    <col min="8451" max="8452" width="0" style="2" hidden="1" customWidth="1"/>
    <col min="8453" max="8459" width="11" style="2" customWidth="1"/>
    <col min="8460" max="8461" width="0" style="2" hidden="1" customWidth="1"/>
    <col min="8462" max="8463" width="11" style="2" customWidth="1"/>
    <col min="8464" max="8465" width="0" style="2" hidden="1" customWidth="1"/>
    <col min="8466" max="8466" width="11" style="2" customWidth="1"/>
    <col min="8467" max="8467" width="16.5546875" style="2" customWidth="1"/>
    <col min="8468" max="8471" width="11" style="2" customWidth="1"/>
    <col min="8472" max="8473" width="11.109375" style="2" customWidth="1"/>
    <col min="8474" max="8497" width="11" style="2" customWidth="1"/>
    <col min="8498" max="8703" width="9.109375" style="2"/>
    <col min="8704" max="8704" width="0" style="2" hidden="1" customWidth="1"/>
    <col min="8705" max="8705" width="9.109375" style="2"/>
    <col min="8706" max="8706" width="28.109375" style="2" customWidth="1"/>
    <col min="8707" max="8708" width="0" style="2" hidden="1" customWidth="1"/>
    <col min="8709" max="8715" width="11" style="2" customWidth="1"/>
    <col min="8716" max="8717" width="0" style="2" hidden="1" customWidth="1"/>
    <col min="8718" max="8719" width="11" style="2" customWidth="1"/>
    <col min="8720" max="8721" width="0" style="2" hidden="1" customWidth="1"/>
    <col min="8722" max="8722" width="11" style="2" customWidth="1"/>
    <col min="8723" max="8723" width="16.5546875" style="2" customWidth="1"/>
    <col min="8724" max="8727" width="11" style="2" customWidth="1"/>
    <col min="8728" max="8729" width="11.109375" style="2" customWidth="1"/>
    <col min="8730" max="8753" width="11" style="2" customWidth="1"/>
    <col min="8754" max="8959" width="9.109375" style="2"/>
    <col min="8960" max="8960" width="0" style="2" hidden="1" customWidth="1"/>
    <col min="8961" max="8961" width="9.109375" style="2"/>
    <col min="8962" max="8962" width="28.109375" style="2" customWidth="1"/>
    <col min="8963" max="8964" width="0" style="2" hidden="1" customWidth="1"/>
    <col min="8965" max="8971" width="11" style="2" customWidth="1"/>
    <col min="8972" max="8973" width="0" style="2" hidden="1" customWidth="1"/>
    <col min="8974" max="8975" width="11" style="2" customWidth="1"/>
    <col min="8976" max="8977" width="0" style="2" hidden="1" customWidth="1"/>
    <col min="8978" max="8978" width="11" style="2" customWidth="1"/>
    <col min="8979" max="8979" width="16.5546875" style="2" customWidth="1"/>
    <col min="8980" max="8983" width="11" style="2" customWidth="1"/>
    <col min="8984" max="8985" width="11.109375" style="2" customWidth="1"/>
    <col min="8986" max="9009" width="11" style="2" customWidth="1"/>
    <col min="9010" max="9215" width="9.109375" style="2"/>
    <col min="9216" max="9216" width="0" style="2" hidden="1" customWidth="1"/>
    <col min="9217" max="9217" width="9.109375" style="2"/>
    <col min="9218" max="9218" width="28.109375" style="2" customWidth="1"/>
    <col min="9219" max="9220" width="0" style="2" hidden="1" customWidth="1"/>
    <col min="9221" max="9227" width="11" style="2" customWidth="1"/>
    <col min="9228" max="9229" width="0" style="2" hidden="1" customWidth="1"/>
    <col min="9230" max="9231" width="11" style="2" customWidth="1"/>
    <col min="9232" max="9233" width="0" style="2" hidden="1" customWidth="1"/>
    <col min="9234" max="9234" width="11" style="2" customWidth="1"/>
    <col min="9235" max="9235" width="16.5546875" style="2" customWidth="1"/>
    <col min="9236" max="9239" width="11" style="2" customWidth="1"/>
    <col min="9240" max="9241" width="11.109375" style="2" customWidth="1"/>
    <col min="9242" max="9265" width="11" style="2" customWidth="1"/>
    <col min="9266" max="9471" width="9.109375" style="2"/>
    <col min="9472" max="9472" width="0" style="2" hidden="1" customWidth="1"/>
    <col min="9473" max="9473" width="9.109375" style="2"/>
    <col min="9474" max="9474" width="28.109375" style="2" customWidth="1"/>
    <col min="9475" max="9476" width="0" style="2" hidden="1" customWidth="1"/>
    <col min="9477" max="9483" width="11" style="2" customWidth="1"/>
    <col min="9484" max="9485" width="0" style="2" hidden="1" customWidth="1"/>
    <col min="9486" max="9487" width="11" style="2" customWidth="1"/>
    <col min="9488" max="9489" width="0" style="2" hidden="1" customWidth="1"/>
    <col min="9490" max="9490" width="11" style="2" customWidth="1"/>
    <col min="9491" max="9491" width="16.5546875" style="2" customWidth="1"/>
    <col min="9492" max="9495" width="11" style="2" customWidth="1"/>
    <col min="9496" max="9497" width="11.109375" style="2" customWidth="1"/>
    <col min="9498" max="9521" width="11" style="2" customWidth="1"/>
    <col min="9522" max="9727" width="9.109375" style="2"/>
    <col min="9728" max="9728" width="0" style="2" hidden="1" customWidth="1"/>
    <col min="9729" max="9729" width="9.109375" style="2"/>
    <col min="9730" max="9730" width="28.109375" style="2" customWidth="1"/>
    <col min="9731" max="9732" width="0" style="2" hidden="1" customWidth="1"/>
    <col min="9733" max="9739" width="11" style="2" customWidth="1"/>
    <col min="9740" max="9741" width="0" style="2" hidden="1" customWidth="1"/>
    <col min="9742" max="9743" width="11" style="2" customWidth="1"/>
    <col min="9744" max="9745" width="0" style="2" hidden="1" customWidth="1"/>
    <col min="9746" max="9746" width="11" style="2" customWidth="1"/>
    <col min="9747" max="9747" width="16.5546875" style="2" customWidth="1"/>
    <col min="9748" max="9751" width="11" style="2" customWidth="1"/>
    <col min="9752" max="9753" width="11.109375" style="2" customWidth="1"/>
    <col min="9754" max="9777" width="11" style="2" customWidth="1"/>
    <col min="9778" max="9983" width="9.109375" style="2"/>
    <col min="9984" max="9984" width="0" style="2" hidden="1" customWidth="1"/>
    <col min="9985" max="9985" width="9.109375" style="2"/>
    <col min="9986" max="9986" width="28.109375" style="2" customWidth="1"/>
    <col min="9987" max="9988" width="0" style="2" hidden="1" customWidth="1"/>
    <col min="9989" max="9995" width="11" style="2" customWidth="1"/>
    <col min="9996" max="9997" width="0" style="2" hidden="1" customWidth="1"/>
    <col min="9998" max="9999" width="11" style="2" customWidth="1"/>
    <col min="10000" max="10001" width="0" style="2" hidden="1" customWidth="1"/>
    <col min="10002" max="10002" width="11" style="2" customWidth="1"/>
    <col min="10003" max="10003" width="16.5546875" style="2" customWidth="1"/>
    <col min="10004" max="10007" width="11" style="2" customWidth="1"/>
    <col min="10008" max="10009" width="11.109375" style="2" customWidth="1"/>
    <col min="10010" max="10033" width="11" style="2" customWidth="1"/>
    <col min="10034" max="10239" width="9.109375" style="2"/>
    <col min="10240" max="10240" width="0" style="2" hidden="1" customWidth="1"/>
    <col min="10241" max="10241" width="9.109375" style="2"/>
    <col min="10242" max="10242" width="28.109375" style="2" customWidth="1"/>
    <col min="10243" max="10244" width="0" style="2" hidden="1" customWidth="1"/>
    <col min="10245" max="10251" width="11" style="2" customWidth="1"/>
    <col min="10252" max="10253" width="0" style="2" hidden="1" customWidth="1"/>
    <col min="10254" max="10255" width="11" style="2" customWidth="1"/>
    <col min="10256" max="10257" width="0" style="2" hidden="1" customWidth="1"/>
    <col min="10258" max="10258" width="11" style="2" customWidth="1"/>
    <col min="10259" max="10259" width="16.5546875" style="2" customWidth="1"/>
    <col min="10260" max="10263" width="11" style="2" customWidth="1"/>
    <col min="10264" max="10265" width="11.109375" style="2" customWidth="1"/>
    <col min="10266" max="10289" width="11" style="2" customWidth="1"/>
    <col min="10290" max="10495" width="9.109375" style="2"/>
    <col min="10496" max="10496" width="0" style="2" hidden="1" customWidth="1"/>
    <col min="10497" max="10497" width="9.109375" style="2"/>
    <col min="10498" max="10498" width="28.109375" style="2" customWidth="1"/>
    <col min="10499" max="10500" width="0" style="2" hidden="1" customWidth="1"/>
    <col min="10501" max="10507" width="11" style="2" customWidth="1"/>
    <col min="10508" max="10509" width="0" style="2" hidden="1" customWidth="1"/>
    <col min="10510" max="10511" width="11" style="2" customWidth="1"/>
    <col min="10512" max="10513" width="0" style="2" hidden="1" customWidth="1"/>
    <col min="10514" max="10514" width="11" style="2" customWidth="1"/>
    <col min="10515" max="10515" width="16.5546875" style="2" customWidth="1"/>
    <col min="10516" max="10519" width="11" style="2" customWidth="1"/>
    <col min="10520" max="10521" width="11.109375" style="2" customWidth="1"/>
    <col min="10522" max="10545" width="11" style="2" customWidth="1"/>
    <col min="10546" max="10751" width="9.109375" style="2"/>
    <col min="10752" max="10752" width="0" style="2" hidden="1" customWidth="1"/>
    <col min="10753" max="10753" width="9.109375" style="2"/>
    <col min="10754" max="10754" width="28.109375" style="2" customWidth="1"/>
    <col min="10755" max="10756" width="0" style="2" hidden="1" customWidth="1"/>
    <col min="10757" max="10763" width="11" style="2" customWidth="1"/>
    <col min="10764" max="10765" width="0" style="2" hidden="1" customWidth="1"/>
    <col min="10766" max="10767" width="11" style="2" customWidth="1"/>
    <col min="10768" max="10769" width="0" style="2" hidden="1" customWidth="1"/>
    <col min="10770" max="10770" width="11" style="2" customWidth="1"/>
    <col min="10771" max="10771" width="16.5546875" style="2" customWidth="1"/>
    <col min="10772" max="10775" width="11" style="2" customWidth="1"/>
    <col min="10776" max="10777" width="11.109375" style="2" customWidth="1"/>
    <col min="10778" max="10801" width="11" style="2" customWidth="1"/>
    <col min="10802" max="11007" width="9.109375" style="2"/>
    <col min="11008" max="11008" width="0" style="2" hidden="1" customWidth="1"/>
    <col min="11009" max="11009" width="9.109375" style="2"/>
    <col min="11010" max="11010" width="28.109375" style="2" customWidth="1"/>
    <col min="11011" max="11012" width="0" style="2" hidden="1" customWidth="1"/>
    <col min="11013" max="11019" width="11" style="2" customWidth="1"/>
    <col min="11020" max="11021" width="0" style="2" hidden="1" customWidth="1"/>
    <col min="11022" max="11023" width="11" style="2" customWidth="1"/>
    <col min="11024" max="11025" width="0" style="2" hidden="1" customWidth="1"/>
    <col min="11026" max="11026" width="11" style="2" customWidth="1"/>
    <col min="11027" max="11027" width="16.5546875" style="2" customWidth="1"/>
    <col min="11028" max="11031" width="11" style="2" customWidth="1"/>
    <col min="11032" max="11033" width="11.109375" style="2" customWidth="1"/>
    <col min="11034" max="11057" width="11" style="2" customWidth="1"/>
    <col min="11058" max="11263" width="9.109375" style="2"/>
    <col min="11264" max="11264" width="0" style="2" hidden="1" customWidth="1"/>
    <col min="11265" max="11265" width="9.109375" style="2"/>
    <col min="11266" max="11266" width="28.109375" style="2" customWidth="1"/>
    <col min="11267" max="11268" width="0" style="2" hidden="1" customWidth="1"/>
    <col min="11269" max="11275" width="11" style="2" customWidth="1"/>
    <col min="11276" max="11277" width="0" style="2" hidden="1" customWidth="1"/>
    <col min="11278" max="11279" width="11" style="2" customWidth="1"/>
    <col min="11280" max="11281" width="0" style="2" hidden="1" customWidth="1"/>
    <col min="11282" max="11282" width="11" style="2" customWidth="1"/>
    <col min="11283" max="11283" width="16.5546875" style="2" customWidth="1"/>
    <col min="11284" max="11287" width="11" style="2" customWidth="1"/>
    <col min="11288" max="11289" width="11.109375" style="2" customWidth="1"/>
    <col min="11290" max="11313" width="11" style="2" customWidth="1"/>
    <col min="11314" max="11519" width="9.109375" style="2"/>
    <col min="11520" max="11520" width="0" style="2" hidden="1" customWidth="1"/>
    <col min="11521" max="11521" width="9.109375" style="2"/>
    <col min="11522" max="11522" width="28.109375" style="2" customWidth="1"/>
    <col min="11523" max="11524" width="0" style="2" hidden="1" customWidth="1"/>
    <col min="11525" max="11531" width="11" style="2" customWidth="1"/>
    <col min="11532" max="11533" width="0" style="2" hidden="1" customWidth="1"/>
    <col min="11534" max="11535" width="11" style="2" customWidth="1"/>
    <col min="11536" max="11537" width="0" style="2" hidden="1" customWidth="1"/>
    <col min="11538" max="11538" width="11" style="2" customWidth="1"/>
    <col min="11539" max="11539" width="16.5546875" style="2" customWidth="1"/>
    <col min="11540" max="11543" width="11" style="2" customWidth="1"/>
    <col min="11544" max="11545" width="11.109375" style="2" customWidth="1"/>
    <col min="11546" max="11569" width="11" style="2" customWidth="1"/>
    <col min="11570" max="11775" width="9.109375" style="2"/>
    <col min="11776" max="11776" width="0" style="2" hidden="1" customWidth="1"/>
    <col min="11777" max="11777" width="9.109375" style="2"/>
    <col min="11778" max="11778" width="28.109375" style="2" customWidth="1"/>
    <col min="11779" max="11780" width="0" style="2" hidden="1" customWidth="1"/>
    <col min="11781" max="11787" width="11" style="2" customWidth="1"/>
    <col min="11788" max="11789" width="0" style="2" hidden="1" customWidth="1"/>
    <col min="11790" max="11791" width="11" style="2" customWidth="1"/>
    <col min="11792" max="11793" width="0" style="2" hidden="1" customWidth="1"/>
    <col min="11794" max="11794" width="11" style="2" customWidth="1"/>
    <col min="11795" max="11795" width="16.5546875" style="2" customWidth="1"/>
    <col min="11796" max="11799" width="11" style="2" customWidth="1"/>
    <col min="11800" max="11801" width="11.109375" style="2" customWidth="1"/>
    <col min="11802" max="11825" width="11" style="2" customWidth="1"/>
    <col min="11826" max="12031" width="9.109375" style="2"/>
    <col min="12032" max="12032" width="0" style="2" hidden="1" customWidth="1"/>
    <col min="12033" max="12033" width="9.109375" style="2"/>
    <col min="12034" max="12034" width="28.109375" style="2" customWidth="1"/>
    <col min="12035" max="12036" width="0" style="2" hidden="1" customWidth="1"/>
    <col min="12037" max="12043" width="11" style="2" customWidth="1"/>
    <col min="12044" max="12045" width="0" style="2" hidden="1" customWidth="1"/>
    <col min="12046" max="12047" width="11" style="2" customWidth="1"/>
    <col min="12048" max="12049" width="0" style="2" hidden="1" customWidth="1"/>
    <col min="12050" max="12050" width="11" style="2" customWidth="1"/>
    <col min="12051" max="12051" width="16.5546875" style="2" customWidth="1"/>
    <col min="12052" max="12055" width="11" style="2" customWidth="1"/>
    <col min="12056" max="12057" width="11.109375" style="2" customWidth="1"/>
    <col min="12058" max="12081" width="11" style="2" customWidth="1"/>
    <col min="12082" max="12287" width="9.109375" style="2"/>
    <col min="12288" max="12288" width="0" style="2" hidden="1" customWidth="1"/>
    <col min="12289" max="12289" width="9.109375" style="2"/>
    <col min="12290" max="12290" width="28.109375" style="2" customWidth="1"/>
    <col min="12291" max="12292" width="0" style="2" hidden="1" customWidth="1"/>
    <col min="12293" max="12299" width="11" style="2" customWidth="1"/>
    <col min="12300" max="12301" width="0" style="2" hidden="1" customWidth="1"/>
    <col min="12302" max="12303" width="11" style="2" customWidth="1"/>
    <col min="12304" max="12305" width="0" style="2" hidden="1" customWidth="1"/>
    <col min="12306" max="12306" width="11" style="2" customWidth="1"/>
    <col min="12307" max="12307" width="16.5546875" style="2" customWidth="1"/>
    <col min="12308" max="12311" width="11" style="2" customWidth="1"/>
    <col min="12312" max="12313" width="11.109375" style="2" customWidth="1"/>
    <col min="12314" max="12337" width="11" style="2" customWidth="1"/>
    <col min="12338" max="12543" width="9.109375" style="2"/>
    <col min="12544" max="12544" width="0" style="2" hidden="1" customWidth="1"/>
    <col min="12545" max="12545" width="9.109375" style="2"/>
    <col min="12546" max="12546" width="28.109375" style="2" customWidth="1"/>
    <col min="12547" max="12548" width="0" style="2" hidden="1" customWidth="1"/>
    <col min="12549" max="12555" width="11" style="2" customWidth="1"/>
    <col min="12556" max="12557" width="0" style="2" hidden="1" customWidth="1"/>
    <col min="12558" max="12559" width="11" style="2" customWidth="1"/>
    <col min="12560" max="12561" width="0" style="2" hidden="1" customWidth="1"/>
    <col min="12562" max="12562" width="11" style="2" customWidth="1"/>
    <col min="12563" max="12563" width="16.5546875" style="2" customWidth="1"/>
    <col min="12564" max="12567" width="11" style="2" customWidth="1"/>
    <col min="12568" max="12569" width="11.109375" style="2" customWidth="1"/>
    <col min="12570" max="12593" width="11" style="2" customWidth="1"/>
    <col min="12594" max="12799" width="9.109375" style="2"/>
    <col min="12800" max="12800" width="0" style="2" hidden="1" customWidth="1"/>
    <col min="12801" max="12801" width="9.109375" style="2"/>
    <col min="12802" max="12802" width="28.109375" style="2" customWidth="1"/>
    <col min="12803" max="12804" width="0" style="2" hidden="1" customWidth="1"/>
    <col min="12805" max="12811" width="11" style="2" customWidth="1"/>
    <col min="12812" max="12813" width="0" style="2" hidden="1" customWidth="1"/>
    <col min="12814" max="12815" width="11" style="2" customWidth="1"/>
    <col min="12816" max="12817" width="0" style="2" hidden="1" customWidth="1"/>
    <col min="12818" max="12818" width="11" style="2" customWidth="1"/>
    <col min="12819" max="12819" width="16.5546875" style="2" customWidth="1"/>
    <col min="12820" max="12823" width="11" style="2" customWidth="1"/>
    <col min="12824" max="12825" width="11.109375" style="2" customWidth="1"/>
    <col min="12826" max="12849" width="11" style="2" customWidth="1"/>
    <col min="12850" max="13055" width="9.109375" style="2"/>
    <col min="13056" max="13056" width="0" style="2" hidden="1" customWidth="1"/>
    <col min="13057" max="13057" width="9.109375" style="2"/>
    <col min="13058" max="13058" width="28.109375" style="2" customWidth="1"/>
    <col min="13059" max="13060" width="0" style="2" hidden="1" customWidth="1"/>
    <col min="13061" max="13067" width="11" style="2" customWidth="1"/>
    <col min="13068" max="13069" width="0" style="2" hidden="1" customWidth="1"/>
    <col min="13070" max="13071" width="11" style="2" customWidth="1"/>
    <col min="13072" max="13073" width="0" style="2" hidden="1" customWidth="1"/>
    <col min="13074" max="13074" width="11" style="2" customWidth="1"/>
    <col min="13075" max="13075" width="16.5546875" style="2" customWidth="1"/>
    <col min="13076" max="13079" width="11" style="2" customWidth="1"/>
    <col min="13080" max="13081" width="11.109375" style="2" customWidth="1"/>
    <col min="13082" max="13105" width="11" style="2" customWidth="1"/>
    <col min="13106" max="13311" width="9.109375" style="2"/>
    <col min="13312" max="13312" width="0" style="2" hidden="1" customWidth="1"/>
    <col min="13313" max="13313" width="9.109375" style="2"/>
    <col min="13314" max="13314" width="28.109375" style="2" customWidth="1"/>
    <col min="13315" max="13316" width="0" style="2" hidden="1" customWidth="1"/>
    <col min="13317" max="13323" width="11" style="2" customWidth="1"/>
    <col min="13324" max="13325" width="0" style="2" hidden="1" customWidth="1"/>
    <col min="13326" max="13327" width="11" style="2" customWidth="1"/>
    <col min="13328" max="13329" width="0" style="2" hidden="1" customWidth="1"/>
    <col min="13330" max="13330" width="11" style="2" customWidth="1"/>
    <col min="13331" max="13331" width="16.5546875" style="2" customWidth="1"/>
    <col min="13332" max="13335" width="11" style="2" customWidth="1"/>
    <col min="13336" max="13337" width="11.109375" style="2" customWidth="1"/>
    <col min="13338" max="13361" width="11" style="2" customWidth="1"/>
    <col min="13362" max="13567" width="9.109375" style="2"/>
    <col min="13568" max="13568" width="0" style="2" hidden="1" customWidth="1"/>
    <col min="13569" max="13569" width="9.109375" style="2"/>
    <col min="13570" max="13570" width="28.109375" style="2" customWidth="1"/>
    <col min="13571" max="13572" width="0" style="2" hidden="1" customWidth="1"/>
    <col min="13573" max="13579" width="11" style="2" customWidth="1"/>
    <col min="13580" max="13581" width="0" style="2" hidden="1" customWidth="1"/>
    <col min="13582" max="13583" width="11" style="2" customWidth="1"/>
    <col min="13584" max="13585" width="0" style="2" hidden="1" customWidth="1"/>
    <col min="13586" max="13586" width="11" style="2" customWidth="1"/>
    <col min="13587" max="13587" width="16.5546875" style="2" customWidth="1"/>
    <col min="13588" max="13591" width="11" style="2" customWidth="1"/>
    <col min="13592" max="13593" width="11.109375" style="2" customWidth="1"/>
    <col min="13594" max="13617" width="11" style="2" customWidth="1"/>
    <col min="13618" max="13823" width="9.109375" style="2"/>
    <col min="13824" max="13824" width="0" style="2" hidden="1" customWidth="1"/>
    <col min="13825" max="13825" width="9.109375" style="2"/>
    <col min="13826" max="13826" width="28.109375" style="2" customWidth="1"/>
    <col min="13827" max="13828" width="0" style="2" hidden="1" customWidth="1"/>
    <col min="13829" max="13835" width="11" style="2" customWidth="1"/>
    <col min="13836" max="13837" width="0" style="2" hidden="1" customWidth="1"/>
    <col min="13838" max="13839" width="11" style="2" customWidth="1"/>
    <col min="13840" max="13841" width="0" style="2" hidden="1" customWidth="1"/>
    <col min="13842" max="13842" width="11" style="2" customWidth="1"/>
    <col min="13843" max="13843" width="16.5546875" style="2" customWidth="1"/>
    <col min="13844" max="13847" width="11" style="2" customWidth="1"/>
    <col min="13848" max="13849" width="11.109375" style="2" customWidth="1"/>
    <col min="13850" max="13873" width="11" style="2" customWidth="1"/>
    <col min="13874" max="14079" width="9.109375" style="2"/>
    <col min="14080" max="14080" width="0" style="2" hidden="1" customWidth="1"/>
    <col min="14081" max="14081" width="9.109375" style="2"/>
    <col min="14082" max="14082" width="28.109375" style="2" customWidth="1"/>
    <col min="14083" max="14084" width="0" style="2" hidden="1" customWidth="1"/>
    <col min="14085" max="14091" width="11" style="2" customWidth="1"/>
    <col min="14092" max="14093" width="0" style="2" hidden="1" customWidth="1"/>
    <col min="14094" max="14095" width="11" style="2" customWidth="1"/>
    <col min="14096" max="14097" width="0" style="2" hidden="1" customWidth="1"/>
    <col min="14098" max="14098" width="11" style="2" customWidth="1"/>
    <col min="14099" max="14099" width="16.5546875" style="2" customWidth="1"/>
    <col min="14100" max="14103" width="11" style="2" customWidth="1"/>
    <col min="14104" max="14105" width="11.109375" style="2" customWidth="1"/>
    <col min="14106" max="14129" width="11" style="2" customWidth="1"/>
    <col min="14130" max="14335" width="9.109375" style="2"/>
    <col min="14336" max="14336" width="0" style="2" hidden="1" customWidth="1"/>
    <col min="14337" max="14337" width="9.109375" style="2"/>
    <col min="14338" max="14338" width="28.109375" style="2" customWidth="1"/>
    <col min="14339" max="14340" width="0" style="2" hidden="1" customWidth="1"/>
    <col min="14341" max="14347" width="11" style="2" customWidth="1"/>
    <col min="14348" max="14349" width="0" style="2" hidden="1" customWidth="1"/>
    <col min="14350" max="14351" width="11" style="2" customWidth="1"/>
    <col min="14352" max="14353" width="0" style="2" hidden="1" customWidth="1"/>
    <col min="14354" max="14354" width="11" style="2" customWidth="1"/>
    <col min="14355" max="14355" width="16.5546875" style="2" customWidth="1"/>
    <col min="14356" max="14359" width="11" style="2" customWidth="1"/>
    <col min="14360" max="14361" width="11.109375" style="2" customWidth="1"/>
    <col min="14362" max="14385" width="11" style="2" customWidth="1"/>
    <col min="14386" max="14591" width="9.109375" style="2"/>
    <col min="14592" max="14592" width="0" style="2" hidden="1" customWidth="1"/>
    <col min="14593" max="14593" width="9.109375" style="2"/>
    <col min="14594" max="14594" width="28.109375" style="2" customWidth="1"/>
    <col min="14595" max="14596" width="0" style="2" hidden="1" customWidth="1"/>
    <col min="14597" max="14603" width="11" style="2" customWidth="1"/>
    <col min="14604" max="14605" width="0" style="2" hidden="1" customWidth="1"/>
    <col min="14606" max="14607" width="11" style="2" customWidth="1"/>
    <col min="14608" max="14609" width="0" style="2" hidden="1" customWidth="1"/>
    <col min="14610" max="14610" width="11" style="2" customWidth="1"/>
    <col min="14611" max="14611" width="16.5546875" style="2" customWidth="1"/>
    <col min="14612" max="14615" width="11" style="2" customWidth="1"/>
    <col min="14616" max="14617" width="11.109375" style="2" customWidth="1"/>
    <col min="14618" max="14641" width="11" style="2" customWidth="1"/>
    <col min="14642" max="14847" width="9.109375" style="2"/>
    <col min="14848" max="14848" width="0" style="2" hidden="1" customWidth="1"/>
    <col min="14849" max="14849" width="9.109375" style="2"/>
    <col min="14850" max="14850" width="28.109375" style="2" customWidth="1"/>
    <col min="14851" max="14852" width="0" style="2" hidden="1" customWidth="1"/>
    <col min="14853" max="14859" width="11" style="2" customWidth="1"/>
    <col min="14860" max="14861" width="0" style="2" hidden="1" customWidth="1"/>
    <col min="14862" max="14863" width="11" style="2" customWidth="1"/>
    <col min="14864" max="14865" width="0" style="2" hidden="1" customWidth="1"/>
    <col min="14866" max="14866" width="11" style="2" customWidth="1"/>
    <col min="14867" max="14867" width="16.5546875" style="2" customWidth="1"/>
    <col min="14868" max="14871" width="11" style="2" customWidth="1"/>
    <col min="14872" max="14873" width="11.109375" style="2" customWidth="1"/>
    <col min="14874" max="14897" width="11" style="2" customWidth="1"/>
    <col min="14898" max="15103" width="9.109375" style="2"/>
    <col min="15104" max="15104" width="0" style="2" hidden="1" customWidth="1"/>
    <col min="15105" max="15105" width="9.109375" style="2"/>
    <col min="15106" max="15106" width="28.109375" style="2" customWidth="1"/>
    <col min="15107" max="15108" width="0" style="2" hidden="1" customWidth="1"/>
    <col min="15109" max="15115" width="11" style="2" customWidth="1"/>
    <col min="15116" max="15117" width="0" style="2" hidden="1" customWidth="1"/>
    <col min="15118" max="15119" width="11" style="2" customWidth="1"/>
    <col min="15120" max="15121" width="0" style="2" hidden="1" customWidth="1"/>
    <col min="15122" max="15122" width="11" style="2" customWidth="1"/>
    <col min="15123" max="15123" width="16.5546875" style="2" customWidth="1"/>
    <col min="15124" max="15127" width="11" style="2" customWidth="1"/>
    <col min="15128" max="15129" width="11.109375" style="2" customWidth="1"/>
    <col min="15130" max="15153" width="11" style="2" customWidth="1"/>
    <col min="15154" max="15359" width="9.109375" style="2"/>
    <col min="15360" max="15360" width="0" style="2" hidden="1" customWidth="1"/>
    <col min="15361" max="15361" width="9.109375" style="2"/>
    <col min="15362" max="15362" width="28.109375" style="2" customWidth="1"/>
    <col min="15363" max="15364" width="0" style="2" hidden="1" customWidth="1"/>
    <col min="15365" max="15371" width="11" style="2" customWidth="1"/>
    <col min="15372" max="15373" width="0" style="2" hidden="1" customWidth="1"/>
    <col min="15374" max="15375" width="11" style="2" customWidth="1"/>
    <col min="15376" max="15377" width="0" style="2" hidden="1" customWidth="1"/>
    <col min="15378" max="15378" width="11" style="2" customWidth="1"/>
    <col min="15379" max="15379" width="16.5546875" style="2" customWidth="1"/>
    <col min="15380" max="15383" width="11" style="2" customWidth="1"/>
    <col min="15384" max="15385" width="11.109375" style="2" customWidth="1"/>
    <col min="15386" max="15409" width="11" style="2" customWidth="1"/>
    <col min="15410" max="15615" width="9.109375" style="2"/>
    <col min="15616" max="15616" width="0" style="2" hidden="1" customWidth="1"/>
    <col min="15617" max="15617" width="9.109375" style="2"/>
    <col min="15618" max="15618" width="28.109375" style="2" customWidth="1"/>
    <col min="15619" max="15620" width="0" style="2" hidden="1" customWidth="1"/>
    <col min="15621" max="15627" width="11" style="2" customWidth="1"/>
    <col min="15628" max="15629" width="0" style="2" hidden="1" customWidth="1"/>
    <col min="15630" max="15631" width="11" style="2" customWidth="1"/>
    <col min="15632" max="15633" width="0" style="2" hidden="1" customWidth="1"/>
    <col min="15634" max="15634" width="11" style="2" customWidth="1"/>
    <col min="15635" max="15635" width="16.5546875" style="2" customWidth="1"/>
    <col min="15636" max="15639" width="11" style="2" customWidth="1"/>
    <col min="15640" max="15641" width="11.109375" style="2" customWidth="1"/>
    <col min="15642" max="15665" width="11" style="2" customWidth="1"/>
    <col min="15666" max="15871" width="9.109375" style="2"/>
    <col min="15872" max="15872" width="0" style="2" hidden="1" customWidth="1"/>
    <col min="15873" max="15873" width="9.109375" style="2"/>
    <col min="15874" max="15874" width="28.109375" style="2" customWidth="1"/>
    <col min="15875" max="15876" width="0" style="2" hidden="1" customWidth="1"/>
    <col min="15877" max="15883" width="11" style="2" customWidth="1"/>
    <col min="15884" max="15885" width="0" style="2" hidden="1" customWidth="1"/>
    <col min="15886" max="15887" width="11" style="2" customWidth="1"/>
    <col min="15888" max="15889" width="0" style="2" hidden="1" customWidth="1"/>
    <col min="15890" max="15890" width="11" style="2" customWidth="1"/>
    <col min="15891" max="15891" width="16.5546875" style="2" customWidth="1"/>
    <col min="15892" max="15895" width="11" style="2" customWidth="1"/>
    <col min="15896" max="15897" width="11.109375" style="2" customWidth="1"/>
    <col min="15898" max="15921" width="11" style="2" customWidth="1"/>
    <col min="15922" max="16127" width="9.109375" style="2"/>
    <col min="16128" max="16128" width="0" style="2" hidden="1" customWidth="1"/>
    <col min="16129" max="16129" width="9.109375" style="2"/>
    <col min="16130" max="16130" width="28.109375" style="2" customWidth="1"/>
    <col min="16131" max="16132" width="0" style="2" hidden="1" customWidth="1"/>
    <col min="16133" max="16139" width="11" style="2" customWidth="1"/>
    <col min="16140" max="16141" width="0" style="2" hidden="1" customWidth="1"/>
    <col min="16142" max="16143" width="11" style="2" customWidth="1"/>
    <col min="16144" max="16145" width="0" style="2" hidden="1" customWidth="1"/>
    <col min="16146" max="16146" width="11" style="2" customWidth="1"/>
    <col min="16147" max="16147" width="16.5546875" style="2" customWidth="1"/>
    <col min="16148" max="16151" width="11" style="2" customWidth="1"/>
    <col min="16152" max="16153" width="11.109375" style="2" customWidth="1"/>
    <col min="16154" max="16177" width="11" style="2" customWidth="1"/>
    <col min="16178" max="16384" width="9.109375" style="2"/>
  </cols>
  <sheetData>
    <row r="1" spans="1:69" s="1" customFormat="1" ht="48" customHeight="1">
      <c r="A1" s="108" t="s">
        <v>142</v>
      </c>
      <c r="B1" s="100"/>
      <c r="C1" s="100"/>
      <c r="D1" s="10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 s="100"/>
      <c r="BH1" s="100"/>
      <c r="BI1" s="100"/>
      <c r="BJ1" s="100"/>
      <c r="BK1" s="100"/>
      <c r="BL1" s="100"/>
      <c r="BM1" s="100"/>
    </row>
    <row r="2" spans="1:69" ht="57.6">
      <c r="A2" s="101" t="s">
        <v>2</v>
      </c>
      <c r="B2" s="101" t="s">
        <v>3</v>
      </c>
      <c r="C2" s="101" t="s">
        <v>4</v>
      </c>
      <c r="D2" s="101" t="s">
        <v>5</v>
      </c>
      <c r="E2" s="101" t="s">
        <v>576</v>
      </c>
      <c r="F2" s="101" t="s">
        <v>577</v>
      </c>
      <c r="G2" s="101" t="s">
        <v>578</v>
      </c>
      <c r="H2" s="101" t="s">
        <v>579</v>
      </c>
      <c r="I2" s="101" t="s">
        <v>580</v>
      </c>
      <c r="J2" s="101" t="s">
        <v>581</v>
      </c>
      <c r="K2" s="101" t="s">
        <v>582</v>
      </c>
      <c r="L2" s="101" t="s">
        <v>583</v>
      </c>
      <c r="M2" s="101" t="s">
        <v>584</v>
      </c>
      <c r="N2" s="101" t="s">
        <v>585</v>
      </c>
      <c r="O2" s="101" t="s">
        <v>586</v>
      </c>
      <c r="P2" s="101" t="s">
        <v>587</v>
      </c>
      <c r="Q2" s="101" t="s">
        <v>588</v>
      </c>
      <c r="R2" s="101" t="s">
        <v>589</v>
      </c>
      <c r="S2" s="101" t="s">
        <v>590</v>
      </c>
      <c r="T2" s="101" t="s">
        <v>591</v>
      </c>
      <c r="U2" s="101" t="s">
        <v>592</v>
      </c>
      <c r="V2" s="101" t="s">
        <v>593</v>
      </c>
      <c r="W2" s="101" t="s">
        <v>594</v>
      </c>
      <c r="X2" s="101" t="s">
        <v>595</v>
      </c>
      <c r="Y2" s="101" t="s">
        <v>596</v>
      </c>
      <c r="Z2" s="101" t="s">
        <v>597</v>
      </c>
      <c r="AA2" s="101" t="s">
        <v>598</v>
      </c>
      <c r="AB2" s="101" t="s">
        <v>599</v>
      </c>
      <c r="AC2" s="101" t="s">
        <v>600</v>
      </c>
      <c r="AD2" s="101" t="s">
        <v>601</v>
      </c>
      <c r="AE2" s="101" t="s">
        <v>602</v>
      </c>
      <c r="AF2" s="101" t="s">
        <v>603</v>
      </c>
      <c r="AG2" s="101" t="s">
        <v>604</v>
      </c>
      <c r="AH2" s="101" t="s">
        <v>605</v>
      </c>
      <c r="AI2" s="101" t="s">
        <v>606</v>
      </c>
      <c r="AJ2" s="101" t="s">
        <v>6</v>
      </c>
      <c r="AK2" s="101" t="s">
        <v>607</v>
      </c>
      <c r="AL2" s="101" t="s">
        <v>608</v>
      </c>
      <c r="AM2" s="101" t="s">
        <v>609</v>
      </c>
      <c r="AN2" s="101" t="s">
        <v>610</v>
      </c>
      <c r="AO2" s="101" t="s">
        <v>611</v>
      </c>
      <c r="AP2" s="101" t="s">
        <v>612</v>
      </c>
      <c r="AQ2" s="101" t="s">
        <v>613</v>
      </c>
      <c r="AR2" s="101" t="s">
        <v>614</v>
      </c>
      <c r="AS2" s="101" t="s">
        <v>615</v>
      </c>
      <c r="AT2" s="101" t="s">
        <v>616</v>
      </c>
      <c r="AU2" s="101" t="s">
        <v>617</v>
      </c>
      <c r="AV2" s="101" t="s">
        <v>618</v>
      </c>
      <c r="AW2" s="101" t="s">
        <v>619</v>
      </c>
      <c r="AX2" s="101" t="s">
        <v>620</v>
      </c>
      <c r="AY2" s="101" t="s">
        <v>621</v>
      </c>
      <c r="AZ2" s="101" t="s">
        <v>622</v>
      </c>
      <c r="BA2" s="101" t="s">
        <v>623</v>
      </c>
      <c r="BB2" s="101" t="s">
        <v>624</v>
      </c>
      <c r="BC2" s="101" t="s">
        <v>625</v>
      </c>
      <c r="BD2" s="101" t="s">
        <v>626</v>
      </c>
      <c r="BE2" s="101" t="s">
        <v>627</v>
      </c>
      <c r="BF2" s="101" t="s">
        <v>628</v>
      </c>
      <c r="BG2" s="101" t="s">
        <v>241</v>
      </c>
      <c r="BH2" s="101"/>
      <c r="BI2" s="101"/>
      <c r="BJ2" s="101"/>
      <c r="BK2" s="101"/>
      <c r="BL2" s="101"/>
      <c r="BM2" s="101"/>
      <c r="BN2" s="101"/>
    </row>
    <row r="3" spans="1:69">
      <c r="A3" s="100">
        <v>10005</v>
      </c>
      <c r="B3" s="100" t="s">
        <v>7</v>
      </c>
      <c r="C3" s="100">
        <v>1</v>
      </c>
      <c r="D3" s="100">
        <v>0</v>
      </c>
      <c r="E3" s="103">
        <v>0.55600000000000005</v>
      </c>
      <c r="F3" s="103">
        <v>0.65200000000000002</v>
      </c>
      <c r="G3" s="103">
        <v>0.65200000000000002</v>
      </c>
      <c r="H3" s="103">
        <v>0</v>
      </c>
      <c r="I3" s="103">
        <v>0</v>
      </c>
      <c r="J3" s="103">
        <v>0</v>
      </c>
      <c r="K3" s="103">
        <v>0</v>
      </c>
      <c r="L3" s="102">
        <v>0</v>
      </c>
      <c r="M3" s="102">
        <v>0</v>
      </c>
      <c r="N3" s="103">
        <v>0.623</v>
      </c>
      <c r="O3" s="103">
        <v>0.63100000000000001</v>
      </c>
      <c r="P3" s="102">
        <v>5457.48</v>
      </c>
      <c r="Q3" s="102">
        <v>5527.56</v>
      </c>
      <c r="R3" s="100">
        <v>0.52300000000000002</v>
      </c>
      <c r="S3" s="102">
        <v>4581.4800000000005</v>
      </c>
      <c r="T3" s="102">
        <v>4581.4800000000005</v>
      </c>
      <c r="U3" s="103">
        <v>0.1</v>
      </c>
      <c r="V3" s="103">
        <v>0.108</v>
      </c>
      <c r="W3" s="103">
        <v>0</v>
      </c>
      <c r="X3" s="103">
        <v>0</v>
      </c>
      <c r="Y3" s="103">
        <v>0.1</v>
      </c>
      <c r="Z3" s="103">
        <v>0.108</v>
      </c>
      <c r="AA3" s="100">
        <v>0</v>
      </c>
      <c r="AB3" s="100">
        <v>0</v>
      </c>
      <c r="AC3" s="103">
        <v>0</v>
      </c>
      <c r="AD3" s="103">
        <v>0</v>
      </c>
      <c r="AE3" s="104">
        <v>7.7600000000000002E-5</v>
      </c>
      <c r="AF3" s="104">
        <v>7.7600000000000002E-5</v>
      </c>
      <c r="AG3" s="104">
        <v>0</v>
      </c>
      <c r="AH3" s="104">
        <v>7.7600000000000002E-5</v>
      </c>
      <c r="AI3" s="104">
        <v>7.7600000000000002E-5</v>
      </c>
      <c r="AJ3" s="104">
        <v>7.7600000000000002E-5</v>
      </c>
      <c r="AK3" s="104">
        <v>0.83907136179775299</v>
      </c>
      <c r="AL3" s="104">
        <v>0.82843337305863718</v>
      </c>
      <c r="AM3" s="104">
        <v>1.1912045889101337</v>
      </c>
      <c r="AN3" s="104">
        <v>1.2065009560229445</v>
      </c>
      <c r="AO3" s="104">
        <v>2.9780114722753343E-2</v>
      </c>
      <c r="AP3" s="104">
        <v>3.0162523900573612E-2</v>
      </c>
      <c r="AQ3" s="100">
        <v>1</v>
      </c>
      <c r="AR3" s="100">
        <v>1</v>
      </c>
      <c r="AS3" s="103">
        <v>0</v>
      </c>
      <c r="AT3" s="103">
        <v>0</v>
      </c>
      <c r="AU3" s="103">
        <v>0</v>
      </c>
      <c r="AV3" s="103">
        <v>0</v>
      </c>
      <c r="AW3" s="103">
        <v>0</v>
      </c>
      <c r="AX3" s="103">
        <v>0</v>
      </c>
      <c r="AY3" s="103">
        <v>0</v>
      </c>
      <c r="AZ3" s="103">
        <v>0</v>
      </c>
      <c r="BA3" s="103">
        <v>0</v>
      </c>
      <c r="BB3" s="103">
        <v>0</v>
      </c>
      <c r="BC3" s="103">
        <v>0</v>
      </c>
      <c r="BD3" s="103">
        <v>0</v>
      </c>
      <c r="BE3" s="103">
        <v>0.623</v>
      </c>
      <c r="BF3" s="103">
        <v>0.63100000000000001</v>
      </c>
      <c r="BG3" s="100">
        <v>0</v>
      </c>
      <c r="BH3"/>
      <c r="BI3"/>
      <c r="BJ3"/>
      <c r="BK3"/>
      <c r="BL3"/>
      <c r="BM3"/>
      <c r="BN3"/>
      <c r="BO3"/>
      <c r="BP3"/>
      <c r="BQ3"/>
    </row>
    <row r="4" spans="1:69">
      <c r="A4" s="100">
        <v>10015</v>
      </c>
      <c r="B4" s="100" t="s">
        <v>8</v>
      </c>
      <c r="C4" s="100">
        <v>1</v>
      </c>
      <c r="D4" s="100">
        <v>0</v>
      </c>
      <c r="E4" s="103">
        <v>0.58199999999999996</v>
      </c>
      <c r="F4" s="103">
        <v>0.58299999999999996</v>
      </c>
      <c r="G4" s="103">
        <v>0.58299999999999996</v>
      </c>
      <c r="H4" s="103">
        <v>0</v>
      </c>
      <c r="I4" s="103">
        <v>0</v>
      </c>
      <c r="J4" s="103">
        <v>0</v>
      </c>
      <c r="K4" s="103">
        <v>0</v>
      </c>
      <c r="L4" s="102">
        <v>0</v>
      </c>
      <c r="M4" s="102">
        <v>0</v>
      </c>
      <c r="N4" s="103">
        <v>0.63</v>
      </c>
      <c r="O4" s="103">
        <v>0.63400000000000001</v>
      </c>
      <c r="P4" s="102">
        <v>5518.8</v>
      </c>
      <c r="Q4" s="102">
        <v>5553.84</v>
      </c>
      <c r="R4" s="100">
        <v>0.54700000000000004</v>
      </c>
      <c r="S4" s="102">
        <v>4791.72</v>
      </c>
      <c r="T4" s="102">
        <v>4791.72</v>
      </c>
      <c r="U4" s="103">
        <v>8.3000000000000004E-2</v>
      </c>
      <c r="V4" s="103">
        <v>8.6999999999999994E-2</v>
      </c>
      <c r="W4" s="103">
        <v>0</v>
      </c>
      <c r="X4" s="103">
        <v>0</v>
      </c>
      <c r="Y4" s="103">
        <v>8.3000000000000004E-2</v>
      </c>
      <c r="Z4" s="103">
        <v>8.6999999999999994E-2</v>
      </c>
      <c r="AA4" s="100">
        <v>0</v>
      </c>
      <c r="AB4" s="100">
        <v>0</v>
      </c>
      <c r="AC4" s="103">
        <v>0</v>
      </c>
      <c r="AD4" s="103">
        <v>0</v>
      </c>
      <c r="AE4" s="104">
        <v>8.1199999999999995E-5</v>
      </c>
      <c r="AF4" s="104">
        <v>8.1199999999999995E-5</v>
      </c>
      <c r="AG4" s="104">
        <v>0</v>
      </c>
      <c r="AH4" s="104">
        <v>8.1199999999999995E-5</v>
      </c>
      <c r="AI4" s="104">
        <v>8.1199999999999995E-5</v>
      </c>
      <c r="AJ4" s="104">
        <v>8.1199999999999995E-5</v>
      </c>
      <c r="AK4" s="104">
        <v>0.86824182666666661</v>
      </c>
      <c r="AL4" s="104">
        <v>0.8627639602523659</v>
      </c>
      <c r="AM4" s="104">
        <v>1.1517367458866543</v>
      </c>
      <c r="AN4" s="104">
        <v>1.1590493601462522</v>
      </c>
      <c r="AO4" s="104">
        <v>0</v>
      </c>
      <c r="AP4" s="104">
        <v>0</v>
      </c>
      <c r="AQ4" s="100">
        <v>1</v>
      </c>
      <c r="AR4" s="100">
        <v>1</v>
      </c>
      <c r="AS4" s="103">
        <v>0</v>
      </c>
      <c r="AT4" s="103">
        <v>0</v>
      </c>
      <c r="AU4" s="103">
        <v>0</v>
      </c>
      <c r="AV4" s="103">
        <v>0</v>
      </c>
      <c r="AW4" s="103">
        <v>0</v>
      </c>
      <c r="AX4" s="103">
        <v>0</v>
      </c>
      <c r="AY4" s="103">
        <v>0</v>
      </c>
      <c r="AZ4" s="103">
        <v>0</v>
      </c>
      <c r="BA4" s="103">
        <v>0</v>
      </c>
      <c r="BB4" s="103">
        <v>0</v>
      </c>
      <c r="BC4" s="103">
        <v>0</v>
      </c>
      <c r="BD4" s="103">
        <v>0</v>
      </c>
      <c r="BE4" s="103">
        <v>0.63</v>
      </c>
      <c r="BF4" s="103">
        <v>0.63400000000000001</v>
      </c>
      <c r="BG4" s="100">
        <v>0</v>
      </c>
      <c r="BH4"/>
      <c r="BI4"/>
      <c r="BJ4"/>
      <c r="BK4"/>
      <c r="BL4"/>
      <c r="BM4"/>
      <c r="BN4"/>
      <c r="BO4"/>
      <c r="BP4"/>
      <c r="BQ4"/>
    </row>
    <row r="5" spans="1:69">
      <c r="A5" s="100">
        <v>10024</v>
      </c>
      <c r="B5" s="100" t="s">
        <v>9</v>
      </c>
      <c r="C5" s="100">
        <v>1</v>
      </c>
      <c r="D5" s="100">
        <v>0</v>
      </c>
      <c r="E5" s="103">
        <v>204.28200000000001</v>
      </c>
      <c r="F5" s="103">
        <v>209.96700000000001</v>
      </c>
      <c r="G5" s="103">
        <v>209.982</v>
      </c>
      <c r="H5" s="103">
        <v>0</v>
      </c>
      <c r="I5" s="103">
        <v>0</v>
      </c>
      <c r="J5" s="103">
        <v>0.91900000000000004</v>
      </c>
      <c r="K5" s="103">
        <v>0.91900000000000004</v>
      </c>
      <c r="L5" s="102">
        <v>8050.4400000000005</v>
      </c>
      <c r="M5" s="102">
        <v>8050.4400000000005</v>
      </c>
      <c r="N5" s="103">
        <v>209.048</v>
      </c>
      <c r="O5" s="103">
        <v>209.06299999999999</v>
      </c>
      <c r="P5" s="102">
        <v>1831260.48</v>
      </c>
      <c r="Q5" s="102">
        <v>1831391.88</v>
      </c>
      <c r="R5" s="100">
        <v>192.001</v>
      </c>
      <c r="S5" s="102">
        <v>1681928.76</v>
      </c>
      <c r="T5" s="102">
        <v>1681928.76</v>
      </c>
      <c r="U5" s="103">
        <v>17.047000000000001</v>
      </c>
      <c r="V5" s="103">
        <v>17.062000000000001</v>
      </c>
      <c r="W5" s="103">
        <v>17.047000000000001</v>
      </c>
      <c r="X5" s="103">
        <v>17.062000000000001</v>
      </c>
      <c r="Y5" s="103">
        <v>0</v>
      </c>
      <c r="Z5" s="103">
        <v>0</v>
      </c>
      <c r="AA5" s="100">
        <v>0</v>
      </c>
      <c r="AB5" s="100">
        <v>0</v>
      </c>
      <c r="AC5" s="103">
        <v>17.047000000000001</v>
      </c>
      <c r="AD5" s="103">
        <v>17.062000000000001</v>
      </c>
      <c r="AE5" s="104">
        <v>2.8502199999999998E-2</v>
      </c>
      <c r="AF5" s="104">
        <v>2.8502199999999998E-2</v>
      </c>
      <c r="AG5" s="104">
        <v>1.3679200000000001E-2</v>
      </c>
      <c r="AH5" s="104">
        <v>1.4822999999999998E-2</v>
      </c>
      <c r="AI5" s="104">
        <v>1.4822999999999998E-2</v>
      </c>
      <c r="AJ5" s="104">
        <v>1.4822999999999998E-2</v>
      </c>
      <c r="AK5" s="104">
        <v>0.91719110793743786</v>
      </c>
      <c r="AL5" s="104">
        <v>0.91712558867093386</v>
      </c>
      <c r="AM5" s="104">
        <v>1.0887859959062713</v>
      </c>
      <c r="AN5" s="104">
        <v>1.0888641204993723</v>
      </c>
      <c r="AO5" s="104">
        <v>0</v>
      </c>
      <c r="AP5" s="104">
        <v>0</v>
      </c>
      <c r="AQ5" s="100">
        <v>4</v>
      </c>
      <c r="AR5" s="100">
        <v>4</v>
      </c>
      <c r="AS5" s="103">
        <v>0</v>
      </c>
      <c r="AT5" s="103">
        <v>0</v>
      </c>
      <c r="AU5" s="103">
        <v>0</v>
      </c>
      <c r="AV5" s="103">
        <v>0</v>
      </c>
      <c r="AW5" s="103">
        <v>0</v>
      </c>
      <c r="AX5" s="103">
        <v>0</v>
      </c>
      <c r="AY5" s="103">
        <v>0</v>
      </c>
      <c r="AZ5" s="103">
        <v>0</v>
      </c>
      <c r="BA5" s="103">
        <v>0</v>
      </c>
      <c r="BB5" s="103">
        <v>0</v>
      </c>
      <c r="BC5" s="103">
        <v>0</v>
      </c>
      <c r="BD5" s="103">
        <v>0</v>
      </c>
      <c r="BE5" s="103">
        <v>192.001</v>
      </c>
      <c r="BF5" s="103">
        <v>192.001</v>
      </c>
      <c r="BG5" s="100">
        <v>0</v>
      </c>
      <c r="BH5"/>
      <c r="BI5"/>
      <c r="BJ5"/>
      <c r="BK5"/>
      <c r="BL5"/>
      <c r="BM5"/>
      <c r="BN5"/>
      <c r="BO5"/>
      <c r="BP5"/>
      <c r="BQ5"/>
    </row>
    <row r="6" spans="1:69">
      <c r="A6" s="100">
        <v>10025</v>
      </c>
      <c r="B6" s="100" t="s">
        <v>10</v>
      </c>
      <c r="C6" s="100">
        <v>1</v>
      </c>
      <c r="D6" s="100">
        <v>0</v>
      </c>
      <c r="E6" s="103">
        <v>60.548999999999999</v>
      </c>
      <c r="F6" s="103">
        <v>67.016000000000005</v>
      </c>
      <c r="G6" s="103">
        <v>67.885000000000005</v>
      </c>
      <c r="H6" s="103">
        <v>0</v>
      </c>
      <c r="I6" s="103">
        <v>0</v>
      </c>
      <c r="J6" s="103">
        <v>0</v>
      </c>
      <c r="K6" s="103">
        <v>0</v>
      </c>
      <c r="L6" s="102">
        <v>0</v>
      </c>
      <c r="M6" s="102">
        <v>0</v>
      </c>
      <c r="N6" s="103">
        <v>66.665999999999997</v>
      </c>
      <c r="O6" s="103">
        <v>67.355000000000004</v>
      </c>
      <c r="P6" s="102">
        <v>583994.15999999992</v>
      </c>
      <c r="Q6" s="102">
        <v>590029.80000000005</v>
      </c>
      <c r="R6" s="100">
        <v>56.908999999999999</v>
      </c>
      <c r="S6" s="102">
        <v>498522.83999999997</v>
      </c>
      <c r="T6" s="102">
        <v>498522.83999999997</v>
      </c>
      <c r="U6" s="103">
        <v>9.7569999999999997</v>
      </c>
      <c r="V6" s="103">
        <v>10.446</v>
      </c>
      <c r="W6" s="103">
        <v>9.7569999999999997</v>
      </c>
      <c r="X6" s="103">
        <v>10.446</v>
      </c>
      <c r="Y6" s="103">
        <v>0</v>
      </c>
      <c r="Z6" s="103">
        <v>0</v>
      </c>
      <c r="AA6" s="100">
        <v>0</v>
      </c>
      <c r="AB6" s="100">
        <v>0</v>
      </c>
      <c r="AC6" s="103">
        <v>9.7569999999999997</v>
      </c>
      <c r="AD6" s="103">
        <v>10.446</v>
      </c>
      <c r="AE6" s="104">
        <v>8.4480000000000006E-3</v>
      </c>
      <c r="AF6" s="104">
        <v>8.4480000000000006E-3</v>
      </c>
      <c r="AG6" s="104">
        <v>0</v>
      </c>
      <c r="AH6" s="104">
        <v>8.4480000000000006E-3</v>
      </c>
      <c r="AI6" s="104">
        <v>8.4480000000000006E-3</v>
      </c>
      <c r="AJ6" s="104">
        <v>8.4480000000000006E-3</v>
      </c>
      <c r="AK6" s="104">
        <v>0.85363994887948891</v>
      </c>
      <c r="AL6" s="104">
        <v>0.84490774006384084</v>
      </c>
      <c r="AM6" s="104">
        <v>1.1714491556695776</v>
      </c>
      <c r="AN6" s="104">
        <v>1.1835562037639038</v>
      </c>
      <c r="AO6" s="104">
        <v>7.0286949340174668E-2</v>
      </c>
      <c r="AP6" s="104">
        <v>7.1013372225834231E-2</v>
      </c>
      <c r="AQ6" s="100">
        <v>1</v>
      </c>
      <c r="AR6" s="100">
        <v>1</v>
      </c>
      <c r="AS6" s="103">
        <v>0</v>
      </c>
      <c r="AT6" s="103">
        <v>0</v>
      </c>
      <c r="AU6" s="103">
        <v>9.7569999999999997</v>
      </c>
      <c r="AV6" s="103">
        <v>10.446</v>
      </c>
      <c r="AW6" s="103">
        <v>0</v>
      </c>
      <c r="AX6" s="103">
        <v>0</v>
      </c>
      <c r="AY6" s="103">
        <v>0</v>
      </c>
      <c r="AZ6" s="103">
        <v>0</v>
      </c>
      <c r="BA6" s="103">
        <v>0</v>
      </c>
      <c r="BB6" s="103">
        <v>0</v>
      </c>
      <c r="BC6" s="103">
        <v>0</v>
      </c>
      <c r="BD6" s="103">
        <v>0</v>
      </c>
      <c r="BE6" s="103">
        <v>66.665999999999997</v>
      </c>
      <c r="BF6" s="103">
        <v>67.355000000000004</v>
      </c>
      <c r="BG6" s="100">
        <v>0</v>
      </c>
      <c r="BH6"/>
      <c r="BI6"/>
      <c r="BJ6"/>
      <c r="BK6"/>
      <c r="BL6"/>
      <c r="BM6"/>
      <c r="BN6"/>
      <c r="BO6"/>
      <c r="BP6"/>
      <c r="BQ6"/>
    </row>
    <row r="7" spans="1:69">
      <c r="A7" s="107">
        <v>10027</v>
      </c>
      <c r="B7" s="107" t="s">
        <v>11</v>
      </c>
      <c r="C7" s="107">
        <v>1</v>
      </c>
      <c r="D7" s="107">
        <v>0</v>
      </c>
      <c r="E7" s="103">
        <v>62.106999999999999</v>
      </c>
      <c r="F7" s="111">
        <v>66.27</v>
      </c>
      <c r="G7" s="111">
        <v>66.585999999999999</v>
      </c>
      <c r="H7" s="111">
        <v>0</v>
      </c>
      <c r="I7" s="111">
        <v>0</v>
      </c>
      <c r="J7" s="111">
        <v>0</v>
      </c>
      <c r="K7" s="111">
        <v>0</v>
      </c>
      <c r="L7" s="109">
        <v>0</v>
      </c>
      <c r="M7" s="109">
        <v>0</v>
      </c>
      <c r="N7" s="111">
        <v>66.27</v>
      </c>
      <c r="O7" s="111">
        <v>66.585999999999999</v>
      </c>
      <c r="P7" s="109">
        <v>580525.19999999995</v>
      </c>
      <c r="Q7" s="109">
        <v>583293.36</v>
      </c>
      <c r="R7" s="107">
        <v>58.372999999999998</v>
      </c>
      <c r="S7" s="109">
        <v>511347.48</v>
      </c>
      <c r="T7" s="109">
        <v>511347.48</v>
      </c>
      <c r="U7" s="111">
        <v>7.8970000000000002</v>
      </c>
      <c r="V7" s="111">
        <v>8.2129999999999992</v>
      </c>
      <c r="W7" s="103">
        <v>7.8970000000000002</v>
      </c>
      <c r="X7" s="103">
        <v>8.2129999999999992</v>
      </c>
      <c r="Y7" s="111">
        <v>0</v>
      </c>
      <c r="Z7" s="111">
        <v>0</v>
      </c>
      <c r="AA7" s="107">
        <v>0</v>
      </c>
      <c r="AB7" s="107">
        <v>0</v>
      </c>
      <c r="AC7" s="111">
        <v>7.8970000000000002</v>
      </c>
      <c r="AD7" s="111">
        <v>8.2129999999999992</v>
      </c>
      <c r="AE7" s="112">
        <v>8.6654000000000002E-3</v>
      </c>
      <c r="AF7" s="112">
        <v>8.6654000000000002E-3</v>
      </c>
      <c r="AG7" s="104">
        <v>0</v>
      </c>
      <c r="AH7" s="112">
        <v>8.6654000000000002E-3</v>
      </c>
      <c r="AI7" s="112">
        <v>8.6654000000000002E-3</v>
      </c>
      <c r="AJ7" s="112">
        <v>8.6654000000000002E-3</v>
      </c>
      <c r="AK7" s="112">
        <v>0.88083967524671802</v>
      </c>
      <c r="AL7" s="112">
        <v>0.87665943709788852</v>
      </c>
      <c r="AM7" s="112">
        <v>1.1352851489558529</v>
      </c>
      <c r="AN7" s="112">
        <v>1.1406986106590375</v>
      </c>
      <c r="AO7" s="112">
        <v>7.9469960426909708E-2</v>
      </c>
      <c r="AP7" s="112">
        <v>7.9848902746132641E-2</v>
      </c>
      <c r="AQ7" s="107">
        <v>3</v>
      </c>
      <c r="AR7" s="107">
        <v>3</v>
      </c>
      <c r="AS7" s="111">
        <v>25</v>
      </c>
      <c r="AT7" s="111">
        <v>26</v>
      </c>
      <c r="AU7" s="103">
        <v>0.89700000000000002</v>
      </c>
      <c r="AV7" s="103">
        <v>0.21299999999999999</v>
      </c>
      <c r="AW7" s="103">
        <v>0</v>
      </c>
      <c r="AX7" s="103">
        <v>0</v>
      </c>
      <c r="AY7" s="103">
        <v>0</v>
      </c>
      <c r="AZ7" s="103">
        <v>0</v>
      </c>
      <c r="BA7" s="103">
        <v>0</v>
      </c>
      <c r="BB7" s="103">
        <v>0</v>
      </c>
      <c r="BC7" s="103">
        <v>0</v>
      </c>
      <c r="BD7" s="103">
        <v>0</v>
      </c>
      <c r="BE7" s="111">
        <v>59.27</v>
      </c>
      <c r="BF7" s="111">
        <v>58.585999999999999</v>
      </c>
      <c r="BG7" s="100">
        <v>1</v>
      </c>
      <c r="BH7"/>
      <c r="BI7"/>
      <c r="BJ7"/>
      <c r="BK7"/>
      <c r="BL7"/>
      <c r="BM7"/>
      <c r="BN7"/>
      <c r="BO7"/>
      <c r="BP7"/>
      <c r="BQ7"/>
    </row>
    <row r="8" spans="1:69">
      <c r="A8" s="100">
        <v>10029</v>
      </c>
      <c r="B8" s="100" t="s">
        <v>12</v>
      </c>
      <c r="C8" s="100">
        <v>0</v>
      </c>
      <c r="D8" s="100">
        <v>1</v>
      </c>
      <c r="E8" s="103">
        <v>17.879000000000001</v>
      </c>
      <c r="F8" s="103">
        <v>20.350000000000001</v>
      </c>
      <c r="G8" s="103">
        <v>20.350000000000001</v>
      </c>
      <c r="H8" s="103">
        <v>0</v>
      </c>
      <c r="I8" s="103">
        <v>0</v>
      </c>
      <c r="J8" s="103">
        <v>0</v>
      </c>
      <c r="K8" s="103">
        <v>0</v>
      </c>
      <c r="L8" s="102">
        <v>0</v>
      </c>
      <c r="M8" s="102">
        <v>0</v>
      </c>
      <c r="N8" s="103">
        <v>21.914000000000001</v>
      </c>
      <c r="O8" s="103">
        <v>22.349</v>
      </c>
      <c r="P8" s="102">
        <v>191966.64</v>
      </c>
      <c r="Q8" s="102">
        <v>195777.24</v>
      </c>
      <c r="R8" s="100">
        <v>16.803999999999998</v>
      </c>
      <c r="S8" s="102">
        <v>147203.03999999998</v>
      </c>
      <c r="T8" s="102">
        <v>147203.03999999998</v>
      </c>
      <c r="U8" s="103">
        <v>5.1100000000000003</v>
      </c>
      <c r="V8" s="103">
        <v>5.5449999999999999</v>
      </c>
      <c r="W8" s="103">
        <v>5.1100000000000003</v>
      </c>
      <c r="X8" s="103">
        <v>5.5449999999999999</v>
      </c>
      <c r="Y8" s="103">
        <v>0</v>
      </c>
      <c r="Z8" s="103">
        <v>0</v>
      </c>
      <c r="AA8" s="100">
        <v>0</v>
      </c>
      <c r="AB8" s="100">
        <v>0</v>
      </c>
      <c r="AC8" s="103">
        <v>5.1100000000000003</v>
      </c>
      <c r="AD8" s="103">
        <v>5.5449999999999999</v>
      </c>
      <c r="AE8" s="104">
        <v>2.4945000000000002E-3</v>
      </c>
      <c r="AF8" s="104">
        <v>2.4945000000000002E-3</v>
      </c>
      <c r="AG8" s="104">
        <v>0</v>
      </c>
      <c r="AH8" s="104">
        <v>2.4945000000000002E-3</v>
      </c>
      <c r="AI8" s="104">
        <v>2.4945000000000002E-3</v>
      </c>
      <c r="AJ8" s="104">
        <v>2.4945000000000002E-3</v>
      </c>
      <c r="AK8" s="104">
        <v>0.76680877637583289</v>
      </c>
      <c r="AL8" s="104">
        <v>0.75188364246722461</v>
      </c>
      <c r="AM8" s="104">
        <v>1.30409426327065</v>
      </c>
      <c r="AN8" s="104">
        <v>1.3299809569150203</v>
      </c>
      <c r="AO8" s="104">
        <v>8.4766127112592252E-2</v>
      </c>
      <c r="AP8" s="104">
        <v>8.6448762199476323E-2</v>
      </c>
      <c r="AQ8" s="100">
        <v>6</v>
      </c>
      <c r="AR8" s="100">
        <v>6</v>
      </c>
      <c r="AS8" s="103">
        <v>0</v>
      </c>
      <c r="AT8" s="103"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v>0</v>
      </c>
      <c r="BA8" s="103">
        <v>0</v>
      </c>
      <c r="BB8" s="103">
        <v>0</v>
      </c>
      <c r="BC8" s="103">
        <v>0</v>
      </c>
      <c r="BD8" s="103">
        <v>0</v>
      </c>
      <c r="BE8" s="103">
        <v>16.803999999999998</v>
      </c>
      <c r="BF8" s="103">
        <v>16.803999999999998</v>
      </c>
      <c r="BG8" s="100">
        <v>0</v>
      </c>
      <c r="BH8"/>
      <c r="BI8"/>
      <c r="BJ8"/>
      <c r="BK8"/>
      <c r="BL8"/>
      <c r="BM8"/>
      <c r="BN8"/>
      <c r="BO8"/>
      <c r="BP8"/>
      <c r="BQ8"/>
    </row>
    <row r="9" spans="1:69">
      <c r="A9" s="100">
        <v>10044</v>
      </c>
      <c r="B9" s="100" t="s">
        <v>13</v>
      </c>
      <c r="C9" s="100">
        <v>1</v>
      </c>
      <c r="D9" s="100">
        <v>0</v>
      </c>
      <c r="E9" s="103">
        <v>20.611999999999998</v>
      </c>
      <c r="F9" s="103">
        <v>21.856999999999999</v>
      </c>
      <c r="G9" s="103">
        <v>21.984000000000002</v>
      </c>
      <c r="H9" s="103">
        <v>0</v>
      </c>
      <c r="I9" s="103">
        <v>0</v>
      </c>
      <c r="J9" s="103">
        <v>0</v>
      </c>
      <c r="K9" s="103">
        <v>0</v>
      </c>
      <c r="L9" s="102">
        <v>0</v>
      </c>
      <c r="M9" s="102">
        <v>0</v>
      </c>
      <c r="N9" s="103">
        <v>21.998000000000001</v>
      </c>
      <c r="O9" s="103">
        <v>22.09</v>
      </c>
      <c r="P9" s="102">
        <v>192702.48</v>
      </c>
      <c r="Q9" s="102">
        <v>193508.4</v>
      </c>
      <c r="R9" s="100">
        <v>19.373000000000001</v>
      </c>
      <c r="S9" s="102">
        <v>169707.48</v>
      </c>
      <c r="T9" s="102">
        <v>169707.48</v>
      </c>
      <c r="U9" s="103">
        <v>2.625</v>
      </c>
      <c r="V9" s="103">
        <v>2.7170000000000001</v>
      </c>
      <c r="W9" s="103">
        <v>2.625</v>
      </c>
      <c r="X9" s="103">
        <v>2.7170000000000001</v>
      </c>
      <c r="Y9" s="103">
        <v>0</v>
      </c>
      <c r="Z9" s="103">
        <v>0</v>
      </c>
      <c r="AA9" s="100">
        <v>0</v>
      </c>
      <c r="AB9" s="100">
        <v>0</v>
      </c>
      <c r="AC9" s="103">
        <v>2.625</v>
      </c>
      <c r="AD9" s="103">
        <v>2.7170000000000001</v>
      </c>
      <c r="AE9" s="104">
        <v>2.8758999999999998E-3</v>
      </c>
      <c r="AF9" s="104">
        <v>2.8758999999999998E-3</v>
      </c>
      <c r="AG9" s="104">
        <v>0</v>
      </c>
      <c r="AH9" s="104">
        <v>2.8758999999999998E-3</v>
      </c>
      <c r="AI9" s="104">
        <v>2.8758999999999998E-3</v>
      </c>
      <c r="AJ9" s="104">
        <v>2.8758999999999998E-3</v>
      </c>
      <c r="AK9" s="104">
        <v>0.88067528175743237</v>
      </c>
      <c r="AL9" s="104">
        <v>0.87700746256677231</v>
      </c>
      <c r="AM9" s="104">
        <v>1.1354978578433903</v>
      </c>
      <c r="AN9" s="104">
        <v>1.1402467351468537</v>
      </c>
      <c r="AO9" s="104">
        <v>0</v>
      </c>
      <c r="AP9" s="104">
        <v>0</v>
      </c>
      <c r="AQ9" s="100">
        <v>1</v>
      </c>
      <c r="AR9" s="100">
        <v>1</v>
      </c>
      <c r="AS9" s="103">
        <v>0</v>
      </c>
      <c r="AT9" s="103">
        <v>0</v>
      </c>
      <c r="AU9" s="103">
        <v>2.625</v>
      </c>
      <c r="AV9" s="103">
        <v>2.7170000000000001</v>
      </c>
      <c r="AW9" s="103">
        <v>0</v>
      </c>
      <c r="AX9" s="103">
        <v>0</v>
      </c>
      <c r="AY9" s="103">
        <v>0</v>
      </c>
      <c r="AZ9" s="103">
        <v>0</v>
      </c>
      <c r="BA9" s="103">
        <v>0</v>
      </c>
      <c r="BB9" s="103">
        <v>0</v>
      </c>
      <c r="BC9" s="103">
        <v>0</v>
      </c>
      <c r="BD9" s="103">
        <v>0</v>
      </c>
      <c r="BE9" s="103">
        <v>21.998000000000001</v>
      </c>
      <c r="BF9" s="103">
        <v>22.09</v>
      </c>
      <c r="BG9" s="100">
        <v>0</v>
      </c>
      <c r="BH9"/>
      <c r="BI9"/>
      <c r="BJ9"/>
      <c r="BK9"/>
      <c r="BL9"/>
      <c r="BM9"/>
      <c r="BN9"/>
      <c r="BO9"/>
      <c r="BP9"/>
      <c r="BQ9"/>
    </row>
    <row r="10" spans="1:69">
      <c r="A10" s="100">
        <v>10046</v>
      </c>
      <c r="B10" s="100" t="s">
        <v>14</v>
      </c>
      <c r="C10" s="100">
        <v>0</v>
      </c>
      <c r="D10" s="100">
        <v>1</v>
      </c>
      <c r="E10" s="103">
        <v>83.072000000000003</v>
      </c>
      <c r="F10" s="103">
        <v>95.831999999999994</v>
      </c>
      <c r="G10" s="103">
        <v>97.424000000000007</v>
      </c>
      <c r="H10" s="103">
        <v>0</v>
      </c>
      <c r="I10" s="103">
        <v>0</v>
      </c>
      <c r="J10" s="103">
        <v>0</v>
      </c>
      <c r="K10" s="103">
        <v>0</v>
      </c>
      <c r="L10" s="102">
        <v>0</v>
      </c>
      <c r="M10" s="102">
        <v>0</v>
      </c>
      <c r="N10" s="103">
        <v>95.831999999999994</v>
      </c>
      <c r="O10" s="103">
        <v>97.424000000000007</v>
      </c>
      <c r="P10" s="102">
        <v>839488.32</v>
      </c>
      <c r="Q10" s="102">
        <v>853434.24000000011</v>
      </c>
      <c r="R10" s="100">
        <v>78.078000000000003</v>
      </c>
      <c r="S10" s="102">
        <v>683963.28</v>
      </c>
      <c r="T10" s="102">
        <v>683963.28</v>
      </c>
      <c r="U10" s="103">
        <v>17.754000000000001</v>
      </c>
      <c r="V10" s="103">
        <v>19.346</v>
      </c>
      <c r="W10" s="103">
        <v>17.754000000000001</v>
      </c>
      <c r="X10" s="103">
        <v>19.346</v>
      </c>
      <c r="Y10" s="103">
        <v>0</v>
      </c>
      <c r="Z10" s="103">
        <v>0</v>
      </c>
      <c r="AA10" s="100">
        <v>0</v>
      </c>
      <c r="AB10" s="100">
        <v>0</v>
      </c>
      <c r="AC10" s="103">
        <v>17.754000000000001</v>
      </c>
      <c r="AD10" s="103">
        <v>19.346</v>
      </c>
      <c r="AE10" s="104">
        <v>1.15905E-2</v>
      </c>
      <c r="AF10" s="104">
        <v>1.15905E-2</v>
      </c>
      <c r="AG10" s="104">
        <v>0</v>
      </c>
      <c r="AH10" s="104">
        <v>1.15905E-2</v>
      </c>
      <c r="AI10" s="104">
        <v>1.15905E-2</v>
      </c>
      <c r="AJ10" s="104">
        <v>1.15905E-2</v>
      </c>
      <c r="AK10" s="104">
        <v>0.81473588143313302</v>
      </c>
      <c r="AL10" s="104">
        <v>0.80142232909242073</v>
      </c>
      <c r="AM10" s="104">
        <v>1.2273879966187657</v>
      </c>
      <c r="AN10" s="104">
        <v>1.2477778631624785</v>
      </c>
      <c r="AO10" s="104">
        <v>7.9780219780219777E-2</v>
      </c>
      <c r="AP10" s="104">
        <v>8.1105561105561108E-2</v>
      </c>
      <c r="AQ10" s="100">
        <v>6</v>
      </c>
      <c r="AR10" s="100">
        <v>6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3">
        <v>0</v>
      </c>
      <c r="BB10" s="103">
        <v>0</v>
      </c>
      <c r="BC10" s="103">
        <v>0</v>
      </c>
      <c r="BD10" s="103">
        <v>0</v>
      </c>
      <c r="BE10" s="103">
        <v>78.078000000000003</v>
      </c>
      <c r="BF10" s="103">
        <v>78.078000000000003</v>
      </c>
      <c r="BG10" s="100">
        <v>0</v>
      </c>
      <c r="BH10"/>
      <c r="BI10"/>
      <c r="BJ10"/>
      <c r="BK10"/>
      <c r="BL10"/>
      <c r="BM10"/>
      <c r="BN10"/>
      <c r="BO10"/>
      <c r="BP10"/>
      <c r="BQ10"/>
    </row>
    <row r="11" spans="1:69">
      <c r="A11" s="100">
        <v>10047</v>
      </c>
      <c r="B11" s="100" t="s">
        <v>15</v>
      </c>
      <c r="C11" s="100">
        <v>1</v>
      </c>
      <c r="D11" s="100">
        <v>0</v>
      </c>
      <c r="E11" s="103">
        <v>159.01</v>
      </c>
      <c r="F11" s="103">
        <v>150.00299999999999</v>
      </c>
      <c r="G11" s="103">
        <v>150.245</v>
      </c>
      <c r="H11" s="103">
        <v>0</v>
      </c>
      <c r="I11" s="103">
        <v>0</v>
      </c>
      <c r="J11" s="103">
        <v>0</v>
      </c>
      <c r="K11" s="103">
        <v>0</v>
      </c>
      <c r="L11" s="102">
        <v>0</v>
      </c>
      <c r="M11" s="102">
        <v>0</v>
      </c>
      <c r="N11" s="103">
        <v>153.65600000000001</v>
      </c>
      <c r="O11" s="103">
        <v>154.036</v>
      </c>
      <c r="P11" s="102">
        <v>1346026.56</v>
      </c>
      <c r="Q11" s="102">
        <v>1349355.36</v>
      </c>
      <c r="R11" s="100">
        <v>149.44999999999999</v>
      </c>
      <c r="S11" s="102">
        <v>1309182</v>
      </c>
      <c r="T11" s="102">
        <v>1309182</v>
      </c>
      <c r="U11" s="103">
        <v>4.2060000000000004</v>
      </c>
      <c r="V11" s="103">
        <v>4.5860000000000003</v>
      </c>
      <c r="W11" s="103">
        <v>4.2060000000000004</v>
      </c>
      <c r="X11" s="103">
        <v>4.5860000000000003</v>
      </c>
      <c r="Y11" s="103">
        <v>0</v>
      </c>
      <c r="Z11" s="103">
        <v>0</v>
      </c>
      <c r="AA11" s="100">
        <v>0</v>
      </c>
      <c r="AB11" s="100">
        <v>0</v>
      </c>
      <c r="AC11" s="103">
        <v>4.2060000000000004</v>
      </c>
      <c r="AD11" s="103">
        <v>4.5860000000000003</v>
      </c>
      <c r="AE11" s="104">
        <v>2.21856E-2</v>
      </c>
      <c r="AF11" s="104">
        <v>2.21856E-2</v>
      </c>
      <c r="AG11" s="104">
        <v>0</v>
      </c>
      <c r="AH11" s="104">
        <v>2.21856E-2</v>
      </c>
      <c r="AI11" s="104">
        <v>2.21856E-2</v>
      </c>
      <c r="AJ11" s="104">
        <v>2.21856E-2</v>
      </c>
      <c r="AK11" s="104">
        <v>0.97262824901338063</v>
      </c>
      <c r="AL11" s="104">
        <v>0.97022881813602024</v>
      </c>
      <c r="AM11" s="104">
        <v>1.0281431917029107</v>
      </c>
      <c r="AN11" s="104">
        <v>1.0306858481097358</v>
      </c>
      <c r="AO11" s="104">
        <v>0</v>
      </c>
      <c r="AP11" s="104">
        <v>0</v>
      </c>
      <c r="AQ11" s="100">
        <v>3</v>
      </c>
      <c r="AR11" s="100">
        <v>3</v>
      </c>
      <c r="AS11" s="103">
        <v>9</v>
      </c>
      <c r="AT11" s="103">
        <v>9</v>
      </c>
      <c r="AU11" s="103">
        <v>0.20599999999999999</v>
      </c>
      <c r="AV11" s="103">
        <v>0.58599999999999997</v>
      </c>
      <c r="AW11" s="103">
        <v>0</v>
      </c>
      <c r="AX11" s="103">
        <v>0</v>
      </c>
      <c r="AY11" s="103">
        <v>0</v>
      </c>
      <c r="AZ11" s="103">
        <v>0</v>
      </c>
      <c r="BA11" s="103">
        <v>0</v>
      </c>
      <c r="BB11" s="103">
        <v>0</v>
      </c>
      <c r="BC11" s="103">
        <v>0</v>
      </c>
      <c r="BD11" s="103">
        <v>0</v>
      </c>
      <c r="BE11" s="103">
        <v>149.65600000000001</v>
      </c>
      <c r="BF11" s="103">
        <v>150.036</v>
      </c>
      <c r="BG11" s="100">
        <v>1</v>
      </c>
      <c r="BH11"/>
      <c r="BI11"/>
      <c r="BJ11"/>
      <c r="BK11"/>
      <c r="BL11"/>
      <c r="BM11"/>
      <c r="BN11"/>
      <c r="BO11"/>
      <c r="BP11"/>
      <c r="BQ11"/>
    </row>
    <row r="12" spans="1:69">
      <c r="A12" s="100">
        <v>10055</v>
      </c>
      <c r="B12" s="100" t="s">
        <v>16</v>
      </c>
      <c r="C12" s="100">
        <v>1</v>
      </c>
      <c r="D12" s="100">
        <v>0</v>
      </c>
      <c r="E12" s="103">
        <v>0.40400000000000003</v>
      </c>
      <c r="F12" s="103">
        <v>0.38400000000000001</v>
      </c>
      <c r="G12" s="103">
        <v>0.38400000000000001</v>
      </c>
      <c r="H12" s="103">
        <v>0</v>
      </c>
      <c r="I12" s="103">
        <v>0</v>
      </c>
      <c r="J12" s="103">
        <v>0</v>
      </c>
      <c r="K12" s="103">
        <v>0</v>
      </c>
      <c r="L12" s="102">
        <v>0</v>
      </c>
      <c r="M12" s="102">
        <v>0</v>
      </c>
      <c r="N12" s="103">
        <v>0.38600000000000001</v>
      </c>
      <c r="O12" s="103">
        <v>0.38600000000000001</v>
      </c>
      <c r="P12" s="102">
        <v>3381.36</v>
      </c>
      <c r="Q12" s="102">
        <v>3381.36</v>
      </c>
      <c r="R12" s="100">
        <v>0.38</v>
      </c>
      <c r="S12" s="102">
        <v>3328.8</v>
      </c>
      <c r="T12" s="102">
        <v>3328.8</v>
      </c>
      <c r="U12" s="103">
        <v>6.0000000000000001E-3</v>
      </c>
      <c r="V12" s="103">
        <v>6.0000000000000001E-3</v>
      </c>
      <c r="W12" s="103">
        <v>0</v>
      </c>
      <c r="X12" s="103">
        <v>0</v>
      </c>
      <c r="Y12" s="103">
        <v>6.0000000000000001E-3</v>
      </c>
      <c r="Z12" s="103">
        <v>6.0000000000000001E-3</v>
      </c>
      <c r="AA12" s="100">
        <v>0</v>
      </c>
      <c r="AB12" s="100">
        <v>0</v>
      </c>
      <c r="AC12" s="103">
        <v>0</v>
      </c>
      <c r="AD12" s="103">
        <v>0</v>
      </c>
      <c r="AE12" s="104">
        <v>5.6400000000000002E-5</v>
      </c>
      <c r="AF12" s="104">
        <v>5.6400000000000002E-5</v>
      </c>
      <c r="AG12" s="104">
        <v>0</v>
      </c>
      <c r="AH12" s="104">
        <v>5.6400000000000002E-5</v>
      </c>
      <c r="AI12" s="104">
        <v>5.6400000000000002E-5</v>
      </c>
      <c r="AJ12" s="104">
        <v>5.6400000000000002E-5</v>
      </c>
      <c r="AK12" s="104">
        <v>0.98427628911917109</v>
      </c>
      <c r="AL12" s="104">
        <v>0.98427628911917109</v>
      </c>
      <c r="AM12" s="104">
        <v>1.0157894736842106</v>
      </c>
      <c r="AN12" s="104">
        <v>1.0157894736842106</v>
      </c>
      <c r="AO12" s="104">
        <v>0</v>
      </c>
      <c r="AP12" s="104">
        <v>0</v>
      </c>
      <c r="AQ12" s="100">
        <v>1</v>
      </c>
      <c r="AR12" s="100">
        <v>1</v>
      </c>
      <c r="AS12" s="103">
        <v>0</v>
      </c>
      <c r="AT12" s="103"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v>0</v>
      </c>
      <c r="BA12" s="103">
        <v>0</v>
      </c>
      <c r="BB12" s="103">
        <v>0</v>
      </c>
      <c r="BC12" s="103">
        <v>0</v>
      </c>
      <c r="BD12" s="103">
        <v>0</v>
      </c>
      <c r="BE12" s="103">
        <v>0.38600000000000001</v>
      </c>
      <c r="BF12" s="103">
        <v>0.38600000000000001</v>
      </c>
      <c r="BG12" s="100">
        <v>0</v>
      </c>
      <c r="BH12"/>
      <c r="BI12"/>
      <c r="BJ12"/>
      <c r="BK12"/>
      <c r="BL12"/>
      <c r="BM12"/>
      <c r="BN12"/>
      <c r="BO12"/>
      <c r="BP12"/>
      <c r="BQ12"/>
    </row>
    <row r="13" spans="1:69">
      <c r="A13" s="100">
        <v>10057</v>
      </c>
      <c r="B13" s="100" t="s">
        <v>17</v>
      </c>
      <c r="C13" s="100">
        <v>1</v>
      </c>
      <c r="D13" s="100">
        <v>0</v>
      </c>
      <c r="E13" s="103">
        <v>21.382999999999999</v>
      </c>
      <c r="F13" s="103">
        <v>20.134</v>
      </c>
      <c r="G13" s="103">
        <v>20.134</v>
      </c>
      <c r="H13" s="103">
        <v>0</v>
      </c>
      <c r="I13" s="103">
        <v>0</v>
      </c>
      <c r="J13" s="103">
        <v>0.158</v>
      </c>
      <c r="K13" s="103">
        <v>0.158</v>
      </c>
      <c r="L13" s="102">
        <v>1384.08</v>
      </c>
      <c r="M13" s="102">
        <v>1384.08</v>
      </c>
      <c r="N13" s="103">
        <v>19.975999999999999</v>
      </c>
      <c r="O13" s="103">
        <v>19.975999999999999</v>
      </c>
      <c r="P13" s="102">
        <v>174989.75999999998</v>
      </c>
      <c r="Q13" s="102">
        <v>174989.75999999998</v>
      </c>
      <c r="R13" s="100">
        <v>20.097000000000001</v>
      </c>
      <c r="S13" s="102">
        <v>176049.72</v>
      </c>
      <c r="T13" s="102">
        <v>176049.72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0">
        <v>0</v>
      </c>
      <c r="AB13" s="100">
        <v>0</v>
      </c>
      <c r="AC13" s="103">
        <v>0</v>
      </c>
      <c r="AD13" s="103">
        <v>0</v>
      </c>
      <c r="AE13" s="104">
        <v>2.9654E-3</v>
      </c>
      <c r="AF13" s="104">
        <v>2.9654E-3</v>
      </c>
      <c r="AG13" s="104">
        <v>0</v>
      </c>
      <c r="AH13" s="104">
        <v>2.9654E-3</v>
      </c>
      <c r="AI13" s="104">
        <v>2.9654E-3</v>
      </c>
      <c r="AJ13" s="104">
        <v>2.9654E-3</v>
      </c>
      <c r="AK13" s="104">
        <v>0.99999994926989177</v>
      </c>
      <c r="AL13" s="104">
        <v>0.99999994926989177</v>
      </c>
      <c r="AM13" s="104">
        <v>1</v>
      </c>
      <c r="AN13" s="104">
        <v>1</v>
      </c>
      <c r="AO13" s="104">
        <v>0</v>
      </c>
      <c r="AP13" s="104">
        <v>0</v>
      </c>
      <c r="AQ13" s="100">
        <v>1</v>
      </c>
      <c r="AR13" s="100">
        <v>1</v>
      </c>
      <c r="AS13" s="103">
        <v>0</v>
      </c>
      <c r="AT13" s="103"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0</v>
      </c>
      <c r="BA13" s="103">
        <v>0</v>
      </c>
      <c r="BB13" s="103">
        <v>0</v>
      </c>
      <c r="BC13" s="103">
        <v>0</v>
      </c>
      <c r="BD13" s="103">
        <v>0</v>
      </c>
      <c r="BE13" s="103">
        <v>19.975999999999999</v>
      </c>
      <c r="BF13" s="103">
        <v>19.975999999999999</v>
      </c>
      <c r="BG13" s="100">
        <v>0</v>
      </c>
      <c r="BH13"/>
      <c r="BI13"/>
      <c r="BJ13"/>
      <c r="BK13"/>
      <c r="BL13"/>
      <c r="BM13"/>
      <c r="BN13"/>
      <c r="BO13"/>
      <c r="BP13"/>
      <c r="BQ13"/>
    </row>
    <row r="14" spans="1:69">
      <c r="A14" s="100">
        <v>10059</v>
      </c>
      <c r="B14" s="100" t="s">
        <v>18</v>
      </c>
      <c r="C14" s="100">
        <v>1</v>
      </c>
      <c r="D14" s="100">
        <v>0</v>
      </c>
      <c r="E14" s="103">
        <v>7.7530000000000001</v>
      </c>
      <c r="F14" s="103">
        <v>7.5990000000000002</v>
      </c>
      <c r="G14" s="103">
        <v>7.5990000000000002</v>
      </c>
      <c r="H14" s="103">
        <v>0</v>
      </c>
      <c r="I14" s="103">
        <v>0</v>
      </c>
      <c r="J14" s="103">
        <v>0</v>
      </c>
      <c r="K14" s="103">
        <v>0</v>
      </c>
      <c r="L14" s="102">
        <v>0</v>
      </c>
      <c r="M14" s="102">
        <v>0</v>
      </c>
      <c r="N14" s="103">
        <v>7.649</v>
      </c>
      <c r="O14" s="103">
        <v>7.6680000000000001</v>
      </c>
      <c r="P14" s="102">
        <v>67005.240000000005</v>
      </c>
      <c r="Q14" s="102">
        <v>67171.680000000008</v>
      </c>
      <c r="R14" s="100">
        <v>7.2869999999999999</v>
      </c>
      <c r="S14" s="102">
        <v>63834.12</v>
      </c>
      <c r="T14" s="102">
        <v>63834.12</v>
      </c>
      <c r="U14" s="103">
        <v>0.36199999999999999</v>
      </c>
      <c r="V14" s="103">
        <v>0.38100000000000001</v>
      </c>
      <c r="W14" s="103">
        <v>0</v>
      </c>
      <c r="X14" s="103">
        <v>0</v>
      </c>
      <c r="Y14" s="103">
        <v>0.36199999999999999</v>
      </c>
      <c r="Z14" s="103">
        <v>0.38100000000000001</v>
      </c>
      <c r="AA14" s="100">
        <v>0</v>
      </c>
      <c r="AB14" s="100">
        <v>0</v>
      </c>
      <c r="AC14" s="103">
        <v>0</v>
      </c>
      <c r="AD14" s="103">
        <v>0</v>
      </c>
      <c r="AE14" s="104">
        <v>1.0816999999999999E-3</v>
      </c>
      <c r="AF14" s="104">
        <v>1.0816999999999999E-3</v>
      </c>
      <c r="AG14" s="104">
        <v>0</v>
      </c>
      <c r="AH14" s="104">
        <v>1.0816999999999999E-3</v>
      </c>
      <c r="AI14" s="104">
        <v>1.0816999999999999E-3</v>
      </c>
      <c r="AJ14" s="104">
        <v>1.0816999999999999E-3</v>
      </c>
      <c r="AK14" s="104">
        <v>0.95263688459929408</v>
      </c>
      <c r="AL14" s="104">
        <v>0.95027641240219096</v>
      </c>
      <c r="AM14" s="104">
        <v>1.0496775078907643</v>
      </c>
      <c r="AN14" s="104">
        <v>1.0522848909016056</v>
      </c>
      <c r="AO14" s="104">
        <v>0</v>
      </c>
      <c r="AP14" s="104">
        <v>0</v>
      </c>
      <c r="AQ14" s="100">
        <v>1</v>
      </c>
      <c r="AR14" s="100">
        <v>1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3">
        <v>0</v>
      </c>
      <c r="BB14" s="103">
        <v>0</v>
      </c>
      <c r="BC14" s="103">
        <v>0</v>
      </c>
      <c r="BD14" s="103">
        <v>0</v>
      </c>
      <c r="BE14" s="103">
        <v>7.649</v>
      </c>
      <c r="BF14" s="103">
        <v>7.6680000000000001</v>
      </c>
      <c r="BG14" s="100">
        <v>0</v>
      </c>
      <c r="BH14"/>
      <c r="BI14"/>
      <c r="BJ14"/>
      <c r="BK14"/>
      <c r="BL14"/>
      <c r="BM14"/>
      <c r="BN14"/>
      <c r="BO14"/>
      <c r="BP14"/>
      <c r="BQ14"/>
    </row>
    <row r="15" spans="1:69">
      <c r="A15" s="100">
        <v>10061</v>
      </c>
      <c r="B15" s="100" t="s">
        <v>19</v>
      </c>
      <c r="C15" s="100">
        <v>1</v>
      </c>
      <c r="D15" s="100">
        <v>0</v>
      </c>
      <c r="E15" s="103">
        <v>8.8770000000000007</v>
      </c>
      <c r="F15" s="103">
        <v>9.2949999999999999</v>
      </c>
      <c r="G15" s="103">
        <v>9.359</v>
      </c>
      <c r="H15" s="103">
        <v>0</v>
      </c>
      <c r="I15" s="103">
        <v>0</v>
      </c>
      <c r="J15" s="103">
        <v>0</v>
      </c>
      <c r="K15" s="103">
        <v>0</v>
      </c>
      <c r="L15" s="102">
        <v>0</v>
      </c>
      <c r="M15" s="102">
        <v>0</v>
      </c>
      <c r="N15" s="103">
        <v>9.4329999999999998</v>
      </c>
      <c r="O15" s="103">
        <v>9.4440000000000008</v>
      </c>
      <c r="P15" s="102">
        <v>82633.08</v>
      </c>
      <c r="Q15" s="102">
        <v>82729.440000000002</v>
      </c>
      <c r="R15" s="100">
        <v>8.343</v>
      </c>
      <c r="S15" s="102">
        <v>73084.679999999993</v>
      </c>
      <c r="T15" s="102">
        <v>73084.679999999993</v>
      </c>
      <c r="U15" s="103">
        <v>1.0900000000000001</v>
      </c>
      <c r="V15" s="103">
        <v>1.101</v>
      </c>
      <c r="W15" s="103">
        <v>1.0900000000000001</v>
      </c>
      <c r="X15" s="103">
        <v>1.101</v>
      </c>
      <c r="Y15" s="103">
        <v>0</v>
      </c>
      <c r="Z15" s="103">
        <v>0</v>
      </c>
      <c r="AA15" s="100">
        <v>0</v>
      </c>
      <c r="AB15" s="100">
        <v>0</v>
      </c>
      <c r="AC15" s="103">
        <v>1.0900000000000001</v>
      </c>
      <c r="AD15" s="103">
        <v>1.101</v>
      </c>
      <c r="AE15" s="104">
        <v>1.2385E-3</v>
      </c>
      <c r="AF15" s="104">
        <v>1.2385E-3</v>
      </c>
      <c r="AG15" s="104">
        <v>0</v>
      </c>
      <c r="AH15" s="104">
        <v>1.2385E-3</v>
      </c>
      <c r="AI15" s="104">
        <v>1.2385E-3</v>
      </c>
      <c r="AJ15" s="104">
        <v>1.2385E-3</v>
      </c>
      <c r="AK15" s="104">
        <v>0.88444615938725757</v>
      </c>
      <c r="AL15" s="104">
        <v>0.88341599126429482</v>
      </c>
      <c r="AM15" s="104">
        <v>1.1306484478005514</v>
      </c>
      <c r="AN15" s="104">
        <v>1.1319669183746854</v>
      </c>
      <c r="AO15" s="104">
        <v>0</v>
      </c>
      <c r="AP15" s="104">
        <v>0</v>
      </c>
      <c r="AQ15" s="100">
        <v>1</v>
      </c>
      <c r="AR15" s="100">
        <v>1</v>
      </c>
      <c r="AS15" s="103">
        <v>0</v>
      </c>
      <c r="AT15" s="103">
        <v>0</v>
      </c>
      <c r="AU15" s="103">
        <v>1.0900000000000001</v>
      </c>
      <c r="AV15" s="103">
        <v>1.101</v>
      </c>
      <c r="AW15" s="103">
        <v>0</v>
      </c>
      <c r="AX15" s="103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</v>
      </c>
      <c r="BE15" s="103">
        <v>9.4329999999999998</v>
      </c>
      <c r="BF15" s="103">
        <v>9.4440000000000008</v>
      </c>
      <c r="BG15" s="100">
        <v>0</v>
      </c>
      <c r="BH15"/>
      <c r="BI15"/>
      <c r="BJ15"/>
      <c r="BK15"/>
      <c r="BL15"/>
      <c r="BM15"/>
      <c r="BN15"/>
      <c r="BO15"/>
      <c r="BP15"/>
      <c r="BQ15"/>
    </row>
    <row r="16" spans="1:69">
      <c r="A16" s="100">
        <v>10062</v>
      </c>
      <c r="B16" s="100" t="s">
        <v>20</v>
      </c>
      <c r="C16" s="100">
        <v>1</v>
      </c>
      <c r="D16" s="100">
        <v>0</v>
      </c>
      <c r="E16" s="103">
        <v>5.399</v>
      </c>
      <c r="F16" s="103">
        <v>9.0510000000000002</v>
      </c>
      <c r="G16" s="103">
        <v>9.1470000000000002</v>
      </c>
      <c r="H16" s="103">
        <v>0</v>
      </c>
      <c r="I16" s="103">
        <v>0</v>
      </c>
      <c r="J16" s="103">
        <v>1.881</v>
      </c>
      <c r="K16" s="103">
        <v>1.881</v>
      </c>
      <c r="L16" s="102">
        <v>16477.560000000001</v>
      </c>
      <c r="M16" s="102">
        <v>16477.560000000001</v>
      </c>
      <c r="N16" s="103">
        <v>7.17</v>
      </c>
      <c r="O16" s="103">
        <v>7.266</v>
      </c>
      <c r="P16" s="102">
        <v>62809.2</v>
      </c>
      <c r="Q16" s="102">
        <v>63650.16</v>
      </c>
      <c r="R16" s="100">
        <v>5.0739999999999998</v>
      </c>
      <c r="S16" s="102">
        <v>44448.24</v>
      </c>
      <c r="T16" s="102">
        <v>44448.24</v>
      </c>
      <c r="U16" s="103">
        <v>2.0960000000000001</v>
      </c>
      <c r="V16" s="103">
        <v>2.1920000000000002</v>
      </c>
      <c r="W16" s="103">
        <v>2.0960000000000001</v>
      </c>
      <c r="X16" s="103">
        <v>2.1920000000000002</v>
      </c>
      <c r="Y16" s="103">
        <v>0</v>
      </c>
      <c r="Z16" s="103">
        <v>0</v>
      </c>
      <c r="AA16" s="100">
        <v>0</v>
      </c>
      <c r="AB16" s="100">
        <v>0</v>
      </c>
      <c r="AC16" s="103">
        <v>2.0960000000000001</v>
      </c>
      <c r="AD16" s="103">
        <v>2.1920000000000002</v>
      </c>
      <c r="AE16" s="104">
        <v>7.5319999999999998E-4</v>
      </c>
      <c r="AF16" s="104">
        <v>7.5319999999999998E-4</v>
      </c>
      <c r="AG16" s="104">
        <v>0</v>
      </c>
      <c r="AH16" s="104">
        <v>7.5319999999999998E-4</v>
      </c>
      <c r="AI16" s="104">
        <v>7.5319999999999998E-4</v>
      </c>
      <c r="AJ16" s="104">
        <v>7.5319999999999998E-4</v>
      </c>
      <c r="AK16" s="104">
        <v>0.76840410991050712</v>
      </c>
      <c r="AL16" s="104">
        <v>0.76033952102328628</v>
      </c>
      <c r="AM16" s="104">
        <v>1.4130863224280648</v>
      </c>
      <c r="AN16" s="104">
        <v>1.4320063066614113</v>
      </c>
      <c r="AO16" s="104">
        <v>0</v>
      </c>
      <c r="AP16" s="104">
        <v>0</v>
      </c>
      <c r="AQ16" s="100">
        <v>1</v>
      </c>
      <c r="AR16" s="100">
        <v>1</v>
      </c>
      <c r="AS16" s="103">
        <v>0</v>
      </c>
      <c r="AT16" s="103">
        <v>0</v>
      </c>
      <c r="AU16" s="103">
        <v>2.0960000000000001</v>
      </c>
      <c r="AV16" s="103">
        <v>2.1920000000000002</v>
      </c>
      <c r="AW16" s="103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7.17</v>
      </c>
      <c r="BF16" s="103">
        <v>7.266</v>
      </c>
      <c r="BG16" s="100">
        <v>1</v>
      </c>
      <c r="BH16"/>
      <c r="BI16"/>
      <c r="BJ16"/>
      <c r="BK16"/>
      <c r="BL16"/>
      <c r="BM16"/>
      <c r="BN16"/>
      <c r="BO16"/>
      <c r="BP16"/>
      <c r="BQ16"/>
    </row>
    <row r="17" spans="1:69">
      <c r="A17" s="100">
        <v>10064</v>
      </c>
      <c r="B17" s="100" t="s">
        <v>21</v>
      </c>
      <c r="C17" s="100">
        <v>1</v>
      </c>
      <c r="D17" s="100">
        <v>0</v>
      </c>
      <c r="E17" s="103">
        <v>14.273999999999999</v>
      </c>
      <c r="F17" s="103">
        <v>13.746</v>
      </c>
      <c r="G17" s="103">
        <v>13.773999999999999</v>
      </c>
      <c r="H17" s="103">
        <v>0</v>
      </c>
      <c r="I17" s="103">
        <v>0</v>
      </c>
      <c r="J17" s="103">
        <v>0</v>
      </c>
      <c r="K17" s="103">
        <v>0</v>
      </c>
      <c r="L17" s="102">
        <v>0</v>
      </c>
      <c r="M17" s="102">
        <v>0</v>
      </c>
      <c r="N17" s="103">
        <v>13.851000000000001</v>
      </c>
      <c r="O17" s="103">
        <v>13.878</v>
      </c>
      <c r="P17" s="102">
        <v>121334.76000000001</v>
      </c>
      <c r="Q17" s="102">
        <v>121571.28</v>
      </c>
      <c r="R17" s="100">
        <v>13.416</v>
      </c>
      <c r="S17" s="102">
        <v>117524.16</v>
      </c>
      <c r="T17" s="102">
        <v>117524.16</v>
      </c>
      <c r="U17" s="103">
        <v>0.435</v>
      </c>
      <c r="V17" s="103">
        <v>0.46200000000000002</v>
      </c>
      <c r="W17" s="103">
        <v>0</v>
      </c>
      <c r="X17" s="103">
        <v>0</v>
      </c>
      <c r="Y17" s="103">
        <v>0.435</v>
      </c>
      <c r="Z17" s="103">
        <v>0.46200000000000002</v>
      </c>
      <c r="AA17" s="100">
        <v>0</v>
      </c>
      <c r="AB17" s="100">
        <v>0</v>
      </c>
      <c r="AC17" s="103">
        <v>0</v>
      </c>
      <c r="AD17" s="103">
        <v>0</v>
      </c>
      <c r="AE17" s="104">
        <v>1.9916000000000001E-3</v>
      </c>
      <c r="AF17" s="104">
        <v>1.9916000000000001E-3</v>
      </c>
      <c r="AG17" s="104">
        <v>0</v>
      </c>
      <c r="AH17" s="104">
        <v>1.9916000000000001E-3</v>
      </c>
      <c r="AI17" s="104">
        <v>1.9916000000000001E-3</v>
      </c>
      <c r="AJ17" s="104">
        <v>1.9916000000000001E-3</v>
      </c>
      <c r="AK17" s="104">
        <v>0.96860389750920517</v>
      </c>
      <c r="AL17" s="104">
        <v>0.96671945412883709</v>
      </c>
      <c r="AM17" s="104">
        <v>1.0324239713774599</v>
      </c>
      <c r="AN17" s="104">
        <v>1.0344364937388193</v>
      </c>
      <c r="AO17" s="104">
        <v>0</v>
      </c>
      <c r="AP17" s="104">
        <v>0</v>
      </c>
      <c r="AQ17" s="100">
        <v>1</v>
      </c>
      <c r="AR17" s="100">
        <v>1</v>
      </c>
      <c r="AS17" s="103">
        <v>0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13.851000000000001</v>
      </c>
      <c r="BF17" s="103">
        <v>13.878</v>
      </c>
      <c r="BG17" s="100">
        <v>0</v>
      </c>
      <c r="BH17"/>
      <c r="BI17"/>
      <c r="BJ17"/>
      <c r="BK17"/>
      <c r="BL17"/>
      <c r="BM17"/>
      <c r="BN17"/>
      <c r="BO17"/>
      <c r="BP17"/>
      <c r="BQ17"/>
    </row>
    <row r="18" spans="1:69">
      <c r="A18" s="100">
        <v>10065</v>
      </c>
      <c r="B18" s="100" t="s">
        <v>22</v>
      </c>
      <c r="C18" s="100">
        <v>1</v>
      </c>
      <c r="D18" s="100">
        <v>0</v>
      </c>
      <c r="E18" s="103">
        <v>2.4129999999999998</v>
      </c>
      <c r="F18" s="103">
        <v>4.8650000000000002</v>
      </c>
      <c r="G18" s="103">
        <v>5.0940000000000003</v>
      </c>
      <c r="H18" s="103">
        <v>0</v>
      </c>
      <c r="I18" s="103">
        <v>0</v>
      </c>
      <c r="J18" s="103">
        <v>0</v>
      </c>
      <c r="K18" s="103">
        <v>0</v>
      </c>
      <c r="L18" s="102">
        <v>0</v>
      </c>
      <c r="M18" s="102">
        <v>0</v>
      </c>
      <c r="N18" s="103">
        <v>4.3639999999999999</v>
      </c>
      <c r="O18" s="103">
        <v>4.3879999999999999</v>
      </c>
      <c r="P18" s="102">
        <v>38228.639999999999</v>
      </c>
      <c r="Q18" s="102">
        <v>38438.879999999997</v>
      </c>
      <c r="R18" s="100">
        <v>2.2679999999999998</v>
      </c>
      <c r="S18" s="102">
        <v>19867.679999999997</v>
      </c>
      <c r="T18" s="102">
        <v>19867.679999999997</v>
      </c>
      <c r="U18" s="103">
        <v>2.0960000000000001</v>
      </c>
      <c r="V18" s="103">
        <v>2.12</v>
      </c>
      <c r="W18" s="103">
        <v>2.0960000000000001</v>
      </c>
      <c r="X18" s="103">
        <v>2.12</v>
      </c>
      <c r="Y18" s="103">
        <v>0</v>
      </c>
      <c r="Z18" s="103">
        <v>0</v>
      </c>
      <c r="AA18" s="100">
        <v>0</v>
      </c>
      <c r="AB18" s="100">
        <v>0</v>
      </c>
      <c r="AC18" s="103">
        <v>2.0960000000000001</v>
      </c>
      <c r="AD18" s="103">
        <v>2.12</v>
      </c>
      <c r="AE18" s="104">
        <v>3.367E-4</v>
      </c>
      <c r="AF18" s="104">
        <v>3.367E-4</v>
      </c>
      <c r="AG18" s="104">
        <v>0</v>
      </c>
      <c r="AH18" s="104">
        <v>3.367E-4</v>
      </c>
      <c r="AI18" s="104">
        <v>3.367E-4</v>
      </c>
      <c r="AJ18" s="104">
        <v>3.367E-4</v>
      </c>
      <c r="AK18" s="104">
        <v>0.51973695584326307</v>
      </c>
      <c r="AL18" s="104">
        <v>0.51689427422515954</v>
      </c>
      <c r="AM18" s="104">
        <v>1.924162257495591</v>
      </c>
      <c r="AN18" s="104">
        <v>1.9347442680776015</v>
      </c>
      <c r="AO18" s="104">
        <v>8.6587301587301602E-2</v>
      </c>
      <c r="AP18" s="104">
        <v>8.7063492063492079E-2</v>
      </c>
      <c r="AQ18" s="100">
        <v>1</v>
      </c>
      <c r="AR18" s="100">
        <v>1</v>
      </c>
      <c r="AS18" s="103">
        <v>0</v>
      </c>
      <c r="AT18" s="103">
        <v>0</v>
      </c>
      <c r="AU18" s="103">
        <v>2.0960000000000001</v>
      </c>
      <c r="AV18" s="103">
        <v>2.12</v>
      </c>
      <c r="AW18" s="103">
        <v>0</v>
      </c>
      <c r="AX18" s="103">
        <v>0</v>
      </c>
      <c r="AY18" s="103">
        <v>0</v>
      </c>
      <c r="AZ18" s="103">
        <v>0</v>
      </c>
      <c r="BA18" s="103">
        <v>0</v>
      </c>
      <c r="BB18" s="103">
        <v>0</v>
      </c>
      <c r="BC18" s="103">
        <v>0</v>
      </c>
      <c r="BD18" s="103">
        <v>0</v>
      </c>
      <c r="BE18" s="103">
        <v>4.3639999999999999</v>
      </c>
      <c r="BF18" s="103">
        <v>4.3879999999999999</v>
      </c>
      <c r="BG18" s="100">
        <v>0</v>
      </c>
      <c r="BH18"/>
      <c r="BI18"/>
      <c r="BJ18"/>
      <c r="BK18"/>
      <c r="BL18"/>
      <c r="BM18"/>
      <c r="BN18"/>
      <c r="BO18"/>
      <c r="BP18"/>
      <c r="BQ18"/>
    </row>
    <row r="19" spans="1:69">
      <c r="A19" s="100">
        <v>10066</v>
      </c>
      <c r="B19" s="100" t="s">
        <v>23</v>
      </c>
      <c r="C19" s="100">
        <v>1</v>
      </c>
      <c r="D19" s="100">
        <v>0</v>
      </c>
      <c r="E19" s="103">
        <v>24.734999999999999</v>
      </c>
      <c r="F19" s="103">
        <v>31.789000000000001</v>
      </c>
      <c r="G19" s="103">
        <v>32.168999999999997</v>
      </c>
      <c r="H19" s="103">
        <v>0</v>
      </c>
      <c r="I19" s="103">
        <v>0</v>
      </c>
      <c r="J19" s="103">
        <v>7.1139999999999999</v>
      </c>
      <c r="K19" s="103">
        <v>7.1139999999999999</v>
      </c>
      <c r="L19" s="102">
        <v>62318.64</v>
      </c>
      <c r="M19" s="102">
        <v>62318.64</v>
      </c>
      <c r="N19" s="103">
        <v>25.625</v>
      </c>
      <c r="O19" s="103">
        <v>25.625</v>
      </c>
      <c r="P19" s="102">
        <v>224475</v>
      </c>
      <c r="Q19" s="102">
        <v>224475</v>
      </c>
      <c r="R19" s="100">
        <v>23.248000000000001</v>
      </c>
      <c r="S19" s="102">
        <v>203652.48000000001</v>
      </c>
      <c r="T19" s="102">
        <v>203652.48000000001</v>
      </c>
      <c r="U19" s="103">
        <v>2.3769999999999998</v>
      </c>
      <c r="V19" s="103">
        <v>2.3769999999999998</v>
      </c>
      <c r="W19" s="103">
        <v>2.3769999999999998</v>
      </c>
      <c r="X19" s="103">
        <v>2.3769999999999998</v>
      </c>
      <c r="Y19" s="103">
        <v>0</v>
      </c>
      <c r="Z19" s="103">
        <v>0</v>
      </c>
      <c r="AA19" s="100">
        <v>0</v>
      </c>
      <c r="AB19" s="100">
        <v>0</v>
      </c>
      <c r="AC19" s="103">
        <v>2.3769999999999998</v>
      </c>
      <c r="AD19" s="103">
        <v>2.3769999999999998</v>
      </c>
      <c r="AE19" s="104">
        <v>3.4510999999999999E-3</v>
      </c>
      <c r="AF19" s="104">
        <v>3.4510999999999999E-3</v>
      </c>
      <c r="AG19" s="104">
        <v>0</v>
      </c>
      <c r="AH19" s="104">
        <v>3.4510999999999999E-3</v>
      </c>
      <c r="AI19" s="104">
        <v>3.4510999999999999E-3</v>
      </c>
      <c r="AJ19" s="104">
        <v>3.4510999999999999E-3</v>
      </c>
      <c r="AK19" s="104">
        <v>0.92739083493387109</v>
      </c>
      <c r="AL19" s="104">
        <v>0.92739083493387109</v>
      </c>
      <c r="AM19" s="104">
        <v>1.1022453544390916</v>
      </c>
      <c r="AN19" s="104">
        <v>1.1022453544390916</v>
      </c>
      <c r="AO19" s="104">
        <v>0</v>
      </c>
      <c r="AP19" s="104">
        <v>0</v>
      </c>
      <c r="AQ19" s="100">
        <v>3</v>
      </c>
      <c r="AR19" s="100">
        <v>3</v>
      </c>
      <c r="AS19" s="103">
        <v>15</v>
      </c>
      <c r="AT19" s="103">
        <v>15</v>
      </c>
      <c r="AU19" s="103">
        <v>0.377</v>
      </c>
      <c r="AV19" s="103">
        <v>0.377</v>
      </c>
      <c r="AW19" s="103">
        <v>0</v>
      </c>
      <c r="AX19" s="103">
        <v>0</v>
      </c>
      <c r="AY19" s="103">
        <v>0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23.625</v>
      </c>
      <c r="BF19" s="103">
        <v>23.625</v>
      </c>
      <c r="BG19" s="100">
        <v>1</v>
      </c>
      <c r="BH19"/>
      <c r="BI19"/>
      <c r="BJ19"/>
      <c r="BK19"/>
      <c r="BL19"/>
      <c r="BM19"/>
      <c r="BN19"/>
      <c r="BO19"/>
      <c r="BP19"/>
      <c r="BQ19"/>
    </row>
    <row r="20" spans="1:69">
      <c r="A20" s="100">
        <v>10067</v>
      </c>
      <c r="B20" s="100" t="s">
        <v>24</v>
      </c>
      <c r="C20" s="100">
        <v>1</v>
      </c>
      <c r="D20" s="100">
        <v>0</v>
      </c>
      <c r="E20" s="103">
        <v>16.053000000000001</v>
      </c>
      <c r="F20" s="103">
        <v>16.532</v>
      </c>
      <c r="G20" s="103">
        <v>16.669</v>
      </c>
      <c r="H20" s="103">
        <v>0</v>
      </c>
      <c r="I20" s="103">
        <v>0</v>
      </c>
      <c r="J20" s="103">
        <v>0</v>
      </c>
      <c r="K20" s="103">
        <v>0</v>
      </c>
      <c r="L20" s="102">
        <v>0</v>
      </c>
      <c r="M20" s="102">
        <v>0</v>
      </c>
      <c r="N20" s="103">
        <v>17.373000000000001</v>
      </c>
      <c r="O20" s="103">
        <v>17.510000000000002</v>
      </c>
      <c r="P20" s="102">
        <v>152187.48000000001</v>
      </c>
      <c r="Q20" s="102">
        <v>153387.6</v>
      </c>
      <c r="R20" s="100">
        <v>15.087999999999999</v>
      </c>
      <c r="S20" s="102">
        <v>132170.88</v>
      </c>
      <c r="T20" s="102">
        <v>132170.88</v>
      </c>
      <c r="U20" s="103">
        <v>2.2850000000000001</v>
      </c>
      <c r="V20" s="103">
        <v>2.4220000000000002</v>
      </c>
      <c r="W20" s="103">
        <v>2.2850000000000001</v>
      </c>
      <c r="X20" s="103">
        <v>2.4220000000000002</v>
      </c>
      <c r="Y20" s="103">
        <v>0</v>
      </c>
      <c r="Z20" s="103">
        <v>0</v>
      </c>
      <c r="AA20" s="100">
        <v>0</v>
      </c>
      <c r="AB20" s="100">
        <v>0</v>
      </c>
      <c r="AC20" s="103">
        <v>2.2850000000000001</v>
      </c>
      <c r="AD20" s="103">
        <v>2.4220000000000002</v>
      </c>
      <c r="AE20" s="104">
        <v>2.2398000000000001E-3</v>
      </c>
      <c r="AF20" s="104">
        <v>2.2398000000000001E-3</v>
      </c>
      <c r="AG20" s="104">
        <v>0</v>
      </c>
      <c r="AH20" s="104">
        <v>2.2398000000000001E-3</v>
      </c>
      <c r="AI20" s="104">
        <v>2.2398000000000001E-3</v>
      </c>
      <c r="AJ20" s="104">
        <v>2.2398000000000001E-3</v>
      </c>
      <c r="AK20" s="104">
        <v>0.86847964589880844</v>
      </c>
      <c r="AL20" s="104">
        <v>0.86168457385494002</v>
      </c>
      <c r="AM20" s="104">
        <v>1.151444856839873</v>
      </c>
      <c r="AN20" s="104">
        <v>1.1605249204665962</v>
      </c>
      <c r="AO20" s="104">
        <v>0</v>
      </c>
      <c r="AP20" s="104">
        <v>0</v>
      </c>
      <c r="AQ20" s="100">
        <v>3</v>
      </c>
      <c r="AR20" s="100">
        <v>3</v>
      </c>
      <c r="AS20" s="103">
        <v>2</v>
      </c>
      <c r="AT20" s="103">
        <v>3</v>
      </c>
      <c r="AU20" s="103">
        <v>0.28499999999999998</v>
      </c>
      <c r="AV20" s="103">
        <v>0.42199999999999999</v>
      </c>
      <c r="AW20" s="103">
        <v>0</v>
      </c>
      <c r="AX20" s="103">
        <v>0</v>
      </c>
      <c r="AY20" s="103">
        <v>0</v>
      </c>
      <c r="AZ20" s="103">
        <v>0</v>
      </c>
      <c r="BA20" s="103">
        <v>0</v>
      </c>
      <c r="BB20" s="103">
        <v>0</v>
      </c>
      <c r="BC20" s="103">
        <v>0</v>
      </c>
      <c r="BD20" s="103">
        <v>0</v>
      </c>
      <c r="BE20" s="103">
        <v>15.372999999999999</v>
      </c>
      <c r="BF20" s="103">
        <v>15.51</v>
      </c>
      <c r="BG20" s="100">
        <v>1</v>
      </c>
      <c r="BH20"/>
      <c r="BI20"/>
      <c r="BJ20"/>
      <c r="BK20"/>
      <c r="BL20"/>
      <c r="BM20"/>
      <c r="BN20"/>
      <c r="BO20"/>
      <c r="BP20"/>
      <c r="BQ20"/>
    </row>
    <row r="21" spans="1:69">
      <c r="A21" s="100">
        <v>10068</v>
      </c>
      <c r="B21" s="100" t="s">
        <v>25</v>
      </c>
      <c r="C21" s="100">
        <v>1</v>
      </c>
      <c r="D21" s="100">
        <v>0</v>
      </c>
      <c r="E21" s="103">
        <v>2.8109999999999999</v>
      </c>
      <c r="F21" s="103">
        <v>2.508</v>
      </c>
      <c r="G21" s="103">
        <v>2.508</v>
      </c>
      <c r="H21" s="103">
        <v>0</v>
      </c>
      <c r="I21" s="103">
        <v>0</v>
      </c>
      <c r="J21" s="103">
        <v>0</v>
      </c>
      <c r="K21" s="103">
        <v>0</v>
      </c>
      <c r="L21" s="102">
        <v>0</v>
      </c>
      <c r="M21" s="102">
        <v>0</v>
      </c>
      <c r="N21" s="103">
        <v>2.589</v>
      </c>
      <c r="O21" s="103">
        <v>2.5939999999999999</v>
      </c>
      <c r="P21" s="102">
        <v>22679.64</v>
      </c>
      <c r="Q21" s="102">
        <v>22723.439999999999</v>
      </c>
      <c r="R21" s="100">
        <v>2.6419999999999999</v>
      </c>
      <c r="S21" s="102">
        <v>23143.919999999998</v>
      </c>
      <c r="T21" s="102">
        <v>23143.919999999998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0">
        <v>0</v>
      </c>
      <c r="AB21" s="100">
        <v>0</v>
      </c>
      <c r="AC21" s="103">
        <v>0</v>
      </c>
      <c r="AD21" s="103">
        <v>0</v>
      </c>
      <c r="AE21" s="104">
        <v>3.8430000000000002E-4</v>
      </c>
      <c r="AF21" s="104">
        <v>3.8509999999999998E-4</v>
      </c>
      <c r="AG21" s="104">
        <v>0</v>
      </c>
      <c r="AH21" s="104">
        <v>3.8430000000000002E-4</v>
      </c>
      <c r="AI21" s="104">
        <v>3.8509999999999998E-4</v>
      </c>
      <c r="AJ21" s="104">
        <v>3.8469999999999997E-4</v>
      </c>
      <c r="AK21" s="104">
        <v>0.99991609258400937</v>
      </c>
      <c r="AL21" s="104">
        <v>1</v>
      </c>
      <c r="AM21" s="104">
        <v>1</v>
      </c>
      <c r="AN21" s="104">
        <v>1</v>
      </c>
      <c r="AO21" s="104">
        <v>0</v>
      </c>
      <c r="AP21" s="104">
        <v>0</v>
      </c>
      <c r="AQ21" s="100">
        <v>1</v>
      </c>
      <c r="AR21" s="100">
        <v>1</v>
      </c>
      <c r="AS21" s="103">
        <v>0</v>
      </c>
      <c r="AT21" s="103"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2.589</v>
      </c>
      <c r="BF21" s="103">
        <v>2.5939999999999999</v>
      </c>
      <c r="BG21" s="100">
        <v>0</v>
      </c>
      <c r="BH21"/>
      <c r="BI21"/>
      <c r="BJ21"/>
      <c r="BK21"/>
      <c r="BL21"/>
      <c r="BM21"/>
      <c r="BN21"/>
      <c r="BO21"/>
      <c r="BP21"/>
      <c r="BQ21"/>
    </row>
    <row r="22" spans="1:69">
      <c r="A22" s="100">
        <v>10070</v>
      </c>
      <c r="B22" s="100" t="s">
        <v>26</v>
      </c>
      <c r="C22" s="100">
        <v>1</v>
      </c>
      <c r="D22" s="100">
        <v>0</v>
      </c>
      <c r="E22" s="103">
        <v>0.36399999999999999</v>
      </c>
      <c r="F22" s="103">
        <v>0.378</v>
      </c>
      <c r="G22" s="103">
        <v>0.378</v>
      </c>
      <c r="H22" s="103">
        <v>0</v>
      </c>
      <c r="I22" s="103">
        <v>0</v>
      </c>
      <c r="J22" s="103">
        <v>0</v>
      </c>
      <c r="K22" s="103">
        <v>0</v>
      </c>
      <c r="L22" s="102">
        <v>0</v>
      </c>
      <c r="M22" s="102">
        <v>0</v>
      </c>
      <c r="N22" s="103">
        <v>0.377</v>
      </c>
      <c r="O22" s="103">
        <v>0.377</v>
      </c>
      <c r="P22" s="102">
        <v>3302.52</v>
      </c>
      <c r="Q22" s="102">
        <v>3302.52</v>
      </c>
      <c r="R22" s="100">
        <v>0.34200000000000003</v>
      </c>
      <c r="S22" s="102">
        <v>2995.92</v>
      </c>
      <c r="T22" s="102">
        <v>2995.92</v>
      </c>
      <c r="U22" s="103">
        <v>3.5000000000000003E-2</v>
      </c>
      <c r="V22" s="103">
        <v>3.5000000000000003E-2</v>
      </c>
      <c r="W22" s="103">
        <v>0</v>
      </c>
      <c r="X22" s="103">
        <v>0</v>
      </c>
      <c r="Y22" s="103">
        <v>3.5000000000000003E-2</v>
      </c>
      <c r="Z22" s="103">
        <v>3.5000000000000003E-2</v>
      </c>
      <c r="AA22" s="100">
        <v>0</v>
      </c>
      <c r="AB22" s="100">
        <v>0</v>
      </c>
      <c r="AC22" s="103">
        <v>0</v>
      </c>
      <c r="AD22" s="103">
        <v>0</v>
      </c>
      <c r="AE22" s="104">
        <v>5.0800000000000002E-5</v>
      </c>
      <c r="AF22" s="104">
        <v>5.0800000000000002E-5</v>
      </c>
      <c r="AG22" s="104">
        <v>0</v>
      </c>
      <c r="AH22" s="104">
        <v>5.0800000000000002E-5</v>
      </c>
      <c r="AI22" s="104">
        <v>5.0800000000000002E-5</v>
      </c>
      <c r="AJ22" s="104">
        <v>5.0800000000000002E-5</v>
      </c>
      <c r="AK22" s="104">
        <v>0.90771097400530509</v>
      </c>
      <c r="AL22" s="104">
        <v>0.90771097400530509</v>
      </c>
      <c r="AM22" s="104">
        <v>1.1023391812865497</v>
      </c>
      <c r="AN22" s="104">
        <v>1.1023391812865497</v>
      </c>
      <c r="AO22" s="104">
        <v>0</v>
      </c>
      <c r="AP22" s="104">
        <v>0</v>
      </c>
      <c r="AQ22" s="100">
        <v>1</v>
      </c>
      <c r="AR22" s="100">
        <v>1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3">
        <v>0</v>
      </c>
      <c r="BB22" s="103">
        <v>0</v>
      </c>
      <c r="BC22" s="103">
        <v>0</v>
      </c>
      <c r="BD22" s="103">
        <v>0</v>
      </c>
      <c r="BE22" s="103">
        <v>0.377</v>
      </c>
      <c r="BF22" s="103">
        <v>0.377</v>
      </c>
      <c r="BG22" s="100">
        <v>0</v>
      </c>
      <c r="BH22"/>
      <c r="BI22"/>
      <c r="BJ22"/>
      <c r="BK22"/>
      <c r="BL22"/>
      <c r="BM22"/>
      <c r="BN22"/>
      <c r="BO22"/>
      <c r="BP22"/>
      <c r="BQ22"/>
    </row>
    <row r="23" spans="1:69">
      <c r="A23" s="100">
        <v>10071</v>
      </c>
      <c r="B23" s="100" t="s">
        <v>27</v>
      </c>
      <c r="C23" s="100">
        <v>1</v>
      </c>
      <c r="D23" s="100">
        <v>0</v>
      </c>
      <c r="E23" s="103">
        <v>1.9430000000000001</v>
      </c>
      <c r="F23" s="103">
        <v>1.8620000000000001</v>
      </c>
      <c r="G23" s="103">
        <v>1.8620000000000001</v>
      </c>
      <c r="H23" s="103">
        <v>0</v>
      </c>
      <c r="I23" s="103">
        <v>0</v>
      </c>
      <c r="J23" s="103">
        <v>0</v>
      </c>
      <c r="K23" s="103">
        <v>0</v>
      </c>
      <c r="L23" s="102">
        <v>0</v>
      </c>
      <c r="M23" s="102">
        <v>0</v>
      </c>
      <c r="N23" s="103">
        <v>1.8779999999999999</v>
      </c>
      <c r="O23" s="103">
        <v>1.8779999999999999</v>
      </c>
      <c r="P23" s="102">
        <v>16451.28</v>
      </c>
      <c r="Q23" s="102">
        <v>16451.28</v>
      </c>
      <c r="R23" s="100">
        <v>1.8260000000000001</v>
      </c>
      <c r="S23" s="102">
        <v>15995.76</v>
      </c>
      <c r="T23" s="102">
        <v>15995.76</v>
      </c>
      <c r="U23" s="103">
        <v>5.1999999999999998E-2</v>
      </c>
      <c r="V23" s="103">
        <v>5.1999999999999998E-2</v>
      </c>
      <c r="W23" s="103">
        <v>0</v>
      </c>
      <c r="X23" s="103">
        <v>0</v>
      </c>
      <c r="Y23" s="103">
        <v>5.1999999999999998E-2</v>
      </c>
      <c r="Z23" s="103">
        <v>5.1999999999999998E-2</v>
      </c>
      <c r="AA23" s="100">
        <v>0</v>
      </c>
      <c r="AB23" s="100">
        <v>0</v>
      </c>
      <c r="AC23" s="103">
        <v>0</v>
      </c>
      <c r="AD23" s="103">
        <v>0</v>
      </c>
      <c r="AE23" s="104">
        <v>2.7109999999999998E-4</v>
      </c>
      <c r="AF23" s="104">
        <v>2.7109999999999998E-4</v>
      </c>
      <c r="AG23" s="104">
        <v>0</v>
      </c>
      <c r="AH23" s="104">
        <v>2.7109999999999998E-4</v>
      </c>
      <c r="AI23" s="104">
        <v>2.7109999999999998E-4</v>
      </c>
      <c r="AJ23" s="104">
        <v>2.7109999999999998E-4</v>
      </c>
      <c r="AK23" s="104">
        <v>0.97243180239616622</v>
      </c>
      <c r="AL23" s="104">
        <v>0.97243180239616622</v>
      </c>
      <c r="AM23" s="104">
        <v>1.0284775465498357</v>
      </c>
      <c r="AN23" s="104">
        <v>1.0284775465498357</v>
      </c>
      <c r="AO23" s="104">
        <v>0</v>
      </c>
      <c r="AP23" s="104">
        <v>0</v>
      </c>
      <c r="AQ23" s="100">
        <v>1</v>
      </c>
      <c r="AR23" s="100">
        <v>1</v>
      </c>
      <c r="AS23" s="103">
        <v>0</v>
      </c>
      <c r="AT23" s="103"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v>0</v>
      </c>
      <c r="BA23" s="103">
        <v>0</v>
      </c>
      <c r="BB23" s="103">
        <v>0</v>
      </c>
      <c r="BC23" s="103">
        <v>0</v>
      </c>
      <c r="BD23" s="103">
        <v>0</v>
      </c>
      <c r="BE23" s="103">
        <v>1.8779999999999999</v>
      </c>
      <c r="BF23" s="103">
        <v>1.8779999999999999</v>
      </c>
      <c r="BG23" s="100">
        <v>0</v>
      </c>
      <c r="BH23"/>
      <c r="BI23"/>
      <c r="BJ23"/>
      <c r="BK23"/>
      <c r="BL23"/>
      <c r="BM23"/>
      <c r="BN23"/>
      <c r="BO23"/>
      <c r="BP23"/>
      <c r="BQ23"/>
    </row>
    <row r="24" spans="1:69">
      <c r="A24" s="107">
        <v>10072</v>
      </c>
      <c r="B24" s="107" t="s">
        <v>28</v>
      </c>
      <c r="C24" s="107">
        <v>1</v>
      </c>
      <c r="D24" s="107">
        <v>0</v>
      </c>
      <c r="E24" s="103">
        <v>24.34</v>
      </c>
      <c r="F24" s="111">
        <v>24.001999999999999</v>
      </c>
      <c r="G24" s="111">
        <v>24.074999999999999</v>
      </c>
      <c r="H24" s="111">
        <v>0</v>
      </c>
      <c r="I24" s="111">
        <v>0</v>
      </c>
      <c r="J24" s="111">
        <v>0</v>
      </c>
      <c r="K24" s="111">
        <v>0</v>
      </c>
      <c r="L24" s="109">
        <v>0</v>
      </c>
      <c r="M24" s="109">
        <v>0</v>
      </c>
      <c r="N24" s="111">
        <v>24.574999999999999</v>
      </c>
      <c r="O24" s="111">
        <v>24.65</v>
      </c>
      <c r="P24" s="109">
        <v>215277</v>
      </c>
      <c r="Q24" s="109">
        <v>215934</v>
      </c>
      <c r="R24" s="107">
        <v>22.876999999999999</v>
      </c>
      <c r="S24" s="109">
        <v>200402.52</v>
      </c>
      <c r="T24" s="109">
        <v>200402.52</v>
      </c>
      <c r="U24" s="111">
        <v>1.698</v>
      </c>
      <c r="V24" s="111">
        <v>1.7729999999999999</v>
      </c>
      <c r="W24" s="103">
        <v>1.698</v>
      </c>
      <c r="X24" s="103">
        <v>1.7729999999999999</v>
      </c>
      <c r="Y24" s="111">
        <v>0</v>
      </c>
      <c r="Z24" s="111">
        <v>0</v>
      </c>
      <c r="AA24" s="107">
        <v>0</v>
      </c>
      <c r="AB24" s="107">
        <v>0</v>
      </c>
      <c r="AC24" s="111">
        <v>1.698</v>
      </c>
      <c r="AD24" s="111">
        <v>1.7729999999999999</v>
      </c>
      <c r="AE24" s="112">
        <v>3.3960000000000001E-3</v>
      </c>
      <c r="AF24" s="112">
        <v>3.3960000000000001E-3</v>
      </c>
      <c r="AG24" s="104">
        <v>0</v>
      </c>
      <c r="AH24" s="112">
        <v>3.3960000000000001E-3</v>
      </c>
      <c r="AI24" s="112">
        <v>3.3960000000000001E-3</v>
      </c>
      <c r="AJ24" s="112">
        <v>3.3960000000000001E-3</v>
      </c>
      <c r="AK24" s="112">
        <v>0.93089217350966436</v>
      </c>
      <c r="AL24" s="112">
        <v>0.92805984438133882</v>
      </c>
      <c r="AM24" s="112">
        <v>1.0742230187524588</v>
      </c>
      <c r="AN24" s="112">
        <v>1.0775014206408182</v>
      </c>
      <c r="AO24" s="112">
        <v>0</v>
      </c>
      <c r="AP24" s="112">
        <v>0</v>
      </c>
      <c r="AQ24" s="107">
        <v>1</v>
      </c>
      <c r="AR24" s="107">
        <v>1</v>
      </c>
      <c r="AS24" s="111">
        <v>0</v>
      </c>
      <c r="AT24" s="111">
        <v>0</v>
      </c>
      <c r="AU24" s="103">
        <v>1.698</v>
      </c>
      <c r="AV24" s="103">
        <v>1.7729999999999999</v>
      </c>
      <c r="AW24" s="103">
        <v>0</v>
      </c>
      <c r="AX24" s="103">
        <v>0</v>
      </c>
      <c r="AY24" s="103">
        <v>0</v>
      </c>
      <c r="AZ24" s="103">
        <v>0</v>
      </c>
      <c r="BA24" s="103">
        <v>0</v>
      </c>
      <c r="BB24" s="103">
        <v>0</v>
      </c>
      <c r="BC24" s="103">
        <v>0</v>
      </c>
      <c r="BD24" s="103">
        <v>0</v>
      </c>
      <c r="BE24" s="111">
        <v>24.574999999999999</v>
      </c>
      <c r="BF24" s="111">
        <v>24.65</v>
      </c>
      <c r="BG24" s="100">
        <v>1</v>
      </c>
      <c r="BH24"/>
      <c r="BI24"/>
      <c r="BJ24"/>
      <c r="BK24"/>
      <c r="BL24"/>
      <c r="BM24"/>
      <c r="BN24"/>
      <c r="BO24"/>
      <c r="BP24"/>
      <c r="BQ24"/>
    </row>
    <row r="25" spans="1:69">
      <c r="A25" s="100">
        <v>10074</v>
      </c>
      <c r="B25" s="100" t="s">
        <v>29</v>
      </c>
      <c r="C25" s="100">
        <v>1</v>
      </c>
      <c r="D25" s="100">
        <v>0</v>
      </c>
      <c r="E25" s="103">
        <v>27.08</v>
      </c>
      <c r="F25" s="103">
        <v>30.283000000000001</v>
      </c>
      <c r="G25" s="103">
        <v>30.437000000000001</v>
      </c>
      <c r="H25" s="103">
        <v>0</v>
      </c>
      <c r="I25" s="103">
        <v>0</v>
      </c>
      <c r="J25" s="103">
        <v>2.9420000000000002</v>
      </c>
      <c r="K25" s="103">
        <v>2.9409999999999998</v>
      </c>
      <c r="L25" s="102">
        <v>25771.920000000002</v>
      </c>
      <c r="M25" s="102">
        <v>25763.16</v>
      </c>
      <c r="N25" s="103">
        <v>27.280999999999999</v>
      </c>
      <c r="O25" s="103">
        <v>27.356999999999999</v>
      </c>
      <c r="P25" s="102">
        <v>238981.56</v>
      </c>
      <c r="Q25" s="102">
        <v>239647.32</v>
      </c>
      <c r="R25" s="100">
        <v>25.452000000000002</v>
      </c>
      <c r="S25" s="102">
        <v>222959.52000000002</v>
      </c>
      <c r="T25" s="102">
        <v>222959.52000000002</v>
      </c>
      <c r="U25" s="103">
        <v>1.829</v>
      </c>
      <c r="V25" s="103">
        <v>1.905</v>
      </c>
      <c r="W25" s="103">
        <v>1.829</v>
      </c>
      <c r="X25" s="103">
        <v>1.905</v>
      </c>
      <c r="Y25" s="103">
        <v>0</v>
      </c>
      <c r="Z25" s="103">
        <v>0</v>
      </c>
      <c r="AA25" s="100">
        <v>0</v>
      </c>
      <c r="AB25" s="100">
        <v>0</v>
      </c>
      <c r="AC25" s="103">
        <v>1.829</v>
      </c>
      <c r="AD25" s="103">
        <v>1.905</v>
      </c>
      <c r="AE25" s="104">
        <v>3.7783000000000001E-3</v>
      </c>
      <c r="AF25" s="104">
        <v>3.7783000000000001E-3</v>
      </c>
      <c r="AG25" s="104">
        <v>0</v>
      </c>
      <c r="AH25" s="104">
        <v>3.7783000000000001E-3</v>
      </c>
      <c r="AI25" s="104">
        <v>3.7783000000000001E-3</v>
      </c>
      <c r="AJ25" s="104">
        <v>3.7783000000000001E-3</v>
      </c>
      <c r="AK25" s="104">
        <v>0.93948268569301541</v>
      </c>
      <c r="AL25" s="104">
        <v>0.93712407451646984</v>
      </c>
      <c r="AM25" s="104">
        <v>1.0718607575043217</v>
      </c>
      <c r="AN25" s="104">
        <v>1.0748467703913247</v>
      </c>
      <c r="AO25" s="104">
        <v>0</v>
      </c>
      <c r="AP25" s="104">
        <v>0</v>
      </c>
      <c r="AQ25" s="100">
        <v>3</v>
      </c>
      <c r="AR25" s="100">
        <v>3</v>
      </c>
      <c r="AS25" s="103">
        <v>1</v>
      </c>
      <c r="AT25" s="103">
        <v>1</v>
      </c>
      <c r="AU25" s="103">
        <v>0.82899999999999996</v>
      </c>
      <c r="AV25" s="103">
        <v>0.90500000000000003</v>
      </c>
      <c r="AW25" s="103">
        <v>0</v>
      </c>
      <c r="AX25" s="103">
        <v>0</v>
      </c>
      <c r="AY25" s="103">
        <v>0</v>
      </c>
      <c r="AZ25" s="103">
        <v>0</v>
      </c>
      <c r="BA25" s="103">
        <v>0</v>
      </c>
      <c r="BB25" s="103">
        <v>0</v>
      </c>
      <c r="BC25" s="103">
        <v>0</v>
      </c>
      <c r="BD25" s="103">
        <v>0</v>
      </c>
      <c r="BE25" s="103">
        <v>26.280999999999999</v>
      </c>
      <c r="BF25" s="103">
        <v>26.356999999999999</v>
      </c>
      <c r="BG25" s="100">
        <v>1</v>
      </c>
      <c r="BH25"/>
      <c r="BI25"/>
      <c r="BJ25"/>
      <c r="BK25"/>
      <c r="BL25"/>
      <c r="BM25"/>
      <c r="BN25"/>
      <c r="BO25"/>
      <c r="BP25"/>
      <c r="BQ25"/>
    </row>
    <row r="26" spans="1:69">
      <c r="A26" s="100">
        <v>10076</v>
      </c>
      <c r="B26" s="100" t="s">
        <v>30</v>
      </c>
      <c r="C26" s="100">
        <v>1</v>
      </c>
      <c r="D26" s="100">
        <v>0</v>
      </c>
      <c r="E26" s="103">
        <v>4.8890000000000002</v>
      </c>
      <c r="F26" s="103">
        <v>7.8150000000000004</v>
      </c>
      <c r="G26" s="103">
        <v>7.8479999999999999</v>
      </c>
      <c r="H26" s="103">
        <v>0</v>
      </c>
      <c r="I26" s="103">
        <v>0</v>
      </c>
      <c r="J26" s="103">
        <v>0</v>
      </c>
      <c r="K26" s="103">
        <v>0</v>
      </c>
      <c r="L26" s="102">
        <v>0</v>
      </c>
      <c r="M26" s="102">
        <v>0</v>
      </c>
      <c r="N26" s="103">
        <v>7.8310000000000004</v>
      </c>
      <c r="O26" s="103">
        <v>7.8639999999999999</v>
      </c>
      <c r="P26" s="102">
        <v>68599.56</v>
      </c>
      <c r="Q26" s="102">
        <v>68888.639999999999</v>
      </c>
      <c r="R26" s="100">
        <v>4.5949999999999998</v>
      </c>
      <c r="S26" s="102">
        <v>40252.199999999997</v>
      </c>
      <c r="T26" s="102">
        <v>40252.199999999997</v>
      </c>
      <c r="U26" s="103">
        <v>3.2360000000000002</v>
      </c>
      <c r="V26" s="103">
        <v>3.2690000000000001</v>
      </c>
      <c r="W26" s="103">
        <v>3.2360000000000002</v>
      </c>
      <c r="X26" s="103">
        <v>3.2690000000000001</v>
      </c>
      <c r="Y26" s="103">
        <v>0</v>
      </c>
      <c r="Z26" s="103">
        <v>0</v>
      </c>
      <c r="AA26" s="100">
        <v>0</v>
      </c>
      <c r="AB26" s="100">
        <v>0</v>
      </c>
      <c r="AC26" s="103">
        <v>3.2360000000000002</v>
      </c>
      <c r="AD26" s="103">
        <v>3.2690000000000001</v>
      </c>
      <c r="AE26" s="104">
        <v>6.8210000000000005E-4</v>
      </c>
      <c r="AF26" s="104">
        <v>6.8210000000000005E-4</v>
      </c>
      <c r="AG26" s="104">
        <v>0</v>
      </c>
      <c r="AH26" s="104">
        <v>6.8210000000000005E-4</v>
      </c>
      <c r="AI26" s="104">
        <v>6.8210000000000005E-4</v>
      </c>
      <c r="AJ26" s="104">
        <v>6.8210000000000005E-4</v>
      </c>
      <c r="AK26" s="104">
        <v>0.58675398721746908</v>
      </c>
      <c r="AL26" s="104">
        <v>0.58429176931586979</v>
      </c>
      <c r="AM26" s="104">
        <v>1.7042437431991297</v>
      </c>
      <c r="AN26" s="104">
        <v>1.7114254624591949</v>
      </c>
      <c r="AO26" s="104">
        <v>0</v>
      </c>
      <c r="AP26" s="104">
        <v>0</v>
      </c>
      <c r="AQ26" s="100">
        <v>1</v>
      </c>
      <c r="AR26" s="100">
        <v>1</v>
      </c>
      <c r="AS26" s="103">
        <v>0</v>
      </c>
      <c r="AT26" s="103">
        <v>0</v>
      </c>
      <c r="AU26" s="103">
        <v>3.2360000000000002</v>
      </c>
      <c r="AV26" s="103">
        <v>3.2690000000000001</v>
      </c>
      <c r="AW26" s="103">
        <v>0</v>
      </c>
      <c r="AX26" s="103">
        <v>0</v>
      </c>
      <c r="AY26" s="103">
        <v>0</v>
      </c>
      <c r="AZ26" s="103">
        <v>0</v>
      </c>
      <c r="BA26" s="103">
        <v>0</v>
      </c>
      <c r="BB26" s="103">
        <v>0</v>
      </c>
      <c r="BC26" s="103">
        <v>0</v>
      </c>
      <c r="BD26" s="103">
        <v>0</v>
      </c>
      <c r="BE26" s="103">
        <v>7.8310000000000004</v>
      </c>
      <c r="BF26" s="103">
        <v>7.8639999999999999</v>
      </c>
      <c r="BG26" s="100">
        <v>1</v>
      </c>
      <c r="BH26"/>
      <c r="BI26"/>
      <c r="BJ26"/>
      <c r="BK26"/>
      <c r="BL26"/>
      <c r="BM26"/>
      <c r="BN26"/>
      <c r="BO26"/>
      <c r="BP26"/>
      <c r="BQ26"/>
    </row>
    <row r="27" spans="1:69">
      <c r="A27" s="100">
        <v>10078</v>
      </c>
      <c r="B27" s="100" t="s">
        <v>31</v>
      </c>
      <c r="C27" s="100">
        <v>1</v>
      </c>
      <c r="D27" s="100">
        <v>0</v>
      </c>
      <c r="E27" s="103">
        <v>3.7729999999999997</v>
      </c>
      <c r="F27" s="103">
        <v>3.6640000000000001</v>
      </c>
      <c r="G27" s="103">
        <v>3.7120000000000002</v>
      </c>
      <c r="H27" s="103">
        <v>0</v>
      </c>
      <c r="I27" s="103">
        <v>0</v>
      </c>
      <c r="J27" s="103">
        <v>0</v>
      </c>
      <c r="K27" s="103">
        <v>0</v>
      </c>
      <c r="L27" s="102">
        <v>0</v>
      </c>
      <c r="M27" s="102">
        <v>0</v>
      </c>
      <c r="N27" s="103">
        <v>3.883</v>
      </c>
      <c r="O27" s="103">
        <v>3.9209999999999998</v>
      </c>
      <c r="P27" s="102">
        <v>34015.08</v>
      </c>
      <c r="Q27" s="102">
        <v>34347.96</v>
      </c>
      <c r="R27" s="100">
        <v>3.5459999999999998</v>
      </c>
      <c r="S27" s="102">
        <v>31062.959999999999</v>
      </c>
      <c r="T27" s="102">
        <v>31062.959999999999</v>
      </c>
      <c r="U27" s="103">
        <v>0.33700000000000002</v>
      </c>
      <c r="V27" s="103">
        <v>0.375</v>
      </c>
      <c r="W27" s="103">
        <v>0</v>
      </c>
      <c r="X27" s="103">
        <v>0</v>
      </c>
      <c r="Y27" s="103">
        <v>0.33700000000000002</v>
      </c>
      <c r="Z27" s="103">
        <v>0.375</v>
      </c>
      <c r="AA27" s="100">
        <v>0</v>
      </c>
      <c r="AB27" s="100">
        <v>0</v>
      </c>
      <c r="AC27" s="103">
        <v>0</v>
      </c>
      <c r="AD27" s="103">
        <v>0</v>
      </c>
      <c r="AE27" s="104">
        <v>5.264E-4</v>
      </c>
      <c r="AF27" s="104">
        <v>5.264E-4</v>
      </c>
      <c r="AG27" s="104">
        <v>0</v>
      </c>
      <c r="AH27" s="104">
        <v>5.264E-4</v>
      </c>
      <c r="AI27" s="104">
        <v>5.264E-4</v>
      </c>
      <c r="AJ27" s="104">
        <v>5.264E-4</v>
      </c>
      <c r="AK27" s="104">
        <v>0.91321642482616538</v>
      </c>
      <c r="AL27" s="104">
        <v>0.90436607436878358</v>
      </c>
      <c r="AM27" s="104">
        <v>1.0950366610265088</v>
      </c>
      <c r="AN27" s="104">
        <v>1.1057529610829104</v>
      </c>
      <c r="AO27" s="104">
        <v>0</v>
      </c>
      <c r="AP27" s="104">
        <v>0</v>
      </c>
      <c r="AQ27" s="100">
        <v>1</v>
      </c>
      <c r="AR27" s="100">
        <v>1</v>
      </c>
      <c r="AS27" s="103">
        <v>0</v>
      </c>
      <c r="AT27" s="103"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v>0</v>
      </c>
      <c r="BA27" s="103">
        <v>0</v>
      </c>
      <c r="BB27" s="103">
        <v>0</v>
      </c>
      <c r="BC27" s="103">
        <v>0</v>
      </c>
      <c r="BD27" s="103">
        <v>0</v>
      </c>
      <c r="BE27" s="103">
        <v>3.883</v>
      </c>
      <c r="BF27" s="103">
        <v>3.9209999999999998</v>
      </c>
      <c r="BG27" s="100">
        <v>0</v>
      </c>
      <c r="BH27"/>
      <c r="BI27"/>
      <c r="BJ27"/>
      <c r="BK27"/>
      <c r="BL27"/>
      <c r="BM27"/>
      <c r="BN27"/>
      <c r="BO27"/>
      <c r="BP27"/>
      <c r="BQ27"/>
    </row>
    <row r="28" spans="1:69">
      <c r="A28" s="100">
        <v>10079</v>
      </c>
      <c r="B28" s="100" t="s">
        <v>32</v>
      </c>
      <c r="C28" s="100">
        <v>1</v>
      </c>
      <c r="D28" s="100">
        <v>0</v>
      </c>
      <c r="E28" s="103">
        <v>89.494</v>
      </c>
      <c r="F28" s="103">
        <v>84.146000000000001</v>
      </c>
      <c r="G28" s="103">
        <v>84.355000000000004</v>
      </c>
      <c r="H28" s="103">
        <v>0</v>
      </c>
      <c r="I28" s="103">
        <v>0</v>
      </c>
      <c r="J28" s="103">
        <v>2.9420000000000002</v>
      </c>
      <c r="K28" s="103">
        <v>2.9409999999999998</v>
      </c>
      <c r="L28" s="102">
        <v>25771.920000000002</v>
      </c>
      <c r="M28" s="102">
        <v>25763.16</v>
      </c>
      <c r="N28" s="103">
        <v>81.203999999999994</v>
      </c>
      <c r="O28" s="103">
        <v>81.414000000000001</v>
      </c>
      <c r="P28" s="102">
        <v>711347.03999999992</v>
      </c>
      <c r="Q28" s="102">
        <v>713186.64</v>
      </c>
      <c r="R28" s="100">
        <v>84.114000000000004</v>
      </c>
      <c r="S28" s="102">
        <v>736838.64</v>
      </c>
      <c r="T28" s="102">
        <v>736838.64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0">
        <v>0</v>
      </c>
      <c r="AB28" s="100">
        <v>0</v>
      </c>
      <c r="AC28" s="103">
        <v>0</v>
      </c>
      <c r="AD28" s="103">
        <v>0</v>
      </c>
      <c r="AE28" s="104">
        <v>1.20546E-2</v>
      </c>
      <c r="AF28" s="104">
        <v>1.2085800000000001E-2</v>
      </c>
      <c r="AG28" s="104">
        <v>0</v>
      </c>
      <c r="AH28" s="104">
        <v>1.20546E-2</v>
      </c>
      <c r="AI28" s="104">
        <v>1.2085800000000001E-2</v>
      </c>
      <c r="AJ28" s="104">
        <v>1.20702E-2</v>
      </c>
      <c r="AK28" s="104">
        <v>1</v>
      </c>
      <c r="AL28" s="104">
        <v>1</v>
      </c>
      <c r="AM28" s="104">
        <v>1</v>
      </c>
      <c r="AN28" s="104">
        <v>1</v>
      </c>
      <c r="AO28" s="104">
        <v>0</v>
      </c>
      <c r="AP28" s="104">
        <v>0</v>
      </c>
      <c r="AQ28" s="100">
        <v>3</v>
      </c>
      <c r="AR28" s="100">
        <v>3</v>
      </c>
      <c r="AS28" s="103">
        <v>4.069</v>
      </c>
      <c r="AT28" s="103">
        <v>4.0149999999999997</v>
      </c>
      <c r="AU28" s="103">
        <v>0</v>
      </c>
      <c r="AV28" s="103">
        <v>0</v>
      </c>
      <c r="AW28" s="103">
        <v>4.069</v>
      </c>
      <c r="AX28" s="103">
        <v>4.0149999999999997</v>
      </c>
      <c r="AY28" s="103">
        <v>-4.069</v>
      </c>
      <c r="AZ28" s="103">
        <v>-4.0149999999999997</v>
      </c>
      <c r="BA28" s="103">
        <v>0</v>
      </c>
      <c r="BB28" s="103">
        <v>0</v>
      </c>
      <c r="BC28" s="103">
        <v>-4.069</v>
      </c>
      <c r="BD28" s="103">
        <v>-4.0149999999999997</v>
      </c>
      <c r="BE28" s="103">
        <v>81.203999999999994</v>
      </c>
      <c r="BF28" s="103">
        <v>81.414000000000001</v>
      </c>
      <c r="BG28" s="100">
        <v>0</v>
      </c>
      <c r="BH28"/>
      <c r="BI28"/>
      <c r="BJ28"/>
      <c r="BK28"/>
      <c r="BL28"/>
      <c r="BM28"/>
      <c r="BN28"/>
      <c r="BO28"/>
      <c r="BP28"/>
      <c r="BQ28"/>
    </row>
    <row r="29" spans="1:69">
      <c r="A29" s="100">
        <v>10080</v>
      </c>
      <c r="B29" s="100" t="s">
        <v>33</v>
      </c>
      <c r="C29" s="100">
        <v>1</v>
      </c>
      <c r="D29" s="100">
        <v>0</v>
      </c>
      <c r="E29" s="103">
        <v>7.548</v>
      </c>
      <c r="F29" s="103">
        <v>6.6</v>
      </c>
      <c r="G29" s="103">
        <v>6.6040000000000001</v>
      </c>
      <c r="H29" s="103">
        <v>0</v>
      </c>
      <c r="I29" s="103">
        <v>0</v>
      </c>
      <c r="J29" s="103">
        <v>0</v>
      </c>
      <c r="K29" s="103">
        <v>0</v>
      </c>
      <c r="L29" s="102">
        <v>0</v>
      </c>
      <c r="M29" s="102">
        <v>0</v>
      </c>
      <c r="N29" s="103">
        <v>6.86</v>
      </c>
      <c r="O29" s="103">
        <v>6.8630000000000004</v>
      </c>
      <c r="P29" s="102">
        <v>60093.600000000006</v>
      </c>
      <c r="Q29" s="102">
        <v>60119.880000000005</v>
      </c>
      <c r="R29" s="100">
        <v>7.0940000000000003</v>
      </c>
      <c r="S29" s="102">
        <v>62143.44</v>
      </c>
      <c r="T29" s="102">
        <v>62143.44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0">
        <v>0</v>
      </c>
      <c r="AB29" s="100">
        <v>0</v>
      </c>
      <c r="AC29" s="103">
        <v>0</v>
      </c>
      <c r="AD29" s="103">
        <v>0</v>
      </c>
      <c r="AE29" s="104">
        <v>1.0184E-3</v>
      </c>
      <c r="AF29" s="104">
        <v>1.0188E-3</v>
      </c>
      <c r="AG29" s="104">
        <v>0</v>
      </c>
      <c r="AH29" s="104">
        <v>1.0184E-3</v>
      </c>
      <c r="AI29" s="104">
        <v>1.0188E-3</v>
      </c>
      <c r="AJ29" s="104">
        <v>1.0186000000000001E-3</v>
      </c>
      <c r="AK29" s="104">
        <v>1</v>
      </c>
      <c r="AL29" s="104">
        <v>1</v>
      </c>
      <c r="AM29" s="104">
        <v>1</v>
      </c>
      <c r="AN29" s="104">
        <v>1</v>
      </c>
      <c r="AO29" s="104">
        <v>0</v>
      </c>
      <c r="AP29" s="104">
        <v>0</v>
      </c>
      <c r="AQ29" s="100">
        <v>1</v>
      </c>
      <c r="AR29" s="100">
        <v>1</v>
      </c>
      <c r="AS29" s="103">
        <v>0</v>
      </c>
      <c r="AT29" s="103"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v>0</v>
      </c>
      <c r="BA29" s="103">
        <v>0</v>
      </c>
      <c r="BB29" s="103">
        <v>0</v>
      </c>
      <c r="BC29" s="103">
        <v>0</v>
      </c>
      <c r="BD29" s="103">
        <v>0</v>
      </c>
      <c r="BE29" s="103">
        <v>6.86</v>
      </c>
      <c r="BF29" s="103">
        <v>6.8630000000000004</v>
      </c>
      <c r="BG29" s="100">
        <v>0</v>
      </c>
      <c r="BH29"/>
      <c r="BI29"/>
      <c r="BJ29"/>
      <c r="BK29"/>
      <c r="BL29"/>
      <c r="BM29"/>
      <c r="BN29"/>
      <c r="BO29"/>
      <c r="BP29"/>
      <c r="BQ29"/>
    </row>
    <row r="30" spans="1:69">
      <c r="A30" s="100">
        <v>10081</v>
      </c>
      <c r="B30" s="100" t="s">
        <v>34</v>
      </c>
      <c r="C30" s="100">
        <v>1</v>
      </c>
      <c r="D30" s="100">
        <v>0</v>
      </c>
      <c r="E30" s="103">
        <v>10.611000000000001</v>
      </c>
      <c r="F30" s="103">
        <v>12.051</v>
      </c>
      <c r="G30" s="103">
        <v>12.051</v>
      </c>
      <c r="H30" s="103">
        <v>0</v>
      </c>
      <c r="I30" s="103">
        <v>0</v>
      </c>
      <c r="J30" s="103">
        <v>2.9420000000000002</v>
      </c>
      <c r="K30" s="103">
        <v>2.9409999999999998</v>
      </c>
      <c r="L30" s="102">
        <v>25771.920000000002</v>
      </c>
      <c r="M30" s="102">
        <v>25763.16</v>
      </c>
      <c r="N30" s="103">
        <v>9.2230000000000008</v>
      </c>
      <c r="O30" s="103">
        <v>9.2240000000000002</v>
      </c>
      <c r="P30" s="102">
        <v>80793.48000000001</v>
      </c>
      <c r="Q30" s="102">
        <v>80802.240000000005</v>
      </c>
      <c r="R30" s="100">
        <v>9.9730000000000008</v>
      </c>
      <c r="S30" s="102">
        <v>87363.48000000001</v>
      </c>
      <c r="T30" s="102">
        <v>87363.48000000001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0">
        <v>0</v>
      </c>
      <c r="AB30" s="100">
        <v>0</v>
      </c>
      <c r="AC30" s="103">
        <v>0</v>
      </c>
      <c r="AD30" s="103">
        <v>0</v>
      </c>
      <c r="AE30" s="104">
        <v>1.3691E-3</v>
      </c>
      <c r="AF30" s="104">
        <v>1.3692999999999999E-3</v>
      </c>
      <c r="AG30" s="104">
        <v>0</v>
      </c>
      <c r="AH30" s="104">
        <v>1.3691E-3</v>
      </c>
      <c r="AI30" s="104">
        <v>1.3692999999999999E-3</v>
      </c>
      <c r="AJ30" s="104">
        <v>1.3692000000000001E-3</v>
      </c>
      <c r="AK30" s="104">
        <v>0.99997937582408558</v>
      </c>
      <c r="AL30" s="104">
        <v>1</v>
      </c>
      <c r="AM30" s="104">
        <v>1</v>
      </c>
      <c r="AN30" s="104">
        <v>1</v>
      </c>
      <c r="AO30" s="104">
        <v>0</v>
      </c>
      <c r="AP30" s="104">
        <v>0</v>
      </c>
      <c r="AQ30" s="100">
        <v>1</v>
      </c>
      <c r="AR30" s="100">
        <v>1</v>
      </c>
      <c r="AS30" s="103">
        <v>0</v>
      </c>
      <c r="AT30" s="103"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v>0</v>
      </c>
      <c r="BA30" s="103">
        <v>0</v>
      </c>
      <c r="BB30" s="103">
        <v>0</v>
      </c>
      <c r="BC30" s="103">
        <v>0</v>
      </c>
      <c r="BD30" s="103">
        <v>0</v>
      </c>
      <c r="BE30" s="103">
        <v>9.2230000000000008</v>
      </c>
      <c r="BF30" s="103">
        <v>9.2240000000000002</v>
      </c>
      <c r="BG30" s="100">
        <v>0</v>
      </c>
      <c r="BH30"/>
      <c r="BI30"/>
      <c r="BJ30"/>
      <c r="BK30"/>
      <c r="BL30"/>
      <c r="BM30"/>
      <c r="BN30"/>
      <c r="BO30"/>
      <c r="BP30"/>
      <c r="BQ30"/>
    </row>
    <row r="31" spans="1:69">
      <c r="A31" s="100">
        <v>10082</v>
      </c>
      <c r="B31" s="100" t="s">
        <v>35</v>
      </c>
      <c r="C31" s="100">
        <v>1</v>
      </c>
      <c r="D31" s="100">
        <v>0</v>
      </c>
      <c r="E31" s="103">
        <v>0.12</v>
      </c>
      <c r="F31" s="103">
        <v>9.5000000000000001E-2</v>
      </c>
      <c r="G31" s="103">
        <v>9.5000000000000001E-2</v>
      </c>
      <c r="H31" s="103">
        <v>0</v>
      </c>
      <c r="I31" s="103">
        <v>0</v>
      </c>
      <c r="J31" s="103">
        <v>0</v>
      </c>
      <c r="K31" s="103">
        <v>0</v>
      </c>
      <c r="L31" s="102">
        <v>0</v>
      </c>
      <c r="M31" s="102">
        <v>0</v>
      </c>
      <c r="N31" s="103">
        <v>9.5000000000000001E-2</v>
      </c>
      <c r="O31" s="103">
        <v>9.5000000000000001E-2</v>
      </c>
      <c r="P31" s="102">
        <v>832.2</v>
      </c>
      <c r="Q31" s="102">
        <v>832.2</v>
      </c>
      <c r="R31" s="100">
        <v>0.113</v>
      </c>
      <c r="S31" s="102">
        <v>989.88</v>
      </c>
      <c r="T31" s="102">
        <v>989.88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0">
        <v>0</v>
      </c>
      <c r="AB31" s="100">
        <v>0</v>
      </c>
      <c r="AC31" s="103">
        <v>0</v>
      </c>
      <c r="AD31" s="103">
        <v>0</v>
      </c>
      <c r="AE31" s="104">
        <v>1.4100000000000001E-5</v>
      </c>
      <c r="AF31" s="104">
        <v>1.4100000000000001E-5</v>
      </c>
      <c r="AG31" s="104">
        <v>0</v>
      </c>
      <c r="AH31" s="104">
        <v>1.4100000000000001E-5</v>
      </c>
      <c r="AI31" s="104">
        <v>1.4100000000000001E-5</v>
      </c>
      <c r="AJ31" s="104">
        <v>1.4100000000000001E-5</v>
      </c>
      <c r="AK31" s="104">
        <v>0.99981749368421069</v>
      </c>
      <c r="AL31" s="104">
        <v>0.99981749368421069</v>
      </c>
      <c r="AM31" s="104">
        <v>1</v>
      </c>
      <c r="AN31" s="104">
        <v>1</v>
      </c>
      <c r="AO31" s="104">
        <v>0</v>
      </c>
      <c r="AP31" s="104">
        <v>0</v>
      </c>
      <c r="AQ31" s="100">
        <v>1</v>
      </c>
      <c r="AR31" s="100">
        <v>1</v>
      </c>
      <c r="AS31" s="103">
        <v>0</v>
      </c>
      <c r="AT31" s="103"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v>0</v>
      </c>
      <c r="BA31" s="103">
        <v>0</v>
      </c>
      <c r="BB31" s="103">
        <v>0</v>
      </c>
      <c r="BC31" s="103">
        <v>0</v>
      </c>
      <c r="BD31" s="103">
        <v>0</v>
      </c>
      <c r="BE31" s="103">
        <v>9.5000000000000001E-2</v>
      </c>
      <c r="BF31" s="103">
        <v>9.5000000000000001E-2</v>
      </c>
      <c r="BG31" s="100">
        <v>0</v>
      </c>
      <c r="BH31"/>
      <c r="BI31"/>
      <c r="BJ31"/>
      <c r="BK31"/>
      <c r="BL31"/>
      <c r="BM31"/>
      <c r="BN31"/>
      <c r="BO31"/>
      <c r="BP31"/>
      <c r="BQ31"/>
    </row>
    <row r="32" spans="1:69">
      <c r="A32" s="100">
        <v>10083</v>
      </c>
      <c r="B32" s="100" t="s">
        <v>36</v>
      </c>
      <c r="C32" s="100">
        <v>1</v>
      </c>
      <c r="D32" s="100">
        <v>0</v>
      </c>
      <c r="E32" s="103">
        <v>8.4879999999999995</v>
      </c>
      <c r="F32" s="103">
        <v>8.6219999999999999</v>
      </c>
      <c r="G32" s="103">
        <v>8.6679999999999993</v>
      </c>
      <c r="H32" s="103">
        <v>0</v>
      </c>
      <c r="I32" s="103">
        <v>0</v>
      </c>
      <c r="J32" s="103">
        <v>0</v>
      </c>
      <c r="K32" s="103">
        <v>0</v>
      </c>
      <c r="L32" s="102">
        <v>0</v>
      </c>
      <c r="M32" s="102">
        <v>0</v>
      </c>
      <c r="N32" s="103">
        <v>8.8409999999999993</v>
      </c>
      <c r="O32" s="103">
        <v>8.9039999999999999</v>
      </c>
      <c r="P32" s="102">
        <v>77447.159999999989</v>
      </c>
      <c r="Q32" s="102">
        <v>77999.039999999994</v>
      </c>
      <c r="R32" s="100">
        <v>7.9779999999999998</v>
      </c>
      <c r="S32" s="102">
        <v>69887.28</v>
      </c>
      <c r="T32" s="102">
        <v>69887.28</v>
      </c>
      <c r="U32" s="103">
        <v>0.86299999999999999</v>
      </c>
      <c r="V32" s="103">
        <v>0.92600000000000005</v>
      </c>
      <c r="W32" s="103">
        <v>0</v>
      </c>
      <c r="X32" s="103">
        <v>0</v>
      </c>
      <c r="Y32" s="103">
        <v>0.86299999999999999</v>
      </c>
      <c r="Z32" s="103">
        <v>0.92600000000000005</v>
      </c>
      <c r="AA32" s="100">
        <v>0</v>
      </c>
      <c r="AB32" s="100">
        <v>0</v>
      </c>
      <c r="AC32" s="103">
        <v>0</v>
      </c>
      <c r="AD32" s="103">
        <v>0</v>
      </c>
      <c r="AE32" s="104">
        <v>1.1842999999999999E-3</v>
      </c>
      <c r="AF32" s="104">
        <v>1.1842999999999999E-3</v>
      </c>
      <c r="AG32" s="104">
        <v>0</v>
      </c>
      <c r="AH32" s="104">
        <v>1.1842999999999999E-3</v>
      </c>
      <c r="AI32" s="104">
        <v>1.1842999999999999E-3</v>
      </c>
      <c r="AJ32" s="104">
        <v>1.1842999999999999E-3</v>
      </c>
      <c r="AK32" s="104">
        <v>0.90237189952494068</v>
      </c>
      <c r="AL32" s="104">
        <v>0.89598719268867921</v>
      </c>
      <c r="AM32" s="104">
        <v>1.1081724743043369</v>
      </c>
      <c r="AN32" s="104">
        <v>1.1160691902732514</v>
      </c>
      <c r="AO32" s="104">
        <v>0</v>
      </c>
      <c r="AP32" s="104">
        <v>0</v>
      </c>
      <c r="AQ32" s="100">
        <v>1</v>
      </c>
      <c r="AR32" s="100">
        <v>1</v>
      </c>
      <c r="AS32" s="103">
        <v>0</v>
      </c>
      <c r="AT32" s="103"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v>0</v>
      </c>
      <c r="BA32" s="103">
        <v>0</v>
      </c>
      <c r="BB32" s="103">
        <v>0</v>
      </c>
      <c r="BC32" s="103">
        <v>0</v>
      </c>
      <c r="BD32" s="103">
        <v>0</v>
      </c>
      <c r="BE32" s="103">
        <v>8.8409999999999993</v>
      </c>
      <c r="BF32" s="103">
        <v>8.9039999999999999</v>
      </c>
      <c r="BG32" s="100">
        <v>0</v>
      </c>
      <c r="BH32"/>
      <c r="BI32"/>
      <c r="BJ32"/>
      <c r="BK32"/>
      <c r="BL32"/>
      <c r="BM32"/>
      <c r="BN32"/>
      <c r="BO32"/>
      <c r="BP32"/>
      <c r="BQ32"/>
    </row>
    <row r="33" spans="1:69">
      <c r="A33" s="100">
        <v>10086</v>
      </c>
      <c r="B33" s="100" t="s">
        <v>37</v>
      </c>
      <c r="C33" s="100">
        <v>1</v>
      </c>
      <c r="D33" s="100">
        <v>0</v>
      </c>
      <c r="E33" s="103">
        <v>4.0039999999999996</v>
      </c>
      <c r="F33" s="103">
        <v>3.84</v>
      </c>
      <c r="G33" s="103">
        <v>3.847</v>
      </c>
      <c r="H33" s="103">
        <v>0</v>
      </c>
      <c r="I33" s="103">
        <v>0</v>
      </c>
      <c r="J33" s="103">
        <v>0</v>
      </c>
      <c r="K33" s="103">
        <v>0</v>
      </c>
      <c r="L33" s="102">
        <v>0</v>
      </c>
      <c r="M33" s="102">
        <v>0</v>
      </c>
      <c r="N33" s="103">
        <v>3.88</v>
      </c>
      <c r="O33" s="103">
        <v>3.887</v>
      </c>
      <c r="P33" s="102">
        <v>33988.799999999996</v>
      </c>
      <c r="Q33" s="102">
        <v>34050.120000000003</v>
      </c>
      <c r="R33" s="100">
        <v>3.7629999999999999</v>
      </c>
      <c r="S33" s="102">
        <v>32963.879999999997</v>
      </c>
      <c r="T33" s="102">
        <v>32963.879999999997</v>
      </c>
      <c r="U33" s="103">
        <v>0.11700000000000001</v>
      </c>
      <c r="V33" s="103">
        <v>0.124</v>
      </c>
      <c r="W33" s="103">
        <v>0</v>
      </c>
      <c r="X33" s="103">
        <v>0</v>
      </c>
      <c r="Y33" s="103">
        <v>0.11700000000000001</v>
      </c>
      <c r="Z33" s="103">
        <v>0.124</v>
      </c>
      <c r="AA33" s="100">
        <v>0</v>
      </c>
      <c r="AB33" s="100">
        <v>0</v>
      </c>
      <c r="AC33" s="103">
        <v>0</v>
      </c>
      <c r="AD33" s="103">
        <v>0</v>
      </c>
      <c r="AE33" s="104">
        <v>5.5860000000000003E-4</v>
      </c>
      <c r="AF33" s="104">
        <v>5.5860000000000003E-4</v>
      </c>
      <c r="AG33" s="104">
        <v>0</v>
      </c>
      <c r="AH33" s="104">
        <v>5.5860000000000003E-4</v>
      </c>
      <c r="AI33" s="104">
        <v>5.5860000000000003E-4</v>
      </c>
      <c r="AJ33" s="104">
        <v>5.5860000000000003E-4</v>
      </c>
      <c r="AK33" s="104">
        <v>0.96982735500000017</v>
      </c>
      <c r="AL33" s="104">
        <v>0.96808081744275809</v>
      </c>
      <c r="AM33" s="104">
        <v>1.0310922136593144</v>
      </c>
      <c r="AN33" s="104">
        <v>1.0329524315705554</v>
      </c>
      <c r="AO33" s="104">
        <v>0</v>
      </c>
      <c r="AP33" s="104">
        <v>0</v>
      </c>
      <c r="AQ33" s="100">
        <v>1</v>
      </c>
      <c r="AR33" s="100">
        <v>1</v>
      </c>
      <c r="AS33" s="103">
        <v>0</v>
      </c>
      <c r="AT33" s="103"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v>0</v>
      </c>
      <c r="BA33" s="103">
        <v>0</v>
      </c>
      <c r="BB33" s="103">
        <v>0</v>
      </c>
      <c r="BC33" s="103">
        <v>0</v>
      </c>
      <c r="BD33" s="103">
        <v>0</v>
      </c>
      <c r="BE33" s="103">
        <v>3.88</v>
      </c>
      <c r="BF33" s="103">
        <v>3.887</v>
      </c>
      <c r="BG33" s="100">
        <v>0</v>
      </c>
      <c r="BH33"/>
      <c r="BI33"/>
      <c r="BJ33"/>
      <c r="BK33"/>
      <c r="BL33"/>
      <c r="BM33"/>
      <c r="BN33"/>
      <c r="BO33"/>
      <c r="BP33"/>
      <c r="BQ33"/>
    </row>
    <row r="34" spans="1:69">
      <c r="A34" s="100">
        <v>10087</v>
      </c>
      <c r="B34" s="100" t="s">
        <v>38</v>
      </c>
      <c r="C34" s="100">
        <v>1</v>
      </c>
      <c r="D34" s="100">
        <v>0</v>
      </c>
      <c r="E34" s="103">
        <v>86.754999999999995</v>
      </c>
      <c r="F34" s="103">
        <v>43.411000000000001</v>
      </c>
      <c r="G34" s="103">
        <v>43.411000000000001</v>
      </c>
      <c r="H34" s="103">
        <v>0</v>
      </c>
      <c r="I34" s="103">
        <v>0</v>
      </c>
      <c r="J34" s="103">
        <v>0</v>
      </c>
      <c r="K34" s="103">
        <v>0</v>
      </c>
      <c r="L34" s="102">
        <v>0</v>
      </c>
      <c r="M34" s="102">
        <v>0</v>
      </c>
      <c r="N34" s="103">
        <v>56.267000000000003</v>
      </c>
      <c r="O34" s="103">
        <v>56.267000000000003</v>
      </c>
      <c r="P34" s="102">
        <v>492898.92000000004</v>
      </c>
      <c r="Q34" s="102">
        <v>492898.92000000004</v>
      </c>
      <c r="R34" s="100">
        <v>81.539000000000001</v>
      </c>
      <c r="S34" s="102">
        <v>714281.64</v>
      </c>
      <c r="T34" s="102">
        <v>714281.64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0">
        <v>0</v>
      </c>
      <c r="AB34" s="100">
        <v>0</v>
      </c>
      <c r="AC34" s="103">
        <v>0</v>
      </c>
      <c r="AD34" s="103">
        <v>0</v>
      </c>
      <c r="AE34" s="104">
        <v>8.3526999999999994E-3</v>
      </c>
      <c r="AF34" s="104">
        <v>8.3526999999999994E-3</v>
      </c>
      <c r="AG34" s="104">
        <v>0</v>
      </c>
      <c r="AH34" s="104">
        <v>8.3526999999999994E-3</v>
      </c>
      <c r="AI34" s="104">
        <v>8.3526999999999994E-3</v>
      </c>
      <c r="AJ34" s="104">
        <v>8.3526999999999994E-3</v>
      </c>
      <c r="AK34" s="104">
        <v>0.99999619349352187</v>
      </c>
      <c r="AL34" s="104">
        <v>0.99999619349352187</v>
      </c>
      <c r="AM34" s="104">
        <v>1</v>
      </c>
      <c r="AN34" s="104">
        <v>1</v>
      </c>
      <c r="AO34" s="104">
        <v>0</v>
      </c>
      <c r="AP34" s="104">
        <v>0</v>
      </c>
      <c r="AQ34" s="100">
        <v>2</v>
      </c>
      <c r="AR34" s="100">
        <v>2</v>
      </c>
      <c r="AS34" s="103">
        <v>10</v>
      </c>
      <c r="AT34" s="103">
        <v>10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v>0</v>
      </c>
      <c r="BA34" s="103">
        <v>0</v>
      </c>
      <c r="BB34" s="103">
        <v>0</v>
      </c>
      <c r="BC34" s="103">
        <v>0</v>
      </c>
      <c r="BD34" s="103">
        <v>0</v>
      </c>
      <c r="BE34" s="103">
        <v>56.267000000000003</v>
      </c>
      <c r="BF34" s="103">
        <v>56.267000000000003</v>
      </c>
      <c r="BG34" s="100">
        <v>0</v>
      </c>
      <c r="BH34"/>
      <c r="BI34"/>
      <c r="BJ34"/>
      <c r="BK34"/>
      <c r="BL34"/>
      <c r="BM34"/>
      <c r="BN34"/>
      <c r="BO34"/>
      <c r="BP34"/>
      <c r="BQ34"/>
    </row>
    <row r="35" spans="1:69">
      <c r="A35" s="100">
        <v>10089</v>
      </c>
      <c r="B35" s="100" t="s">
        <v>39</v>
      </c>
      <c r="C35" s="100">
        <v>1</v>
      </c>
      <c r="D35" s="100">
        <v>0</v>
      </c>
      <c r="E35" s="103">
        <v>105.40600000000001</v>
      </c>
      <c r="F35" s="103">
        <v>109.60299999999999</v>
      </c>
      <c r="G35" s="103">
        <v>110.422</v>
      </c>
      <c r="H35" s="103">
        <v>0</v>
      </c>
      <c r="I35" s="103">
        <v>0</v>
      </c>
      <c r="J35" s="103">
        <v>0</v>
      </c>
      <c r="K35" s="103">
        <v>0</v>
      </c>
      <c r="L35" s="102">
        <v>0</v>
      </c>
      <c r="M35" s="102">
        <v>0</v>
      </c>
      <c r="N35" s="103">
        <v>110.571</v>
      </c>
      <c r="O35" s="103">
        <v>111.4</v>
      </c>
      <c r="P35" s="102">
        <v>968601.96</v>
      </c>
      <c r="Q35" s="102">
        <v>975864</v>
      </c>
      <c r="R35" s="100">
        <v>99.069000000000003</v>
      </c>
      <c r="S35" s="102">
        <v>867844.44000000006</v>
      </c>
      <c r="T35" s="102">
        <v>867844.44000000006</v>
      </c>
      <c r="U35" s="103">
        <v>11.502000000000001</v>
      </c>
      <c r="V35" s="103">
        <v>12.331</v>
      </c>
      <c r="W35" s="103">
        <v>11.502000000000001</v>
      </c>
      <c r="X35" s="103">
        <v>12.331</v>
      </c>
      <c r="Y35" s="103">
        <v>0</v>
      </c>
      <c r="Z35" s="103">
        <v>0</v>
      </c>
      <c r="AA35" s="100">
        <v>0</v>
      </c>
      <c r="AB35" s="100">
        <v>0</v>
      </c>
      <c r="AC35" s="103">
        <v>11.502000000000001</v>
      </c>
      <c r="AD35" s="103">
        <v>12.331</v>
      </c>
      <c r="AE35" s="104">
        <v>1.47066E-2</v>
      </c>
      <c r="AF35" s="104">
        <v>1.47066E-2</v>
      </c>
      <c r="AG35" s="104">
        <v>0</v>
      </c>
      <c r="AH35" s="104">
        <v>1.47066E-2</v>
      </c>
      <c r="AI35" s="104">
        <v>1.47066E-2</v>
      </c>
      <c r="AJ35" s="104">
        <v>1.47066E-2</v>
      </c>
      <c r="AK35" s="104">
        <v>0.89905240432753619</v>
      </c>
      <c r="AL35" s="104">
        <v>0.89236196946947932</v>
      </c>
      <c r="AM35" s="104">
        <v>1.116100899373164</v>
      </c>
      <c r="AN35" s="104">
        <v>1.1244688045705518</v>
      </c>
      <c r="AO35" s="104">
        <v>0</v>
      </c>
      <c r="AP35" s="104">
        <v>0</v>
      </c>
      <c r="AQ35" s="100">
        <v>3</v>
      </c>
      <c r="AR35" s="100">
        <v>3</v>
      </c>
      <c r="AS35" s="103">
        <v>9</v>
      </c>
      <c r="AT35" s="103">
        <v>9</v>
      </c>
      <c r="AU35" s="103">
        <v>2.92</v>
      </c>
      <c r="AV35" s="103">
        <v>3.7490000000000001</v>
      </c>
      <c r="AW35" s="103">
        <v>0.58199999999999996</v>
      </c>
      <c r="AX35" s="103">
        <v>0.58199999999999996</v>
      </c>
      <c r="AY35" s="103">
        <v>0</v>
      </c>
      <c r="AZ35" s="103">
        <v>0</v>
      </c>
      <c r="BA35" s="103">
        <v>0</v>
      </c>
      <c r="BB35" s="103">
        <v>0</v>
      </c>
      <c r="BC35" s="103">
        <v>0</v>
      </c>
      <c r="BD35" s="103">
        <v>0</v>
      </c>
      <c r="BE35" s="103">
        <v>101.989</v>
      </c>
      <c r="BF35" s="103">
        <v>102.818</v>
      </c>
      <c r="BG35" s="100">
        <v>1</v>
      </c>
      <c r="BH35"/>
      <c r="BI35"/>
      <c r="BJ35"/>
      <c r="BK35"/>
      <c r="BL35"/>
      <c r="BM35"/>
      <c r="BN35"/>
      <c r="BO35"/>
      <c r="BP35"/>
      <c r="BQ35"/>
    </row>
    <row r="36" spans="1:69">
      <c r="A36" s="100">
        <v>10091</v>
      </c>
      <c r="B36" s="100" t="s">
        <v>40</v>
      </c>
      <c r="C36" s="100">
        <v>1</v>
      </c>
      <c r="D36" s="100">
        <v>0</v>
      </c>
      <c r="E36" s="103">
        <v>9.5630000000000006</v>
      </c>
      <c r="F36" s="103">
        <v>9.3030000000000008</v>
      </c>
      <c r="G36" s="103">
        <v>9.1150000000000002</v>
      </c>
      <c r="H36" s="103">
        <v>0</v>
      </c>
      <c r="I36" s="103">
        <v>0</v>
      </c>
      <c r="J36" s="103">
        <v>0</v>
      </c>
      <c r="K36" s="103">
        <v>0</v>
      </c>
      <c r="L36" s="102">
        <v>0</v>
      </c>
      <c r="M36" s="102">
        <v>0</v>
      </c>
      <c r="N36" s="103">
        <v>9.3960000000000008</v>
      </c>
      <c r="O36" s="103">
        <v>9.4450000000000003</v>
      </c>
      <c r="P36" s="102">
        <v>82308.960000000006</v>
      </c>
      <c r="Q36" s="102">
        <v>82738.2</v>
      </c>
      <c r="R36" s="100">
        <v>8.9879999999999995</v>
      </c>
      <c r="S36" s="102">
        <v>78734.87999999999</v>
      </c>
      <c r="T36" s="102">
        <v>78734.87999999999</v>
      </c>
      <c r="U36" s="103">
        <v>0.40799999999999997</v>
      </c>
      <c r="V36" s="103">
        <v>0.45700000000000002</v>
      </c>
      <c r="W36" s="103">
        <v>0</v>
      </c>
      <c r="X36" s="103">
        <v>0</v>
      </c>
      <c r="Y36" s="103">
        <v>0.40799999999999997</v>
      </c>
      <c r="Z36" s="103">
        <v>0.45700000000000002</v>
      </c>
      <c r="AA36" s="100">
        <v>0</v>
      </c>
      <c r="AB36" s="100">
        <v>0</v>
      </c>
      <c r="AC36" s="103">
        <v>0</v>
      </c>
      <c r="AD36" s="103">
        <v>0</v>
      </c>
      <c r="AE36" s="104">
        <v>1.3343000000000001E-3</v>
      </c>
      <c r="AF36" s="104">
        <v>1.3343000000000001E-3</v>
      </c>
      <c r="AG36" s="104">
        <v>0</v>
      </c>
      <c r="AH36" s="104">
        <v>1.3343000000000001E-3</v>
      </c>
      <c r="AI36" s="104">
        <v>1.3343000000000001E-3</v>
      </c>
      <c r="AJ36" s="104">
        <v>1.3343000000000001E-3</v>
      </c>
      <c r="AK36" s="104">
        <v>0.95661172985312903</v>
      </c>
      <c r="AL36" s="104">
        <v>0.95164889504499739</v>
      </c>
      <c r="AM36" s="104">
        <v>1.0453938584779707</v>
      </c>
      <c r="AN36" s="104">
        <v>1.0508455718736094</v>
      </c>
      <c r="AO36" s="104">
        <v>0</v>
      </c>
      <c r="AP36" s="104">
        <v>0</v>
      </c>
      <c r="AQ36" s="100">
        <v>1</v>
      </c>
      <c r="AR36" s="100">
        <v>1</v>
      </c>
      <c r="AS36" s="103">
        <v>0</v>
      </c>
      <c r="AT36" s="103"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v>0</v>
      </c>
      <c r="BA36" s="103">
        <v>0</v>
      </c>
      <c r="BB36" s="103">
        <v>0</v>
      </c>
      <c r="BC36" s="103">
        <v>0</v>
      </c>
      <c r="BD36" s="103">
        <v>0</v>
      </c>
      <c r="BE36" s="103">
        <v>9.3960000000000008</v>
      </c>
      <c r="BF36" s="103">
        <v>9.4450000000000003</v>
      </c>
      <c r="BG36" s="100">
        <v>1</v>
      </c>
      <c r="BH36"/>
      <c r="BI36"/>
      <c r="BJ36"/>
      <c r="BK36"/>
      <c r="BL36"/>
      <c r="BM36"/>
      <c r="BN36"/>
      <c r="BO36"/>
      <c r="BP36"/>
      <c r="BQ36"/>
    </row>
    <row r="37" spans="1:69">
      <c r="A37" s="100">
        <v>10094</v>
      </c>
      <c r="B37" s="100" t="s">
        <v>41</v>
      </c>
      <c r="C37" s="100">
        <v>1</v>
      </c>
      <c r="D37" s="100">
        <v>0</v>
      </c>
      <c r="E37" s="103">
        <v>3.0820000000000003</v>
      </c>
      <c r="F37" s="103">
        <v>3.1440000000000001</v>
      </c>
      <c r="G37" s="103">
        <v>3.1440000000000001</v>
      </c>
      <c r="H37" s="103">
        <v>0</v>
      </c>
      <c r="I37" s="103">
        <v>0</v>
      </c>
      <c r="J37" s="103">
        <v>0.112</v>
      </c>
      <c r="K37" s="103">
        <v>0.112</v>
      </c>
      <c r="L37" s="102">
        <v>981.12</v>
      </c>
      <c r="M37" s="102">
        <v>981.12</v>
      </c>
      <c r="N37" s="103">
        <v>3.032</v>
      </c>
      <c r="O37" s="103">
        <v>3.032</v>
      </c>
      <c r="P37" s="102">
        <v>26560.32</v>
      </c>
      <c r="Q37" s="102">
        <v>26560.32</v>
      </c>
      <c r="R37" s="100">
        <v>2.8969999999999998</v>
      </c>
      <c r="S37" s="102">
        <v>25377.719999999998</v>
      </c>
      <c r="T37" s="102">
        <v>25377.719999999998</v>
      </c>
      <c r="U37" s="103">
        <v>0.13500000000000001</v>
      </c>
      <c r="V37" s="103">
        <v>0.13500000000000001</v>
      </c>
      <c r="W37" s="103">
        <v>0</v>
      </c>
      <c r="X37" s="103">
        <v>0</v>
      </c>
      <c r="Y37" s="103">
        <v>0.13500000000000001</v>
      </c>
      <c r="Z37" s="103">
        <v>0.13500000000000001</v>
      </c>
      <c r="AA37" s="100">
        <v>0</v>
      </c>
      <c r="AB37" s="100">
        <v>0</v>
      </c>
      <c r="AC37" s="103">
        <v>0</v>
      </c>
      <c r="AD37" s="103">
        <v>0</v>
      </c>
      <c r="AE37" s="104">
        <v>4.3009999999999999E-4</v>
      </c>
      <c r="AF37" s="104">
        <v>4.3009999999999999E-4</v>
      </c>
      <c r="AG37" s="104">
        <v>0</v>
      </c>
      <c r="AH37" s="104">
        <v>4.3009999999999999E-4</v>
      </c>
      <c r="AI37" s="104">
        <v>4.3009999999999999E-4</v>
      </c>
      <c r="AJ37" s="104">
        <v>4.3009999999999999E-4</v>
      </c>
      <c r="AK37" s="104">
        <v>0.95715903495547083</v>
      </c>
      <c r="AL37" s="104">
        <v>0.95715903495547083</v>
      </c>
      <c r="AM37" s="104">
        <v>1.0465999309630654</v>
      </c>
      <c r="AN37" s="104">
        <v>1.0465999309630654</v>
      </c>
      <c r="AO37" s="104">
        <v>0</v>
      </c>
      <c r="AP37" s="104">
        <v>0</v>
      </c>
      <c r="AQ37" s="100">
        <v>1</v>
      </c>
      <c r="AR37" s="100">
        <v>1</v>
      </c>
      <c r="AS37" s="103">
        <v>0</v>
      </c>
      <c r="AT37" s="103"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v>0</v>
      </c>
      <c r="BA37" s="103">
        <v>0</v>
      </c>
      <c r="BB37" s="103">
        <v>0</v>
      </c>
      <c r="BC37" s="103">
        <v>0</v>
      </c>
      <c r="BD37" s="103">
        <v>0</v>
      </c>
      <c r="BE37" s="103">
        <v>3.032</v>
      </c>
      <c r="BF37" s="103">
        <v>3.032</v>
      </c>
      <c r="BG37" s="100">
        <v>1</v>
      </c>
      <c r="BH37"/>
      <c r="BI37"/>
      <c r="BJ37"/>
      <c r="BK37"/>
      <c r="BL37"/>
      <c r="BM37"/>
      <c r="BN37"/>
      <c r="BO37"/>
      <c r="BP37"/>
      <c r="BQ37"/>
    </row>
    <row r="38" spans="1:69">
      <c r="A38" s="100">
        <v>10095</v>
      </c>
      <c r="B38" s="100" t="s">
        <v>42</v>
      </c>
      <c r="C38" s="100">
        <v>1</v>
      </c>
      <c r="D38" s="100">
        <v>0</v>
      </c>
      <c r="E38" s="103">
        <v>3.6970000000000001</v>
      </c>
      <c r="F38" s="103">
        <v>3.7639999999999998</v>
      </c>
      <c r="G38" s="103">
        <v>3.7679999999999998</v>
      </c>
      <c r="H38" s="103">
        <v>0</v>
      </c>
      <c r="I38" s="103">
        <v>0</v>
      </c>
      <c r="J38" s="103">
        <v>0</v>
      </c>
      <c r="K38" s="103">
        <v>0</v>
      </c>
      <c r="L38" s="102">
        <v>0</v>
      </c>
      <c r="M38" s="102">
        <v>0</v>
      </c>
      <c r="N38" s="103">
        <v>3.9990000000000001</v>
      </c>
      <c r="O38" s="103">
        <v>3.9790000000000001</v>
      </c>
      <c r="P38" s="102">
        <v>35031.24</v>
      </c>
      <c r="Q38" s="102">
        <v>34856.04</v>
      </c>
      <c r="R38" s="100">
        <v>3.4750000000000001</v>
      </c>
      <c r="S38" s="102">
        <v>30441</v>
      </c>
      <c r="T38" s="102">
        <v>30441</v>
      </c>
      <c r="U38" s="103">
        <v>0.52400000000000002</v>
      </c>
      <c r="V38" s="103">
        <v>0.504</v>
      </c>
      <c r="W38" s="103">
        <v>0</v>
      </c>
      <c r="X38" s="103">
        <v>0</v>
      </c>
      <c r="Y38" s="103">
        <v>0.52400000000000002</v>
      </c>
      <c r="Z38" s="103">
        <v>0.504</v>
      </c>
      <c r="AA38" s="100">
        <v>0</v>
      </c>
      <c r="AB38" s="100">
        <v>0</v>
      </c>
      <c r="AC38" s="103">
        <v>0</v>
      </c>
      <c r="AD38" s="103">
        <v>0</v>
      </c>
      <c r="AE38" s="104">
        <v>5.1590000000000002E-4</v>
      </c>
      <c r="AF38" s="104">
        <v>5.1590000000000002E-4</v>
      </c>
      <c r="AG38" s="104">
        <v>0</v>
      </c>
      <c r="AH38" s="104">
        <v>5.1590000000000002E-4</v>
      </c>
      <c r="AI38" s="104">
        <v>5.1590000000000002E-4</v>
      </c>
      <c r="AJ38" s="104">
        <v>5.1590000000000002E-4</v>
      </c>
      <c r="AK38" s="104">
        <v>0.86903916181545393</v>
      </c>
      <c r="AL38" s="104">
        <v>0.87340729029907016</v>
      </c>
      <c r="AM38" s="104">
        <v>1.1507913669064749</v>
      </c>
      <c r="AN38" s="104">
        <v>1.1450359712230216</v>
      </c>
      <c r="AO38" s="104">
        <v>0</v>
      </c>
      <c r="AP38" s="104">
        <v>0</v>
      </c>
      <c r="AQ38" s="100">
        <v>1</v>
      </c>
      <c r="AR38" s="100">
        <v>1</v>
      </c>
      <c r="AS38" s="103">
        <v>0</v>
      </c>
      <c r="AT38" s="103"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3">
        <v>0</v>
      </c>
      <c r="BB38" s="103">
        <v>0</v>
      </c>
      <c r="BC38" s="103">
        <v>0</v>
      </c>
      <c r="BD38" s="103">
        <v>0</v>
      </c>
      <c r="BE38" s="103">
        <v>3.9990000000000001</v>
      </c>
      <c r="BF38" s="103">
        <v>3.9790000000000001</v>
      </c>
      <c r="BG38" s="100">
        <v>0</v>
      </c>
      <c r="BH38"/>
      <c r="BI38"/>
      <c r="BJ38"/>
      <c r="BK38"/>
      <c r="BL38"/>
      <c r="BM38"/>
      <c r="BN38"/>
      <c r="BO38"/>
      <c r="BP38"/>
      <c r="BQ38"/>
    </row>
    <row r="39" spans="1:69">
      <c r="A39" s="100">
        <v>10097</v>
      </c>
      <c r="B39" s="100" t="s">
        <v>43</v>
      </c>
      <c r="C39" s="100">
        <v>1</v>
      </c>
      <c r="D39" s="100">
        <v>0</v>
      </c>
      <c r="E39" s="103">
        <v>2.0680000000000001</v>
      </c>
      <c r="F39" s="103">
        <v>1.9850000000000001</v>
      </c>
      <c r="G39" s="103">
        <v>1.9890000000000001</v>
      </c>
      <c r="H39" s="103">
        <v>0</v>
      </c>
      <c r="I39" s="103">
        <v>0</v>
      </c>
      <c r="J39" s="103">
        <v>0</v>
      </c>
      <c r="K39" s="103">
        <v>0</v>
      </c>
      <c r="L39" s="102">
        <v>0</v>
      </c>
      <c r="M39" s="102">
        <v>0</v>
      </c>
      <c r="N39" s="103">
        <v>2.0259999999999998</v>
      </c>
      <c r="O39" s="103">
        <v>2.0310000000000001</v>
      </c>
      <c r="P39" s="102">
        <v>17747.759999999998</v>
      </c>
      <c r="Q39" s="102">
        <v>17791.560000000001</v>
      </c>
      <c r="R39" s="100">
        <v>1.944</v>
      </c>
      <c r="S39" s="102">
        <v>17029.439999999999</v>
      </c>
      <c r="T39" s="102">
        <v>17029.439999999999</v>
      </c>
      <c r="U39" s="103">
        <v>8.2000000000000003E-2</v>
      </c>
      <c r="V39" s="103">
        <v>8.6999999999999994E-2</v>
      </c>
      <c r="W39" s="103">
        <v>0</v>
      </c>
      <c r="X39" s="103">
        <v>0</v>
      </c>
      <c r="Y39" s="103">
        <v>8.2000000000000003E-2</v>
      </c>
      <c r="Z39" s="103">
        <v>8.6999999999999994E-2</v>
      </c>
      <c r="AA39" s="100">
        <v>0</v>
      </c>
      <c r="AB39" s="100">
        <v>0</v>
      </c>
      <c r="AC39" s="103">
        <v>0</v>
      </c>
      <c r="AD39" s="103">
        <v>0</v>
      </c>
      <c r="AE39" s="104">
        <v>2.8860000000000002E-4</v>
      </c>
      <c r="AF39" s="104">
        <v>2.8860000000000002E-4</v>
      </c>
      <c r="AG39" s="104">
        <v>0</v>
      </c>
      <c r="AH39" s="104">
        <v>2.8860000000000002E-4</v>
      </c>
      <c r="AI39" s="104">
        <v>2.8860000000000002E-4</v>
      </c>
      <c r="AJ39" s="104">
        <v>2.8860000000000002E-4</v>
      </c>
      <c r="AK39" s="104">
        <v>0.95958203721618973</v>
      </c>
      <c r="AL39" s="104">
        <v>0.95721969837518472</v>
      </c>
      <c r="AM39" s="104">
        <v>1.0421810699588476</v>
      </c>
      <c r="AN39" s="104">
        <v>1.0447530864197532</v>
      </c>
      <c r="AO39" s="104">
        <v>0</v>
      </c>
      <c r="AP39" s="104">
        <v>0</v>
      </c>
      <c r="AQ39" s="100">
        <v>1</v>
      </c>
      <c r="AR39" s="100">
        <v>1</v>
      </c>
      <c r="AS39" s="103">
        <v>0</v>
      </c>
      <c r="AT39" s="103"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v>0</v>
      </c>
      <c r="BA39" s="103">
        <v>0</v>
      </c>
      <c r="BB39" s="103">
        <v>0</v>
      </c>
      <c r="BC39" s="103">
        <v>0</v>
      </c>
      <c r="BD39" s="103">
        <v>0</v>
      </c>
      <c r="BE39" s="103">
        <v>2.0259999999999998</v>
      </c>
      <c r="BF39" s="103">
        <v>2.0310000000000001</v>
      </c>
      <c r="BG39" s="100">
        <v>0</v>
      </c>
      <c r="BH39"/>
      <c r="BI39"/>
      <c r="BJ39"/>
      <c r="BK39"/>
      <c r="BL39"/>
      <c r="BM39"/>
      <c r="BN39"/>
      <c r="BO39"/>
      <c r="BP39"/>
      <c r="BQ39"/>
    </row>
    <row r="40" spans="1:69">
      <c r="A40" s="100">
        <v>10101</v>
      </c>
      <c r="B40" s="100" t="s">
        <v>44</v>
      </c>
      <c r="C40" s="100">
        <v>1</v>
      </c>
      <c r="D40" s="100">
        <v>0</v>
      </c>
      <c r="E40" s="103">
        <v>77.162000000000006</v>
      </c>
      <c r="F40" s="103">
        <v>76.77</v>
      </c>
      <c r="G40" s="103">
        <v>76.77</v>
      </c>
      <c r="H40" s="103">
        <v>0</v>
      </c>
      <c r="I40" s="103">
        <v>0</v>
      </c>
      <c r="J40" s="103">
        <v>0</v>
      </c>
      <c r="K40" s="103">
        <v>0</v>
      </c>
      <c r="L40" s="102">
        <v>0</v>
      </c>
      <c r="M40" s="102">
        <v>0</v>
      </c>
      <c r="N40" s="103">
        <v>76.775000000000006</v>
      </c>
      <c r="O40" s="103">
        <v>76.927999999999997</v>
      </c>
      <c r="P40" s="102">
        <v>672549</v>
      </c>
      <c r="Q40" s="102">
        <v>673889.28000000003</v>
      </c>
      <c r="R40" s="100">
        <v>72.522999999999996</v>
      </c>
      <c r="S40" s="102">
        <v>635301.48</v>
      </c>
      <c r="T40" s="102">
        <v>635301.48</v>
      </c>
      <c r="U40" s="103">
        <v>4.2519999999999998</v>
      </c>
      <c r="V40" s="103">
        <v>4.4050000000000002</v>
      </c>
      <c r="W40" s="103">
        <v>4.2519999999999998</v>
      </c>
      <c r="X40" s="103">
        <v>4.4050000000000002</v>
      </c>
      <c r="Y40" s="103">
        <v>0</v>
      </c>
      <c r="Z40" s="103">
        <v>0</v>
      </c>
      <c r="AA40" s="100">
        <v>0</v>
      </c>
      <c r="AB40" s="100">
        <v>0</v>
      </c>
      <c r="AC40" s="103">
        <v>4.2519999999999998</v>
      </c>
      <c r="AD40" s="103">
        <v>4.4050000000000002</v>
      </c>
      <c r="AE40" s="104">
        <v>1.07659E-2</v>
      </c>
      <c r="AF40" s="104">
        <v>1.07659E-2</v>
      </c>
      <c r="AG40" s="104">
        <v>0</v>
      </c>
      <c r="AH40" s="104">
        <v>1.07659E-2</v>
      </c>
      <c r="AI40" s="104">
        <v>1.07659E-2</v>
      </c>
      <c r="AJ40" s="104">
        <v>1.07659E-2</v>
      </c>
      <c r="AK40" s="104">
        <v>0.94461696330967115</v>
      </c>
      <c r="AL40" s="104">
        <v>0.94273824040791399</v>
      </c>
      <c r="AM40" s="104">
        <v>1.0586296761027538</v>
      </c>
      <c r="AN40" s="104">
        <v>1.0607393516539581</v>
      </c>
      <c r="AO40" s="104">
        <v>5.2931483805137694E-2</v>
      </c>
      <c r="AP40" s="104">
        <v>5.3036967582697908E-2</v>
      </c>
      <c r="AQ40" s="100">
        <v>3</v>
      </c>
      <c r="AR40" s="100">
        <v>3</v>
      </c>
      <c r="AS40" s="103">
        <v>0.67300000000000004</v>
      </c>
      <c r="AT40" s="103">
        <v>0.67300000000000004</v>
      </c>
      <c r="AU40" s="103">
        <v>3.5790000000000002</v>
      </c>
      <c r="AV40" s="103">
        <v>3.7320000000000002</v>
      </c>
      <c r="AW40" s="103">
        <v>0.67300000000000004</v>
      </c>
      <c r="AX40" s="103">
        <v>0.67300000000000004</v>
      </c>
      <c r="AY40" s="103">
        <v>-4.4408920985006262E-16</v>
      </c>
      <c r="AZ40" s="103">
        <v>0</v>
      </c>
      <c r="BA40" s="103">
        <v>-4.4408920985006262E-16</v>
      </c>
      <c r="BB40" s="103">
        <v>0</v>
      </c>
      <c r="BC40" s="103">
        <v>0</v>
      </c>
      <c r="BD40" s="103">
        <v>0</v>
      </c>
      <c r="BE40" s="103">
        <v>76.102000000000004</v>
      </c>
      <c r="BF40" s="103">
        <v>76.254999999999995</v>
      </c>
      <c r="BG40" s="100">
        <v>0</v>
      </c>
      <c r="BH40"/>
      <c r="BI40"/>
      <c r="BJ40"/>
      <c r="BK40"/>
      <c r="BL40"/>
      <c r="BM40"/>
      <c r="BN40"/>
      <c r="BO40"/>
      <c r="BP40"/>
      <c r="BQ40"/>
    </row>
    <row r="41" spans="1:69">
      <c r="A41" s="100">
        <v>10103</v>
      </c>
      <c r="B41" s="100" t="s">
        <v>45</v>
      </c>
      <c r="C41" s="100">
        <v>1</v>
      </c>
      <c r="D41" s="100">
        <v>0</v>
      </c>
      <c r="E41" s="103">
        <v>323.245</v>
      </c>
      <c r="F41" s="103">
        <v>532.22500000000002</v>
      </c>
      <c r="G41" s="103">
        <v>534.31299999999999</v>
      </c>
      <c r="H41" s="103">
        <v>0</v>
      </c>
      <c r="I41" s="103">
        <v>0</v>
      </c>
      <c r="J41" s="103">
        <v>225.94900000000001</v>
      </c>
      <c r="K41" s="103">
        <v>225.94900000000001</v>
      </c>
      <c r="L41" s="102">
        <v>1979313.2400000002</v>
      </c>
      <c r="M41" s="102">
        <v>1979313.2400000002</v>
      </c>
      <c r="N41" s="103">
        <v>306.27600000000001</v>
      </c>
      <c r="O41" s="103">
        <v>308.36399999999998</v>
      </c>
      <c r="P41" s="102">
        <v>2682977.7600000002</v>
      </c>
      <c r="Q41" s="102">
        <v>2701268.6399999997</v>
      </c>
      <c r="R41" s="100">
        <v>303.81200000000001</v>
      </c>
      <c r="S41" s="102">
        <v>2661393.12</v>
      </c>
      <c r="T41" s="102">
        <v>2661393.12</v>
      </c>
      <c r="U41" s="103">
        <v>0</v>
      </c>
      <c r="V41" s="103">
        <v>0</v>
      </c>
      <c r="W41" s="103">
        <v>0</v>
      </c>
      <c r="X41" s="103">
        <v>0</v>
      </c>
      <c r="Y41" s="103">
        <v>0</v>
      </c>
      <c r="Z41" s="103">
        <v>0</v>
      </c>
      <c r="AA41" s="100">
        <v>0</v>
      </c>
      <c r="AB41" s="100">
        <v>0</v>
      </c>
      <c r="AC41" s="103">
        <v>0</v>
      </c>
      <c r="AD41" s="103">
        <v>0</v>
      </c>
      <c r="AE41" s="104">
        <v>4.5100300000000003E-2</v>
      </c>
      <c r="AF41" s="104">
        <v>4.5100300000000003E-2</v>
      </c>
      <c r="AG41" s="104">
        <v>2.1821500000000001E-2</v>
      </c>
      <c r="AH41" s="104">
        <v>2.3278800000000002E-2</v>
      </c>
      <c r="AI41" s="104">
        <v>2.3278800000000002E-2</v>
      </c>
      <c r="AJ41" s="104">
        <v>2.3278800000000002E-2</v>
      </c>
      <c r="AK41" s="104">
        <v>0.99999959025473317</v>
      </c>
      <c r="AL41" s="104">
        <v>0.99999959025473317</v>
      </c>
      <c r="AM41" s="104">
        <v>1.0081102787250009</v>
      </c>
      <c r="AN41" s="104">
        <v>1.0149829499822258</v>
      </c>
      <c r="AO41" s="104">
        <v>0</v>
      </c>
      <c r="AP41" s="104">
        <v>0</v>
      </c>
      <c r="AQ41" s="100">
        <v>4</v>
      </c>
      <c r="AR41" s="100">
        <v>4</v>
      </c>
      <c r="AS41" s="103">
        <v>0</v>
      </c>
      <c r="AT41" s="103"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v>0</v>
      </c>
      <c r="BA41" s="103">
        <v>0</v>
      </c>
      <c r="BB41" s="103">
        <v>0</v>
      </c>
      <c r="BC41" s="103">
        <v>0</v>
      </c>
      <c r="BD41" s="103">
        <v>0</v>
      </c>
      <c r="BE41" s="103">
        <v>303.81200000000001</v>
      </c>
      <c r="BF41" s="103">
        <v>303.81200000000001</v>
      </c>
      <c r="BG41" s="100">
        <v>0</v>
      </c>
      <c r="BH41"/>
      <c r="BI41"/>
      <c r="BJ41"/>
      <c r="BK41"/>
      <c r="BL41"/>
      <c r="BM41"/>
      <c r="BN41"/>
      <c r="BO41"/>
      <c r="BP41"/>
      <c r="BQ41"/>
    </row>
    <row r="42" spans="1:69">
      <c r="A42" s="100">
        <v>10105</v>
      </c>
      <c r="B42" s="100" t="s">
        <v>46</v>
      </c>
      <c r="C42" s="100">
        <v>1</v>
      </c>
      <c r="D42" s="100">
        <v>0</v>
      </c>
      <c r="E42" s="103">
        <v>94.222999999999999</v>
      </c>
      <c r="F42" s="103">
        <v>82.882999999999996</v>
      </c>
      <c r="G42" s="103">
        <v>83.238</v>
      </c>
      <c r="H42" s="103">
        <v>0</v>
      </c>
      <c r="I42" s="103">
        <v>0</v>
      </c>
      <c r="J42" s="103">
        <v>0</v>
      </c>
      <c r="K42" s="103">
        <v>0</v>
      </c>
      <c r="L42" s="102">
        <v>0</v>
      </c>
      <c r="M42" s="102">
        <v>0</v>
      </c>
      <c r="N42" s="103">
        <v>82.882999999999996</v>
      </c>
      <c r="O42" s="103">
        <v>83.238</v>
      </c>
      <c r="P42" s="102">
        <v>726055.08</v>
      </c>
      <c r="Q42" s="102">
        <v>729164.88</v>
      </c>
      <c r="R42" s="100">
        <v>88.558000000000007</v>
      </c>
      <c r="S42" s="102">
        <v>775768.08000000007</v>
      </c>
      <c r="T42" s="102">
        <v>775768.08000000007</v>
      </c>
      <c r="U42" s="103">
        <v>6.032</v>
      </c>
      <c r="V42" s="103">
        <v>6.4420000000000002</v>
      </c>
      <c r="W42" s="103">
        <v>6.032</v>
      </c>
      <c r="X42" s="103">
        <v>6.4420000000000002</v>
      </c>
      <c r="Y42" s="103">
        <v>0</v>
      </c>
      <c r="Z42" s="103">
        <v>0</v>
      </c>
      <c r="AA42" s="100">
        <v>0</v>
      </c>
      <c r="AB42" s="100">
        <v>0</v>
      </c>
      <c r="AC42" s="103">
        <v>6.032</v>
      </c>
      <c r="AD42" s="103">
        <v>6.4420000000000002</v>
      </c>
      <c r="AE42" s="104">
        <v>1.23038E-2</v>
      </c>
      <c r="AF42" s="104">
        <v>1.2356499999999999E-2</v>
      </c>
      <c r="AG42" s="104">
        <v>7.2534000000000001E-3</v>
      </c>
      <c r="AH42" s="104">
        <v>5.0504E-3</v>
      </c>
      <c r="AI42" s="104">
        <v>5.1030999999999993E-3</v>
      </c>
      <c r="AJ42" s="104">
        <v>5.0767499999999997E-3</v>
      </c>
      <c r="AK42" s="104">
        <v>0.93623212096098962</v>
      </c>
      <c r="AL42" s="104">
        <v>0.9321915402284211</v>
      </c>
      <c r="AM42" s="104">
        <v>1</v>
      </c>
      <c r="AN42" s="104">
        <v>1</v>
      </c>
      <c r="AO42" s="104">
        <v>0</v>
      </c>
      <c r="AP42" s="104">
        <v>0</v>
      </c>
      <c r="AQ42" s="100">
        <v>4</v>
      </c>
      <c r="AR42" s="100">
        <v>4</v>
      </c>
      <c r="AS42" s="103">
        <v>0</v>
      </c>
      <c r="AT42" s="103"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3">
        <v>0</v>
      </c>
      <c r="BB42" s="103">
        <v>0</v>
      </c>
      <c r="BC42" s="103">
        <v>0</v>
      </c>
      <c r="BD42" s="103">
        <v>0</v>
      </c>
      <c r="BE42" s="103">
        <v>82.882999999999996</v>
      </c>
      <c r="BF42" s="103">
        <v>83.238</v>
      </c>
      <c r="BG42" s="100">
        <v>0</v>
      </c>
      <c r="BH42"/>
      <c r="BI42"/>
      <c r="BJ42"/>
      <c r="BK42"/>
      <c r="BL42"/>
      <c r="BM42"/>
      <c r="BN42"/>
      <c r="BO42"/>
      <c r="BP42"/>
      <c r="BQ42"/>
    </row>
    <row r="43" spans="1:69">
      <c r="A43" s="100">
        <v>10106</v>
      </c>
      <c r="B43" s="100" t="s">
        <v>47</v>
      </c>
      <c r="C43" s="100">
        <v>0</v>
      </c>
      <c r="D43" s="100">
        <v>1</v>
      </c>
      <c r="E43" s="103">
        <v>24.234999999999999</v>
      </c>
      <c r="F43" s="103">
        <v>23.687000000000001</v>
      </c>
      <c r="G43" s="103">
        <v>23.795000000000002</v>
      </c>
      <c r="H43" s="103">
        <v>0</v>
      </c>
      <c r="I43" s="103">
        <v>0</v>
      </c>
      <c r="J43" s="103">
        <v>0</v>
      </c>
      <c r="K43" s="103">
        <v>0</v>
      </c>
      <c r="L43" s="102">
        <v>0</v>
      </c>
      <c r="M43" s="102">
        <v>0</v>
      </c>
      <c r="N43" s="103">
        <v>23.687000000000001</v>
      </c>
      <c r="O43" s="103">
        <v>23.795000000000002</v>
      </c>
      <c r="P43" s="102">
        <v>207498.12000000002</v>
      </c>
      <c r="Q43" s="102">
        <v>208444.2</v>
      </c>
      <c r="R43" s="100">
        <v>22.777999999999999</v>
      </c>
      <c r="S43" s="102">
        <v>199535.28</v>
      </c>
      <c r="T43" s="102">
        <v>199535.28</v>
      </c>
      <c r="U43" s="103">
        <v>0.90900000000000003</v>
      </c>
      <c r="V43" s="103">
        <v>1.0169999999999999</v>
      </c>
      <c r="W43" s="103">
        <v>0.90900000000000003</v>
      </c>
      <c r="X43" s="103">
        <v>1.0169999999999999</v>
      </c>
      <c r="Y43" s="103">
        <v>0</v>
      </c>
      <c r="Z43" s="103">
        <v>0</v>
      </c>
      <c r="AA43" s="100">
        <v>0</v>
      </c>
      <c r="AB43" s="100">
        <v>0</v>
      </c>
      <c r="AC43" s="103">
        <v>0.90900000000000003</v>
      </c>
      <c r="AD43" s="103">
        <v>1.0169999999999999</v>
      </c>
      <c r="AE43" s="104">
        <v>3.3814000000000001E-3</v>
      </c>
      <c r="AF43" s="104">
        <v>3.3814000000000001E-3</v>
      </c>
      <c r="AG43" s="104">
        <v>0</v>
      </c>
      <c r="AH43" s="104">
        <v>3.3814000000000001E-3</v>
      </c>
      <c r="AI43" s="104">
        <v>3.3814000000000001E-3</v>
      </c>
      <c r="AJ43" s="104">
        <v>3.3814000000000001E-3</v>
      </c>
      <c r="AK43" s="104">
        <v>0.96163821178705633</v>
      </c>
      <c r="AL43" s="104">
        <v>0.95727355841983619</v>
      </c>
      <c r="AM43" s="104">
        <v>1.0399069277372905</v>
      </c>
      <c r="AN43" s="104">
        <v>1.0446483448941963</v>
      </c>
      <c r="AO43" s="104">
        <v>7.2793484941610351E-2</v>
      </c>
      <c r="AP43" s="104">
        <v>7.3125384142593744E-2</v>
      </c>
      <c r="AQ43" s="100">
        <v>6</v>
      </c>
      <c r="AR43" s="100">
        <v>6</v>
      </c>
      <c r="AS43" s="103">
        <v>0</v>
      </c>
      <c r="AT43" s="103"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v>0</v>
      </c>
      <c r="BA43" s="103">
        <v>0</v>
      </c>
      <c r="BB43" s="103">
        <v>0</v>
      </c>
      <c r="BC43" s="103">
        <v>0</v>
      </c>
      <c r="BD43" s="103">
        <v>0</v>
      </c>
      <c r="BE43" s="103">
        <v>22.777999999999999</v>
      </c>
      <c r="BF43" s="103">
        <v>22.777999999999999</v>
      </c>
      <c r="BG43" s="100">
        <v>0</v>
      </c>
      <c r="BH43"/>
      <c r="BI43"/>
      <c r="BJ43"/>
      <c r="BK43"/>
      <c r="BL43"/>
      <c r="BM43"/>
      <c r="BN43"/>
      <c r="BO43"/>
      <c r="BP43"/>
      <c r="BQ43"/>
    </row>
    <row r="44" spans="1:69">
      <c r="A44" s="100">
        <v>10109</v>
      </c>
      <c r="B44" s="100" t="s">
        <v>48</v>
      </c>
      <c r="C44" s="100">
        <v>1</v>
      </c>
      <c r="D44" s="100">
        <v>0</v>
      </c>
      <c r="E44" s="103">
        <v>12.298999999999999</v>
      </c>
      <c r="F44" s="103">
        <v>13.994</v>
      </c>
      <c r="G44" s="103">
        <v>14.048999999999999</v>
      </c>
      <c r="H44" s="103">
        <v>0</v>
      </c>
      <c r="I44" s="103">
        <v>0</v>
      </c>
      <c r="J44" s="103">
        <v>0</v>
      </c>
      <c r="K44" s="103">
        <v>0</v>
      </c>
      <c r="L44" s="102">
        <v>0</v>
      </c>
      <c r="M44" s="102">
        <v>0</v>
      </c>
      <c r="N44" s="103">
        <v>13.628</v>
      </c>
      <c r="O44" s="103">
        <v>13.673</v>
      </c>
      <c r="P44" s="102">
        <v>119381.28</v>
      </c>
      <c r="Q44" s="102">
        <v>119775.48</v>
      </c>
      <c r="R44" s="100">
        <v>11.56</v>
      </c>
      <c r="S44" s="102">
        <v>101265.60000000001</v>
      </c>
      <c r="T44" s="102">
        <v>101265.60000000001</v>
      </c>
      <c r="U44" s="103">
        <v>2.0680000000000001</v>
      </c>
      <c r="V44" s="103">
        <v>2.113</v>
      </c>
      <c r="W44" s="103">
        <v>2.0680000000000001</v>
      </c>
      <c r="X44" s="103">
        <v>2.113</v>
      </c>
      <c r="Y44" s="103">
        <v>0</v>
      </c>
      <c r="Z44" s="103">
        <v>0</v>
      </c>
      <c r="AA44" s="100">
        <v>0</v>
      </c>
      <c r="AB44" s="100">
        <v>0</v>
      </c>
      <c r="AC44" s="103">
        <v>2.0680000000000001</v>
      </c>
      <c r="AD44" s="103">
        <v>2.113</v>
      </c>
      <c r="AE44" s="104">
        <v>1.7160999999999999E-3</v>
      </c>
      <c r="AF44" s="104">
        <v>1.7160999999999999E-3</v>
      </c>
      <c r="AG44" s="104">
        <v>0</v>
      </c>
      <c r="AH44" s="104">
        <v>1.7160999999999999E-3</v>
      </c>
      <c r="AI44" s="104">
        <v>1.7160999999999999E-3</v>
      </c>
      <c r="AJ44" s="104">
        <v>1.7160999999999999E-3</v>
      </c>
      <c r="AK44" s="104">
        <v>0.84827309068828882</v>
      </c>
      <c r="AL44" s="104">
        <v>0.84548129012652673</v>
      </c>
      <c r="AM44" s="104">
        <v>1.1788927335640138</v>
      </c>
      <c r="AN44" s="104">
        <v>1.1827854671280276</v>
      </c>
      <c r="AO44" s="104">
        <v>8.2522491349480975E-2</v>
      </c>
      <c r="AP44" s="104">
        <v>8.2794982698961933E-2</v>
      </c>
      <c r="AQ44" s="100">
        <v>1</v>
      </c>
      <c r="AR44" s="100">
        <v>1</v>
      </c>
      <c r="AS44" s="103">
        <v>0</v>
      </c>
      <c r="AT44" s="103">
        <v>0</v>
      </c>
      <c r="AU44" s="103">
        <v>2.0680000000000001</v>
      </c>
      <c r="AV44" s="103">
        <v>2.113</v>
      </c>
      <c r="AW44" s="103">
        <v>0</v>
      </c>
      <c r="AX44" s="103">
        <v>0</v>
      </c>
      <c r="AY44" s="103">
        <v>0</v>
      </c>
      <c r="AZ44" s="103">
        <v>0</v>
      </c>
      <c r="BA44" s="103">
        <v>0</v>
      </c>
      <c r="BB44" s="103">
        <v>0</v>
      </c>
      <c r="BC44" s="103">
        <v>0</v>
      </c>
      <c r="BD44" s="103">
        <v>0</v>
      </c>
      <c r="BE44" s="103">
        <v>13.628</v>
      </c>
      <c r="BF44" s="103">
        <v>13.673</v>
      </c>
      <c r="BG44" s="100">
        <v>1</v>
      </c>
      <c r="BH44"/>
      <c r="BI44"/>
      <c r="BJ44"/>
      <c r="BK44"/>
      <c r="BL44"/>
      <c r="BM44"/>
      <c r="BN44"/>
      <c r="BO44"/>
      <c r="BP44"/>
      <c r="BQ44"/>
    </row>
    <row r="45" spans="1:69">
      <c r="A45" s="100">
        <v>10111</v>
      </c>
      <c r="B45" s="100" t="s">
        <v>49</v>
      </c>
      <c r="C45" s="100">
        <v>1</v>
      </c>
      <c r="D45" s="100">
        <v>0</v>
      </c>
      <c r="E45" s="103">
        <v>3.2829999999999999</v>
      </c>
      <c r="F45" s="103">
        <v>3.0350000000000001</v>
      </c>
      <c r="G45" s="103">
        <v>3.0339999999999998</v>
      </c>
      <c r="H45" s="103">
        <v>0</v>
      </c>
      <c r="I45" s="103">
        <v>0</v>
      </c>
      <c r="J45" s="103">
        <v>0</v>
      </c>
      <c r="K45" s="103">
        <v>0</v>
      </c>
      <c r="L45" s="102">
        <v>0</v>
      </c>
      <c r="M45" s="102">
        <v>0</v>
      </c>
      <c r="N45" s="103">
        <v>3.05</v>
      </c>
      <c r="O45" s="103">
        <v>3.048</v>
      </c>
      <c r="P45" s="102">
        <v>26718</v>
      </c>
      <c r="Q45" s="102">
        <v>26700.48</v>
      </c>
      <c r="R45" s="100">
        <v>3.0859999999999999</v>
      </c>
      <c r="S45" s="102">
        <v>27033.359999999997</v>
      </c>
      <c r="T45" s="102">
        <v>27033.359999999997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0">
        <v>0</v>
      </c>
      <c r="AB45" s="100">
        <v>0</v>
      </c>
      <c r="AC45" s="103">
        <v>0</v>
      </c>
      <c r="AD45" s="103">
        <v>0</v>
      </c>
      <c r="AE45" s="104">
        <v>4.528E-4</v>
      </c>
      <c r="AF45" s="104">
        <v>4.5249999999999999E-4</v>
      </c>
      <c r="AG45" s="104">
        <v>0</v>
      </c>
      <c r="AH45" s="104">
        <v>4.528E-4</v>
      </c>
      <c r="AI45" s="104">
        <v>4.5249999999999999E-4</v>
      </c>
      <c r="AJ45" s="104">
        <v>4.5264999999999997E-4</v>
      </c>
      <c r="AK45" s="104">
        <v>1</v>
      </c>
      <c r="AL45" s="104">
        <v>1</v>
      </c>
      <c r="AM45" s="104">
        <v>1</v>
      </c>
      <c r="AN45" s="104">
        <v>1</v>
      </c>
      <c r="AO45" s="104">
        <v>7.0000000000000007E-2</v>
      </c>
      <c r="AP45" s="104">
        <v>7.0000000000000007E-2</v>
      </c>
      <c r="AQ45" s="100">
        <v>1</v>
      </c>
      <c r="AR45" s="100">
        <v>1</v>
      </c>
      <c r="AS45" s="103">
        <v>0</v>
      </c>
      <c r="AT45" s="103"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v>0</v>
      </c>
      <c r="BA45" s="103">
        <v>0</v>
      </c>
      <c r="BB45" s="103">
        <v>0</v>
      </c>
      <c r="BC45" s="103">
        <v>0</v>
      </c>
      <c r="BD45" s="103">
        <v>0</v>
      </c>
      <c r="BE45" s="103">
        <v>3.05</v>
      </c>
      <c r="BF45" s="103">
        <v>3.048</v>
      </c>
      <c r="BG45" s="100">
        <v>0</v>
      </c>
      <c r="BH45"/>
      <c r="BI45"/>
      <c r="BJ45"/>
      <c r="BK45"/>
      <c r="BL45"/>
      <c r="BM45"/>
      <c r="BN45"/>
      <c r="BO45"/>
      <c r="BP45"/>
      <c r="BQ45"/>
    </row>
    <row r="46" spans="1:69">
      <c r="A46" s="100">
        <v>10112</v>
      </c>
      <c r="B46" s="100" t="s">
        <v>50</v>
      </c>
      <c r="C46" s="100">
        <v>1</v>
      </c>
      <c r="D46" s="100">
        <v>0</v>
      </c>
      <c r="E46" s="103">
        <v>59.119</v>
      </c>
      <c r="F46" s="103">
        <v>58.381</v>
      </c>
      <c r="G46" s="103">
        <v>58.826000000000001</v>
      </c>
      <c r="H46" s="103">
        <v>0</v>
      </c>
      <c r="I46" s="103">
        <v>0</v>
      </c>
      <c r="J46" s="103">
        <v>0</v>
      </c>
      <c r="K46" s="103">
        <v>0</v>
      </c>
      <c r="L46" s="102">
        <v>0</v>
      </c>
      <c r="M46" s="102">
        <v>0</v>
      </c>
      <c r="N46" s="103">
        <v>55.076999999999998</v>
      </c>
      <c r="O46" s="103">
        <v>55.183999999999997</v>
      </c>
      <c r="P46" s="102">
        <v>482474.51999999996</v>
      </c>
      <c r="Q46" s="102">
        <v>483411.83999999997</v>
      </c>
      <c r="R46" s="100">
        <v>55.564999999999998</v>
      </c>
      <c r="S46" s="102">
        <v>486749.39999999997</v>
      </c>
      <c r="T46" s="102">
        <v>486749.39999999997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0">
        <v>0</v>
      </c>
      <c r="AB46" s="100">
        <v>0</v>
      </c>
      <c r="AC46" s="103">
        <v>0</v>
      </c>
      <c r="AD46" s="103">
        <v>0</v>
      </c>
      <c r="AE46" s="104">
        <v>8.1761000000000004E-3</v>
      </c>
      <c r="AF46" s="104">
        <v>8.1919999999999996E-3</v>
      </c>
      <c r="AG46" s="104">
        <v>0</v>
      </c>
      <c r="AH46" s="104">
        <v>8.1761000000000004E-3</v>
      </c>
      <c r="AI46" s="104">
        <v>8.1919999999999996E-3</v>
      </c>
      <c r="AJ46" s="104">
        <v>8.18405E-3</v>
      </c>
      <c r="AK46" s="104">
        <v>1</v>
      </c>
      <c r="AL46" s="104">
        <v>1</v>
      </c>
      <c r="AM46" s="104">
        <v>1</v>
      </c>
      <c r="AN46" s="104">
        <v>1</v>
      </c>
      <c r="AO46" s="104">
        <v>0</v>
      </c>
      <c r="AP46" s="104">
        <v>0</v>
      </c>
      <c r="AQ46" s="100">
        <v>1</v>
      </c>
      <c r="AR46" s="100">
        <v>1</v>
      </c>
      <c r="AS46" s="103">
        <v>0</v>
      </c>
      <c r="AT46" s="103"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v>0</v>
      </c>
      <c r="BA46" s="103">
        <v>0</v>
      </c>
      <c r="BB46" s="103">
        <v>0</v>
      </c>
      <c r="BC46" s="103">
        <v>0</v>
      </c>
      <c r="BD46" s="103">
        <v>0</v>
      </c>
      <c r="BE46" s="103">
        <v>55.076999999999998</v>
      </c>
      <c r="BF46" s="103">
        <v>55.183999999999997</v>
      </c>
      <c r="BG46" s="100">
        <v>1</v>
      </c>
      <c r="BH46"/>
      <c r="BI46"/>
      <c r="BJ46"/>
      <c r="BK46"/>
      <c r="BL46"/>
      <c r="BM46"/>
      <c r="BN46"/>
      <c r="BO46"/>
      <c r="BP46"/>
      <c r="BQ46"/>
    </row>
    <row r="47" spans="1:69">
      <c r="A47" s="100">
        <v>10113</v>
      </c>
      <c r="B47" s="100" t="s">
        <v>51</v>
      </c>
      <c r="C47" s="100">
        <v>1</v>
      </c>
      <c r="D47" s="100">
        <v>0</v>
      </c>
      <c r="E47" s="103">
        <v>38.255000000000003</v>
      </c>
      <c r="F47" s="103">
        <v>42.207000000000001</v>
      </c>
      <c r="G47" s="103">
        <v>42.524000000000001</v>
      </c>
      <c r="H47" s="103">
        <v>0</v>
      </c>
      <c r="I47" s="103">
        <v>0</v>
      </c>
      <c r="J47" s="103">
        <v>0</v>
      </c>
      <c r="K47" s="103">
        <v>0</v>
      </c>
      <c r="L47" s="102">
        <v>0</v>
      </c>
      <c r="M47" s="102">
        <v>0</v>
      </c>
      <c r="N47" s="103">
        <v>42.468000000000004</v>
      </c>
      <c r="O47" s="103">
        <v>42.881999999999998</v>
      </c>
      <c r="P47" s="102">
        <v>372019.68000000005</v>
      </c>
      <c r="Q47" s="102">
        <v>375646.32</v>
      </c>
      <c r="R47" s="100">
        <v>35.954999999999998</v>
      </c>
      <c r="S47" s="102">
        <v>314965.8</v>
      </c>
      <c r="T47" s="102">
        <v>314965.8</v>
      </c>
      <c r="U47" s="103">
        <v>6.5129999999999999</v>
      </c>
      <c r="V47" s="103">
        <v>6.9269999999999996</v>
      </c>
      <c r="W47" s="103">
        <v>6.5129999999999999</v>
      </c>
      <c r="X47" s="103">
        <v>6.9269999999999996</v>
      </c>
      <c r="Y47" s="103">
        <v>0</v>
      </c>
      <c r="Z47" s="103">
        <v>0</v>
      </c>
      <c r="AA47" s="100">
        <v>0</v>
      </c>
      <c r="AB47" s="100">
        <v>0</v>
      </c>
      <c r="AC47" s="103">
        <v>6.5129999999999999</v>
      </c>
      <c r="AD47" s="103">
        <v>6.9269999999999996</v>
      </c>
      <c r="AE47" s="104">
        <v>5.3375000000000002E-3</v>
      </c>
      <c r="AF47" s="104">
        <v>5.3375000000000002E-3</v>
      </c>
      <c r="AG47" s="104">
        <v>0</v>
      </c>
      <c r="AH47" s="104">
        <v>5.3375000000000002E-3</v>
      </c>
      <c r="AI47" s="104">
        <v>5.3375000000000002E-3</v>
      </c>
      <c r="AJ47" s="104">
        <v>5.3375000000000002E-3</v>
      </c>
      <c r="AK47" s="104">
        <v>0.84664491293444477</v>
      </c>
      <c r="AL47" s="104">
        <v>0.83847106390793358</v>
      </c>
      <c r="AM47" s="104">
        <v>1.1811430955360869</v>
      </c>
      <c r="AN47" s="104">
        <v>1.1926574885273258</v>
      </c>
      <c r="AO47" s="104">
        <v>8.2680016687526087E-2</v>
      </c>
      <c r="AP47" s="104">
        <v>8.3486024196912811E-2</v>
      </c>
      <c r="AQ47" s="100">
        <v>3</v>
      </c>
      <c r="AR47" s="100">
        <v>3</v>
      </c>
      <c r="AS47" s="103">
        <v>20</v>
      </c>
      <c r="AT47" s="103">
        <v>20</v>
      </c>
      <c r="AU47" s="103">
        <v>0.28199999999999997</v>
      </c>
      <c r="AV47" s="103">
        <v>0.621</v>
      </c>
      <c r="AW47" s="103">
        <v>1.2310000000000001</v>
      </c>
      <c r="AX47" s="103">
        <v>0.30599999999999999</v>
      </c>
      <c r="AY47" s="103">
        <v>0</v>
      </c>
      <c r="AZ47" s="103">
        <v>0</v>
      </c>
      <c r="BA47" s="103">
        <v>0</v>
      </c>
      <c r="BB47" s="103">
        <v>0</v>
      </c>
      <c r="BC47" s="103">
        <v>0</v>
      </c>
      <c r="BD47" s="103">
        <v>0</v>
      </c>
      <c r="BE47" s="103">
        <v>36.237000000000002</v>
      </c>
      <c r="BF47" s="103">
        <v>36.576000000000001</v>
      </c>
      <c r="BG47" s="100">
        <v>1</v>
      </c>
      <c r="BH47"/>
      <c r="BI47"/>
      <c r="BJ47"/>
      <c r="BK47"/>
      <c r="BL47"/>
      <c r="BM47"/>
      <c r="BN47"/>
      <c r="BO47"/>
      <c r="BP47"/>
      <c r="BQ47"/>
    </row>
    <row r="48" spans="1:69">
      <c r="A48" s="100">
        <v>10116</v>
      </c>
      <c r="B48" s="100" t="s">
        <v>52</v>
      </c>
      <c r="C48" s="100">
        <v>1</v>
      </c>
      <c r="D48" s="100">
        <v>0</v>
      </c>
      <c r="E48" s="103">
        <v>0.23100000000000001</v>
      </c>
      <c r="F48" s="103">
        <v>0.23</v>
      </c>
      <c r="G48" s="103">
        <v>0.23</v>
      </c>
      <c r="H48" s="103">
        <v>0</v>
      </c>
      <c r="I48" s="103">
        <v>0</v>
      </c>
      <c r="J48" s="103">
        <v>0</v>
      </c>
      <c r="K48" s="103">
        <v>0</v>
      </c>
      <c r="L48" s="102">
        <v>0</v>
      </c>
      <c r="M48" s="102">
        <v>0</v>
      </c>
      <c r="N48" s="103">
        <v>0.23100000000000001</v>
      </c>
      <c r="O48" s="103">
        <v>0.23300000000000001</v>
      </c>
      <c r="P48" s="102">
        <v>2023.5600000000002</v>
      </c>
      <c r="Q48" s="102">
        <v>2041.0800000000002</v>
      </c>
      <c r="R48" s="100">
        <v>0.217</v>
      </c>
      <c r="S48" s="102">
        <v>1900.92</v>
      </c>
      <c r="T48" s="102">
        <v>1900.92</v>
      </c>
      <c r="U48" s="103">
        <v>1.4E-2</v>
      </c>
      <c r="V48" s="103">
        <v>1.6E-2</v>
      </c>
      <c r="W48" s="103">
        <v>0</v>
      </c>
      <c r="X48" s="103">
        <v>0</v>
      </c>
      <c r="Y48" s="103">
        <v>1.4E-2</v>
      </c>
      <c r="Z48" s="103">
        <v>1.6E-2</v>
      </c>
      <c r="AA48" s="100">
        <v>0</v>
      </c>
      <c r="AB48" s="100">
        <v>0</v>
      </c>
      <c r="AC48" s="103">
        <v>0</v>
      </c>
      <c r="AD48" s="103">
        <v>0</v>
      </c>
      <c r="AE48" s="104">
        <v>3.2199999999999997E-5</v>
      </c>
      <c r="AF48" s="104">
        <v>3.2199999999999997E-5</v>
      </c>
      <c r="AG48" s="104">
        <v>0</v>
      </c>
      <c r="AH48" s="104">
        <v>3.2199999999999997E-5</v>
      </c>
      <c r="AI48" s="104">
        <v>3.2199999999999997E-5</v>
      </c>
      <c r="AJ48" s="104">
        <v>3.2199999999999997E-5</v>
      </c>
      <c r="AK48" s="104">
        <v>0.9390076181818181</v>
      </c>
      <c r="AL48" s="104">
        <v>0.93094746695278963</v>
      </c>
      <c r="AM48" s="104">
        <v>1.0645161290322582</v>
      </c>
      <c r="AN48" s="104">
        <v>1.0737327188940093</v>
      </c>
      <c r="AO48" s="104">
        <v>0</v>
      </c>
      <c r="AP48" s="104">
        <v>0</v>
      </c>
      <c r="AQ48" s="100">
        <v>1</v>
      </c>
      <c r="AR48" s="100">
        <v>1</v>
      </c>
      <c r="AS48" s="103">
        <v>0</v>
      </c>
      <c r="AT48" s="103"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v>0</v>
      </c>
      <c r="BA48" s="103">
        <v>0</v>
      </c>
      <c r="BB48" s="103">
        <v>0</v>
      </c>
      <c r="BC48" s="103">
        <v>0</v>
      </c>
      <c r="BD48" s="103">
        <v>0</v>
      </c>
      <c r="BE48" s="103">
        <v>0.23100000000000001</v>
      </c>
      <c r="BF48" s="103">
        <v>0.23300000000000001</v>
      </c>
      <c r="BG48" s="100">
        <v>0</v>
      </c>
      <c r="BH48"/>
      <c r="BI48"/>
      <c r="BJ48"/>
      <c r="BK48"/>
      <c r="BL48"/>
      <c r="BM48"/>
      <c r="BN48"/>
      <c r="BO48"/>
      <c r="BP48"/>
      <c r="BQ48"/>
    </row>
    <row r="49" spans="1:69">
      <c r="A49" s="107">
        <v>10118</v>
      </c>
      <c r="B49" s="107" t="s">
        <v>53</v>
      </c>
      <c r="C49" s="107">
        <v>0</v>
      </c>
      <c r="D49" s="107">
        <v>1</v>
      </c>
      <c r="E49" s="103">
        <v>46.354999999999997</v>
      </c>
      <c r="F49" s="111">
        <v>49.838000000000001</v>
      </c>
      <c r="G49" s="111">
        <v>50.210999999999999</v>
      </c>
      <c r="H49" s="111">
        <v>0</v>
      </c>
      <c r="I49" s="111">
        <v>0</v>
      </c>
      <c r="J49" s="111">
        <v>2.363</v>
      </c>
      <c r="K49" s="111">
        <v>2.363</v>
      </c>
      <c r="L49" s="109">
        <v>20699.88</v>
      </c>
      <c r="M49" s="109">
        <v>20699.88</v>
      </c>
      <c r="N49" s="111">
        <v>49.689</v>
      </c>
      <c r="O49" s="111">
        <v>50.073</v>
      </c>
      <c r="P49" s="109">
        <v>435275.64</v>
      </c>
      <c r="Q49" s="109">
        <v>438639.48</v>
      </c>
      <c r="R49" s="107">
        <v>43.567999999999998</v>
      </c>
      <c r="S49" s="109">
        <v>381655.68</v>
      </c>
      <c r="T49" s="109">
        <v>381655.68</v>
      </c>
      <c r="U49" s="111">
        <v>6.1210000000000004</v>
      </c>
      <c r="V49" s="111">
        <v>6.5049999999999999</v>
      </c>
      <c r="W49" s="103">
        <v>6.1210000000000004</v>
      </c>
      <c r="X49" s="103">
        <v>6.5049999999999999</v>
      </c>
      <c r="Y49" s="111">
        <v>0</v>
      </c>
      <c r="Z49" s="111">
        <v>0</v>
      </c>
      <c r="AA49" s="107">
        <v>0</v>
      </c>
      <c r="AB49" s="107">
        <v>0</v>
      </c>
      <c r="AC49" s="111">
        <v>6.1210000000000004</v>
      </c>
      <c r="AD49" s="111">
        <v>6.5049999999999999</v>
      </c>
      <c r="AE49" s="112">
        <v>6.4676000000000004E-3</v>
      </c>
      <c r="AF49" s="112">
        <v>6.4676000000000004E-3</v>
      </c>
      <c r="AG49" s="104">
        <v>0</v>
      </c>
      <c r="AH49" s="112">
        <v>6.4676000000000004E-3</v>
      </c>
      <c r="AI49" s="112">
        <v>6.4676000000000004E-3</v>
      </c>
      <c r="AJ49" s="112">
        <v>6.4676000000000004E-3</v>
      </c>
      <c r="AK49" s="112">
        <v>0.88240750534849777</v>
      </c>
      <c r="AL49" s="112">
        <v>0.87594544718132583</v>
      </c>
      <c r="AM49" s="112">
        <v>1.1404930224017629</v>
      </c>
      <c r="AN49" s="112">
        <v>1.1493068307014322</v>
      </c>
      <c r="AO49" s="112">
        <v>7.4132046456114584E-2</v>
      </c>
      <c r="AP49" s="112">
        <v>7.4704943995593104E-2</v>
      </c>
      <c r="AQ49" s="107">
        <v>6</v>
      </c>
      <c r="AR49" s="107">
        <v>6</v>
      </c>
      <c r="AS49" s="111">
        <v>0</v>
      </c>
      <c r="AT49" s="111"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v>0</v>
      </c>
      <c r="BA49" s="103">
        <v>0</v>
      </c>
      <c r="BB49" s="103">
        <v>0</v>
      </c>
      <c r="BC49" s="103">
        <v>0</v>
      </c>
      <c r="BD49" s="103">
        <v>0</v>
      </c>
      <c r="BE49" s="111">
        <v>43.567999999999998</v>
      </c>
      <c r="BF49" s="111">
        <v>43.567999999999998</v>
      </c>
      <c r="BG49" s="100">
        <v>0</v>
      </c>
      <c r="BH49"/>
      <c r="BI49"/>
      <c r="BJ49"/>
      <c r="BK49"/>
      <c r="BL49"/>
      <c r="BM49"/>
      <c r="BN49"/>
      <c r="BO49"/>
      <c r="BP49"/>
      <c r="BQ49"/>
    </row>
    <row r="50" spans="1:69">
      <c r="A50" s="100">
        <v>10121</v>
      </c>
      <c r="B50" s="100" t="s">
        <v>54</v>
      </c>
      <c r="C50" s="100">
        <v>0</v>
      </c>
      <c r="D50" s="100">
        <v>1</v>
      </c>
      <c r="E50" s="103">
        <v>41.484999999999999</v>
      </c>
      <c r="F50" s="103">
        <v>39.241999999999997</v>
      </c>
      <c r="G50" s="103">
        <v>39.241999999999997</v>
      </c>
      <c r="H50" s="103">
        <v>0</v>
      </c>
      <c r="I50" s="103">
        <v>0</v>
      </c>
      <c r="J50" s="103">
        <v>0</v>
      </c>
      <c r="K50" s="103">
        <v>0</v>
      </c>
      <c r="L50" s="102">
        <v>0</v>
      </c>
      <c r="M50" s="102">
        <v>0</v>
      </c>
      <c r="N50" s="103">
        <v>38.908000000000001</v>
      </c>
      <c r="O50" s="103">
        <v>38.908000000000001</v>
      </c>
      <c r="P50" s="102">
        <v>340834.08</v>
      </c>
      <c r="Q50" s="102">
        <v>340834.08</v>
      </c>
      <c r="R50" s="100">
        <v>38.991</v>
      </c>
      <c r="S50" s="102">
        <v>341561.16</v>
      </c>
      <c r="T50" s="102">
        <v>341561.16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0">
        <v>0</v>
      </c>
      <c r="AB50" s="100">
        <v>0</v>
      </c>
      <c r="AC50" s="103">
        <v>0</v>
      </c>
      <c r="AD50" s="103">
        <v>0</v>
      </c>
      <c r="AE50" s="104">
        <v>5.7758000000000002E-3</v>
      </c>
      <c r="AF50" s="104">
        <v>5.7758000000000002E-3</v>
      </c>
      <c r="AG50" s="104">
        <v>0</v>
      </c>
      <c r="AH50" s="104">
        <v>5.7758000000000002E-3</v>
      </c>
      <c r="AI50" s="104">
        <v>5.7758000000000002E-3</v>
      </c>
      <c r="AJ50" s="104">
        <v>5.7758000000000002E-3</v>
      </c>
      <c r="AK50" s="104">
        <v>0.99999646119564101</v>
      </c>
      <c r="AL50" s="104">
        <v>0.99999646119564101</v>
      </c>
      <c r="AM50" s="104">
        <v>1</v>
      </c>
      <c r="AN50" s="104">
        <v>1</v>
      </c>
      <c r="AO50" s="104">
        <v>0.06</v>
      </c>
      <c r="AP50" s="104">
        <v>0.06</v>
      </c>
      <c r="AQ50" s="100">
        <v>6</v>
      </c>
      <c r="AR50" s="100">
        <v>6</v>
      </c>
      <c r="AS50" s="103">
        <v>0</v>
      </c>
      <c r="AT50" s="103"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v>0</v>
      </c>
      <c r="BA50" s="103">
        <v>0</v>
      </c>
      <c r="BB50" s="103">
        <v>0</v>
      </c>
      <c r="BC50" s="103">
        <v>0</v>
      </c>
      <c r="BD50" s="103">
        <v>0</v>
      </c>
      <c r="BE50" s="103">
        <v>38.908000000000001</v>
      </c>
      <c r="BF50" s="103">
        <v>38.908000000000001</v>
      </c>
      <c r="BG50" s="100">
        <v>0</v>
      </c>
      <c r="BH50"/>
      <c r="BI50"/>
      <c r="BJ50"/>
      <c r="BK50"/>
      <c r="BL50"/>
      <c r="BM50"/>
      <c r="BN50"/>
      <c r="BO50"/>
      <c r="BP50"/>
      <c r="BQ50"/>
    </row>
    <row r="51" spans="1:69">
      <c r="A51" s="100">
        <v>10123</v>
      </c>
      <c r="B51" s="100" t="s">
        <v>55</v>
      </c>
      <c r="C51" s="100">
        <v>1</v>
      </c>
      <c r="D51" s="100">
        <v>0</v>
      </c>
      <c r="E51" s="103">
        <v>557.39200000000005</v>
      </c>
      <c r="F51" s="103">
        <v>495.40199999999999</v>
      </c>
      <c r="G51" s="103">
        <v>518.68499999999995</v>
      </c>
      <c r="H51" s="103">
        <v>26</v>
      </c>
      <c r="I51" s="103">
        <v>26</v>
      </c>
      <c r="J51" s="103">
        <v>15.72</v>
      </c>
      <c r="K51" s="103">
        <v>15.72</v>
      </c>
      <c r="L51" s="102">
        <v>137707.20000000001</v>
      </c>
      <c r="M51" s="102">
        <v>137707.20000000001</v>
      </c>
      <c r="N51" s="103">
        <v>453.68200000000002</v>
      </c>
      <c r="O51" s="103">
        <v>476.96499999999997</v>
      </c>
      <c r="P51" s="102">
        <v>3974254.3200000003</v>
      </c>
      <c r="Q51" s="102">
        <v>4178213.4</v>
      </c>
      <c r="R51" s="100">
        <v>523.88199999999995</v>
      </c>
      <c r="S51" s="102">
        <v>4589206.3199999994</v>
      </c>
      <c r="T51" s="102">
        <v>4589206.3199999994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0">
        <v>0</v>
      </c>
      <c r="AB51" s="100">
        <v>0</v>
      </c>
      <c r="AC51" s="103">
        <v>0</v>
      </c>
      <c r="AD51" s="103">
        <v>0</v>
      </c>
      <c r="AE51" s="104">
        <v>6.7348199999999997E-2</v>
      </c>
      <c r="AF51" s="104">
        <v>7.0804500000000006E-2</v>
      </c>
      <c r="AG51" s="104">
        <v>3.9884000000000003E-2</v>
      </c>
      <c r="AH51" s="104">
        <v>2.7464199999999994E-2</v>
      </c>
      <c r="AI51" s="104">
        <v>3.0920500000000004E-2</v>
      </c>
      <c r="AJ51" s="104">
        <v>2.9192349999999999E-2</v>
      </c>
      <c r="AK51" s="104">
        <v>1</v>
      </c>
      <c r="AL51" s="104">
        <v>0.99999978415179669</v>
      </c>
      <c r="AM51" s="104">
        <v>1</v>
      </c>
      <c r="AN51" s="104">
        <v>1</v>
      </c>
      <c r="AO51" s="104">
        <v>0</v>
      </c>
      <c r="AP51" s="104">
        <v>0</v>
      </c>
      <c r="AQ51" s="100">
        <v>4</v>
      </c>
      <c r="AR51" s="100">
        <v>4</v>
      </c>
      <c r="AS51" s="103">
        <v>0</v>
      </c>
      <c r="AT51" s="103"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v>0</v>
      </c>
      <c r="BA51" s="103">
        <v>0</v>
      </c>
      <c r="BB51" s="103">
        <v>0</v>
      </c>
      <c r="BC51" s="103">
        <v>0</v>
      </c>
      <c r="BD51" s="103">
        <v>0</v>
      </c>
      <c r="BE51" s="103">
        <v>453.68200000000002</v>
      </c>
      <c r="BF51" s="103">
        <v>476.96499999999997</v>
      </c>
      <c r="BG51" s="100">
        <v>0</v>
      </c>
      <c r="BH51"/>
      <c r="BI51"/>
      <c r="BJ51"/>
      <c r="BK51"/>
      <c r="BL51"/>
      <c r="BM51"/>
      <c r="BN51"/>
      <c r="BO51"/>
      <c r="BP51"/>
      <c r="BQ51"/>
    </row>
    <row r="52" spans="1:69">
      <c r="A52" s="100">
        <v>10136</v>
      </c>
      <c r="B52" s="100" t="s">
        <v>56</v>
      </c>
      <c r="C52" s="100">
        <v>0</v>
      </c>
      <c r="D52" s="100">
        <v>1</v>
      </c>
      <c r="E52" s="103">
        <v>18.814</v>
      </c>
      <c r="F52" s="103">
        <v>18.295999999999999</v>
      </c>
      <c r="G52" s="103">
        <v>18.341999999999999</v>
      </c>
      <c r="H52" s="103">
        <v>0</v>
      </c>
      <c r="I52" s="103">
        <v>0</v>
      </c>
      <c r="J52" s="103">
        <v>0</v>
      </c>
      <c r="K52" s="103">
        <v>0</v>
      </c>
      <c r="L52" s="102">
        <v>0</v>
      </c>
      <c r="M52" s="102">
        <v>0</v>
      </c>
      <c r="N52" s="103">
        <v>18.257000000000001</v>
      </c>
      <c r="O52" s="103">
        <v>18.302</v>
      </c>
      <c r="P52" s="102">
        <v>159931.32</v>
      </c>
      <c r="Q52" s="102">
        <v>160325.51999999999</v>
      </c>
      <c r="R52" s="100">
        <v>17.683</v>
      </c>
      <c r="S52" s="102">
        <v>154903.07999999999</v>
      </c>
      <c r="T52" s="102">
        <v>154903.07999999999</v>
      </c>
      <c r="U52" s="103">
        <v>0.57399999999999995</v>
      </c>
      <c r="V52" s="103">
        <v>0.61899999999999999</v>
      </c>
      <c r="W52" s="103">
        <v>0.57399999999999995</v>
      </c>
      <c r="X52" s="103">
        <v>0.61899999999999999</v>
      </c>
      <c r="Y52" s="103">
        <v>0</v>
      </c>
      <c r="Z52" s="103">
        <v>0</v>
      </c>
      <c r="AA52" s="100">
        <v>0</v>
      </c>
      <c r="AB52" s="100">
        <v>0</v>
      </c>
      <c r="AC52" s="103">
        <v>0.57399999999999995</v>
      </c>
      <c r="AD52" s="103">
        <v>0.61899999999999999</v>
      </c>
      <c r="AE52" s="104">
        <v>2.6250000000000002E-3</v>
      </c>
      <c r="AF52" s="104">
        <v>2.6250000000000002E-3</v>
      </c>
      <c r="AG52" s="104">
        <v>0</v>
      </c>
      <c r="AH52" s="104">
        <v>2.6250000000000002E-3</v>
      </c>
      <c r="AI52" s="104">
        <v>2.6250000000000002E-3</v>
      </c>
      <c r="AJ52" s="104">
        <v>2.6250000000000002E-3</v>
      </c>
      <c r="AK52" s="104">
        <v>0.96855684805827913</v>
      </c>
      <c r="AL52" s="104">
        <v>0.96617541115725081</v>
      </c>
      <c r="AM52" s="104">
        <v>1.0324605553356332</v>
      </c>
      <c r="AN52" s="104">
        <v>1.0350053723915624</v>
      </c>
      <c r="AO52" s="104">
        <v>7.2272238873494335E-2</v>
      </c>
      <c r="AP52" s="104">
        <v>7.2450376067409381E-2</v>
      </c>
      <c r="AQ52" s="100">
        <v>6</v>
      </c>
      <c r="AR52" s="100">
        <v>6</v>
      </c>
      <c r="AS52" s="103">
        <v>0</v>
      </c>
      <c r="AT52" s="103"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v>0</v>
      </c>
      <c r="BA52" s="103">
        <v>0</v>
      </c>
      <c r="BB52" s="103">
        <v>0</v>
      </c>
      <c r="BC52" s="103">
        <v>0</v>
      </c>
      <c r="BD52" s="103">
        <v>0</v>
      </c>
      <c r="BE52" s="103">
        <v>17.683</v>
      </c>
      <c r="BF52" s="103">
        <v>17.683</v>
      </c>
      <c r="BG52" s="100">
        <v>0</v>
      </c>
      <c r="BH52"/>
      <c r="BI52"/>
      <c r="BJ52"/>
      <c r="BK52"/>
      <c r="BL52"/>
      <c r="BM52"/>
      <c r="BN52"/>
      <c r="BO52"/>
      <c r="BP52"/>
      <c r="BQ52"/>
    </row>
    <row r="53" spans="1:69">
      <c r="A53" s="100">
        <v>10142</v>
      </c>
      <c r="B53" s="100" t="s">
        <v>57</v>
      </c>
      <c r="C53" s="100">
        <v>1</v>
      </c>
      <c r="D53" s="100">
        <v>0</v>
      </c>
      <c r="E53" s="103">
        <v>2.7269999999999999</v>
      </c>
      <c r="F53" s="103">
        <v>3.2370000000000001</v>
      </c>
      <c r="G53" s="103">
        <v>3.2429999999999999</v>
      </c>
      <c r="H53" s="103">
        <v>0</v>
      </c>
      <c r="I53" s="103">
        <v>0</v>
      </c>
      <c r="J53" s="103">
        <v>0</v>
      </c>
      <c r="K53" s="103">
        <v>0</v>
      </c>
      <c r="L53" s="102">
        <v>0</v>
      </c>
      <c r="M53" s="102">
        <v>0</v>
      </c>
      <c r="N53" s="103">
        <v>3</v>
      </c>
      <c r="O53" s="103">
        <v>3.0059999999999998</v>
      </c>
      <c r="P53" s="102">
        <v>26280</v>
      </c>
      <c r="Q53" s="102">
        <v>26332.559999999998</v>
      </c>
      <c r="R53" s="100">
        <v>2.5630000000000002</v>
      </c>
      <c r="S53" s="102">
        <v>22451.88</v>
      </c>
      <c r="T53" s="102">
        <v>22451.88</v>
      </c>
      <c r="U53" s="103">
        <v>0.437</v>
      </c>
      <c r="V53" s="103">
        <v>0.443</v>
      </c>
      <c r="W53" s="103">
        <v>0</v>
      </c>
      <c r="X53" s="103">
        <v>0</v>
      </c>
      <c r="Y53" s="103">
        <v>0.437</v>
      </c>
      <c r="Z53" s="103">
        <v>0.443</v>
      </c>
      <c r="AA53" s="100">
        <v>0</v>
      </c>
      <c r="AB53" s="100">
        <v>0</v>
      </c>
      <c r="AC53" s="103">
        <v>0</v>
      </c>
      <c r="AD53" s="103">
        <v>0</v>
      </c>
      <c r="AE53" s="104">
        <v>3.8049999999999998E-4</v>
      </c>
      <c r="AF53" s="104">
        <v>3.8049999999999998E-4</v>
      </c>
      <c r="AG53" s="104">
        <v>0</v>
      </c>
      <c r="AH53" s="104">
        <v>3.8049999999999998E-4</v>
      </c>
      <c r="AI53" s="104">
        <v>3.8049999999999998E-4</v>
      </c>
      <c r="AJ53" s="104">
        <v>3.8049999999999998E-4</v>
      </c>
      <c r="AK53" s="104">
        <v>0.85439486649999996</v>
      </c>
      <c r="AL53" s="104">
        <v>0.85268948752495011</v>
      </c>
      <c r="AM53" s="104">
        <v>1.1705033164260632</v>
      </c>
      <c r="AN53" s="104">
        <v>1.1728443230589152</v>
      </c>
      <c r="AO53" s="104">
        <v>3.5115099492781895E-2</v>
      </c>
      <c r="AP53" s="104">
        <v>3.5185329691767457E-2</v>
      </c>
      <c r="AQ53" s="100">
        <v>1</v>
      </c>
      <c r="AR53" s="100">
        <v>1</v>
      </c>
      <c r="AS53" s="103">
        <v>0</v>
      </c>
      <c r="AT53" s="103"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v>0</v>
      </c>
      <c r="BA53" s="103">
        <v>0</v>
      </c>
      <c r="BB53" s="103">
        <v>0</v>
      </c>
      <c r="BC53" s="103">
        <v>0</v>
      </c>
      <c r="BD53" s="103">
        <v>0</v>
      </c>
      <c r="BE53" s="103">
        <v>3</v>
      </c>
      <c r="BF53" s="103">
        <v>3.0059999999999998</v>
      </c>
      <c r="BG53" s="100">
        <v>0</v>
      </c>
      <c r="BH53"/>
      <c r="BI53"/>
      <c r="BJ53"/>
      <c r="BK53"/>
      <c r="BL53"/>
      <c r="BM53"/>
      <c r="BN53"/>
      <c r="BO53"/>
      <c r="BP53"/>
      <c r="BQ53"/>
    </row>
    <row r="54" spans="1:69">
      <c r="A54" s="100">
        <v>10144</v>
      </c>
      <c r="B54" s="100" t="s">
        <v>58</v>
      </c>
      <c r="C54" s="100">
        <v>1</v>
      </c>
      <c r="D54" s="100">
        <v>0</v>
      </c>
      <c r="E54" s="103">
        <v>3.4180000000000001</v>
      </c>
      <c r="F54" s="103">
        <v>3.2949999999999999</v>
      </c>
      <c r="G54" s="103">
        <v>3.2989999999999999</v>
      </c>
      <c r="H54" s="103">
        <v>0</v>
      </c>
      <c r="I54" s="103">
        <v>0</v>
      </c>
      <c r="J54" s="103">
        <v>0</v>
      </c>
      <c r="K54" s="103">
        <v>0</v>
      </c>
      <c r="L54" s="102">
        <v>0</v>
      </c>
      <c r="M54" s="102">
        <v>0</v>
      </c>
      <c r="N54" s="103">
        <v>3.2949999999999999</v>
      </c>
      <c r="O54" s="103">
        <v>3.2989999999999999</v>
      </c>
      <c r="P54" s="102">
        <v>28864.2</v>
      </c>
      <c r="Q54" s="102">
        <v>28899.239999999998</v>
      </c>
      <c r="R54" s="100">
        <v>3.2130000000000001</v>
      </c>
      <c r="S54" s="102">
        <v>28145.88</v>
      </c>
      <c r="T54" s="102">
        <v>28145.88</v>
      </c>
      <c r="U54" s="103">
        <v>8.2000000000000003E-2</v>
      </c>
      <c r="V54" s="103">
        <v>8.5999999999999993E-2</v>
      </c>
      <c r="W54" s="103">
        <v>0</v>
      </c>
      <c r="X54" s="103">
        <v>0</v>
      </c>
      <c r="Y54" s="103">
        <v>8.2000000000000003E-2</v>
      </c>
      <c r="Z54" s="103">
        <v>8.5999999999999993E-2</v>
      </c>
      <c r="AA54" s="100">
        <v>0</v>
      </c>
      <c r="AB54" s="100">
        <v>0</v>
      </c>
      <c r="AC54" s="103">
        <v>0</v>
      </c>
      <c r="AD54" s="103">
        <v>0</v>
      </c>
      <c r="AE54" s="104">
        <v>4.7699999999999999E-4</v>
      </c>
      <c r="AF54" s="104">
        <v>4.7699999999999999E-4</v>
      </c>
      <c r="AG54" s="104">
        <v>0</v>
      </c>
      <c r="AH54" s="104">
        <v>4.7699999999999999E-4</v>
      </c>
      <c r="AI54" s="104">
        <v>4.7699999999999999E-4</v>
      </c>
      <c r="AJ54" s="104">
        <v>4.7699999999999999E-4</v>
      </c>
      <c r="AK54" s="104">
        <v>0.9751876306525038</v>
      </c>
      <c r="AL54" s="104">
        <v>0.97400522673537437</v>
      </c>
      <c r="AM54" s="104">
        <v>1.0255213196389668</v>
      </c>
      <c r="AN54" s="104">
        <v>1.0267662620603797</v>
      </c>
      <c r="AO54" s="104">
        <v>0</v>
      </c>
      <c r="AP54" s="104">
        <v>0</v>
      </c>
      <c r="AQ54" s="100">
        <v>1</v>
      </c>
      <c r="AR54" s="100">
        <v>1</v>
      </c>
      <c r="AS54" s="103">
        <v>0</v>
      </c>
      <c r="AT54" s="103"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v>0</v>
      </c>
      <c r="BA54" s="103">
        <v>0</v>
      </c>
      <c r="BB54" s="103">
        <v>0</v>
      </c>
      <c r="BC54" s="103">
        <v>0</v>
      </c>
      <c r="BD54" s="103">
        <v>0</v>
      </c>
      <c r="BE54" s="103">
        <v>3.2949999999999999</v>
      </c>
      <c r="BF54" s="103">
        <v>3.2989999999999999</v>
      </c>
      <c r="BG54" s="100">
        <v>0</v>
      </c>
      <c r="BH54"/>
      <c r="BI54"/>
      <c r="BJ54"/>
      <c r="BK54"/>
      <c r="BL54"/>
      <c r="BM54"/>
      <c r="BN54"/>
      <c r="BO54"/>
      <c r="BP54"/>
      <c r="BQ54"/>
    </row>
    <row r="55" spans="1:69">
      <c r="A55" s="100">
        <v>10156</v>
      </c>
      <c r="B55" s="100" t="s">
        <v>59</v>
      </c>
      <c r="C55" s="100">
        <v>1</v>
      </c>
      <c r="D55" s="100">
        <v>0</v>
      </c>
      <c r="E55" s="103">
        <v>32.719000000000001</v>
      </c>
      <c r="F55" s="103">
        <v>32.497</v>
      </c>
      <c r="G55" s="103">
        <v>32.6</v>
      </c>
      <c r="H55" s="103">
        <v>0</v>
      </c>
      <c r="I55" s="103">
        <v>0</v>
      </c>
      <c r="J55" s="103">
        <v>0</v>
      </c>
      <c r="K55" s="103">
        <v>0</v>
      </c>
      <c r="L55" s="102">
        <v>0</v>
      </c>
      <c r="M55" s="102">
        <v>0</v>
      </c>
      <c r="N55" s="103">
        <v>32.320999999999998</v>
      </c>
      <c r="O55" s="103">
        <v>32.421999999999997</v>
      </c>
      <c r="P55" s="102">
        <v>283131.95999999996</v>
      </c>
      <c r="Q55" s="102">
        <v>284016.71999999997</v>
      </c>
      <c r="R55" s="100">
        <v>30.751999999999999</v>
      </c>
      <c r="S55" s="102">
        <v>269387.52000000002</v>
      </c>
      <c r="T55" s="102">
        <v>269387.52000000002</v>
      </c>
      <c r="U55" s="103">
        <v>1.569</v>
      </c>
      <c r="V55" s="103">
        <v>1.67</v>
      </c>
      <c r="W55" s="103">
        <v>1.569</v>
      </c>
      <c r="X55" s="103">
        <v>1.67</v>
      </c>
      <c r="Y55" s="103">
        <v>0</v>
      </c>
      <c r="Z55" s="103">
        <v>0</v>
      </c>
      <c r="AA55" s="100">
        <v>0</v>
      </c>
      <c r="AB55" s="100">
        <v>0</v>
      </c>
      <c r="AC55" s="103">
        <v>1.569</v>
      </c>
      <c r="AD55" s="103">
        <v>1.67</v>
      </c>
      <c r="AE55" s="104">
        <v>4.5650999999999999E-3</v>
      </c>
      <c r="AF55" s="104">
        <v>4.5650999999999999E-3</v>
      </c>
      <c r="AG55" s="104">
        <v>0</v>
      </c>
      <c r="AH55" s="104">
        <v>4.5650999999999999E-3</v>
      </c>
      <c r="AI55" s="104">
        <v>4.5650999999999999E-3</v>
      </c>
      <c r="AJ55" s="104">
        <v>4.5650999999999999E-3</v>
      </c>
      <c r="AK55" s="104">
        <v>0.95146042730422953</v>
      </c>
      <c r="AL55" s="104">
        <v>0.94849646754981198</v>
      </c>
      <c r="AM55" s="104">
        <v>1.051021071800208</v>
      </c>
      <c r="AN55" s="104">
        <v>1.0543054110301768</v>
      </c>
      <c r="AO55" s="104">
        <v>0</v>
      </c>
      <c r="AP55" s="104">
        <v>0</v>
      </c>
      <c r="AQ55" s="100">
        <v>1</v>
      </c>
      <c r="AR55" s="100">
        <v>1</v>
      </c>
      <c r="AS55" s="103">
        <v>0</v>
      </c>
      <c r="AT55" s="103">
        <v>0</v>
      </c>
      <c r="AU55" s="103">
        <v>1.569</v>
      </c>
      <c r="AV55" s="103">
        <v>1.67</v>
      </c>
      <c r="AW55" s="103">
        <v>0</v>
      </c>
      <c r="AX55" s="103">
        <v>0</v>
      </c>
      <c r="AY55" s="103">
        <v>0</v>
      </c>
      <c r="AZ55" s="103">
        <v>0</v>
      </c>
      <c r="BA55" s="103">
        <v>0</v>
      </c>
      <c r="BB55" s="103">
        <v>0</v>
      </c>
      <c r="BC55" s="103">
        <v>0</v>
      </c>
      <c r="BD55" s="103">
        <v>0</v>
      </c>
      <c r="BE55" s="103">
        <v>32.320999999999998</v>
      </c>
      <c r="BF55" s="103">
        <v>32.421999999999997</v>
      </c>
      <c r="BG55" s="100">
        <v>1</v>
      </c>
      <c r="BH55"/>
      <c r="BI55"/>
      <c r="BJ55"/>
      <c r="BK55"/>
      <c r="BL55"/>
      <c r="BM55"/>
      <c r="BN55"/>
      <c r="BO55"/>
      <c r="BP55"/>
      <c r="BQ55"/>
    </row>
    <row r="56" spans="1:69">
      <c r="A56" s="100">
        <v>10157</v>
      </c>
      <c r="B56" s="100" t="s">
        <v>60</v>
      </c>
      <c r="C56" s="100">
        <v>1</v>
      </c>
      <c r="D56" s="100">
        <v>0</v>
      </c>
      <c r="E56" s="103">
        <v>50.703000000000003</v>
      </c>
      <c r="F56" s="103">
        <v>91.123999999999995</v>
      </c>
      <c r="G56" s="103">
        <v>91.301000000000002</v>
      </c>
      <c r="H56" s="103">
        <v>38.466999999999999</v>
      </c>
      <c r="I56" s="103">
        <v>38.466999999999999</v>
      </c>
      <c r="J56" s="103">
        <v>2.5489999999999999</v>
      </c>
      <c r="K56" s="103">
        <v>2.5489999999999999</v>
      </c>
      <c r="L56" s="102">
        <v>22329.239999999998</v>
      </c>
      <c r="M56" s="102">
        <v>22329.239999999998</v>
      </c>
      <c r="N56" s="103">
        <v>50.107999999999997</v>
      </c>
      <c r="O56" s="103">
        <v>50.284999999999997</v>
      </c>
      <c r="P56" s="102">
        <v>438946.07999999996</v>
      </c>
      <c r="Q56" s="102">
        <v>440496.6</v>
      </c>
      <c r="R56" s="100">
        <v>47.655000000000001</v>
      </c>
      <c r="S56" s="102">
        <v>417457.8</v>
      </c>
      <c r="T56" s="102">
        <v>417457.8</v>
      </c>
      <c r="U56" s="103">
        <v>2.4529999999999998</v>
      </c>
      <c r="V56" s="103">
        <v>2.63</v>
      </c>
      <c r="W56" s="103">
        <v>2.4529999999999998</v>
      </c>
      <c r="X56" s="103">
        <v>2.63</v>
      </c>
      <c r="Y56" s="103">
        <v>0</v>
      </c>
      <c r="Z56" s="103">
        <v>0</v>
      </c>
      <c r="AA56" s="100">
        <v>0</v>
      </c>
      <c r="AB56" s="100">
        <v>0</v>
      </c>
      <c r="AC56" s="103">
        <v>2.4529999999999998</v>
      </c>
      <c r="AD56" s="103">
        <v>2.63</v>
      </c>
      <c r="AE56" s="104">
        <v>7.0743000000000004E-3</v>
      </c>
      <c r="AF56" s="104">
        <v>7.0743000000000004E-3</v>
      </c>
      <c r="AG56" s="104">
        <v>3.6979999999999999E-3</v>
      </c>
      <c r="AH56" s="104">
        <v>3.3763000000000005E-3</v>
      </c>
      <c r="AI56" s="104">
        <v>3.3763000000000005E-3</v>
      </c>
      <c r="AJ56" s="104">
        <v>3.3763000000000005E-3</v>
      </c>
      <c r="AK56" s="104">
        <v>0.95341596508916204</v>
      </c>
      <c r="AL56" s="104">
        <v>0.95022191152856117</v>
      </c>
      <c r="AM56" s="104">
        <v>1.0514741370265448</v>
      </c>
      <c r="AN56" s="104">
        <v>1.0551883328087293</v>
      </c>
      <c r="AO56" s="221">
        <v>5.2573706851327236E-2</v>
      </c>
      <c r="AP56" s="221">
        <v>5.2759416640436457E-2</v>
      </c>
      <c r="AQ56" s="100">
        <v>4</v>
      </c>
      <c r="AR56" s="100">
        <v>4</v>
      </c>
      <c r="AS56" s="103">
        <v>0</v>
      </c>
      <c r="AT56" s="103"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v>0</v>
      </c>
      <c r="BA56" s="103">
        <v>0</v>
      </c>
      <c r="BB56" s="103">
        <v>0</v>
      </c>
      <c r="BC56" s="103">
        <v>0</v>
      </c>
      <c r="BD56" s="103">
        <v>0</v>
      </c>
      <c r="BE56" s="103">
        <v>47.655000000000001</v>
      </c>
      <c r="BF56" s="103">
        <v>47.655000000000001</v>
      </c>
      <c r="BG56" s="100">
        <v>0</v>
      </c>
      <c r="BH56"/>
      <c r="BI56"/>
      <c r="BJ56"/>
      <c r="BK56"/>
      <c r="BL56"/>
      <c r="BM56"/>
      <c r="BN56"/>
      <c r="BO56"/>
      <c r="BP56"/>
      <c r="BQ56"/>
    </row>
    <row r="57" spans="1:69">
      <c r="A57" s="100">
        <v>10158</v>
      </c>
      <c r="B57" s="100" t="s">
        <v>61</v>
      </c>
      <c r="C57" s="100">
        <v>1</v>
      </c>
      <c r="D57" s="100">
        <v>0</v>
      </c>
      <c r="E57" s="103">
        <v>2.8330000000000002</v>
      </c>
      <c r="F57" s="103">
        <v>2.2679999999999998</v>
      </c>
      <c r="G57" s="103">
        <v>2.2679999999999998</v>
      </c>
      <c r="H57" s="103">
        <v>0</v>
      </c>
      <c r="I57" s="103">
        <v>0</v>
      </c>
      <c r="J57" s="103">
        <v>0</v>
      </c>
      <c r="K57" s="103">
        <v>0</v>
      </c>
      <c r="L57" s="102">
        <v>0</v>
      </c>
      <c r="M57" s="102">
        <v>0</v>
      </c>
      <c r="N57" s="103">
        <v>2.3730000000000002</v>
      </c>
      <c r="O57" s="103">
        <v>2.3730000000000002</v>
      </c>
      <c r="P57" s="102">
        <v>20787.480000000003</v>
      </c>
      <c r="Q57" s="102">
        <v>20787.480000000003</v>
      </c>
      <c r="R57" s="100">
        <v>2.6629999999999998</v>
      </c>
      <c r="S57" s="102">
        <v>23327.879999999997</v>
      </c>
      <c r="T57" s="102">
        <v>23327.879999999997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0">
        <v>0</v>
      </c>
      <c r="AB57" s="100">
        <v>0</v>
      </c>
      <c r="AC57" s="103">
        <v>0</v>
      </c>
      <c r="AD57" s="103">
        <v>0</v>
      </c>
      <c r="AE57" s="104">
        <v>3.523E-4</v>
      </c>
      <c r="AF57" s="104">
        <v>3.523E-4</v>
      </c>
      <c r="AG57" s="104">
        <v>0</v>
      </c>
      <c r="AH57" s="104">
        <v>3.523E-4</v>
      </c>
      <c r="AI57" s="104">
        <v>3.523E-4</v>
      </c>
      <c r="AJ57" s="104">
        <v>3.523E-4</v>
      </c>
      <c r="AK57" s="104">
        <v>1</v>
      </c>
      <c r="AL57" s="104">
        <v>1</v>
      </c>
      <c r="AM57" s="104">
        <v>1</v>
      </c>
      <c r="AN57" s="104">
        <v>1</v>
      </c>
      <c r="AO57" s="104">
        <v>0</v>
      </c>
      <c r="AP57" s="104">
        <v>0</v>
      </c>
      <c r="AQ57" s="100">
        <v>1</v>
      </c>
      <c r="AR57" s="100">
        <v>1</v>
      </c>
      <c r="AS57" s="103">
        <v>0</v>
      </c>
      <c r="AT57" s="103"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v>0</v>
      </c>
      <c r="BA57" s="103">
        <v>0</v>
      </c>
      <c r="BB57" s="103">
        <v>0</v>
      </c>
      <c r="BC57" s="103">
        <v>0</v>
      </c>
      <c r="BD57" s="103">
        <v>0</v>
      </c>
      <c r="BE57" s="103">
        <v>2.3730000000000002</v>
      </c>
      <c r="BF57" s="103">
        <v>2.3730000000000002</v>
      </c>
      <c r="BG57" s="100">
        <v>0</v>
      </c>
      <c r="BH57"/>
      <c r="BI57"/>
      <c r="BJ57"/>
      <c r="BK57"/>
      <c r="BL57"/>
      <c r="BM57"/>
      <c r="BN57"/>
      <c r="BO57"/>
      <c r="BP57"/>
      <c r="BQ57"/>
    </row>
    <row r="58" spans="1:69">
      <c r="A58" s="100">
        <v>10170</v>
      </c>
      <c r="B58" s="100" t="s">
        <v>62</v>
      </c>
      <c r="C58" s="100">
        <v>1</v>
      </c>
      <c r="D58" s="100">
        <v>0</v>
      </c>
      <c r="E58" s="103">
        <v>254.84299999999999</v>
      </c>
      <c r="F58" s="103">
        <v>270.37099999999998</v>
      </c>
      <c r="G58" s="103">
        <v>271.47500000000002</v>
      </c>
      <c r="H58" s="103">
        <v>1</v>
      </c>
      <c r="I58" s="103">
        <v>1</v>
      </c>
      <c r="J58" s="103">
        <v>42.39</v>
      </c>
      <c r="K58" s="103">
        <v>42.39</v>
      </c>
      <c r="L58" s="102">
        <v>371336.4</v>
      </c>
      <c r="M58" s="102">
        <v>371336.4</v>
      </c>
      <c r="N58" s="103">
        <v>226.98099999999999</v>
      </c>
      <c r="O58" s="103">
        <v>228.08500000000001</v>
      </c>
      <c r="P58" s="102">
        <v>1988353.56</v>
      </c>
      <c r="Q58" s="102">
        <v>1998024.6</v>
      </c>
      <c r="R58" s="100">
        <v>239.52199999999999</v>
      </c>
      <c r="S58" s="102">
        <v>2098212.7199999997</v>
      </c>
      <c r="T58" s="102">
        <v>2098212.7199999997</v>
      </c>
      <c r="U58" s="103">
        <v>0.55700000000000005</v>
      </c>
      <c r="V58" s="103">
        <v>2.1680000000000001</v>
      </c>
      <c r="W58" s="103">
        <v>0</v>
      </c>
      <c r="X58" s="103">
        <v>2.1680000000000001</v>
      </c>
      <c r="Y58" s="103">
        <v>0.55700000000000005</v>
      </c>
      <c r="Z58" s="103">
        <v>0</v>
      </c>
      <c r="AA58" s="100">
        <v>0</v>
      </c>
      <c r="AB58" s="100">
        <v>0</v>
      </c>
      <c r="AC58" s="103">
        <v>0</v>
      </c>
      <c r="AD58" s="103">
        <v>2.1680000000000001</v>
      </c>
      <c r="AE58" s="104">
        <v>3.36949E-2</v>
      </c>
      <c r="AF58" s="104">
        <v>3.3858800000000001E-2</v>
      </c>
      <c r="AG58" s="104">
        <v>1.7933600000000001E-2</v>
      </c>
      <c r="AH58" s="104">
        <v>1.5761299999999999E-2</v>
      </c>
      <c r="AI58" s="104">
        <v>1.59252E-2</v>
      </c>
      <c r="AJ58" s="104">
        <v>1.584325E-2</v>
      </c>
      <c r="AK58" s="104">
        <v>0.99802818156824302</v>
      </c>
      <c r="AL58" s="104">
        <v>0.99236842586384144</v>
      </c>
      <c r="AM58" s="104">
        <v>1</v>
      </c>
      <c r="AN58" s="104">
        <v>1</v>
      </c>
      <c r="AO58" s="104">
        <v>0</v>
      </c>
      <c r="AP58" s="104">
        <v>0</v>
      </c>
      <c r="AQ58" s="100">
        <v>4</v>
      </c>
      <c r="AR58" s="100">
        <v>4</v>
      </c>
      <c r="AS58" s="103">
        <v>0</v>
      </c>
      <c r="AT58" s="103"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v>0</v>
      </c>
      <c r="BA58" s="103">
        <v>0</v>
      </c>
      <c r="BB58" s="103">
        <v>0</v>
      </c>
      <c r="BC58" s="103">
        <v>0</v>
      </c>
      <c r="BD58" s="103">
        <v>0</v>
      </c>
      <c r="BE58" s="103">
        <v>227.53800000000001</v>
      </c>
      <c r="BF58" s="103">
        <v>228.08500000000001</v>
      </c>
      <c r="BG58" s="100">
        <v>0</v>
      </c>
      <c r="BH58"/>
      <c r="BI58"/>
      <c r="BJ58"/>
      <c r="BK58"/>
      <c r="BL58"/>
      <c r="BM58"/>
      <c r="BN58"/>
      <c r="BO58"/>
      <c r="BP58"/>
      <c r="BQ58"/>
    </row>
    <row r="59" spans="1:69">
      <c r="A59" s="100">
        <v>10172</v>
      </c>
      <c r="B59" s="100" t="s">
        <v>63</v>
      </c>
      <c r="C59" s="100">
        <v>1</v>
      </c>
      <c r="D59" s="100">
        <v>0</v>
      </c>
      <c r="E59" s="103">
        <v>6.1929999999999996</v>
      </c>
      <c r="F59" s="103">
        <v>5.2629999999999999</v>
      </c>
      <c r="G59" s="103">
        <v>5.2759999999999998</v>
      </c>
      <c r="H59" s="103">
        <v>0</v>
      </c>
      <c r="I59" s="103">
        <v>0</v>
      </c>
      <c r="J59" s="103">
        <v>0</v>
      </c>
      <c r="K59" s="103">
        <v>0</v>
      </c>
      <c r="L59" s="102">
        <v>0</v>
      </c>
      <c r="M59" s="102">
        <v>0</v>
      </c>
      <c r="N59" s="103">
        <v>5.47</v>
      </c>
      <c r="O59" s="103">
        <v>5.4829999999999997</v>
      </c>
      <c r="P59" s="102">
        <v>47917.2</v>
      </c>
      <c r="Q59" s="102">
        <v>48031.079999999994</v>
      </c>
      <c r="R59" s="100">
        <v>5.8209999999999997</v>
      </c>
      <c r="S59" s="102">
        <v>50991.96</v>
      </c>
      <c r="T59" s="102">
        <v>50991.96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0">
        <v>0</v>
      </c>
      <c r="AB59" s="100">
        <v>0</v>
      </c>
      <c r="AC59" s="103">
        <v>0</v>
      </c>
      <c r="AD59" s="103">
        <v>0</v>
      </c>
      <c r="AE59" s="104">
        <v>8.12E-4</v>
      </c>
      <c r="AF59" s="104">
        <v>8.139E-4</v>
      </c>
      <c r="AG59" s="104">
        <v>0</v>
      </c>
      <c r="AH59" s="104">
        <v>8.12E-4</v>
      </c>
      <c r="AI59" s="104">
        <v>8.139E-4</v>
      </c>
      <c r="AJ59" s="104">
        <v>8.1295E-4</v>
      </c>
      <c r="AK59" s="104">
        <v>0.99998601608775139</v>
      </c>
      <c r="AL59" s="104">
        <v>0.99994940545321909</v>
      </c>
      <c r="AM59" s="104">
        <v>1</v>
      </c>
      <c r="AN59" s="104">
        <v>1</v>
      </c>
      <c r="AO59" s="104">
        <v>0</v>
      </c>
      <c r="AP59" s="104">
        <v>0</v>
      </c>
      <c r="AQ59" s="100">
        <v>1</v>
      </c>
      <c r="AR59" s="100">
        <v>1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5.47</v>
      </c>
      <c r="BF59" s="103">
        <v>5.4829999999999997</v>
      </c>
      <c r="BG59" s="100">
        <v>0</v>
      </c>
      <c r="BH59"/>
      <c r="BI59"/>
      <c r="BJ59"/>
      <c r="BK59"/>
      <c r="BL59"/>
      <c r="BM59"/>
      <c r="BN59"/>
      <c r="BO59"/>
      <c r="BP59"/>
      <c r="BQ59"/>
    </row>
    <row r="60" spans="1:69">
      <c r="A60" s="100">
        <v>10173</v>
      </c>
      <c r="B60" s="100" t="s">
        <v>64</v>
      </c>
      <c r="C60" s="100">
        <v>0</v>
      </c>
      <c r="D60" s="100">
        <v>1</v>
      </c>
      <c r="E60" s="103">
        <v>33.624000000000002</v>
      </c>
      <c r="F60" s="103">
        <v>41.057000000000002</v>
      </c>
      <c r="G60" s="103">
        <v>41.656999999999996</v>
      </c>
      <c r="H60" s="103">
        <v>0</v>
      </c>
      <c r="I60" s="103">
        <v>0</v>
      </c>
      <c r="J60" s="103">
        <v>2.0939999999999999</v>
      </c>
      <c r="K60" s="103">
        <v>2.0939999999999999</v>
      </c>
      <c r="L60" s="102">
        <v>18343.439999999999</v>
      </c>
      <c r="M60" s="102">
        <v>18343.439999999999</v>
      </c>
      <c r="N60" s="103">
        <v>38.298000000000002</v>
      </c>
      <c r="O60" s="103">
        <v>38.832000000000001</v>
      </c>
      <c r="P60" s="102">
        <v>335490.48000000004</v>
      </c>
      <c r="Q60" s="102">
        <v>340168.32</v>
      </c>
      <c r="R60" s="100">
        <v>31.603000000000002</v>
      </c>
      <c r="S60" s="102">
        <v>276842.28000000003</v>
      </c>
      <c r="T60" s="102">
        <v>276842.28000000003</v>
      </c>
      <c r="U60" s="103">
        <v>6.6950000000000003</v>
      </c>
      <c r="V60" s="103">
        <v>7.2290000000000001</v>
      </c>
      <c r="W60" s="103">
        <v>6.6950000000000003</v>
      </c>
      <c r="X60" s="103">
        <v>7.2290000000000001</v>
      </c>
      <c r="Y60" s="103">
        <v>0</v>
      </c>
      <c r="Z60" s="103">
        <v>0</v>
      </c>
      <c r="AA60" s="100">
        <v>0</v>
      </c>
      <c r="AB60" s="100">
        <v>0</v>
      </c>
      <c r="AC60" s="103">
        <v>6.6950000000000003</v>
      </c>
      <c r="AD60" s="103">
        <v>7.2290000000000001</v>
      </c>
      <c r="AE60" s="104">
        <v>4.6914000000000001E-3</v>
      </c>
      <c r="AF60" s="104">
        <v>4.6914000000000001E-3</v>
      </c>
      <c r="AG60" s="104">
        <v>0</v>
      </c>
      <c r="AH60" s="104">
        <v>4.6914000000000001E-3</v>
      </c>
      <c r="AI60" s="104">
        <v>4.6914000000000001E-3</v>
      </c>
      <c r="AJ60" s="104">
        <v>4.6914000000000001E-3</v>
      </c>
      <c r="AK60" s="104">
        <v>0.83424823263517534</v>
      </c>
      <c r="AL60" s="104">
        <v>0.82336301159654013</v>
      </c>
      <c r="AM60" s="104">
        <v>1.211846976552859</v>
      </c>
      <c r="AN60" s="104">
        <v>1.2287441065721609</v>
      </c>
      <c r="AO60" s="104">
        <v>8.4829288358700142E-2</v>
      </c>
      <c r="AP60" s="104">
        <v>8.6012087460051276E-2</v>
      </c>
      <c r="AQ60" s="100">
        <v>6</v>
      </c>
      <c r="AR60" s="100">
        <v>6</v>
      </c>
      <c r="AS60" s="103">
        <v>0</v>
      </c>
      <c r="AT60" s="103"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v>0</v>
      </c>
      <c r="BA60" s="103">
        <v>0</v>
      </c>
      <c r="BB60" s="103">
        <v>0</v>
      </c>
      <c r="BC60" s="103">
        <v>0</v>
      </c>
      <c r="BD60" s="103">
        <v>0</v>
      </c>
      <c r="BE60" s="103">
        <v>31.603000000000002</v>
      </c>
      <c r="BF60" s="103">
        <v>31.603000000000002</v>
      </c>
      <c r="BG60" s="100">
        <v>0</v>
      </c>
      <c r="BH60"/>
      <c r="BI60"/>
      <c r="BJ60"/>
      <c r="BK60"/>
      <c r="BL60"/>
      <c r="BM60"/>
      <c r="BN60"/>
      <c r="BO60"/>
      <c r="BP60"/>
      <c r="BQ60"/>
    </row>
    <row r="61" spans="1:69">
      <c r="A61" s="100">
        <v>10174</v>
      </c>
      <c r="B61" s="100" t="s">
        <v>65</v>
      </c>
      <c r="C61" s="100">
        <v>1</v>
      </c>
      <c r="D61" s="100">
        <v>0</v>
      </c>
      <c r="E61" s="103">
        <v>0.51500000000000001</v>
      </c>
      <c r="F61" s="103">
        <v>0.49299999999999999</v>
      </c>
      <c r="G61" s="103">
        <v>0.49299999999999999</v>
      </c>
      <c r="H61" s="103">
        <v>0</v>
      </c>
      <c r="I61" s="103">
        <v>0</v>
      </c>
      <c r="J61" s="103">
        <v>0</v>
      </c>
      <c r="K61" s="103">
        <v>0</v>
      </c>
      <c r="L61" s="102">
        <v>0</v>
      </c>
      <c r="M61" s="102">
        <v>0</v>
      </c>
      <c r="N61" s="103">
        <v>0.497</v>
      </c>
      <c r="O61" s="103">
        <v>0.497</v>
      </c>
      <c r="P61" s="102">
        <v>4353.72</v>
      </c>
      <c r="Q61" s="102">
        <v>4353.72</v>
      </c>
      <c r="R61" s="100">
        <v>0.48399999999999999</v>
      </c>
      <c r="S61" s="102">
        <v>4239.84</v>
      </c>
      <c r="T61" s="102">
        <v>4239.84</v>
      </c>
      <c r="U61" s="103">
        <v>1.2999999999999999E-2</v>
      </c>
      <c r="V61" s="103">
        <v>1.2999999999999999E-2</v>
      </c>
      <c r="W61" s="103">
        <v>0</v>
      </c>
      <c r="X61" s="103">
        <v>0</v>
      </c>
      <c r="Y61" s="103">
        <v>1.2999999999999999E-2</v>
      </c>
      <c r="Z61" s="103">
        <v>1.2999999999999999E-2</v>
      </c>
      <c r="AA61" s="100">
        <v>0</v>
      </c>
      <c r="AB61" s="100">
        <v>0</v>
      </c>
      <c r="AC61" s="103">
        <v>0</v>
      </c>
      <c r="AD61" s="103">
        <v>0</v>
      </c>
      <c r="AE61" s="104">
        <v>7.1799999999999997E-5</v>
      </c>
      <c r="AF61" s="104">
        <v>7.1799999999999997E-5</v>
      </c>
      <c r="AG61" s="104">
        <v>0</v>
      </c>
      <c r="AH61" s="104">
        <v>7.1799999999999997E-5</v>
      </c>
      <c r="AI61" s="104">
        <v>7.1799999999999997E-5</v>
      </c>
      <c r="AJ61" s="104">
        <v>7.1799999999999997E-5</v>
      </c>
      <c r="AK61" s="104">
        <v>0.97318023380281682</v>
      </c>
      <c r="AL61" s="104">
        <v>0.97318023380281682</v>
      </c>
      <c r="AM61" s="104">
        <v>1.0268595041322315</v>
      </c>
      <c r="AN61" s="104">
        <v>1.0268595041322315</v>
      </c>
      <c r="AO61" s="104">
        <v>0</v>
      </c>
      <c r="AP61" s="104">
        <v>0</v>
      </c>
      <c r="AQ61" s="100">
        <v>1</v>
      </c>
      <c r="AR61" s="100">
        <v>1</v>
      </c>
      <c r="AS61" s="103">
        <v>0</v>
      </c>
      <c r="AT61" s="103"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v>0</v>
      </c>
      <c r="BA61" s="103">
        <v>0</v>
      </c>
      <c r="BB61" s="103">
        <v>0</v>
      </c>
      <c r="BC61" s="103">
        <v>0</v>
      </c>
      <c r="BD61" s="103">
        <v>0</v>
      </c>
      <c r="BE61" s="103">
        <v>0.497</v>
      </c>
      <c r="BF61" s="103">
        <v>0.497</v>
      </c>
      <c r="BG61" s="100">
        <v>0</v>
      </c>
      <c r="BH61"/>
      <c r="BI61"/>
      <c r="BJ61"/>
      <c r="BK61"/>
      <c r="BL61"/>
      <c r="BM61"/>
      <c r="BN61"/>
      <c r="BO61"/>
      <c r="BP61"/>
      <c r="BQ61"/>
    </row>
    <row r="62" spans="1:69">
      <c r="A62" s="100">
        <v>10177</v>
      </c>
      <c r="B62" s="100" t="s">
        <v>66</v>
      </c>
      <c r="C62" s="100">
        <v>1</v>
      </c>
      <c r="D62" s="100">
        <v>0</v>
      </c>
      <c r="E62" s="103">
        <v>11.839</v>
      </c>
      <c r="F62" s="103">
        <v>8.2479999999999993</v>
      </c>
      <c r="G62" s="103">
        <v>8.2639999999999993</v>
      </c>
      <c r="H62" s="103">
        <v>0</v>
      </c>
      <c r="I62" s="103">
        <v>0</v>
      </c>
      <c r="J62" s="103">
        <v>0</v>
      </c>
      <c r="K62" s="103">
        <v>0</v>
      </c>
      <c r="L62" s="102">
        <v>0</v>
      </c>
      <c r="M62" s="102">
        <v>0</v>
      </c>
      <c r="N62" s="103">
        <v>8.907</v>
      </c>
      <c r="O62" s="103">
        <v>8.9280000000000008</v>
      </c>
      <c r="P62" s="102">
        <v>78025.320000000007</v>
      </c>
      <c r="Q62" s="102">
        <v>78209.280000000013</v>
      </c>
      <c r="R62" s="100">
        <v>11.127000000000001</v>
      </c>
      <c r="S62" s="102">
        <v>97472.52</v>
      </c>
      <c r="T62" s="102">
        <v>97472.52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0">
        <v>0</v>
      </c>
      <c r="AB62" s="100">
        <v>0</v>
      </c>
      <c r="AC62" s="103">
        <v>0</v>
      </c>
      <c r="AD62" s="103">
        <v>0</v>
      </c>
      <c r="AE62" s="104">
        <v>1.3221999999999999E-3</v>
      </c>
      <c r="AF62" s="104">
        <v>1.3253E-3</v>
      </c>
      <c r="AG62" s="104">
        <v>0</v>
      </c>
      <c r="AH62" s="104">
        <v>1.3221999999999999E-3</v>
      </c>
      <c r="AI62" s="104">
        <v>1.3253E-3</v>
      </c>
      <c r="AJ62" s="104">
        <v>1.3237499999999998E-3</v>
      </c>
      <c r="AK62" s="104">
        <v>0.99997910293027958</v>
      </c>
      <c r="AL62" s="104">
        <v>0.99996601508736549</v>
      </c>
      <c r="AM62" s="104">
        <v>1</v>
      </c>
      <c r="AN62" s="104">
        <v>1</v>
      </c>
      <c r="AO62" s="104">
        <v>7.0000000000000007E-2</v>
      </c>
      <c r="AP62" s="104">
        <v>7.0000000000000007E-2</v>
      </c>
      <c r="AQ62" s="100">
        <v>1</v>
      </c>
      <c r="AR62" s="100">
        <v>1</v>
      </c>
      <c r="AS62" s="103">
        <v>0</v>
      </c>
      <c r="AT62" s="103"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v>0</v>
      </c>
      <c r="BA62" s="103">
        <v>0</v>
      </c>
      <c r="BB62" s="103">
        <v>0</v>
      </c>
      <c r="BC62" s="103">
        <v>0</v>
      </c>
      <c r="BD62" s="103">
        <v>0</v>
      </c>
      <c r="BE62" s="103">
        <v>8.907</v>
      </c>
      <c r="BF62" s="103">
        <v>8.9280000000000008</v>
      </c>
      <c r="BG62" s="100">
        <v>1</v>
      </c>
      <c r="BH62"/>
      <c r="BI62"/>
      <c r="BJ62"/>
      <c r="BK62"/>
      <c r="BL62"/>
      <c r="BM62"/>
      <c r="BN62"/>
      <c r="BO62"/>
      <c r="BP62"/>
      <c r="BQ62"/>
    </row>
    <row r="63" spans="1:69">
      <c r="A63" s="100">
        <v>10179</v>
      </c>
      <c r="B63" s="100" t="s">
        <v>67</v>
      </c>
      <c r="C63" s="100">
        <v>1</v>
      </c>
      <c r="D63" s="100">
        <v>0</v>
      </c>
      <c r="E63" s="103">
        <v>169.31100000000001</v>
      </c>
      <c r="F63" s="103">
        <v>188.12</v>
      </c>
      <c r="G63" s="103">
        <v>190.18899999999999</v>
      </c>
      <c r="H63" s="103">
        <v>0</v>
      </c>
      <c r="I63" s="103">
        <v>0</v>
      </c>
      <c r="J63" s="103">
        <v>9.4039999999999999</v>
      </c>
      <c r="K63" s="103">
        <v>9.4039999999999999</v>
      </c>
      <c r="L63" s="102">
        <v>82379.039999999994</v>
      </c>
      <c r="M63" s="102">
        <v>82379.039999999994</v>
      </c>
      <c r="N63" s="103">
        <v>182.45099999999999</v>
      </c>
      <c r="O63" s="103">
        <v>185.14099999999999</v>
      </c>
      <c r="P63" s="102">
        <v>1598270.76</v>
      </c>
      <c r="Q63" s="102">
        <v>1621835.16</v>
      </c>
      <c r="R63" s="100">
        <v>159.13200000000001</v>
      </c>
      <c r="S63" s="102">
        <v>1393996.32</v>
      </c>
      <c r="T63" s="102">
        <v>1393996.32</v>
      </c>
      <c r="U63" s="103">
        <v>23.318999999999999</v>
      </c>
      <c r="V63" s="103">
        <v>26.009</v>
      </c>
      <c r="W63" s="103">
        <v>23.318999999999999</v>
      </c>
      <c r="X63" s="103">
        <v>26.009</v>
      </c>
      <c r="Y63" s="103">
        <v>0</v>
      </c>
      <c r="Z63" s="103">
        <v>0</v>
      </c>
      <c r="AA63" s="100">
        <v>0</v>
      </c>
      <c r="AB63" s="100">
        <v>0</v>
      </c>
      <c r="AC63" s="103">
        <v>23.318999999999999</v>
      </c>
      <c r="AD63" s="103">
        <v>26.009</v>
      </c>
      <c r="AE63" s="104">
        <v>2.3622799999999999E-2</v>
      </c>
      <c r="AF63" s="104">
        <v>2.3622799999999999E-2</v>
      </c>
      <c r="AG63" s="104">
        <v>0</v>
      </c>
      <c r="AH63" s="104">
        <v>2.3622799999999999E-2</v>
      </c>
      <c r="AI63" s="104">
        <v>2.3622799999999999E-2</v>
      </c>
      <c r="AJ63" s="104">
        <v>2.3622799999999999E-2</v>
      </c>
      <c r="AK63" s="104">
        <v>0.87882973528430619</v>
      </c>
      <c r="AL63" s="104">
        <v>0.86671515153248169</v>
      </c>
      <c r="AM63" s="104">
        <v>1.1465387225699419</v>
      </c>
      <c r="AN63" s="104">
        <v>1.1634429278837695</v>
      </c>
      <c r="AO63" s="104">
        <v>0</v>
      </c>
      <c r="AP63" s="104">
        <v>0</v>
      </c>
      <c r="AQ63" s="100">
        <v>3</v>
      </c>
      <c r="AR63" s="100">
        <v>3</v>
      </c>
      <c r="AS63" s="103">
        <v>3.577</v>
      </c>
      <c r="AT63" s="103">
        <v>3.577</v>
      </c>
      <c r="AU63" s="103">
        <v>19.742000000000001</v>
      </c>
      <c r="AV63" s="103">
        <v>22.431999999999999</v>
      </c>
      <c r="AW63" s="103">
        <v>3.577</v>
      </c>
      <c r="AX63" s="103">
        <v>3.577</v>
      </c>
      <c r="AY63" s="103">
        <v>-1.7763568394002505E-15</v>
      </c>
      <c r="AZ63" s="103">
        <v>0</v>
      </c>
      <c r="BA63" s="103">
        <v>-1.7763568394002505E-15</v>
      </c>
      <c r="BB63" s="103">
        <v>0</v>
      </c>
      <c r="BC63" s="103">
        <v>0</v>
      </c>
      <c r="BD63" s="103">
        <v>0</v>
      </c>
      <c r="BE63" s="103">
        <v>178.874</v>
      </c>
      <c r="BF63" s="103">
        <v>181.56399999999999</v>
      </c>
      <c r="BG63" s="100">
        <v>0</v>
      </c>
      <c r="BH63"/>
      <c r="BI63"/>
      <c r="BJ63"/>
      <c r="BK63"/>
      <c r="BL63"/>
      <c r="BM63"/>
      <c r="BN63"/>
      <c r="BO63"/>
      <c r="BP63"/>
      <c r="BQ63"/>
    </row>
    <row r="64" spans="1:69">
      <c r="A64" s="100">
        <v>10183</v>
      </c>
      <c r="B64" s="100" t="s">
        <v>68</v>
      </c>
      <c r="C64" s="100">
        <v>1</v>
      </c>
      <c r="D64" s="100">
        <v>0</v>
      </c>
      <c r="E64" s="103">
        <v>119.102</v>
      </c>
      <c r="F64" s="103">
        <v>124.26900000000001</v>
      </c>
      <c r="G64" s="103">
        <v>124.761</v>
      </c>
      <c r="H64" s="103">
        <v>0</v>
      </c>
      <c r="I64" s="103">
        <v>0</v>
      </c>
      <c r="J64" s="103">
        <v>0.68899999999999995</v>
      </c>
      <c r="K64" s="103">
        <v>0.68899999999999995</v>
      </c>
      <c r="L64" s="102">
        <v>6035.6399999999994</v>
      </c>
      <c r="M64" s="102">
        <v>6035.6399999999994</v>
      </c>
      <c r="N64" s="103">
        <v>123.58</v>
      </c>
      <c r="O64" s="103">
        <v>124.072</v>
      </c>
      <c r="P64" s="102">
        <v>1082560.8</v>
      </c>
      <c r="Q64" s="102">
        <v>1086870.72</v>
      </c>
      <c r="R64" s="100">
        <v>111.94199999999999</v>
      </c>
      <c r="S64" s="102">
        <v>980611.91999999993</v>
      </c>
      <c r="T64" s="102">
        <v>980611.91999999993</v>
      </c>
      <c r="U64" s="103">
        <v>11.638</v>
      </c>
      <c r="V64" s="103">
        <v>12.13</v>
      </c>
      <c r="W64" s="103">
        <v>11.638</v>
      </c>
      <c r="X64" s="103">
        <v>12.13</v>
      </c>
      <c r="Y64" s="103">
        <v>0</v>
      </c>
      <c r="Z64" s="103">
        <v>0</v>
      </c>
      <c r="AA64" s="100">
        <v>0</v>
      </c>
      <c r="AB64" s="100">
        <v>0</v>
      </c>
      <c r="AC64" s="103">
        <v>11.638</v>
      </c>
      <c r="AD64" s="103">
        <v>12.13</v>
      </c>
      <c r="AE64" s="104">
        <v>1.66176E-2</v>
      </c>
      <c r="AF64" s="104">
        <v>1.66176E-2</v>
      </c>
      <c r="AG64" s="104">
        <v>7.7895000000000004E-3</v>
      </c>
      <c r="AH64" s="104">
        <v>8.8280999999999984E-3</v>
      </c>
      <c r="AI64" s="104">
        <v>8.8280999999999984E-3</v>
      </c>
      <c r="AJ64" s="104">
        <v>8.8280999999999984E-3</v>
      </c>
      <c r="AK64" s="104">
        <v>0.90634928516685576</v>
      </c>
      <c r="AL64" s="104">
        <v>0.90277506046280487</v>
      </c>
      <c r="AM64" s="104">
        <v>1.1039645530721267</v>
      </c>
      <c r="AN64" s="104">
        <v>1.1083596862661023</v>
      </c>
      <c r="AO64" s="104">
        <v>0</v>
      </c>
      <c r="AP64" s="104">
        <v>0</v>
      </c>
      <c r="AQ64" s="100">
        <v>4</v>
      </c>
      <c r="AR64" s="100">
        <v>4</v>
      </c>
      <c r="AS64" s="103">
        <v>0</v>
      </c>
      <c r="AT64" s="103"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v>0</v>
      </c>
      <c r="BA64" s="103">
        <v>0</v>
      </c>
      <c r="BB64" s="103">
        <v>0</v>
      </c>
      <c r="BC64" s="103">
        <v>0</v>
      </c>
      <c r="BD64" s="103">
        <v>0</v>
      </c>
      <c r="BE64" s="103">
        <v>111.94199999999999</v>
      </c>
      <c r="BF64" s="103">
        <v>111.94199999999999</v>
      </c>
      <c r="BG64" s="100">
        <v>0</v>
      </c>
      <c r="BH64"/>
      <c r="BI64"/>
      <c r="BJ64"/>
      <c r="BK64"/>
      <c r="BL64"/>
      <c r="BM64"/>
      <c r="BN64"/>
      <c r="BO64"/>
      <c r="BP64"/>
      <c r="BQ64"/>
    </row>
    <row r="65" spans="1:69">
      <c r="A65" s="100">
        <v>10186</v>
      </c>
      <c r="B65" s="100" t="s">
        <v>69</v>
      </c>
      <c r="C65" s="100">
        <v>1</v>
      </c>
      <c r="D65" s="100">
        <v>0</v>
      </c>
      <c r="E65" s="103">
        <v>21.635000000000002</v>
      </c>
      <c r="F65" s="103">
        <v>20.751000000000001</v>
      </c>
      <c r="G65" s="103">
        <v>20.87</v>
      </c>
      <c r="H65" s="103">
        <v>0</v>
      </c>
      <c r="I65" s="103">
        <v>0</v>
      </c>
      <c r="J65" s="103">
        <v>3.3159999999999998</v>
      </c>
      <c r="K65" s="103">
        <v>3.3159999999999998</v>
      </c>
      <c r="L65" s="102">
        <v>29048.16</v>
      </c>
      <c r="M65" s="102">
        <v>29048.16</v>
      </c>
      <c r="N65" s="103">
        <v>18.152000000000001</v>
      </c>
      <c r="O65" s="103">
        <v>18.260000000000002</v>
      </c>
      <c r="P65" s="102">
        <v>159011.52000000002</v>
      </c>
      <c r="Q65" s="102">
        <v>159957.6</v>
      </c>
      <c r="R65" s="100">
        <v>20.334</v>
      </c>
      <c r="S65" s="102">
        <v>178125.84</v>
      </c>
      <c r="T65" s="102">
        <v>178125.84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0">
        <v>0</v>
      </c>
      <c r="AB65" s="100">
        <v>0</v>
      </c>
      <c r="AC65" s="103">
        <v>0</v>
      </c>
      <c r="AD65" s="103">
        <v>0</v>
      </c>
      <c r="AE65" s="104">
        <v>2.6946000000000001E-3</v>
      </c>
      <c r="AF65" s="104">
        <v>2.7106999999999999E-3</v>
      </c>
      <c r="AG65" s="104">
        <v>0</v>
      </c>
      <c r="AH65" s="104">
        <v>2.6946000000000001E-3</v>
      </c>
      <c r="AI65" s="104">
        <v>2.7106999999999999E-3</v>
      </c>
      <c r="AJ65" s="104">
        <v>2.70265E-3</v>
      </c>
      <c r="AK65" s="104">
        <v>0.9999903559437302</v>
      </c>
      <c r="AL65" s="104">
        <v>1</v>
      </c>
      <c r="AM65" s="104">
        <v>1</v>
      </c>
      <c r="AN65" s="104">
        <v>1</v>
      </c>
      <c r="AO65" s="104">
        <v>7.0000000000000007E-2</v>
      </c>
      <c r="AP65" s="104">
        <v>7.0000000000000007E-2</v>
      </c>
      <c r="AQ65" s="100">
        <v>1</v>
      </c>
      <c r="AR65" s="100">
        <v>1</v>
      </c>
      <c r="AS65" s="103">
        <v>0</v>
      </c>
      <c r="AT65" s="103"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v>0</v>
      </c>
      <c r="BA65" s="103">
        <v>0</v>
      </c>
      <c r="BB65" s="103">
        <v>0</v>
      </c>
      <c r="BC65" s="103">
        <v>0</v>
      </c>
      <c r="BD65" s="103">
        <v>0</v>
      </c>
      <c r="BE65" s="103">
        <v>18.152000000000001</v>
      </c>
      <c r="BF65" s="103">
        <v>18.260000000000002</v>
      </c>
      <c r="BG65" s="100">
        <v>1</v>
      </c>
      <c r="BH65"/>
      <c r="BI65"/>
      <c r="BJ65"/>
      <c r="BK65"/>
      <c r="BL65"/>
      <c r="BM65"/>
      <c r="BN65"/>
      <c r="BO65"/>
      <c r="BP65"/>
      <c r="BQ65"/>
    </row>
    <row r="66" spans="1:69">
      <c r="A66" s="100">
        <v>10190</v>
      </c>
      <c r="B66" s="100" t="s">
        <v>70</v>
      </c>
      <c r="C66" s="100">
        <v>1</v>
      </c>
      <c r="D66" s="100">
        <v>0</v>
      </c>
      <c r="E66" s="103">
        <v>5.2690000000000001</v>
      </c>
      <c r="F66" s="103">
        <v>6.782</v>
      </c>
      <c r="G66" s="103">
        <v>7.415</v>
      </c>
      <c r="H66" s="103">
        <v>0</v>
      </c>
      <c r="I66" s="103">
        <v>0</v>
      </c>
      <c r="J66" s="103">
        <v>0</v>
      </c>
      <c r="K66" s="103">
        <v>0</v>
      </c>
      <c r="L66" s="102">
        <v>0</v>
      </c>
      <c r="M66" s="102">
        <v>0</v>
      </c>
      <c r="N66" s="103">
        <v>5.3890000000000002</v>
      </c>
      <c r="O66" s="103">
        <v>5.4</v>
      </c>
      <c r="P66" s="102">
        <v>47207.64</v>
      </c>
      <c r="Q66" s="102">
        <v>47304</v>
      </c>
      <c r="R66" s="100">
        <v>4.952</v>
      </c>
      <c r="S66" s="102">
        <v>43379.519999999997</v>
      </c>
      <c r="T66" s="102">
        <v>43379.519999999997</v>
      </c>
      <c r="U66" s="103">
        <v>0.437</v>
      </c>
      <c r="V66" s="103">
        <v>0.44800000000000001</v>
      </c>
      <c r="W66" s="103">
        <v>0</v>
      </c>
      <c r="X66" s="103">
        <v>0</v>
      </c>
      <c r="Y66" s="103">
        <v>0.437</v>
      </c>
      <c r="Z66" s="103">
        <v>0.44800000000000001</v>
      </c>
      <c r="AA66" s="100">
        <v>0</v>
      </c>
      <c r="AB66" s="100">
        <v>0</v>
      </c>
      <c r="AC66" s="103">
        <v>0</v>
      </c>
      <c r="AD66" s="103">
        <v>0</v>
      </c>
      <c r="AE66" s="104">
        <v>7.3510000000000003E-4</v>
      </c>
      <c r="AF66" s="104">
        <v>7.3510000000000003E-4</v>
      </c>
      <c r="AG66" s="104">
        <v>0</v>
      </c>
      <c r="AH66" s="104">
        <v>7.3510000000000003E-4</v>
      </c>
      <c r="AI66" s="104">
        <v>7.3510000000000003E-4</v>
      </c>
      <c r="AJ66" s="104">
        <v>7.3510000000000003E-4</v>
      </c>
      <c r="AK66" s="104">
        <v>0.91888986841714604</v>
      </c>
      <c r="AL66" s="104">
        <v>0.91701805572222228</v>
      </c>
      <c r="AM66" s="104">
        <v>1.0882471728594507</v>
      </c>
      <c r="AN66" s="104">
        <v>1.0904684975767367</v>
      </c>
      <c r="AO66" s="104">
        <v>0</v>
      </c>
      <c r="AP66" s="104">
        <v>0</v>
      </c>
      <c r="AQ66" s="100">
        <v>1</v>
      </c>
      <c r="AR66" s="100">
        <v>1</v>
      </c>
      <c r="AS66" s="103">
        <v>0</v>
      </c>
      <c r="AT66" s="103"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3">
        <v>0</v>
      </c>
      <c r="BB66" s="103">
        <v>0</v>
      </c>
      <c r="BC66" s="103">
        <v>0</v>
      </c>
      <c r="BD66" s="103">
        <v>0</v>
      </c>
      <c r="BE66" s="103">
        <v>5.3890000000000002</v>
      </c>
      <c r="BF66" s="103">
        <v>5.4</v>
      </c>
      <c r="BG66" s="100">
        <v>1</v>
      </c>
      <c r="BH66"/>
      <c r="BI66"/>
      <c r="BJ66"/>
      <c r="BK66"/>
      <c r="BL66"/>
      <c r="BM66"/>
      <c r="BN66"/>
      <c r="BO66"/>
      <c r="BP66"/>
      <c r="BQ66"/>
    </row>
    <row r="67" spans="1:69">
      <c r="A67" s="100">
        <v>10191</v>
      </c>
      <c r="B67" s="100" t="s">
        <v>71</v>
      </c>
      <c r="C67" s="100">
        <v>1</v>
      </c>
      <c r="D67" s="100">
        <v>0</v>
      </c>
      <c r="E67" s="103">
        <v>133.17400000000001</v>
      </c>
      <c r="F67" s="103">
        <v>129.19999999999999</v>
      </c>
      <c r="G67" s="103">
        <v>129.16999999999999</v>
      </c>
      <c r="H67" s="103">
        <v>0</v>
      </c>
      <c r="I67" s="103">
        <v>0</v>
      </c>
      <c r="J67" s="103">
        <v>0</v>
      </c>
      <c r="K67" s="103">
        <v>0</v>
      </c>
      <c r="L67" s="102">
        <v>0</v>
      </c>
      <c r="M67" s="102">
        <v>0</v>
      </c>
      <c r="N67" s="103">
        <v>129.19999999999999</v>
      </c>
      <c r="O67" s="103">
        <v>129.16999999999999</v>
      </c>
      <c r="P67" s="102">
        <v>1131792</v>
      </c>
      <c r="Q67" s="102">
        <v>1131529.2</v>
      </c>
      <c r="R67" s="100">
        <v>125.16800000000001</v>
      </c>
      <c r="S67" s="102">
        <v>1096471.6800000002</v>
      </c>
      <c r="T67" s="102">
        <v>1096471.6800000002</v>
      </c>
      <c r="U67" s="103">
        <v>4.0030000000000001</v>
      </c>
      <c r="V67" s="103">
        <v>4.0289999999999999</v>
      </c>
      <c r="W67" s="103">
        <v>4.0030000000000001</v>
      </c>
      <c r="X67" s="103">
        <v>4.0289999999999999</v>
      </c>
      <c r="Y67" s="103">
        <v>0</v>
      </c>
      <c r="Z67" s="103">
        <v>0</v>
      </c>
      <c r="AA67" s="100">
        <v>0</v>
      </c>
      <c r="AB67" s="100">
        <v>0</v>
      </c>
      <c r="AC67" s="103">
        <v>4.0030000000000001</v>
      </c>
      <c r="AD67" s="103">
        <v>4.0289999999999999</v>
      </c>
      <c r="AE67" s="104">
        <v>1.8581E-2</v>
      </c>
      <c r="AF67" s="104">
        <v>1.8581E-2</v>
      </c>
      <c r="AG67" s="104">
        <v>9.6827000000000007E-3</v>
      </c>
      <c r="AH67" s="104">
        <v>8.8982999999999996E-3</v>
      </c>
      <c r="AI67" s="104">
        <v>8.8982999999999996E-3</v>
      </c>
      <c r="AJ67" s="104">
        <v>8.8982999999999996E-3</v>
      </c>
      <c r="AK67" s="104">
        <v>0.96901229052186655</v>
      </c>
      <c r="AL67" s="104">
        <v>0.96881728352051522</v>
      </c>
      <c r="AM67" s="104">
        <v>1.0322127061229707</v>
      </c>
      <c r="AN67" s="104">
        <v>1.0319730282500319</v>
      </c>
      <c r="AO67" s="104">
        <v>0</v>
      </c>
      <c r="AP67" s="104">
        <v>0</v>
      </c>
      <c r="AQ67" s="100">
        <v>4</v>
      </c>
      <c r="AR67" s="100">
        <v>4</v>
      </c>
      <c r="AS67" s="103">
        <v>0</v>
      </c>
      <c r="AT67" s="103"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v>0</v>
      </c>
      <c r="BA67" s="103">
        <v>0</v>
      </c>
      <c r="BB67" s="103">
        <v>0</v>
      </c>
      <c r="BC67" s="103">
        <v>0</v>
      </c>
      <c r="BD67" s="103">
        <v>0</v>
      </c>
      <c r="BE67" s="103">
        <v>125.16800000000001</v>
      </c>
      <c r="BF67" s="103">
        <v>125.16800000000001</v>
      </c>
      <c r="BG67" s="100">
        <v>0</v>
      </c>
      <c r="BH67"/>
      <c r="BI67"/>
      <c r="BJ67"/>
      <c r="BK67"/>
      <c r="BL67"/>
      <c r="BM67"/>
      <c r="BN67"/>
      <c r="BO67"/>
      <c r="BP67"/>
      <c r="BQ67"/>
    </row>
    <row r="68" spans="1:69">
      <c r="A68" s="100">
        <v>10197</v>
      </c>
      <c r="B68" s="100" t="s">
        <v>72</v>
      </c>
      <c r="C68" s="100">
        <v>1</v>
      </c>
      <c r="D68" s="100">
        <v>0</v>
      </c>
      <c r="E68" s="103">
        <v>23.091999999999999</v>
      </c>
      <c r="F68" s="103">
        <v>26.579000000000001</v>
      </c>
      <c r="G68" s="103">
        <v>26.556999999999999</v>
      </c>
      <c r="H68" s="103">
        <v>0</v>
      </c>
      <c r="I68" s="103">
        <v>0</v>
      </c>
      <c r="J68" s="103">
        <v>0</v>
      </c>
      <c r="K68" s="103">
        <v>0</v>
      </c>
      <c r="L68" s="102">
        <v>0</v>
      </c>
      <c r="M68" s="102">
        <v>0</v>
      </c>
      <c r="N68" s="103">
        <v>26.672000000000001</v>
      </c>
      <c r="O68" s="103">
        <v>26.640999999999998</v>
      </c>
      <c r="P68" s="102">
        <v>233646.72</v>
      </c>
      <c r="Q68" s="102">
        <v>233375.15999999997</v>
      </c>
      <c r="R68" s="100">
        <v>21.704000000000001</v>
      </c>
      <c r="S68" s="102">
        <v>190127.04</v>
      </c>
      <c r="T68" s="102">
        <v>190127.04</v>
      </c>
      <c r="U68" s="103">
        <v>4.968</v>
      </c>
      <c r="V68" s="103">
        <v>4.9370000000000003</v>
      </c>
      <c r="W68" s="103">
        <v>4.968</v>
      </c>
      <c r="X68" s="103">
        <v>4.9370000000000003</v>
      </c>
      <c r="Y68" s="103">
        <v>0</v>
      </c>
      <c r="Z68" s="103">
        <v>0</v>
      </c>
      <c r="AA68" s="100">
        <v>0</v>
      </c>
      <c r="AB68" s="100">
        <v>0</v>
      </c>
      <c r="AC68" s="103">
        <v>4.968</v>
      </c>
      <c r="AD68" s="103">
        <v>4.9370000000000003</v>
      </c>
      <c r="AE68" s="104">
        <v>3.2219000000000002E-3</v>
      </c>
      <c r="AF68" s="104">
        <v>3.2219000000000002E-3</v>
      </c>
      <c r="AG68" s="104">
        <v>0</v>
      </c>
      <c r="AH68" s="104">
        <v>3.2219000000000002E-3</v>
      </c>
      <c r="AI68" s="104">
        <v>3.2219000000000002E-3</v>
      </c>
      <c r="AJ68" s="104">
        <v>3.2219000000000002E-3</v>
      </c>
      <c r="AK68" s="104">
        <v>0.81373256831508711</v>
      </c>
      <c r="AL68" s="104">
        <v>0.81467944379340129</v>
      </c>
      <c r="AM68" s="104">
        <v>1.2288978990047916</v>
      </c>
      <c r="AN68" s="104">
        <v>1.2274695908588278</v>
      </c>
      <c r="AO68" s="104">
        <v>8.6022852930335417E-2</v>
      </c>
      <c r="AP68" s="104">
        <v>8.5922871360117947E-2</v>
      </c>
      <c r="AQ68" s="100">
        <v>1</v>
      </c>
      <c r="AR68" s="100">
        <v>1</v>
      </c>
      <c r="AS68" s="103">
        <v>0</v>
      </c>
      <c r="AT68" s="103">
        <v>0</v>
      </c>
      <c r="AU68" s="103">
        <v>4.968</v>
      </c>
      <c r="AV68" s="103">
        <v>4.9370000000000003</v>
      </c>
      <c r="AW68" s="103">
        <v>0</v>
      </c>
      <c r="AX68" s="103">
        <v>0</v>
      </c>
      <c r="AY68" s="103">
        <v>0</v>
      </c>
      <c r="AZ68" s="103">
        <v>0</v>
      </c>
      <c r="BA68" s="103">
        <v>0</v>
      </c>
      <c r="BB68" s="103">
        <v>0</v>
      </c>
      <c r="BC68" s="103">
        <v>0</v>
      </c>
      <c r="BD68" s="103">
        <v>0</v>
      </c>
      <c r="BE68" s="103">
        <v>26.672000000000001</v>
      </c>
      <c r="BF68" s="103">
        <v>26.640999999999998</v>
      </c>
      <c r="BG68" s="100">
        <v>1</v>
      </c>
      <c r="BH68"/>
      <c r="BI68"/>
      <c r="BJ68"/>
      <c r="BK68"/>
      <c r="BL68"/>
      <c r="BM68"/>
      <c r="BN68"/>
      <c r="BO68"/>
      <c r="BP68"/>
      <c r="BQ68"/>
    </row>
    <row r="69" spans="1:69">
      <c r="A69" s="100">
        <v>10202</v>
      </c>
      <c r="B69" s="100" t="s">
        <v>73</v>
      </c>
      <c r="C69" s="100">
        <v>1</v>
      </c>
      <c r="D69" s="100">
        <v>0</v>
      </c>
      <c r="E69" s="103">
        <v>13.294</v>
      </c>
      <c r="F69" s="103">
        <v>15.237</v>
      </c>
      <c r="G69" s="103">
        <v>15.435</v>
      </c>
      <c r="H69" s="103">
        <v>0</v>
      </c>
      <c r="I69" s="103">
        <v>0</v>
      </c>
      <c r="J69" s="103">
        <v>0</v>
      </c>
      <c r="K69" s="103">
        <v>0</v>
      </c>
      <c r="L69" s="102">
        <v>0</v>
      </c>
      <c r="M69" s="102">
        <v>0</v>
      </c>
      <c r="N69" s="103">
        <v>14.638</v>
      </c>
      <c r="O69" s="103">
        <v>14.763</v>
      </c>
      <c r="P69" s="102">
        <v>128228.88</v>
      </c>
      <c r="Q69" s="102">
        <v>129323.88</v>
      </c>
      <c r="R69" s="100">
        <v>12.494999999999999</v>
      </c>
      <c r="S69" s="102">
        <v>109456.2</v>
      </c>
      <c r="T69" s="102">
        <v>109456.2</v>
      </c>
      <c r="U69" s="103">
        <v>2.1429999999999998</v>
      </c>
      <c r="V69" s="103">
        <v>2.2679999999999998</v>
      </c>
      <c r="W69" s="103">
        <v>2.1429999999999998</v>
      </c>
      <c r="X69" s="103">
        <v>2.2679999999999998</v>
      </c>
      <c r="Y69" s="103">
        <v>0</v>
      </c>
      <c r="Z69" s="103">
        <v>0</v>
      </c>
      <c r="AA69" s="100">
        <v>0</v>
      </c>
      <c r="AB69" s="100">
        <v>0</v>
      </c>
      <c r="AC69" s="103">
        <v>2.1429999999999998</v>
      </c>
      <c r="AD69" s="103">
        <v>2.2679999999999998</v>
      </c>
      <c r="AE69" s="104">
        <v>1.8549E-3</v>
      </c>
      <c r="AF69" s="104">
        <v>1.8549E-3</v>
      </c>
      <c r="AG69" s="104">
        <v>0</v>
      </c>
      <c r="AH69" s="104">
        <v>1.8549E-3</v>
      </c>
      <c r="AI69" s="104">
        <v>1.8549E-3</v>
      </c>
      <c r="AJ69" s="104">
        <v>1.8549E-3</v>
      </c>
      <c r="AK69" s="104">
        <v>0.85361882149883872</v>
      </c>
      <c r="AL69" s="104">
        <v>0.84639113385490761</v>
      </c>
      <c r="AM69" s="104">
        <v>1.1715086034413766</v>
      </c>
      <c r="AN69" s="104">
        <v>1.1815126050420168</v>
      </c>
      <c r="AO69" s="104">
        <v>0</v>
      </c>
      <c r="AP69" s="104">
        <v>0</v>
      </c>
      <c r="AQ69" s="100">
        <v>1</v>
      </c>
      <c r="AR69" s="100">
        <v>1</v>
      </c>
      <c r="AS69" s="103">
        <v>0</v>
      </c>
      <c r="AT69" s="103">
        <v>0</v>
      </c>
      <c r="AU69" s="103">
        <v>2.1429999999999998</v>
      </c>
      <c r="AV69" s="103">
        <v>2.2679999999999998</v>
      </c>
      <c r="AW69" s="103">
        <v>0</v>
      </c>
      <c r="AX69" s="103">
        <v>0</v>
      </c>
      <c r="AY69" s="103">
        <v>0</v>
      </c>
      <c r="AZ69" s="103">
        <v>0</v>
      </c>
      <c r="BA69" s="103">
        <v>0</v>
      </c>
      <c r="BB69" s="103">
        <v>0</v>
      </c>
      <c r="BC69" s="103">
        <v>0</v>
      </c>
      <c r="BD69" s="103">
        <v>0</v>
      </c>
      <c r="BE69" s="103">
        <v>14.638</v>
      </c>
      <c r="BF69" s="103">
        <v>14.763</v>
      </c>
      <c r="BG69" s="100">
        <v>1</v>
      </c>
      <c r="BH69"/>
      <c r="BI69"/>
      <c r="BJ69"/>
      <c r="BK69"/>
      <c r="BL69"/>
      <c r="BM69"/>
      <c r="BN69"/>
      <c r="BO69"/>
      <c r="BP69"/>
      <c r="BQ69"/>
    </row>
    <row r="70" spans="1:69">
      <c r="A70" s="100">
        <v>10203</v>
      </c>
      <c r="B70" s="100" t="s">
        <v>74</v>
      </c>
      <c r="C70" s="100">
        <v>1</v>
      </c>
      <c r="D70" s="100">
        <v>0</v>
      </c>
      <c r="E70" s="103">
        <v>6.306</v>
      </c>
      <c r="F70" s="103">
        <v>6.4729999999999999</v>
      </c>
      <c r="G70" s="103">
        <v>6.5</v>
      </c>
      <c r="H70" s="103">
        <v>0</v>
      </c>
      <c r="I70" s="103">
        <v>0</v>
      </c>
      <c r="J70" s="103">
        <v>0</v>
      </c>
      <c r="K70" s="103">
        <v>0</v>
      </c>
      <c r="L70" s="102">
        <v>0</v>
      </c>
      <c r="M70" s="102">
        <v>0</v>
      </c>
      <c r="N70" s="103">
        <v>6.4729999999999999</v>
      </c>
      <c r="O70" s="103">
        <v>6.5</v>
      </c>
      <c r="P70" s="102">
        <v>56703.479999999996</v>
      </c>
      <c r="Q70" s="102">
        <v>56940</v>
      </c>
      <c r="R70" s="100">
        <v>5.9269999999999996</v>
      </c>
      <c r="S70" s="102">
        <v>51920.52</v>
      </c>
      <c r="T70" s="102">
        <v>51920.52</v>
      </c>
      <c r="U70" s="103">
        <v>0.54600000000000004</v>
      </c>
      <c r="V70" s="103">
        <v>0.57299999999999995</v>
      </c>
      <c r="W70" s="103">
        <v>0</v>
      </c>
      <c r="X70" s="103">
        <v>0</v>
      </c>
      <c r="Y70" s="103">
        <v>0.54600000000000004</v>
      </c>
      <c r="Z70" s="103">
        <v>0.57299999999999995</v>
      </c>
      <c r="AA70" s="100">
        <v>0</v>
      </c>
      <c r="AB70" s="100">
        <v>0</v>
      </c>
      <c r="AC70" s="103">
        <v>0</v>
      </c>
      <c r="AD70" s="103">
        <v>0</v>
      </c>
      <c r="AE70" s="104">
        <v>8.7989999999999997E-4</v>
      </c>
      <c r="AF70" s="104">
        <v>8.7989999999999997E-4</v>
      </c>
      <c r="AG70" s="104">
        <v>0</v>
      </c>
      <c r="AH70" s="104">
        <v>8.7989999999999997E-4</v>
      </c>
      <c r="AI70" s="104">
        <v>8.7989999999999997E-4</v>
      </c>
      <c r="AJ70" s="104">
        <v>8.7989999999999997E-4</v>
      </c>
      <c r="AK70" s="104">
        <v>0.91569941048972658</v>
      </c>
      <c r="AL70" s="104">
        <v>0.91189573601538454</v>
      </c>
      <c r="AM70" s="104">
        <v>1.0921208031044374</v>
      </c>
      <c r="AN70" s="104">
        <v>1.0966762274337778</v>
      </c>
      <c r="AO70" s="104">
        <v>7.6448456217310626E-2</v>
      </c>
      <c r="AP70" s="104">
        <v>7.6767335920364457E-2</v>
      </c>
      <c r="AQ70" s="100">
        <v>3</v>
      </c>
      <c r="AR70" s="100">
        <v>3</v>
      </c>
      <c r="AS70" s="103">
        <v>2</v>
      </c>
      <c r="AT70" s="103">
        <v>2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3">
        <v>0</v>
      </c>
      <c r="BB70" s="103">
        <v>0</v>
      </c>
      <c r="BC70" s="103">
        <v>0</v>
      </c>
      <c r="BD70" s="103">
        <v>0</v>
      </c>
      <c r="BE70" s="103">
        <v>6.4729999999999999</v>
      </c>
      <c r="BF70" s="103">
        <v>6.5</v>
      </c>
      <c r="BG70" s="100">
        <v>1</v>
      </c>
      <c r="BH70"/>
      <c r="BI70"/>
      <c r="BJ70"/>
      <c r="BK70"/>
      <c r="BL70"/>
      <c r="BM70"/>
      <c r="BN70"/>
      <c r="BO70"/>
      <c r="BP70"/>
      <c r="BQ70"/>
    </row>
    <row r="71" spans="1:69">
      <c r="A71" s="100">
        <v>10204</v>
      </c>
      <c r="B71" s="100" t="s">
        <v>75</v>
      </c>
      <c r="C71" s="100">
        <v>1</v>
      </c>
      <c r="D71" s="100">
        <v>0</v>
      </c>
      <c r="E71" s="103">
        <v>80.742999999999995</v>
      </c>
      <c r="F71" s="103">
        <v>80.34</v>
      </c>
      <c r="G71" s="103">
        <v>80.384</v>
      </c>
      <c r="H71" s="103">
        <v>0</v>
      </c>
      <c r="I71" s="103">
        <v>0</v>
      </c>
      <c r="J71" s="103">
        <v>17.321999999999999</v>
      </c>
      <c r="K71" s="103">
        <v>17.321999999999999</v>
      </c>
      <c r="L71" s="102">
        <v>151740.72</v>
      </c>
      <c r="M71" s="102">
        <v>151740.72</v>
      </c>
      <c r="N71" s="103">
        <v>63.018000000000001</v>
      </c>
      <c r="O71" s="103">
        <v>63.061999999999998</v>
      </c>
      <c r="P71" s="102">
        <v>552037.68000000005</v>
      </c>
      <c r="Q71" s="102">
        <v>552423.12</v>
      </c>
      <c r="R71" s="100">
        <v>75.888999999999996</v>
      </c>
      <c r="S71" s="102">
        <v>664787.64</v>
      </c>
      <c r="T71" s="102">
        <v>664787.64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0</v>
      </c>
      <c r="AA71" s="100">
        <v>0</v>
      </c>
      <c r="AB71" s="100">
        <v>0</v>
      </c>
      <c r="AC71" s="103">
        <v>0</v>
      </c>
      <c r="AD71" s="103">
        <v>0</v>
      </c>
      <c r="AE71" s="104">
        <v>9.3548999999999993E-3</v>
      </c>
      <c r="AF71" s="104">
        <v>9.3614000000000006E-3</v>
      </c>
      <c r="AG71" s="104">
        <v>5.4892999999999999E-3</v>
      </c>
      <c r="AH71" s="104">
        <v>3.8655999999999994E-3</v>
      </c>
      <c r="AI71" s="104">
        <v>3.8721000000000007E-3</v>
      </c>
      <c r="AJ71" s="104">
        <v>3.8688500000000001E-3</v>
      </c>
      <c r="AK71" s="104">
        <v>0.99999852333123496</v>
      </c>
      <c r="AL71" s="104">
        <v>1</v>
      </c>
      <c r="AM71" s="104">
        <v>1</v>
      </c>
      <c r="AN71" s="104">
        <v>1</v>
      </c>
      <c r="AO71" s="104">
        <v>0</v>
      </c>
      <c r="AP71" s="104">
        <v>0</v>
      </c>
      <c r="AQ71" s="100">
        <v>4</v>
      </c>
      <c r="AR71" s="100">
        <v>4</v>
      </c>
      <c r="AS71" s="103">
        <v>0</v>
      </c>
      <c r="AT71" s="103">
        <v>0</v>
      </c>
      <c r="AU71" s="103">
        <v>0</v>
      </c>
      <c r="AV71" s="103">
        <v>0</v>
      </c>
      <c r="AW71" s="103">
        <v>0.51800000000000002</v>
      </c>
      <c r="AX71" s="103">
        <v>0.51800000000000002</v>
      </c>
      <c r="AY71" s="103">
        <v>-0.51800000000000002</v>
      </c>
      <c r="AZ71" s="103">
        <v>-0.51800000000000002</v>
      </c>
      <c r="BA71" s="103">
        <v>0</v>
      </c>
      <c r="BB71" s="103">
        <v>0</v>
      </c>
      <c r="BC71" s="103">
        <v>0</v>
      </c>
      <c r="BD71" s="103">
        <v>0</v>
      </c>
      <c r="BE71" s="103">
        <v>63.018000000000001</v>
      </c>
      <c r="BF71" s="103">
        <v>63.061999999999998</v>
      </c>
      <c r="BG71" s="100">
        <v>0</v>
      </c>
      <c r="BH71"/>
      <c r="BI71"/>
      <c r="BJ71"/>
      <c r="BK71"/>
      <c r="BL71"/>
      <c r="BM71"/>
      <c r="BN71"/>
      <c r="BO71"/>
      <c r="BP71"/>
      <c r="BQ71"/>
    </row>
    <row r="72" spans="1:69">
      <c r="A72" s="100">
        <v>10209</v>
      </c>
      <c r="B72" s="100" t="s">
        <v>76</v>
      </c>
      <c r="C72" s="100">
        <v>1</v>
      </c>
      <c r="D72" s="100">
        <v>0</v>
      </c>
      <c r="E72" s="103">
        <v>106.455</v>
      </c>
      <c r="F72" s="103">
        <v>122.997</v>
      </c>
      <c r="G72" s="103">
        <v>124.172</v>
      </c>
      <c r="H72" s="103">
        <v>0</v>
      </c>
      <c r="I72" s="103">
        <v>0</v>
      </c>
      <c r="J72" s="103">
        <v>0</v>
      </c>
      <c r="K72" s="103">
        <v>0</v>
      </c>
      <c r="L72" s="102">
        <v>0</v>
      </c>
      <c r="M72" s="102">
        <v>0</v>
      </c>
      <c r="N72" s="103">
        <v>117.752</v>
      </c>
      <c r="O72" s="103">
        <v>118.58199999999999</v>
      </c>
      <c r="P72" s="102">
        <v>1031507.5199999999</v>
      </c>
      <c r="Q72" s="102">
        <v>1038778.32</v>
      </c>
      <c r="R72" s="100">
        <v>100.05500000000001</v>
      </c>
      <c r="S72" s="102">
        <v>876481.8</v>
      </c>
      <c r="T72" s="102">
        <v>876481.8</v>
      </c>
      <c r="U72" s="103">
        <v>17.696999999999999</v>
      </c>
      <c r="V72" s="103">
        <v>18.527000000000001</v>
      </c>
      <c r="W72" s="103">
        <v>17.696999999999999</v>
      </c>
      <c r="X72" s="103">
        <v>18.527000000000001</v>
      </c>
      <c r="Y72" s="103">
        <v>0</v>
      </c>
      <c r="Z72" s="103">
        <v>0</v>
      </c>
      <c r="AA72" s="100">
        <v>0</v>
      </c>
      <c r="AB72" s="100">
        <v>0</v>
      </c>
      <c r="AC72" s="103">
        <v>17.696999999999999</v>
      </c>
      <c r="AD72" s="103">
        <v>18.527000000000001</v>
      </c>
      <c r="AE72" s="104">
        <v>1.4853E-2</v>
      </c>
      <c r="AF72" s="104">
        <v>1.4853E-2</v>
      </c>
      <c r="AG72" s="104">
        <v>0</v>
      </c>
      <c r="AH72" s="104">
        <v>1.4853E-2</v>
      </c>
      <c r="AI72" s="104">
        <v>1.4853E-2</v>
      </c>
      <c r="AJ72" s="104">
        <v>1.4853E-2</v>
      </c>
      <c r="AK72" s="104">
        <v>0.84971074994055318</v>
      </c>
      <c r="AL72" s="104">
        <v>0.84376330494510143</v>
      </c>
      <c r="AM72" s="104">
        <v>1.1768727200039977</v>
      </c>
      <c r="AN72" s="104">
        <v>1.1851681575133675</v>
      </c>
      <c r="AO72" s="104">
        <v>8.2381090400279841E-2</v>
      </c>
      <c r="AP72" s="104">
        <v>8.2961771025935729E-2</v>
      </c>
      <c r="AQ72" s="100">
        <v>3</v>
      </c>
      <c r="AR72" s="100">
        <v>3</v>
      </c>
      <c r="AS72" s="103">
        <v>18</v>
      </c>
      <c r="AT72" s="103">
        <v>18</v>
      </c>
      <c r="AU72" s="103">
        <v>0.69699999999999995</v>
      </c>
      <c r="AV72" s="103">
        <v>0.52700000000000002</v>
      </c>
      <c r="AW72" s="103">
        <v>0</v>
      </c>
      <c r="AX72" s="103">
        <v>0</v>
      </c>
      <c r="AY72" s="103">
        <v>0</v>
      </c>
      <c r="AZ72" s="103">
        <v>0</v>
      </c>
      <c r="BA72" s="103">
        <v>0</v>
      </c>
      <c r="BB72" s="103">
        <v>0</v>
      </c>
      <c r="BC72" s="103">
        <v>0</v>
      </c>
      <c r="BD72" s="103">
        <v>0</v>
      </c>
      <c r="BE72" s="103">
        <v>100.752</v>
      </c>
      <c r="BF72" s="103">
        <v>100.58199999999999</v>
      </c>
      <c r="BG72" s="100">
        <v>1</v>
      </c>
      <c r="BH72"/>
      <c r="BI72"/>
      <c r="BJ72"/>
      <c r="BK72"/>
      <c r="BL72"/>
      <c r="BM72"/>
      <c r="BN72"/>
      <c r="BO72"/>
      <c r="BP72"/>
      <c r="BQ72"/>
    </row>
    <row r="73" spans="1:69">
      <c r="A73" s="100">
        <v>10230</v>
      </c>
      <c r="B73" s="100" t="s">
        <v>77</v>
      </c>
      <c r="C73" s="100">
        <v>1</v>
      </c>
      <c r="D73" s="100">
        <v>0</v>
      </c>
      <c r="E73" s="103">
        <v>9.8469999999999995</v>
      </c>
      <c r="F73" s="103">
        <v>12.738</v>
      </c>
      <c r="G73" s="103">
        <v>12.802</v>
      </c>
      <c r="H73" s="103">
        <v>0</v>
      </c>
      <c r="I73" s="103">
        <v>0</v>
      </c>
      <c r="J73" s="103">
        <v>0.98</v>
      </c>
      <c r="K73" s="103">
        <v>0.98</v>
      </c>
      <c r="L73" s="102">
        <v>8584.7999999999993</v>
      </c>
      <c r="M73" s="102">
        <v>8584.7999999999993</v>
      </c>
      <c r="N73" s="103">
        <v>12.29</v>
      </c>
      <c r="O73" s="103">
        <v>12.353</v>
      </c>
      <c r="P73" s="102">
        <v>107660.4</v>
      </c>
      <c r="Q73" s="102">
        <v>108212.28</v>
      </c>
      <c r="R73" s="100">
        <v>9.2550000000000008</v>
      </c>
      <c r="S73" s="102">
        <v>81073.8</v>
      </c>
      <c r="T73" s="102">
        <v>81073.8</v>
      </c>
      <c r="U73" s="103">
        <v>3.0350000000000001</v>
      </c>
      <c r="V73" s="103">
        <v>3.0979999999999999</v>
      </c>
      <c r="W73" s="103">
        <v>3.0350000000000001</v>
      </c>
      <c r="X73" s="103">
        <v>3.0979999999999999</v>
      </c>
      <c r="Y73" s="103">
        <v>0</v>
      </c>
      <c r="Z73" s="103">
        <v>0</v>
      </c>
      <c r="AA73" s="100">
        <v>0</v>
      </c>
      <c r="AB73" s="100">
        <v>0</v>
      </c>
      <c r="AC73" s="103">
        <v>3.0350000000000001</v>
      </c>
      <c r="AD73" s="103">
        <v>3.0979999999999999</v>
      </c>
      <c r="AE73" s="104">
        <v>1.3738999999999999E-3</v>
      </c>
      <c r="AF73" s="104">
        <v>1.3738999999999999E-3</v>
      </c>
      <c r="AG73" s="104">
        <v>0</v>
      </c>
      <c r="AH73" s="104">
        <v>1.3738999999999999E-3</v>
      </c>
      <c r="AI73" s="104">
        <v>1.3738999999999999E-3</v>
      </c>
      <c r="AJ73" s="104">
        <v>1.3738999999999999E-3</v>
      </c>
      <c r="AK73" s="104">
        <v>0.77129492314242654</v>
      </c>
      <c r="AL73" s="104">
        <v>0.76765046351908794</v>
      </c>
      <c r="AM73" s="104">
        <v>1.3279308481901673</v>
      </c>
      <c r="AN73" s="104">
        <v>1.3347379794705563</v>
      </c>
      <c r="AO73" s="104">
        <v>9.2955159373311724E-2</v>
      </c>
      <c r="AP73" s="104">
        <v>9.3431658562938946E-2</v>
      </c>
      <c r="AQ73" s="100">
        <v>1</v>
      </c>
      <c r="AR73" s="100">
        <v>1</v>
      </c>
      <c r="AS73" s="103">
        <v>0</v>
      </c>
      <c r="AT73" s="103">
        <v>0</v>
      </c>
      <c r="AU73" s="103">
        <v>3.0350000000000001</v>
      </c>
      <c r="AV73" s="103">
        <v>3.0979999999999999</v>
      </c>
      <c r="AW73" s="103">
        <v>0</v>
      </c>
      <c r="AX73" s="103">
        <v>0</v>
      </c>
      <c r="AY73" s="103">
        <v>0</v>
      </c>
      <c r="AZ73" s="103">
        <v>0</v>
      </c>
      <c r="BA73" s="103">
        <v>0</v>
      </c>
      <c r="BB73" s="103">
        <v>0</v>
      </c>
      <c r="BC73" s="103">
        <v>0</v>
      </c>
      <c r="BD73" s="103">
        <v>0</v>
      </c>
      <c r="BE73" s="103">
        <v>12.29</v>
      </c>
      <c r="BF73" s="103">
        <v>12.353</v>
      </c>
      <c r="BG73" s="100">
        <v>1</v>
      </c>
      <c r="BH73"/>
      <c r="BI73"/>
      <c r="BJ73"/>
      <c r="BK73"/>
      <c r="BL73"/>
      <c r="BM73"/>
      <c r="BN73"/>
      <c r="BO73"/>
      <c r="BP73"/>
      <c r="BQ73"/>
    </row>
    <row r="74" spans="1:69">
      <c r="A74" s="100">
        <v>10231</v>
      </c>
      <c r="B74" s="100" t="s">
        <v>78</v>
      </c>
      <c r="C74" s="100">
        <v>1</v>
      </c>
      <c r="D74" s="100">
        <v>0</v>
      </c>
      <c r="E74" s="103">
        <v>37.206000000000003</v>
      </c>
      <c r="F74" s="103">
        <v>58.040999999999997</v>
      </c>
      <c r="G74" s="103">
        <v>59.128999999999998</v>
      </c>
      <c r="H74" s="103">
        <v>0</v>
      </c>
      <c r="I74" s="103">
        <v>0</v>
      </c>
      <c r="J74" s="103">
        <v>4.4189999999999996</v>
      </c>
      <c r="K74" s="103">
        <v>4.4189999999999996</v>
      </c>
      <c r="L74" s="102">
        <v>38710.439999999995</v>
      </c>
      <c r="M74" s="102">
        <v>38710.439999999995</v>
      </c>
      <c r="N74" s="103">
        <v>45.048000000000002</v>
      </c>
      <c r="O74" s="103">
        <v>45.381999999999998</v>
      </c>
      <c r="P74" s="102">
        <v>394620.48000000004</v>
      </c>
      <c r="Q74" s="102">
        <v>397546.32</v>
      </c>
      <c r="R74" s="100">
        <v>34.969000000000001</v>
      </c>
      <c r="S74" s="102">
        <v>306328.44</v>
      </c>
      <c r="T74" s="102">
        <v>306328.44</v>
      </c>
      <c r="U74" s="103">
        <v>10.079000000000001</v>
      </c>
      <c r="V74" s="103">
        <v>10.413</v>
      </c>
      <c r="W74" s="103">
        <v>10.079000000000001</v>
      </c>
      <c r="X74" s="103">
        <v>10.413</v>
      </c>
      <c r="Y74" s="103">
        <v>0</v>
      </c>
      <c r="Z74" s="103">
        <v>0</v>
      </c>
      <c r="AA74" s="100">
        <v>0</v>
      </c>
      <c r="AB74" s="100">
        <v>0</v>
      </c>
      <c r="AC74" s="103">
        <v>10.079000000000001</v>
      </c>
      <c r="AD74" s="103">
        <v>10.413</v>
      </c>
      <c r="AE74" s="104">
        <v>5.1910999999999997E-3</v>
      </c>
      <c r="AF74" s="104">
        <v>5.1910999999999997E-3</v>
      </c>
      <c r="AG74" s="104">
        <v>0</v>
      </c>
      <c r="AH74" s="104">
        <v>5.1910999999999997E-3</v>
      </c>
      <c r="AI74" s="104">
        <v>5.1910999999999997E-3</v>
      </c>
      <c r="AJ74" s="104">
        <v>5.1910999999999997E-3</v>
      </c>
      <c r="AK74" s="104">
        <v>0.79625029221299037</v>
      </c>
      <c r="AL74" s="104">
        <v>0.79091008624124004</v>
      </c>
      <c r="AM74" s="104">
        <v>1.2882267150905087</v>
      </c>
      <c r="AN74" s="104">
        <v>1.2977780319711745</v>
      </c>
      <c r="AO74" s="104">
        <v>9.0175870056335622E-2</v>
      </c>
      <c r="AP74" s="104">
        <v>9.0844462237982218E-2</v>
      </c>
      <c r="AQ74" s="100">
        <v>3</v>
      </c>
      <c r="AR74" s="100">
        <v>3</v>
      </c>
      <c r="AS74" s="103">
        <v>10</v>
      </c>
      <c r="AT74" s="103">
        <v>10</v>
      </c>
      <c r="AU74" s="103">
        <v>7.9000000000000001E-2</v>
      </c>
      <c r="AV74" s="103">
        <v>0.41299999999999998</v>
      </c>
      <c r="AW74" s="103">
        <v>0</v>
      </c>
      <c r="AX74" s="103">
        <v>0</v>
      </c>
      <c r="AY74" s="103">
        <v>0</v>
      </c>
      <c r="AZ74" s="103">
        <v>0</v>
      </c>
      <c r="BA74" s="103">
        <v>0</v>
      </c>
      <c r="BB74" s="103">
        <v>0</v>
      </c>
      <c r="BC74" s="103">
        <v>0</v>
      </c>
      <c r="BD74" s="103">
        <v>0</v>
      </c>
      <c r="BE74" s="103">
        <v>35.048000000000002</v>
      </c>
      <c r="BF74" s="103">
        <v>35.381999999999998</v>
      </c>
      <c r="BG74" s="100">
        <v>1</v>
      </c>
      <c r="BH74"/>
      <c r="BI74"/>
      <c r="BJ74"/>
      <c r="BK74"/>
      <c r="BL74"/>
      <c r="BM74"/>
      <c r="BN74"/>
      <c r="BO74"/>
      <c r="BP74"/>
      <c r="BQ74"/>
    </row>
    <row r="75" spans="1:69">
      <c r="A75" s="100">
        <v>10234</v>
      </c>
      <c r="B75" s="100" t="s">
        <v>79</v>
      </c>
      <c r="C75" s="100">
        <v>1</v>
      </c>
      <c r="D75" s="100">
        <v>0</v>
      </c>
      <c r="E75" s="103">
        <v>51.76</v>
      </c>
      <c r="F75" s="103">
        <v>62.031999999999996</v>
      </c>
      <c r="G75" s="103">
        <v>63.607999999999997</v>
      </c>
      <c r="H75" s="103">
        <v>0</v>
      </c>
      <c r="I75" s="103">
        <v>0</v>
      </c>
      <c r="J75" s="103">
        <v>0</v>
      </c>
      <c r="K75" s="103">
        <v>0</v>
      </c>
      <c r="L75" s="102">
        <v>0</v>
      </c>
      <c r="M75" s="102">
        <v>0</v>
      </c>
      <c r="N75" s="103">
        <v>58.776000000000003</v>
      </c>
      <c r="O75" s="103">
        <v>59.573999999999998</v>
      </c>
      <c r="P75" s="102">
        <v>514877.76</v>
      </c>
      <c r="Q75" s="102">
        <v>521868.24</v>
      </c>
      <c r="R75" s="100">
        <v>48.648000000000003</v>
      </c>
      <c r="S75" s="102">
        <v>426156.48000000004</v>
      </c>
      <c r="T75" s="102">
        <v>426156.48000000004</v>
      </c>
      <c r="U75" s="103">
        <v>10.128</v>
      </c>
      <c r="V75" s="103">
        <v>10.926</v>
      </c>
      <c r="W75" s="103">
        <v>10.128</v>
      </c>
      <c r="X75" s="103">
        <v>10.926</v>
      </c>
      <c r="Y75" s="103">
        <v>0</v>
      </c>
      <c r="Z75" s="103">
        <v>0</v>
      </c>
      <c r="AA75" s="100">
        <v>0</v>
      </c>
      <c r="AB75" s="100">
        <v>0</v>
      </c>
      <c r="AC75" s="103">
        <v>10.128</v>
      </c>
      <c r="AD75" s="103">
        <v>10.926</v>
      </c>
      <c r="AE75" s="104">
        <v>7.2217000000000002E-3</v>
      </c>
      <c r="AF75" s="104">
        <v>7.2217000000000002E-3</v>
      </c>
      <c r="AG75" s="104">
        <v>0</v>
      </c>
      <c r="AH75" s="104">
        <v>7.2217000000000002E-3</v>
      </c>
      <c r="AI75" s="104">
        <v>7.2217000000000002E-3</v>
      </c>
      <c r="AJ75" s="104">
        <v>7.2217000000000002E-3</v>
      </c>
      <c r="AK75" s="104">
        <v>0.8276841532309106</v>
      </c>
      <c r="AL75" s="104">
        <v>0.81659723688689712</v>
      </c>
      <c r="AM75" s="104">
        <v>1.2081894425259003</v>
      </c>
      <c r="AN75" s="104">
        <v>1.2245929945732608</v>
      </c>
      <c r="AO75" s="104">
        <v>6.6450419338924524E-2</v>
      </c>
      <c r="AP75" s="104">
        <v>6.735261470152934E-2</v>
      </c>
      <c r="AQ75" s="100">
        <v>3</v>
      </c>
      <c r="AR75" s="100">
        <v>3</v>
      </c>
      <c r="AS75" s="103">
        <v>30</v>
      </c>
      <c r="AT75" s="103">
        <v>30</v>
      </c>
      <c r="AU75" s="103">
        <v>0.128</v>
      </c>
      <c r="AV75" s="103">
        <v>0.92600000000000005</v>
      </c>
      <c r="AW75" s="103">
        <v>0</v>
      </c>
      <c r="AX75" s="103">
        <v>0</v>
      </c>
      <c r="AY75" s="103">
        <v>0</v>
      </c>
      <c r="AZ75" s="103">
        <v>0</v>
      </c>
      <c r="BA75" s="103">
        <v>0</v>
      </c>
      <c r="BB75" s="103">
        <v>0</v>
      </c>
      <c r="BC75" s="103">
        <v>0</v>
      </c>
      <c r="BD75" s="103">
        <v>0</v>
      </c>
      <c r="BE75" s="103">
        <v>48.776000000000003</v>
      </c>
      <c r="BF75" s="103">
        <v>49.573999999999998</v>
      </c>
      <c r="BG75" s="100">
        <v>1</v>
      </c>
      <c r="BH75"/>
      <c r="BI75"/>
      <c r="BJ75"/>
      <c r="BK75"/>
      <c r="BL75"/>
      <c r="BM75"/>
      <c r="BN75"/>
      <c r="BO75"/>
      <c r="BP75"/>
      <c r="BQ75"/>
    </row>
    <row r="76" spans="1:69">
      <c r="A76" s="100">
        <v>10235</v>
      </c>
      <c r="B76" s="100" t="s">
        <v>80</v>
      </c>
      <c r="C76" s="100">
        <v>1</v>
      </c>
      <c r="D76" s="100">
        <v>0</v>
      </c>
      <c r="E76" s="103">
        <v>33.606999999999999</v>
      </c>
      <c r="F76" s="103">
        <v>30.094000000000001</v>
      </c>
      <c r="G76" s="103">
        <v>30.155000000000001</v>
      </c>
      <c r="H76" s="103">
        <v>0</v>
      </c>
      <c r="I76" s="103">
        <v>0</v>
      </c>
      <c r="J76" s="103">
        <v>0</v>
      </c>
      <c r="K76" s="103">
        <v>0</v>
      </c>
      <c r="L76" s="102">
        <v>0</v>
      </c>
      <c r="M76" s="102">
        <v>0</v>
      </c>
      <c r="N76" s="103">
        <v>30.675999999999998</v>
      </c>
      <c r="O76" s="103">
        <v>30.829000000000001</v>
      </c>
      <c r="P76" s="102">
        <v>268721.76</v>
      </c>
      <c r="Q76" s="102">
        <v>270062.03999999998</v>
      </c>
      <c r="R76" s="100">
        <v>31.587</v>
      </c>
      <c r="S76" s="102">
        <v>276702.12</v>
      </c>
      <c r="T76" s="102">
        <v>276702.12</v>
      </c>
      <c r="U76" s="103">
        <v>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0">
        <v>0</v>
      </c>
      <c r="AB76" s="100">
        <v>0</v>
      </c>
      <c r="AC76" s="103">
        <v>0</v>
      </c>
      <c r="AD76" s="103">
        <v>0</v>
      </c>
      <c r="AE76" s="104">
        <v>4.5538000000000002E-3</v>
      </c>
      <c r="AF76" s="104">
        <v>4.5764999999999998E-3</v>
      </c>
      <c r="AG76" s="104">
        <v>0</v>
      </c>
      <c r="AH76" s="104">
        <v>4.5538000000000002E-3</v>
      </c>
      <c r="AI76" s="104">
        <v>4.5764999999999998E-3</v>
      </c>
      <c r="AJ76" s="104">
        <v>4.5651500000000005E-3</v>
      </c>
      <c r="AK76" s="104">
        <v>1</v>
      </c>
      <c r="AL76" s="104">
        <v>0.99999827965551924</v>
      </c>
      <c r="AM76" s="104">
        <v>1</v>
      </c>
      <c r="AN76" s="104">
        <v>1</v>
      </c>
      <c r="AO76" s="104">
        <v>0</v>
      </c>
      <c r="AP76" s="104">
        <v>0</v>
      </c>
      <c r="AQ76" s="100">
        <v>1</v>
      </c>
      <c r="AR76" s="100">
        <v>1</v>
      </c>
      <c r="AS76" s="103">
        <v>0</v>
      </c>
      <c r="AT76" s="103"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v>0</v>
      </c>
      <c r="BA76" s="103">
        <v>0</v>
      </c>
      <c r="BB76" s="103">
        <v>0</v>
      </c>
      <c r="BC76" s="103">
        <v>0</v>
      </c>
      <c r="BD76" s="103">
        <v>0</v>
      </c>
      <c r="BE76" s="103">
        <v>30.675999999999998</v>
      </c>
      <c r="BF76" s="103">
        <v>30.829000000000001</v>
      </c>
      <c r="BG76" s="100">
        <v>0</v>
      </c>
      <c r="BH76"/>
      <c r="BI76"/>
      <c r="BJ76"/>
      <c r="BK76"/>
      <c r="BL76"/>
      <c r="BM76"/>
      <c r="BN76"/>
      <c r="BO76"/>
      <c r="BP76"/>
      <c r="BQ76"/>
    </row>
    <row r="77" spans="1:69">
      <c r="A77" s="100">
        <v>10236</v>
      </c>
      <c r="B77" s="100" t="s">
        <v>81</v>
      </c>
      <c r="C77" s="100">
        <v>0</v>
      </c>
      <c r="D77" s="100">
        <v>1</v>
      </c>
      <c r="E77" s="103">
        <v>29.536999999999999</v>
      </c>
      <c r="F77" s="103">
        <v>28.187999999999999</v>
      </c>
      <c r="G77" s="103">
        <v>28.187999999999999</v>
      </c>
      <c r="H77" s="103">
        <v>0</v>
      </c>
      <c r="I77" s="103">
        <v>0</v>
      </c>
      <c r="J77" s="103">
        <v>0.13200000000000001</v>
      </c>
      <c r="K77" s="103">
        <v>0.13200000000000001</v>
      </c>
      <c r="L77" s="102">
        <v>1156.3200000000002</v>
      </c>
      <c r="M77" s="102">
        <v>1156.3200000000002</v>
      </c>
      <c r="N77" s="103">
        <v>27.38</v>
      </c>
      <c r="O77" s="103">
        <v>27.38</v>
      </c>
      <c r="P77" s="102">
        <v>239848.8</v>
      </c>
      <c r="Q77" s="102">
        <v>239848.8</v>
      </c>
      <c r="R77" s="100">
        <v>27.760999999999999</v>
      </c>
      <c r="S77" s="102">
        <v>243186.36</v>
      </c>
      <c r="T77" s="102">
        <v>243186.36</v>
      </c>
      <c r="U77" s="103">
        <v>0</v>
      </c>
      <c r="V77" s="103">
        <v>0</v>
      </c>
      <c r="W77" s="103">
        <v>0</v>
      </c>
      <c r="X77" s="103">
        <v>0</v>
      </c>
      <c r="Y77" s="103">
        <v>0</v>
      </c>
      <c r="Z77" s="103">
        <v>0</v>
      </c>
      <c r="AA77" s="100">
        <v>0</v>
      </c>
      <c r="AB77" s="100">
        <v>0</v>
      </c>
      <c r="AC77" s="103">
        <v>0</v>
      </c>
      <c r="AD77" s="103">
        <v>0</v>
      </c>
      <c r="AE77" s="104">
        <v>4.0645000000000004E-3</v>
      </c>
      <c r="AF77" s="104">
        <v>4.0645000000000004E-3</v>
      </c>
      <c r="AG77" s="104">
        <v>0</v>
      </c>
      <c r="AH77" s="104">
        <v>4.0645000000000004E-3</v>
      </c>
      <c r="AI77" s="104">
        <v>4.0645000000000004E-3</v>
      </c>
      <c r="AJ77" s="104">
        <v>4.0645000000000004E-3</v>
      </c>
      <c r="AK77" s="104">
        <v>0.99999749765556867</v>
      </c>
      <c r="AL77" s="104">
        <v>0.99999749765556867</v>
      </c>
      <c r="AM77" s="104">
        <v>1</v>
      </c>
      <c r="AN77" s="104">
        <v>1</v>
      </c>
      <c r="AO77" s="104">
        <v>6.5000000000000002E-2</v>
      </c>
      <c r="AP77" s="104">
        <v>6.5000000000000002E-2</v>
      </c>
      <c r="AQ77" s="100">
        <v>6</v>
      </c>
      <c r="AR77" s="100">
        <v>6</v>
      </c>
      <c r="AS77" s="103">
        <v>0</v>
      </c>
      <c r="AT77" s="103"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v>0</v>
      </c>
      <c r="BA77" s="103">
        <v>0</v>
      </c>
      <c r="BB77" s="103">
        <v>0</v>
      </c>
      <c r="BC77" s="103">
        <v>0</v>
      </c>
      <c r="BD77" s="103">
        <v>0</v>
      </c>
      <c r="BE77" s="103">
        <v>27.38</v>
      </c>
      <c r="BF77" s="103">
        <v>27.38</v>
      </c>
      <c r="BG77" s="100">
        <v>0</v>
      </c>
      <c r="BH77"/>
      <c r="BI77"/>
      <c r="BJ77"/>
      <c r="BK77"/>
      <c r="BL77"/>
      <c r="BM77"/>
      <c r="BN77"/>
      <c r="BO77"/>
      <c r="BP77"/>
      <c r="BQ77"/>
    </row>
    <row r="78" spans="1:69">
      <c r="A78" s="100">
        <v>10237</v>
      </c>
      <c r="B78" s="100" t="s">
        <v>82</v>
      </c>
      <c r="C78" s="100">
        <v>1</v>
      </c>
      <c r="D78" s="100">
        <v>0</v>
      </c>
      <c r="E78" s="103">
        <v>115.429</v>
      </c>
      <c r="F78" s="103">
        <v>106.117</v>
      </c>
      <c r="G78" s="103">
        <v>106.117</v>
      </c>
      <c r="H78" s="103">
        <v>0</v>
      </c>
      <c r="I78" s="103">
        <v>0</v>
      </c>
      <c r="J78" s="103">
        <v>1.19</v>
      </c>
      <c r="K78" s="103">
        <v>1.19</v>
      </c>
      <c r="L78" s="102">
        <v>10424.4</v>
      </c>
      <c r="M78" s="102">
        <v>10424.4</v>
      </c>
      <c r="N78" s="103">
        <v>104.92700000000001</v>
      </c>
      <c r="O78" s="103">
        <v>104.92700000000001</v>
      </c>
      <c r="P78" s="102">
        <v>919160.52</v>
      </c>
      <c r="Q78" s="102">
        <v>919160.52</v>
      </c>
      <c r="R78" s="100">
        <v>108.49</v>
      </c>
      <c r="S78" s="102">
        <v>950372.39999999991</v>
      </c>
      <c r="T78" s="102">
        <v>950372.39999999991</v>
      </c>
      <c r="U78" s="103">
        <v>3.1949999999999998</v>
      </c>
      <c r="V78" s="103">
        <v>3.282</v>
      </c>
      <c r="W78" s="103">
        <v>3.1949999999999998</v>
      </c>
      <c r="X78" s="103">
        <v>3.282</v>
      </c>
      <c r="Y78" s="103">
        <v>0</v>
      </c>
      <c r="Z78" s="103">
        <v>0</v>
      </c>
      <c r="AA78" s="100">
        <v>0</v>
      </c>
      <c r="AB78" s="100">
        <v>0</v>
      </c>
      <c r="AC78" s="103">
        <v>3.1949999999999998</v>
      </c>
      <c r="AD78" s="103">
        <v>3.282</v>
      </c>
      <c r="AE78" s="104">
        <v>1.55762E-2</v>
      </c>
      <c r="AF78" s="104">
        <v>1.55762E-2</v>
      </c>
      <c r="AG78" s="104">
        <v>9.6048000000000001E-3</v>
      </c>
      <c r="AH78" s="104">
        <v>5.9714E-3</v>
      </c>
      <c r="AI78" s="104">
        <v>5.9714E-3</v>
      </c>
      <c r="AJ78" s="104">
        <v>5.9714E-3</v>
      </c>
      <c r="AK78" s="104">
        <v>0.97169200736124028</v>
      </c>
      <c r="AL78" s="104">
        <v>0.97094363884226553</v>
      </c>
      <c r="AM78" s="104">
        <v>1</v>
      </c>
      <c r="AN78" s="104">
        <v>1</v>
      </c>
      <c r="AO78" s="221">
        <v>0.05</v>
      </c>
      <c r="AP78" s="221">
        <v>0.05</v>
      </c>
      <c r="AQ78" s="100">
        <v>4</v>
      </c>
      <c r="AR78" s="100">
        <v>4</v>
      </c>
      <c r="AS78" s="103">
        <v>0</v>
      </c>
      <c r="AT78" s="103"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v>0</v>
      </c>
      <c r="BA78" s="103">
        <v>0</v>
      </c>
      <c r="BB78" s="103">
        <v>0</v>
      </c>
      <c r="BC78" s="103">
        <v>0</v>
      </c>
      <c r="BD78" s="103">
        <v>0</v>
      </c>
      <c r="BE78" s="103">
        <v>104.92700000000001</v>
      </c>
      <c r="BF78" s="103">
        <v>104.92700000000001</v>
      </c>
      <c r="BG78" s="100">
        <v>0</v>
      </c>
      <c r="BH78"/>
      <c r="BI78"/>
      <c r="BJ78"/>
      <c r="BK78"/>
      <c r="BL78"/>
      <c r="BM78"/>
      <c r="BN78"/>
      <c r="BO78"/>
      <c r="BP78"/>
      <c r="BQ78"/>
    </row>
    <row r="79" spans="1:69">
      <c r="A79" s="100">
        <v>10239</v>
      </c>
      <c r="B79" s="100" t="s">
        <v>83</v>
      </c>
      <c r="C79" s="100">
        <v>0</v>
      </c>
      <c r="D79" s="100">
        <v>1</v>
      </c>
      <c r="E79" s="103">
        <v>14.209</v>
      </c>
      <c r="F79" s="103">
        <v>14.356999999999999</v>
      </c>
      <c r="G79" s="103">
        <v>14.429</v>
      </c>
      <c r="H79" s="103">
        <v>0</v>
      </c>
      <c r="I79" s="103">
        <v>0</v>
      </c>
      <c r="J79" s="103">
        <v>0</v>
      </c>
      <c r="K79" s="103">
        <v>0</v>
      </c>
      <c r="L79" s="102">
        <v>0</v>
      </c>
      <c r="M79" s="102">
        <v>0</v>
      </c>
      <c r="N79" s="103">
        <v>14.657</v>
      </c>
      <c r="O79" s="103">
        <v>14.657</v>
      </c>
      <c r="P79" s="102">
        <v>128395.32</v>
      </c>
      <c r="Q79" s="102">
        <v>128395.32</v>
      </c>
      <c r="R79" s="100">
        <v>13.355</v>
      </c>
      <c r="S79" s="102">
        <v>116989.8</v>
      </c>
      <c r="T79" s="102">
        <v>116989.8</v>
      </c>
      <c r="U79" s="103">
        <v>1.302</v>
      </c>
      <c r="V79" s="103">
        <v>1.302</v>
      </c>
      <c r="W79" s="103">
        <v>1.302</v>
      </c>
      <c r="X79" s="103">
        <v>1.302</v>
      </c>
      <c r="Y79" s="103">
        <v>0</v>
      </c>
      <c r="Z79" s="103">
        <v>0</v>
      </c>
      <c r="AA79" s="100">
        <v>0</v>
      </c>
      <c r="AB79" s="100">
        <v>0</v>
      </c>
      <c r="AC79" s="103">
        <v>1.302</v>
      </c>
      <c r="AD79" s="103">
        <v>1.302</v>
      </c>
      <c r="AE79" s="104">
        <v>1.9824999999999999E-3</v>
      </c>
      <c r="AF79" s="104">
        <v>1.9824999999999999E-3</v>
      </c>
      <c r="AG79" s="104">
        <v>0</v>
      </c>
      <c r="AH79" s="104">
        <v>1.9824999999999999E-3</v>
      </c>
      <c r="AI79" s="104">
        <v>1.9824999999999999E-3</v>
      </c>
      <c r="AJ79" s="104">
        <v>1.9824999999999999E-3</v>
      </c>
      <c r="AK79" s="104">
        <v>0.91115724346728522</v>
      </c>
      <c r="AL79" s="104">
        <v>0.91115724346728522</v>
      </c>
      <c r="AM79" s="104">
        <v>1.0974915761886934</v>
      </c>
      <c r="AN79" s="104">
        <v>1.0974915761886934</v>
      </c>
      <c r="AO79" s="104">
        <v>7.682441033320854E-2</v>
      </c>
      <c r="AP79" s="104">
        <v>7.682441033320854E-2</v>
      </c>
      <c r="AQ79" s="100">
        <v>6</v>
      </c>
      <c r="AR79" s="100">
        <v>6</v>
      </c>
      <c r="AS79" s="103">
        <v>0</v>
      </c>
      <c r="AT79" s="103"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v>0</v>
      </c>
      <c r="BA79" s="103">
        <v>0</v>
      </c>
      <c r="BB79" s="103">
        <v>0</v>
      </c>
      <c r="BC79" s="103">
        <v>0</v>
      </c>
      <c r="BD79" s="103">
        <v>0</v>
      </c>
      <c r="BE79" s="103">
        <v>13.355</v>
      </c>
      <c r="BF79" s="103">
        <v>13.355</v>
      </c>
      <c r="BG79" s="100">
        <v>0</v>
      </c>
      <c r="BH79"/>
      <c r="BI79"/>
      <c r="BJ79"/>
      <c r="BK79"/>
      <c r="BL79"/>
      <c r="BM79"/>
      <c r="BN79"/>
      <c r="BO79"/>
      <c r="BP79"/>
      <c r="BQ79"/>
    </row>
    <row r="80" spans="1:69">
      <c r="A80" s="100">
        <v>10242</v>
      </c>
      <c r="B80" s="100" t="s">
        <v>84</v>
      </c>
      <c r="C80" s="100">
        <v>1</v>
      </c>
      <c r="D80" s="100">
        <v>0</v>
      </c>
      <c r="E80" s="103">
        <v>9.6679999999999993</v>
      </c>
      <c r="F80" s="103">
        <v>10.013999999999999</v>
      </c>
      <c r="G80" s="103">
        <v>10.073</v>
      </c>
      <c r="H80" s="103">
        <v>0</v>
      </c>
      <c r="I80" s="103">
        <v>0</v>
      </c>
      <c r="J80" s="103">
        <v>0</v>
      </c>
      <c r="K80" s="103">
        <v>0</v>
      </c>
      <c r="L80" s="102">
        <v>0</v>
      </c>
      <c r="M80" s="102">
        <v>0</v>
      </c>
      <c r="N80" s="103">
        <v>9.6379999999999999</v>
      </c>
      <c r="O80" s="103">
        <v>9.702</v>
      </c>
      <c r="P80" s="102">
        <v>84428.88</v>
      </c>
      <c r="Q80" s="102">
        <v>84989.52</v>
      </c>
      <c r="R80" s="100">
        <v>9.0869999999999997</v>
      </c>
      <c r="S80" s="102">
        <v>79602.12</v>
      </c>
      <c r="T80" s="102">
        <v>79602.12</v>
      </c>
      <c r="U80" s="103">
        <v>0.55100000000000005</v>
      </c>
      <c r="V80" s="103">
        <v>0.61499999999999999</v>
      </c>
      <c r="W80" s="103">
        <v>0</v>
      </c>
      <c r="X80" s="103">
        <v>0</v>
      </c>
      <c r="Y80" s="103">
        <v>0.55100000000000005</v>
      </c>
      <c r="Z80" s="103">
        <v>0.61499999999999999</v>
      </c>
      <c r="AA80" s="100">
        <v>0</v>
      </c>
      <c r="AB80" s="100">
        <v>0</v>
      </c>
      <c r="AC80" s="103">
        <v>0</v>
      </c>
      <c r="AD80" s="103">
        <v>0</v>
      </c>
      <c r="AE80" s="104">
        <v>1.3489000000000001E-3</v>
      </c>
      <c r="AF80" s="104">
        <v>1.3489000000000001E-3</v>
      </c>
      <c r="AG80" s="104">
        <v>0</v>
      </c>
      <c r="AH80" s="104">
        <v>1.3489000000000001E-3</v>
      </c>
      <c r="AI80" s="104">
        <v>1.3489000000000001E-3</v>
      </c>
      <c r="AJ80" s="104">
        <v>1.3489000000000001E-3</v>
      </c>
      <c r="AK80" s="104">
        <v>0.94279670627723611</v>
      </c>
      <c r="AL80" s="104">
        <v>0.93657747424242432</v>
      </c>
      <c r="AM80" s="104">
        <v>1.06063607351161</v>
      </c>
      <c r="AN80" s="104">
        <v>1.0676791020138661</v>
      </c>
      <c r="AO80" s="104">
        <v>7.4244525145812715E-2</v>
      </c>
      <c r="AP80" s="104">
        <v>7.4737537140970631E-2</v>
      </c>
      <c r="AQ80" s="100">
        <v>1</v>
      </c>
      <c r="AR80" s="100">
        <v>1</v>
      </c>
      <c r="AS80" s="103">
        <v>0</v>
      </c>
      <c r="AT80" s="103"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v>0</v>
      </c>
      <c r="BA80" s="103">
        <v>0</v>
      </c>
      <c r="BB80" s="103">
        <v>0</v>
      </c>
      <c r="BC80" s="103">
        <v>0</v>
      </c>
      <c r="BD80" s="103">
        <v>0</v>
      </c>
      <c r="BE80" s="103">
        <v>9.6379999999999999</v>
      </c>
      <c r="BF80" s="103">
        <v>9.702</v>
      </c>
      <c r="BG80" s="100">
        <v>0</v>
      </c>
      <c r="BH80"/>
      <c r="BI80"/>
      <c r="BJ80"/>
      <c r="BK80"/>
      <c r="BL80"/>
      <c r="BM80"/>
      <c r="BN80"/>
      <c r="BO80"/>
      <c r="BP80"/>
      <c r="BQ80"/>
    </row>
    <row r="81" spans="1:69">
      <c r="A81" s="100">
        <v>10244</v>
      </c>
      <c r="B81" s="100" t="s">
        <v>85</v>
      </c>
      <c r="C81" s="100">
        <v>1</v>
      </c>
      <c r="D81" s="100">
        <v>0</v>
      </c>
      <c r="E81" s="103">
        <v>87.320999999999998</v>
      </c>
      <c r="F81" s="103">
        <v>99.915999999999997</v>
      </c>
      <c r="G81" s="103">
        <v>101.25</v>
      </c>
      <c r="H81" s="103">
        <v>0</v>
      </c>
      <c r="I81" s="103">
        <v>0</v>
      </c>
      <c r="J81" s="103">
        <v>1.778</v>
      </c>
      <c r="K81" s="103">
        <v>1.778</v>
      </c>
      <c r="L81" s="102">
        <v>15575.28</v>
      </c>
      <c r="M81" s="102">
        <v>15575.28</v>
      </c>
      <c r="N81" s="103">
        <v>98.138000000000005</v>
      </c>
      <c r="O81" s="103">
        <v>99.471999999999994</v>
      </c>
      <c r="P81" s="102">
        <v>859688.88</v>
      </c>
      <c r="Q81" s="102">
        <v>871374.72</v>
      </c>
      <c r="R81" s="100">
        <v>82.070999999999998</v>
      </c>
      <c r="S81" s="102">
        <v>718941.96</v>
      </c>
      <c r="T81" s="102">
        <v>718941.96</v>
      </c>
      <c r="U81" s="103">
        <v>16.067</v>
      </c>
      <c r="V81" s="103">
        <v>17.401</v>
      </c>
      <c r="W81" s="103">
        <v>16.067</v>
      </c>
      <c r="X81" s="103">
        <v>17.401</v>
      </c>
      <c r="Y81" s="103">
        <v>0</v>
      </c>
      <c r="Z81" s="103">
        <v>0</v>
      </c>
      <c r="AA81" s="100">
        <v>0</v>
      </c>
      <c r="AB81" s="100">
        <v>0</v>
      </c>
      <c r="AC81" s="103">
        <v>16.067</v>
      </c>
      <c r="AD81" s="103">
        <v>17.401</v>
      </c>
      <c r="AE81" s="104">
        <v>1.2183299999999999E-2</v>
      </c>
      <c r="AF81" s="104">
        <v>1.2183299999999999E-2</v>
      </c>
      <c r="AG81" s="104">
        <v>0</v>
      </c>
      <c r="AH81" s="104">
        <v>1.2183299999999999E-2</v>
      </c>
      <c r="AI81" s="104">
        <v>1.2183299999999999E-2</v>
      </c>
      <c r="AJ81" s="104">
        <v>1.2183299999999999E-2</v>
      </c>
      <c r="AK81" s="104">
        <v>0.83919575047740103</v>
      </c>
      <c r="AL81" s="104">
        <v>0.82813908745382714</v>
      </c>
      <c r="AM81" s="104">
        <v>1.1957695166380331</v>
      </c>
      <c r="AN81" s="104">
        <v>1.2120237355460515</v>
      </c>
      <c r="AO81" s="104">
        <v>7.1746170998281997E-2</v>
      </c>
      <c r="AP81" s="104">
        <v>7.2721424132763099E-2</v>
      </c>
      <c r="AQ81" s="100">
        <v>3</v>
      </c>
      <c r="AR81" s="100">
        <v>3</v>
      </c>
      <c r="AS81" s="103">
        <v>15.573</v>
      </c>
      <c r="AT81" s="103">
        <v>16.573</v>
      </c>
      <c r="AU81" s="103">
        <v>0.49399999999999999</v>
      </c>
      <c r="AV81" s="103">
        <v>0.82799999999999996</v>
      </c>
      <c r="AW81" s="103">
        <v>2.573</v>
      </c>
      <c r="AX81" s="103">
        <v>2.573</v>
      </c>
      <c r="AY81" s="103">
        <v>0</v>
      </c>
      <c r="AZ81" s="103">
        <v>0</v>
      </c>
      <c r="BA81" s="103">
        <v>0</v>
      </c>
      <c r="BB81" s="103">
        <v>0</v>
      </c>
      <c r="BC81" s="103">
        <v>0</v>
      </c>
      <c r="BD81" s="103">
        <v>0</v>
      </c>
      <c r="BE81" s="103">
        <v>82.564999999999998</v>
      </c>
      <c r="BF81" s="103">
        <v>82.899000000000001</v>
      </c>
      <c r="BG81" s="100">
        <v>0</v>
      </c>
      <c r="BH81"/>
      <c r="BI81"/>
      <c r="BJ81"/>
      <c r="BK81"/>
      <c r="BL81"/>
      <c r="BM81"/>
      <c r="BN81"/>
      <c r="BO81"/>
      <c r="BP81"/>
      <c r="BQ81"/>
    </row>
    <row r="82" spans="1:69">
      <c r="A82" s="100">
        <v>10246</v>
      </c>
      <c r="B82" s="100" t="s">
        <v>86</v>
      </c>
      <c r="C82" s="100">
        <v>1</v>
      </c>
      <c r="D82" s="100">
        <v>0</v>
      </c>
      <c r="E82" s="103">
        <v>9.1210000000000004</v>
      </c>
      <c r="F82" s="103">
        <v>9.3480000000000008</v>
      </c>
      <c r="G82" s="103">
        <v>9.3849999999999998</v>
      </c>
      <c r="H82" s="103">
        <v>0</v>
      </c>
      <c r="I82" s="103">
        <v>0</v>
      </c>
      <c r="J82" s="103">
        <v>0.54200000000000004</v>
      </c>
      <c r="K82" s="103">
        <v>0.54200000000000004</v>
      </c>
      <c r="L82" s="102">
        <v>4747.92</v>
      </c>
      <c r="M82" s="102">
        <v>4747.92</v>
      </c>
      <c r="N82" s="103">
        <v>9.6560000000000006</v>
      </c>
      <c r="O82" s="103">
        <v>9.6929999999999996</v>
      </c>
      <c r="P82" s="102">
        <v>84586.560000000012</v>
      </c>
      <c r="Q82" s="102">
        <v>84910.68</v>
      </c>
      <c r="R82" s="100">
        <v>8.5730000000000004</v>
      </c>
      <c r="S82" s="102">
        <v>75099.48000000001</v>
      </c>
      <c r="T82" s="102">
        <v>75099.48000000001</v>
      </c>
      <c r="U82" s="103">
        <v>1.083</v>
      </c>
      <c r="V82" s="103">
        <v>1.1200000000000001</v>
      </c>
      <c r="W82" s="103">
        <v>1.083</v>
      </c>
      <c r="X82" s="103">
        <v>1.1200000000000001</v>
      </c>
      <c r="Y82" s="103">
        <v>0</v>
      </c>
      <c r="Z82" s="103">
        <v>0</v>
      </c>
      <c r="AA82" s="100">
        <v>0</v>
      </c>
      <c r="AB82" s="100">
        <v>0</v>
      </c>
      <c r="AC82" s="103">
        <v>1.083</v>
      </c>
      <c r="AD82" s="103">
        <v>1.1200000000000001</v>
      </c>
      <c r="AE82" s="104">
        <v>1.2726E-3</v>
      </c>
      <c r="AF82" s="104">
        <v>1.2726E-3</v>
      </c>
      <c r="AG82" s="104">
        <v>0</v>
      </c>
      <c r="AH82" s="104">
        <v>1.2726E-3</v>
      </c>
      <c r="AI82" s="104">
        <v>1.2726E-3</v>
      </c>
      <c r="AJ82" s="104">
        <v>1.2726E-3</v>
      </c>
      <c r="AK82" s="104">
        <v>0.8937723537360267</v>
      </c>
      <c r="AL82" s="104">
        <v>0.89054132519785056</v>
      </c>
      <c r="AM82" s="104">
        <v>1.1263268400793187</v>
      </c>
      <c r="AN82" s="104">
        <v>1.1306427155021579</v>
      </c>
      <c r="AO82" s="104">
        <v>6.1947976204362536E-2</v>
      </c>
      <c r="AP82" s="104">
        <v>6.2185349352618692E-2</v>
      </c>
      <c r="AQ82" s="100">
        <v>1</v>
      </c>
      <c r="AR82" s="100">
        <v>1</v>
      </c>
      <c r="AS82" s="103">
        <v>0</v>
      </c>
      <c r="AT82" s="103">
        <v>0</v>
      </c>
      <c r="AU82" s="103">
        <v>1.083</v>
      </c>
      <c r="AV82" s="103">
        <v>1.1200000000000001</v>
      </c>
      <c r="AW82" s="103">
        <v>0</v>
      </c>
      <c r="AX82" s="103">
        <v>0</v>
      </c>
      <c r="AY82" s="103">
        <v>0</v>
      </c>
      <c r="AZ82" s="103">
        <v>0</v>
      </c>
      <c r="BA82" s="103">
        <v>0</v>
      </c>
      <c r="BB82" s="103">
        <v>0</v>
      </c>
      <c r="BC82" s="103">
        <v>0</v>
      </c>
      <c r="BD82" s="103">
        <v>0</v>
      </c>
      <c r="BE82" s="103">
        <v>9.6560000000000006</v>
      </c>
      <c r="BF82" s="103">
        <v>9.6929999999999996</v>
      </c>
      <c r="BG82" s="100">
        <v>0</v>
      </c>
      <c r="BH82"/>
      <c r="BI82"/>
      <c r="BJ82"/>
      <c r="BK82"/>
      <c r="BL82"/>
      <c r="BM82"/>
      <c r="BN82"/>
      <c r="BO82"/>
      <c r="BP82"/>
      <c r="BQ82"/>
    </row>
    <row r="83" spans="1:69">
      <c r="A83" s="100">
        <v>10247</v>
      </c>
      <c r="B83" s="100" t="s">
        <v>87</v>
      </c>
      <c r="C83" s="100">
        <v>1</v>
      </c>
      <c r="D83" s="100">
        <v>0</v>
      </c>
      <c r="E83" s="103">
        <v>81.120999999999995</v>
      </c>
      <c r="F83" s="103">
        <v>79.866</v>
      </c>
      <c r="G83" s="103">
        <v>80.287000000000006</v>
      </c>
      <c r="H83" s="103">
        <v>0</v>
      </c>
      <c r="I83" s="103">
        <v>0</v>
      </c>
      <c r="J83" s="103">
        <v>0.65600000000000003</v>
      </c>
      <c r="K83" s="103">
        <v>0.65600000000000003</v>
      </c>
      <c r="L83" s="102">
        <v>5746.56</v>
      </c>
      <c r="M83" s="102">
        <v>5746.56</v>
      </c>
      <c r="N83" s="103">
        <v>77.894000000000005</v>
      </c>
      <c r="O83" s="103">
        <v>78.463999999999999</v>
      </c>
      <c r="P83" s="102">
        <v>682351.44000000006</v>
      </c>
      <c r="Q83" s="102">
        <v>687344.64000000001</v>
      </c>
      <c r="R83" s="100">
        <v>76.244</v>
      </c>
      <c r="S83" s="102">
        <v>667897.43999999994</v>
      </c>
      <c r="T83" s="102">
        <v>667897.43999999994</v>
      </c>
      <c r="U83" s="103">
        <v>1.65</v>
      </c>
      <c r="V83" s="103">
        <v>2.2200000000000002</v>
      </c>
      <c r="W83" s="103">
        <v>1.65</v>
      </c>
      <c r="X83" s="103">
        <v>2.2200000000000002</v>
      </c>
      <c r="Y83" s="103">
        <v>0</v>
      </c>
      <c r="Z83" s="103">
        <v>0</v>
      </c>
      <c r="AA83" s="100">
        <v>0</v>
      </c>
      <c r="AB83" s="100">
        <v>0</v>
      </c>
      <c r="AC83" s="103">
        <v>1.65</v>
      </c>
      <c r="AD83" s="103">
        <v>2.2200000000000002</v>
      </c>
      <c r="AE83" s="104">
        <v>1.13183E-2</v>
      </c>
      <c r="AF83" s="104">
        <v>1.13183E-2</v>
      </c>
      <c r="AG83" s="104">
        <v>0</v>
      </c>
      <c r="AH83" s="104">
        <v>1.13183E-2</v>
      </c>
      <c r="AI83" s="104">
        <v>1.13183E-2</v>
      </c>
      <c r="AJ83" s="104">
        <v>1.13183E-2</v>
      </c>
      <c r="AK83" s="104">
        <v>0.97899595251050298</v>
      </c>
      <c r="AL83" s="104">
        <v>0.97194302413675437</v>
      </c>
      <c r="AM83" s="104">
        <v>1.0216410471643671</v>
      </c>
      <c r="AN83" s="104">
        <v>1.0291170452756939</v>
      </c>
      <c r="AO83" s="104">
        <v>5.1082052358218361E-2</v>
      </c>
      <c r="AP83" s="104">
        <v>5.1455852263784699E-2</v>
      </c>
      <c r="AQ83" s="100">
        <v>3</v>
      </c>
      <c r="AR83" s="100">
        <v>3</v>
      </c>
      <c r="AS83" s="103">
        <v>1.7290000000000001</v>
      </c>
      <c r="AT83" s="103">
        <v>1.7290000000000001</v>
      </c>
      <c r="AU83" s="103">
        <v>0</v>
      </c>
      <c r="AV83" s="103">
        <v>0.49099999999999999</v>
      </c>
      <c r="AW83" s="103">
        <v>1.728</v>
      </c>
      <c r="AX83" s="103">
        <v>1.728</v>
      </c>
      <c r="AY83" s="103">
        <v>-7.8000000000000069E-2</v>
      </c>
      <c r="AZ83" s="103">
        <v>0</v>
      </c>
      <c r="BA83" s="103">
        <v>0</v>
      </c>
      <c r="BB83" s="103">
        <v>0</v>
      </c>
      <c r="BC83" s="103">
        <v>-7.8000000000000069E-2</v>
      </c>
      <c r="BD83" s="103">
        <v>0</v>
      </c>
      <c r="BE83" s="103">
        <v>76.244</v>
      </c>
      <c r="BF83" s="103">
        <v>76.734999999999999</v>
      </c>
      <c r="BG83" s="100">
        <v>0</v>
      </c>
      <c r="BH83"/>
      <c r="BI83"/>
      <c r="BJ83"/>
      <c r="BK83"/>
      <c r="BL83"/>
      <c r="BM83"/>
      <c r="BN83"/>
      <c r="BO83"/>
      <c r="BP83"/>
      <c r="BQ83"/>
    </row>
    <row r="84" spans="1:69">
      <c r="A84" s="100">
        <v>10256</v>
      </c>
      <c r="B84" s="100" t="s">
        <v>88</v>
      </c>
      <c r="C84" s="100">
        <v>1</v>
      </c>
      <c r="D84" s="100">
        <v>0</v>
      </c>
      <c r="E84" s="103">
        <v>47.442999999999998</v>
      </c>
      <c r="F84" s="103">
        <v>51.622</v>
      </c>
      <c r="G84" s="103">
        <v>52.177999999999997</v>
      </c>
      <c r="H84" s="103">
        <v>0</v>
      </c>
      <c r="I84" s="103">
        <v>0</v>
      </c>
      <c r="J84" s="103">
        <v>0.52200000000000002</v>
      </c>
      <c r="K84" s="103">
        <v>0.52200000000000002</v>
      </c>
      <c r="L84" s="102">
        <v>4572.72</v>
      </c>
      <c r="M84" s="102">
        <v>4572.72</v>
      </c>
      <c r="N84" s="103">
        <v>51.1</v>
      </c>
      <c r="O84" s="103">
        <v>51.655999999999999</v>
      </c>
      <c r="P84" s="102">
        <v>447636</v>
      </c>
      <c r="Q84" s="102">
        <v>452506.56</v>
      </c>
      <c r="R84" s="100">
        <v>44.591000000000001</v>
      </c>
      <c r="S84" s="102">
        <v>390617.16000000003</v>
      </c>
      <c r="T84" s="102">
        <v>390617.16000000003</v>
      </c>
      <c r="U84" s="103">
        <v>6.5090000000000003</v>
      </c>
      <c r="V84" s="103">
        <v>7.0650000000000004</v>
      </c>
      <c r="W84" s="103">
        <v>6.5090000000000003</v>
      </c>
      <c r="X84" s="103">
        <v>7.0650000000000004</v>
      </c>
      <c r="Y84" s="103">
        <v>0</v>
      </c>
      <c r="Z84" s="103">
        <v>0</v>
      </c>
      <c r="AA84" s="100">
        <v>0</v>
      </c>
      <c r="AB84" s="100">
        <v>0</v>
      </c>
      <c r="AC84" s="103">
        <v>6.5090000000000003</v>
      </c>
      <c r="AD84" s="103">
        <v>7.0650000000000004</v>
      </c>
      <c r="AE84" s="104">
        <v>6.6194000000000001E-3</v>
      </c>
      <c r="AF84" s="104">
        <v>6.6194000000000001E-3</v>
      </c>
      <c r="AG84" s="104">
        <v>0</v>
      </c>
      <c r="AH84" s="104">
        <v>6.6194000000000001E-3</v>
      </c>
      <c r="AI84" s="104">
        <v>6.6194000000000001E-3</v>
      </c>
      <c r="AJ84" s="104">
        <v>6.6194000000000001E-3</v>
      </c>
      <c r="AK84" s="104">
        <v>0.87390366054395419</v>
      </c>
      <c r="AL84" s="104">
        <v>0.86459148998811763</v>
      </c>
      <c r="AM84" s="104">
        <v>1.1459711600995717</v>
      </c>
      <c r="AN84" s="104">
        <v>1.1584400439550582</v>
      </c>
      <c r="AO84" s="104">
        <v>6.8758269605974309E-2</v>
      </c>
      <c r="AP84" s="104">
        <v>6.9506402637303497E-2</v>
      </c>
      <c r="AQ84" s="100">
        <v>1</v>
      </c>
      <c r="AR84" s="100">
        <v>1</v>
      </c>
      <c r="AS84" s="103">
        <v>0</v>
      </c>
      <c r="AT84" s="103">
        <v>0</v>
      </c>
      <c r="AU84" s="103">
        <v>6.5090000000000003</v>
      </c>
      <c r="AV84" s="103">
        <v>7.0650000000000004</v>
      </c>
      <c r="AW84" s="103">
        <v>0</v>
      </c>
      <c r="AX84" s="103">
        <v>0</v>
      </c>
      <c r="AY84" s="103">
        <v>0</v>
      </c>
      <c r="AZ84" s="103">
        <v>0</v>
      </c>
      <c r="BA84" s="103">
        <v>0</v>
      </c>
      <c r="BB84" s="103">
        <v>0</v>
      </c>
      <c r="BC84" s="103">
        <v>0</v>
      </c>
      <c r="BD84" s="103">
        <v>0</v>
      </c>
      <c r="BE84" s="103">
        <v>51.1</v>
      </c>
      <c r="BF84" s="103">
        <v>51.655999999999999</v>
      </c>
      <c r="BG84" s="100">
        <v>1</v>
      </c>
      <c r="BH84"/>
      <c r="BI84"/>
      <c r="BJ84"/>
      <c r="BK84"/>
      <c r="BL84"/>
      <c r="BM84"/>
      <c r="BN84"/>
      <c r="BO84"/>
      <c r="BP84"/>
      <c r="BQ84"/>
    </row>
    <row r="85" spans="1:69">
      <c r="A85" s="100">
        <v>10258</v>
      </c>
      <c r="B85" s="100" t="s">
        <v>89</v>
      </c>
      <c r="C85" s="100">
        <v>1</v>
      </c>
      <c r="D85" s="100">
        <v>0</v>
      </c>
      <c r="E85" s="103">
        <v>38.518000000000001</v>
      </c>
      <c r="F85" s="103">
        <v>48.244999999999997</v>
      </c>
      <c r="G85" s="103">
        <v>48.502000000000002</v>
      </c>
      <c r="H85" s="103">
        <v>0</v>
      </c>
      <c r="I85" s="103">
        <v>0</v>
      </c>
      <c r="J85" s="103">
        <v>9.7509999999999994</v>
      </c>
      <c r="K85" s="103">
        <v>9.7509999999999994</v>
      </c>
      <c r="L85" s="102">
        <v>85418.76</v>
      </c>
      <c r="M85" s="102">
        <v>85418.76</v>
      </c>
      <c r="N85" s="103">
        <v>38.816000000000003</v>
      </c>
      <c r="O85" s="103">
        <v>38.969000000000001</v>
      </c>
      <c r="P85" s="102">
        <v>340028.16000000003</v>
      </c>
      <c r="Q85" s="102">
        <v>341368.44</v>
      </c>
      <c r="R85" s="100">
        <v>36.201999999999998</v>
      </c>
      <c r="S85" s="102">
        <v>317129.51999999996</v>
      </c>
      <c r="T85" s="102">
        <v>317129.51999999996</v>
      </c>
      <c r="U85" s="103">
        <v>2.6139999999999999</v>
      </c>
      <c r="V85" s="103">
        <v>2.7669999999999999</v>
      </c>
      <c r="W85" s="103">
        <v>2.6139999999999999</v>
      </c>
      <c r="X85" s="103">
        <v>2.7669999999999999</v>
      </c>
      <c r="Y85" s="103">
        <v>0</v>
      </c>
      <c r="Z85" s="103">
        <v>0</v>
      </c>
      <c r="AA85" s="100">
        <v>0</v>
      </c>
      <c r="AB85" s="100">
        <v>0</v>
      </c>
      <c r="AC85" s="103">
        <v>2.6139999999999999</v>
      </c>
      <c r="AD85" s="103">
        <v>2.7669999999999999</v>
      </c>
      <c r="AE85" s="104">
        <v>5.3740999999999997E-3</v>
      </c>
      <c r="AF85" s="104">
        <v>5.3740999999999997E-3</v>
      </c>
      <c r="AG85" s="104">
        <v>0</v>
      </c>
      <c r="AH85" s="104">
        <v>5.3740999999999997E-3</v>
      </c>
      <c r="AI85" s="104">
        <v>5.3740999999999997E-3</v>
      </c>
      <c r="AJ85" s="104">
        <v>5.3740999999999997E-3</v>
      </c>
      <c r="AK85" s="104">
        <v>0.94617470508575774</v>
      </c>
      <c r="AL85" s="104">
        <v>0.94320334363505742</v>
      </c>
      <c r="AM85" s="104">
        <v>1.0722059554720735</v>
      </c>
      <c r="AN85" s="104">
        <v>1.0764322413126348</v>
      </c>
      <c r="AO85" s="104">
        <v>5.8971327550964049E-2</v>
      </c>
      <c r="AP85" s="104">
        <v>5.9203773272194921E-2</v>
      </c>
      <c r="AQ85" s="100">
        <v>1</v>
      </c>
      <c r="AR85" s="100">
        <v>1</v>
      </c>
      <c r="AS85" s="103">
        <v>0</v>
      </c>
      <c r="AT85" s="103">
        <v>0</v>
      </c>
      <c r="AU85" s="103">
        <v>2.6139999999999999</v>
      </c>
      <c r="AV85" s="103">
        <v>2.7669999999999999</v>
      </c>
      <c r="AW85" s="103">
        <v>0</v>
      </c>
      <c r="AX85" s="103">
        <v>0</v>
      </c>
      <c r="AY85" s="103">
        <v>0</v>
      </c>
      <c r="AZ85" s="103">
        <v>0</v>
      </c>
      <c r="BA85" s="103">
        <v>0</v>
      </c>
      <c r="BB85" s="103">
        <v>0</v>
      </c>
      <c r="BC85" s="103">
        <v>0</v>
      </c>
      <c r="BD85" s="103">
        <v>0</v>
      </c>
      <c r="BE85" s="103">
        <v>38.816000000000003</v>
      </c>
      <c r="BF85" s="103">
        <v>38.969000000000001</v>
      </c>
      <c r="BG85" s="100">
        <v>1</v>
      </c>
      <c r="BH85"/>
      <c r="BI85"/>
      <c r="BJ85"/>
      <c r="BK85"/>
      <c r="BL85"/>
      <c r="BM85"/>
      <c r="BN85"/>
      <c r="BO85"/>
      <c r="BP85"/>
      <c r="BQ85"/>
    </row>
    <row r="86" spans="1:69">
      <c r="A86" s="100">
        <v>10259</v>
      </c>
      <c r="B86" s="100" t="s">
        <v>90</v>
      </c>
      <c r="C86" s="100">
        <v>1</v>
      </c>
      <c r="D86" s="100">
        <v>0</v>
      </c>
      <c r="E86" s="103">
        <v>27.388000000000002</v>
      </c>
      <c r="F86" s="103">
        <v>29.748999999999999</v>
      </c>
      <c r="G86" s="103">
        <v>30.14</v>
      </c>
      <c r="H86" s="103">
        <v>0</v>
      </c>
      <c r="I86" s="103">
        <v>0</v>
      </c>
      <c r="J86" s="103">
        <v>0</v>
      </c>
      <c r="K86" s="103">
        <v>0</v>
      </c>
      <c r="L86" s="102">
        <v>0</v>
      </c>
      <c r="M86" s="102">
        <v>0</v>
      </c>
      <c r="N86" s="103">
        <v>29.003</v>
      </c>
      <c r="O86" s="103">
        <v>29.167999999999999</v>
      </c>
      <c r="P86" s="102">
        <v>254066.28</v>
      </c>
      <c r="Q86" s="102">
        <v>255511.67999999999</v>
      </c>
      <c r="R86" s="100">
        <v>25.741</v>
      </c>
      <c r="S86" s="102">
        <v>225491.16</v>
      </c>
      <c r="T86" s="102">
        <v>225491.16</v>
      </c>
      <c r="U86" s="103">
        <v>3.262</v>
      </c>
      <c r="V86" s="103">
        <v>3.427</v>
      </c>
      <c r="W86" s="103">
        <v>3.262</v>
      </c>
      <c r="X86" s="103">
        <v>3.427</v>
      </c>
      <c r="Y86" s="103">
        <v>0</v>
      </c>
      <c r="Z86" s="103">
        <v>0</v>
      </c>
      <c r="AA86" s="100">
        <v>0</v>
      </c>
      <c r="AB86" s="100">
        <v>0</v>
      </c>
      <c r="AC86" s="103">
        <v>3.262</v>
      </c>
      <c r="AD86" s="103">
        <v>3.427</v>
      </c>
      <c r="AE86" s="104">
        <v>3.8211999999999999E-3</v>
      </c>
      <c r="AF86" s="104">
        <v>3.8211999999999999E-3</v>
      </c>
      <c r="AG86" s="104">
        <v>0</v>
      </c>
      <c r="AH86" s="104">
        <v>3.8211999999999999E-3</v>
      </c>
      <c r="AI86" s="104">
        <v>3.8211999999999999E-3</v>
      </c>
      <c r="AJ86" s="104">
        <v>3.8211999999999999E-3</v>
      </c>
      <c r="AK86" s="104">
        <v>0.88752801471571907</v>
      </c>
      <c r="AL86" s="104">
        <v>0.88250737146187608</v>
      </c>
      <c r="AM86" s="104">
        <v>1.1267239035002525</v>
      </c>
      <c r="AN86" s="104">
        <v>1.1331339108814731</v>
      </c>
      <c r="AO86" s="104">
        <v>7.3237053727516419E-2</v>
      </c>
      <c r="AP86" s="104">
        <v>7.365370420729575E-2</v>
      </c>
      <c r="AQ86" s="100">
        <v>1</v>
      </c>
      <c r="AR86" s="100">
        <v>1</v>
      </c>
      <c r="AS86" s="103">
        <v>0</v>
      </c>
      <c r="AT86" s="103">
        <v>0</v>
      </c>
      <c r="AU86" s="103">
        <v>3.262</v>
      </c>
      <c r="AV86" s="103">
        <v>3.427</v>
      </c>
      <c r="AW86" s="103">
        <v>0</v>
      </c>
      <c r="AX86" s="103">
        <v>0</v>
      </c>
      <c r="AY86" s="103">
        <v>0</v>
      </c>
      <c r="AZ86" s="103">
        <v>0</v>
      </c>
      <c r="BA86" s="103">
        <v>0</v>
      </c>
      <c r="BB86" s="103">
        <v>0</v>
      </c>
      <c r="BC86" s="103">
        <v>0</v>
      </c>
      <c r="BD86" s="103">
        <v>0</v>
      </c>
      <c r="BE86" s="103">
        <v>29.003</v>
      </c>
      <c r="BF86" s="103">
        <v>29.167999999999999</v>
      </c>
      <c r="BG86" s="100">
        <v>1</v>
      </c>
      <c r="BH86"/>
      <c r="BI86"/>
      <c r="BJ86"/>
      <c r="BK86"/>
      <c r="BL86"/>
      <c r="BM86"/>
      <c r="BN86"/>
      <c r="BO86"/>
      <c r="BP86"/>
      <c r="BQ86"/>
    </row>
    <row r="87" spans="1:69">
      <c r="A87" s="100">
        <v>10260</v>
      </c>
      <c r="B87" s="100" t="s">
        <v>91</v>
      </c>
      <c r="C87" s="100">
        <v>1</v>
      </c>
      <c r="D87" s="100">
        <v>0</v>
      </c>
      <c r="E87" s="103">
        <v>26.677</v>
      </c>
      <c r="F87" s="103">
        <v>26.678999999999998</v>
      </c>
      <c r="G87" s="103">
        <v>26.794</v>
      </c>
      <c r="H87" s="103">
        <v>0</v>
      </c>
      <c r="I87" s="103">
        <v>0</v>
      </c>
      <c r="J87" s="103">
        <v>0</v>
      </c>
      <c r="K87" s="103">
        <v>0</v>
      </c>
      <c r="L87" s="102">
        <v>0</v>
      </c>
      <c r="M87" s="102">
        <v>0</v>
      </c>
      <c r="N87" s="103">
        <v>27.416</v>
      </c>
      <c r="O87" s="103">
        <v>27.53</v>
      </c>
      <c r="P87" s="102">
        <v>240164.16</v>
      </c>
      <c r="Q87" s="102">
        <v>241162.80000000002</v>
      </c>
      <c r="R87" s="100">
        <v>25.073</v>
      </c>
      <c r="S87" s="102">
        <v>219639.48</v>
      </c>
      <c r="T87" s="102">
        <v>219639.48</v>
      </c>
      <c r="U87" s="103">
        <v>2.343</v>
      </c>
      <c r="V87" s="103">
        <v>2.4569999999999999</v>
      </c>
      <c r="W87" s="103">
        <v>2.343</v>
      </c>
      <c r="X87" s="103">
        <v>2.4569999999999999</v>
      </c>
      <c r="Y87" s="103">
        <v>0</v>
      </c>
      <c r="Z87" s="103">
        <v>0</v>
      </c>
      <c r="AA87" s="100">
        <v>0</v>
      </c>
      <c r="AB87" s="100">
        <v>0</v>
      </c>
      <c r="AC87" s="103">
        <v>2.343</v>
      </c>
      <c r="AD87" s="103">
        <v>2.4569999999999999</v>
      </c>
      <c r="AE87" s="104">
        <v>3.722E-3</v>
      </c>
      <c r="AF87" s="104">
        <v>3.722E-3</v>
      </c>
      <c r="AG87" s="104">
        <v>0</v>
      </c>
      <c r="AH87" s="104">
        <v>3.722E-3</v>
      </c>
      <c r="AI87" s="104">
        <v>3.722E-3</v>
      </c>
      <c r="AJ87" s="104">
        <v>3.722E-3</v>
      </c>
      <c r="AK87" s="104">
        <v>0.91452904136270785</v>
      </c>
      <c r="AL87" s="104">
        <v>0.91074203407192156</v>
      </c>
      <c r="AM87" s="104">
        <v>1.0934471343676464</v>
      </c>
      <c r="AN87" s="104">
        <v>1.0979938579348303</v>
      </c>
      <c r="AO87" s="104">
        <v>0</v>
      </c>
      <c r="AP87" s="104">
        <v>0</v>
      </c>
      <c r="AQ87" s="100">
        <v>1</v>
      </c>
      <c r="AR87" s="100">
        <v>1</v>
      </c>
      <c r="AS87" s="103">
        <v>0</v>
      </c>
      <c r="AT87" s="103">
        <v>0</v>
      </c>
      <c r="AU87" s="103">
        <v>2.343</v>
      </c>
      <c r="AV87" s="103">
        <v>2.4569999999999999</v>
      </c>
      <c r="AW87" s="103">
        <v>0</v>
      </c>
      <c r="AX87" s="103">
        <v>0</v>
      </c>
      <c r="AY87" s="103">
        <v>0</v>
      </c>
      <c r="AZ87" s="103">
        <v>0</v>
      </c>
      <c r="BA87" s="103">
        <v>0</v>
      </c>
      <c r="BB87" s="103">
        <v>0</v>
      </c>
      <c r="BC87" s="103">
        <v>0</v>
      </c>
      <c r="BD87" s="103">
        <v>0</v>
      </c>
      <c r="BE87" s="103">
        <v>27.416</v>
      </c>
      <c r="BF87" s="103">
        <v>27.53</v>
      </c>
      <c r="BG87" s="100">
        <v>1</v>
      </c>
      <c r="BH87"/>
      <c r="BI87"/>
      <c r="BJ87"/>
      <c r="BK87"/>
      <c r="BL87"/>
      <c r="BM87"/>
      <c r="BN87"/>
      <c r="BO87"/>
      <c r="BP87"/>
      <c r="BQ87"/>
    </row>
    <row r="88" spans="1:69">
      <c r="A88" s="100">
        <v>10273</v>
      </c>
      <c r="B88" s="100" t="s">
        <v>92</v>
      </c>
      <c r="C88" s="100">
        <v>1</v>
      </c>
      <c r="D88" s="100">
        <v>0</v>
      </c>
      <c r="E88" s="103">
        <v>5.9690000000000003</v>
      </c>
      <c r="F88" s="103">
        <v>8.2520000000000007</v>
      </c>
      <c r="G88" s="103">
        <v>8.5909999999999993</v>
      </c>
      <c r="H88" s="103">
        <v>0</v>
      </c>
      <c r="I88" s="103">
        <v>0</v>
      </c>
      <c r="J88" s="103">
        <v>0</v>
      </c>
      <c r="K88" s="103">
        <v>0</v>
      </c>
      <c r="L88" s="102">
        <v>0</v>
      </c>
      <c r="M88" s="102">
        <v>0</v>
      </c>
      <c r="N88" s="103">
        <v>8.4589999999999996</v>
      </c>
      <c r="O88" s="103">
        <v>8.468</v>
      </c>
      <c r="P88" s="102">
        <v>74100.84</v>
      </c>
      <c r="Q88" s="102">
        <v>74179.679999999993</v>
      </c>
      <c r="R88" s="100">
        <v>5.61</v>
      </c>
      <c r="S88" s="102">
        <v>49143.600000000006</v>
      </c>
      <c r="T88" s="102">
        <v>49143.600000000006</v>
      </c>
      <c r="U88" s="103">
        <v>2.8490000000000002</v>
      </c>
      <c r="V88" s="103">
        <v>2.8580000000000001</v>
      </c>
      <c r="W88" s="103">
        <v>2.8490000000000002</v>
      </c>
      <c r="X88" s="103">
        <v>2.8580000000000001</v>
      </c>
      <c r="Y88" s="103">
        <v>0</v>
      </c>
      <c r="Z88" s="103">
        <v>0</v>
      </c>
      <c r="AA88" s="100">
        <v>0</v>
      </c>
      <c r="AB88" s="100">
        <v>0</v>
      </c>
      <c r="AC88" s="103">
        <v>2.8490000000000002</v>
      </c>
      <c r="AD88" s="103">
        <v>2.8580000000000001</v>
      </c>
      <c r="AE88" s="104">
        <v>8.3279999999999997E-4</v>
      </c>
      <c r="AF88" s="104">
        <v>8.3279999999999997E-4</v>
      </c>
      <c r="AG88" s="104">
        <v>0</v>
      </c>
      <c r="AH88" s="104">
        <v>8.3279999999999997E-4</v>
      </c>
      <c r="AI88" s="104">
        <v>8.3279999999999997E-4</v>
      </c>
      <c r="AJ88" s="104">
        <v>8.3279999999999997E-4</v>
      </c>
      <c r="AK88" s="104">
        <v>0.6632036618039957</v>
      </c>
      <c r="AL88" s="104">
        <v>0.66249879253660837</v>
      </c>
      <c r="AM88" s="104">
        <v>1.5078431372549017</v>
      </c>
      <c r="AN88" s="104">
        <v>1.5094474153297681</v>
      </c>
      <c r="AO88" s="104">
        <v>0.10554901960784313</v>
      </c>
      <c r="AP88" s="104">
        <v>0.10566131907308378</v>
      </c>
      <c r="AQ88" s="100">
        <v>1</v>
      </c>
      <c r="AR88" s="100">
        <v>1</v>
      </c>
      <c r="AS88" s="103">
        <v>0</v>
      </c>
      <c r="AT88" s="103">
        <v>0</v>
      </c>
      <c r="AU88" s="103">
        <v>2.8490000000000002</v>
      </c>
      <c r="AV88" s="103">
        <v>2.8580000000000001</v>
      </c>
      <c r="AW88" s="103">
        <v>0</v>
      </c>
      <c r="AX88" s="103">
        <v>0</v>
      </c>
      <c r="AY88" s="103">
        <v>0</v>
      </c>
      <c r="AZ88" s="103">
        <v>0</v>
      </c>
      <c r="BA88" s="103">
        <v>0</v>
      </c>
      <c r="BB88" s="103">
        <v>0</v>
      </c>
      <c r="BC88" s="103">
        <v>0</v>
      </c>
      <c r="BD88" s="103">
        <v>0</v>
      </c>
      <c r="BE88" s="103">
        <v>8.4589999999999996</v>
      </c>
      <c r="BF88" s="103">
        <v>8.468</v>
      </c>
      <c r="BG88" s="100">
        <v>1</v>
      </c>
      <c r="BH88"/>
      <c r="BI88"/>
      <c r="BJ88"/>
      <c r="BK88"/>
      <c r="BL88"/>
      <c r="BM88"/>
      <c r="BN88"/>
      <c r="BO88"/>
      <c r="BP88"/>
      <c r="BQ88"/>
    </row>
    <row r="89" spans="1:69">
      <c r="A89" s="100">
        <v>10278</v>
      </c>
      <c r="B89" s="100" t="s">
        <v>93</v>
      </c>
      <c r="C89" s="100">
        <v>0</v>
      </c>
      <c r="D89" s="100">
        <v>1</v>
      </c>
      <c r="E89" s="103">
        <v>36.463999999999999</v>
      </c>
      <c r="F89" s="103">
        <v>39.988999999999997</v>
      </c>
      <c r="G89" s="103">
        <v>40.539000000000001</v>
      </c>
      <c r="H89" s="103">
        <v>0</v>
      </c>
      <c r="I89" s="103">
        <v>0</v>
      </c>
      <c r="J89" s="103">
        <v>1.53</v>
      </c>
      <c r="K89" s="103">
        <v>1.53</v>
      </c>
      <c r="L89" s="102">
        <v>13402.800000000001</v>
      </c>
      <c r="M89" s="102">
        <v>13402.800000000001</v>
      </c>
      <c r="N89" s="103">
        <v>38.459000000000003</v>
      </c>
      <c r="O89" s="103">
        <v>39.009</v>
      </c>
      <c r="P89" s="102">
        <v>336900.84</v>
      </c>
      <c r="Q89" s="102">
        <v>341718.84</v>
      </c>
      <c r="R89" s="100">
        <v>34.271999999999998</v>
      </c>
      <c r="S89" s="102">
        <v>300222.71999999997</v>
      </c>
      <c r="T89" s="102">
        <v>300222.71999999997</v>
      </c>
      <c r="U89" s="103">
        <v>4.1870000000000003</v>
      </c>
      <c r="V89" s="103">
        <v>4.7370000000000001</v>
      </c>
      <c r="W89" s="103">
        <v>4.1870000000000003</v>
      </c>
      <c r="X89" s="103">
        <v>4.7370000000000001</v>
      </c>
      <c r="Y89" s="103">
        <v>0</v>
      </c>
      <c r="Z89" s="103">
        <v>0</v>
      </c>
      <c r="AA89" s="100">
        <v>0</v>
      </c>
      <c r="AB89" s="100">
        <v>0</v>
      </c>
      <c r="AC89" s="103">
        <v>4.1870000000000003</v>
      </c>
      <c r="AD89" s="103">
        <v>4.7370000000000001</v>
      </c>
      <c r="AE89" s="104">
        <v>5.0876000000000003E-3</v>
      </c>
      <c r="AF89" s="104">
        <v>5.0876000000000003E-3</v>
      </c>
      <c r="AG89" s="104">
        <v>0</v>
      </c>
      <c r="AH89" s="104">
        <v>5.0876000000000003E-3</v>
      </c>
      <c r="AI89" s="104">
        <v>5.0876000000000003E-3</v>
      </c>
      <c r="AJ89" s="104">
        <v>5.0876000000000003E-3</v>
      </c>
      <c r="AK89" s="104">
        <v>0.89529370697941957</v>
      </c>
      <c r="AL89" s="104">
        <v>0.88314709411677661</v>
      </c>
      <c r="AM89" s="104">
        <v>1.122169701213819</v>
      </c>
      <c r="AN89" s="104">
        <v>1.138217787114846</v>
      </c>
      <c r="AO89" s="104">
        <v>7.2941030578898239E-2</v>
      </c>
      <c r="AP89" s="104">
        <v>7.3984156162464995E-2</v>
      </c>
      <c r="AQ89" s="100">
        <v>6</v>
      </c>
      <c r="AR89" s="100">
        <v>6</v>
      </c>
      <c r="AS89" s="103">
        <v>0</v>
      </c>
      <c r="AT89" s="103"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v>0</v>
      </c>
      <c r="BA89" s="103">
        <v>0</v>
      </c>
      <c r="BB89" s="103">
        <v>0</v>
      </c>
      <c r="BC89" s="103">
        <v>0</v>
      </c>
      <c r="BD89" s="103">
        <v>0</v>
      </c>
      <c r="BE89" s="103">
        <v>34.271999999999998</v>
      </c>
      <c r="BF89" s="103">
        <v>34.271999999999998</v>
      </c>
      <c r="BG89" s="100">
        <v>0</v>
      </c>
      <c r="BH89"/>
      <c r="BI89"/>
      <c r="BJ89"/>
      <c r="BK89"/>
      <c r="BL89"/>
      <c r="BM89"/>
      <c r="BN89"/>
      <c r="BO89"/>
      <c r="BP89"/>
      <c r="BQ89"/>
    </row>
    <row r="90" spans="1:69">
      <c r="A90" s="100">
        <v>10279</v>
      </c>
      <c r="B90" s="100" t="s">
        <v>94</v>
      </c>
      <c r="C90" s="100">
        <v>1</v>
      </c>
      <c r="D90" s="100">
        <v>0</v>
      </c>
      <c r="E90" s="103">
        <v>65.730999999999995</v>
      </c>
      <c r="F90" s="103">
        <v>137.69999999999999</v>
      </c>
      <c r="G90" s="103">
        <v>163.57599999999999</v>
      </c>
      <c r="H90" s="103">
        <v>63.15</v>
      </c>
      <c r="I90" s="103">
        <v>87.570999999999998</v>
      </c>
      <c r="J90" s="103">
        <v>4.4039999999999999</v>
      </c>
      <c r="K90" s="103">
        <v>4.4039999999999999</v>
      </c>
      <c r="L90" s="102">
        <v>38579.040000000001</v>
      </c>
      <c r="M90" s="102">
        <v>38579.040000000001</v>
      </c>
      <c r="N90" s="103">
        <v>69.447000000000003</v>
      </c>
      <c r="O90" s="103">
        <v>70.869</v>
      </c>
      <c r="P90" s="102">
        <v>608355.72</v>
      </c>
      <c r="Q90" s="102">
        <v>620812.43999999994</v>
      </c>
      <c r="R90" s="100">
        <v>61.779000000000003</v>
      </c>
      <c r="S90" s="102">
        <v>541184.04</v>
      </c>
      <c r="T90" s="102">
        <v>541184.04</v>
      </c>
      <c r="U90" s="103">
        <v>7.6680000000000001</v>
      </c>
      <c r="V90" s="103">
        <v>9.09</v>
      </c>
      <c r="W90" s="103">
        <v>7.6680000000000001</v>
      </c>
      <c r="X90" s="103">
        <v>9.09</v>
      </c>
      <c r="Y90" s="103">
        <v>0</v>
      </c>
      <c r="Z90" s="103">
        <v>0</v>
      </c>
      <c r="AA90" s="100">
        <v>0</v>
      </c>
      <c r="AB90" s="100">
        <v>0</v>
      </c>
      <c r="AC90" s="103">
        <v>7.6680000000000001</v>
      </c>
      <c r="AD90" s="103">
        <v>9.09</v>
      </c>
      <c r="AE90" s="104">
        <v>9.1710000000000003E-3</v>
      </c>
      <c r="AF90" s="104">
        <v>9.1710000000000003E-3</v>
      </c>
      <c r="AG90" s="104">
        <v>0</v>
      </c>
      <c r="AH90" s="104">
        <v>9.1710000000000003E-3</v>
      </c>
      <c r="AI90" s="104">
        <v>9.1710000000000003E-3</v>
      </c>
      <c r="AJ90" s="104">
        <v>9.1710000000000003E-3</v>
      </c>
      <c r="AK90" s="104">
        <v>0.89617132319129067</v>
      </c>
      <c r="AL90" s="104">
        <v>0.87924153931688653</v>
      </c>
      <c r="AM90" s="104">
        <v>1.1241198465497984</v>
      </c>
      <c r="AN90" s="104">
        <v>1.1471373767785169</v>
      </c>
      <c r="AO90" s="104">
        <v>0</v>
      </c>
      <c r="AP90" s="104">
        <v>0</v>
      </c>
      <c r="AQ90" s="100">
        <v>3</v>
      </c>
      <c r="AR90" s="100">
        <v>3</v>
      </c>
      <c r="AS90" s="103">
        <v>35</v>
      </c>
      <c r="AT90" s="103">
        <v>42</v>
      </c>
      <c r="AU90" s="103">
        <v>0.66800000000000004</v>
      </c>
      <c r="AV90" s="103">
        <v>0.09</v>
      </c>
      <c r="AW90" s="103">
        <v>0</v>
      </c>
      <c r="AX90" s="103">
        <v>0</v>
      </c>
      <c r="AY90" s="103">
        <v>0</v>
      </c>
      <c r="AZ90" s="103">
        <v>0</v>
      </c>
      <c r="BA90" s="103">
        <v>0</v>
      </c>
      <c r="BB90" s="103">
        <v>0</v>
      </c>
      <c r="BC90" s="103">
        <v>0</v>
      </c>
      <c r="BD90" s="103">
        <v>0</v>
      </c>
      <c r="BE90" s="103">
        <v>62.447000000000003</v>
      </c>
      <c r="BF90" s="103">
        <v>61.869</v>
      </c>
      <c r="BG90" s="100">
        <v>1</v>
      </c>
      <c r="BH90"/>
      <c r="BI90"/>
      <c r="BJ90"/>
      <c r="BK90"/>
      <c r="BL90"/>
      <c r="BM90"/>
      <c r="BN90"/>
      <c r="BO90"/>
      <c r="BP90"/>
      <c r="BQ90"/>
    </row>
    <row r="91" spans="1:69">
      <c r="A91" s="100">
        <v>10284</v>
      </c>
      <c r="B91" s="100" t="s">
        <v>95</v>
      </c>
      <c r="C91" s="100">
        <v>1</v>
      </c>
      <c r="D91" s="100">
        <v>0</v>
      </c>
      <c r="E91" s="103">
        <v>10.31</v>
      </c>
      <c r="F91" s="103">
        <v>10.615</v>
      </c>
      <c r="G91" s="103">
        <v>10.667</v>
      </c>
      <c r="H91" s="103">
        <v>0</v>
      </c>
      <c r="I91" s="103">
        <v>0</v>
      </c>
      <c r="J91" s="103">
        <v>0</v>
      </c>
      <c r="K91" s="103">
        <v>0</v>
      </c>
      <c r="L91" s="102">
        <v>0</v>
      </c>
      <c r="M91" s="102">
        <v>0</v>
      </c>
      <c r="N91" s="103">
        <v>9.7829999999999995</v>
      </c>
      <c r="O91" s="103">
        <v>9.7829999999999995</v>
      </c>
      <c r="P91" s="102">
        <v>85699.08</v>
      </c>
      <c r="Q91" s="102">
        <v>85699.08</v>
      </c>
      <c r="R91" s="100">
        <v>9.69</v>
      </c>
      <c r="S91" s="102">
        <v>84884.4</v>
      </c>
      <c r="T91" s="102">
        <v>84884.4</v>
      </c>
      <c r="U91" s="103">
        <v>9.2999999999999999E-2</v>
      </c>
      <c r="V91" s="103">
        <v>9.2999999999999999E-2</v>
      </c>
      <c r="W91" s="103">
        <v>0</v>
      </c>
      <c r="X91" s="103">
        <v>0</v>
      </c>
      <c r="Y91" s="103">
        <v>9.2999999999999999E-2</v>
      </c>
      <c r="Z91" s="103">
        <v>9.2999999999999999E-2</v>
      </c>
      <c r="AA91" s="100">
        <v>0</v>
      </c>
      <c r="AB91" s="100">
        <v>0</v>
      </c>
      <c r="AC91" s="103">
        <v>0</v>
      </c>
      <c r="AD91" s="103">
        <v>0</v>
      </c>
      <c r="AE91" s="104">
        <v>1.4385000000000001E-3</v>
      </c>
      <c r="AF91" s="104">
        <v>1.4385000000000001E-3</v>
      </c>
      <c r="AG91" s="104">
        <v>0</v>
      </c>
      <c r="AH91" s="104">
        <v>1.4385000000000001E-3</v>
      </c>
      <c r="AI91" s="104">
        <v>1.4385000000000001E-3</v>
      </c>
      <c r="AJ91" s="104">
        <v>1.4385000000000001E-3</v>
      </c>
      <c r="AK91" s="104">
        <v>0.99051951563937468</v>
      </c>
      <c r="AL91" s="104">
        <v>0.99051951563937468</v>
      </c>
      <c r="AM91" s="104">
        <v>1.0095975232198142</v>
      </c>
      <c r="AN91" s="104">
        <v>1.0095975232198142</v>
      </c>
      <c r="AO91" s="104">
        <v>5.0479876160990714E-2</v>
      </c>
      <c r="AP91" s="104">
        <v>5.0479876160990714E-2</v>
      </c>
      <c r="AQ91" s="100">
        <v>1</v>
      </c>
      <c r="AR91" s="100">
        <v>1</v>
      </c>
      <c r="AS91" s="103">
        <v>0</v>
      </c>
      <c r="AT91" s="103">
        <v>0</v>
      </c>
      <c r="AU91" s="103">
        <v>0</v>
      </c>
      <c r="AV91" s="103">
        <v>0</v>
      </c>
      <c r="AW91" s="103">
        <v>0</v>
      </c>
      <c r="AX91" s="103">
        <v>0</v>
      </c>
      <c r="AY91" s="103">
        <v>0</v>
      </c>
      <c r="AZ91" s="103">
        <v>0</v>
      </c>
      <c r="BA91" s="103">
        <v>0</v>
      </c>
      <c r="BB91" s="103">
        <v>0</v>
      </c>
      <c r="BC91" s="103">
        <v>0</v>
      </c>
      <c r="BD91" s="103">
        <v>0</v>
      </c>
      <c r="BE91" s="103">
        <v>9.7829999999999995</v>
      </c>
      <c r="BF91" s="103">
        <v>9.7829999999999995</v>
      </c>
      <c r="BG91" s="100">
        <v>0</v>
      </c>
      <c r="BH91"/>
      <c r="BI91"/>
      <c r="BJ91"/>
      <c r="BK91"/>
      <c r="BL91"/>
      <c r="BM91"/>
      <c r="BN91"/>
      <c r="BO91"/>
      <c r="BP91"/>
      <c r="BQ91"/>
    </row>
    <row r="92" spans="1:69">
      <c r="A92" s="100">
        <v>10285</v>
      </c>
      <c r="B92" s="100" t="s">
        <v>96</v>
      </c>
      <c r="C92" s="100">
        <v>0</v>
      </c>
      <c r="D92" s="100">
        <v>1</v>
      </c>
      <c r="E92" s="103">
        <v>6.6260000000000003</v>
      </c>
      <c r="F92" s="103">
        <v>7.4749999999999996</v>
      </c>
      <c r="G92" s="103">
        <v>7.5149999999999997</v>
      </c>
      <c r="H92" s="103">
        <v>0</v>
      </c>
      <c r="I92" s="103">
        <v>0</v>
      </c>
      <c r="J92" s="103">
        <v>0</v>
      </c>
      <c r="K92" s="103">
        <v>0</v>
      </c>
      <c r="L92" s="102">
        <v>0</v>
      </c>
      <c r="M92" s="102">
        <v>0</v>
      </c>
      <c r="N92" s="103">
        <v>6.93</v>
      </c>
      <c r="O92" s="103">
        <v>6.9740000000000002</v>
      </c>
      <c r="P92" s="102">
        <v>60706.799999999996</v>
      </c>
      <c r="Q92" s="102">
        <v>61092.240000000005</v>
      </c>
      <c r="R92" s="100">
        <v>6.2279999999999998</v>
      </c>
      <c r="S92" s="102">
        <v>54557.279999999999</v>
      </c>
      <c r="T92" s="102">
        <v>54557.279999999999</v>
      </c>
      <c r="U92" s="103">
        <v>0.70199999999999996</v>
      </c>
      <c r="V92" s="103">
        <v>0.746</v>
      </c>
      <c r="W92" s="103">
        <v>0.70199999999999996</v>
      </c>
      <c r="X92" s="103">
        <v>0.746</v>
      </c>
      <c r="Y92" s="103">
        <v>0</v>
      </c>
      <c r="Z92" s="103">
        <v>0</v>
      </c>
      <c r="AA92" s="100">
        <v>0</v>
      </c>
      <c r="AB92" s="100">
        <v>0</v>
      </c>
      <c r="AC92" s="103">
        <v>0.70199999999999996</v>
      </c>
      <c r="AD92" s="103">
        <v>0.746</v>
      </c>
      <c r="AE92" s="104">
        <v>9.2449999999999997E-4</v>
      </c>
      <c r="AF92" s="104">
        <v>9.2449999999999997E-4</v>
      </c>
      <c r="AG92" s="104">
        <v>0</v>
      </c>
      <c r="AH92" s="104">
        <v>9.2449999999999997E-4</v>
      </c>
      <c r="AI92" s="104">
        <v>9.2449999999999997E-4</v>
      </c>
      <c r="AJ92" s="104">
        <v>9.2449999999999997E-4</v>
      </c>
      <c r="AK92" s="104">
        <v>0.89866722878787886</v>
      </c>
      <c r="AL92" s="104">
        <v>0.89299740400057348</v>
      </c>
      <c r="AM92" s="104">
        <v>1.1127167630057804</v>
      </c>
      <c r="AN92" s="104">
        <v>1.119781631342325</v>
      </c>
      <c r="AO92" s="104">
        <v>7.2326589595375732E-2</v>
      </c>
      <c r="AP92" s="104">
        <v>7.2785806037251127E-2</v>
      </c>
      <c r="AQ92" s="100">
        <v>6</v>
      </c>
      <c r="AR92" s="100">
        <v>6</v>
      </c>
      <c r="AS92" s="103">
        <v>0</v>
      </c>
      <c r="AT92" s="103"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3">
        <v>0</v>
      </c>
      <c r="BB92" s="103">
        <v>0</v>
      </c>
      <c r="BC92" s="103">
        <v>0</v>
      </c>
      <c r="BD92" s="103">
        <v>0</v>
      </c>
      <c r="BE92" s="103">
        <v>6.2279999999999998</v>
      </c>
      <c r="BF92" s="103">
        <v>6.2279999999999998</v>
      </c>
      <c r="BG92" s="100">
        <v>0</v>
      </c>
      <c r="BH92"/>
      <c r="BI92"/>
      <c r="BJ92"/>
      <c r="BK92"/>
      <c r="BL92"/>
      <c r="BM92"/>
      <c r="BN92"/>
      <c r="BO92"/>
      <c r="BP92"/>
      <c r="BQ92"/>
    </row>
    <row r="93" spans="1:69">
      <c r="A93" s="100">
        <v>10286</v>
      </c>
      <c r="B93" s="100" t="s">
        <v>97</v>
      </c>
      <c r="C93" s="100">
        <v>1</v>
      </c>
      <c r="D93" s="100">
        <v>0</v>
      </c>
      <c r="E93" s="103">
        <v>46.595999999999997</v>
      </c>
      <c r="F93" s="103">
        <v>72.974999999999994</v>
      </c>
      <c r="G93" s="103">
        <v>72.802999999999997</v>
      </c>
      <c r="H93" s="103">
        <v>0</v>
      </c>
      <c r="I93" s="103">
        <v>0</v>
      </c>
      <c r="J93" s="103">
        <v>24.131</v>
      </c>
      <c r="K93" s="103">
        <v>24.131</v>
      </c>
      <c r="L93" s="102">
        <v>211387.56</v>
      </c>
      <c r="M93" s="102">
        <v>211387.56</v>
      </c>
      <c r="N93" s="103">
        <v>48.844000000000001</v>
      </c>
      <c r="O93" s="103">
        <v>48.671999999999997</v>
      </c>
      <c r="P93" s="102">
        <v>427873.44</v>
      </c>
      <c r="Q93" s="102">
        <v>426366.71999999997</v>
      </c>
      <c r="R93" s="100">
        <v>43.795000000000002</v>
      </c>
      <c r="S93" s="102">
        <v>383644.2</v>
      </c>
      <c r="T93" s="102">
        <v>383644.2</v>
      </c>
      <c r="U93" s="103">
        <v>4.6539999999999999</v>
      </c>
      <c r="V93" s="103">
        <v>4.51</v>
      </c>
      <c r="W93" s="103">
        <v>4.6539999999999999</v>
      </c>
      <c r="X93" s="103">
        <v>4.51</v>
      </c>
      <c r="Y93" s="103">
        <v>0</v>
      </c>
      <c r="Z93" s="103">
        <v>0</v>
      </c>
      <c r="AA93" s="100">
        <v>0</v>
      </c>
      <c r="AB93" s="100">
        <v>0</v>
      </c>
      <c r="AC93" s="103">
        <v>4.6539999999999999</v>
      </c>
      <c r="AD93" s="103">
        <v>4.51</v>
      </c>
      <c r="AE93" s="104">
        <v>6.5012999999999998E-3</v>
      </c>
      <c r="AF93" s="104">
        <v>6.5012999999999998E-3</v>
      </c>
      <c r="AG93" s="104">
        <v>0</v>
      </c>
      <c r="AH93" s="104">
        <v>6.5012999999999998E-3</v>
      </c>
      <c r="AI93" s="104">
        <v>6.5012999999999998E-3</v>
      </c>
      <c r="AJ93" s="104">
        <v>6.5012999999999998E-3</v>
      </c>
      <c r="AK93" s="104">
        <v>0.93587890282033614</v>
      </c>
      <c r="AL93" s="104">
        <v>0.93773939431636189</v>
      </c>
      <c r="AM93" s="104">
        <v>1.1152871332343874</v>
      </c>
      <c r="AN93" s="104">
        <v>1.1113597442630436</v>
      </c>
      <c r="AO93" s="104">
        <v>0</v>
      </c>
      <c r="AP93" s="104">
        <v>0</v>
      </c>
      <c r="AQ93" s="100">
        <v>4</v>
      </c>
      <c r="AR93" s="100">
        <v>4</v>
      </c>
      <c r="AS93" s="103">
        <v>0</v>
      </c>
      <c r="AT93" s="103"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v>0</v>
      </c>
      <c r="BA93" s="103">
        <v>0</v>
      </c>
      <c r="BB93" s="103">
        <v>0</v>
      </c>
      <c r="BC93" s="103">
        <v>0</v>
      </c>
      <c r="BD93" s="103">
        <v>0</v>
      </c>
      <c r="BE93" s="103">
        <v>43.795000000000002</v>
      </c>
      <c r="BF93" s="103">
        <v>43.795000000000002</v>
      </c>
      <c r="BG93" s="100">
        <v>0</v>
      </c>
      <c r="BH93"/>
      <c r="BI93"/>
      <c r="BJ93"/>
      <c r="BK93"/>
      <c r="BL93"/>
      <c r="BM93"/>
      <c r="BN93"/>
      <c r="BO93"/>
      <c r="BP93"/>
      <c r="BQ93"/>
    </row>
    <row r="94" spans="1:69">
      <c r="A94" s="100">
        <v>10288</v>
      </c>
      <c r="B94" s="100" t="s">
        <v>98</v>
      </c>
      <c r="C94" s="100">
        <v>0</v>
      </c>
      <c r="D94" s="100">
        <v>1</v>
      </c>
      <c r="E94" s="103">
        <v>25.103000000000002</v>
      </c>
      <c r="F94" s="103">
        <v>27.471</v>
      </c>
      <c r="G94" s="103">
        <v>27.539000000000001</v>
      </c>
      <c r="H94" s="103">
        <v>0</v>
      </c>
      <c r="I94" s="103">
        <v>0</v>
      </c>
      <c r="J94" s="103">
        <v>6.6000000000000003E-2</v>
      </c>
      <c r="K94" s="103">
        <v>6.6000000000000003E-2</v>
      </c>
      <c r="L94" s="102">
        <v>578.16000000000008</v>
      </c>
      <c r="M94" s="102">
        <v>578.16000000000008</v>
      </c>
      <c r="N94" s="103">
        <v>25.02</v>
      </c>
      <c r="O94" s="103">
        <v>25.096</v>
      </c>
      <c r="P94" s="102">
        <v>219175.19999999998</v>
      </c>
      <c r="Q94" s="102">
        <v>219840.96</v>
      </c>
      <c r="R94" s="100">
        <v>23.594000000000001</v>
      </c>
      <c r="S94" s="102">
        <v>206683.44</v>
      </c>
      <c r="T94" s="102">
        <v>206683.44</v>
      </c>
      <c r="U94" s="103">
        <v>1.4259999999999999</v>
      </c>
      <c r="V94" s="103">
        <v>1.502</v>
      </c>
      <c r="W94" s="103">
        <v>1.4259999999999999</v>
      </c>
      <c r="X94" s="103">
        <v>1.502</v>
      </c>
      <c r="Y94" s="103">
        <v>0</v>
      </c>
      <c r="Z94" s="103">
        <v>0</v>
      </c>
      <c r="AA94" s="100">
        <v>0</v>
      </c>
      <c r="AB94" s="100">
        <v>0</v>
      </c>
      <c r="AC94" s="103">
        <v>1.4259999999999999</v>
      </c>
      <c r="AD94" s="103">
        <v>1.502</v>
      </c>
      <c r="AE94" s="104">
        <v>3.5025E-3</v>
      </c>
      <c r="AF94" s="104">
        <v>3.5025E-3</v>
      </c>
      <c r="AG94" s="104">
        <v>0</v>
      </c>
      <c r="AH94" s="104">
        <v>3.5025E-3</v>
      </c>
      <c r="AI94" s="104">
        <v>3.5025E-3</v>
      </c>
      <c r="AJ94" s="104">
        <v>3.5025E-3</v>
      </c>
      <c r="AK94" s="104">
        <v>0.94315942746950499</v>
      </c>
      <c r="AL94" s="104">
        <v>0.94031068267625784</v>
      </c>
      <c r="AM94" s="104">
        <v>1.0604390946850895</v>
      </c>
      <c r="AN94" s="104">
        <v>1.0636602526065948</v>
      </c>
      <c r="AO94" s="104">
        <v>6.3626345681105367E-2</v>
      </c>
      <c r="AP94" s="104">
        <v>6.3819615156395684E-2</v>
      </c>
      <c r="AQ94" s="100">
        <v>6</v>
      </c>
      <c r="AR94" s="100">
        <v>6</v>
      </c>
      <c r="AS94" s="103">
        <v>0</v>
      </c>
      <c r="AT94" s="103"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v>0</v>
      </c>
      <c r="BA94" s="103">
        <v>0</v>
      </c>
      <c r="BB94" s="103">
        <v>0</v>
      </c>
      <c r="BC94" s="103">
        <v>0</v>
      </c>
      <c r="BD94" s="103">
        <v>0</v>
      </c>
      <c r="BE94" s="103">
        <v>23.594000000000001</v>
      </c>
      <c r="BF94" s="103">
        <v>23.594000000000001</v>
      </c>
      <c r="BG94" s="100">
        <v>0</v>
      </c>
      <c r="BH94"/>
      <c r="BI94"/>
      <c r="BJ94"/>
      <c r="BK94"/>
      <c r="BL94"/>
      <c r="BM94"/>
      <c r="BN94"/>
      <c r="BO94"/>
      <c r="BP94"/>
      <c r="BQ94"/>
    </row>
    <row r="95" spans="1:69">
      <c r="A95" s="100">
        <v>10291</v>
      </c>
      <c r="B95" s="100" t="s">
        <v>99</v>
      </c>
      <c r="C95" s="100">
        <v>1</v>
      </c>
      <c r="D95" s="100">
        <v>0</v>
      </c>
      <c r="E95" s="103">
        <v>80.363</v>
      </c>
      <c r="F95" s="103">
        <v>76.731999999999999</v>
      </c>
      <c r="G95" s="103">
        <v>76.837000000000003</v>
      </c>
      <c r="H95" s="103">
        <v>0</v>
      </c>
      <c r="I95" s="103">
        <v>0</v>
      </c>
      <c r="J95" s="103">
        <v>0</v>
      </c>
      <c r="K95" s="103">
        <v>0</v>
      </c>
      <c r="L95" s="102">
        <v>0</v>
      </c>
      <c r="M95" s="102">
        <v>0</v>
      </c>
      <c r="N95" s="103">
        <v>80.307000000000002</v>
      </c>
      <c r="O95" s="103">
        <v>78.712999999999994</v>
      </c>
      <c r="P95" s="102">
        <v>703489.32000000007</v>
      </c>
      <c r="Q95" s="102">
        <v>689525.87999999989</v>
      </c>
      <c r="R95" s="100">
        <v>75.531999999999996</v>
      </c>
      <c r="S95" s="102">
        <v>661660.31999999995</v>
      </c>
      <c r="T95" s="102">
        <v>661660.31999999995</v>
      </c>
      <c r="U95" s="103">
        <v>4.7750000000000004</v>
      </c>
      <c r="V95" s="103">
        <v>3.181</v>
      </c>
      <c r="W95" s="103">
        <v>4.7750000000000004</v>
      </c>
      <c r="X95" s="103">
        <v>3.181</v>
      </c>
      <c r="Y95" s="103">
        <v>0</v>
      </c>
      <c r="Z95" s="103">
        <v>0</v>
      </c>
      <c r="AA95" s="100">
        <v>0</v>
      </c>
      <c r="AB95" s="100">
        <v>0</v>
      </c>
      <c r="AC95" s="103">
        <v>4.7750000000000004</v>
      </c>
      <c r="AD95" s="103">
        <v>3.181</v>
      </c>
      <c r="AE95" s="104">
        <v>1.12126E-2</v>
      </c>
      <c r="AF95" s="104">
        <v>1.12126E-2</v>
      </c>
      <c r="AG95" s="104">
        <v>0</v>
      </c>
      <c r="AH95" s="104">
        <v>1.12126E-2</v>
      </c>
      <c r="AI95" s="104">
        <v>1.12126E-2</v>
      </c>
      <c r="AJ95" s="104">
        <v>1.12126E-2</v>
      </c>
      <c r="AK95" s="104">
        <v>0.94054190697448536</v>
      </c>
      <c r="AL95" s="104">
        <v>0.95958861844168064</v>
      </c>
      <c r="AM95" s="104">
        <v>1.0632182386273368</v>
      </c>
      <c r="AN95" s="104">
        <v>1.042114600434253</v>
      </c>
      <c r="AO95" s="104">
        <v>5.3160911931366843E-2</v>
      </c>
      <c r="AP95" s="104">
        <v>5.2105730021712648E-2</v>
      </c>
      <c r="AQ95" s="100">
        <v>1</v>
      </c>
      <c r="AR95" s="100">
        <v>1</v>
      </c>
      <c r="AS95" s="103">
        <v>0</v>
      </c>
      <c r="AT95" s="103">
        <v>0</v>
      </c>
      <c r="AU95" s="103">
        <v>4.7750000000000004</v>
      </c>
      <c r="AV95" s="103">
        <v>3.181</v>
      </c>
      <c r="AW95" s="103">
        <v>0</v>
      </c>
      <c r="AX95" s="103">
        <v>0</v>
      </c>
      <c r="AY95" s="103">
        <v>0</v>
      </c>
      <c r="AZ95" s="103">
        <v>0</v>
      </c>
      <c r="BA95" s="103">
        <v>0</v>
      </c>
      <c r="BB95" s="103">
        <v>0</v>
      </c>
      <c r="BC95" s="103">
        <v>0</v>
      </c>
      <c r="BD95" s="103">
        <v>0</v>
      </c>
      <c r="BE95" s="103">
        <v>80.307000000000002</v>
      </c>
      <c r="BF95" s="103">
        <v>78.712999999999994</v>
      </c>
      <c r="BG95" s="100">
        <v>1</v>
      </c>
      <c r="BH95"/>
      <c r="BI95"/>
      <c r="BJ95"/>
      <c r="BK95"/>
      <c r="BL95"/>
      <c r="BM95"/>
      <c r="BN95"/>
      <c r="BO95"/>
      <c r="BP95"/>
      <c r="BQ95"/>
    </row>
    <row r="96" spans="1:69">
      <c r="A96" s="100">
        <v>10294</v>
      </c>
      <c r="B96" s="100" t="s">
        <v>100</v>
      </c>
      <c r="C96" s="100">
        <v>1</v>
      </c>
      <c r="D96" s="100">
        <v>0</v>
      </c>
      <c r="E96" s="103">
        <v>36.869</v>
      </c>
      <c r="F96" s="103">
        <v>36.003</v>
      </c>
      <c r="G96" s="103">
        <v>36.042000000000002</v>
      </c>
      <c r="H96" s="103">
        <v>0</v>
      </c>
      <c r="I96" s="103">
        <v>0</v>
      </c>
      <c r="J96" s="103">
        <v>0</v>
      </c>
      <c r="K96" s="103">
        <v>0</v>
      </c>
      <c r="L96" s="102">
        <v>0</v>
      </c>
      <c r="M96" s="102">
        <v>0</v>
      </c>
      <c r="N96" s="103">
        <v>36.003</v>
      </c>
      <c r="O96" s="103">
        <v>36.042000000000002</v>
      </c>
      <c r="P96" s="102">
        <v>315386.28000000003</v>
      </c>
      <c r="Q96" s="102">
        <v>315727.92000000004</v>
      </c>
      <c r="R96" s="100">
        <v>34.652000000000001</v>
      </c>
      <c r="S96" s="102">
        <v>303551.52</v>
      </c>
      <c r="T96" s="102">
        <v>303551.52</v>
      </c>
      <c r="U96" s="103">
        <v>2.476</v>
      </c>
      <c r="V96" s="103">
        <v>2.6539999999999999</v>
      </c>
      <c r="W96" s="103">
        <v>2.476</v>
      </c>
      <c r="X96" s="103">
        <v>2.6539999999999999</v>
      </c>
      <c r="Y96" s="103">
        <v>0</v>
      </c>
      <c r="Z96" s="103">
        <v>0</v>
      </c>
      <c r="AA96" s="100">
        <v>0</v>
      </c>
      <c r="AB96" s="100">
        <v>0</v>
      </c>
      <c r="AC96" s="103">
        <v>2.476</v>
      </c>
      <c r="AD96" s="103">
        <v>2.6539999999999999</v>
      </c>
      <c r="AE96" s="104">
        <v>5.1440000000000001E-3</v>
      </c>
      <c r="AF96" s="104">
        <v>5.1440000000000001E-3</v>
      </c>
      <c r="AG96" s="104">
        <v>2.8159000000000001E-3</v>
      </c>
      <c r="AH96" s="104">
        <v>2.3281E-3</v>
      </c>
      <c r="AI96" s="104">
        <v>2.3281E-3</v>
      </c>
      <c r="AJ96" s="104">
        <v>2.3281E-3</v>
      </c>
      <c r="AK96" s="104">
        <v>0.93330722624434403</v>
      </c>
      <c r="AL96" s="104">
        <v>0.92885409038760536</v>
      </c>
      <c r="AM96" s="104">
        <v>1.0389876486205702</v>
      </c>
      <c r="AN96" s="104">
        <v>1.0401131247835622</v>
      </c>
      <c r="AO96" s="104">
        <v>0</v>
      </c>
      <c r="AP96" s="104">
        <v>0</v>
      </c>
      <c r="AQ96" s="100">
        <v>4</v>
      </c>
      <c r="AR96" s="100">
        <v>4</v>
      </c>
      <c r="AS96" s="103">
        <v>0</v>
      </c>
      <c r="AT96" s="103">
        <v>0</v>
      </c>
      <c r="AU96" s="103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3">
        <v>0</v>
      </c>
      <c r="BB96" s="103">
        <v>0</v>
      </c>
      <c r="BC96" s="103">
        <v>0</v>
      </c>
      <c r="BD96" s="103">
        <v>0</v>
      </c>
      <c r="BE96" s="103">
        <v>34.652000000000001</v>
      </c>
      <c r="BF96" s="103">
        <v>34.652000000000001</v>
      </c>
      <c r="BG96" s="100">
        <v>0</v>
      </c>
      <c r="BH96"/>
      <c r="BI96"/>
      <c r="BJ96"/>
      <c r="BK96"/>
      <c r="BL96"/>
      <c r="BM96"/>
      <c r="BN96"/>
      <c r="BO96"/>
      <c r="BP96"/>
      <c r="BQ96"/>
    </row>
    <row r="97" spans="1:69">
      <c r="A97" s="100">
        <v>10304</v>
      </c>
      <c r="B97" s="100" t="s">
        <v>101</v>
      </c>
      <c r="C97" s="100">
        <v>1</v>
      </c>
      <c r="D97" s="100">
        <v>0</v>
      </c>
      <c r="E97" s="103">
        <v>14.278</v>
      </c>
      <c r="F97" s="103">
        <v>13.35</v>
      </c>
      <c r="G97" s="103">
        <v>13.382999999999999</v>
      </c>
      <c r="H97" s="103">
        <v>0</v>
      </c>
      <c r="I97" s="103">
        <v>0</v>
      </c>
      <c r="J97" s="103">
        <v>0</v>
      </c>
      <c r="K97" s="103">
        <v>0</v>
      </c>
      <c r="L97" s="102">
        <v>0</v>
      </c>
      <c r="M97" s="102">
        <v>0</v>
      </c>
      <c r="N97" s="103">
        <v>13.385999999999999</v>
      </c>
      <c r="O97" s="103">
        <v>13.417999999999999</v>
      </c>
      <c r="P97" s="102">
        <v>117261.35999999999</v>
      </c>
      <c r="Q97" s="102">
        <v>117541.68</v>
      </c>
      <c r="R97" s="100">
        <v>13.42</v>
      </c>
      <c r="S97" s="102">
        <v>117559.2</v>
      </c>
      <c r="T97" s="102">
        <v>117559.2</v>
      </c>
      <c r="U97" s="103">
        <v>0</v>
      </c>
      <c r="V97" s="103">
        <v>0</v>
      </c>
      <c r="W97" s="103">
        <v>0</v>
      </c>
      <c r="X97" s="103">
        <v>0</v>
      </c>
      <c r="Y97" s="103">
        <v>0</v>
      </c>
      <c r="Z97" s="103">
        <v>0</v>
      </c>
      <c r="AA97" s="100">
        <v>0</v>
      </c>
      <c r="AB97" s="100">
        <v>0</v>
      </c>
      <c r="AC97" s="103">
        <v>0</v>
      </c>
      <c r="AD97" s="103">
        <v>0</v>
      </c>
      <c r="AE97" s="104">
        <v>1.9870999999999999E-3</v>
      </c>
      <c r="AF97" s="104">
        <v>1.9919E-3</v>
      </c>
      <c r="AG97" s="104">
        <v>0</v>
      </c>
      <c r="AH97" s="104">
        <v>1.9870999999999999E-3</v>
      </c>
      <c r="AI97" s="104">
        <v>1.9919E-3</v>
      </c>
      <c r="AJ97" s="104">
        <v>1.9894999999999999E-3</v>
      </c>
      <c r="AK97" s="104">
        <v>0.99998647608695668</v>
      </c>
      <c r="AL97" s="104">
        <v>1</v>
      </c>
      <c r="AM97" s="104">
        <v>1</v>
      </c>
      <c r="AN97" s="104">
        <v>1</v>
      </c>
      <c r="AO97" s="104">
        <v>0</v>
      </c>
      <c r="AP97" s="104">
        <v>0</v>
      </c>
      <c r="AQ97" s="100">
        <v>1</v>
      </c>
      <c r="AR97" s="100">
        <v>1</v>
      </c>
      <c r="AS97" s="103">
        <v>0</v>
      </c>
      <c r="AT97" s="103">
        <v>0</v>
      </c>
      <c r="AU97" s="103">
        <v>0</v>
      </c>
      <c r="AV97" s="103">
        <v>0</v>
      </c>
      <c r="AW97" s="103">
        <v>0</v>
      </c>
      <c r="AX97" s="103">
        <v>0</v>
      </c>
      <c r="AY97" s="103">
        <v>0</v>
      </c>
      <c r="AZ97" s="103">
        <v>0</v>
      </c>
      <c r="BA97" s="103">
        <v>0</v>
      </c>
      <c r="BB97" s="103">
        <v>0</v>
      </c>
      <c r="BC97" s="103">
        <v>0</v>
      </c>
      <c r="BD97" s="103">
        <v>0</v>
      </c>
      <c r="BE97" s="103">
        <v>13.385999999999999</v>
      </c>
      <c r="BF97" s="103">
        <v>13.417999999999999</v>
      </c>
      <c r="BG97" s="100">
        <v>0</v>
      </c>
      <c r="BH97"/>
      <c r="BI97"/>
      <c r="BJ97"/>
      <c r="BK97"/>
      <c r="BL97"/>
      <c r="BM97"/>
      <c r="BN97"/>
      <c r="BO97"/>
      <c r="BP97"/>
      <c r="BQ97"/>
    </row>
    <row r="98" spans="1:69">
      <c r="A98" s="100">
        <v>10306</v>
      </c>
      <c r="B98" s="100" t="s">
        <v>102</v>
      </c>
      <c r="C98" s="100">
        <v>1</v>
      </c>
      <c r="D98" s="100">
        <v>0</v>
      </c>
      <c r="E98" s="103">
        <v>26.152999999999999</v>
      </c>
      <c r="F98" s="103">
        <v>33.999000000000002</v>
      </c>
      <c r="G98" s="103">
        <v>34.332999999999998</v>
      </c>
      <c r="H98" s="103">
        <v>0</v>
      </c>
      <c r="I98" s="103">
        <v>0</v>
      </c>
      <c r="J98" s="103">
        <v>87.462000000000003</v>
      </c>
      <c r="K98" s="103">
        <v>87.460999999999999</v>
      </c>
      <c r="L98" s="102">
        <v>766167.12</v>
      </c>
      <c r="M98" s="102">
        <v>766158.36</v>
      </c>
      <c r="N98" s="103">
        <v>0</v>
      </c>
      <c r="O98" s="103">
        <v>0</v>
      </c>
      <c r="P98" s="102">
        <v>0</v>
      </c>
      <c r="Q98" s="102">
        <v>0</v>
      </c>
      <c r="R98" s="100">
        <v>24.581</v>
      </c>
      <c r="S98" s="102">
        <v>215329.56</v>
      </c>
      <c r="T98" s="102">
        <v>215329.56</v>
      </c>
      <c r="U98" s="103">
        <v>0</v>
      </c>
      <c r="V98" s="103">
        <v>0</v>
      </c>
      <c r="W98" s="103">
        <v>0</v>
      </c>
      <c r="X98" s="103">
        <v>0</v>
      </c>
      <c r="Y98" s="103">
        <v>0</v>
      </c>
      <c r="Z98" s="103">
        <v>0</v>
      </c>
      <c r="AA98" s="100">
        <v>0</v>
      </c>
      <c r="AB98" s="100">
        <v>0</v>
      </c>
      <c r="AC98" s="103">
        <v>0</v>
      </c>
      <c r="AD98" s="103">
        <v>0</v>
      </c>
      <c r="AE98" s="104">
        <v>0</v>
      </c>
      <c r="AF98" s="104">
        <v>0</v>
      </c>
      <c r="AG98" s="104">
        <v>0</v>
      </c>
      <c r="AH98" s="104">
        <v>0</v>
      </c>
      <c r="AI98" s="104">
        <v>0</v>
      </c>
      <c r="AJ98" s="104">
        <v>0</v>
      </c>
      <c r="AK98" s="104">
        <v>1</v>
      </c>
      <c r="AL98" s="104">
        <v>1</v>
      </c>
      <c r="AM98" s="104">
        <v>1</v>
      </c>
      <c r="AN98" s="104">
        <v>1</v>
      </c>
      <c r="AO98" s="104">
        <v>0</v>
      </c>
      <c r="AP98" s="104">
        <v>0</v>
      </c>
      <c r="AQ98" s="100">
        <v>4</v>
      </c>
      <c r="AR98" s="100">
        <v>4</v>
      </c>
      <c r="AS98" s="103">
        <v>0</v>
      </c>
      <c r="AT98" s="103">
        <v>0</v>
      </c>
      <c r="AU98" s="103">
        <v>0</v>
      </c>
      <c r="AV98" s="103">
        <v>0</v>
      </c>
      <c r="AW98" s="103">
        <v>0</v>
      </c>
      <c r="AX98" s="103">
        <v>0</v>
      </c>
      <c r="AY98" s="103">
        <v>0</v>
      </c>
      <c r="AZ98" s="103">
        <v>0</v>
      </c>
      <c r="BA98" s="103">
        <v>0</v>
      </c>
      <c r="BB98" s="103">
        <v>0</v>
      </c>
      <c r="BC98" s="103">
        <v>0</v>
      </c>
      <c r="BD98" s="103">
        <v>0</v>
      </c>
      <c r="BE98" s="103">
        <v>0</v>
      </c>
      <c r="BF98" s="103">
        <v>0</v>
      </c>
      <c r="BG98" s="100">
        <v>0</v>
      </c>
      <c r="BH98"/>
      <c r="BI98"/>
      <c r="BJ98"/>
      <c r="BK98"/>
      <c r="BL98"/>
      <c r="BM98"/>
      <c r="BN98"/>
      <c r="BO98"/>
      <c r="BP98"/>
      <c r="BQ98"/>
    </row>
    <row r="99" spans="1:69">
      <c r="A99" s="100">
        <v>10307</v>
      </c>
      <c r="B99" s="100" t="s">
        <v>103</v>
      </c>
      <c r="C99" s="100">
        <v>1</v>
      </c>
      <c r="D99" s="100">
        <v>0</v>
      </c>
      <c r="E99" s="103">
        <v>73.058999999999997</v>
      </c>
      <c r="F99" s="103">
        <v>68.212999999999994</v>
      </c>
      <c r="G99" s="103">
        <v>68.284000000000006</v>
      </c>
      <c r="H99" s="103">
        <v>0</v>
      </c>
      <c r="I99" s="103">
        <v>0</v>
      </c>
      <c r="J99" s="103">
        <v>0</v>
      </c>
      <c r="K99" s="103">
        <v>0</v>
      </c>
      <c r="L99" s="102">
        <v>0</v>
      </c>
      <c r="M99" s="102">
        <v>0</v>
      </c>
      <c r="N99" s="103">
        <v>68.131</v>
      </c>
      <c r="O99" s="103">
        <v>68.200999999999993</v>
      </c>
      <c r="P99" s="102">
        <v>596827.56000000006</v>
      </c>
      <c r="Q99" s="102">
        <v>597440.75999999989</v>
      </c>
      <c r="R99" s="100">
        <v>68.667000000000002</v>
      </c>
      <c r="S99" s="102">
        <v>601522.92000000004</v>
      </c>
      <c r="T99" s="102">
        <v>601522.92000000004</v>
      </c>
      <c r="U99" s="103">
        <v>0</v>
      </c>
      <c r="V99" s="103">
        <v>0</v>
      </c>
      <c r="W99" s="103">
        <v>0</v>
      </c>
      <c r="X99" s="103">
        <v>0</v>
      </c>
      <c r="Y99" s="103">
        <v>0</v>
      </c>
      <c r="Z99" s="103">
        <v>0</v>
      </c>
      <c r="AA99" s="100">
        <v>0</v>
      </c>
      <c r="AB99" s="100">
        <v>0</v>
      </c>
      <c r="AC99" s="103">
        <v>0</v>
      </c>
      <c r="AD99" s="103">
        <v>0</v>
      </c>
      <c r="AE99" s="104">
        <v>1.01139E-2</v>
      </c>
      <c r="AF99" s="104">
        <v>1.0124299999999999E-2</v>
      </c>
      <c r="AG99" s="104">
        <v>0</v>
      </c>
      <c r="AH99" s="104">
        <v>1.01139E-2</v>
      </c>
      <c r="AI99" s="104">
        <v>1.0124299999999999E-2</v>
      </c>
      <c r="AJ99" s="104">
        <v>1.0119099999999999E-2</v>
      </c>
      <c r="AK99" s="104">
        <v>0.99999796407068731</v>
      </c>
      <c r="AL99" s="104">
        <v>0.99999881854664896</v>
      </c>
      <c r="AM99" s="104">
        <v>1</v>
      </c>
      <c r="AN99" s="104">
        <v>1</v>
      </c>
      <c r="AO99" s="104">
        <v>0</v>
      </c>
      <c r="AP99" s="104">
        <v>0</v>
      </c>
      <c r="AQ99" s="100">
        <v>3</v>
      </c>
      <c r="AR99" s="100">
        <v>3</v>
      </c>
      <c r="AS99" s="103">
        <v>5</v>
      </c>
      <c r="AT99" s="103">
        <v>5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v>0</v>
      </c>
      <c r="BA99" s="103">
        <v>0</v>
      </c>
      <c r="BB99" s="103">
        <v>0</v>
      </c>
      <c r="BC99" s="103">
        <v>0</v>
      </c>
      <c r="BD99" s="103">
        <v>0</v>
      </c>
      <c r="BE99" s="103">
        <v>68.131</v>
      </c>
      <c r="BF99" s="103">
        <v>68.200999999999993</v>
      </c>
      <c r="BG99" s="100">
        <v>0</v>
      </c>
      <c r="BH99"/>
      <c r="BI99"/>
      <c r="BJ99"/>
      <c r="BK99"/>
      <c r="BL99"/>
      <c r="BM99"/>
      <c r="BN99"/>
      <c r="BO99"/>
      <c r="BP99"/>
      <c r="BQ99"/>
    </row>
    <row r="100" spans="1:69">
      <c r="A100" s="100">
        <v>10326</v>
      </c>
      <c r="B100" s="100" t="s">
        <v>104</v>
      </c>
      <c r="C100" s="100">
        <v>1</v>
      </c>
      <c r="D100" s="100">
        <v>0</v>
      </c>
      <c r="E100" s="103">
        <v>30.914000000000001</v>
      </c>
      <c r="F100" s="103">
        <v>27.855</v>
      </c>
      <c r="G100" s="103">
        <v>27.849</v>
      </c>
      <c r="H100" s="103">
        <v>0</v>
      </c>
      <c r="I100" s="103">
        <v>0</v>
      </c>
      <c r="J100" s="103">
        <v>0</v>
      </c>
      <c r="K100" s="103">
        <v>0</v>
      </c>
      <c r="L100" s="102">
        <v>0</v>
      </c>
      <c r="M100" s="102">
        <v>0</v>
      </c>
      <c r="N100" s="103">
        <v>32.127000000000002</v>
      </c>
      <c r="O100" s="103">
        <v>32.284999999999997</v>
      </c>
      <c r="P100" s="102">
        <v>281432.52</v>
      </c>
      <c r="Q100" s="102">
        <v>282816.59999999998</v>
      </c>
      <c r="R100" s="100">
        <v>29.055</v>
      </c>
      <c r="S100" s="102">
        <v>254521.8</v>
      </c>
      <c r="T100" s="102">
        <v>254521.8</v>
      </c>
      <c r="U100" s="103">
        <v>3.0720000000000001</v>
      </c>
      <c r="V100" s="103">
        <v>3.23</v>
      </c>
      <c r="W100" s="103">
        <v>3.0720000000000001</v>
      </c>
      <c r="X100" s="103">
        <v>3.23</v>
      </c>
      <c r="Y100" s="103">
        <v>0</v>
      </c>
      <c r="Z100" s="103">
        <v>0</v>
      </c>
      <c r="AA100" s="100">
        <v>0</v>
      </c>
      <c r="AB100" s="100">
        <v>0</v>
      </c>
      <c r="AC100" s="103">
        <v>3.0720000000000001</v>
      </c>
      <c r="AD100" s="103">
        <v>3.23</v>
      </c>
      <c r="AE100" s="104">
        <v>4.3131999999999997E-3</v>
      </c>
      <c r="AF100" s="104">
        <v>4.3131999999999997E-3</v>
      </c>
      <c r="AG100" s="104">
        <v>0</v>
      </c>
      <c r="AH100" s="104">
        <v>4.3131999999999997E-3</v>
      </c>
      <c r="AI100" s="104">
        <v>4.3131999999999997E-3</v>
      </c>
      <c r="AJ100" s="104">
        <v>4.3131999999999997E-3</v>
      </c>
      <c r="AK100" s="104">
        <v>0.90438770002801372</v>
      </c>
      <c r="AL100" s="104">
        <v>0.89996170477930937</v>
      </c>
      <c r="AM100" s="104">
        <v>1.1057305110996387</v>
      </c>
      <c r="AN100" s="104">
        <v>1.1111684735845808</v>
      </c>
      <c r="AO100" s="104">
        <v>0</v>
      </c>
      <c r="AP100" s="104">
        <v>0</v>
      </c>
      <c r="AQ100" s="100">
        <v>1</v>
      </c>
      <c r="AR100" s="100">
        <v>1</v>
      </c>
      <c r="AS100" s="103">
        <v>0</v>
      </c>
      <c r="AT100" s="103">
        <v>0</v>
      </c>
      <c r="AU100" s="103">
        <v>3.0720000000000001</v>
      </c>
      <c r="AV100" s="103">
        <v>3.23</v>
      </c>
      <c r="AW100" s="103">
        <v>0</v>
      </c>
      <c r="AX100" s="103">
        <v>0</v>
      </c>
      <c r="AY100" s="103">
        <v>0</v>
      </c>
      <c r="AZ100" s="103">
        <v>0</v>
      </c>
      <c r="BA100" s="103">
        <v>0</v>
      </c>
      <c r="BB100" s="103">
        <v>0</v>
      </c>
      <c r="BC100" s="103">
        <v>0</v>
      </c>
      <c r="BD100" s="103">
        <v>0</v>
      </c>
      <c r="BE100" s="103">
        <v>32.127000000000002</v>
      </c>
      <c r="BF100" s="103">
        <v>32.284999999999997</v>
      </c>
      <c r="BG100" s="100">
        <v>0</v>
      </c>
      <c r="BH100"/>
      <c r="BI100"/>
      <c r="BJ100"/>
      <c r="BK100"/>
      <c r="BL100"/>
      <c r="BM100"/>
      <c r="BN100"/>
      <c r="BO100"/>
      <c r="BP100"/>
      <c r="BQ100"/>
    </row>
    <row r="101" spans="1:69">
      <c r="A101" s="100">
        <v>10331</v>
      </c>
      <c r="B101" s="100" t="s">
        <v>105</v>
      </c>
      <c r="C101" s="100">
        <v>0</v>
      </c>
      <c r="D101" s="100">
        <v>1</v>
      </c>
      <c r="E101" s="103">
        <v>37.148000000000003</v>
      </c>
      <c r="F101" s="103">
        <v>35.408000000000001</v>
      </c>
      <c r="G101" s="103">
        <v>35.408000000000001</v>
      </c>
      <c r="H101" s="103">
        <v>0</v>
      </c>
      <c r="I101" s="103">
        <v>0</v>
      </c>
      <c r="J101" s="103">
        <v>0</v>
      </c>
      <c r="K101" s="103">
        <v>0</v>
      </c>
      <c r="L101" s="102">
        <v>0</v>
      </c>
      <c r="M101" s="102">
        <v>0</v>
      </c>
      <c r="N101" s="103">
        <v>35.408000000000001</v>
      </c>
      <c r="O101" s="103">
        <v>35.408000000000001</v>
      </c>
      <c r="P101" s="102">
        <v>310174.08000000002</v>
      </c>
      <c r="Q101" s="102">
        <v>310174.08000000002</v>
      </c>
      <c r="R101" s="100">
        <v>34.914999999999999</v>
      </c>
      <c r="S101" s="102">
        <v>305855.39999999997</v>
      </c>
      <c r="T101" s="102">
        <v>305855.39999999997</v>
      </c>
      <c r="U101" s="103">
        <v>0.49299999999999999</v>
      </c>
      <c r="V101" s="103">
        <v>0.49299999999999999</v>
      </c>
      <c r="W101" s="103">
        <v>0.49299999999999999</v>
      </c>
      <c r="X101" s="103">
        <v>0.49299999999999999</v>
      </c>
      <c r="Y101" s="103">
        <v>0</v>
      </c>
      <c r="Z101" s="103">
        <v>0</v>
      </c>
      <c r="AA101" s="100">
        <v>0</v>
      </c>
      <c r="AB101" s="100">
        <v>0</v>
      </c>
      <c r="AC101" s="103">
        <v>0.49299999999999999</v>
      </c>
      <c r="AD101" s="103">
        <v>0.49299999999999999</v>
      </c>
      <c r="AE101" s="104">
        <v>5.1831000000000004E-3</v>
      </c>
      <c r="AF101" s="104">
        <v>5.1831000000000004E-3</v>
      </c>
      <c r="AG101" s="104">
        <v>0</v>
      </c>
      <c r="AH101" s="104">
        <v>5.1831000000000004E-3</v>
      </c>
      <c r="AI101" s="104">
        <v>5.1831000000000004E-3</v>
      </c>
      <c r="AJ101" s="104">
        <v>5.1831000000000004E-3</v>
      </c>
      <c r="AK101" s="104">
        <v>0.98608287203174438</v>
      </c>
      <c r="AL101" s="104">
        <v>0.98608287203174438</v>
      </c>
      <c r="AM101" s="104">
        <v>1.0141200057281972</v>
      </c>
      <c r="AN101" s="104">
        <v>1.0141200057281972</v>
      </c>
      <c r="AO101" s="104">
        <v>7.0988400400973803E-2</v>
      </c>
      <c r="AP101" s="104">
        <v>7.0988400400973803E-2</v>
      </c>
      <c r="AQ101" s="100">
        <v>6</v>
      </c>
      <c r="AR101" s="100">
        <v>6</v>
      </c>
      <c r="AS101" s="103">
        <v>0</v>
      </c>
      <c r="AT101" s="103"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v>0</v>
      </c>
      <c r="BA101" s="103">
        <v>0</v>
      </c>
      <c r="BB101" s="103">
        <v>0</v>
      </c>
      <c r="BC101" s="103">
        <v>0</v>
      </c>
      <c r="BD101" s="103">
        <v>0</v>
      </c>
      <c r="BE101" s="103">
        <v>34.914999999999999</v>
      </c>
      <c r="BF101" s="103">
        <v>34.914999999999999</v>
      </c>
      <c r="BG101" s="100">
        <v>0</v>
      </c>
      <c r="BH101"/>
      <c r="BI101"/>
      <c r="BJ101"/>
      <c r="BK101"/>
      <c r="BL101"/>
      <c r="BM101"/>
      <c r="BN101"/>
      <c r="BO101"/>
      <c r="BP101"/>
      <c r="BQ101"/>
    </row>
    <row r="102" spans="1:69">
      <c r="A102" s="100">
        <v>10333</v>
      </c>
      <c r="B102" s="100" t="s">
        <v>106</v>
      </c>
      <c r="C102" s="100">
        <v>0</v>
      </c>
      <c r="D102" s="100">
        <v>1</v>
      </c>
      <c r="E102" s="103">
        <v>18.791</v>
      </c>
      <c r="F102" s="103">
        <v>20.029</v>
      </c>
      <c r="G102" s="103">
        <v>20.228999999999999</v>
      </c>
      <c r="H102" s="103">
        <v>0</v>
      </c>
      <c r="I102" s="103">
        <v>0</v>
      </c>
      <c r="J102" s="103">
        <v>0</v>
      </c>
      <c r="K102" s="103">
        <v>0</v>
      </c>
      <c r="L102" s="102">
        <v>0</v>
      </c>
      <c r="M102" s="102">
        <v>0</v>
      </c>
      <c r="N102" s="103">
        <v>18.777999999999999</v>
      </c>
      <c r="O102" s="103">
        <v>18.867999999999999</v>
      </c>
      <c r="P102" s="102">
        <v>164495.28</v>
      </c>
      <c r="Q102" s="102">
        <v>165283.68</v>
      </c>
      <c r="R102" s="100">
        <v>17.661000000000001</v>
      </c>
      <c r="S102" s="102">
        <v>154710.36000000002</v>
      </c>
      <c r="T102" s="102">
        <v>154710.36000000002</v>
      </c>
      <c r="U102" s="103">
        <v>1.117</v>
      </c>
      <c r="V102" s="103">
        <v>1.2070000000000001</v>
      </c>
      <c r="W102" s="103">
        <v>1.117</v>
      </c>
      <c r="X102" s="103">
        <v>1.2070000000000001</v>
      </c>
      <c r="Y102" s="103">
        <v>0</v>
      </c>
      <c r="Z102" s="103">
        <v>0</v>
      </c>
      <c r="AA102" s="100">
        <v>0</v>
      </c>
      <c r="AB102" s="100">
        <v>0</v>
      </c>
      <c r="AC102" s="103">
        <v>1.117</v>
      </c>
      <c r="AD102" s="103">
        <v>1.2070000000000001</v>
      </c>
      <c r="AE102" s="104">
        <v>2.6216999999999998E-3</v>
      </c>
      <c r="AF102" s="104">
        <v>2.6216999999999998E-3</v>
      </c>
      <c r="AG102" s="104">
        <v>0</v>
      </c>
      <c r="AH102" s="104">
        <v>2.6216999999999998E-3</v>
      </c>
      <c r="AI102" s="104">
        <v>2.6216999999999998E-3</v>
      </c>
      <c r="AJ102" s="104">
        <v>2.6216999999999998E-3</v>
      </c>
      <c r="AK102" s="104">
        <v>0.94050018054638407</v>
      </c>
      <c r="AL102" s="104">
        <v>0.93601401262984951</v>
      </c>
      <c r="AM102" s="104">
        <v>1.0632467017722664</v>
      </c>
      <c r="AN102" s="104">
        <v>1.068342675952664</v>
      </c>
      <c r="AO102" s="104">
        <v>6.3794802106335993E-2</v>
      </c>
      <c r="AP102" s="104">
        <v>6.4100560557159847E-2</v>
      </c>
      <c r="AQ102" s="100">
        <v>1</v>
      </c>
      <c r="AR102" s="100">
        <v>1</v>
      </c>
      <c r="AS102" s="103">
        <v>0</v>
      </c>
      <c r="AT102" s="103"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v>0</v>
      </c>
      <c r="BA102" s="103">
        <v>0</v>
      </c>
      <c r="BB102" s="103">
        <v>0</v>
      </c>
      <c r="BC102" s="103">
        <v>0</v>
      </c>
      <c r="BD102" s="103">
        <v>0</v>
      </c>
      <c r="BE102" s="103">
        <v>17.661000000000001</v>
      </c>
      <c r="BF102" s="103">
        <v>17.661000000000001</v>
      </c>
      <c r="BG102" s="100">
        <v>1</v>
      </c>
      <c r="BH102"/>
      <c r="BI102"/>
      <c r="BJ102"/>
      <c r="BK102"/>
      <c r="BL102"/>
      <c r="BM102"/>
      <c r="BN102"/>
      <c r="BO102"/>
      <c r="BP102"/>
      <c r="BQ102"/>
    </row>
    <row r="103" spans="1:69">
      <c r="A103" s="100">
        <v>10338</v>
      </c>
      <c r="B103" s="100" t="s">
        <v>107</v>
      </c>
      <c r="C103" s="100">
        <v>1</v>
      </c>
      <c r="D103" s="100">
        <v>0</v>
      </c>
      <c r="E103" s="103">
        <v>2.4079999999999999</v>
      </c>
      <c r="F103" s="103">
        <v>2.5840000000000001</v>
      </c>
      <c r="G103" s="103">
        <v>2.5920000000000001</v>
      </c>
      <c r="H103" s="103">
        <v>0</v>
      </c>
      <c r="I103" s="103">
        <v>0</v>
      </c>
      <c r="J103" s="103">
        <v>0</v>
      </c>
      <c r="K103" s="103">
        <v>0</v>
      </c>
      <c r="L103" s="102">
        <v>0</v>
      </c>
      <c r="M103" s="102">
        <v>0</v>
      </c>
      <c r="N103" s="103">
        <v>2.5419999999999998</v>
      </c>
      <c r="O103" s="103">
        <v>2.5499999999999998</v>
      </c>
      <c r="P103" s="102">
        <v>22267.919999999998</v>
      </c>
      <c r="Q103" s="102">
        <v>22338</v>
      </c>
      <c r="R103" s="100">
        <v>2.2629999999999999</v>
      </c>
      <c r="S103" s="102">
        <v>19823.879999999997</v>
      </c>
      <c r="T103" s="102">
        <v>19823.879999999997</v>
      </c>
      <c r="U103" s="103">
        <v>0.27900000000000003</v>
      </c>
      <c r="V103" s="103">
        <v>0.28699999999999998</v>
      </c>
      <c r="W103" s="103">
        <v>0</v>
      </c>
      <c r="X103" s="103">
        <v>0</v>
      </c>
      <c r="Y103" s="103">
        <v>0.27900000000000003</v>
      </c>
      <c r="Z103" s="103">
        <v>0.28699999999999998</v>
      </c>
      <c r="AA103" s="100">
        <v>0</v>
      </c>
      <c r="AB103" s="100">
        <v>0</v>
      </c>
      <c r="AC103" s="103">
        <v>0</v>
      </c>
      <c r="AD103" s="103">
        <v>0</v>
      </c>
      <c r="AE103" s="104">
        <v>3.3589999999999998E-4</v>
      </c>
      <c r="AF103" s="104">
        <v>3.3589999999999998E-4</v>
      </c>
      <c r="AG103" s="104">
        <v>0</v>
      </c>
      <c r="AH103" s="104">
        <v>3.3589999999999998E-4</v>
      </c>
      <c r="AI103" s="104">
        <v>3.3589999999999998E-4</v>
      </c>
      <c r="AJ103" s="104">
        <v>3.3589999999999998E-4</v>
      </c>
      <c r="AK103" s="104">
        <v>0.89014279626278525</v>
      </c>
      <c r="AL103" s="104">
        <v>0.88735019141176474</v>
      </c>
      <c r="AM103" s="104">
        <v>1.1232876712328768</v>
      </c>
      <c r="AN103" s="104">
        <v>1.1268228015908086</v>
      </c>
      <c r="AO103" s="104">
        <v>3.9315068493150689E-2</v>
      </c>
      <c r="AP103" s="104">
        <v>3.9438798055678306E-2</v>
      </c>
      <c r="AQ103" s="100">
        <v>1</v>
      </c>
      <c r="AR103" s="100">
        <v>1</v>
      </c>
      <c r="AS103" s="103">
        <v>0</v>
      </c>
      <c r="AT103" s="103"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v>0</v>
      </c>
      <c r="BA103" s="103">
        <v>0</v>
      </c>
      <c r="BB103" s="103">
        <v>0</v>
      </c>
      <c r="BC103" s="103">
        <v>0</v>
      </c>
      <c r="BD103" s="103">
        <v>0</v>
      </c>
      <c r="BE103" s="103">
        <v>2.5419999999999998</v>
      </c>
      <c r="BF103" s="103">
        <v>2.5499999999999998</v>
      </c>
      <c r="BG103" s="100">
        <v>0</v>
      </c>
      <c r="BH103"/>
      <c r="BI103"/>
      <c r="BJ103"/>
      <c r="BK103"/>
      <c r="BL103"/>
      <c r="BM103"/>
      <c r="BN103"/>
      <c r="BO103"/>
      <c r="BP103"/>
      <c r="BQ103"/>
    </row>
    <row r="104" spans="1:69">
      <c r="A104" s="100">
        <v>10342</v>
      </c>
      <c r="B104" s="100" t="s">
        <v>108</v>
      </c>
      <c r="C104" s="100">
        <v>1</v>
      </c>
      <c r="D104" s="100">
        <v>0</v>
      </c>
      <c r="E104" s="103">
        <v>39.268000000000001</v>
      </c>
      <c r="F104" s="103">
        <v>37.835000000000001</v>
      </c>
      <c r="G104" s="103">
        <v>37.917000000000002</v>
      </c>
      <c r="H104" s="103">
        <v>0</v>
      </c>
      <c r="I104" s="103">
        <v>0</v>
      </c>
      <c r="J104" s="103">
        <v>0</v>
      </c>
      <c r="K104" s="103">
        <v>0</v>
      </c>
      <c r="L104" s="102">
        <v>0</v>
      </c>
      <c r="M104" s="102">
        <v>0</v>
      </c>
      <c r="N104" s="103">
        <v>38.017000000000003</v>
      </c>
      <c r="O104" s="103">
        <v>37.936999999999998</v>
      </c>
      <c r="P104" s="102">
        <v>333028.92000000004</v>
      </c>
      <c r="Q104" s="102">
        <v>332328.12</v>
      </c>
      <c r="R104" s="100">
        <v>36.906999999999996</v>
      </c>
      <c r="S104" s="102">
        <v>323305.31999999995</v>
      </c>
      <c r="T104" s="102">
        <v>323305.31999999995</v>
      </c>
      <c r="U104" s="103">
        <v>1.1100000000000001</v>
      </c>
      <c r="V104" s="103">
        <v>1.03</v>
      </c>
      <c r="W104" s="103">
        <v>1.1100000000000001</v>
      </c>
      <c r="X104" s="103">
        <v>1.03</v>
      </c>
      <c r="Y104" s="103">
        <v>0</v>
      </c>
      <c r="Z104" s="103">
        <v>0</v>
      </c>
      <c r="AA104" s="100">
        <v>0</v>
      </c>
      <c r="AB104" s="100">
        <v>0</v>
      </c>
      <c r="AC104" s="103">
        <v>1.1100000000000001</v>
      </c>
      <c r="AD104" s="103">
        <v>1.03</v>
      </c>
      <c r="AE104" s="104">
        <v>5.4787999999999998E-3</v>
      </c>
      <c r="AF104" s="104">
        <v>5.4787999999999998E-3</v>
      </c>
      <c r="AG104" s="104">
        <v>0</v>
      </c>
      <c r="AH104" s="104">
        <v>5.4787999999999998E-3</v>
      </c>
      <c r="AI104" s="104">
        <v>5.4787999999999998E-3</v>
      </c>
      <c r="AJ104" s="104">
        <v>5.4787999999999998E-3</v>
      </c>
      <c r="AK104" s="104">
        <v>0.9708068413920089</v>
      </c>
      <c r="AL104" s="104">
        <v>0.97285403930727277</v>
      </c>
      <c r="AM104" s="104">
        <v>1.0300755954155041</v>
      </c>
      <c r="AN104" s="104">
        <v>1.0279079849351072</v>
      </c>
      <c r="AO104" s="104">
        <v>0</v>
      </c>
      <c r="AP104" s="104">
        <v>0</v>
      </c>
      <c r="AQ104" s="100">
        <v>1</v>
      </c>
      <c r="AR104" s="100">
        <v>1</v>
      </c>
      <c r="AS104" s="103">
        <v>0</v>
      </c>
      <c r="AT104" s="103">
        <v>0</v>
      </c>
      <c r="AU104" s="103">
        <v>1.1100000000000001</v>
      </c>
      <c r="AV104" s="103">
        <v>1.03</v>
      </c>
      <c r="AW104" s="103">
        <v>0</v>
      </c>
      <c r="AX104" s="103">
        <v>0</v>
      </c>
      <c r="AY104" s="103">
        <v>0</v>
      </c>
      <c r="AZ104" s="103">
        <v>0</v>
      </c>
      <c r="BA104" s="103">
        <v>0</v>
      </c>
      <c r="BB104" s="103">
        <v>0</v>
      </c>
      <c r="BC104" s="103">
        <v>0</v>
      </c>
      <c r="BD104" s="103">
        <v>0</v>
      </c>
      <c r="BE104" s="103">
        <v>38.017000000000003</v>
      </c>
      <c r="BF104" s="103">
        <v>37.936999999999998</v>
      </c>
      <c r="BG104" s="100">
        <v>0</v>
      </c>
      <c r="BH104"/>
      <c r="BI104"/>
      <c r="BJ104"/>
      <c r="BK104"/>
      <c r="BL104"/>
      <c r="BM104"/>
      <c r="BN104"/>
      <c r="BO104"/>
      <c r="BP104"/>
      <c r="BQ104"/>
    </row>
    <row r="105" spans="1:69">
      <c r="A105" s="100">
        <v>10343</v>
      </c>
      <c r="B105" s="100" t="s">
        <v>109</v>
      </c>
      <c r="C105" s="100">
        <v>1</v>
      </c>
      <c r="D105" s="100">
        <v>0</v>
      </c>
      <c r="E105" s="103">
        <v>31.856999999999999</v>
      </c>
      <c r="F105" s="103">
        <v>12.032</v>
      </c>
      <c r="G105" s="103">
        <v>12.032</v>
      </c>
      <c r="H105" s="103">
        <v>0</v>
      </c>
      <c r="I105" s="103">
        <v>0</v>
      </c>
      <c r="J105" s="103">
        <v>7.9000000000000001E-2</v>
      </c>
      <c r="K105" s="103">
        <v>7.9000000000000001E-2</v>
      </c>
      <c r="L105" s="102">
        <v>692.04</v>
      </c>
      <c r="M105" s="102">
        <v>692.04</v>
      </c>
      <c r="N105" s="103">
        <v>12.016</v>
      </c>
      <c r="O105" s="103">
        <v>12.016</v>
      </c>
      <c r="P105" s="102">
        <v>105260.16</v>
      </c>
      <c r="Q105" s="102">
        <v>105260.16</v>
      </c>
      <c r="R105" s="100">
        <v>29.942</v>
      </c>
      <c r="S105" s="102">
        <v>262291.92</v>
      </c>
      <c r="T105" s="102">
        <v>262291.92</v>
      </c>
      <c r="U105" s="103">
        <v>0</v>
      </c>
      <c r="V105" s="103">
        <v>0</v>
      </c>
      <c r="W105" s="103">
        <v>0</v>
      </c>
      <c r="X105" s="103">
        <v>0</v>
      </c>
      <c r="Y105" s="103">
        <v>0</v>
      </c>
      <c r="Z105" s="103">
        <v>0</v>
      </c>
      <c r="AA105" s="100">
        <v>0</v>
      </c>
      <c r="AB105" s="100">
        <v>0</v>
      </c>
      <c r="AC105" s="103">
        <v>0</v>
      </c>
      <c r="AD105" s="103">
        <v>0</v>
      </c>
      <c r="AE105" s="104">
        <v>1.7838000000000001E-3</v>
      </c>
      <c r="AF105" s="104">
        <v>1.7838000000000001E-3</v>
      </c>
      <c r="AG105" s="104">
        <v>0</v>
      </c>
      <c r="AH105" s="104">
        <v>1.7838000000000001E-3</v>
      </c>
      <c r="AI105" s="104">
        <v>1.7838000000000001E-3</v>
      </c>
      <c r="AJ105" s="104">
        <v>1.7838000000000001E-3</v>
      </c>
      <c r="AK105" s="104">
        <v>1</v>
      </c>
      <c r="AL105" s="104">
        <v>1</v>
      </c>
      <c r="AM105" s="104">
        <v>1</v>
      </c>
      <c r="AN105" s="104">
        <v>1</v>
      </c>
      <c r="AO105" s="104">
        <v>7.0000000000000007E-2</v>
      </c>
      <c r="AP105" s="104">
        <v>7.0000000000000007E-2</v>
      </c>
      <c r="AQ105" s="100">
        <v>1</v>
      </c>
      <c r="AR105" s="100">
        <v>1</v>
      </c>
      <c r="AS105" s="103">
        <v>0</v>
      </c>
      <c r="AT105" s="103">
        <v>0</v>
      </c>
      <c r="AU105" s="103">
        <v>0</v>
      </c>
      <c r="AV105" s="103">
        <v>0</v>
      </c>
      <c r="AW105" s="103">
        <v>0</v>
      </c>
      <c r="AX105" s="103">
        <v>0</v>
      </c>
      <c r="AY105" s="103">
        <v>0</v>
      </c>
      <c r="AZ105" s="103">
        <v>0</v>
      </c>
      <c r="BA105" s="103">
        <v>0</v>
      </c>
      <c r="BB105" s="103">
        <v>0</v>
      </c>
      <c r="BC105" s="103">
        <v>0</v>
      </c>
      <c r="BD105" s="103">
        <v>0</v>
      </c>
      <c r="BE105" s="103">
        <v>12.016</v>
      </c>
      <c r="BF105" s="103">
        <v>12.016</v>
      </c>
      <c r="BG105" s="100">
        <v>1</v>
      </c>
      <c r="BH105"/>
      <c r="BI105"/>
      <c r="BJ105"/>
      <c r="BK105"/>
      <c r="BL105"/>
      <c r="BM105"/>
      <c r="BN105"/>
      <c r="BO105"/>
      <c r="BP105"/>
      <c r="BQ105"/>
    </row>
    <row r="106" spans="1:69">
      <c r="A106" s="100">
        <v>10349</v>
      </c>
      <c r="B106" s="100" t="s">
        <v>110</v>
      </c>
      <c r="C106" s="100">
        <v>1</v>
      </c>
      <c r="D106" s="100">
        <v>0</v>
      </c>
      <c r="E106" s="103">
        <v>531.72699999999998</v>
      </c>
      <c r="F106" s="103">
        <v>1046.1420000000001</v>
      </c>
      <c r="G106" s="103">
        <v>1043.6759999999999</v>
      </c>
      <c r="H106" s="103">
        <v>0</v>
      </c>
      <c r="I106" s="103">
        <v>0</v>
      </c>
      <c r="J106" s="103">
        <v>615.51499999999999</v>
      </c>
      <c r="K106" s="103">
        <v>614.37400000000002</v>
      </c>
      <c r="L106" s="102">
        <v>5391911.3999999994</v>
      </c>
      <c r="M106" s="102">
        <v>5381916.2400000002</v>
      </c>
      <c r="N106" s="103">
        <v>430.62700000000001</v>
      </c>
      <c r="O106" s="103">
        <v>429.30200000000002</v>
      </c>
      <c r="P106" s="102">
        <v>3772292.52</v>
      </c>
      <c r="Q106" s="102">
        <v>3760685.52</v>
      </c>
      <c r="R106" s="100">
        <v>499.76</v>
      </c>
      <c r="S106" s="102">
        <v>4377897.5999999996</v>
      </c>
      <c r="T106" s="102">
        <v>4377897.5999999996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0">
        <v>0</v>
      </c>
      <c r="AB106" s="100">
        <v>0</v>
      </c>
      <c r="AC106" s="103">
        <v>0</v>
      </c>
      <c r="AD106" s="103">
        <v>0</v>
      </c>
      <c r="AE106" s="104">
        <v>6.3925800000000005E-2</v>
      </c>
      <c r="AF106" s="104">
        <v>6.3729099999999997E-2</v>
      </c>
      <c r="AG106" s="104">
        <v>0</v>
      </c>
      <c r="AH106" s="104">
        <v>6.3925800000000005E-2</v>
      </c>
      <c r="AI106" s="104">
        <v>6.3729099999999997E-2</v>
      </c>
      <c r="AJ106" s="104">
        <v>6.3827450000000008E-2</v>
      </c>
      <c r="AK106" s="104">
        <v>0.99999973380079621</v>
      </c>
      <c r="AL106" s="104">
        <v>0.99999995884625426</v>
      </c>
      <c r="AM106" s="104">
        <v>1</v>
      </c>
      <c r="AN106" s="104">
        <v>1</v>
      </c>
      <c r="AO106" s="104">
        <v>0</v>
      </c>
      <c r="AP106" s="104">
        <v>0</v>
      </c>
      <c r="AQ106" s="100">
        <v>4</v>
      </c>
      <c r="AR106" s="100">
        <v>4</v>
      </c>
      <c r="AS106" s="103">
        <v>0</v>
      </c>
      <c r="AT106" s="103"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v>0</v>
      </c>
      <c r="BA106" s="103">
        <v>0</v>
      </c>
      <c r="BB106" s="103">
        <v>0</v>
      </c>
      <c r="BC106" s="103">
        <v>0</v>
      </c>
      <c r="BD106" s="103">
        <v>0</v>
      </c>
      <c r="BE106" s="103">
        <v>430.62700000000001</v>
      </c>
      <c r="BF106" s="103">
        <v>429.30200000000002</v>
      </c>
      <c r="BG106" s="100">
        <v>0</v>
      </c>
      <c r="BH106"/>
      <c r="BI106"/>
      <c r="BJ106"/>
      <c r="BK106"/>
      <c r="BL106"/>
      <c r="BM106"/>
      <c r="BN106"/>
      <c r="BO106"/>
      <c r="BP106"/>
      <c r="BQ106"/>
    </row>
    <row r="107" spans="1:69">
      <c r="A107" s="100">
        <v>10352</v>
      </c>
      <c r="B107" s="100" t="s">
        <v>111</v>
      </c>
      <c r="C107" s="100">
        <v>1</v>
      </c>
      <c r="D107" s="100">
        <v>0</v>
      </c>
      <c r="E107" s="103">
        <v>16.143999999999998</v>
      </c>
      <c r="F107" s="103">
        <v>16.742999999999999</v>
      </c>
      <c r="G107" s="103">
        <v>16.805</v>
      </c>
      <c r="H107" s="103">
        <v>0</v>
      </c>
      <c r="I107" s="103">
        <v>0</v>
      </c>
      <c r="J107" s="103">
        <v>0</v>
      </c>
      <c r="K107" s="103">
        <v>0</v>
      </c>
      <c r="L107" s="102">
        <v>0</v>
      </c>
      <c r="M107" s="102">
        <v>0</v>
      </c>
      <c r="N107" s="103">
        <v>15.302</v>
      </c>
      <c r="O107" s="103">
        <v>15.302</v>
      </c>
      <c r="P107" s="102">
        <v>134045.51999999999</v>
      </c>
      <c r="Q107" s="102">
        <v>134045.51999999999</v>
      </c>
      <c r="R107" s="100">
        <v>15.173</v>
      </c>
      <c r="S107" s="102">
        <v>132915.48000000001</v>
      </c>
      <c r="T107" s="102">
        <v>132915.48000000001</v>
      </c>
      <c r="U107" s="103">
        <v>0.129</v>
      </c>
      <c r="V107" s="103">
        <v>0.129</v>
      </c>
      <c r="W107" s="103">
        <v>0</v>
      </c>
      <c r="X107" s="103">
        <v>0</v>
      </c>
      <c r="Y107" s="103">
        <v>0.129</v>
      </c>
      <c r="Z107" s="103">
        <v>0.129</v>
      </c>
      <c r="AA107" s="100">
        <v>0</v>
      </c>
      <c r="AB107" s="100">
        <v>0</v>
      </c>
      <c r="AC107" s="103">
        <v>0</v>
      </c>
      <c r="AD107" s="103">
        <v>0</v>
      </c>
      <c r="AE107" s="104">
        <v>2.2523999999999999E-3</v>
      </c>
      <c r="AF107" s="104">
        <v>2.2523999999999999E-3</v>
      </c>
      <c r="AG107" s="104">
        <v>0</v>
      </c>
      <c r="AH107" s="104">
        <v>2.2523999999999999E-3</v>
      </c>
      <c r="AI107" s="104">
        <v>2.2523999999999999E-3</v>
      </c>
      <c r="AJ107" s="104">
        <v>2.2523999999999999E-3</v>
      </c>
      <c r="AK107" s="104">
        <v>0.99156809643183896</v>
      </c>
      <c r="AL107" s="104">
        <v>0.99156809643183896</v>
      </c>
      <c r="AM107" s="104">
        <v>1.0085019442430634</v>
      </c>
      <c r="AN107" s="104">
        <v>1.0085019442430634</v>
      </c>
      <c r="AO107" s="104">
        <v>5.0425097212153165E-2</v>
      </c>
      <c r="AP107" s="104">
        <v>5.0425097212153165E-2</v>
      </c>
      <c r="AQ107" s="100">
        <v>1</v>
      </c>
      <c r="AR107" s="100">
        <v>1</v>
      </c>
      <c r="AS107" s="103">
        <v>0</v>
      </c>
      <c r="AT107" s="103"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v>0</v>
      </c>
      <c r="BA107" s="103">
        <v>0</v>
      </c>
      <c r="BB107" s="103">
        <v>0</v>
      </c>
      <c r="BC107" s="103">
        <v>0</v>
      </c>
      <c r="BD107" s="103">
        <v>0</v>
      </c>
      <c r="BE107" s="103">
        <v>15.302</v>
      </c>
      <c r="BF107" s="103">
        <v>15.302</v>
      </c>
      <c r="BG107" s="100">
        <v>0</v>
      </c>
      <c r="BH107"/>
      <c r="BI107"/>
      <c r="BJ107"/>
      <c r="BK107"/>
      <c r="BL107"/>
      <c r="BM107"/>
      <c r="BN107"/>
      <c r="BO107"/>
      <c r="BP107"/>
      <c r="BQ107"/>
    </row>
    <row r="108" spans="1:69">
      <c r="A108" s="100">
        <v>10354</v>
      </c>
      <c r="B108" s="100" t="s">
        <v>112</v>
      </c>
      <c r="C108" s="100">
        <v>1</v>
      </c>
      <c r="D108" s="100">
        <v>0</v>
      </c>
      <c r="E108" s="103">
        <v>810.99</v>
      </c>
      <c r="F108" s="103">
        <v>736.61</v>
      </c>
      <c r="G108" s="103">
        <v>731.904</v>
      </c>
      <c r="H108" s="103">
        <v>0</v>
      </c>
      <c r="I108" s="103">
        <v>0</v>
      </c>
      <c r="J108" s="103">
        <v>30.827999999999999</v>
      </c>
      <c r="K108" s="103">
        <v>30.827999999999999</v>
      </c>
      <c r="L108" s="102">
        <v>270053.27999999997</v>
      </c>
      <c r="M108" s="102">
        <v>270053.27999999997</v>
      </c>
      <c r="N108" s="103">
        <v>705.78200000000004</v>
      </c>
      <c r="O108" s="103">
        <v>701.07600000000002</v>
      </c>
      <c r="P108" s="102">
        <v>6182650.3200000003</v>
      </c>
      <c r="Q108" s="102">
        <v>6141425.7599999998</v>
      </c>
      <c r="R108" s="100">
        <v>762.23400000000004</v>
      </c>
      <c r="S108" s="102">
        <v>6677169.8400000008</v>
      </c>
      <c r="T108" s="102">
        <v>6677169.8400000008</v>
      </c>
      <c r="U108" s="103">
        <v>0</v>
      </c>
      <c r="V108" s="103">
        <v>0</v>
      </c>
      <c r="W108" s="103">
        <v>0</v>
      </c>
      <c r="X108" s="103">
        <v>0</v>
      </c>
      <c r="Y108" s="103">
        <v>0</v>
      </c>
      <c r="Z108" s="103">
        <v>0</v>
      </c>
      <c r="AA108" s="100">
        <v>0</v>
      </c>
      <c r="AB108" s="100">
        <v>0</v>
      </c>
      <c r="AC108" s="103">
        <v>0</v>
      </c>
      <c r="AD108" s="103">
        <v>0</v>
      </c>
      <c r="AE108" s="104">
        <v>0.104772</v>
      </c>
      <c r="AF108" s="104">
        <v>0.1040734</v>
      </c>
      <c r="AG108" s="104">
        <v>5.4363700000000001E-2</v>
      </c>
      <c r="AH108" s="104">
        <v>5.0408300000000003E-2</v>
      </c>
      <c r="AI108" s="104">
        <v>4.9709699999999996E-2</v>
      </c>
      <c r="AJ108" s="104">
        <v>5.0058999999999999E-2</v>
      </c>
      <c r="AK108" s="104">
        <v>0.99999973547467458</v>
      </c>
      <c r="AL108" s="104">
        <v>0.99999970590487286</v>
      </c>
      <c r="AM108" s="104">
        <v>1</v>
      </c>
      <c r="AN108" s="104">
        <v>1</v>
      </c>
      <c r="AO108" s="104">
        <v>0</v>
      </c>
      <c r="AP108" s="104">
        <v>0</v>
      </c>
      <c r="AQ108" s="100">
        <v>4</v>
      </c>
      <c r="AR108" s="100">
        <v>4</v>
      </c>
      <c r="AS108" s="103">
        <v>0</v>
      </c>
      <c r="AT108" s="103">
        <v>0</v>
      </c>
      <c r="AU108" s="103">
        <v>0</v>
      </c>
      <c r="AV108" s="103">
        <v>0</v>
      </c>
      <c r="AW108" s="103">
        <v>1.369</v>
      </c>
      <c r="AX108" s="103">
        <v>1.369</v>
      </c>
      <c r="AY108" s="103">
        <v>-1.369</v>
      </c>
      <c r="AZ108" s="103">
        <v>-1.369</v>
      </c>
      <c r="BA108" s="103">
        <v>0</v>
      </c>
      <c r="BB108" s="103">
        <v>0</v>
      </c>
      <c r="BC108" s="103">
        <v>0</v>
      </c>
      <c r="BD108" s="103">
        <v>0</v>
      </c>
      <c r="BE108" s="103">
        <v>705.78200000000004</v>
      </c>
      <c r="BF108" s="103">
        <v>701.07600000000002</v>
      </c>
      <c r="BG108" s="100">
        <v>0</v>
      </c>
      <c r="BH108"/>
      <c r="BI108"/>
      <c r="BJ108"/>
      <c r="BK108"/>
      <c r="BL108"/>
      <c r="BM108"/>
      <c r="BN108"/>
      <c r="BO108"/>
      <c r="BP108"/>
      <c r="BQ108"/>
    </row>
    <row r="109" spans="1:69">
      <c r="A109" s="100">
        <v>10360</v>
      </c>
      <c r="B109" s="100" t="s">
        <v>113</v>
      </c>
      <c r="C109" s="100">
        <v>1</v>
      </c>
      <c r="D109" s="100">
        <v>0</v>
      </c>
      <c r="E109" s="103">
        <v>6.8659999999999997</v>
      </c>
      <c r="F109" s="103">
        <v>7.1740000000000004</v>
      </c>
      <c r="G109" s="103">
        <v>7.1959999999999997</v>
      </c>
      <c r="H109" s="103">
        <v>0</v>
      </c>
      <c r="I109" s="103">
        <v>0</v>
      </c>
      <c r="J109" s="103">
        <v>0</v>
      </c>
      <c r="K109" s="103">
        <v>0</v>
      </c>
      <c r="L109" s="102">
        <v>0</v>
      </c>
      <c r="M109" s="102">
        <v>0</v>
      </c>
      <c r="N109" s="103">
        <v>7.2060000000000004</v>
      </c>
      <c r="O109" s="103">
        <v>7.2279999999999998</v>
      </c>
      <c r="P109" s="102">
        <v>63124.560000000005</v>
      </c>
      <c r="Q109" s="102">
        <v>63317.279999999999</v>
      </c>
      <c r="R109" s="100">
        <v>6.4530000000000003</v>
      </c>
      <c r="S109" s="102">
        <v>56528.280000000006</v>
      </c>
      <c r="T109" s="102">
        <v>56528.280000000006</v>
      </c>
      <c r="U109" s="103">
        <v>0.753</v>
      </c>
      <c r="V109" s="103">
        <v>0.77500000000000002</v>
      </c>
      <c r="W109" s="103">
        <v>0</v>
      </c>
      <c r="X109" s="103">
        <v>0</v>
      </c>
      <c r="Y109" s="103">
        <v>0.753</v>
      </c>
      <c r="Z109" s="103">
        <v>0.77500000000000002</v>
      </c>
      <c r="AA109" s="100">
        <v>0</v>
      </c>
      <c r="AB109" s="100">
        <v>0</v>
      </c>
      <c r="AC109" s="103">
        <v>0</v>
      </c>
      <c r="AD109" s="103">
        <v>0</v>
      </c>
      <c r="AE109" s="104">
        <v>9.5790000000000003E-4</v>
      </c>
      <c r="AF109" s="104">
        <v>9.5790000000000003E-4</v>
      </c>
      <c r="AG109" s="104">
        <v>0</v>
      </c>
      <c r="AH109" s="104">
        <v>9.5790000000000003E-4</v>
      </c>
      <c r="AI109" s="104">
        <v>9.5790000000000003E-4</v>
      </c>
      <c r="AJ109" s="104">
        <v>9.5790000000000003E-4</v>
      </c>
      <c r="AK109" s="104">
        <v>0.89547020345545381</v>
      </c>
      <c r="AL109" s="104">
        <v>0.89274464389872732</v>
      </c>
      <c r="AM109" s="104">
        <v>1.1166899116689912</v>
      </c>
      <c r="AN109" s="104">
        <v>1.1200991786765844</v>
      </c>
      <c r="AO109" s="104">
        <v>5.0251046025104606E-2</v>
      </c>
      <c r="AP109" s="104">
        <v>5.0404463040446296E-2</v>
      </c>
      <c r="AQ109" s="100">
        <v>1</v>
      </c>
      <c r="AR109" s="100">
        <v>1</v>
      </c>
      <c r="AS109" s="103">
        <v>0</v>
      </c>
      <c r="AT109" s="103">
        <v>0</v>
      </c>
      <c r="AU109" s="103">
        <v>0</v>
      </c>
      <c r="AV109" s="103">
        <v>0</v>
      </c>
      <c r="AW109" s="103">
        <v>0</v>
      </c>
      <c r="AX109" s="103">
        <v>0</v>
      </c>
      <c r="AY109" s="103">
        <v>0</v>
      </c>
      <c r="AZ109" s="103">
        <v>0</v>
      </c>
      <c r="BA109" s="103">
        <v>0</v>
      </c>
      <c r="BB109" s="103">
        <v>0</v>
      </c>
      <c r="BC109" s="103">
        <v>0</v>
      </c>
      <c r="BD109" s="103">
        <v>0</v>
      </c>
      <c r="BE109" s="103">
        <v>7.2060000000000004</v>
      </c>
      <c r="BF109" s="103">
        <v>7.2279999999999998</v>
      </c>
      <c r="BG109" s="100">
        <v>0</v>
      </c>
      <c r="BH109"/>
      <c r="BI109"/>
      <c r="BJ109"/>
      <c r="BK109"/>
      <c r="BL109"/>
      <c r="BM109"/>
      <c r="BN109"/>
      <c r="BO109"/>
      <c r="BP109"/>
      <c r="BQ109"/>
    </row>
    <row r="110" spans="1:69">
      <c r="A110" s="100">
        <v>10363</v>
      </c>
      <c r="B110" s="100" t="s">
        <v>114</v>
      </c>
      <c r="C110" s="100">
        <v>1</v>
      </c>
      <c r="D110" s="100">
        <v>0</v>
      </c>
      <c r="E110" s="103">
        <v>102.208</v>
      </c>
      <c r="F110" s="103">
        <v>90.688000000000002</v>
      </c>
      <c r="G110" s="103">
        <v>90.912999999999997</v>
      </c>
      <c r="H110" s="103">
        <v>0</v>
      </c>
      <c r="I110" s="103">
        <v>0</v>
      </c>
      <c r="J110" s="103">
        <v>0</v>
      </c>
      <c r="K110" s="103">
        <v>0</v>
      </c>
      <c r="L110" s="102">
        <v>0</v>
      </c>
      <c r="M110" s="102">
        <v>0</v>
      </c>
      <c r="N110" s="103">
        <v>91.117000000000004</v>
      </c>
      <c r="O110" s="103">
        <v>91.341999999999999</v>
      </c>
      <c r="P110" s="102">
        <v>798184.92</v>
      </c>
      <c r="Q110" s="102">
        <v>800155.92</v>
      </c>
      <c r="R110" s="100">
        <v>96.063000000000002</v>
      </c>
      <c r="S110" s="102">
        <v>841511.88</v>
      </c>
      <c r="T110" s="102">
        <v>841511.88</v>
      </c>
      <c r="U110" s="103">
        <v>0</v>
      </c>
      <c r="V110" s="103">
        <v>0</v>
      </c>
      <c r="W110" s="103">
        <v>0</v>
      </c>
      <c r="X110" s="103">
        <v>0</v>
      </c>
      <c r="Y110" s="103">
        <v>0</v>
      </c>
      <c r="Z110" s="103">
        <v>0</v>
      </c>
      <c r="AA110" s="100">
        <v>0</v>
      </c>
      <c r="AB110" s="100">
        <v>0</v>
      </c>
      <c r="AC110" s="103">
        <v>0</v>
      </c>
      <c r="AD110" s="103">
        <v>0</v>
      </c>
      <c r="AE110" s="104">
        <v>1.3526099999999999E-2</v>
      </c>
      <c r="AF110" s="104">
        <v>1.35595E-2</v>
      </c>
      <c r="AG110" s="104">
        <v>0</v>
      </c>
      <c r="AH110" s="104">
        <v>1.3526099999999999E-2</v>
      </c>
      <c r="AI110" s="104">
        <v>1.35595E-2</v>
      </c>
      <c r="AJ110" s="104">
        <v>1.3542800000000001E-2</v>
      </c>
      <c r="AK110" s="104">
        <v>0.99999632856547072</v>
      </c>
      <c r="AL110" s="104">
        <v>0.99999627619824405</v>
      </c>
      <c r="AM110" s="104">
        <v>1</v>
      </c>
      <c r="AN110" s="104">
        <v>1</v>
      </c>
      <c r="AO110" s="104">
        <v>0</v>
      </c>
      <c r="AP110" s="104">
        <v>0</v>
      </c>
      <c r="AQ110" s="100">
        <v>1</v>
      </c>
      <c r="AR110" s="100">
        <v>1</v>
      </c>
      <c r="AS110" s="103">
        <v>0</v>
      </c>
      <c r="AT110" s="103">
        <v>0</v>
      </c>
      <c r="AU110" s="103">
        <v>0</v>
      </c>
      <c r="AV110" s="103">
        <v>0</v>
      </c>
      <c r="AW110" s="103">
        <v>0</v>
      </c>
      <c r="AX110" s="103">
        <v>0</v>
      </c>
      <c r="AY110" s="103">
        <v>0</v>
      </c>
      <c r="AZ110" s="103">
        <v>0</v>
      </c>
      <c r="BA110" s="103">
        <v>0</v>
      </c>
      <c r="BB110" s="103">
        <v>0</v>
      </c>
      <c r="BC110" s="103">
        <v>0</v>
      </c>
      <c r="BD110" s="103">
        <v>0</v>
      </c>
      <c r="BE110" s="103">
        <v>91.117000000000004</v>
      </c>
      <c r="BF110" s="103">
        <v>91.341999999999999</v>
      </c>
      <c r="BG110" s="100">
        <v>0</v>
      </c>
      <c r="BH110"/>
      <c r="BI110"/>
      <c r="BJ110"/>
      <c r="BK110"/>
      <c r="BL110"/>
      <c r="BM110"/>
      <c r="BN110"/>
      <c r="BO110"/>
      <c r="BP110"/>
      <c r="BQ110"/>
    </row>
    <row r="111" spans="1:69">
      <c r="A111" s="100">
        <v>10369</v>
      </c>
      <c r="B111" s="100" t="s">
        <v>115</v>
      </c>
      <c r="C111" s="100">
        <v>1</v>
      </c>
      <c r="D111" s="100">
        <v>0</v>
      </c>
      <c r="E111" s="103">
        <v>16.677</v>
      </c>
      <c r="F111" s="103">
        <v>17.311</v>
      </c>
      <c r="G111" s="103">
        <v>17.311</v>
      </c>
      <c r="H111" s="103">
        <v>0</v>
      </c>
      <c r="I111" s="103">
        <v>0</v>
      </c>
      <c r="J111" s="103">
        <v>0</v>
      </c>
      <c r="K111" s="103">
        <v>0</v>
      </c>
      <c r="L111" s="102">
        <v>0</v>
      </c>
      <c r="M111" s="102">
        <v>0</v>
      </c>
      <c r="N111" s="103">
        <v>17.149000000000001</v>
      </c>
      <c r="O111" s="103">
        <v>17.149000000000001</v>
      </c>
      <c r="P111" s="102">
        <v>150225.24000000002</v>
      </c>
      <c r="Q111" s="102">
        <v>150225.24000000002</v>
      </c>
      <c r="R111" s="100">
        <v>15.673999999999999</v>
      </c>
      <c r="S111" s="102">
        <v>137304.24</v>
      </c>
      <c r="T111" s="102">
        <v>137304.24</v>
      </c>
      <c r="U111" s="103">
        <v>1.4750000000000001</v>
      </c>
      <c r="V111" s="103">
        <v>1.4750000000000001</v>
      </c>
      <c r="W111" s="103">
        <v>1.4750000000000001</v>
      </c>
      <c r="X111" s="103">
        <v>1.4750000000000001</v>
      </c>
      <c r="Y111" s="103">
        <v>0</v>
      </c>
      <c r="Z111" s="103">
        <v>0</v>
      </c>
      <c r="AA111" s="100">
        <v>0</v>
      </c>
      <c r="AB111" s="100">
        <v>0</v>
      </c>
      <c r="AC111" s="103">
        <v>1.4750000000000001</v>
      </c>
      <c r="AD111" s="103">
        <v>1.4750000000000001</v>
      </c>
      <c r="AE111" s="104">
        <v>2.3268E-3</v>
      </c>
      <c r="AF111" s="104">
        <v>2.3268E-3</v>
      </c>
      <c r="AG111" s="104">
        <v>0</v>
      </c>
      <c r="AH111" s="104">
        <v>2.3268E-3</v>
      </c>
      <c r="AI111" s="104">
        <v>2.3268E-3</v>
      </c>
      <c r="AJ111" s="104">
        <v>2.3268E-3</v>
      </c>
      <c r="AK111" s="104">
        <v>0.91399849094407837</v>
      </c>
      <c r="AL111" s="104">
        <v>0.91399849094407837</v>
      </c>
      <c r="AM111" s="104">
        <v>1.0941048870741357</v>
      </c>
      <c r="AN111" s="104">
        <v>1.0941048870741357</v>
      </c>
      <c r="AO111" s="104">
        <v>7.6587342095189498E-2</v>
      </c>
      <c r="AP111" s="104">
        <v>7.6587342095189498E-2</v>
      </c>
      <c r="AQ111" s="100">
        <v>1</v>
      </c>
      <c r="AR111" s="100">
        <v>1</v>
      </c>
      <c r="AS111" s="103">
        <v>0</v>
      </c>
      <c r="AT111" s="103">
        <v>0</v>
      </c>
      <c r="AU111" s="103">
        <v>1.4750000000000001</v>
      </c>
      <c r="AV111" s="103">
        <v>1.4750000000000001</v>
      </c>
      <c r="AW111" s="103">
        <v>0</v>
      </c>
      <c r="AX111" s="103">
        <v>0</v>
      </c>
      <c r="AY111" s="103">
        <v>0</v>
      </c>
      <c r="AZ111" s="103">
        <v>0</v>
      </c>
      <c r="BA111" s="103">
        <v>0</v>
      </c>
      <c r="BB111" s="103">
        <v>0</v>
      </c>
      <c r="BC111" s="103">
        <v>0</v>
      </c>
      <c r="BD111" s="103">
        <v>0</v>
      </c>
      <c r="BE111" s="103">
        <v>17.149000000000001</v>
      </c>
      <c r="BF111" s="103">
        <v>17.149000000000001</v>
      </c>
      <c r="BG111" s="100">
        <v>1</v>
      </c>
      <c r="BH111"/>
      <c r="BI111"/>
      <c r="BJ111"/>
      <c r="BK111"/>
      <c r="BL111"/>
      <c r="BM111"/>
      <c r="BN111"/>
      <c r="BO111"/>
      <c r="BP111"/>
      <c r="BQ111"/>
    </row>
    <row r="112" spans="1:69">
      <c r="A112" s="100">
        <v>10370</v>
      </c>
      <c r="B112" s="100" t="s">
        <v>116</v>
      </c>
      <c r="C112" s="100">
        <v>1</v>
      </c>
      <c r="D112" s="100">
        <v>0</v>
      </c>
      <c r="E112" s="103">
        <v>408.39299999999997</v>
      </c>
      <c r="F112" s="103">
        <v>540.57100000000003</v>
      </c>
      <c r="G112" s="103">
        <v>541.72199999999998</v>
      </c>
      <c r="H112" s="103">
        <v>0</v>
      </c>
      <c r="I112" s="103">
        <v>0</v>
      </c>
      <c r="J112" s="103">
        <v>178.42599999999999</v>
      </c>
      <c r="K112" s="103">
        <v>178.42599999999999</v>
      </c>
      <c r="L112" s="102">
        <v>1563011.7599999998</v>
      </c>
      <c r="M112" s="102">
        <v>1563011.7599999998</v>
      </c>
      <c r="N112" s="103">
        <v>362.14499999999998</v>
      </c>
      <c r="O112" s="103">
        <v>363.29599999999999</v>
      </c>
      <c r="P112" s="102">
        <v>3172390.1999999997</v>
      </c>
      <c r="Q112" s="102">
        <v>3182472.96</v>
      </c>
      <c r="R112" s="100">
        <v>383.84100000000001</v>
      </c>
      <c r="S112" s="102">
        <v>3362447.16</v>
      </c>
      <c r="T112" s="102">
        <v>3362447.16</v>
      </c>
      <c r="U112" s="103">
        <v>0</v>
      </c>
      <c r="V112" s="103">
        <v>0</v>
      </c>
      <c r="W112" s="103">
        <v>0</v>
      </c>
      <c r="X112" s="103">
        <v>0</v>
      </c>
      <c r="Y112" s="103">
        <v>0</v>
      </c>
      <c r="Z112" s="103">
        <v>0</v>
      </c>
      <c r="AA112" s="100">
        <v>0</v>
      </c>
      <c r="AB112" s="100">
        <v>0</v>
      </c>
      <c r="AC112" s="103">
        <v>0</v>
      </c>
      <c r="AD112" s="103">
        <v>0</v>
      </c>
      <c r="AE112" s="104">
        <v>5.3759700000000001E-2</v>
      </c>
      <c r="AF112" s="104">
        <v>5.3930600000000002E-2</v>
      </c>
      <c r="AG112" s="104">
        <v>2.9611100000000001E-2</v>
      </c>
      <c r="AH112" s="104">
        <v>2.4148599999999999E-2</v>
      </c>
      <c r="AI112" s="104">
        <v>2.4319500000000001E-2</v>
      </c>
      <c r="AJ112" s="104">
        <v>2.423405E-2</v>
      </c>
      <c r="AK112" s="104">
        <v>1</v>
      </c>
      <c r="AL112" s="104">
        <v>1</v>
      </c>
      <c r="AM112" s="104">
        <v>1</v>
      </c>
      <c r="AN112" s="104">
        <v>1</v>
      </c>
      <c r="AO112" s="104">
        <v>0</v>
      </c>
      <c r="AP112" s="104">
        <v>0</v>
      </c>
      <c r="AQ112" s="100">
        <v>4</v>
      </c>
      <c r="AR112" s="100">
        <v>4</v>
      </c>
      <c r="AS112" s="103">
        <v>0</v>
      </c>
      <c r="AT112" s="103">
        <v>0</v>
      </c>
      <c r="AU112" s="103">
        <v>0</v>
      </c>
      <c r="AV112" s="103">
        <v>0</v>
      </c>
      <c r="AW112" s="103">
        <v>30.448</v>
      </c>
      <c r="AX112" s="103">
        <v>29.189</v>
      </c>
      <c r="AY112" s="103">
        <v>-30.448</v>
      </c>
      <c r="AZ112" s="103">
        <v>-29.189</v>
      </c>
      <c r="BA112" s="103">
        <v>0</v>
      </c>
      <c r="BB112" s="103">
        <v>0</v>
      </c>
      <c r="BC112" s="103">
        <v>0</v>
      </c>
      <c r="BD112" s="103">
        <v>0</v>
      </c>
      <c r="BE112" s="103">
        <v>362.14499999999998</v>
      </c>
      <c r="BF112" s="103">
        <v>363.29599999999999</v>
      </c>
      <c r="BG112" s="100">
        <v>0</v>
      </c>
      <c r="BH112"/>
      <c r="BI112"/>
      <c r="BJ112"/>
      <c r="BK112"/>
      <c r="BL112"/>
      <c r="BM112"/>
      <c r="BN112"/>
      <c r="BO112"/>
      <c r="BP112"/>
      <c r="BQ112"/>
    </row>
    <row r="113" spans="1:69">
      <c r="A113" s="100">
        <v>10371</v>
      </c>
      <c r="B113" s="100" t="s">
        <v>117</v>
      </c>
      <c r="C113" s="100">
        <v>1</v>
      </c>
      <c r="D113" s="100">
        <v>0</v>
      </c>
      <c r="E113" s="103">
        <v>11.196999999999999</v>
      </c>
      <c r="F113" s="103">
        <v>11.246</v>
      </c>
      <c r="G113" s="103">
        <v>11.272</v>
      </c>
      <c r="H113" s="103">
        <v>0</v>
      </c>
      <c r="I113" s="103">
        <v>0</v>
      </c>
      <c r="J113" s="103">
        <v>0</v>
      </c>
      <c r="K113" s="103">
        <v>0</v>
      </c>
      <c r="L113" s="102">
        <v>0</v>
      </c>
      <c r="M113" s="102">
        <v>0</v>
      </c>
      <c r="N113" s="103">
        <v>11.212</v>
      </c>
      <c r="O113" s="103">
        <v>11.238</v>
      </c>
      <c r="P113" s="102">
        <v>98217.12</v>
      </c>
      <c r="Q113" s="102">
        <v>98444.87999999999</v>
      </c>
      <c r="R113" s="100">
        <v>10.523999999999999</v>
      </c>
      <c r="S113" s="102">
        <v>92190.239999999991</v>
      </c>
      <c r="T113" s="102">
        <v>92190.239999999991</v>
      </c>
      <c r="U113" s="103">
        <v>0.68799999999999994</v>
      </c>
      <c r="V113" s="103">
        <v>0.71399999999999997</v>
      </c>
      <c r="W113" s="103">
        <v>0</v>
      </c>
      <c r="X113" s="103">
        <v>0</v>
      </c>
      <c r="Y113" s="103">
        <v>0.68799999999999994</v>
      </c>
      <c r="Z113" s="103">
        <v>0.71399999999999997</v>
      </c>
      <c r="AA113" s="100">
        <v>0</v>
      </c>
      <c r="AB113" s="100">
        <v>0</v>
      </c>
      <c r="AC113" s="103">
        <v>0</v>
      </c>
      <c r="AD113" s="103">
        <v>0</v>
      </c>
      <c r="AE113" s="104">
        <v>1.5623E-3</v>
      </c>
      <c r="AF113" s="104">
        <v>1.5623E-3</v>
      </c>
      <c r="AG113" s="104">
        <v>0</v>
      </c>
      <c r="AH113" s="104">
        <v>1.5623E-3</v>
      </c>
      <c r="AI113" s="104">
        <v>1.5623E-3</v>
      </c>
      <c r="AJ113" s="104">
        <v>1.5623E-3</v>
      </c>
      <c r="AK113" s="104">
        <v>0.93865623133250087</v>
      </c>
      <c r="AL113" s="104">
        <v>0.93648457605445812</v>
      </c>
      <c r="AM113" s="104">
        <v>1.0653743823641202</v>
      </c>
      <c r="AN113" s="104">
        <v>1.0678449258836944</v>
      </c>
      <c r="AO113" s="104">
        <v>0</v>
      </c>
      <c r="AP113" s="104">
        <v>0</v>
      </c>
      <c r="AQ113" s="100">
        <v>3</v>
      </c>
      <c r="AR113" s="100">
        <v>3</v>
      </c>
      <c r="AS113" s="103">
        <v>10</v>
      </c>
      <c r="AT113" s="103">
        <v>10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v>0</v>
      </c>
      <c r="BA113" s="103">
        <v>0</v>
      </c>
      <c r="BB113" s="103">
        <v>0</v>
      </c>
      <c r="BC113" s="103">
        <v>0</v>
      </c>
      <c r="BD113" s="103">
        <v>0</v>
      </c>
      <c r="BE113" s="103">
        <v>11.212</v>
      </c>
      <c r="BF113" s="103">
        <v>11.238</v>
      </c>
      <c r="BG113" s="100">
        <v>1</v>
      </c>
      <c r="BH113"/>
      <c r="BI113"/>
      <c r="BJ113"/>
      <c r="BK113"/>
      <c r="BL113"/>
      <c r="BM113"/>
      <c r="BN113"/>
      <c r="BO113"/>
      <c r="BP113"/>
      <c r="BQ113"/>
    </row>
    <row r="114" spans="1:69">
      <c r="A114" s="100">
        <v>10376</v>
      </c>
      <c r="B114" s="100" t="s">
        <v>118</v>
      </c>
      <c r="C114" s="100">
        <v>1</v>
      </c>
      <c r="D114" s="100">
        <v>0</v>
      </c>
      <c r="E114" s="103">
        <v>56.865000000000002</v>
      </c>
      <c r="F114" s="103">
        <v>55.802999999999997</v>
      </c>
      <c r="G114" s="103">
        <v>55.939</v>
      </c>
      <c r="H114" s="103">
        <v>0</v>
      </c>
      <c r="I114" s="103">
        <v>0</v>
      </c>
      <c r="J114" s="103">
        <v>0.69699999999999995</v>
      </c>
      <c r="K114" s="103">
        <v>0.69699999999999995</v>
      </c>
      <c r="L114" s="102">
        <v>6105.7199999999993</v>
      </c>
      <c r="M114" s="102">
        <v>6105.7199999999993</v>
      </c>
      <c r="N114" s="103">
        <v>55.564999999999998</v>
      </c>
      <c r="O114" s="103">
        <v>55.704999999999998</v>
      </c>
      <c r="P114" s="102">
        <v>486749.39999999997</v>
      </c>
      <c r="Q114" s="102">
        <v>487975.8</v>
      </c>
      <c r="R114" s="100">
        <v>53.445999999999998</v>
      </c>
      <c r="S114" s="102">
        <v>468186.95999999996</v>
      </c>
      <c r="T114" s="102">
        <v>468186.95999999996</v>
      </c>
      <c r="U114" s="103">
        <v>2.1190000000000002</v>
      </c>
      <c r="V114" s="103">
        <v>2.2589999999999999</v>
      </c>
      <c r="W114" s="103">
        <v>2.1190000000000002</v>
      </c>
      <c r="X114" s="103">
        <v>2.2589999999999999</v>
      </c>
      <c r="Y114" s="103">
        <v>0</v>
      </c>
      <c r="Z114" s="103">
        <v>0</v>
      </c>
      <c r="AA114" s="100">
        <v>0</v>
      </c>
      <c r="AB114" s="100">
        <v>0</v>
      </c>
      <c r="AC114" s="103">
        <v>2.1190000000000002</v>
      </c>
      <c r="AD114" s="103">
        <v>2.2589999999999999</v>
      </c>
      <c r="AE114" s="104">
        <v>7.9340000000000001E-3</v>
      </c>
      <c r="AF114" s="104">
        <v>7.9340000000000001E-3</v>
      </c>
      <c r="AG114" s="104">
        <v>0</v>
      </c>
      <c r="AH114" s="104">
        <v>7.9340000000000001E-3</v>
      </c>
      <c r="AI114" s="104">
        <v>7.9340000000000001E-3</v>
      </c>
      <c r="AJ114" s="104">
        <v>7.9340000000000001E-3</v>
      </c>
      <c r="AK114" s="104">
        <v>0.96234176364153434</v>
      </c>
      <c r="AL114" s="104">
        <v>0.95995305673557685</v>
      </c>
      <c r="AM114" s="104">
        <v>1.0396474946675149</v>
      </c>
      <c r="AN114" s="104">
        <v>1.0422669610447928</v>
      </c>
      <c r="AO114" s="104">
        <v>0</v>
      </c>
      <c r="AP114" s="104">
        <v>0</v>
      </c>
      <c r="AQ114" s="100">
        <v>1</v>
      </c>
      <c r="AR114" s="100">
        <v>1</v>
      </c>
      <c r="AS114" s="103">
        <v>0</v>
      </c>
      <c r="AT114" s="103">
        <v>0</v>
      </c>
      <c r="AU114" s="103">
        <v>2.1190000000000002</v>
      </c>
      <c r="AV114" s="103">
        <v>2.2589999999999999</v>
      </c>
      <c r="AW114" s="103">
        <v>0</v>
      </c>
      <c r="AX114" s="103">
        <v>0</v>
      </c>
      <c r="AY114" s="103">
        <v>0</v>
      </c>
      <c r="AZ114" s="103">
        <v>0</v>
      </c>
      <c r="BA114" s="103">
        <v>0</v>
      </c>
      <c r="BB114" s="103">
        <v>0</v>
      </c>
      <c r="BC114" s="103">
        <v>0</v>
      </c>
      <c r="BD114" s="103">
        <v>0</v>
      </c>
      <c r="BE114" s="103">
        <v>55.564999999999998</v>
      </c>
      <c r="BF114" s="103">
        <v>55.704999999999998</v>
      </c>
      <c r="BG114" s="100">
        <v>1</v>
      </c>
      <c r="BH114"/>
      <c r="BI114"/>
      <c r="BJ114"/>
      <c r="BK114"/>
      <c r="BL114"/>
      <c r="BM114"/>
      <c r="BN114"/>
      <c r="BO114"/>
      <c r="BP114"/>
      <c r="BQ114"/>
    </row>
    <row r="115" spans="1:69">
      <c r="A115" s="100">
        <v>10378</v>
      </c>
      <c r="B115" s="100" t="s">
        <v>119</v>
      </c>
      <c r="C115" s="100">
        <v>1</v>
      </c>
      <c r="D115" s="100">
        <v>0</v>
      </c>
      <c r="E115" s="103">
        <v>2.0510000000000002</v>
      </c>
      <c r="F115" s="103">
        <v>2.0209999999999999</v>
      </c>
      <c r="G115" s="103">
        <v>2.0270000000000001</v>
      </c>
      <c r="H115" s="103">
        <v>0</v>
      </c>
      <c r="I115" s="103">
        <v>0</v>
      </c>
      <c r="J115" s="103">
        <v>0</v>
      </c>
      <c r="K115" s="103">
        <v>0</v>
      </c>
      <c r="L115" s="102">
        <v>0</v>
      </c>
      <c r="M115" s="102">
        <v>0</v>
      </c>
      <c r="N115" s="103">
        <v>1.879</v>
      </c>
      <c r="O115" s="103">
        <v>1.883</v>
      </c>
      <c r="P115" s="102">
        <v>16460.04</v>
      </c>
      <c r="Q115" s="102">
        <v>16495.080000000002</v>
      </c>
      <c r="R115" s="100">
        <v>1.9279999999999999</v>
      </c>
      <c r="S115" s="102">
        <v>16889.28</v>
      </c>
      <c r="T115" s="102">
        <v>16889.28</v>
      </c>
      <c r="U115" s="103">
        <v>0</v>
      </c>
      <c r="V115" s="103">
        <v>0</v>
      </c>
      <c r="W115" s="103">
        <v>0</v>
      </c>
      <c r="X115" s="103">
        <v>0</v>
      </c>
      <c r="Y115" s="103">
        <v>0</v>
      </c>
      <c r="Z115" s="103">
        <v>0</v>
      </c>
      <c r="AA115" s="100">
        <v>0</v>
      </c>
      <c r="AB115" s="100">
        <v>0</v>
      </c>
      <c r="AC115" s="103">
        <v>0</v>
      </c>
      <c r="AD115" s="103">
        <v>0</v>
      </c>
      <c r="AE115" s="104">
        <v>2.789E-4</v>
      </c>
      <c r="AF115" s="104">
        <v>2.7950000000000002E-4</v>
      </c>
      <c r="AG115" s="104">
        <v>0</v>
      </c>
      <c r="AH115" s="104">
        <v>2.789E-4</v>
      </c>
      <c r="AI115" s="104">
        <v>2.7950000000000002E-4</v>
      </c>
      <c r="AJ115" s="104">
        <v>2.7920000000000001E-4</v>
      </c>
      <c r="AK115" s="104">
        <v>0.99987787392229921</v>
      </c>
      <c r="AL115" s="104">
        <v>0.999900340148699</v>
      </c>
      <c r="AM115" s="104">
        <v>1</v>
      </c>
      <c r="AN115" s="104">
        <v>1</v>
      </c>
      <c r="AO115" s="104">
        <v>0</v>
      </c>
      <c r="AP115" s="104">
        <v>0</v>
      </c>
      <c r="AQ115" s="100">
        <v>1</v>
      </c>
      <c r="AR115" s="100">
        <v>1</v>
      </c>
      <c r="AS115" s="103">
        <v>0</v>
      </c>
      <c r="AT115" s="103"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v>0</v>
      </c>
      <c r="BA115" s="103">
        <v>0</v>
      </c>
      <c r="BB115" s="103">
        <v>0</v>
      </c>
      <c r="BC115" s="103">
        <v>0</v>
      </c>
      <c r="BD115" s="103">
        <v>0</v>
      </c>
      <c r="BE115" s="103">
        <v>1.879</v>
      </c>
      <c r="BF115" s="103">
        <v>1.883</v>
      </c>
      <c r="BG115" s="100">
        <v>0</v>
      </c>
      <c r="BH115"/>
      <c r="BI115"/>
      <c r="BJ115"/>
      <c r="BK115"/>
      <c r="BL115"/>
      <c r="BM115"/>
      <c r="BN115"/>
      <c r="BO115"/>
      <c r="BP115"/>
      <c r="BQ115"/>
    </row>
    <row r="116" spans="1:69">
      <c r="A116" s="100">
        <v>10379</v>
      </c>
      <c r="B116" s="100" t="s">
        <v>120</v>
      </c>
      <c r="C116" s="100">
        <v>1</v>
      </c>
      <c r="D116" s="100">
        <v>0</v>
      </c>
      <c r="E116" s="103">
        <v>4.88</v>
      </c>
      <c r="F116" s="103">
        <v>4.4829999999999997</v>
      </c>
      <c r="G116" s="103">
        <v>4.5049999999999999</v>
      </c>
      <c r="H116" s="103">
        <v>0</v>
      </c>
      <c r="I116" s="103">
        <v>0</v>
      </c>
      <c r="J116" s="103">
        <v>0</v>
      </c>
      <c r="K116" s="103">
        <v>0</v>
      </c>
      <c r="L116" s="102">
        <v>0</v>
      </c>
      <c r="M116" s="102">
        <v>0</v>
      </c>
      <c r="N116" s="103">
        <v>4.5469999999999997</v>
      </c>
      <c r="O116" s="103">
        <v>4.569</v>
      </c>
      <c r="P116" s="102">
        <v>39831.719999999994</v>
      </c>
      <c r="Q116" s="102">
        <v>40024.44</v>
      </c>
      <c r="R116" s="100">
        <v>4.5869999999999997</v>
      </c>
      <c r="S116" s="102">
        <v>40182.119999999995</v>
      </c>
      <c r="T116" s="102">
        <v>40182.119999999995</v>
      </c>
      <c r="U116" s="103">
        <v>0</v>
      </c>
      <c r="V116" s="103">
        <v>0</v>
      </c>
      <c r="W116" s="103">
        <v>0</v>
      </c>
      <c r="X116" s="103">
        <v>0</v>
      </c>
      <c r="Y116" s="103">
        <v>0</v>
      </c>
      <c r="Z116" s="103">
        <v>0</v>
      </c>
      <c r="AA116" s="100">
        <v>0</v>
      </c>
      <c r="AB116" s="100">
        <v>0</v>
      </c>
      <c r="AC116" s="103">
        <v>0</v>
      </c>
      <c r="AD116" s="103">
        <v>0</v>
      </c>
      <c r="AE116" s="104">
        <v>6.7500000000000004E-4</v>
      </c>
      <c r="AF116" s="104">
        <v>6.7829999999999995E-4</v>
      </c>
      <c r="AG116" s="104">
        <v>0</v>
      </c>
      <c r="AH116" s="104">
        <v>6.7500000000000004E-4</v>
      </c>
      <c r="AI116" s="104">
        <v>6.7829999999999995E-4</v>
      </c>
      <c r="AJ116" s="104">
        <v>6.7664999999999999E-4</v>
      </c>
      <c r="AK116" s="104">
        <v>1</v>
      </c>
      <c r="AL116" s="104">
        <v>1</v>
      </c>
      <c r="AM116" s="104">
        <v>1</v>
      </c>
      <c r="AN116" s="104">
        <v>1</v>
      </c>
      <c r="AO116" s="104">
        <v>0</v>
      </c>
      <c r="AP116" s="104">
        <v>0</v>
      </c>
      <c r="AQ116" s="100">
        <v>1</v>
      </c>
      <c r="AR116" s="100">
        <v>1</v>
      </c>
      <c r="AS116" s="103">
        <v>0</v>
      </c>
      <c r="AT116" s="103"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v>0</v>
      </c>
      <c r="BA116" s="103">
        <v>0</v>
      </c>
      <c r="BB116" s="103">
        <v>0</v>
      </c>
      <c r="BC116" s="103">
        <v>0</v>
      </c>
      <c r="BD116" s="103">
        <v>0</v>
      </c>
      <c r="BE116" s="103">
        <v>4.5469999999999997</v>
      </c>
      <c r="BF116" s="103">
        <v>4.569</v>
      </c>
      <c r="BG116" s="100">
        <v>0</v>
      </c>
      <c r="BH116"/>
      <c r="BI116"/>
      <c r="BJ116"/>
      <c r="BK116"/>
      <c r="BL116"/>
      <c r="BM116"/>
      <c r="BN116"/>
      <c r="BO116"/>
      <c r="BP116"/>
      <c r="BQ116"/>
    </row>
    <row r="117" spans="1:69">
      <c r="A117" s="100">
        <v>10388</v>
      </c>
      <c r="B117" s="100" t="s">
        <v>121</v>
      </c>
      <c r="C117" s="100">
        <v>1</v>
      </c>
      <c r="D117" s="100">
        <v>0</v>
      </c>
      <c r="E117" s="103">
        <v>114.91200000000001</v>
      </c>
      <c r="F117" s="103">
        <v>578.38099999999997</v>
      </c>
      <c r="G117" s="103">
        <v>702.48800000000006</v>
      </c>
      <c r="H117" s="103">
        <v>357.04</v>
      </c>
      <c r="I117" s="103">
        <v>480.17399999999998</v>
      </c>
      <c r="J117" s="103">
        <v>0.23200000000000001</v>
      </c>
      <c r="K117" s="103">
        <v>0.23200000000000001</v>
      </c>
      <c r="L117" s="102">
        <v>2032.3200000000002</v>
      </c>
      <c r="M117" s="102">
        <v>2032.3200000000002</v>
      </c>
      <c r="N117" s="103">
        <v>221.10900000000001</v>
      </c>
      <c r="O117" s="103">
        <v>222.095</v>
      </c>
      <c r="P117" s="102">
        <v>1936914.84</v>
      </c>
      <c r="Q117" s="102">
        <v>1945552.2</v>
      </c>
      <c r="R117" s="100">
        <v>108.004</v>
      </c>
      <c r="S117" s="102">
        <v>946115.04</v>
      </c>
      <c r="T117" s="102">
        <v>946115.04</v>
      </c>
      <c r="U117" s="103">
        <v>113.105</v>
      </c>
      <c r="V117" s="103">
        <v>114.09099999999999</v>
      </c>
      <c r="W117" s="103">
        <v>113.105</v>
      </c>
      <c r="X117" s="103">
        <v>114.09099999999999</v>
      </c>
      <c r="Y117" s="103">
        <v>0</v>
      </c>
      <c r="Z117" s="103">
        <v>0</v>
      </c>
      <c r="AA117" s="100">
        <v>0</v>
      </c>
      <c r="AB117" s="100">
        <v>0</v>
      </c>
      <c r="AC117" s="103">
        <v>113.105</v>
      </c>
      <c r="AD117" s="103">
        <v>114.09099999999999</v>
      </c>
      <c r="AE117" s="104">
        <v>1.6032999999999999E-2</v>
      </c>
      <c r="AF117" s="104">
        <v>1.6032999999999999E-2</v>
      </c>
      <c r="AG117" s="104">
        <v>0</v>
      </c>
      <c r="AH117" s="104">
        <v>1.6032999999999999E-2</v>
      </c>
      <c r="AI117" s="104">
        <v>1.6032999999999999E-2</v>
      </c>
      <c r="AJ117" s="104">
        <v>1.6032999999999999E-2</v>
      </c>
      <c r="AK117" s="104">
        <v>0.48900133209391849</v>
      </c>
      <c r="AL117" s="104">
        <v>0.48683265571433054</v>
      </c>
      <c r="AM117" s="104">
        <v>2.0472297322321396</v>
      </c>
      <c r="AN117" s="104">
        <v>2.0563590237398612</v>
      </c>
      <c r="AO117" s="104">
        <v>0.10236148661160699</v>
      </c>
      <c r="AP117" s="104">
        <v>0.10281795118699306</v>
      </c>
      <c r="AQ117" s="100">
        <v>3</v>
      </c>
      <c r="AR117" s="100">
        <v>3</v>
      </c>
      <c r="AS117" s="103">
        <v>110</v>
      </c>
      <c r="AT117" s="103">
        <v>110</v>
      </c>
      <c r="AU117" s="103">
        <v>3.105</v>
      </c>
      <c r="AV117" s="103">
        <v>4.0910000000000002</v>
      </c>
      <c r="AW117" s="103">
        <v>0</v>
      </c>
      <c r="AX117" s="103">
        <v>0</v>
      </c>
      <c r="AY117" s="103">
        <v>0</v>
      </c>
      <c r="AZ117" s="103">
        <v>0</v>
      </c>
      <c r="BA117" s="103">
        <v>0</v>
      </c>
      <c r="BB117" s="103">
        <v>0</v>
      </c>
      <c r="BC117" s="103">
        <v>0</v>
      </c>
      <c r="BD117" s="103">
        <v>0</v>
      </c>
      <c r="BE117" s="103">
        <v>111.10899999999999</v>
      </c>
      <c r="BF117" s="103">
        <v>112.095</v>
      </c>
      <c r="BG117" s="100">
        <v>0</v>
      </c>
      <c r="BH117"/>
      <c r="BI117"/>
      <c r="BJ117"/>
      <c r="BK117"/>
      <c r="BL117"/>
      <c r="BM117"/>
      <c r="BN117"/>
      <c r="BO117"/>
      <c r="BP117"/>
      <c r="BQ117"/>
    </row>
    <row r="118" spans="1:69">
      <c r="A118" s="100">
        <v>10391</v>
      </c>
      <c r="B118" s="100" t="s">
        <v>122</v>
      </c>
      <c r="C118" s="100">
        <v>1</v>
      </c>
      <c r="D118" s="100">
        <v>0</v>
      </c>
      <c r="E118" s="103">
        <v>30.423999999999999</v>
      </c>
      <c r="F118" s="103">
        <v>32.520000000000003</v>
      </c>
      <c r="G118" s="103">
        <v>33.017000000000003</v>
      </c>
      <c r="H118" s="103">
        <v>0</v>
      </c>
      <c r="I118" s="103">
        <v>0</v>
      </c>
      <c r="J118" s="103">
        <v>0</v>
      </c>
      <c r="K118" s="103">
        <v>0</v>
      </c>
      <c r="L118" s="102">
        <v>0</v>
      </c>
      <c r="M118" s="102">
        <v>0</v>
      </c>
      <c r="N118" s="103">
        <v>32.520000000000003</v>
      </c>
      <c r="O118" s="103">
        <v>33.017000000000003</v>
      </c>
      <c r="P118" s="102">
        <v>284875.2</v>
      </c>
      <c r="Q118" s="102">
        <v>289228.92000000004</v>
      </c>
      <c r="R118" s="100">
        <v>28.594999999999999</v>
      </c>
      <c r="S118" s="102">
        <v>250492.19999999998</v>
      </c>
      <c r="T118" s="102">
        <v>250492.19999999998</v>
      </c>
      <c r="U118" s="103">
        <v>3.9249999999999998</v>
      </c>
      <c r="V118" s="103">
        <v>4.4219999999999997</v>
      </c>
      <c r="W118" s="103">
        <v>3.9249999999999998</v>
      </c>
      <c r="X118" s="103">
        <v>4.4219999999999997</v>
      </c>
      <c r="Y118" s="103">
        <v>0</v>
      </c>
      <c r="Z118" s="103">
        <v>0</v>
      </c>
      <c r="AA118" s="100">
        <v>0</v>
      </c>
      <c r="AB118" s="100">
        <v>0</v>
      </c>
      <c r="AC118" s="103">
        <v>3.9249999999999998</v>
      </c>
      <c r="AD118" s="103">
        <v>4.4219999999999997</v>
      </c>
      <c r="AE118" s="104">
        <v>4.2449000000000002E-3</v>
      </c>
      <c r="AF118" s="104">
        <v>4.2449000000000002E-3</v>
      </c>
      <c r="AG118" s="104">
        <v>0</v>
      </c>
      <c r="AH118" s="104">
        <v>4.2449000000000002E-3</v>
      </c>
      <c r="AI118" s="104">
        <v>4.2449000000000002E-3</v>
      </c>
      <c r="AJ118" s="104">
        <v>4.2449000000000002E-3</v>
      </c>
      <c r="AK118" s="104">
        <v>0.87931028041512915</v>
      </c>
      <c r="AL118" s="104">
        <v>0.86607415328770032</v>
      </c>
      <c r="AM118" s="104">
        <v>1.137261759048785</v>
      </c>
      <c r="AN118" s="104">
        <v>1.1546424200034973</v>
      </c>
      <c r="AO118" s="104">
        <v>3.411785277146355E-2</v>
      </c>
      <c r="AP118" s="104">
        <v>3.4639272600104923E-2</v>
      </c>
      <c r="AQ118" s="100">
        <v>3</v>
      </c>
      <c r="AR118" s="100">
        <v>3</v>
      </c>
      <c r="AS118" s="103">
        <v>3</v>
      </c>
      <c r="AT118" s="103">
        <v>3</v>
      </c>
      <c r="AU118" s="103">
        <v>0.92500000000000004</v>
      </c>
      <c r="AV118" s="103">
        <v>1.4219999999999999</v>
      </c>
      <c r="AW118" s="103">
        <v>0</v>
      </c>
      <c r="AX118" s="103">
        <v>0</v>
      </c>
      <c r="AY118" s="103">
        <v>0</v>
      </c>
      <c r="AZ118" s="103">
        <v>0</v>
      </c>
      <c r="BA118" s="103">
        <v>0</v>
      </c>
      <c r="BB118" s="103">
        <v>0</v>
      </c>
      <c r="BC118" s="103">
        <v>0</v>
      </c>
      <c r="BD118" s="103">
        <v>0</v>
      </c>
      <c r="BE118" s="103">
        <v>29.52</v>
      </c>
      <c r="BF118" s="103">
        <v>30.016999999999999</v>
      </c>
      <c r="BG118" s="100">
        <v>1</v>
      </c>
      <c r="BH118"/>
      <c r="BI118"/>
      <c r="BJ118"/>
      <c r="BK118"/>
      <c r="BL118"/>
      <c r="BM118"/>
      <c r="BN118"/>
      <c r="BO118"/>
      <c r="BP118"/>
      <c r="BQ118"/>
    </row>
    <row r="119" spans="1:69">
      <c r="A119" s="100">
        <v>10406</v>
      </c>
      <c r="B119" s="100" t="s">
        <v>123</v>
      </c>
      <c r="C119" s="100">
        <v>1</v>
      </c>
      <c r="D119" s="100">
        <v>0</v>
      </c>
      <c r="E119" s="103">
        <v>0.46500000000000002</v>
      </c>
      <c r="F119" s="103">
        <v>0.70299999999999996</v>
      </c>
      <c r="G119" s="103">
        <v>0.71799999999999997</v>
      </c>
      <c r="H119" s="103">
        <v>0</v>
      </c>
      <c r="I119" s="103">
        <v>0</v>
      </c>
      <c r="J119" s="103">
        <v>0</v>
      </c>
      <c r="K119" s="103">
        <v>0</v>
      </c>
      <c r="L119" s="102">
        <v>0</v>
      </c>
      <c r="M119" s="102">
        <v>0</v>
      </c>
      <c r="N119" s="103">
        <v>0.64800000000000002</v>
      </c>
      <c r="O119" s="103">
        <v>0.64800000000000002</v>
      </c>
      <c r="P119" s="102">
        <v>5676.4800000000005</v>
      </c>
      <c r="Q119" s="102">
        <v>5676.4800000000005</v>
      </c>
      <c r="R119" s="100">
        <v>0.437</v>
      </c>
      <c r="S119" s="102">
        <v>3828.12</v>
      </c>
      <c r="T119" s="102">
        <v>3828.12</v>
      </c>
      <c r="U119" s="103">
        <v>0.21099999999999999</v>
      </c>
      <c r="V119" s="103">
        <v>0.21099999999999999</v>
      </c>
      <c r="W119" s="103">
        <v>0</v>
      </c>
      <c r="X119" s="103">
        <v>0</v>
      </c>
      <c r="Y119" s="103">
        <v>0.21099999999999999</v>
      </c>
      <c r="Z119" s="103">
        <v>0.21099999999999999</v>
      </c>
      <c r="AA119" s="100">
        <v>0</v>
      </c>
      <c r="AB119" s="100">
        <v>0</v>
      </c>
      <c r="AC119" s="103">
        <v>0</v>
      </c>
      <c r="AD119" s="103">
        <v>0</v>
      </c>
      <c r="AE119" s="104">
        <v>6.4900000000000005E-5</v>
      </c>
      <c r="AF119" s="104">
        <v>6.4900000000000005E-5</v>
      </c>
      <c r="AG119" s="104">
        <v>0</v>
      </c>
      <c r="AH119" s="104">
        <v>6.4900000000000005E-5</v>
      </c>
      <c r="AI119" s="104">
        <v>6.4900000000000005E-5</v>
      </c>
      <c r="AJ119" s="104">
        <v>6.4900000000000005E-5</v>
      </c>
      <c r="AK119" s="104">
        <v>0.6746754615740741</v>
      </c>
      <c r="AL119" s="104">
        <v>0.6746754615740741</v>
      </c>
      <c r="AM119" s="104">
        <v>1.4828375286041191</v>
      </c>
      <c r="AN119" s="104">
        <v>1.4828375286041191</v>
      </c>
      <c r="AO119" s="104">
        <v>0</v>
      </c>
      <c r="AP119" s="104">
        <v>0</v>
      </c>
      <c r="AQ119" s="100">
        <v>1</v>
      </c>
      <c r="AR119" s="100">
        <v>1</v>
      </c>
      <c r="AS119" s="103">
        <v>0</v>
      </c>
      <c r="AT119" s="103">
        <v>0</v>
      </c>
      <c r="AU119" s="103">
        <v>0</v>
      </c>
      <c r="AV119" s="103">
        <v>0</v>
      </c>
      <c r="AW119" s="103">
        <v>0</v>
      </c>
      <c r="AX119" s="103">
        <v>0</v>
      </c>
      <c r="AY119" s="103">
        <v>0</v>
      </c>
      <c r="AZ119" s="103">
        <v>0</v>
      </c>
      <c r="BA119" s="103">
        <v>0</v>
      </c>
      <c r="BB119" s="103">
        <v>0</v>
      </c>
      <c r="BC119" s="103">
        <v>0</v>
      </c>
      <c r="BD119" s="103">
        <v>0</v>
      </c>
      <c r="BE119" s="103">
        <v>0.64800000000000002</v>
      </c>
      <c r="BF119" s="103">
        <v>0.64800000000000002</v>
      </c>
      <c r="BG119" s="100">
        <v>0</v>
      </c>
      <c r="BH119"/>
      <c r="BI119"/>
      <c r="BJ119"/>
      <c r="BK119"/>
      <c r="BL119"/>
      <c r="BM119"/>
      <c r="BN119"/>
      <c r="BO119"/>
      <c r="BP119"/>
      <c r="BQ119"/>
    </row>
    <row r="120" spans="1:69">
      <c r="A120" s="100">
        <v>10408</v>
      </c>
      <c r="B120" s="100" t="s">
        <v>124</v>
      </c>
      <c r="C120" s="100">
        <v>1</v>
      </c>
      <c r="D120" s="100">
        <v>0</v>
      </c>
      <c r="E120" s="103">
        <v>1.55</v>
      </c>
      <c r="F120" s="103">
        <v>1.64</v>
      </c>
      <c r="G120" s="103">
        <v>1.64</v>
      </c>
      <c r="H120" s="103">
        <v>0</v>
      </c>
      <c r="I120" s="103">
        <v>0</v>
      </c>
      <c r="J120" s="103">
        <v>0</v>
      </c>
      <c r="K120" s="103">
        <v>0</v>
      </c>
      <c r="L120" s="102">
        <v>0</v>
      </c>
      <c r="M120" s="102">
        <v>0</v>
      </c>
      <c r="N120" s="103">
        <v>1.623</v>
      </c>
      <c r="O120" s="103">
        <v>1.623</v>
      </c>
      <c r="P120" s="102">
        <v>14217.48</v>
      </c>
      <c r="Q120" s="102">
        <v>14217.48</v>
      </c>
      <c r="R120" s="100">
        <v>1.4570000000000001</v>
      </c>
      <c r="S120" s="102">
        <v>12763.320000000002</v>
      </c>
      <c r="T120" s="102">
        <v>12763.320000000002</v>
      </c>
      <c r="U120" s="103">
        <v>0.16600000000000001</v>
      </c>
      <c r="V120" s="103">
        <v>0.16600000000000001</v>
      </c>
      <c r="W120" s="103">
        <v>0</v>
      </c>
      <c r="X120" s="103">
        <v>0</v>
      </c>
      <c r="Y120" s="103">
        <v>0.16600000000000001</v>
      </c>
      <c r="Z120" s="103">
        <v>0.16600000000000001</v>
      </c>
      <c r="AA120" s="100">
        <v>0</v>
      </c>
      <c r="AB120" s="100">
        <v>0</v>
      </c>
      <c r="AC120" s="103">
        <v>0</v>
      </c>
      <c r="AD120" s="103">
        <v>0</v>
      </c>
      <c r="AE120" s="104">
        <v>2.163E-4</v>
      </c>
      <c r="AF120" s="104">
        <v>2.163E-4</v>
      </c>
      <c r="AG120" s="104">
        <v>0</v>
      </c>
      <c r="AH120" s="104">
        <v>2.163E-4</v>
      </c>
      <c r="AI120" s="104">
        <v>2.163E-4</v>
      </c>
      <c r="AJ120" s="104">
        <v>2.163E-4</v>
      </c>
      <c r="AK120" s="104">
        <v>0.89776614399260635</v>
      </c>
      <c r="AL120" s="104">
        <v>0.89776614399260635</v>
      </c>
      <c r="AM120" s="104">
        <v>1.1139327385037747</v>
      </c>
      <c r="AN120" s="104">
        <v>1.1139327385037747</v>
      </c>
      <c r="AO120" s="104">
        <v>0</v>
      </c>
      <c r="AP120" s="104">
        <v>0</v>
      </c>
      <c r="AQ120" s="100">
        <v>1</v>
      </c>
      <c r="AR120" s="100">
        <v>1</v>
      </c>
      <c r="AS120" s="103">
        <v>0</v>
      </c>
      <c r="AT120" s="103">
        <v>0</v>
      </c>
      <c r="AU120" s="103">
        <v>0</v>
      </c>
      <c r="AV120" s="103">
        <v>0</v>
      </c>
      <c r="AW120" s="103">
        <v>0</v>
      </c>
      <c r="AX120" s="103">
        <v>0</v>
      </c>
      <c r="AY120" s="103">
        <v>0</v>
      </c>
      <c r="AZ120" s="103">
        <v>0</v>
      </c>
      <c r="BA120" s="103">
        <v>0</v>
      </c>
      <c r="BB120" s="103">
        <v>0</v>
      </c>
      <c r="BC120" s="103">
        <v>0</v>
      </c>
      <c r="BD120" s="103">
        <v>0</v>
      </c>
      <c r="BE120" s="103">
        <v>1.623</v>
      </c>
      <c r="BF120" s="103">
        <v>1.623</v>
      </c>
      <c r="BG120" s="100">
        <v>0</v>
      </c>
      <c r="BH120"/>
      <c r="BI120"/>
      <c r="BJ120"/>
      <c r="BK120"/>
      <c r="BL120"/>
      <c r="BM120"/>
      <c r="BN120"/>
      <c r="BO120"/>
      <c r="BP120"/>
      <c r="BQ120"/>
    </row>
    <row r="121" spans="1:69">
      <c r="A121" s="100">
        <v>10409</v>
      </c>
      <c r="B121" s="100" t="s">
        <v>125</v>
      </c>
      <c r="C121" s="100">
        <v>1</v>
      </c>
      <c r="D121" s="100">
        <v>0</v>
      </c>
      <c r="E121" s="103">
        <v>20.725999999999999</v>
      </c>
      <c r="F121" s="103">
        <v>21.266999999999999</v>
      </c>
      <c r="G121" s="111">
        <v>25.484999999999999</v>
      </c>
      <c r="H121" s="103">
        <v>0</v>
      </c>
      <c r="I121" s="103">
        <v>0</v>
      </c>
      <c r="J121" s="103">
        <v>0</v>
      </c>
      <c r="K121" s="103">
        <v>0</v>
      </c>
      <c r="L121" s="102">
        <v>0</v>
      </c>
      <c r="M121" s="102">
        <v>0</v>
      </c>
      <c r="N121" s="103">
        <v>24.852</v>
      </c>
      <c r="O121" s="103">
        <v>24.852</v>
      </c>
      <c r="P121" s="102">
        <v>217703.52</v>
      </c>
      <c r="Q121" s="102">
        <v>217703.52</v>
      </c>
      <c r="R121" s="100">
        <v>19.48</v>
      </c>
      <c r="S121" s="102">
        <v>170644.80000000002</v>
      </c>
      <c r="T121" s="102">
        <v>170644.80000000002</v>
      </c>
      <c r="U121" s="103">
        <v>5.3719999999999999</v>
      </c>
      <c r="V121" s="103">
        <v>5.3719999999999999</v>
      </c>
      <c r="W121" s="103">
        <v>5.3719999999999999</v>
      </c>
      <c r="X121" s="103">
        <v>5.3719999999999999</v>
      </c>
      <c r="Y121" s="103">
        <v>0</v>
      </c>
      <c r="Z121" s="103">
        <v>0</v>
      </c>
      <c r="AA121" s="100">
        <v>0</v>
      </c>
      <c r="AB121" s="100">
        <v>0</v>
      </c>
      <c r="AC121" s="103">
        <v>5.3719999999999999</v>
      </c>
      <c r="AD121" s="103">
        <v>5.3719999999999999</v>
      </c>
      <c r="AE121" s="104">
        <v>2.8917999999999999E-3</v>
      </c>
      <c r="AF121" s="104">
        <v>2.8917999999999999E-3</v>
      </c>
      <c r="AG121" s="104">
        <v>0</v>
      </c>
      <c r="AH121" s="104">
        <v>2.8917999999999999E-3</v>
      </c>
      <c r="AI121" s="104">
        <v>2.8917999999999999E-3</v>
      </c>
      <c r="AJ121" s="104">
        <v>2.8917999999999999E-3</v>
      </c>
      <c r="AK121" s="104">
        <v>0.78384850137614681</v>
      </c>
      <c r="AL121" s="104">
        <v>0.78384850137614681</v>
      </c>
      <c r="AM121" s="104">
        <v>1.2757700205338809</v>
      </c>
      <c r="AN121" s="104">
        <v>1.2757700205338809</v>
      </c>
      <c r="AO121" s="104">
        <v>0</v>
      </c>
      <c r="AP121" s="104">
        <v>0</v>
      </c>
      <c r="AQ121" s="100">
        <v>1</v>
      </c>
      <c r="AR121" s="100">
        <v>1</v>
      </c>
      <c r="AS121" s="103">
        <v>0</v>
      </c>
      <c r="AT121" s="103">
        <v>0</v>
      </c>
      <c r="AU121" s="103">
        <v>5.3719999999999999</v>
      </c>
      <c r="AV121" s="103">
        <v>5.3719999999999999</v>
      </c>
      <c r="AW121" s="103">
        <v>0</v>
      </c>
      <c r="AX121" s="103">
        <v>0</v>
      </c>
      <c r="AY121" s="103">
        <v>0</v>
      </c>
      <c r="AZ121" s="103">
        <v>0</v>
      </c>
      <c r="BA121" s="103">
        <v>0</v>
      </c>
      <c r="BB121" s="103">
        <v>0</v>
      </c>
      <c r="BC121" s="103">
        <v>0</v>
      </c>
      <c r="BD121" s="103">
        <v>0</v>
      </c>
      <c r="BE121" s="103">
        <v>24.852</v>
      </c>
      <c r="BF121" s="103">
        <v>24.852</v>
      </c>
      <c r="BG121" s="100">
        <v>0</v>
      </c>
      <c r="BH121"/>
      <c r="BI121"/>
      <c r="BJ121"/>
      <c r="BK121"/>
      <c r="BL121"/>
      <c r="BM121"/>
      <c r="BN121"/>
      <c r="BO121"/>
      <c r="BP121"/>
      <c r="BQ121"/>
    </row>
    <row r="122" spans="1:69">
      <c r="A122" s="107">
        <v>10426</v>
      </c>
      <c r="B122" s="107" t="s">
        <v>126</v>
      </c>
      <c r="C122" s="107">
        <v>1</v>
      </c>
      <c r="D122" s="107">
        <v>0</v>
      </c>
      <c r="E122" s="111">
        <v>35.594999999999999</v>
      </c>
      <c r="F122" s="111">
        <v>15.818</v>
      </c>
      <c r="G122" s="111">
        <v>15.818</v>
      </c>
      <c r="H122" s="103">
        <v>0</v>
      </c>
      <c r="I122" s="103">
        <v>0</v>
      </c>
      <c r="J122" s="103">
        <v>0</v>
      </c>
      <c r="K122" s="103">
        <v>0</v>
      </c>
      <c r="L122" s="102">
        <v>0</v>
      </c>
      <c r="M122" s="102">
        <v>0</v>
      </c>
      <c r="N122" s="103">
        <v>16.382000000000001</v>
      </c>
      <c r="O122" s="103">
        <v>16.382000000000001</v>
      </c>
      <c r="P122" s="102">
        <v>143506.32</v>
      </c>
      <c r="Q122" s="102">
        <v>143506.32</v>
      </c>
      <c r="R122" s="100">
        <v>33.454999999999998</v>
      </c>
      <c r="S122" s="102">
        <v>293065.8</v>
      </c>
      <c r="T122" s="102">
        <v>293065.8</v>
      </c>
      <c r="U122" s="103">
        <v>0</v>
      </c>
      <c r="V122" s="103">
        <v>0</v>
      </c>
      <c r="W122" s="103">
        <v>0</v>
      </c>
      <c r="X122" s="103">
        <v>0</v>
      </c>
      <c r="Y122" s="103">
        <v>0</v>
      </c>
      <c r="Z122" s="103">
        <v>0</v>
      </c>
      <c r="AA122" s="100">
        <v>0</v>
      </c>
      <c r="AB122" s="100">
        <v>0</v>
      </c>
      <c r="AC122" s="103">
        <v>0</v>
      </c>
      <c r="AD122" s="103">
        <v>0</v>
      </c>
      <c r="AE122" s="104">
        <v>2.4318999999999999E-3</v>
      </c>
      <c r="AF122" s="104">
        <v>2.4318999999999999E-3</v>
      </c>
      <c r="AG122" s="104">
        <v>0</v>
      </c>
      <c r="AH122" s="104">
        <v>2.4318999999999999E-3</v>
      </c>
      <c r="AI122" s="104">
        <v>2.4318999999999999E-3</v>
      </c>
      <c r="AJ122" s="104">
        <v>2.4318999999999999E-3</v>
      </c>
      <c r="AK122" s="104">
        <v>1</v>
      </c>
      <c r="AL122" s="104">
        <v>1</v>
      </c>
      <c r="AM122" s="104">
        <v>1</v>
      </c>
      <c r="AN122" s="104">
        <v>1</v>
      </c>
      <c r="AO122" s="104">
        <v>0</v>
      </c>
      <c r="AP122" s="104">
        <v>0</v>
      </c>
      <c r="AQ122" s="100">
        <v>1</v>
      </c>
      <c r="AR122" s="100">
        <v>1</v>
      </c>
      <c r="AS122" s="103">
        <v>0</v>
      </c>
      <c r="AT122" s="103">
        <v>0</v>
      </c>
      <c r="AU122" s="103">
        <v>0</v>
      </c>
      <c r="AV122" s="103">
        <v>0</v>
      </c>
      <c r="AW122" s="103">
        <v>0</v>
      </c>
      <c r="AX122" s="103">
        <v>0</v>
      </c>
      <c r="AY122" s="103">
        <v>0</v>
      </c>
      <c r="AZ122" s="103">
        <v>0</v>
      </c>
      <c r="BA122" s="103">
        <v>0</v>
      </c>
      <c r="BB122" s="103">
        <v>0</v>
      </c>
      <c r="BC122" s="103">
        <v>0</v>
      </c>
      <c r="BD122" s="103">
        <v>0</v>
      </c>
      <c r="BE122" s="103">
        <v>16.382000000000001</v>
      </c>
      <c r="BF122" s="103">
        <v>16.382000000000001</v>
      </c>
      <c r="BG122" s="100">
        <v>0</v>
      </c>
      <c r="BH122"/>
      <c r="BI122"/>
      <c r="BJ122"/>
      <c r="BK122"/>
      <c r="BL122"/>
      <c r="BM122"/>
      <c r="BN122"/>
      <c r="BO122"/>
      <c r="BP122"/>
      <c r="BQ122"/>
    </row>
    <row r="123" spans="1:69">
      <c r="A123" s="107">
        <v>10434</v>
      </c>
      <c r="B123" s="107" t="s">
        <v>127</v>
      </c>
      <c r="C123" s="107">
        <v>1</v>
      </c>
      <c r="D123" s="107">
        <v>0</v>
      </c>
      <c r="E123" s="111">
        <v>27.562000000000001</v>
      </c>
      <c r="F123" s="111">
        <v>26.338000000000001</v>
      </c>
      <c r="G123" s="111">
        <v>26.47</v>
      </c>
      <c r="H123" s="103">
        <v>0</v>
      </c>
      <c r="I123" s="103">
        <v>0</v>
      </c>
      <c r="J123" s="103">
        <v>0</v>
      </c>
      <c r="K123" s="103">
        <v>0</v>
      </c>
      <c r="L123" s="102">
        <v>0</v>
      </c>
      <c r="M123" s="102">
        <v>0</v>
      </c>
      <c r="N123" s="103">
        <v>27.32</v>
      </c>
      <c r="O123" s="103">
        <v>27.388999999999999</v>
      </c>
      <c r="P123" s="102">
        <v>239323.2</v>
      </c>
      <c r="Q123" s="102">
        <v>239927.63999999998</v>
      </c>
      <c r="R123" s="100">
        <v>25.905000000000001</v>
      </c>
      <c r="S123" s="102">
        <v>226927.80000000002</v>
      </c>
      <c r="T123" s="102">
        <v>226927.80000000002</v>
      </c>
      <c r="U123" s="103">
        <v>1.415</v>
      </c>
      <c r="V123" s="103">
        <v>1.484</v>
      </c>
      <c r="W123" s="103">
        <v>1.415</v>
      </c>
      <c r="X123" s="103">
        <v>1.484</v>
      </c>
      <c r="Y123" s="103">
        <v>0</v>
      </c>
      <c r="Z123" s="103">
        <v>0</v>
      </c>
      <c r="AA123" s="100">
        <v>0</v>
      </c>
      <c r="AB123" s="100">
        <v>0</v>
      </c>
      <c r="AC123" s="103">
        <v>1.415</v>
      </c>
      <c r="AD123" s="103">
        <v>1.484</v>
      </c>
      <c r="AE123" s="104">
        <v>3.8455E-3</v>
      </c>
      <c r="AF123" s="104">
        <v>3.8455E-3</v>
      </c>
      <c r="AG123" s="104">
        <v>0</v>
      </c>
      <c r="AH123" s="104">
        <v>3.8455E-3</v>
      </c>
      <c r="AI123" s="104">
        <v>3.8455E-3</v>
      </c>
      <c r="AJ123" s="104">
        <v>3.8455E-3</v>
      </c>
      <c r="AK123" s="104">
        <v>0.94819430946193262</v>
      </c>
      <c r="AL123" s="104">
        <v>0.94580556188615872</v>
      </c>
      <c r="AM123" s="104">
        <v>1.0546226597182011</v>
      </c>
      <c r="AN123" s="104">
        <v>1.0572862381779577</v>
      </c>
      <c r="AO123" s="104">
        <v>0</v>
      </c>
      <c r="AP123" s="104">
        <v>0</v>
      </c>
      <c r="AQ123" s="100">
        <v>3</v>
      </c>
      <c r="AR123" s="100">
        <v>3</v>
      </c>
      <c r="AS123" s="103">
        <v>15</v>
      </c>
      <c r="AT123" s="103">
        <v>15</v>
      </c>
      <c r="AU123" s="103">
        <v>0.41499999999999998</v>
      </c>
      <c r="AV123" s="103">
        <v>0.48399999999999999</v>
      </c>
      <c r="AW123" s="103">
        <v>0</v>
      </c>
      <c r="AX123" s="103">
        <v>0</v>
      </c>
      <c r="AY123" s="103">
        <v>0</v>
      </c>
      <c r="AZ123" s="103">
        <v>0</v>
      </c>
      <c r="BA123" s="103">
        <v>0</v>
      </c>
      <c r="BB123" s="103">
        <v>0</v>
      </c>
      <c r="BC123" s="103">
        <v>0</v>
      </c>
      <c r="BD123" s="103">
        <v>0</v>
      </c>
      <c r="BE123" s="103">
        <v>26.32</v>
      </c>
      <c r="BF123" s="103">
        <v>26.388999999999999</v>
      </c>
      <c r="BG123" s="100">
        <v>1</v>
      </c>
      <c r="BH123"/>
      <c r="BI123"/>
      <c r="BJ123"/>
      <c r="BK123"/>
      <c r="BL123"/>
      <c r="BM123"/>
      <c r="BN123"/>
      <c r="BO123"/>
      <c r="BP123"/>
      <c r="BQ123"/>
    </row>
    <row r="124" spans="1:69">
      <c r="A124" s="107">
        <v>10436</v>
      </c>
      <c r="B124" s="107" t="s">
        <v>128</v>
      </c>
      <c r="C124" s="107">
        <v>1</v>
      </c>
      <c r="D124" s="107">
        <v>0</v>
      </c>
      <c r="E124" s="111">
        <v>19.437999999999999</v>
      </c>
      <c r="F124" s="111">
        <v>23.544</v>
      </c>
      <c r="G124" s="111">
        <v>23.738</v>
      </c>
      <c r="H124" s="103">
        <v>0</v>
      </c>
      <c r="I124" s="103">
        <v>0</v>
      </c>
      <c r="J124" s="103">
        <v>0</v>
      </c>
      <c r="K124" s="103">
        <v>0</v>
      </c>
      <c r="L124" s="102">
        <v>0</v>
      </c>
      <c r="M124" s="102">
        <v>0</v>
      </c>
      <c r="N124" s="103">
        <v>21.231000000000002</v>
      </c>
      <c r="O124" s="103">
        <v>21.427</v>
      </c>
      <c r="P124" s="102">
        <v>185983.56000000003</v>
      </c>
      <c r="Q124" s="102">
        <v>187700.52</v>
      </c>
      <c r="R124" s="100">
        <v>18.268999999999998</v>
      </c>
      <c r="S124" s="102">
        <v>160036.43999999997</v>
      </c>
      <c r="T124" s="102">
        <v>160036.43999999997</v>
      </c>
      <c r="U124" s="103">
        <v>2.9620000000000002</v>
      </c>
      <c r="V124" s="103">
        <v>3.1579999999999999</v>
      </c>
      <c r="W124" s="103">
        <v>2.9620000000000002</v>
      </c>
      <c r="X124" s="103">
        <v>3.1579999999999999</v>
      </c>
      <c r="Y124" s="103">
        <v>0</v>
      </c>
      <c r="Z124" s="103">
        <v>0</v>
      </c>
      <c r="AA124" s="100">
        <v>0</v>
      </c>
      <c r="AB124" s="100">
        <v>0</v>
      </c>
      <c r="AC124" s="103">
        <v>2.9620000000000002</v>
      </c>
      <c r="AD124" s="103">
        <v>3.1579999999999999</v>
      </c>
      <c r="AE124" s="104">
        <v>2.712E-3</v>
      </c>
      <c r="AF124" s="104">
        <v>2.712E-3</v>
      </c>
      <c r="AG124" s="104">
        <v>0</v>
      </c>
      <c r="AH124" s="104">
        <v>2.712E-3</v>
      </c>
      <c r="AI124" s="104">
        <v>2.712E-3</v>
      </c>
      <c r="AJ124" s="104">
        <v>2.712E-3</v>
      </c>
      <c r="AK124" s="104">
        <v>0.86048728783382789</v>
      </c>
      <c r="AL124" s="104">
        <v>0.85261612022214961</v>
      </c>
      <c r="AM124" s="104">
        <v>1.1621325743062019</v>
      </c>
      <c r="AN124" s="104">
        <v>1.1728611308774428</v>
      </c>
      <c r="AO124" s="104">
        <v>8.1349280201434143E-2</v>
      </c>
      <c r="AP124" s="104">
        <v>8.2100279161421E-2</v>
      </c>
      <c r="AQ124" s="100">
        <v>1</v>
      </c>
      <c r="AR124" s="100">
        <v>1</v>
      </c>
      <c r="AS124" s="103">
        <v>0</v>
      </c>
      <c r="AT124" s="103">
        <v>0</v>
      </c>
      <c r="AU124" s="103">
        <v>2.9620000000000002</v>
      </c>
      <c r="AV124" s="103">
        <v>3.1579999999999999</v>
      </c>
      <c r="AW124" s="103">
        <v>0</v>
      </c>
      <c r="AX124" s="103">
        <v>0</v>
      </c>
      <c r="AY124" s="103">
        <v>0</v>
      </c>
      <c r="AZ124" s="103">
        <v>0</v>
      </c>
      <c r="BA124" s="103">
        <v>0</v>
      </c>
      <c r="BB124" s="103">
        <v>0</v>
      </c>
      <c r="BC124" s="103">
        <v>0</v>
      </c>
      <c r="BD124" s="103">
        <v>0</v>
      </c>
      <c r="BE124" s="103">
        <v>21.231000000000002</v>
      </c>
      <c r="BF124" s="103">
        <v>21.427</v>
      </c>
      <c r="BG124" s="100">
        <v>1</v>
      </c>
      <c r="BH124"/>
      <c r="BI124"/>
      <c r="BJ124"/>
      <c r="BK124"/>
      <c r="BL124"/>
      <c r="BM124"/>
      <c r="BN124"/>
      <c r="BO124"/>
      <c r="BP124"/>
      <c r="BQ124"/>
    </row>
    <row r="125" spans="1:69">
      <c r="A125" s="107">
        <v>10440</v>
      </c>
      <c r="B125" s="107" t="s">
        <v>129</v>
      </c>
      <c r="C125" s="107">
        <v>1</v>
      </c>
      <c r="D125" s="107">
        <v>0</v>
      </c>
      <c r="E125" s="111">
        <v>5.08</v>
      </c>
      <c r="F125" s="111">
        <v>5.1680000000000001</v>
      </c>
      <c r="G125" s="111">
        <v>5.194</v>
      </c>
      <c r="H125" s="103">
        <v>0</v>
      </c>
      <c r="I125" s="103">
        <v>0</v>
      </c>
      <c r="J125" s="103">
        <v>0</v>
      </c>
      <c r="K125" s="103">
        <v>0</v>
      </c>
      <c r="L125" s="102">
        <v>0</v>
      </c>
      <c r="M125" s="102">
        <v>0</v>
      </c>
      <c r="N125" s="103">
        <v>4.9210000000000003</v>
      </c>
      <c r="O125" s="103">
        <v>4.9210000000000003</v>
      </c>
      <c r="P125" s="102">
        <v>43107.96</v>
      </c>
      <c r="Q125" s="102">
        <v>43107.96</v>
      </c>
      <c r="R125" s="100">
        <v>4.7750000000000004</v>
      </c>
      <c r="S125" s="102">
        <v>41829</v>
      </c>
      <c r="T125" s="102">
        <v>41829</v>
      </c>
      <c r="U125" s="103">
        <v>0.14599999999999999</v>
      </c>
      <c r="V125" s="103">
        <v>0.14599999999999999</v>
      </c>
      <c r="W125" s="103">
        <v>0</v>
      </c>
      <c r="X125" s="103">
        <v>0</v>
      </c>
      <c r="Y125" s="103">
        <v>0.14599999999999999</v>
      </c>
      <c r="Z125" s="103">
        <v>0.14599999999999999</v>
      </c>
      <c r="AA125" s="100">
        <v>0</v>
      </c>
      <c r="AB125" s="100">
        <v>0</v>
      </c>
      <c r="AC125" s="103">
        <v>0</v>
      </c>
      <c r="AD125" s="103">
        <v>0</v>
      </c>
      <c r="AE125" s="104">
        <v>7.0879999999999999E-4</v>
      </c>
      <c r="AF125" s="104">
        <v>7.0879999999999999E-4</v>
      </c>
      <c r="AG125" s="104">
        <v>0</v>
      </c>
      <c r="AH125" s="104">
        <v>7.0879999999999999E-4</v>
      </c>
      <c r="AI125" s="104">
        <v>7.0879999999999999E-4</v>
      </c>
      <c r="AJ125" s="104">
        <v>7.0879999999999999E-4</v>
      </c>
      <c r="AK125" s="104">
        <v>0.97027662247510671</v>
      </c>
      <c r="AL125" s="104">
        <v>0.97027662247510671</v>
      </c>
      <c r="AM125" s="104">
        <v>1.0305759162303665</v>
      </c>
      <c r="AN125" s="104">
        <v>1.0305759162303665</v>
      </c>
      <c r="AO125" s="104">
        <v>5.6681675392670154E-2</v>
      </c>
      <c r="AP125" s="104">
        <v>5.6681675392670154E-2</v>
      </c>
      <c r="AQ125" s="100">
        <v>1</v>
      </c>
      <c r="AR125" s="100">
        <v>1</v>
      </c>
      <c r="AS125" s="103">
        <v>0</v>
      </c>
      <c r="AT125" s="103"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v>0</v>
      </c>
      <c r="BA125" s="103">
        <v>0</v>
      </c>
      <c r="BB125" s="103">
        <v>0</v>
      </c>
      <c r="BC125" s="103">
        <v>0</v>
      </c>
      <c r="BD125" s="103">
        <v>0</v>
      </c>
      <c r="BE125" s="103">
        <v>4.9210000000000003</v>
      </c>
      <c r="BF125" s="103">
        <v>4.9210000000000003</v>
      </c>
      <c r="BG125" s="100">
        <v>0</v>
      </c>
      <c r="BH125"/>
      <c r="BI125"/>
      <c r="BJ125"/>
      <c r="BK125"/>
      <c r="BL125"/>
      <c r="BM125"/>
      <c r="BN125"/>
      <c r="BO125"/>
      <c r="BP125"/>
      <c r="BQ125"/>
    </row>
    <row r="126" spans="1:69">
      <c r="A126" s="107">
        <v>10442</v>
      </c>
      <c r="B126" s="107" t="s">
        <v>130</v>
      </c>
      <c r="C126" s="107">
        <v>1</v>
      </c>
      <c r="D126" s="107">
        <v>0</v>
      </c>
      <c r="E126" s="111">
        <v>13.596</v>
      </c>
      <c r="F126" s="111">
        <v>11.584</v>
      </c>
      <c r="G126" s="111">
        <v>11.459</v>
      </c>
      <c r="H126" s="103">
        <v>0</v>
      </c>
      <c r="I126" s="103">
        <v>0</v>
      </c>
      <c r="J126" s="103">
        <v>0</v>
      </c>
      <c r="K126" s="103">
        <v>0</v>
      </c>
      <c r="L126" s="102">
        <v>0</v>
      </c>
      <c r="M126" s="102">
        <v>0</v>
      </c>
      <c r="N126" s="103">
        <v>12.721</v>
      </c>
      <c r="O126" s="103">
        <v>12.721</v>
      </c>
      <c r="P126" s="102">
        <v>111435.96</v>
      </c>
      <c r="Q126" s="102">
        <v>111435.96</v>
      </c>
      <c r="R126" s="100">
        <v>12.779</v>
      </c>
      <c r="S126" s="102">
        <v>111944.04</v>
      </c>
      <c r="T126" s="102">
        <v>111944.04</v>
      </c>
      <c r="U126" s="103">
        <v>0</v>
      </c>
      <c r="V126" s="103">
        <v>0</v>
      </c>
      <c r="W126" s="103">
        <v>0</v>
      </c>
      <c r="X126" s="103">
        <v>0</v>
      </c>
      <c r="Y126" s="103">
        <v>0</v>
      </c>
      <c r="Z126" s="103">
        <v>0</v>
      </c>
      <c r="AA126" s="100">
        <v>0</v>
      </c>
      <c r="AB126" s="100">
        <v>0</v>
      </c>
      <c r="AC126" s="103">
        <v>0</v>
      </c>
      <c r="AD126" s="103">
        <v>0</v>
      </c>
      <c r="AE126" s="104">
        <v>1.8883999999999999E-3</v>
      </c>
      <c r="AF126" s="104">
        <v>1.8883999999999999E-3</v>
      </c>
      <c r="AG126" s="104">
        <v>0</v>
      </c>
      <c r="AH126" s="104">
        <v>1.8883999999999999E-3</v>
      </c>
      <c r="AI126" s="104">
        <v>1.8883999999999999E-3</v>
      </c>
      <c r="AJ126" s="104">
        <v>1.8883999999999999E-3</v>
      </c>
      <c r="AK126" s="104">
        <v>0.9999953097712444</v>
      </c>
      <c r="AL126" s="104">
        <v>0.9999953097712444</v>
      </c>
      <c r="AM126" s="104">
        <v>1</v>
      </c>
      <c r="AN126" s="104">
        <v>1</v>
      </c>
      <c r="AO126" s="104">
        <v>7.0000000000000007E-2</v>
      </c>
      <c r="AP126" s="104">
        <v>7.0000000000000007E-2</v>
      </c>
      <c r="AQ126" s="100">
        <v>1</v>
      </c>
      <c r="AR126" s="100">
        <v>1</v>
      </c>
      <c r="AS126" s="103">
        <v>0</v>
      </c>
      <c r="AT126" s="103"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v>0</v>
      </c>
      <c r="BA126" s="103">
        <v>0</v>
      </c>
      <c r="BB126" s="103">
        <v>0</v>
      </c>
      <c r="BC126" s="103">
        <v>0</v>
      </c>
      <c r="BD126" s="103">
        <v>0</v>
      </c>
      <c r="BE126" s="103">
        <v>12.721</v>
      </c>
      <c r="BF126" s="103">
        <v>12.721</v>
      </c>
      <c r="BG126" s="100">
        <v>1</v>
      </c>
      <c r="BH126"/>
      <c r="BI126"/>
      <c r="BJ126"/>
      <c r="BK126"/>
      <c r="BL126"/>
      <c r="BM126"/>
      <c r="BN126"/>
      <c r="BO126"/>
      <c r="BP126"/>
      <c r="BQ126"/>
    </row>
    <row r="127" spans="1:69">
      <c r="A127" s="107">
        <v>10446</v>
      </c>
      <c r="B127" s="107" t="s">
        <v>131</v>
      </c>
      <c r="C127" s="107">
        <v>1</v>
      </c>
      <c r="D127" s="107">
        <v>0</v>
      </c>
      <c r="E127" s="111">
        <v>97.2</v>
      </c>
      <c r="F127" s="111">
        <v>99.465999999999994</v>
      </c>
      <c r="G127" s="111">
        <v>101.621</v>
      </c>
      <c r="H127" s="103">
        <v>0</v>
      </c>
      <c r="I127" s="103">
        <v>0</v>
      </c>
      <c r="J127" s="103">
        <v>0</v>
      </c>
      <c r="K127" s="103">
        <v>0</v>
      </c>
      <c r="L127" s="102">
        <v>0</v>
      </c>
      <c r="M127" s="102">
        <v>0</v>
      </c>
      <c r="N127" s="103">
        <v>100.749</v>
      </c>
      <c r="O127" s="103">
        <v>104.98</v>
      </c>
      <c r="P127" s="102">
        <v>882561.24</v>
      </c>
      <c r="Q127" s="102">
        <v>919624.8</v>
      </c>
      <c r="R127" s="100">
        <v>91.355999999999995</v>
      </c>
      <c r="S127" s="102">
        <v>800278.55999999994</v>
      </c>
      <c r="T127" s="102">
        <v>800278.55999999994</v>
      </c>
      <c r="U127" s="103">
        <v>9.3930000000000007</v>
      </c>
      <c r="V127" s="103">
        <v>13.624000000000001</v>
      </c>
      <c r="W127" s="103">
        <v>9.3930000000000007</v>
      </c>
      <c r="X127" s="103">
        <v>13.624000000000001</v>
      </c>
      <c r="Y127" s="103">
        <v>0</v>
      </c>
      <c r="Z127" s="103">
        <v>0</v>
      </c>
      <c r="AA127" s="100">
        <v>0</v>
      </c>
      <c r="AB127" s="100">
        <v>0</v>
      </c>
      <c r="AC127" s="103">
        <v>9.3930000000000007</v>
      </c>
      <c r="AD127" s="103">
        <v>13.624000000000001</v>
      </c>
      <c r="AE127" s="104">
        <v>1.35616E-2</v>
      </c>
      <c r="AF127" s="104">
        <v>1.35616E-2</v>
      </c>
      <c r="AG127" s="104">
        <v>0</v>
      </c>
      <c r="AH127" s="104">
        <v>1.35616E-2</v>
      </c>
      <c r="AI127" s="104">
        <v>1.35616E-2</v>
      </c>
      <c r="AJ127" s="104">
        <v>1.35616E-2</v>
      </c>
      <c r="AK127" s="104">
        <v>0.90676638194324521</v>
      </c>
      <c r="AL127" s="104">
        <v>0.87022105367117553</v>
      </c>
      <c r="AM127" s="104">
        <v>1.1028175489294627</v>
      </c>
      <c r="AN127" s="104">
        <v>1.1491308726301503</v>
      </c>
      <c r="AO127" s="104">
        <v>7.7197228425062395E-2</v>
      </c>
      <c r="AP127" s="104">
        <v>8.0439161084110533E-2</v>
      </c>
      <c r="AQ127" s="100">
        <v>3</v>
      </c>
      <c r="AR127" s="100">
        <v>3</v>
      </c>
      <c r="AS127" s="103">
        <v>5</v>
      </c>
      <c r="AT127" s="103">
        <v>5</v>
      </c>
      <c r="AU127" s="103">
        <v>4.3929999999999998</v>
      </c>
      <c r="AV127" s="103">
        <v>8.6240000000000006</v>
      </c>
      <c r="AW127" s="103">
        <v>0</v>
      </c>
      <c r="AX127" s="103">
        <v>0</v>
      </c>
      <c r="AY127" s="103">
        <v>0</v>
      </c>
      <c r="AZ127" s="103">
        <v>0</v>
      </c>
      <c r="BA127" s="103">
        <v>0</v>
      </c>
      <c r="BB127" s="103">
        <v>0</v>
      </c>
      <c r="BC127" s="103">
        <v>0</v>
      </c>
      <c r="BD127" s="103">
        <v>0</v>
      </c>
      <c r="BE127" s="103">
        <v>95.748999999999995</v>
      </c>
      <c r="BF127" s="103">
        <v>99.98</v>
      </c>
      <c r="BG127" s="100">
        <v>1</v>
      </c>
      <c r="BH127"/>
      <c r="BI127"/>
      <c r="BJ127"/>
      <c r="BK127"/>
      <c r="BL127"/>
      <c r="BM127"/>
      <c r="BN127"/>
      <c r="BO127"/>
      <c r="BP127"/>
      <c r="BQ127"/>
    </row>
    <row r="128" spans="1:69">
      <c r="A128" s="107">
        <v>10448</v>
      </c>
      <c r="B128" s="107" t="s">
        <v>132</v>
      </c>
      <c r="C128" s="107">
        <v>0</v>
      </c>
      <c r="D128" s="107">
        <v>1</v>
      </c>
      <c r="E128" s="111">
        <v>8.6079999999999988</v>
      </c>
      <c r="F128" s="111">
        <v>8.2360000000000007</v>
      </c>
      <c r="G128" s="111">
        <v>8.2360000000000007</v>
      </c>
      <c r="H128" s="103">
        <v>0</v>
      </c>
      <c r="I128" s="103">
        <v>0</v>
      </c>
      <c r="J128" s="103">
        <v>0</v>
      </c>
      <c r="K128" s="103">
        <v>0</v>
      </c>
      <c r="L128" s="102">
        <v>0</v>
      </c>
      <c r="M128" s="102">
        <v>0</v>
      </c>
      <c r="N128" s="103">
        <v>8.2560000000000002</v>
      </c>
      <c r="O128" s="103">
        <v>8.2560000000000002</v>
      </c>
      <c r="P128" s="102">
        <v>72322.559999999998</v>
      </c>
      <c r="Q128" s="102">
        <v>72322.559999999998</v>
      </c>
      <c r="R128" s="100">
        <v>8.09</v>
      </c>
      <c r="S128" s="102">
        <v>70868.399999999994</v>
      </c>
      <c r="T128" s="102">
        <v>70868.399999999994</v>
      </c>
      <c r="U128" s="103">
        <v>0.16600000000000001</v>
      </c>
      <c r="V128" s="103">
        <v>0.16600000000000001</v>
      </c>
      <c r="W128" s="103">
        <v>0.16600000000000001</v>
      </c>
      <c r="X128" s="103">
        <v>0.16600000000000001</v>
      </c>
      <c r="Y128" s="103">
        <v>0</v>
      </c>
      <c r="Z128" s="103">
        <v>0</v>
      </c>
      <c r="AA128" s="100">
        <v>0</v>
      </c>
      <c r="AB128" s="100">
        <v>0</v>
      </c>
      <c r="AC128" s="103">
        <v>0.16600000000000001</v>
      </c>
      <c r="AD128" s="103">
        <v>0.16600000000000001</v>
      </c>
      <c r="AE128" s="104">
        <v>1.2009E-3</v>
      </c>
      <c r="AF128" s="104">
        <v>1.2009E-3</v>
      </c>
      <c r="AG128" s="104">
        <v>0</v>
      </c>
      <c r="AH128" s="104">
        <v>1.2009E-3</v>
      </c>
      <c r="AI128" s="104">
        <v>1.2009E-3</v>
      </c>
      <c r="AJ128" s="104">
        <v>1.2009E-3</v>
      </c>
      <c r="AK128" s="104">
        <v>0.97985628913517453</v>
      </c>
      <c r="AL128" s="104">
        <v>0.97985628913517453</v>
      </c>
      <c r="AM128" s="104">
        <v>1.0205191594561187</v>
      </c>
      <c r="AN128" s="104">
        <v>1.0205191594561187</v>
      </c>
      <c r="AO128" s="104">
        <v>7.1436341161928318E-2</v>
      </c>
      <c r="AP128" s="104">
        <v>7.1436341161928318E-2</v>
      </c>
      <c r="AQ128" s="100">
        <v>6</v>
      </c>
      <c r="AR128" s="100">
        <v>6</v>
      </c>
      <c r="AS128" s="103">
        <v>0</v>
      </c>
      <c r="AT128" s="103">
        <v>0</v>
      </c>
      <c r="AU128" s="103">
        <v>0</v>
      </c>
      <c r="AV128" s="103">
        <v>0</v>
      </c>
      <c r="AW128" s="103">
        <v>0</v>
      </c>
      <c r="AX128" s="103">
        <v>0</v>
      </c>
      <c r="AY128" s="103">
        <v>0</v>
      </c>
      <c r="AZ128" s="103">
        <v>0</v>
      </c>
      <c r="BA128" s="103">
        <v>0</v>
      </c>
      <c r="BB128" s="103">
        <v>0</v>
      </c>
      <c r="BC128" s="103">
        <v>0</v>
      </c>
      <c r="BD128" s="103">
        <v>0</v>
      </c>
      <c r="BE128" s="103">
        <v>8.09</v>
      </c>
      <c r="BF128" s="103">
        <v>8.09</v>
      </c>
      <c r="BG128" s="100">
        <v>0</v>
      </c>
      <c r="BH128"/>
      <c r="BI128"/>
      <c r="BJ128"/>
      <c r="BK128"/>
      <c r="BL128"/>
      <c r="BM128"/>
      <c r="BN128"/>
      <c r="BO128"/>
      <c r="BP128"/>
      <c r="BQ128"/>
    </row>
    <row r="129" spans="1:69">
      <c r="A129" s="107">
        <v>10451</v>
      </c>
      <c r="B129" s="107" t="s">
        <v>133</v>
      </c>
      <c r="C129" s="107">
        <v>1</v>
      </c>
      <c r="D129" s="107">
        <v>0</v>
      </c>
      <c r="E129" s="111">
        <v>27.233000000000001</v>
      </c>
      <c r="F129" s="111">
        <v>26.344999999999999</v>
      </c>
      <c r="G129" s="111">
        <v>31.109000000000002</v>
      </c>
      <c r="H129" s="103">
        <v>0</v>
      </c>
      <c r="I129" s="103">
        <v>0</v>
      </c>
      <c r="J129" s="103">
        <v>0</v>
      </c>
      <c r="K129" s="103">
        <v>0</v>
      </c>
      <c r="L129" s="102">
        <v>0</v>
      </c>
      <c r="M129" s="102">
        <v>0</v>
      </c>
      <c r="N129" s="103">
        <v>27.222999999999999</v>
      </c>
      <c r="O129" s="103">
        <v>27.707999999999998</v>
      </c>
      <c r="P129" s="102">
        <v>238473.47999999998</v>
      </c>
      <c r="Q129" s="102">
        <v>242722.08</v>
      </c>
      <c r="R129" s="100">
        <v>25.596</v>
      </c>
      <c r="S129" s="102">
        <v>224220.96</v>
      </c>
      <c r="T129" s="102">
        <v>224220.96</v>
      </c>
      <c r="U129" s="103">
        <v>1.627</v>
      </c>
      <c r="V129" s="103">
        <v>2.1120000000000001</v>
      </c>
      <c r="W129" s="103">
        <v>1.627</v>
      </c>
      <c r="X129" s="103">
        <v>2.1120000000000001</v>
      </c>
      <c r="Y129" s="103">
        <v>0</v>
      </c>
      <c r="Z129" s="103">
        <v>0</v>
      </c>
      <c r="AA129" s="100">
        <v>0</v>
      </c>
      <c r="AB129" s="100">
        <v>0</v>
      </c>
      <c r="AC129" s="103">
        <v>1.627</v>
      </c>
      <c r="AD129" s="103">
        <v>2.1120000000000001</v>
      </c>
      <c r="AE129" s="104">
        <v>3.7997E-3</v>
      </c>
      <c r="AF129" s="104">
        <v>3.7997E-3</v>
      </c>
      <c r="AG129" s="104">
        <v>0</v>
      </c>
      <c r="AH129" s="104">
        <v>3.7997E-3</v>
      </c>
      <c r="AI129" s="104">
        <v>3.7997E-3</v>
      </c>
      <c r="AJ129" s="104">
        <v>3.7997E-3</v>
      </c>
      <c r="AK129" s="104">
        <v>0.94023962429930585</v>
      </c>
      <c r="AL129" s="104">
        <v>0.92378169814854927</v>
      </c>
      <c r="AM129" s="104">
        <v>1.0635646194717925</v>
      </c>
      <c r="AN129" s="104">
        <v>1.0825128926394749</v>
      </c>
      <c r="AO129" s="104">
        <v>0</v>
      </c>
      <c r="AP129" s="104">
        <v>0</v>
      </c>
      <c r="AQ129" s="100">
        <v>1</v>
      </c>
      <c r="AR129" s="100">
        <v>1</v>
      </c>
      <c r="AS129" s="103">
        <v>0</v>
      </c>
      <c r="AT129" s="103">
        <v>0</v>
      </c>
      <c r="AU129" s="103">
        <v>1.627</v>
      </c>
      <c r="AV129" s="103">
        <v>2.1120000000000001</v>
      </c>
      <c r="AW129" s="103">
        <v>0</v>
      </c>
      <c r="AX129" s="103">
        <v>0</v>
      </c>
      <c r="AY129" s="103">
        <v>0</v>
      </c>
      <c r="AZ129" s="103">
        <v>0</v>
      </c>
      <c r="BA129" s="103">
        <v>0</v>
      </c>
      <c r="BB129" s="103">
        <v>0</v>
      </c>
      <c r="BC129" s="103">
        <v>0</v>
      </c>
      <c r="BD129" s="103">
        <v>0</v>
      </c>
      <c r="BE129" s="103">
        <v>27.222999999999999</v>
      </c>
      <c r="BF129" s="103">
        <v>27.707999999999998</v>
      </c>
      <c r="BG129" s="100">
        <v>0</v>
      </c>
      <c r="BH129"/>
      <c r="BI129"/>
      <c r="BJ129"/>
      <c r="BK129"/>
      <c r="BL129"/>
      <c r="BM129"/>
      <c r="BN129"/>
      <c r="BO129"/>
      <c r="BP129"/>
      <c r="BQ129"/>
    </row>
    <row r="130" spans="1:69">
      <c r="A130" s="107">
        <v>10482</v>
      </c>
      <c r="B130" s="107" t="s">
        <v>134</v>
      </c>
      <c r="C130" s="107">
        <v>1</v>
      </c>
      <c r="D130" s="107">
        <v>0</v>
      </c>
      <c r="E130" s="111">
        <v>4.1749999999999998</v>
      </c>
      <c r="F130" s="111">
        <v>2.81</v>
      </c>
      <c r="G130" s="111">
        <v>2.81</v>
      </c>
      <c r="H130" s="103">
        <v>0</v>
      </c>
      <c r="I130" s="103">
        <v>0</v>
      </c>
      <c r="J130" s="103">
        <v>0</v>
      </c>
      <c r="K130" s="103">
        <v>0</v>
      </c>
      <c r="L130" s="102">
        <v>0</v>
      </c>
      <c r="M130" s="102">
        <v>0</v>
      </c>
      <c r="N130" s="103">
        <v>2.806</v>
      </c>
      <c r="O130" s="103">
        <v>2.806</v>
      </c>
      <c r="P130" s="102">
        <v>24580.560000000001</v>
      </c>
      <c r="Q130" s="102">
        <v>24580.560000000001</v>
      </c>
      <c r="R130" s="100">
        <v>3.9239999999999999</v>
      </c>
      <c r="S130" s="102">
        <v>34374.239999999998</v>
      </c>
      <c r="T130" s="102">
        <v>34374.239999999998</v>
      </c>
      <c r="U130" s="103">
        <v>0</v>
      </c>
      <c r="V130" s="103">
        <v>0</v>
      </c>
      <c r="W130" s="103">
        <v>0</v>
      </c>
      <c r="X130" s="103">
        <v>0</v>
      </c>
      <c r="Y130" s="103">
        <v>0</v>
      </c>
      <c r="Z130" s="103">
        <v>0</v>
      </c>
      <c r="AA130" s="100">
        <v>0</v>
      </c>
      <c r="AB130" s="100">
        <v>0</v>
      </c>
      <c r="AC130" s="103">
        <v>0</v>
      </c>
      <c r="AD130" s="103">
        <v>0</v>
      </c>
      <c r="AE130" s="104">
        <v>4.1649999999999999E-4</v>
      </c>
      <c r="AF130" s="104">
        <v>4.1649999999999999E-4</v>
      </c>
      <c r="AG130" s="104">
        <v>0</v>
      </c>
      <c r="AH130" s="104">
        <v>4.1649999999999999E-4</v>
      </c>
      <c r="AI130" s="104">
        <v>4.1649999999999999E-4</v>
      </c>
      <c r="AJ130" s="104">
        <v>4.1649999999999999E-4</v>
      </c>
      <c r="AK130" s="104">
        <v>0.99989077815395577</v>
      </c>
      <c r="AL130" s="104">
        <v>0.99989077815395577</v>
      </c>
      <c r="AM130" s="104">
        <v>1</v>
      </c>
      <c r="AN130" s="104">
        <v>1</v>
      </c>
      <c r="AO130" s="104">
        <v>0</v>
      </c>
      <c r="AP130" s="104">
        <v>0</v>
      </c>
      <c r="AQ130" s="100">
        <v>1</v>
      </c>
      <c r="AR130" s="100">
        <v>1</v>
      </c>
      <c r="AS130" s="103">
        <v>0</v>
      </c>
      <c r="AT130" s="103"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v>0</v>
      </c>
      <c r="BA130" s="103">
        <v>0</v>
      </c>
      <c r="BB130" s="103">
        <v>0</v>
      </c>
      <c r="BC130" s="103">
        <v>0</v>
      </c>
      <c r="BD130" s="103">
        <v>0</v>
      </c>
      <c r="BE130" s="103">
        <v>2.806</v>
      </c>
      <c r="BF130" s="103">
        <v>2.806</v>
      </c>
      <c r="BG130" s="100">
        <v>0</v>
      </c>
      <c r="BH130"/>
      <c r="BI130"/>
      <c r="BJ130"/>
      <c r="BK130"/>
      <c r="BL130"/>
      <c r="BM130"/>
      <c r="BN130"/>
      <c r="BO130"/>
      <c r="BP130"/>
      <c r="BQ130"/>
    </row>
    <row r="131" spans="1:69">
      <c r="A131" s="107">
        <v>10502</v>
      </c>
      <c r="B131" s="107" t="s">
        <v>135</v>
      </c>
      <c r="C131" s="107">
        <v>1</v>
      </c>
      <c r="D131" s="107">
        <v>0</v>
      </c>
      <c r="E131" s="111">
        <v>18.986000000000001</v>
      </c>
      <c r="F131" s="111">
        <v>18.324999999999999</v>
      </c>
      <c r="G131" s="111">
        <v>18.846</v>
      </c>
      <c r="H131" s="103">
        <v>0</v>
      </c>
      <c r="I131" s="103">
        <v>0</v>
      </c>
      <c r="J131" s="103">
        <v>0</v>
      </c>
      <c r="K131" s="103">
        <v>0</v>
      </c>
      <c r="L131" s="102">
        <v>0</v>
      </c>
      <c r="M131" s="102">
        <v>0</v>
      </c>
      <c r="N131" s="111">
        <v>18.419</v>
      </c>
      <c r="O131" s="111">
        <v>18.611999999999998</v>
      </c>
      <c r="P131" s="102">
        <v>161350.44</v>
      </c>
      <c r="Q131" s="102">
        <v>163041.12</v>
      </c>
      <c r="R131" s="100">
        <v>17.844999999999999</v>
      </c>
      <c r="S131" s="102">
        <v>156322.19999999998</v>
      </c>
      <c r="T131" s="102">
        <v>156322.19999999998</v>
      </c>
      <c r="U131" s="103">
        <v>0.57399999999999995</v>
      </c>
      <c r="V131" s="103">
        <v>0.76700000000000002</v>
      </c>
      <c r="W131" s="103">
        <v>0</v>
      </c>
      <c r="X131" s="103">
        <v>0</v>
      </c>
      <c r="Y131" s="103">
        <v>0.57399999999999995</v>
      </c>
      <c r="Z131" s="103">
        <v>0.76700000000000002</v>
      </c>
      <c r="AA131" s="100">
        <v>0</v>
      </c>
      <c r="AB131" s="100">
        <v>0</v>
      </c>
      <c r="AC131" s="103">
        <v>0</v>
      </c>
      <c r="AD131" s="103">
        <v>0</v>
      </c>
      <c r="AE131" s="104">
        <v>2.6491000000000002E-3</v>
      </c>
      <c r="AF131" s="104">
        <v>2.6491000000000002E-3</v>
      </c>
      <c r="AG131" s="104">
        <v>0</v>
      </c>
      <c r="AH131" s="104">
        <v>2.6491000000000002E-3</v>
      </c>
      <c r="AI131" s="104">
        <v>2.6491000000000002E-3</v>
      </c>
      <c r="AJ131" s="104">
        <v>2.6491000000000002E-3</v>
      </c>
      <c r="AK131" s="104">
        <v>0.96885219756229979</v>
      </c>
      <c r="AL131" s="104">
        <v>0.95880553550934888</v>
      </c>
      <c r="AM131" s="104">
        <v>1.0321658727934997</v>
      </c>
      <c r="AN131" s="104">
        <v>1.0429812272345194</v>
      </c>
      <c r="AO131" s="104">
        <v>7.2251611095544982E-2</v>
      </c>
      <c r="AP131" s="104">
        <v>7.3008685906416362E-2</v>
      </c>
      <c r="AQ131" s="100">
        <v>1</v>
      </c>
      <c r="AR131" s="100">
        <v>1</v>
      </c>
      <c r="AS131" s="103">
        <v>0</v>
      </c>
      <c r="AT131" s="103"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v>0</v>
      </c>
      <c r="BA131" s="103">
        <v>0</v>
      </c>
      <c r="BB131" s="103">
        <v>0</v>
      </c>
      <c r="BC131" s="103">
        <v>0</v>
      </c>
      <c r="BD131" s="103">
        <v>0</v>
      </c>
      <c r="BE131" s="103">
        <v>18.419</v>
      </c>
      <c r="BF131" s="103">
        <v>18.611999999999998</v>
      </c>
      <c r="BG131" s="100">
        <v>1</v>
      </c>
      <c r="BH131"/>
      <c r="BI131"/>
      <c r="BJ131"/>
      <c r="BK131"/>
      <c r="BL131"/>
      <c r="BM131"/>
      <c r="BN131"/>
      <c r="BO131"/>
      <c r="BP131"/>
      <c r="BQ131"/>
    </row>
    <row r="132" spans="1:69">
      <c r="A132" s="107">
        <v>13927</v>
      </c>
      <c r="B132" s="107" t="s">
        <v>238</v>
      </c>
      <c r="C132" s="107">
        <v>1</v>
      </c>
      <c r="D132" s="107">
        <v>0</v>
      </c>
      <c r="E132" s="111">
        <v>4.1340000000000003</v>
      </c>
      <c r="F132" s="111">
        <v>3.4260000000000002</v>
      </c>
      <c r="G132" s="111">
        <v>3.4729999999999999</v>
      </c>
      <c r="H132" s="103">
        <v>0</v>
      </c>
      <c r="I132" s="103">
        <v>0</v>
      </c>
      <c r="J132" s="103">
        <v>0</v>
      </c>
      <c r="K132" s="103">
        <v>0</v>
      </c>
      <c r="L132" s="102">
        <v>0</v>
      </c>
      <c r="M132" s="102">
        <v>0</v>
      </c>
      <c r="N132" s="103">
        <v>3.7810000000000001</v>
      </c>
      <c r="O132" s="103">
        <v>3.8290000000000002</v>
      </c>
      <c r="P132" s="102">
        <v>33121.56</v>
      </c>
      <c r="Q132" s="102">
        <v>33542.04</v>
      </c>
      <c r="R132" s="100">
        <v>3.8849999999999998</v>
      </c>
      <c r="S132" s="102">
        <v>34032.6</v>
      </c>
      <c r="T132" s="102">
        <v>34032.6</v>
      </c>
      <c r="U132" s="103">
        <v>0</v>
      </c>
      <c r="V132" s="103">
        <v>0</v>
      </c>
      <c r="W132" s="103">
        <v>0</v>
      </c>
      <c r="X132" s="103">
        <v>0</v>
      </c>
      <c r="Y132" s="103">
        <v>0</v>
      </c>
      <c r="Z132" s="103">
        <v>0</v>
      </c>
      <c r="AA132" s="100">
        <v>0</v>
      </c>
      <c r="AB132" s="100">
        <v>0</v>
      </c>
      <c r="AC132" s="103">
        <v>0</v>
      </c>
      <c r="AD132" s="103">
        <v>0</v>
      </c>
      <c r="AE132" s="104">
        <v>5.6130000000000004E-4</v>
      </c>
      <c r="AF132" s="104">
        <v>5.6840000000000005E-4</v>
      </c>
      <c r="AG132" s="104">
        <v>0</v>
      </c>
      <c r="AH132" s="104">
        <v>5.6130000000000004E-4</v>
      </c>
      <c r="AI132" s="104">
        <v>5.6840000000000005E-4</v>
      </c>
      <c r="AJ132" s="104">
        <v>5.6484999999999999E-4</v>
      </c>
      <c r="AK132" s="104">
        <v>1</v>
      </c>
      <c r="AL132" s="104">
        <v>0.99998601608775151</v>
      </c>
      <c r="AM132" s="104">
        <v>1</v>
      </c>
      <c r="AN132" s="104">
        <v>1</v>
      </c>
      <c r="AO132" s="104">
        <v>0</v>
      </c>
      <c r="AP132" s="104">
        <v>0</v>
      </c>
      <c r="AQ132" s="100">
        <v>1</v>
      </c>
      <c r="AR132" s="100">
        <v>1</v>
      </c>
      <c r="AS132" s="103">
        <v>0</v>
      </c>
      <c r="AT132" s="103"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v>0</v>
      </c>
      <c r="BA132" s="103">
        <v>0</v>
      </c>
      <c r="BB132" s="103">
        <v>0</v>
      </c>
      <c r="BC132" s="103">
        <v>0</v>
      </c>
      <c r="BD132" s="103">
        <v>0</v>
      </c>
      <c r="BE132" s="103">
        <v>3.7810000000000001</v>
      </c>
      <c r="BF132" s="103">
        <v>3.8290000000000002</v>
      </c>
      <c r="BG132" s="100">
        <v>0</v>
      </c>
      <c r="BH132"/>
      <c r="BI132"/>
      <c r="BJ132"/>
      <c r="BK132"/>
      <c r="BL132"/>
      <c r="BM132"/>
      <c r="BN132"/>
      <c r="BO132"/>
      <c r="BP132"/>
      <c r="BQ132"/>
    </row>
    <row r="133" spans="1:69">
      <c r="A133" s="107">
        <v>10597</v>
      </c>
      <c r="B133" s="107" t="s">
        <v>136</v>
      </c>
      <c r="C133" s="107">
        <v>1</v>
      </c>
      <c r="D133" s="107">
        <v>0</v>
      </c>
      <c r="E133" s="111">
        <v>13.13</v>
      </c>
      <c r="F133" s="111">
        <v>12.307</v>
      </c>
      <c r="G133" s="111">
        <v>12.314</v>
      </c>
      <c r="H133" s="103">
        <v>0</v>
      </c>
      <c r="I133" s="103">
        <v>0</v>
      </c>
      <c r="J133" s="103">
        <v>0</v>
      </c>
      <c r="K133" s="103">
        <v>0</v>
      </c>
      <c r="L133" s="102">
        <v>0</v>
      </c>
      <c r="M133" s="102">
        <v>0</v>
      </c>
      <c r="N133" s="103">
        <v>12.307</v>
      </c>
      <c r="O133" s="103">
        <v>12.314</v>
      </c>
      <c r="P133" s="102">
        <v>107809.32</v>
      </c>
      <c r="Q133" s="102">
        <v>107870.64</v>
      </c>
      <c r="R133" s="100">
        <v>12.340999999999999</v>
      </c>
      <c r="S133" s="102">
        <v>108107.15999999999</v>
      </c>
      <c r="T133" s="102">
        <v>108107.15999999999</v>
      </c>
      <c r="U133" s="103">
        <v>0</v>
      </c>
      <c r="V133" s="103">
        <v>0</v>
      </c>
      <c r="W133" s="103">
        <v>0</v>
      </c>
      <c r="X133" s="103">
        <v>0</v>
      </c>
      <c r="Y133" s="103">
        <v>0</v>
      </c>
      <c r="Z133" s="103">
        <v>0</v>
      </c>
      <c r="AA133" s="100">
        <v>0</v>
      </c>
      <c r="AB133" s="100">
        <v>0</v>
      </c>
      <c r="AC133" s="103">
        <v>0</v>
      </c>
      <c r="AD133" s="103">
        <v>0</v>
      </c>
      <c r="AE133" s="104">
        <v>1.8270000000000001E-3</v>
      </c>
      <c r="AF133" s="104">
        <v>1.828E-3</v>
      </c>
      <c r="AG133" s="104">
        <v>0</v>
      </c>
      <c r="AH133" s="104">
        <v>1.8270000000000001E-3</v>
      </c>
      <c r="AI133" s="104">
        <v>1.828E-3</v>
      </c>
      <c r="AJ133" s="104">
        <v>1.8275000000000001E-3</v>
      </c>
      <c r="AK133" s="104">
        <v>1</v>
      </c>
      <c r="AL133" s="104">
        <v>1</v>
      </c>
      <c r="AM133" s="104">
        <v>1</v>
      </c>
      <c r="AN133" s="104">
        <v>1</v>
      </c>
      <c r="AO133" s="104">
        <v>0</v>
      </c>
      <c r="AP133" s="104">
        <v>0</v>
      </c>
      <c r="AQ133" s="100">
        <v>1</v>
      </c>
      <c r="AR133" s="100">
        <v>1</v>
      </c>
      <c r="AS133" s="103">
        <v>0</v>
      </c>
      <c r="AT133" s="103"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v>0</v>
      </c>
      <c r="BA133" s="103">
        <v>0</v>
      </c>
      <c r="BB133" s="103">
        <v>0</v>
      </c>
      <c r="BC133" s="103">
        <v>0</v>
      </c>
      <c r="BD133" s="103">
        <v>0</v>
      </c>
      <c r="BE133" s="103">
        <v>12.307</v>
      </c>
      <c r="BF133" s="103">
        <v>12.314</v>
      </c>
      <c r="BG133" s="100">
        <v>1</v>
      </c>
      <c r="BH133"/>
      <c r="BI133"/>
      <c r="BJ133"/>
      <c r="BK133"/>
      <c r="BL133"/>
      <c r="BM133"/>
      <c r="BN133"/>
      <c r="BO133"/>
      <c r="BP133"/>
      <c r="BQ133"/>
    </row>
    <row r="134" spans="1:69">
      <c r="A134" s="107">
        <v>10706</v>
      </c>
      <c r="B134" s="107" t="s">
        <v>137</v>
      </c>
      <c r="C134" s="107">
        <v>1</v>
      </c>
      <c r="D134" s="107">
        <v>0</v>
      </c>
      <c r="E134" s="111">
        <v>17.536000000000001</v>
      </c>
      <c r="F134" s="111">
        <v>15.797000000000001</v>
      </c>
      <c r="G134" s="111">
        <v>16.209</v>
      </c>
      <c r="H134" s="103">
        <v>0</v>
      </c>
      <c r="I134" s="103">
        <v>0</v>
      </c>
      <c r="J134" s="103">
        <v>0</v>
      </c>
      <c r="K134" s="103">
        <v>0</v>
      </c>
      <c r="L134" s="102">
        <v>0</v>
      </c>
      <c r="M134" s="102">
        <v>0</v>
      </c>
      <c r="N134" s="103">
        <v>17.154</v>
      </c>
      <c r="O134" s="103">
        <v>17.154</v>
      </c>
      <c r="P134" s="102">
        <v>150269.04</v>
      </c>
      <c r="Q134" s="102">
        <v>150269.04</v>
      </c>
      <c r="R134" s="100">
        <v>16.481999999999999</v>
      </c>
      <c r="S134" s="102">
        <v>144382.32</v>
      </c>
      <c r="T134" s="102">
        <v>144382.32</v>
      </c>
      <c r="U134" s="103">
        <v>0.67200000000000004</v>
      </c>
      <c r="V134" s="103">
        <v>0.67200000000000004</v>
      </c>
      <c r="W134" s="103">
        <v>0</v>
      </c>
      <c r="X134" s="103">
        <v>0</v>
      </c>
      <c r="Y134" s="103">
        <v>0.67200000000000004</v>
      </c>
      <c r="Z134" s="103">
        <v>0.67200000000000004</v>
      </c>
      <c r="AA134" s="100">
        <v>0</v>
      </c>
      <c r="AB134" s="100">
        <v>0</v>
      </c>
      <c r="AC134" s="103">
        <v>0</v>
      </c>
      <c r="AD134" s="103">
        <v>0</v>
      </c>
      <c r="AE134" s="104">
        <v>2.4467E-3</v>
      </c>
      <c r="AF134" s="104">
        <v>2.4467E-3</v>
      </c>
      <c r="AG134" s="104">
        <v>0</v>
      </c>
      <c r="AH134" s="104">
        <v>2.4467E-3</v>
      </c>
      <c r="AI134" s="104">
        <v>2.4467E-3</v>
      </c>
      <c r="AJ134" s="104">
        <v>2.4467E-3</v>
      </c>
      <c r="AK134" s="104">
        <v>0.96081669379153545</v>
      </c>
      <c r="AL134" s="104">
        <v>0.96081669379153545</v>
      </c>
      <c r="AM134" s="104">
        <v>1.0407717510010921</v>
      </c>
      <c r="AN134" s="104">
        <v>1.0407717510010921</v>
      </c>
      <c r="AO134" s="104">
        <v>0</v>
      </c>
      <c r="AP134" s="104">
        <v>0</v>
      </c>
      <c r="AQ134" s="100">
        <v>3</v>
      </c>
      <c r="AR134" s="100">
        <v>3</v>
      </c>
      <c r="AS134" s="103">
        <v>0</v>
      </c>
      <c r="AT134" s="103"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v>0</v>
      </c>
      <c r="BA134" s="103">
        <v>0</v>
      </c>
      <c r="BB134" s="103">
        <v>0</v>
      </c>
      <c r="BC134" s="103">
        <v>0</v>
      </c>
      <c r="BD134" s="103">
        <v>0</v>
      </c>
      <c r="BE134" s="103">
        <v>17.154</v>
      </c>
      <c r="BF134" s="103">
        <v>17.154</v>
      </c>
      <c r="BG134" s="100">
        <v>0</v>
      </c>
      <c r="BH134"/>
      <c r="BI134"/>
      <c r="BJ134"/>
      <c r="BK134"/>
      <c r="BL134"/>
      <c r="BM134"/>
      <c r="BN134"/>
      <c r="BO134"/>
      <c r="BP134"/>
      <c r="BQ134"/>
    </row>
    <row r="135" spans="1:69">
      <c r="A135" s="107">
        <v>11680</v>
      </c>
      <c r="B135" s="107" t="s">
        <v>138</v>
      </c>
      <c r="C135" s="107">
        <v>1</v>
      </c>
      <c r="D135" s="107">
        <v>0</v>
      </c>
      <c r="E135" s="111">
        <v>6.423</v>
      </c>
      <c r="F135" s="111">
        <v>6.41</v>
      </c>
      <c r="G135" s="111">
        <v>6.4219999999999997</v>
      </c>
      <c r="H135" s="103">
        <v>0</v>
      </c>
      <c r="I135" s="103">
        <v>0</v>
      </c>
      <c r="J135" s="103">
        <v>0</v>
      </c>
      <c r="K135" s="103">
        <v>0</v>
      </c>
      <c r="L135" s="102">
        <v>0</v>
      </c>
      <c r="M135" s="102">
        <v>0</v>
      </c>
      <c r="N135" s="103">
        <v>6.2750000000000004</v>
      </c>
      <c r="O135" s="103">
        <v>6.2869999999999999</v>
      </c>
      <c r="P135" s="102">
        <v>54969</v>
      </c>
      <c r="Q135" s="102">
        <v>55074.12</v>
      </c>
      <c r="R135" s="100">
        <v>6.0369999999999999</v>
      </c>
      <c r="S135" s="102">
        <v>52884.12</v>
      </c>
      <c r="T135" s="102">
        <v>52884.12</v>
      </c>
      <c r="U135" s="103">
        <v>0.23799999999999999</v>
      </c>
      <c r="V135" s="103">
        <v>0.25</v>
      </c>
      <c r="W135" s="103">
        <v>0</v>
      </c>
      <c r="X135" s="103">
        <v>0</v>
      </c>
      <c r="Y135" s="103">
        <v>0.23799999999999999</v>
      </c>
      <c r="Z135" s="103">
        <v>0.25</v>
      </c>
      <c r="AA135" s="100">
        <v>0</v>
      </c>
      <c r="AB135" s="100">
        <v>0</v>
      </c>
      <c r="AC135" s="103">
        <v>0</v>
      </c>
      <c r="AD135" s="103">
        <v>0</v>
      </c>
      <c r="AE135" s="104">
        <v>8.9619999999999999E-4</v>
      </c>
      <c r="AF135" s="104">
        <v>8.9619999999999999E-4</v>
      </c>
      <c r="AG135" s="104">
        <v>0</v>
      </c>
      <c r="AH135" s="104">
        <v>8.9619999999999999E-4</v>
      </c>
      <c r="AI135" s="104">
        <v>8.9619999999999999E-4</v>
      </c>
      <c r="AJ135" s="104">
        <v>8.9619999999999999E-4</v>
      </c>
      <c r="AK135" s="104">
        <v>0.96209162323505981</v>
      </c>
      <c r="AL135" s="104">
        <v>0.96025527847940206</v>
      </c>
      <c r="AM135" s="104">
        <v>1.0394235547457347</v>
      </c>
      <c r="AN135" s="104">
        <v>1.0414112970018221</v>
      </c>
      <c r="AO135" s="104">
        <v>0</v>
      </c>
      <c r="AP135" s="104">
        <v>0</v>
      </c>
      <c r="AQ135" s="100">
        <v>1</v>
      </c>
      <c r="AR135" s="100">
        <v>1</v>
      </c>
      <c r="AS135" s="103">
        <v>0</v>
      </c>
      <c r="AT135" s="103"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v>0</v>
      </c>
      <c r="BA135" s="103">
        <v>0</v>
      </c>
      <c r="BB135" s="103">
        <v>0</v>
      </c>
      <c r="BC135" s="103">
        <v>0</v>
      </c>
      <c r="BD135" s="103">
        <v>0</v>
      </c>
      <c r="BE135" s="103">
        <v>6.2750000000000004</v>
      </c>
      <c r="BF135" s="103">
        <v>6.2869999999999999</v>
      </c>
      <c r="BG135" s="100">
        <v>1</v>
      </c>
      <c r="BH135"/>
      <c r="BI135"/>
      <c r="BJ135"/>
      <c r="BK135"/>
      <c r="BL135"/>
      <c r="BM135"/>
      <c r="BN135"/>
      <c r="BO135"/>
      <c r="BP135"/>
      <c r="BQ135"/>
    </row>
    <row r="136" spans="1:69">
      <c r="A136" s="107">
        <v>12026</v>
      </c>
      <c r="B136" s="107" t="s">
        <v>139</v>
      </c>
      <c r="C136" s="107">
        <v>1</v>
      </c>
      <c r="D136" s="107">
        <v>0</v>
      </c>
      <c r="E136" s="111">
        <v>45.847000000000001</v>
      </c>
      <c r="F136" s="111">
        <v>45.420999999999999</v>
      </c>
      <c r="G136" s="111">
        <v>45.612000000000002</v>
      </c>
      <c r="H136" s="103">
        <v>0</v>
      </c>
      <c r="I136" s="103">
        <v>0</v>
      </c>
      <c r="J136" s="103">
        <v>0</v>
      </c>
      <c r="K136" s="103">
        <v>0</v>
      </c>
      <c r="L136" s="102">
        <v>0</v>
      </c>
      <c r="M136" s="102">
        <v>0</v>
      </c>
      <c r="N136" s="103">
        <v>45.551000000000002</v>
      </c>
      <c r="O136" s="103">
        <v>45.73</v>
      </c>
      <c r="P136" s="102">
        <v>399026.76</v>
      </c>
      <c r="Q136" s="102">
        <v>400594.8</v>
      </c>
      <c r="R136" s="100">
        <v>43.091000000000001</v>
      </c>
      <c r="S136" s="102">
        <v>377477.16000000003</v>
      </c>
      <c r="T136" s="102">
        <v>377477.16000000003</v>
      </c>
      <c r="U136" s="103">
        <v>2.46</v>
      </c>
      <c r="V136" s="103">
        <v>2.6389999999999998</v>
      </c>
      <c r="W136" s="103">
        <v>2.46</v>
      </c>
      <c r="X136" s="103">
        <v>2.6389999999999998</v>
      </c>
      <c r="Y136" s="103">
        <v>0</v>
      </c>
      <c r="Z136" s="103">
        <v>0</v>
      </c>
      <c r="AA136" s="100">
        <v>0</v>
      </c>
      <c r="AB136" s="100">
        <v>0</v>
      </c>
      <c r="AC136" s="103">
        <v>2.46</v>
      </c>
      <c r="AD136" s="103">
        <v>2.6389999999999998</v>
      </c>
      <c r="AE136" s="104">
        <v>6.3968000000000002E-3</v>
      </c>
      <c r="AF136" s="104">
        <v>6.3968000000000002E-3</v>
      </c>
      <c r="AG136" s="104">
        <v>0</v>
      </c>
      <c r="AH136" s="104">
        <v>6.3968000000000002E-3</v>
      </c>
      <c r="AI136" s="104">
        <v>6.3968000000000002E-3</v>
      </c>
      <c r="AJ136" s="104">
        <v>6.3968000000000002E-3</v>
      </c>
      <c r="AK136" s="104">
        <v>0.94599770040613829</v>
      </c>
      <c r="AL136" s="104">
        <v>0.94229480103214547</v>
      </c>
      <c r="AM136" s="104">
        <v>1.0570884871550905</v>
      </c>
      <c r="AN136" s="104">
        <v>1.0612424868301964</v>
      </c>
      <c r="AO136" s="104">
        <v>0</v>
      </c>
      <c r="AP136" s="104">
        <v>0</v>
      </c>
      <c r="AQ136" s="100">
        <v>1</v>
      </c>
      <c r="AR136" s="100">
        <v>1</v>
      </c>
      <c r="AS136" s="103">
        <v>0</v>
      </c>
      <c r="AT136" s="103">
        <v>0</v>
      </c>
      <c r="AU136" s="103">
        <v>2.46</v>
      </c>
      <c r="AV136" s="103">
        <v>2.6389999999999998</v>
      </c>
      <c r="AW136" s="103">
        <v>0</v>
      </c>
      <c r="AX136" s="103">
        <v>0</v>
      </c>
      <c r="AY136" s="103">
        <v>0</v>
      </c>
      <c r="AZ136" s="103">
        <v>0</v>
      </c>
      <c r="BA136" s="103">
        <v>0</v>
      </c>
      <c r="BB136" s="103">
        <v>0</v>
      </c>
      <c r="BC136" s="103">
        <v>0</v>
      </c>
      <c r="BD136" s="103">
        <v>0</v>
      </c>
      <c r="BE136" s="103">
        <v>45.551000000000002</v>
      </c>
      <c r="BF136" s="103">
        <v>45.73</v>
      </c>
      <c r="BG136" s="100">
        <v>0</v>
      </c>
      <c r="BH136"/>
      <c r="BI136"/>
      <c r="BJ136"/>
      <c r="BK136"/>
      <c r="BL136"/>
      <c r="BM136"/>
      <c r="BN136"/>
      <c r="BO136"/>
      <c r="BP136"/>
      <c r="BQ136"/>
    </row>
    <row r="137" spans="1:69" s="19" customFormat="1">
      <c r="A137" s="100">
        <v>10298</v>
      </c>
      <c r="B137" s="100" t="s">
        <v>140</v>
      </c>
      <c r="C137" s="100">
        <v>1</v>
      </c>
      <c r="D137" s="100">
        <v>0</v>
      </c>
      <c r="E137" s="103">
        <v>441.95</v>
      </c>
      <c r="F137" s="103">
        <v>469.45499999999998</v>
      </c>
      <c r="G137" s="103">
        <v>473.10300000000001</v>
      </c>
      <c r="H137" s="103">
        <v>0</v>
      </c>
      <c r="I137" s="103">
        <v>0</v>
      </c>
      <c r="J137" s="103">
        <v>6.1849999999999996</v>
      </c>
      <c r="K137" s="103">
        <v>6.1849999999999996</v>
      </c>
      <c r="L137" s="102">
        <v>54180.6</v>
      </c>
      <c r="M137" s="102">
        <v>54180.6</v>
      </c>
      <c r="N137" s="103">
        <v>461.47300000000001</v>
      </c>
      <c r="O137" s="103">
        <v>465.33100000000002</v>
      </c>
      <c r="P137" s="102">
        <v>4042503.48</v>
      </c>
      <c r="Q137" s="102">
        <v>4076299.56</v>
      </c>
      <c r="R137" s="100">
        <v>415.38100000000003</v>
      </c>
      <c r="S137" s="102">
        <v>3638737.56</v>
      </c>
      <c r="T137" s="102">
        <v>3638737.56</v>
      </c>
      <c r="U137" s="103">
        <v>46.55599999999999</v>
      </c>
      <c r="V137" s="103">
        <v>50.414000000000001</v>
      </c>
      <c r="W137" s="103">
        <v>46.55599999999999</v>
      </c>
      <c r="X137" s="103">
        <v>50.414000000000001</v>
      </c>
      <c r="Y137" s="103">
        <v>0</v>
      </c>
      <c r="Z137" s="103">
        <v>0</v>
      </c>
      <c r="AA137" s="100">
        <v>0</v>
      </c>
      <c r="AB137" s="100">
        <v>0</v>
      </c>
      <c r="AC137" s="103">
        <v>46.55599999999999</v>
      </c>
      <c r="AD137" s="103">
        <v>50.414000000000001</v>
      </c>
      <c r="AE137" s="104">
        <v>6.1593500000000002E-2</v>
      </c>
      <c r="AF137" s="104">
        <v>6.1593500000000002E-2</v>
      </c>
      <c r="AG137" s="104">
        <v>0</v>
      </c>
      <c r="AH137" s="104">
        <v>6.1593500000000002E-2</v>
      </c>
      <c r="AI137" s="104">
        <v>6.1593500000000002E-2</v>
      </c>
      <c r="AJ137" s="104">
        <v>6.1593500000000002E-2</v>
      </c>
      <c r="AK137" s="104">
        <v>0.89992954677025749</v>
      </c>
      <c r="AL137" s="104">
        <v>0.89310429213199094</v>
      </c>
      <c r="AM137" s="104">
        <v>1.1109631880129327</v>
      </c>
      <c r="AN137" s="104">
        <v>1.1202510466294799</v>
      </c>
      <c r="AO137" s="104">
        <v>0</v>
      </c>
      <c r="AP137" s="104">
        <v>0</v>
      </c>
      <c r="AQ137" s="100">
        <v>3</v>
      </c>
      <c r="AR137" s="100">
        <v>3</v>
      </c>
      <c r="AS137" s="103">
        <v>10</v>
      </c>
      <c r="AT137" s="103">
        <v>10</v>
      </c>
      <c r="AU137" s="103">
        <v>36.555999999999997</v>
      </c>
      <c r="AV137" s="103">
        <v>40.414000000000001</v>
      </c>
      <c r="AW137" s="103">
        <v>0</v>
      </c>
      <c r="AX137" s="103">
        <v>0</v>
      </c>
      <c r="AY137" s="103">
        <v>0</v>
      </c>
      <c r="AZ137" s="103">
        <v>0</v>
      </c>
      <c r="BA137" s="103">
        <v>0</v>
      </c>
      <c r="BB137" s="103">
        <v>0</v>
      </c>
      <c r="BC137" s="103">
        <v>0</v>
      </c>
      <c r="BD137" s="103">
        <v>0</v>
      </c>
      <c r="BE137" s="103">
        <v>451.47199999999998</v>
      </c>
      <c r="BF137" s="103">
        <v>455.33</v>
      </c>
      <c r="BG137" s="100">
        <v>0</v>
      </c>
      <c r="BH137"/>
      <c r="BI137"/>
      <c r="BJ137"/>
      <c r="BK137"/>
      <c r="BL137"/>
      <c r="BM137"/>
      <c r="BN137"/>
      <c r="BO137"/>
      <c r="BP137"/>
      <c r="BQ137"/>
    </row>
    <row r="138" spans="1:69" s="19" customForma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3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</row>
    <row r="139" spans="1:69" s="19" customFormat="1" ht="42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5"/>
      <c r="K139" s="100"/>
      <c r="L139" s="100"/>
      <c r="M139" s="100"/>
      <c r="N139" s="100"/>
      <c r="O139" s="105"/>
      <c r="P139" s="100"/>
      <c r="Q139" s="105"/>
      <c r="R139" s="100"/>
      <c r="S139" s="100"/>
      <c r="T139" s="100"/>
      <c r="U139" s="100"/>
      <c r="V139" s="110"/>
      <c r="W139" s="105"/>
      <c r="X139" s="105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</row>
    <row r="140" spans="1:69">
      <c r="A140" s="100"/>
      <c r="B140" s="100"/>
      <c r="C140" s="100"/>
      <c r="D140" s="100"/>
      <c r="E140" s="100"/>
      <c r="F140" s="100"/>
      <c r="G140" s="100"/>
      <c r="H140" s="100"/>
      <c r="I140" s="100"/>
      <c r="J140" s="105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</row>
    <row r="141" spans="1:69">
      <c r="A141" s="3"/>
      <c r="B141" s="4"/>
      <c r="C141" s="5"/>
      <c r="D141" s="5"/>
      <c r="E141" s="7"/>
      <c r="F141" s="7"/>
      <c r="G141" s="7"/>
      <c r="H141" s="7"/>
      <c r="I141" s="7"/>
      <c r="J141" s="7"/>
      <c r="K141" s="8"/>
      <c r="L141" s="8"/>
      <c r="M141" s="7"/>
      <c r="N141" s="7"/>
      <c r="O141" s="8"/>
      <c r="P141" s="8"/>
      <c r="Q141" s="6"/>
      <c r="R141" s="7"/>
      <c r="S141" s="7"/>
      <c r="T141" s="9"/>
      <c r="U141" s="9"/>
      <c r="V141" s="84"/>
      <c r="W141" s="84"/>
      <c r="X141" s="85"/>
      <c r="Y141" s="85"/>
      <c r="Z141" s="7"/>
      <c r="AA141" s="7"/>
      <c r="AB141" s="20"/>
      <c r="AC141" s="20"/>
      <c r="AD141" s="16"/>
      <c r="AE141" s="16"/>
      <c r="AF141" s="10"/>
      <c r="AG141" s="17"/>
      <c r="AH141" s="17"/>
      <c r="AI141" s="17"/>
      <c r="AJ141" s="11"/>
      <c r="AK141" s="11"/>
      <c r="AL141" s="11"/>
      <c r="AM141" s="11"/>
      <c r="AN141" s="12"/>
      <c r="AO141" s="12"/>
      <c r="AP141" s="12"/>
      <c r="AQ141" s="12"/>
      <c r="AR141" s="12"/>
      <c r="AS141" s="12"/>
      <c r="AT141" s="12"/>
      <c r="AU141" s="12"/>
    </row>
    <row r="142" spans="1:69">
      <c r="A142" s="100"/>
      <c r="B142" s="100"/>
      <c r="C142" s="100"/>
      <c r="D142" s="100"/>
      <c r="E142" s="100"/>
      <c r="F142" s="244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6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</row>
    <row r="143" spans="1:69">
      <c r="A143" s="100"/>
      <c r="B143" s="100"/>
      <c r="C143" s="100"/>
      <c r="D143" s="100"/>
      <c r="E143" s="100"/>
      <c r="F143" s="244"/>
      <c r="G143" s="244"/>
      <c r="H143" s="244"/>
      <c r="I143" s="244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5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</row>
    <row r="144" spans="1:69">
      <c r="A144" s="3"/>
      <c r="B144" s="4"/>
      <c r="C144" s="5"/>
      <c r="D144" s="5"/>
      <c r="E144" s="7"/>
      <c r="F144" s="244"/>
      <c r="G144" s="244"/>
      <c r="H144" s="244"/>
      <c r="I144" s="244"/>
      <c r="J144" s="7"/>
      <c r="K144" s="8"/>
      <c r="L144" s="8"/>
      <c r="M144" s="7"/>
      <c r="N144" s="7"/>
      <c r="O144" s="8"/>
      <c r="P144" s="8"/>
      <c r="Q144" s="6"/>
      <c r="R144" s="7"/>
      <c r="S144" s="7"/>
      <c r="T144" s="9"/>
      <c r="U144" s="9"/>
      <c r="V144" s="84"/>
      <c r="W144" s="84"/>
      <c r="X144" s="85"/>
      <c r="Y144" s="85"/>
      <c r="Z144" s="7"/>
      <c r="AA144" s="7"/>
      <c r="AB144" s="20"/>
      <c r="AC144" s="20"/>
      <c r="AD144" s="16"/>
      <c r="AE144" s="16"/>
      <c r="AF144" s="10"/>
      <c r="AG144" s="17"/>
      <c r="AH144" s="17"/>
      <c r="AI144" s="17"/>
      <c r="AJ144" s="11"/>
      <c r="AK144" s="11"/>
      <c r="AL144" s="11"/>
      <c r="AM144" s="11"/>
      <c r="AN144" s="12"/>
      <c r="AO144" s="12"/>
      <c r="AP144" s="12"/>
      <c r="AQ144" s="12"/>
      <c r="AR144" s="12"/>
      <c r="AS144" s="12"/>
      <c r="AT144" s="12"/>
      <c r="AU144" s="12"/>
    </row>
    <row r="145" spans="1:56">
      <c r="A145" s="3"/>
      <c r="B145" s="4"/>
      <c r="C145" s="5"/>
      <c r="D145" s="5"/>
      <c r="E145" s="7"/>
      <c r="F145" s="244"/>
      <c r="G145" s="244"/>
      <c r="H145" s="244"/>
      <c r="I145" s="244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</row>
    <row r="146" spans="1:56">
      <c r="A146" s="3"/>
      <c r="B146" s="4"/>
      <c r="C146" s="5"/>
      <c r="D146" s="5"/>
      <c r="E146" s="7"/>
      <c r="F146" s="312"/>
      <c r="G146" s="244"/>
      <c r="H146" s="244"/>
      <c r="I146" s="244"/>
      <c r="J146" s="7"/>
      <c r="K146" s="8"/>
      <c r="L146" s="8"/>
      <c r="M146" s="7"/>
      <c r="N146" s="7"/>
      <c r="O146" s="8"/>
      <c r="P146" s="8"/>
      <c r="Q146" s="6"/>
      <c r="R146" s="7"/>
      <c r="S146" s="7"/>
      <c r="T146" s="9"/>
      <c r="U146" s="9"/>
      <c r="V146" s="84"/>
      <c r="W146" s="84"/>
      <c r="X146" s="85"/>
      <c r="Y146" s="85"/>
      <c r="Z146" s="7"/>
      <c r="AA146" s="7"/>
      <c r="AB146" s="20"/>
      <c r="AC146" s="20"/>
      <c r="AD146" s="16"/>
      <c r="AE146" s="16"/>
      <c r="AF146" s="10"/>
      <c r="AG146" s="17"/>
      <c r="AH146" s="17"/>
      <c r="AI146" s="17"/>
      <c r="AJ146" s="11"/>
      <c r="AK146" s="11"/>
      <c r="AL146" s="11"/>
      <c r="AM146" s="11"/>
      <c r="AN146" s="12"/>
      <c r="AO146" s="12"/>
      <c r="AP146" s="12"/>
      <c r="AQ146" s="12"/>
      <c r="AR146" s="12"/>
      <c r="AS146" s="12"/>
      <c r="AT146" s="12"/>
      <c r="AU146" s="12"/>
    </row>
    <row r="147" spans="1:56">
      <c r="A147" s="3"/>
      <c r="B147" s="4"/>
      <c r="C147" s="5"/>
      <c r="D147" s="5"/>
      <c r="E147" s="7"/>
      <c r="F147" s="244"/>
      <c r="G147" s="244"/>
      <c r="H147" s="244"/>
      <c r="I147" s="244"/>
      <c r="J147" s="7"/>
      <c r="K147" s="8"/>
      <c r="L147" s="8"/>
      <c r="M147" s="7"/>
      <c r="N147" s="7"/>
      <c r="O147" s="8"/>
      <c r="P147" s="8"/>
      <c r="Q147" s="6"/>
      <c r="R147" s="7"/>
      <c r="S147" s="7"/>
      <c r="T147" s="9"/>
      <c r="U147" s="9"/>
      <c r="V147" s="84"/>
      <c r="W147" s="84"/>
      <c r="X147" s="85"/>
      <c r="Y147" s="85"/>
      <c r="Z147" s="7"/>
      <c r="AA147" s="7"/>
      <c r="AB147" s="20"/>
      <c r="AC147" s="20"/>
      <c r="AD147" s="16"/>
      <c r="AE147" s="16"/>
      <c r="AF147" s="10"/>
      <c r="AG147" s="17"/>
      <c r="AH147" s="17"/>
      <c r="AI147" s="17"/>
      <c r="AJ147" s="11"/>
      <c r="AK147" s="11"/>
      <c r="AL147" s="11"/>
      <c r="AM147" s="11"/>
      <c r="AN147" s="12"/>
      <c r="AO147" s="12"/>
      <c r="AP147" s="12"/>
      <c r="AQ147" s="12"/>
      <c r="AR147" s="12"/>
      <c r="AS147" s="12"/>
      <c r="AT147" s="12"/>
      <c r="AU147" s="12"/>
    </row>
    <row r="148" spans="1:56">
      <c r="A148" s="3"/>
      <c r="B148" s="4"/>
      <c r="C148" s="5"/>
      <c r="D148" s="5"/>
      <c r="E148" s="7"/>
      <c r="F148" s="244"/>
      <c r="G148" s="244"/>
      <c r="H148" s="244"/>
      <c r="I148" s="244"/>
      <c r="J148" s="7"/>
      <c r="K148" s="8"/>
      <c r="L148" s="8"/>
      <c r="M148" s="7"/>
      <c r="N148" s="7"/>
      <c r="O148" s="8"/>
      <c r="P148" s="8"/>
      <c r="Q148" s="6"/>
      <c r="R148" s="7"/>
      <c r="S148" s="7"/>
      <c r="T148" s="9"/>
      <c r="U148" s="9"/>
      <c r="V148" s="84"/>
      <c r="W148" s="84"/>
      <c r="X148" s="85"/>
      <c r="Y148" s="85"/>
      <c r="Z148" s="7"/>
      <c r="AA148" s="7"/>
      <c r="AB148" s="20"/>
      <c r="AC148" s="20"/>
      <c r="AD148" s="16"/>
      <c r="AE148" s="16"/>
      <c r="AF148" s="10"/>
      <c r="AG148" s="17"/>
      <c r="AH148" s="17"/>
      <c r="AI148" s="17"/>
      <c r="AJ148" s="11"/>
      <c r="AK148" s="11"/>
      <c r="AL148" s="11"/>
      <c r="AM148" s="11"/>
      <c r="AN148" s="12"/>
      <c r="AO148" s="12"/>
      <c r="AP148" s="12"/>
      <c r="AQ148" s="12"/>
      <c r="AR148" s="12"/>
      <c r="AS148" s="12"/>
      <c r="AT148" s="12"/>
      <c r="AU148" s="12"/>
    </row>
    <row r="149" spans="1:56">
      <c r="A149" s="3"/>
      <c r="B149" s="4"/>
      <c r="C149" s="5"/>
      <c r="D149" s="5"/>
      <c r="E149" s="7"/>
      <c r="F149" s="244"/>
      <c r="G149" s="244"/>
      <c r="H149" s="244"/>
      <c r="I149" s="244"/>
      <c r="J149" s="7"/>
      <c r="K149" s="8"/>
      <c r="L149" s="8"/>
      <c r="M149" s="7"/>
      <c r="N149" s="7"/>
      <c r="O149" s="8"/>
      <c r="P149" s="8"/>
      <c r="Q149" s="6"/>
      <c r="R149" s="7"/>
      <c r="S149" s="7"/>
      <c r="T149" s="9"/>
      <c r="U149" s="9"/>
      <c r="V149" s="84"/>
      <c r="W149" s="84"/>
      <c r="X149" s="85"/>
      <c r="Y149" s="85"/>
      <c r="Z149" s="7"/>
      <c r="AA149" s="7"/>
      <c r="AB149" s="20"/>
      <c r="AC149" s="20"/>
      <c r="AD149" s="16"/>
      <c r="AE149" s="16"/>
      <c r="AF149" s="10"/>
      <c r="AG149" s="17"/>
      <c r="AH149" s="17"/>
      <c r="AI149" s="17"/>
      <c r="AJ149" s="11"/>
      <c r="AK149" s="11"/>
      <c r="AL149" s="11"/>
      <c r="AM149" s="11"/>
      <c r="AN149" s="12"/>
      <c r="AO149" s="12"/>
      <c r="AP149" s="12"/>
      <c r="AQ149" s="12"/>
      <c r="AR149" s="12"/>
      <c r="AS149" s="12"/>
      <c r="AT149" s="12"/>
      <c r="AU149" s="12"/>
    </row>
    <row r="150" spans="1:56">
      <c r="A150" s="3"/>
      <c r="B150" s="4"/>
      <c r="C150" s="5"/>
      <c r="D150" s="5"/>
      <c r="E150" s="7"/>
      <c r="F150" s="244"/>
      <c r="G150" s="244"/>
      <c r="H150" s="244"/>
      <c r="I150" s="244"/>
      <c r="J150" s="7"/>
      <c r="K150" s="8"/>
      <c r="L150" s="8"/>
      <c r="M150" s="7"/>
      <c r="N150" s="7"/>
      <c r="O150" s="8"/>
      <c r="P150" s="8"/>
      <c r="Q150" s="6"/>
      <c r="R150" s="7"/>
      <c r="S150" s="7"/>
      <c r="T150" s="9"/>
      <c r="U150" s="9"/>
      <c r="V150" s="84"/>
      <c r="W150" s="84"/>
      <c r="X150" s="85"/>
      <c r="Y150" s="85"/>
      <c r="Z150" s="7"/>
      <c r="AA150" s="7"/>
      <c r="AB150" s="20"/>
      <c r="AC150" s="20"/>
      <c r="AD150" s="16"/>
      <c r="AE150" s="16"/>
      <c r="AF150" s="10"/>
      <c r="AG150" s="17"/>
      <c r="AH150" s="17"/>
      <c r="AI150" s="17"/>
      <c r="AJ150" s="11"/>
      <c r="AK150" s="11"/>
      <c r="AL150" s="11"/>
      <c r="AM150" s="11"/>
      <c r="AN150" s="12"/>
      <c r="AO150" s="12"/>
      <c r="AP150" s="12"/>
      <c r="AQ150" s="12"/>
      <c r="AR150" s="12"/>
      <c r="AS150" s="12"/>
      <c r="AT150" s="12"/>
      <c r="AU150" s="12"/>
    </row>
    <row r="151" spans="1:56">
      <c r="A151" s="3"/>
      <c r="B151" s="4"/>
      <c r="C151" s="5"/>
      <c r="D151" s="5"/>
      <c r="E151" s="7"/>
      <c r="F151" s="244"/>
      <c r="G151" s="244"/>
      <c r="H151" s="244"/>
      <c r="I151" s="244"/>
      <c r="J151" s="7"/>
      <c r="K151" s="8"/>
      <c r="L151" s="8"/>
      <c r="M151" s="7"/>
      <c r="N151" s="7"/>
      <c r="O151" s="8"/>
      <c r="P151" s="8"/>
      <c r="Q151" s="6"/>
      <c r="R151" s="7"/>
      <c r="S151" s="7"/>
      <c r="T151" s="9"/>
      <c r="U151" s="9"/>
      <c r="V151" s="84"/>
      <c r="W151" s="84"/>
      <c r="X151" s="85"/>
      <c r="Y151" s="85"/>
      <c r="Z151" s="7"/>
      <c r="AA151" s="7"/>
      <c r="AB151" s="20"/>
      <c r="AC151" s="20"/>
      <c r="AD151" s="16"/>
      <c r="AE151" s="16"/>
      <c r="AF151" s="10"/>
      <c r="AG151" s="17"/>
      <c r="AH151" s="17"/>
      <c r="AI151" s="17"/>
      <c r="AJ151" s="11"/>
      <c r="AK151" s="11"/>
      <c r="AL151" s="11"/>
      <c r="AM151" s="11"/>
      <c r="AN151" s="12"/>
      <c r="AO151" s="12"/>
      <c r="AP151" s="12"/>
      <c r="AQ151" s="12"/>
      <c r="AR151" s="12"/>
      <c r="AS151" s="12"/>
      <c r="AT151" s="12"/>
      <c r="AU151" s="12"/>
    </row>
    <row r="152" spans="1:56">
      <c r="A152" s="3"/>
      <c r="B152" s="4"/>
      <c r="C152" s="5"/>
      <c r="D152" s="5"/>
      <c r="E152" s="7"/>
      <c r="F152" s="244"/>
      <c r="G152" s="244"/>
      <c r="H152" s="244"/>
      <c r="I152" s="244"/>
      <c r="J152" s="7"/>
      <c r="K152" s="8"/>
      <c r="L152" s="8"/>
      <c r="M152" s="7"/>
      <c r="N152" s="7"/>
      <c r="O152" s="8"/>
      <c r="P152" s="8"/>
      <c r="Q152" s="6"/>
      <c r="R152" s="7"/>
      <c r="S152" s="7"/>
      <c r="T152" s="9"/>
      <c r="U152" s="9"/>
      <c r="V152" s="84"/>
      <c r="W152" s="84"/>
      <c r="X152" s="85"/>
      <c r="Y152" s="85"/>
      <c r="Z152" s="7"/>
      <c r="AA152" s="7"/>
      <c r="AB152" s="20"/>
      <c r="AC152" s="20"/>
      <c r="AD152" s="16"/>
      <c r="AE152" s="16"/>
      <c r="AF152" s="10"/>
      <c r="AG152" s="17"/>
      <c r="AH152" s="17"/>
      <c r="AI152" s="17"/>
      <c r="AJ152" s="11"/>
      <c r="AK152" s="11"/>
      <c r="AL152" s="11"/>
      <c r="AM152" s="11"/>
      <c r="AN152" s="12"/>
      <c r="AO152" s="12"/>
      <c r="AP152" s="12"/>
      <c r="AQ152" s="12"/>
      <c r="AR152" s="12"/>
      <c r="AS152" s="12"/>
      <c r="AT152" s="12"/>
      <c r="AU152" s="12"/>
    </row>
    <row r="153" spans="1:56">
      <c r="A153" s="3"/>
      <c r="B153" s="4"/>
      <c r="C153" s="5"/>
      <c r="D153" s="5"/>
      <c r="E153" s="7"/>
      <c r="F153" s="244"/>
      <c r="G153" s="244"/>
      <c r="H153" s="244"/>
      <c r="I153" s="244"/>
      <c r="J153" s="7"/>
      <c r="K153" s="8"/>
      <c r="L153" s="8"/>
      <c r="M153" s="7"/>
      <c r="N153" s="7"/>
      <c r="O153" s="8"/>
      <c r="P153" s="8"/>
      <c r="Q153" s="6"/>
      <c r="R153" s="7"/>
      <c r="S153" s="7"/>
      <c r="T153" s="9"/>
      <c r="U153" s="9"/>
      <c r="V153" s="84"/>
      <c r="W153" s="84"/>
      <c r="X153" s="85"/>
      <c r="Y153" s="85"/>
      <c r="Z153" s="7"/>
      <c r="AA153" s="7"/>
      <c r="AB153" s="20"/>
      <c r="AC153" s="20"/>
      <c r="AD153" s="16"/>
      <c r="AE153" s="16"/>
      <c r="AF153" s="10"/>
      <c r="AG153" s="17"/>
      <c r="AH153" s="17"/>
      <c r="AI153" s="17"/>
      <c r="AJ153" s="11"/>
      <c r="AK153" s="11"/>
      <c r="AL153" s="11"/>
      <c r="AM153" s="11"/>
      <c r="AN153" s="12"/>
      <c r="AO153" s="12"/>
      <c r="AP153" s="12"/>
      <c r="AQ153" s="12"/>
      <c r="AR153" s="12"/>
      <c r="AS153" s="12"/>
      <c r="AT153" s="12"/>
      <c r="AU153" s="12"/>
    </row>
    <row r="154" spans="1:56">
      <c r="A154" s="3"/>
      <c r="B154" s="4"/>
      <c r="C154" s="5"/>
      <c r="D154" s="5"/>
      <c r="E154" s="7"/>
      <c r="F154" s="244"/>
      <c r="G154" s="244"/>
      <c r="H154" s="244"/>
      <c r="I154" s="244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4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</row>
    <row r="155" spans="1:56">
      <c r="A155" s="3"/>
      <c r="B155" s="4"/>
      <c r="C155" s="5"/>
      <c r="D155" s="5"/>
      <c r="E155" s="7"/>
      <c r="F155" s="244"/>
      <c r="G155" s="244"/>
      <c r="H155" s="244"/>
      <c r="I155" s="244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4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</row>
    <row r="156" spans="1:56">
      <c r="A156" s="3"/>
      <c r="B156" s="4"/>
      <c r="C156" s="5"/>
      <c r="D156" s="5"/>
      <c r="E156" s="7"/>
      <c r="F156" s="244"/>
      <c r="G156" s="244"/>
      <c r="H156" s="244"/>
      <c r="I156" s="244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4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</row>
    <row r="157" spans="1:56">
      <c r="A157" s="3"/>
      <c r="B157" s="4"/>
      <c r="C157" s="5"/>
      <c r="D157" s="5"/>
      <c r="E157" s="7"/>
      <c r="F157" s="244"/>
      <c r="G157" s="244"/>
      <c r="H157" s="244"/>
      <c r="I157" s="244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4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</row>
    <row r="158" spans="1:56">
      <c r="A158" s="3"/>
      <c r="B158" s="4"/>
      <c r="C158" s="5"/>
      <c r="D158" s="5"/>
      <c r="E158" s="7"/>
      <c r="F158" s="244"/>
      <c r="G158" s="244"/>
      <c r="H158" s="244"/>
      <c r="I158" s="244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4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</row>
    <row r="159" spans="1:56">
      <c r="A159" s="3"/>
      <c r="B159" s="4"/>
      <c r="C159" s="5"/>
      <c r="D159" s="5"/>
      <c r="E159" s="7"/>
      <c r="F159" s="244"/>
      <c r="G159" s="244"/>
      <c r="H159" s="244"/>
      <c r="I159" s="244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4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</row>
    <row r="160" spans="1:56">
      <c r="A160" s="3"/>
      <c r="B160" s="4"/>
      <c r="C160" s="5"/>
      <c r="D160" s="5"/>
      <c r="E160" s="7"/>
      <c r="F160" s="244"/>
      <c r="G160" s="244"/>
      <c r="H160" s="244"/>
      <c r="I160" s="244"/>
      <c r="J160" s="7"/>
      <c r="K160" s="8"/>
      <c r="L160" s="8"/>
      <c r="M160" s="7"/>
      <c r="N160" s="7"/>
      <c r="O160" s="8"/>
      <c r="P160" s="8"/>
      <c r="Q160" s="6"/>
      <c r="R160" s="7"/>
      <c r="S160" s="7"/>
      <c r="T160" s="9"/>
      <c r="U160" s="9"/>
      <c r="V160" s="84"/>
      <c r="W160" s="84"/>
      <c r="X160" s="85"/>
      <c r="Y160" s="85"/>
      <c r="Z160" s="7"/>
      <c r="AA160" s="7"/>
      <c r="AB160" s="20"/>
      <c r="AC160" s="100"/>
      <c r="AD160" s="104"/>
      <c r="AE160" s="16"/>
      <c r="AF160" s="10"/>
      <c r="AG160" s="17"/>
      <c r="AH160" s="17"/>
      <c r="AI160" s="17"/>
      <c r="AJ160" s="11"/>
      <c r="AK160" s="11"/>
      <c r="AL160" s="11"/>
      <c r="AM160" s="11"/>
      <c r="AN160" s="12"/>
      <c r="AO160" s="12"/>
      <c r="AP160" s="12"/>
      <c r="AQ160" s="12"/>
      <c r="AR160" s="12"/>
      <c r="AS160" s="12"/>
      <c r="AT160" s="12"/>
      <c r="AU160" s="12"/>
    </row>
    <row r="161" spans="1:47">
      <c r="A161" s="3"/>
      <c r="B161" s="4"/>
      <c r="C161" s="5"/>
      <c r="D161" s="5"/>
      <c r="E161" s="7"/>
      <c r="F161" s="244"/>
      <c r="G161" s="244"/>
      <c r="H161" s="244"/>
      <c r="I161" s="244"/>
      <c r="J161" s="7"/>
      <c r="K161" s="8"/>
      <c r="L161" s="8"/>
      <c r="M161" s="7"/>
      <c r="N161" s="7"/>
      <c r="O161" s="8"/>
      <c r="P161" s="8"/>
      <c r="Q161" s="6"/>
      <c r="R161" s="7"/>
      <c r="S161" s="7"/>
      <c r="T161" s="9"/>
      <c r="U161" s="9"/>
      <c r="V161" s="84"/>
      <c r="W161" s="84"/>
      <c r="X161" s="85"/>
      <c r="Y161" s="85"/>
      <c r="Z161" s="7"/>
      <c r="AA161" s="7"/>
      <c r="AB161" s="20"/>
      <c r="AC161" s="100"/>
      <c r="AD161" s="104"/>
      <c r="AE161" s="16"/>
      <c r="AF161" s="10"/>
      <c r="AG161" s="17"/>
      <c r="AH161" s="17"/>
      <c r="AI161" s="17"/>
      <c r="AJ161" s="11"/>
      <c r="AK161" s="11"/>
      <c r="AL161" s="11"/>
      <c r="AM161" s="11"/>
      <c r="AN161" s="12"/>
      <c r="AO161" s="12"/>
      <c r="AP161" s="12"/>
      <c r="AQ161" s="12"/>
      <c r="AR161" s="12"/>
      <c r="AS161" s="12"/>
      <c r="AT161" s="12"/>
      <c r="AU161" s="12"/>
    </row>
    <row r="162" spans="1:47">
      <c r="A162" s="3"/>
      <c r="B162" s="4"/>
      <c r="C162" s="5"/>
      <c r="D162" s="5"/>
      <c r="E162" s="7"/>
      <c r="F162" s="244"/>
      <c r="G162" s="244"/>
      <c r="H162" s="244"/>
      <c r="I162" s="244"/>
      <c r="J162" s="7"/>
      <c r="K162" s="8"/>
      <c r="L162" s="8"/>
      <c r="M162" s="7"/>
      <c r="N162" s="7"/>
      <c r="O162" s="8"/>
      <c r="P162" s="8"/>
      <c r="Q162" s="6"/>
      <c r="R162" s="7"/>
      <c r="S162" s="7"/>
      <c r="T162" s="9"/>
      <c r="U162" s="9"/>
      <c r="V162" s="84"/>
      <c r="W162" s="84"/>
      <c r="X162" s="85"/>
      <c r="Y162" s="85"/>
      <c r="Z162" s="7"/>
      <c r="AA162" s="7"/>
      <c r="AB162" s="20"/>
      <c r="AC162" s="100"/>
      <c r="AD162" s="104"/>
      <c r="AE162" s="16"/>
      <c r="AF162" s="10"/>
      <c r="AG162" s="17"/>
      <c r="AH162" s="17"/>
      <c r="AI162" s="17"/>
      <c r="AJ162" s="11"/>
      <c r="AK162" s="11"/>
      <c r="AL162" s="11"/>
      <c r="AM162" s="11"/>
      <c r="AN162" s="12"/>
      <c r="AO162" s="12"/>
      <c r="AP162" s="12"/>
      <c r="AQ162" s="12"/>
      <c r="AR162" s="12"/>
      <c r="AS162" s="12"/>
      <c r="AT162" s="12"/>
      <c r="AU162" s="12"/>
    </row>
    <row r="163" spans="1:47">
      <c r="A163" s="3"/>
      <c r="B163" s="4"/>
      <c r="C163" s="5"/>
      <c r="D163" s="5"/>
      <c r="E163" s="7"/>
      <c r="F163" s="312"/>
      <c r="G163" s="244"/>
      <c r="H163" s="244"/>
      <c r="I163" s="244"/>
      <c r="J163" s="7"/>
      <c r="K163" s="8"/>
      <c r="L163" s="8"/>
      <c r="M163" s="7"/>
      <c r="N163" s="7"/>
      <c r="O163" s="8"/>
      <c r="P163" s="8"/>
      <c r="Q163" s="6"/>
      <c r="R163" s="7"/>
      <c r="S163" s="7"/>
      <c r="T163" s="9"/>
      <c r="U163" s="9"/>
      <c r="V163" s="84"/>
      <c r="W163" s="84"/>
      <c r="X163" s="85"/>
      <c r="Y163" s="85"/>
      <c r="Z163" s="7"/>
      <c r="AA163" s="7"/>
      <c r="AB163" s="20"/>
      <c r="AC163" s="100"/>
      <c r="AD163" s="104"/>
      <c r="AE163" s="16"/>
      <c r="AF163" s="10"/>
      <c r="AG163" s="17"/>
      <c r="AH163" s="17"/>
      <c r="AI163" s="17"/>
      <c r="AJ163" s="11"/>
      <c r="AK163" s="11"/>
      <c r="AL163" s="11"/>
      <c r="AM163" s="11"/>
      <c r="AN163" s="12"/>
      <c r="AO163" s="12"/>
      <c r="AP163" s="12"/>
      <c r="AQ163" s="12"/>
      <c r="AR163" s="12"/>
      <c r="AS163" s="12"/>
      <c r="AT163" s="12"/>
      <c r="AU163" s="12"/>
    </row>
    <row r="164" spans="1:47">
      <c r="A164" s="3"/>
      <c r="B164" s="4"/>
      <c r="C164" s="5"/>
      <c r="D164" s="5"/>
      <c r="E164" s="7"/>
      <c r="F164" s="244"/>
      <c r="G164" s="244"/>
      <c r="H164" s="244"/>
      <c r="I164" s="244"/>
      <c r="J164" s="7"/>
      <c r="K164" s="8"/>
      <c r="L164" s="8"/>
      <c r="M164" s="7"/>
      <c r="N164" s="7"/>
      <c r="O164" s="8"/>
      <c r="P164" s="8"/>
      <c r="Q164" s="6"/>
      <c r="R164" s="7"/>
      <c r="S164" s="7"/>
      <c r="T164" s="9"/>
      <c r="U164" s="9"/>
      <c r="V164" s="84"/>
      <c r="W164" s="84"/>
      <c r="X164" s="85"/>
      <c r="Y164" s="85"/>
      <c r="Z164" s="7"/>
      <c r="AA164" s="7"/>
      <c r="AB164" s="20"/>
      <c r="AC164" s="100"/>
      <c r="AD164" s="104"/>
      <c r="AE164" s="16"/>
      <c r="AF164" s="10"/>
      <c r="AG164" s="17"/>
      <c r="AH164" s="17"/>
      <c r="AI164" s="17"/>
      <c r="AJ164" s="11"/>
      <c r="AK164" s="11"/>
      <c r="AL164" s="11"/>
      <c r="AM164" s="11"/>
      <c r="AN164" s="12"/>
      <c r="AO164" s="12"/>
      <c r="AP164" s="12"/>
      <c r="AQ164" s="12"/>
      <c r="AR164" s="12"/>
      <c r="AS164" s="12"/>
      <c r="AT164" s="12"/>
      <c r="AU164" s="12"/>
    </row>
    <row r="165" spans="1:47">
      <c r="A165" s="21"/>
      <c r="B165" s="21"/>
      <c r="C165" s="5"/>
      <c r="D165" s="5"/>
      <c r="E165" s="7"/>
      <c r="F165" s="244"/>
      <c r="G165" s="244"/>
      <c r="H165" s="244"/>
      <c r="I165" s="244"/>
      <c r="J165" s="7"/>
      <c r="K165" s="8"/>
      <c r="L165" s="8"/>
      <c r="M165" s="7"/>
      <c r="N165" s="7"/>
      <c r="O165" s="8"/>
      <c r="P165" s="8"/>
      <c r="Q165" s="6"/>
      <c r="R165" s="7"/>
      <c r="S165" s="7"/>
      <c r="T165" s="9"/>
      <c r="U165" s="9"/>
      <c r="V165" s="84"/>
      <c r="W165" s="84"/>
      <c r="X165" s="85"/>
      <c r="Y165" s="85"/>
      <c r="Z165" s="7"/>
      <c r="AA165" s="7"/>
      <c r="AB165" s="20"/>
      <c r="AC165" s="100"/>
      <c r="AD165" s="104"/>
      <c r="AE165" s="16"/>
      <c r="AF165" s="10"/>
      <c r="AG165" s="17"/>
      <c r="AH165" s="17"/>
      <c r="AI165" s="17"/>
      <c r="AJ165" s="11"/>
      <c r="AK165" s="11"/>
      <c r="AL165" s="11"/>
      <c r="AM165" s="11"/>
      <c r="AN165" s="12"/>
      <c r="AO165" s="12"/>
      <c r="AP165" s="12"/>
      <c r="AQ165" s="12"/>
      <c r="AR165" s="12"/>
      <c r="AS165" s="12"/>
      <c r="AT165" s="12"/>
      <c r="AU165" s="12"/>
    </row>
    <row r="166" spans="1:47">
      <c r="A166" s="21"/>
      <c r="B166" s="21"/>
      <c r="C166" s="5"/>
      <c r="D166" s="5"/>
      <c r="E166" s="7"/>
      <c r="F166" s="244"/>
      <c r="G166" s="244"/>
      <c r="H166" s="244"/>
      <c r="I166" s="244"/>
      <c r="J166" s="7"/>
      <c r="K166" s="8"/>
      <c r="L166" s="8"/>
      <c r="M166" s="7"/>
      <c r="N166" s="7"/>
      <c r="O166" s="8"/>
      <c r="P166" s="8"/>
      <c r="Q166" s="6"/>
      <c r="R166" s="7"/>
      <c r="S166" s="7"/>
      <c r="T166" s="9"/>
      <c r="U166" s="9"/>
      <c r="V166" s="84"/>
      <c r="W166" s="84"/>
      <c r="X166" s="85"/>
      <c r="Y166" s="85"/>
      <c r="Z166" s="7"/>
      <c r="AA166" s="7"/>
      <c r="AB166" s="20"/>
      <c r="AC166" s="100"/>
      <c r="AD166" s="104"/>
      <c r="AE166" s="16"/>
      <c r="AF166" s="10"/>
      <c r="AG166" s="17"/>
      <c r="AH166" s="17"/>
      <c r="AI166" s="17"/>
      <c r="AJ166" s="11"/>
      <c r="AK166" s="11"/>
      <c r="AL166" s="11"/>
      <c r="AM166" s="11"/>
      <c r="AN166" s="12"/>
      <c r="AO166" s="12"/>
      <c r="AP166" s="12"/>
      <c r="AQ166" s="12"/>
      <c r="AR166" s="12"/>
      <c r="AS166" s="12"/>
      <c r="AT166" s="12"/>
      <c r="AU166" s="12"/>
    </row>
    <row r="167" spans="1:47">
      <c r="A167" s="21"/>
      <c r="B167" s="21"/>
      <c r="C167" s="5"/>
      <c r="D167" s="5"/>
      <c r="E167" s="7"/>
      <c r="F167" s="244"/>
      <c r="G167" s="244"/>
      <c r="H167" s="244"/>
      <c r="I167" s="244"/>
      <c r="J167" s="7"/>
      <c r="K167" s="8"/>
      <c r="L167" s="8"/>
      <c r="M167" s="7"/>
      <c r="N167" s="7"/>
      <c r="O167" s="8"/>
      <c r="P167" s="8"/>
      <c r="Q167" s="6"/>
      <c r="R167" s="7"/>
      <c r="S167" s="7"/>
      <c r="T167" s="9"/>
      <c r="U167" s="9"/>
      <c r="V167" s="84"/>
      <c r="W167" s="84"/>
      <c r="X167" s="85"/>
      <c r="Y167" s="85"/>
      <c r="Z167" s="7"/>
      <c r="AA167" s="7"/>
      <c r="AB167" s="20"/>
      <c r="AC167" s="100"/>
      <c r="AD167" s="104"/>
      <c r="AE167" s="16"/>
      <c r="AF167" s="10"/>
      <c r="AG167" s="17"/>
      <c r="AH167" s="17"/>
      <c r="AI167" s="17"/>
      <c r="AJ167" s="11"/>
      <c r="AK167" s="11"/>
      <c r="AL167" s="11"/>
      <c r="AM167" s="11"/>
      <c r="AN167" s="12"/>
      <c r="AO167" s="12"/>
      <c r="AP167" s="12"/>
      <c r="AQ167" s="12"/>
      <c r="AR167" s="12"/>
      <c r="AS167" s="12"/>
      <c r="AT167" s="12"/>
      <c r="AU167" s="12"/>
    </row>
    <row r="168" spans="1:47">
      <c r="C168" s="5"/>
      <c r="D168" s="5"/>
      <c r="E168" s="7"/>
      <c r="F168" s="244"/>
      <c r="G168" s="244"/>
      <c r="H168" s="244"/>
      <c r="I168" s="244"/>
      <c r="J168" s="7"/>
      <c r="K168" s="8"/>
      <c r="L168" s="8"/>
      <c r="M168" s="7"/>
      <c r="N168" s="7"/>
      <c r="O168" s="8"/>
      <c r="P168" s="8"/>
      <c r="Q168" s="6"/>
      <c r="R168" s="7"/>
      <c r="S168" s="7"/>
      <c r="T168" s="9"/>
      <c r="U168" s="9"/>
      <c r="V168" s="84"/>
      <c r="W168" s="84"/>
      <c r="X168" s="85"/>
      <c r="Y168" s="85"/>
      <c r="Z168" s="7"/>
      <c r="AA168" s="7"/>
      <c r="AB168" s="20"/>
      <c r="AC168" s="20"/>
      <c r="AD168" s="16"/>
      <c r="AE168" s="16"/>
      <c r="AF168" s="10"/>
      <c r="AG168" s="17"/>
      <c r="AH168" s="17"/>
      <c r="AI168" s="17"/>
      <c r="AJ168" s="11"/>
      <c r="AK168" s="11"/>
      <c r="AL168" s="11"/>
      <c r="AM168" s="11"/>
      <c r="AN168" s="12"/>
      <c r="AO168" s="12"/>
      <c r="AP168" s="12"/>
      <c r="AQ168" s="12"/>
      <c r="AR168" s="12"/>
      <c r="AS168" s="12"/>
      <c r="AT168" s="12"/>
      <c r="AU168" s="12"/>
    </row>
    <row r="169" spans="1:47">
      <c r="C169" s="16" t="s">
        <v>141</v>
      </c>
      <c r="D169" s="16" t="s">
        <v>141</v>
      </c>
      <c r="E169" s="7" t="s">
        <v>141</v>
      </c>
      <c r="F169" s="244"/>
      <c r="G169" s="244"/>
      <c r="H169" s="244"/>
      <c r="I169" s="244"/>
      <c r="J169" s="7" t="s">
        <v>141</v>
      </c>
      <c r="K169" s="8" t="s">
        <v>141</v>
      </c>
      <c r="L169" s="8" t="s">
        <v>141</v>
      </c>
      <c r="M169" s="7" t="s">
        <v>141</v>
      </c>
      <c r="N169" s="7" t="s">
        <v>141</v>
      </c>
      <c r="O169" s="8" t="s">
        <v>141</v>
      </c>
      <c r="P169" s="8" t="s">
        <v>141</v>
      </c>
      <c r="Q169" s="6" t="s">
        <v>141</v>
      </c>
      <c r="R169" s="7" t="s">
        <v>141</v>
      </c>
      <c r="S169" s="7"/>
      <c r="T169" s="9" t="s">
        <v>141</v>
      </c>
      <c r="U169" s="9" t="s">
        <v>141</v>
      </c>
      <c r="V169" s="84" t="s">
        <v>141</v>
      </c>
      <c r="W169" s="84" t="s">
        <v>141</v>
      </c>
      <c r="X169" s="85"/>
      <c r="Y169" s="85"/>
      <c r="Z169" s="7"/>
      <c r="AA169" s="7"/>
      <c r="AB169" s="20"/>
      <c r="AC169" s="20"/>
      <c r="AD169" s="16"/>
      <c r="AE169" s="16"/>
      <c r="AF169" s="10"/>
      <c r="AG169" s="17"/>
      <c r="AH169" s="17"/>
      <c r="AI169" s="17"/>
      <c r="AJ169" s="11"/>
      <c r="AK169" s="11"/>
      <c r="AL169" s="11"/>
      <c r="AM169" s="11"/>
      <c r="AN169" s="12"/>
      <c r="AO169" s="12"/>
      <c r="AP169" s="12"/>
      <c r="AQ169" s="12"/>
      <c r="AR169" s="12"/>
      <c r="AS169" s="12"/>
      <c r="AT169" s="12"/>
      <c r="AU169" s="12"/>
    </row>
    <row r="170" spans="1:47">
      <c r="C170" s="16" t="s">
        <v>141</v>
      </c>
      <c r="D170" s="16" t="s">
        <v>141</v>
      </c>
      <c r="E170" s="7" t="s">
        <v>141</v>
      </c>
      <c r="F170" s="244"/>
      <c r="G170" s="244"/>
      <c r="H170" s="244"/>
      <c r="I170" s="244"/>
      <c r="J170" s="7" t="s">
        <v>141</v>
      </c>
      <c r="K170" s="8" t="s">
        <v>141</v>
      </c>
      <c r="L170" s="8" t="s">
        <v>141</v>
      </c>
      <c r="M170" s="7" t="s">
        <v>141</v>
      </c>
      <c r="N170" s="7" t="s">
        <v>141</v>
      </c>
      <c r="O170" s="8" t="s">
        <v>141</v>
      </c>
      <c r="P170" s="8" t="s">
        <v>141</v>
      </c>
      <c r="Q170" s="6" t="s">
        <v>141</v>
      </c>
      <c r="R170" s="7" t="s">
        <v>141</v>
      </c>
      <c r="S170" s="7"/>
      <c r="T170" s="9" t="s">
        <v>141</v>
      </c>
      <c r="U170" s="9" t="s">
        <v>141</v>
      </c>
      <c r="V170" s="84" t="s">
        <v>141</v>
      </c>
      <c r="W170" s="84" t="s">
        <v>141</v>
      </c>
      <c r="X170" s="85"/>
      <c r="Y170" s="85"/>
      <c r="Z170" s="7"/>
      <c r="AA170" s="7"/>
      <c r="AB170" s="20"/>
      <c r="AC170" s="20"/>
      <c r="AD170" s="16"/>
      <c r="AE170" s="16"/>
      <c r="AF170" s="10"/>
      <c r="AG170" s="17"/>
      <c r="AH170" s="17"/>
      <c r="AI170" s="17"/>
      <c r="AJ170" s="11"/>
      <c r="AK170" s="11"/>
      <c r="AL170" s="11"/>
      <c r="AM170" s="11"/>
      <c r="AN170" s="12"/>
      <c r="AO170" s="12"/>
      <c r="AP170" s="12"/>
      <c r="AQ170" s="12"/>
      <c r="AR170" s="12"/>
      <c r="AS170" s="12"/>
      <c r="AT170" s="12"/>
      <c r="AU170" s="12"/>
    </row>
    <row r="171" spans="1:47">
      <c r="C171" s="16" t="s">
        <v>141</v>
      </c>
      <c r="D171" s="16" t="s">
        <v>141</v>
      </c>
      <c r="E171" s="7" t="s">
        <v>141</v>
      </c>
      <c r="F171" s="244"/>
      <c r="G171" s="244"/>
      <c r="H171" s="244"/>
      <c r="I171" s="244"/>
      <c r="J171" s="7" t="s">
        <v>141</v>
      </c>
      <c r="K171" s="8" t="s">
        <v>141</v>
      </c>
      <c r="L171" s="8" t="s">
        <v>141</v>
      </c>
      <c r="M171" s="7" t="s">
        <v>141</v>
      </c>
      <c r="N171" s="7" t="s">
        <v>141</v>
      </c>
      <c r="O171" s="8" t="s">
        <v>141</v>
      </c>
      <c r="P171" s="8" t="s">
        <v>141</v>
      </c>
      <c r="Q171" s="6" t="s">
        <v>141</v>
      </c>
      <c r="R171" s="7" t="s">
        <v>141</v>
      </c>
      <c r="S171" s="7"/>
      <c r="T171" s="9" t="s">
        <v>141</v>
      </c>
      <c r="U171" s="9" t="s">
        <v>141</v>
      </c>
      <c r="V171" s="84" t="s">
        <v>141</v>
      </c>
      <c r="W171" s="84" t="s">
        <v>141</v>
      </c>
      <c r="X171" s="85"/>
      <c r="Y171" s="85"/>
      <c r="Z171" s="7"/>
      <c r="AA171" s="7"/>
      <c r="AB171" s="20"/>
      <c r="AC171" s="20"/>
      <c r="AD171" s="16"/>
      <c r="AE171" s="16"/>
      <c r="AF171" s="10"/>
      <c r="AG171" s="17"/>
      <c r="AH171" s="17"/>
      <c r="AI171" s="17"/>
      <c r="AJ171" s="11"/>
      <c r="AK171" s="11"/>
      <c r="AL171" s="11"/>
      <c r="AM171" s="11"/>
      <c r="AN171" s="12"/>
      <c r="AO171" s="12"/>
      <c r="AP171" s="12"/>
      <c r="AQ171" s="12"/>
      <c r="AR171" s="12"/>
      <c r="AS171" s="12"/>
      <c r="AT171" s="12"/>
      <c r="AU171" s="12"/>
    </row>
    <row r="172" spans="1:47">
      <c r="C172" s="16" t="s">
        <v>141</v>
      </c>
      <c r="D172" s="16" t="s">
        <v>141</v>
      </c>
      <c r="E172" s="7" t="s">
        <v>141</v>
      </c>
      <c r="F172" s="244"/>
      <c r="G172" s="244"/>
      <c r="H172" s="244"/>
      <c r="I172" s="244"/>
      <c r="J172" s="7" t="s">
        <v>141</v>
      </c>
      <c r="K172" s="8" t="s">
        <v>141</v>
      </c>
      <c r="L172" s="8" t="s">
        <v>141</v>
      </c>
      <c r="M172" s="7" t="s">
        <v>141</v>
      </c>
      <c r="N172" s="7" t="s">
        <v>141</v>
      </c>
      <c r="O172" s="8" t="s">
        <v>141</v>
      </c>
      <c r="P172" s="8" t="s">
        <v>141</v>
      </c>
      <c r="Q172" s="6" t="s">
        <v>141</v>
      </c>
      <c r="R172" s="7" t="s">
        <v>141</v>
      </c>
      <c r="S172" s="7"/>
      <c r="T172" s="9" t="s">
        <v>141</v>
      </c>
      <c r="U172" s="9" t="s">
        <v>141</v>
      </c>
      <c r="V172" s="84" t="s">
        <v>141</v>
      </c>
      <c r="W172" s="84" t="s">
        <v>141</v>
      </c>
      <c r="X172" s="85"/>
      <c r="Y172" s="85"/>
      <c r="Z172" s="7"/>
      <c r="AA172" s="7"/>
      <c r="AB172" s="20"/>
      <c r="AC172" s="20"/>
      <c r="AD172" s="16"/>
      <c r="AE172" s="16"/>
      <c r="AF172" s="10"/>
      <c r="AG172" s="17"/>
      <c r="AH172" s="17"/>
      <c r="AI172" s="17"/>
      <c r="AJ172" s="11"/>
      <c r="AK172" s="11"/>
      <c r="AL172" s="11"/>
      <c r="AM172" s="11"/>
      <c r="AN172" s="12"/>
      <c r="AO172" s="12"/>
      <c r="AP172" s="12"/>
      <c r="AQ172" s="12"/>
      <c r="AR172" s="12"/>
      <c r="AS172" s="12"/>
      <c r="AT172" s="12"/>
      <c r="AU172" s="12"/>
    </row>
    <row r="173" spans="1:47">
      <c r="C173" s="16" t="s">
        <v>141</v>
      </c>
      <c r="D173" s="16" t="s">
        <v>141</v>
      </c>
      <c r="E173" s="7" t="s">
        <v>141</v>
      </c>
      <c r="F173" s="244"/>
      <c r="G173" s="244"/>
      <c r="H173" s="244"/>
      <c r="I173" s="244"/>
      <c r="J173" s="7" t="s">
        <v>141</v>
      </c>
      <c r="K173" s="8" t="s">
        <v>141</v>
      </c>
      <c r="L173" s="8" t="s">
        <v>141</v>
      </c>
      <c r="M173" s="7" t="s">
        <v>141</v>
      </c>
      <c r="N173" s="7" t="s">
        <v>141</v>
      </c>
      <c r="O173" s="8" t="s">
        <v>141</v>
      </c>
      <c r="P173" s="8" t="s">
        <v>141</v>
      </c>
      <c r="Q173" s="6" t="s">
        <v>141</v>
      </c>
      <c r="R173" s="7" t="s">
        <v>141</v>
      </c>
      <c r="S173" s="7"/>
      <c r="T173" s="9" t="s">
        <v>141</v>
      </c>
      <c r="U173" s="9" t="s">
        <v>141</v>
      </c>
      <c r="V173" s="84" t="s">
        <v>141</v>
      </c>
      <c r="W173" s="84" t="s">
        <v>141</v>
      </c>
      <c r="X173" s="85"/>
      <c r="Y173" s="85"/>
      <c r="Z173" s="7"/>
      <c r="AA173" s="7"/>
      <c r="AB173" s="20"/>
      <c r="AC173" s="20"/>
      <c r="AD173" s="16"/>
      <c r="AE173" s="16"/>
      <c r="AF173" s="10"/>
      <c r="AG173" s="17"/>
      <c r="AH173" s="17"/>
      <c r="AI173" s="17"/>
      <c r="AJ173" s="11"/>
      <c r="AK173" s="11"/>
      <c r="AL173" s="11"/>
      <c r="AM173" s="11"/>
      <c r="AN173" s="12"/>
      <c r="AO173" s="12"/>
      <c r="AP173" s="12"/>
      <c r="AQ173" s="12"/>
      <c r="AR173" s="12"/>
      <c r="AS173" s="12"/>
      <c r="AT173" s="12"/>
      <c r="AU173" s="12"/>
    </row>
    <row r="174" spans="1:47">
      <c r="C174" s="16" t="s">
        <v>141</v>
      </c>
      <c r="D174" s="16" t="s">
        <v>141</v>
      </c>
      <c r="E174" s="7" t="s">
        <v>141</v>
      </c>
      <c r="F174" s="244"/>
      <c r="G174" s="244"/>
      <c r="H174" s="244"/>
      <c r="I174" s="244"/>
      <c r="J174" s="7" t="s">
        <v>141</v>
      </c>
      <c r="K174" s="8" t="s">
        <v>141</v>
      </c>
      <c r="L174" s="8" t="s">
        <v>141</v>
      </c>
      <c r="M174" s="7" t="s">
        <v>141</v>
      </c>
      <c r="N174" s="7" t="s">
        <v>141</v>
      </c>
      <c r="O174" s="8" t="s">
        <v>141</v>
      </c>
      <c r="P174" s="8" t="s">
        <v>141</v>
      </c>
      <c r="Q174" s="6" t="s">
        <v>141</v>
      </c>
      <c r="R174" s="7" t="s">
        <v>141</v>
      </c>
      <c r="S174" s="7"/>
      <c r="T174" s="9" t="s">
        <v>141</v>
      </c>
      <c r="U174" s="9" t="s">
        <v>141</v>
      </c>
      <c r="V174" s="84" t="s">
        <v>141</v>
      </c>
      <c r="W174" s="84" t="s">
        <v>141</v>
      </c>
      <c r="X174" s="85"/>
      <c r="Y174" s="85"/>
      <c r="Z174" s="7"/>
      <c r="AA174" s="7"/>
      <c r="AB174" s="20"/>
      <c r="AC174" s="20"/>
      <c r="AD174" s="16"/>
      <c r="AE174" s="16"/>
      <c r="AF174" s="10"/>
      <c r="AG174" s="17"/>
      <c r="AH174" s="17"/>
      <c r="AI174" s="17"/>
      <c r="AJ174" s="11"/>
      <c r="AK174" s="11"/>
      <c r="AL174" s="11"/>
      <c r="AM174" s="11"/>
      <c r="AN174" s="12"/>
      <c r="AO174" s="12"/>
      <c r="AP174" s="12"/>
      <c r="AQ174" s="12"/>
      <c r="AR174" s="12"/>
      <c r="AS174" s="12"/>
      <c r="AT174" s="12"/>
      <c r="AU174" s="12"/>
    </row>
    <row r="175" spans="1:47">
      <c r="C175" s="16" t="s">
        <v>141</v>
      </c>
      <c r="D175" s="16" t="s">
        <v>141</v>
      </c>
      <c r="E175" s="7" t="s">
        <v>141</v>
      </c>
      <c r="F175" s="244"/>
      <c r="G175" s="244"/>
      <c r="H175" s="244"/>
      <c r="I175" s="244"/>
      <c r="J175" s="7" t="s">
        <v>141</v>
      </c>
      <c r="K175" s="8" t="s">
        <v>141</v>
      </c>
      <c r="L175" s="8" t="s">
        <v>141</v>
      </c>
      <c r="M175" s="7" t="s">
        <v>141</v>
      </c>
      <c r="N175" s="7" t="s">
        <v>141</v>
      </c>
      <c r="O175" s="8" t="s">
        <v>141</v>
      </c>
      <c r="P175" s="8" t="s">
        <v>141</v>
      </c>
      <c r="Q175" s="6" t="s">
        <v>141</v>
      </c>
      <c r="R175" s="7" t="s">
        <v>141</v>
      </c>
      <c r="S175" s="7"/>
      <c r="T175" s="9" t="s">
        <v>141</v>
      </c>
      <c r="U175" s="9" t="s">
        <v>141</v>
      </c>
      <c r="V175" s="84" t="s">
        <v>141</v>
      </c>
      <c r="W175" s="84" t="s">
        <v>141</v>
      </c>
      <c r="X175" s="85"/>
      <c r="Y175" s="85"/>
      <c r="Z175" s="7"/>
      <c r="AA175" s="7"/>
      <c r="AB175" s="20"/>
      <c r="AC175" s="20"/>
      <c r="AD175" s="16"/>
      <c r="AE175" s="16"/>
      <c r="AF175" s="10"/>
      <c r="AG175" s="17"/>
      <c r="AH175" s="17"/>
      <c r="AI175" s="17"/>
      <c r="AJ175" s="11"/>
      <c r="AK175" s="11"/>
      <c r="AL175" s="11"/>
      <c r="AM175" s="11"/>
      <c r="AN175" s="12"/>
      <c r="AO175" s="12"/>
      <c r="AP175" s="12"/>
      <c r="AQ175" s="12"/>
      <c r="AR175" s="12"/>
      <c r="AS175" s="12"/>
      <c r="AT175" s="12"/>
      <c r="AU175" s="12"/>
    </row>
    <row r="176" spans="1:47">
      <c r="C176" s="16" t="s">
        <v>141</v>
      </c>
      <c r="D176" s="16" t="s">
        <v>141</v>
      </c>
      <c r="E176" s="7" t="s">
        <v>141</v>
      </c>
      <c r="F176" s="244"/>
      <c r="G176" s="244"/>
      <c r="H176" s="244"/>
      <c r="I176" s="244"/>
      <c r="J176" s="7" t="s">
        <v>141</v>
      </c>
      <c r="K176" s="8" t="s">
        <v>141</v>
      </c>
      <c r="L176" s="8" t="s">
        <v>141</v>
      </c>
      <c r="M176" s="7" t="s">
        <v>141</v>
      </c>
      <c r="N176" s="7" t="s">
        <v>141</v>
      </c>
      <c r="O176" s="8" t="s">
        <v>141</v>
      </c>
      <c r="P176" s="8" t="s">
        <v>141</v>
      </c>
      <c r="Q176" s="6" t="s">
        <v>141</v>
      </c>
      <c r="R176" s="7" t="s">
        <v>141</v>
      </c>
      <c r="S176" s="7"/>
      <c r="T176" s="9" t="s">
        <v>141</v>
      </c>
      <c r="U176" s="9" t="s">
        <v>141</v>
      </c>
      <c r="V176" s="84" t="s">
        <v>141</v>
      </c>
      <c r="W176" s="84" t="s">
        <v>141</v>
      </c>
      <c r="X176" s="85"/>
      <c r="Y176" s="85"/>
      <c r="Z176" s="7"/>
      <c r="AA176" s="7"/>
      <c r="AB176" s="20"/>
      <c r="AC176" s="20"/>
      <c r="AD176" s="16"/>
      <c r="AE176" s="16"/>
      <c r="AF176" s="10"/>
      <c r="AG176" s="17"/>
      <c r="AH176" s="17"/>
      <c r="AI176" s="17"/>
      <c r="AJ176" s="11"/>
      <c r="AK176" s="11"/>
      <c r="AL176" s="11"/>
      <c r="AM176" s="11"/>
      <c r="AN176" s="12"/>
      <c r="AO176" s="12"/>
      <c r="AP176" s="12"/>
      <c r="AQ176" s="12"/>
      <c r="AR176" s="12"/>
      <c r="AS176" s="12"/>
      <c r="AT176" s="12"/>
      <c r="AU176" s="12"/>
    </row>
    <row r="177" spans="3:47">
      <c r="C177" s="16" t="s">
        <v>141</v>
      </c>
      <c r="D177" s="16" t="s">
        <v>141</v>
      </c>
      <c r="E177" s="7" t="s">
        <v>141</v>
      </c>
      <c r="F177" s="244"/>
      <c r="G177" s="244"/>
      <c r="H177" s="244"/>
      <c r="I177" s="244"/>
      <c r="J177" s="7" t="s">
        <v>141</v>
      </c>
      <c r="K177" s="8" t="s">
        <v>141</v>
      </c>
      <c r="L177" s="8" t="s">
        <v>141</v>
      </c>
      <c r="M177" s="7" t="s">
        <v>141</v>
      </c>
      <c r="N177" s="7" t="s">
        <v>141</v>
      </c>
      <c r="O177" s="8" t="s">
        <v>141</v>
      </c>
      <c r="P177" s="8" t="s">
        <v>141</v>
      </c>
      <c r="Q177" s="6" t="s">
        <v>141</v>
      </c>
      <c r="R177" s="7" t="s">
        <v>141</v>
      </c>
      <c r="S177" s="7"/>
      <c r="T177" s="9" t="s">
        <v>141</v>
      </c>
      <c r="U177" s="9" t="s">
        <v>141</v>
      </c>
      <c r="V177" s="84" t="s">
        <v>141</v>
      </c>
      <c r="W177" s="84" t="s">
        <v>141</v>
      </c>
      <c r="X177" s="85"/>
      <c r="Y177" s="85"/>
      <c r="Z177" s="7"/>
      <c r="AA177" s="7"/>
      <c r="AB177" s="20"/>
      <c r="AC177" s="20"/>
      <c r="AD177" s="16"/>
      <c r="AE177" s="16"/>
      <c r="AF177" s="10"/>
      <c r="AG177" s="17"/>
      <c r="AH177" s="17"/>
      <c r="AI177" s="17"/>
      <c r="AJ177" s="11"/>
      <c r="AK177" s="11"/>
      <c r="AL177" s="11"/>
      <c r="AM177" s="11"/>
      <c r="AN177" s="12"/>
      <c r="AO177" s="12"/>
      <c r="AP177" s="12"/>
      <c r="AQ177" s="12"/>
      <c r="AR177" s="12"/>
      <c r="AS177" s="12"/>
      <c r="AT177" s="12"/>
      <c r="AU177" s="12"/>
    </row>
    <row r="178" spans="3:47">
      <c r="C178" s="16" t="s">
        <v>141</v>
      </c>
      <c r="D178" s="16" t="s">
        <v>141</v>
      </c>
      <c r="E178" s="7" t="s">
        <v>141</v>
      </c>
      <c r="F178" s="244"/>
      <c r="G178" s="244"/>
      <c r="H178" s="244"/>
      <c r="I178" s="244"/>
      <c r="J178" s="7" t="s">
        <v>141</v>
      </c>
      <c r="K178" s="8" t="s">
        <v>141</v>
      </c>
      <c r="L178" s="8" t="s">
        <v>141</v>
      </c>
      <c r="M178" s="7" t="s">
        <v>141</v>
      </c>
      <c r="N178" s="7" t="s">
        <v>141</v>
      </c>
      <c r="O178" s="8" t="s">
        <v>141</v>
      </c>
      <c r="P178" s="8" t="s">
        <v>141</v>
      </c>
      <c r="Q178" s="6" t="s">
        <v>141</v>
      </c>
      <c r="R178" s="7" t="s">
        <v>141</v>
      </c>
      <c r="S178" s="7"/>
      <c r="T178" s="9" t="s">
        <v>141</v>
      </c>
      <c r="U178" s="9" t="s">
        <v>141</v>
      </c>
      <c r="V178" s="84" t="s">
        <v>141</v>
      </c>
      <c r="W178" s="84" t="s">
        <v>141</v>
      </c>
      <c r="X178" s="85"/>
      <c r="Y178" s="85"/>
      <c r="Z178" s="7"/>
      <c r="AA178" s="7"/>
      <c r="AB178" s="20"/>
      <c r="AC178" s="20"/>
      <c r="AD178" s="16"/>
      <c r="AE178" s="16"/>
      <c r="AF178" s="10"/>
      <c r="AG178" s="17"/>
      <c r="AH178" s="17"/>
      <c r="AI178" s="17"/>
      <c r="AJ178" s="11"/>
      <c r="AK178" s="11"/>
      <c r="AL178" s="11"/>
      <c r="AM178" s="11"/>
      <c r="AN178" s="12"/>
      <c r="AO178" s="12"/>
      <c r="AP178" s="12"/>
      <c r="AQ178" s="12"/>
      <c r="AR178" s="12"/>
      <c r="AS178" s="12"/>
      <c r="AT178" s="12"/>
      <c r="AU178" s="12"/>
    </row>
    <row r="179" spans="3:47">
      <c r="C179" s="16" t="s">
        <v>141</v>
      </c>
      <c r="D179" s="16" t="s">
        <v>141</v>
      </c>
      <c r="E179" s="7" t="s">
        <v>141</v>
      </c>
      <c r="F179" s="244"/>
      <c r="G179" s="244"/>
      <c r="H179" s="244"/>
      <c r="I179" s="244"/>
      <c r="J179" s="7" t="s">
        <v>141</v>
      </c>
      <c r="K179" s="8" t="s">
        <v>141</v>
      </c>
      <c r="L179" s="8" t="s">
        <v>141</v>
      </c>
      <c r="M179" s="7" t="s">
        <v>141</v>
      </c>
      <c r="N179" s="7" t="s">
        <v>141</v>
      </c>
      <c r="O179" s="8" t="s">
        <v>141</v>
      </c>
      <c r="P179" s="8" t="s">
        <v>141</v>
      </c>
      <c r="Q179" s="6" t="s">
        <v>141</v>
      </c>
      <c r="R179" s="7" t="s">
        <v>141</v>
      </c>
      <c r="S179" s="7"/>
      <c r="T179" s="9" t="s">
        <v>141</v>
      </c>
      <c r="U179" s="9" t="s">
        <v>141</v>
      </c>
      <c r="V179" s="84" t="s">
        <v>141</v>
      </c>
      <c r="W179" s="84" t="s">
        <v>141</v>
      </c>
      <c r="X179" s="85"/>
      <c r="Y179" s="85"/>
      <c r="Z179" s="7"/>
      <c r="AA179" s="7"/>
      <c r="AB179" s="20"/>
      <c r="AC179" s="20"/>
      <c r="AD179" s="16"/>
      <c r="AE179" s="16"/>
      <c r="AF179" s="10"/>
      <c r="AG179" s="17"/>
      <c r="AH179" s="17"/>
      <c r="AI179" s="17"/>
      <c r="AJ179" s="11"/>
      <c r="AK179" s="11"/>
      <c r="AL179" s="11"/>
      <c r="AM179" s="11"/>
      <c r="AN179" s="12"/>
      <c r="AO179" s="12"/>
      <c r="AP179" s="12"/>
      <c r="AQ179" s="12"/>
      <c r="AR179" s="12"/>
      <c r="AS179" s="12"/>
      <c r="AT179" s="12"/>
      <c r="AU179" s="12"/>
    </row>
    <row r="180" spans="3:47">
      <c r="C180" s="16" t="s">
        <v>141</v>
      </c>
      <c r="D180" s="16" t="s">
        <v>141</v>
      </c>
      <c r="E180" s="7" t="s">
        <v>141</v>
      </c>
      <c r="F180" s="244"/>
      <c r="G180" s="244"/>
      <c r="H180" s="244"/>
      <c r="I180" s="244"/>
      <c r="J180" s="7" t="s">
        <v>141</v>
      </c>
      <c r="K180" s="8" t="s">
        <v>141</v>
      </c>
      <c r="L180" s="8" t="s">
        <v>141</v>
      </c>
      <c r="M180" s="7" t="s">
        <v>141</v>
      </c>
      <c r="N180" s="7" t="s">
        <v>141</v>
      </c>
      <c r="O180" s="8" t="s">
        <v>141</v>
      </c>
      <c r="P180" s="8" t="s">
        <v>141</v>
      </c>
      <c r="Q180" s="6" t="s">
        <v>141</v>
      </c>
      <c r="R180" s="7" t="s">
        <v>141</v>
      </c>
      <c r="S180" s="7"/>
      <c r="T180" s="9" t="s">
        <v>141</v>
      </c>
      <c r="U180" s="9" t="s">
        <v>141</v>
      </c>
      <c r="V180" s="84" t="s">
        <v>141</v>
      </c>
      <c r="W180" s="84" t="s">
        <v>141</v>
      </c>
      <c r="Z180" s="7"/>
      <c r="AA180" s="7"/>
      <c r="AB180" s="20"/>
      <c r="AC180" s="20"/>
      <c r="AD180" s="16"/>
      <c r="AE180" s="16"/>
      <c r="AF180" s="10"/>
      <c r="AG180" s="17"/>
      <c r="AH180" s="17"/>
      <c r="AI180" s="17"/>
      <c r="AJ180" s="11"/>
      <c r="AK180" s="11"/>
      <c r="AL180" s="11"/>
      <c r="AM180" s="11"/>
      <c r="AN180" s="12"/>
      <c r="AO180" s="12"/>
      <c r="AP180" s="12"/>
      <c r="AQ180" s="12"/>
      <c r="AR180" s="12"/>
      <c r="AS180" s="12"/>
      <c r="AT180" s="12"/>
      <c r="AU180" s="12"/>
    </row>
    <row r="181" spans="3:47">
      <c r="C181" s="16" t="s">
        <v>141</v>
      </c>
      <c r="D181" s="16" t="s">
        <v>141</v>
      </c>
      <c r="E181" s="7" t="s">
        <v>141</v>
      </c>
      <c r="F181" s="244"/>
      <c r="G181" s="244"/>
      <c r="H181" s="244"/>
      <c r="I181" s="244"/>
      <c r="J181" s="7" t="s">
        <v>141</v>
      </c>
      <c r="K181" s="8" t="s">
        <v>141</v>
      </c>
      <c r="L181" s="8" t="s">
        <v>141</v>
      </c>
      <c r="M181" s="7" t="s">
        <v>141</v>
      </c>
      <c r="N181" s="7" t="s">
        <v>141</v>
      </c>
      <c r="O181" s="8" t="s">
        <v>141</v>
      </c>
      <c r="P181" s="8" t="s">
        <v>141</v>
      </c>
      <c r="Q181" s="6" t="s">
        <v>141</v>
      </c>
      <c r="R181" s="7" t="s">
        <v>141</v>
      </c>
      <c r="S181" s="7"/>
      <c r="T181" s="9" t="s">
        <v>141</v>
      </c>
      <c r="U181" s="9" t="s">
        <v>141</v>
      </c>
      <c r="V181" s="84" t="s">
        <v>141</v>
      </c>
      <c r="W181" s="84" t="s">
        <v>141</v>
      </c>
      <c r="Z181" s="7"/>
      <c r="AA181" s="7"/>
      <c r="AB181" s="20"/>
      <c r="AC181" s="20"/>
      <c r="AD181" s="16"/>
      <c r="AE181" s="16"/>
      <c r="AF181" s="10"/>
      <c r="AG181" s="17"/>
      <c r="AH181" s="17"/>
      <c r="AI181" s="17"/>
      <c r="AJ181" s="11"/>
      <c r="AK181" s="11"/>
      <c r="AL181" s="11"/>
      <c r="AM181" s="11"/>
      <c r="AN181" s="12"/>
      <c r="AO181" s="12"/>
      <c r="AP181" s="12"/>
      <c r="AQ181" s="12"/>
      <c r="AR181" s="12"/>
      <c r="AS181" s="12"/>
      <c r="AT181" s="12"/>
      <c r="AU181" s="12"/>
    </row>
    <row r="182" spans="3:47">
      <c r="C182" s="16" t="s">
        <v>141</v>
      </c>
      <c r="D182" s="16" t="s">
        <v>141</v>
      </c>
      <c r="E182" s="7" t="s">
        <v>141</v>
      </c>
      <c r="F182" s="244"/>
      <c r="G182" s="244"/>
      <c r="H182" s="244"/>
      <c r="I182" s="244"/>
      <c r="J182" s="7" t="s">
        <v>141</v>
      </c>
      <c r="K182" s="8" t="s">
        <v>141</v>
      </c>
      <c r="L182" s="8" t="s">
        <v>141</v>
      </c>
      <c r="M182" s="7" t="s">
        <v>141</v>
      </c>
      <c r="N182" s="7" t="s">
        <v>141</v>
      </c>
      <c r="O182" s="8" t="s">
        <v>141</v>
      </c>
      <c r="P182" s="8" t="s">
        <v>141</v>
      </c>
      <c r="Q182" s="6" t="s">
        <v>141</v>
      </c>
      <c r="R182" s="7" t="s">
        <v>141</v>
      </c>
      <c r="S182" s="7"/>
      <c r="T182" s="9" t="s">
        <v>141</v>
      </c>
      <c r="U182" s="9" t="s">
        <v>141</v>
      </c>
      <c r="V182" s="84" t="s">
        <v>141</v>
      </c>
      <c r="W182" s="84" t="s">
        <v>141</v>
      </c>
      <c r="Z182" s="7"/>
      <c r="AA182" s="7"/>
      <c r="AB182" s="20"/>
      <c r="AC182" s="20"/>
      <c r="AD182" s="16"/>
      <c r="AE182" s="16"/>
      <c r="AF182" s="10"/>
      <c r="AG182" s="17"/>
      <c r="AH182" s="17"/>
      <c r="AI182" s="17"/>
      <c r="AJ182" s="11"/>
      <c r="AK182" s="11"/>
      <c r="AL182" s="11"/>
      <c r="AM182" s="11"/>
      <c r="AN182" s="12"/>
      <c r="AO182" s="12"/>
      <c r="AP182" s="12"/>
      <c r="AQ182" s="12"/>
      <c r="AR182" s="12"/>
      <c r="AS182" s="12"/>
      <c r="AT182" s="12"/>
      <c r="AU182" s="12"/>
    </row>
    <row r="183" spans="3:47">
      <c r="F183" s="244"/>
      <c r="G183" s="244"/>
      <c r="H183" s="244"/>
      <c r="I183" s="244"/>
    </row>
    <row r="184" spans="3:47">
      <c r="F184" s="244"/>
      <c r="G184" s="244"/>
      <c r="H184" s="244"/>
      <c r="I184" s="244"/>
    </row>
    <row r="185" spans="3:47">
      <c r="F185" s="244"/>
      <c r="G185" s="244"/>
      <c r="H185" s="244"/>
      <c r="I185" s="244"/>
    </row>
    <row r="186" spans="3:47">
      <c r="F186" s="244"/>
      <c r="G186" s="244"/>
      <c r="H186" s="244"/>
      <c r="I186" s="244"/>
    </row>
    <row r="187" spans="3:47">
      <c r="F187" s="244"/>
      <c r="G187" s="244"/>
      <c r="H187" s="244"/>
      <c r="I187" s="244"/>
    </row>
    <row r="188" spans="3:47">
      <c r="F188" s="312"/>
      <c r="G188" s="244"/>
      <c r="H188" s="244"/>
      <c r="I188" s="244"/>
    </row>
    <row r="189" spans="3:47">
      <c r="F189" s="244"/>
      <c r="G189" s="244"/>
      <c r="H189" s="244"/>
      <c r="I189" s="244"/>
    </row>
    <row r="190" spans="3:47">
      <c r="F190" s="244"/>
      <c r="G190" s="244"/>
      <c r="H190" s="244"/>
      <c r="I190" s="244"/>
    </row>
    <row r="191" spans="3:47">
      <c r="F191" s="244"/>
      <c r="G191" s="244"/>
      <c r="H191" s="244"/>
      <c r="I191" s="244"/>
    </row>
    <row r="192" spans="3:47">
      <c r="F192" s="244"/>
      <c r="G192" s="244"/>
      <c r="H192" s="244"/>
      <c r="I192" s="244"/>
    </row>
    <row r="193" spans="6:9">
      <c r="F193" s="244"/>
      <c r="G193" s="244"/>
      <c r="H193" s="244"/>
      <c r="I193" s="244"/>
    </row>
    <row r="194" spans="6:9">
      <c r="F194" s="244"/>
      <c r="G194" s="244"/>
      <c r="H194" s="244"/>
      <c r="I194" s="244"/>
    </row>
    <row r="195" spans="6:9">
      <c r="F195" s="244"/>
      <c r="G195" s="244"/>
      <c r="H195" s="244"/>
      <c r="I195" s="244"/>
    </row>
    <row r="196" spans="6:9">
      <c r="F196" s="244"/>
      <c r="G196" s="244"/>
      <c r="H196" s="244"/>
      <c r="I196" s="244"/>
    </row>
    <row r="197" spans="6:9">
      <c r="F197" s="244"/>
      <c r="G197" s="244"/>
      <c r="H197" s="244"/>
      <c r="I197" s="244"/>
    </row>
    <row r="198" spans="6:9">
      <c r="F198" s="244"/>
      <c r="G198" s="244"/>
      <c r="H198" s="244"/>
      <c r="I198" s="244"/>
    </row>
    <row r="199" spans="6:9">
      <c r="F199" s="244"/>
      <c r="G199" s="244"/>
      <c r="H199" s="244"/>
      <c r="I199" s="244"/>
    </row>
    <row r="200" spans="6:9">
      <c r="F200" s="244"/>
      <c r="G200" s="244"/>
      <c r="H200" s="244"/>
      <c r="I200" s="244"/>
    </row>
    <row r="201" spans="6:9">
      <c r="F201" s="244"/>
      <c r="G201" s="244"/>
      <c r="H201" s="244"/>
      <c r="I201" s="244"/>
    </row>
    <row r="202" spans="6:9">
      <c r="F202" s="244"/>
      <c r="G202" s="244"/>
      <c r="H202" s="244"/>
      <c r="I202" s="244"/>
    </row>
    <row r="203" spans="6:9">
      <c r="F203" s="244"/>
      <c r="G203" s="244"/>
      <c r="H203" s="244"/>
      <c r="I203" s="244"/>
    </row>
    <row r="204" spans="6:9">
      <c r="F204" s="244"/>
      <c r="G204" s="244"/>
      <c r="H204" s="244"/>
      <c r="I204" s="244"/>
    </row>
    <row r="205" spans="6:9">
      <c r="F205" s="244"/>
      <c r="G205" s="244"/>
      <c r="H205" s="244"/>
      <c r="I205" s="244"/>
    </row>
    <row r="206" spans="6:9">
      <c r="F206" s="244"/>
      <c r="G206" s="244"/>
      <c r="H206" s="244"/>
      <c r="I206" s="244"/>
    </row>
    <row r="207" spans="6:9">
      <c r="F207" s="244"/>
      <c r="G207" s="244"/>
      <c r="H207" s="244"/>
      <c r="I207" s="244"/>
    </row>
    <row r="208" spans="6:9">
      <c r="F208" s="244"/>
      <c r="G208" s="244"/>
      <c r="H208" s="244"/>
      <c r="I208" s="244"/>
    </row>
    <row r="209" spans="6:9">
      <c r="F209" s="244"/>
      <c r="G209" s="244"/>
      <c r="H209" s="244"/>
      <c r="I209" s="244"/>
    </row>
    <row r="210" spans="6:9">
      <c r="F210" s="244"/>
      <c r="G210" s="244"/>
      <c r="H210" s="244"/>
      <c r="I210" s="244"/>
    </row>
    <row r="211" spans="6:9">
      <c r="F211" s="244"/>
      <c r="G211" s="244"/>
      <c r="H211" s="244"/>
      <c r="I211" s="244"/>
    </row>
    <row r="212" spans="6:9">
      <c r="F212" s="244"/>
      <c r="G212" s="244"/>
      <c r="H212" s="244"/>
      <c r="I212" s="244"/>
    </row>
    <row r="213" spans="6:9">
      <c r="F213" s="244"/>
      <c r="G213" s="244"/>
      <c r="H213" s="244"/>
      <c r="I213" s="244"/>
    </row>
    <row r="214" spans="6:9">
      <c r="F214" s="244"/>
      <c r="G214" s="244"/>
      <c r="H214" s="244"/>
      <c r="I214" s="244"/>
    </row>
    <row r="215" spans="6:9">
      <c r="F215" s="244"/>
      <c r="G215" s="244"/>
      <c r="H215" s="244"/>
      <c r="I215" s="244"/>
    </row>
    <row r="216" spans="6:9">
      <c r="F216" s="244"/>
      <c r="G216" s="244"/>
      <c r="H216" s="244"/>
      <c r="I216" s="244"/>
    </row>
    <row r="217" spans="6:9">
      <c r="F217" s="244"/>
      <c r="G217" s="244"/>
      <c r="H217" s="244"/>
      <c r="I217" s="244"/>
    </row>
    <row r="218" spans="6:9">
      <c r="F218" s="244"/>
      <c r="G218" s="244"/>
      <c r="H218" s="244"/>
      <c r="I218" s="244"/>
    </row>
    <row r="219" spans="6:9">
      <c r="F219" s="244"/>
      <c r="G219" s="244"/>
      <c r="H219" s="244"/>
      <c r="I219" s="244"/>
    </row>
    <row r="220" spans="6:9">
      <c r="F220" s="244"/>
      <c r="G220" s="244"/>
      <c r="H220" s="244"/>
      <c r="I220" s="244"/>
    </row>
    <row r="221" spans="6:9">
      <c r="F221" s="244"/>
      <c r="G221" s="244"/>
      <c r="H221" s="244"/>
      <c r="I221" s="244"/>
    </row>
    <row r="222" spans="6:9">
      <c r="F222" s="244"/>
      <c r="G222" s="244"/>
      <c r="H222" s="244"/>
      <c r="I222" s="244"/>
    </row>
    <row r="223" spans="6:9">
      <c r="F223" s="244"/>
      <c r="G223" s="244"/>
      <c r="H223" s="244"/>
      <c r="I223" s="244"/>
    </row>
    <row r="224" spans="6:9">
      <c r="F224" s="244"/>
      <c r="G224" s="244"/>
      <c r="H224" s="244"/>
      <c r="I224" s="244"/>
    </row>
    <row r="225" spans="6:9">
      <c r="F225" s="244"/>
      <c r="G225" s="244"/>
      <c r="H225" s="244"/>
      <c r="I225" s="244"/>
    </row>
    <row r="226" spans="6:9">
      <c r="F226" s="244"/>
      <c r="G226" s="244"/>
      <c r="H226" s="244"/>
      <c r="I226" s="244"/>
    </row>
    <row r="227" spans="6:9">
      <c r="F227" s="244"/>
      <c r="G227" s="244"/>
      <c r="H227" s="244"/>
      <c r="I227" s="244"/>
    </row>
    <row r="228" spans="6:9">
      <c r="F228" s="244"/>
      <c r="G228" s="244"/>
      <c r="H228" s="244"/>
      <c r="I228" s="244"/>
    </row>
    <row r="229" spans="6:9">
      <c r="F229" s="244"/>
      <c r="G229" s="244"/>
      <c r="H229" s="244"/>
      <c r="I229" s="244"/>
    </row>
    <row r="230" spans="6:9">
      <c r="F230" s="244"/>
      <c r="G230" s="244"/>
      <c r="H230" s="244"/>
      <c r="I230" s="244"/>
    </row>
    <row r="231" spans="6:9">
      <c r="F231" s="244"/>
      <c r="G231" s="244"/>
      <c r="H231" s="244"/>
      <c r="I231" s="244"/>
    </row>
    <row r="232" spans="6:9">
      <c r="F232" s="244"/>
      <c r="G232" s="244"/>
      <c r="H232" s="244"/>
      <c r="I232" s="244"/>
    </row>
    <row r="233" spans="6:9">
      <c r="F233" s="244"/>
      <c r="G233" s="244"/>
      <c r="H233" s="244"/>
      <c r="I233" s="244"/>
    </row>
    <row r="234" spans="6:9">
      <c r="F234" s="244"/>
      <c r="G234" s="244"/>
      <c r="H234" s="244"/>
      <c r="I234" s="244"/>
    </row>
    <row r="235" spans="6:9">
      <c r="F235" s="244"/>
      <c r="G235" s="244"/>
      <c r="H235" s="244"/>
      <c r="I235" s="244"/>
    </row>
    <row r="236" spans="6:9">
      <c r="F236" s="244"/>
      <c r="G236" s="244"/>
      <c r="H236" s="244"/>
      <c r="I236" s="244"/>
    </row>
    <row r="237" spans="6:9">
      <c r="F237" s="244"/>
      <c r="G237" s="244"/>
      <c r="H237" s="244"/>
      <c r="I237" s="244"/>
    </row>
    <row r="238" spans="6:9">
      <c r="F238" s="244"/>
      <c r="G238" s="244"/>
      <c r="H238" s="244"/>
      <c r="I238" s="244"/>
    </row>
    <row r="239" spans="6:9">
      <c r="F239" s="244"/>
      <c r="G239" s="244"/>
      <c r="H239" s="244"/>
      <c r="I239" s="244"/>
    </row>
    <row r="240" spans="6:9">
      <c r="F240" s="244"/>
      <c r="G240" s="244"/>
      <c r="H240" s="244"/>
      <c r="I240" s="244"/>
    </row>
    <row r="241" spans="6:9">
      <c r="F241" s="244"/>
      <c r="G241" s="244"/>
      <c r="H241" s="244"/>
      <c r="I241" s="244"/>
    </row>
    <row r="242" spans="6:9">
      <c r="F242" s="244"/>
      <c r="G242" s="244"/>
      <c r="H242" s="244"/>
      <c r="I242" s="244"/>
    </row>
    <row r="243" spans="6:9">
      <c r="F243" s="244"/>
      <c r="G243" s="244"/>
      <c r="H243" s="244"/>
      <c r="I243" s="244"/>
    </row>
    <row r="244" spans="6:9">
      <c r="F244" s="244"/>
      <c r="G244" s="244"/>
      <c r="H244" s="244"/>
      <c r="I244" s="244"/>
    </row>
    <row r="245" spans="6:9">
      <c r="F245" s="244"/>
      <c r="G245" s="244"/>
      <c r="H245" s="244"/>
      <c r="I245" s="244"/>
    </row>
    <row r="246" spans="6:9">
      <c r="F246" s="244"/>
      <c r="G246" s="244"/>
      <c r="H246" s="244"/>
      <c r="I246" s="244"/>
    </row>
    <row r="247" spans="6:9">
      <c r="F247" s="244"/>
      <c r="G247" s="244"/>
      <c r="H247" s="244"/>
      <c r="I247" s="244"/>
    </row>
    <row r="248" spans="6:9">
      <c r="F248" s="244"/>
      <c r="G248" s="244"/>
      <c r="H248" s="244"/>
      <c r="I248" s="244"/>
    </row>
    <row r="249" spans="6:9">
      <c r="F249" s="244"/>
      <c r="G249" s="244"/>
      <c r="H249" s="244"/>
      <c r="I249" s="244"/>
    </row>
    <row r="250" spans="6:9">
      <c r="F250" s="244"/>
      <c r="G250" s="244"/>
      <c r="H250" s="244"/>
      <c r="I250" s="244"/>
    </row>
    <row r="251" spans="6:9">
      <c r="F251" s="244"/>
      <c r="G251" s="244"/>
      <c r="H251" s="244"/>
      <c r="I251" s="244"/>
    </row>
    <row r="252" spans="6:9">
      <c r="F252" s="244"/>
      <c r="G252" s="244"/>
      <c r="H252" s="244"/>
      <c r="I252" s="244"/>
    </row>
    <row r="253" spans="6:9">
      <c r="F253" s="244"/>
      <c r="G253" s="244"/>
      <c r="H253" s="244"/>
      <c r="I253" s="244"/>
    </row>
    <row r="254" spans="6:9">
      <c r="F254" s="244"/>
      <c r="G254" s="244"/>
      <c r="H254" s="244"/>
      <c r="I254" s="244"/>
    </row>
    <row r="255" spans="6:9">
      <c r="F255" s="244"/>
      <c r="G255" s="244"/>
      <c r="H255" s="244"/>
      <c r="I255" s="244"/>
    </row>
    <row r="256" spans="6:9">
      <c r="F256" s="244"/>
      <c r="G256" s="244"/>
      <c r="H256" s="244"/>
      <c r="I256" s="244"/>
    </row>
    <row r="257" spans="6:9">
      <c r="F257" s="244"/>
      <c r="G257" s="244"/>
      <c r="H257" s="244"/>
      <c r="I257" s="244"/>
    </row>
    <row r="258" spans="6:9">
      <c r="F258" s="244"/>
      <c r="G258" s="244"/>
      <c r="H258" s="244"/>
      <c r="I258" s="244"/>
    </row>
    <row r="259" spans="6:9">
      <c r="F259" s="244"/>
      <c r="G259" s="244"/>
      <c r="H259" s="244"/>
      <c r="I259" s="244"/>
    </row>
    <row r="260" spans="6:9">
      <c r="F260" s="244"/>
      <c r="G260" s="244"/>
      <c r="H260" s="244"/>
      <c r="I260" s="244"/>
    </row>
    <row r="261" spans="6:9">
      <c r="F261" s="312"/>
      <c r="G261" s="244"/>
      <c r="H261" s="244"/>
      <c r="I261" s="244"/>
    </row>
    <row r="262" spans="6:9">
      <c r="F262" s="312"/>
      <c r="G262" s="244"/>
      <c r="H262" s="244"/>
      <c r="I262" s="244"/>
    </row>
    <row r="263" spans="6:9">
      <c r="F263" s="312"/>
      <c r="G263" s="244"/>
      <c r="H263" s="244"/>
      <c r="I263" s="244"/>
    </row>
    <row r="264" spans="6:9">
      <c r="F264" s="312"/>
      <c r="G264" s="244"/>
      <c r="H264" s="244"/>
      <c r="I264" s="244"/>
    </row>
    <row r="265" spans="6:9">
      <c r="F265" s="312"/>
      <c r="G265" s="244"/>
      <c r="H265" s="244"/>
      <c r="I265" s="244"/>
    </row>
    <row r="266" spans="6:9">
      <c r="F266" s="312"/>
      <c r="G266" s="244"/>
      <c r="H266" s="244"/>
      <c r="I266" s="244"/>
    </row>
    <row r="267" spans="6:9">
      <c r="F267" s="312"/>
      <c r="G267" s="244"/>
      <c r="H267" s="244"/>
      <c r="I267" s="244"/>
    </row>
    <row r="268" spans="6:9">
      <c r="F268" s="312"/>
      <c r="G268" s="244"/>
      <c r="H268" s="244"/>
      <c r="I268" s="244"/>
    </row>
    <row r="269" spans="6:9">
      <c r="F269" s="312"/>
      <c r="G269" s="244"/>
      <c r="H269" s="244"/>
      <c r="I269" s="244"/>
    </row>
    <row r="270" spans="6:9">
      <c r="F270" s="312"/>
      <c r="G270" s="244"/>
      <c r="H270" s="244"/>
      <c r="I270" s="244"/>
    </row>
    <row r="271" spans="6:9">
      <c r="F271" s="312"/>
      <c r="G271" s="244"/>
      <c r="H271" s="244"/>
      <c r="I271" s="244"/>
    </row>
    <row r="272" spans="6:9">
      <c r="F272" s="312"/>
      <c r="G272" s="244"/>
      <c r="H272" s="244"/>
      <c r="I272" s="244"/>
    </row>
    <row r="273" spans="1:35">
      <c r="F273" s="312"/>
      <c r="G273" s="244"/>
      <c r="H273" s="244"/>
      <c r="I273" s="244"/>
    </row>
    <row r="274" spans="1:35">
      <c r="A274" s="2"/>
      <c r="B274" s="2"/>
      <c r="C274" s="2"/>
      <c r="D274" s="2"/>
      <c r="F274" s="312"/>
      <c r="G274" s="244"/>
      <c r="H274" s="244"/>
      <c r="I274" s="244"/>
      <c r="K274" s="2"/>
      <c r="L274" s="2"/>
      <c r="Q274" s="2"/>
      <c r="T274" s="2"/>
      <c r="U274" s="2"/>
      <c r="V274" s="2"/>
      <c r="W274" s="2"/>
      <c r="X274" s="2"/>
      <c r="Y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F275" s="312"/>
      <c r="G275" s="244"/>
      <c r="H275" s="244"/>
      <c r="I275" s="244"/>
      <c r="K275" s="2"/>
      <c r="L275" s="2"/>
      <c r="Q275" s="2"/>
      <c r="T275" s="2"/>
      <c r="U275" s="2"/>
      <c r="V275" s="2"/>
      <c r="W275" s="2"/>
      <c r="X275" s="2"/>
      <c r="Y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F276" s="244"/>
      <c r="G276" s="244"/>
      <c r="H276" s="244"/>
      <c r="I276" s="244"/>
      <c r="K276" s="2"/>
      <c r="L276" s="2"/>
      <c r="Q276" s="2"/>
      <c r="T276" s="2"/>
      <c r="U276" s="2"/>
      <c r="V276" s="2"/>
      <c r="W276" s="2"/>
      <c r="X276" s="2"/>
      <c r="Y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K277" s="2"/>
      <c r="L277" s="2"/>
      <c r="Q277" s="2"/>
      <c r="T277" s="2"/>
      <c r="U277" s="2"/>
      <c r="V277" s="2"/>
      <c r="W277" s="2"/>
      <c r="X277" s="2"/>
      <c r="Y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K278" s="2"/>
      <c r="L278" s="2"/>
      <c r="Q278" s="2"/>
      <c r="T278" s="2"/>
      <c r="U278" s="2"/>
      <c r="V278" s="2"/>
      <c r="W278" s="2"/>
      <c r="X278" s="2"/>
      <c r="Y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K279" s="2"/>
      <c r="L279" s="2"/>
      <c r="Q279" s="2"/>
      <c r="T279" s="2"/>
      <c r="U279" s="2"/>
      <c r="V279" s="2"/>
      <c r="W279" s="2"/>
      <c r="X279" s="2"/>
      <c r="Y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K280" s="2"/>
      <c r="L280" s="2"/>
      <c r="Q280" s="2"/>
      <c r="T280" s="2"/>
      <c r="U280" s="2"/>
      <c r="V280" s="2"/>
      <c r="W280" s="2"/>
      <c r="X280" s="2"/>
      <c r="Y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K281" s="2"/>
      <c r="L281" s="2"/>
      <c r="Q281" s="2"/>
      <c r="T281" s="2"/>
      <c r="U281" s="2"/>
      <c r="V281" s="2"/>
      <c r="W281" s="2"/>
      <c r="X281" s="2"/>
      <c r="Y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K282" s="2"/>
      <c r="L282" s="2"/>
      <c r="Q282" s="2"/>
      <c r="T282" s="2"/>
      <c r="U282" s="2"/>
      <c r="V282" s="2"/>
      <c r="W282" s="2"/>
      <c r="X282" s="2"/>
      <c r="Y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K283" s="2"/>
      <c r="L283" s="2"/>
      <c r="Q283" s="2"/>
      <c r="T283" s="2"/>
      <c r="U283" s="2"/>
      <c r="V283" s="2"/>
      <c r="W283" s="2"/>
      <c r="X283" s="2"/>
      <c r="Y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K284" s="2"/>
      <c r="L284" s="2"/>
      <c r="Q284" s="2"/>
      <c r="T284" s="2"/>
      <c r="U284" s="2"/>
      <c r="V284" s="2"/>
      <c r="W284" s="2"/>
      <c r="X284" s="2"/>
      <c r="Y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K285" s="2"/>
      <c r="L285" s="2"/>
      <c r="Q285" s="2"/>
      <c r="T285" s="2"/>
      <c r="U285" s="2"/>
      <c r="V285" s="2"/>
      <c r="W285" s="2"/>
      <c r="X285" s="2"/>
      <c r="Y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K286" s="2"/>
      <c r="L286" s="2"/>
      <c r="Q286" s="2"/>
      <c r="T286" s="2"/>
      <c r="U286" s="2"/>
      <c r="V286" s="2"/>
      <c r="W286" s="2"/>
      <c r="X286" s="2"/>
      <c r="Y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K287" s="2"/>
      <c r="L287" s="2"/>
      <c r="Q287" s="2"/>
      <c r="T287" s="2"/>
      <c r="U287" s="2"/>
      <c r="V287" s="2"/>
      <c r="W287" s="2"/>
      <c r="X287" s="2"/>
      <c r="Y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K288" s="2"/>
      <c r="L288" s="2"/>
      <c r="Q288" s="2"/>
      <c r="T288" s="2"/>
      <c r="U288" s="2"/>
      <c r="V288" s="2"/>
      <c r="W288" s="2"/>
      <c r="X288" s="2"/>
      <c r="Y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K289" s="2"/>
      <c r="L289" s="2"/>
      <c r="Q289" s="2"/>
      <c r="T289" s="2"/>
      <c r="U289" s="2"/>
      <c r="V289" s="2"/>
      <c r="W289" s="2"/>
      <c r="X289" s="2"/>
      <c r="Y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K290" s="2"/>
      <c r="L290" s="2"/>
      <c r="Q290" s="2"/>
      <c r="T290" s="2"/>
      <c r="U290" s="2"/>
      <c r="V290" s="2"/>
      <c r="W290" s="2"/>
      <c r="X290" s="2"/>
      <c r="Y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K291" s="2"/>
      <c r="L291" s="2"/>
      <c r="Q291" s="2"/>
      <c r="T291" s="2"/>
      <c r="U291" s="2"/>
      <c r="V291" s="2"/>
      <c r="W291" s="2"/>
      <c r="X291" s="2"/>
      <c r="Y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K292" s="2"/>
      <c r="L292" s="2"/>
      <c r="Q292" s="2"/>
      <c r="T292" s="2"/>
      <c r="U292" s="2"/>
      <c r="V292" s="2"/>
      <c r="W292" s="2"/>
      <c r="X292" s="2"/>
      <c r="Y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K293" s="2"/>
      <c r="L293" s="2"/>
      <c r="Q293" s="2"/>
      <c r="T293" s="2"/>
      <c r="U293" s="2"/>
      <c r="V293" s="2"/>
      <c r="W293" s="2"/>
      <c r="X293" s="2"/>
      <c r="Y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K294" s="2"/>
      <c r="L294" s="2"/>
      <c r="Q294" s="2"/>
      <c r="T294" s="2"/>
      <c r="U294" s="2"/>
      <c r="V294" s="2"/>
      <c r="W294" s="2"/>
      <c r="X294" s="2"/>
      <c r="Y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K295" s="2"/>
      <c r="L295" s="2"/>
      <c r="Q295" s="2"/>
      <c r="T295" s="2"/>
      <c r="U295" s="2"/>
      <c r="V295" s="2"/>
      <c r="W295" s="2"/>
      <c r="X295" s="2"/>
      <c r="Y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K296" s="2"/>
      <c r="L296" s="2"/>
      <c r="Q296" s="2"/>
      <c r="T296" s="2"/>
      <c r="U296" s="2"/>
      <c r="V296" s="2"/>
      <c r="W296" s="2"/>
      <c r="X296" s="2"/>
      <c r="Y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K297" s="2"/>
      <c r="L297" s="2"/>
      <c r="Q297" s="2"/>
      <c r="T297" s="2"/>
      <c r="U297" s="2"/>
      <c r="V297" s="2"/>
      <c r="W297" s="2"/>
      <c r="X297" s="2"/>
      <c r="Y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K298" s="2"/>
      <c r="L298" s="2"/>
      <c r="Q298" s="2"/>
      <c r="T298" s="2"/>
      <c r="U298" s="2"/>
      <c r="V298" s="2"/>
      <c r="W298" s="2"/>
      <c r="X298" s="2"/>
      <c r="Y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K299" s="2"/>
      <c r="L299" s="2"/>
      <c r="Q299" s="2"/>
      <c r="T299" s="2"/>
      <c r="U299" s="2"/>
      <c r="V299" s="2"/>
      <c r="W299" s="2"/>
      <c r="X299" s="2"/>
      <c r="Y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K300" s="2"/>
      <c r="L300" s="2"/>
      <c r="Q300" s="2"/>
      <c r="T300" s="2"/>
      <c r="U300" s="2"/>
      <c r="V300" s="2"/>
      <c r="W300" s="2"/>
      <c r="X300" s="2"/>
      <c r="Y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K301" s="2"/>
      <c r="L301" s="2"/>
      <c r="Q301" s="2"/>
      <c r="T301" s="2"/>
      <c r="U301" s="2"/>
      <c r="V301" s="2"/>
      <c r="W301" s="2"/>
      <c r="X301" s="2"/>
      <c r="Y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K302" s="2"/>
      <c r="L302" s="2"/>
      <c r="Q302" s="2"/>
      <c r="T302" s="2"/>
      <c r="U302" s="2"/>
      <c r="V302" s="2"/>
      <c r="W302" s="2"/>
      <c r="X302" s="2"/>
      <c r="Y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K303" s="2"/>
      <c r="L303" s="2"/>
      <c r="Q303" s="2"/>
      <c r="T303" s="2"/>
      <c r="U303" s="2"/>
      <c r="V303" s="2"/>
      <c r="W303" s="2"/>
      <c r="X303" s="2"/>
      <c r="Y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K304" s="2"/>
      <c r="L304" s="2"/>
      <c r="Q304" s="2"/>
      <c r="T304" s="2"/>
      <c r="U304" s="2"/>
      <c r="V304" s="2"/>
      <c r="W304" s="2"/>
      <c r="X304" s="2"/>
      <c r="Y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K305" s="2"/>
      <c r="L305" s="2"/>
      <c r="Q305" s="2"/>
      <c r="T305" s="2"/>
      <c r="U305" s="2"/>
      <c r="V305" s="2"/>
      <c r="W305" s="2"/>
      <c r="X305" s="2"/>
      <c r="Y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K306" s="2"/>
      <c r="L306" s="2"/>
      <c r="Q306" s="2"/>
      <c r="T306" s="2"/>
      <c r="U306" s="2"/>
      <c r="V306" s="2"/>
      <c r="W306" s="2"/>
      <c r="X306" s="2"/>
      <c r="Y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K307" s="2"/>
      <c r="L307" s="2"/>
      <c r="Q307" s="2"/>
      <c r="T307" s="2"/>
      <c r="U307" s="2"/>
      <c r="V307" s="2"/>
      <c r="W307" s="2"/>
      <c r="X307" s="2"/>
      <c r="Y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K308" s="2"/>
      <c r="L308" s="2"/>
      <c r="Q308" s="2"/>
      <c r="T308" s="2"/>
      <c r="U308" s="2"/>
      <c r="V308" s="2"/>
      <c r="W308" s="2"/>
      <c r="X308" s="2"/>
      <c r="Y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K309" s="2"/>
      <c r="L309" s="2"/>
      <c r="Q309" s="2"/>
      <c r="T309" s="2"/>
      <c r="U309" s="2"/>
      <c r="V309" s="2"/>
      <c r="W309" s="2"/>
      <c r="X309" s="2"/>
      <c r="Y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K310" s="2"/>
      <c r="L310" s="2"/>
      <c r="Q310" s="2"/>
      <c r="T310" s="2"/>
      <c r="U310" s="2"/>
      <c r="V310" s="2"/>
      <c r="W310" s="2"/>
      <c r="X310" s="2"/>
      <c r="Y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K311" s="2"/>
      <c r="L311" s="2"/>
      <c r="Q311" s="2"/>
      <c r="T311" s="2"/>
      <c r="U311" s="2"/>
      <c r="V311" s="2"/>
      <c r="W311" s="2"/>
      <c r="X311" s="2"/>
      <c r="Y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K312" s="2"/>
      <c r="L312" s="2"/>
      <c r="Q312" s="2"/>
      <c r="T312" s="2"/>
      <c r="U312" s="2"/>
      <c r="V312" s="2"/>
      <c r="W312" s="2"/>
      <c r="X312" s="2"/>
      <c r="Y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K313" s="2"/>
      <c r="L313" s="2"/>
      <c r="Q313" s="2"/>
      <c r="T313" s="2"/>
      <c r="U313" s="2"/>
      <c r="V313" s="2"/>
      <c r="W313" s="2"/>
      <c r="X313" s="2"/>
      <c r="Y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K314" s="2"/>
      <c r="L314" s="2"/>
      <c r="Q314" s="2"/>
      <c r="T314" s="2"/>
      <c r="U314" s="2"/>
      <c r="V314" s="2"/>
      <c r="W314" s="2"/>
      <c r="X314" s="2"/>
      <c r="Y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K315" s="2"/>
      <c r="L315" s="2"/>
      <c r="Q315" s="2"/>
      <c r="T315" s="2"/>
      <c r="U315" s="2"/>
      <c r="V315" s="2"/>
      <c r="W315" s="2"/>
      <c r="X315" s="2"/>
      <c r="Y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K316" s="2"/>
      <c r="L316" s="2"/>
      <c r="Q316" s="2"/>
      <c r="T316" s="2"/>
      <c r="U316" s="2"/>
      <c r="V316" s="2"/>
      <c r="W316" s="2"/>
      <c r="X316" s="2"/>
      <c r="Y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K317" s="2"/>
      <c r="L317" s="2"/>
      <c r="Q317" s="2"/>
      <c r="T317" s="2"/>
      <c r="U317" s="2"/>
      <c r="V317" s="2"/>
      <c r="W317" s="2"/>
      <c r="X317" s="2"/>
      <c r="Y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K318" s="2"/>
      <c r="L318" s="2"/>
      <c r="Q318" s="2"/>
      <c r="T318" s="2"/>
      <c r="U318" s="2"/>
      <c r="V318" s="2"/>
      <c r="W318" s="2"/>
      <c r="X318" s="2"/>
      <c r="Y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K319" s="2"/>
      <c r="L319" s="2"/>
      <c r="Q319" s="2"/>
      <c r="T319" s="2"/>
      <c r="U319" s="2"/>
      <c r="V319" s="2"/>
      <c r="W319" s="2"/>
      <c r="X319" s="2"/>
      <c r="Y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K320" s="2"/>
      <c r="L320" s="2"/>
      <c r="Q320" s="2"/>
      <c r="T320" s="2"/>
      <c r="U320" s="2"/>
      <c r="V320" s="2"/>
      <c r="W320" s="2"/>
      <c r="X320" s="2"/>
      <c r="Y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K321" s="2"/>
      <c r="L321" s="2"/>
      <c r="Q321" s="2"/>
      <c r="T321" s="2"/>
      <c r="U321" s="2"/>
      <c r="V321" s="2"/>
      <c r="W321" s="2"/>
      <c r="X321" s="2"/>
      <c r="Y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K322" s="2"/>
      <c r="L322" s="2"/>
      <c r="Q322" s="2"/>
      <c r="T322" s="2"/>
      <c r="U322" s="2"/>
      <c r="V322" s="2"/>
      <c r="W322" s="2"/>
      <c r="X322" s="2"/>
      <c r="Y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K323" s="2"/>
      <c r="L323" s="2"/>
      <c r="Q323" s="2"/>
      <c r="T323" s="2"/>
      <c r="U323" s="2"/>
      <c r="V323" s="2"/>
      <c r="W323" s="2"/>
      <c r="X323" s="2"/>
      <c r="Y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K324" s="2"/>
      <c r="L324" s="2"/>
      <c r="Q324" s="2"/>
      <c r="T324" s="2"/>
      <c r="U324" s="2"/>
      <c r="V324" s="2"/>
      <c r="W324" s="2"/>
      <c r="X324" s="2"/>
      <c r="Y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K325" s="2"/>
      <c r="L325" s="2"/>
      <c r="Q325" s="2"/>
      <c r="T325" s="2"/>
      <c r="U325" s="2"/>
      <c r="V325" s="2"/>
      <c r="W325" s="2"/>
      <c r="X325" s="2"/>
      <c r="Y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K326" s="2"/>
      <c r="L326" s="2"/>
      <c r="Q326" s="2"/>
      <c r="T326" s="2"/>
      <c r="U326" s="2"/>
      <c r="V326" s="2"/>
      <c r="W326" s="2"/>
      <c r="X326" s="2"/>
      <c r="Y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K327" s="2"/>
      <c r="L327" s="2"/>
      <c r="Q327" s="2"/>
      <c r="T327" s="2"/>
      <c r="U327" s="2"/>
      <c r="V327" s="2"/>
      <c r="W327" s="2"/>
      <c r="X327" s="2"/>
      <c r="Y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K328" s="2"/>
      <c r="L328" s="2"/>
      <c r="Q328" s="2"/>
      <c r="T328" s="2"/>
      <c r="U328" s="2"/>
      <c r="V328" s="2"/>
      <c r="W328" s="2"/>
      <c r="X328" s="2"/>
      <c r="Y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K329" s="2"/>
      <c r="L329" s="2"/>
      <c r="Q329" s="2"/>
      <c r="T329" s="2"/>
      <c r="U329" s="2"/>
      <c r="V329" s="2"/>
      <c r="W329" s="2"/>
      <c r="X329" s="2"/>
      <c r="Y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K330" s="2"/>
      <c r="L330" s="2"/>
      <c r="Q330" s="2"/>
      <c r="T330" s="2"/>
      <c r="U330" s="2"/>
      <c r="V330" s="2"/>
      <c r="W330" s="2"/>
      <c r="X330" s="2"/>
      <c r="Y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K331" s="2"/>
      <c r="L331" s="2"/>
      <c r="Q331" s="2"/>
      <c r="T331" s="2"/>
      <c r="U331" s="2"/>
      <c r="V331" s="2"/>
      <c r="W331" s="2"/>
      <c r="X331" s="2"/>
      <c r="Y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K332" s="2"/>
      <c r="L332" s="2"/>
      <c r="Q332" s="2"/>
      <c r="T332" s="2"/>
      <c r="U332" s="2"/>
      <c r="V332" s="2"/>
      <c r="W332" s="2"/>
      <c r="X332" s="2"/>
      <c r="Y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K333" s="2"/>
      <c r="L333" s="2"/>
      <c r="Q333" s="2"/>
      <c r="T333" s="2"/>
      <c r="U333" s="2"/>
      <c r="V333" s="2"/>
      <c r="W333" s="2"/>
      <c r="X333" s="2"/>
      <c r="Y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K334" s="2"/>
      <c r="L334" s="2"/>
      <c r="Q334" s="2"/>
      <c r="T334" s="2"/>
      <c r="U334" s="2"/>
      <c r="V334" s="2"/>
      <c r="W334" s="2"/>
      <c r="X334" s="2"/>
      <c r="Y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K335" s="2"/>
      <c r="L335" s="2"/>
      <c r="Q335" s="2"/>
      <c r="T335" s="2"/>
      <c r="U335" s="2"/>
      <c r="V335" s="2"/>
      <c r="W335" s="2"/>
      <c r="X335" s="2"/>
      <c r="Y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K336" s="2"/>
      <c r="L336" s="2"/>
      <c r="Q336" s="2"/>
      <c r="T336" s="2"/>
      <c r="U336" s="2"/>
      <c r="V336" s="2"/>
      <c r="W336" s="2"/>
      <c r="X336" s="2"/>
      <c r="Y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K337" s="2"/>
      <c r="L337" s="2"/>
      <c r="Q337" s="2"/>
      <c r="T337" s="2"/>
      <c r="U337" s="2"/>
      <c r="V337" s="2"/>
      <c r="W337" s="2"/>
      <c r="X337" s="2"/>
      <c r="Y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K338" s="2"/>
      <c r="L338" s="2"/>
      <c r="Q338" s="2"/>
      <c r="T338" s="2"/>
      <c r="U338" s="2"/>
      <c r="V338" s="2"/>
      <c r="W338" s="2"/>
      <c r="X338" s="2"/>
      <c r="Y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K339" s="2"/>
      <c r="L339" s="2"/>
      <c r="Q339" s="2"/>
      <c r="T339" s="2"/>
      <c r="U339" s="2"/>
      <c r="V339" s="2"/>
      <c r="W339" s="2"/>
      <c r="X339" s="2"/>
      <c r="Y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K340" s="2"/>
      <c r="L340" s="2"/>
      <c r="Q340" s="2"/>
      <c r="T340" s="2"/>
      <c r="U340" s="2"/>
      <c r="V340" s="2"/>
      <c r="W340" s="2"/>
      <c r="X340" s="2"/>
      <c r="Y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K341" s="2"/>
      <c r="L341" s="2"/>
      <c r="Q341" s="2"/>
      <c r="T341" s="2"/>
      <c r="U341" s="2"/>
      <c r="V341" s="2"/>
      <c r="W341" s="2"/>
      <c r="X341" s="2"/>
      <c r="Y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K342" s="2"/>
      <c r="L342" s="2"/>
      <c r="Q342" s="2"/>
      <c r="T342" s="2"/>
      <c r="U342" s="2"/>
      <c r="V342" s="2"/>
      <c r="W342" s="2"/>
      <c r="X342" s="2"/>
      <c r="Y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K343" s="2"/>
      <c r="L343" s="2"/>
      <c r="Q343" s="2"/>
      <c r="T343" s="2"/>
      <c r="U343" s="2"/>
      <c r="V343" s="2"/>
      <c r="W343" s="2"/>
      <c r="X343" s="2"/>
      <c r="Y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K344" s="2"/>
      <c r="L344" s="2"/>
      <c r="Q344" s="2"/>
      <c r="T344" s="2"/>
      <c r="U344" s="2"/>
      <c r="V344" s="2"/>
      <c r="W344" s="2"/>
      <c r="X344" s="2"/>
      <c r="Y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K345" s="2"/>
      <c r="L345" s="2"/>
      <c r="Q345" s="2"/>
      <c r="T345" s="2"/>
      <c r="U345" s="2"/>
      <c r="V345" s="2"/>
      <c r="W345" s="2"/>
      <c r="X345" s="2"/>
      <c r="Y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K346" s="2"/>
      <c r="L346" s="2"/>
      <c r="Q346" s="2"/>
      <c r="T346" s="2"/>
      <c r="U346" s="2"/>
      <c r="V346" s="2"/>
      <c r="W346" s="2"/>
      <c r="X346" s="2"/>
      <c r="Y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K347" s="2"/>
      <c r="L347" s="2"/>
      <c r="Q347" s="2"/>
      <c r="T347" s="2"/>
      <c r="U347" s="2"/>
      <c r="V347" s="2"/>
      <c r="W347" s="2"/>
      <c r="X347" s="2"/>
      <c r="Y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K348" s="2"/>
      <c r="L348" s="2"/>
      <c r="Q348" s="2"/>
      <c r="T348" s="2"/>
      <c r="U348" s="2"/>
      <c r="V348" s="2"/>
      <c r="W348" s="2"/>
      <c r="X348" s="2"/>
      <c r="Y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K349" s="2"/>
      <c r="L349" s="2"/>
      <c r="Q349" s="2"/>
      <c r="T349" s="2"/>
      <c r="U349" s="2"/>
      <c r="V349" s="2"/>
      <c r="W349" s="2"/>
      <c r="X349" s="2"/>
      <c r="Y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K350" s="2"/>
      <c r="L350" s="2"/>
      <c r="Q350" s="2"/>
      <c r="T350" s="2"/>
      <c r="U350" s="2"/>
      <c r="V350" s="2"/>
      <c r="W350" s="2"/>
      <c r="X350" s="2"/>
      <c r="Y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K351" s="2"/>
      <c r="L351" s="2"/>
      <c r="Q351" s="2"/>
      <c r="T351" s="2"/>
      <c r="U351" s="2"/>
      <c r="V351" s="2"/>
      <c r="W351" s="2"/>
      <c r="X351" s="2"/>
      <c r="Y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K352" s="2"/>
      <c r="L352" s="2"/>
      <c r="Q352" s="2"/>
      <c r="T352" s="2"/>
      <c r="U352" s="2"/>
      <c r="V352" s="2"/>
      <c r="W352" s="2"/>
      <c r="X352" s="2"/>
      <c r="Y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K353" s="2"/>
      <c r="L353" s="2"/>
      <c r="Q353" s="2"/>
      <c r="T353" s="2"/>
      <c r="U353" s="2"/>
      <c r="V353" s="2"/>
      <c r="W353" s="2"/>
      <c r="X353" s="2"/>
      <c r="Y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K354" s="2"/>
      <c r="L354" s="2"/>
      <c r="Q354" s="2"/>
      <c r="T354" s="2"/>
      <c r="U354" s="2"/>
      <c r="V354" s="2"/>
      <c r="W354" s="2"/>
      <c r="X354" s="2"/>
      <c r="Y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K355" s="2"/>
      <c r="L355" s="2"/>
      <c r="Q355" s="2"/>
      <c r="T355" s="2"/>
      <c r="U355" s="2"/>
      <c r="V355" s="2"/>
      <c r="W355" s="2"/>
      <c r="X355" s="2"/>
      <c r="Y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K356" s="2"/>
      <c r="L356" s="2"/>
      <c r="Q356" s="2"/>
      <c r="T356" s="2"/>
      <c r="U356" s="2"/>
      <c r="V356" s="2"/>
      <c r="W356" s="2"/>
      <c r="X356" s="2"/>
      <c r="Y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K357" s="2"/>
      <c r="L357" s="2"/>
      <c r="Q357" s="2"/>
      <c r="T357" s="2"/>
      <c r="U357" s="2"/>
      <c r="V357" s="2"/>
      <c r="W357" s="2"/>
      <c r="X357" s="2"/>
      <c r="Y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K358" s="2"/>
      <c r="L358" s="2"/>
      <c r="Q358" s="2"/>
      <c r="T358" s="2"/>
      <c r="U358" s="2"/>
      <c r="V358" s="2"/>
      <c r="W358" s="2"/>
      <c r="X358" s="2"/>
      <c r="Y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K359" s="2"/>
      <c r="L359" s="2"/>
      <c r="Q359" s="2"/>
      <c r="T359" s="2"/>
      <c r="U359" s="2"/>
      <c r="V359" s="2"/>
      <c r="W359" s="2"/>
      <c r="X359" s="2"/>
      <c r="Y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K360" s="2"/>
      <c r="L360" s="2"/>
      <c r="Q360" s="2"/>
      <c r="T360" s="2"/>
      <c r="U360" s="2"/>
      <c r="V360" s="2"/>
      <c r="W360" s="2"/>
      <c r="X360" s="2"/>
      <c r="Y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K361" s="2"/>
      <c r="L361" s="2"/>
      <c r="Q361" s="2"/>
      <c r="T361" s="2"/>
      <c r="U361" s="2"/>
      <c r="V361" s="2"/>
      <c r="W361" s="2"/>
      <c r="X361" s="2"/>
      <c r="Y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K362" s="2"/>
      <c r="L362" s="2"/>
      <c r="Q362" s="2"/>
      <c r="T362" s="2"/>
      <c r="U362" s="2"/>
      <c r="V362" s="2"/>
      <c r="W362" s="2"/>
      <c r="X362" s="2"/>
      <c r="Y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K363" s="2"/>
      <c r="L363" s="2"/>
      <c r="Q363" s="2"/>
      <c r="T363" s="2"/>
      <c r="U363" s="2"/>
      <c r="V363" s="2"/>
      <c r="W363" s="2"/>
      <c r="X363" s="2"/>
      <c r="Y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K364" s="2"/>
      <c r="L364" s="2"/>
      <c r="Q364" s="2"/>
      <c r="T364" s="2"/>
      <c r="U364" s="2"/>
      <c r="V364" s="2"/>
      <c r="W364" s="2"/>
      <c r="X364" s="2"/>
      <c r="Y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K365" s="2"/>
      <c r="L365" s="2"/>
      <c r="Q365" s="2"/>
      <c r="T365" s="2"/>
      <c r="U365" s="2"/>
      <c r="V365" s="2"/>
      <c r="W365" s="2"/>
      <c r="X365" s="2"/>
      <c r="Y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K366" s="2"/>
      <c r="L366" s="2"/>
      <c r="Q366" s="2"/>
      <c r="T366" s="2"/>
      <c r="U366" s="2"/>
      <c r="V366" s="2"/>
      <c r="W366" s="2"/>
      <c r="X366" s="2"/>
      <c r="Y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K367" s="2"/>
      <c r="L367" s="2"/>
      <c r="Q367" s="2"/>
      <c r="T367" s="2"/>
      <c r="U367" s="2"/>
      <c r="V367" s="2"/>
      <c r="W367" s="2"/>
      <c r="X367" s="2"/>
      <c r="Y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K368" s="2"/>
      <c r="L368" s="2"/>
      <c r="Q368" s="2"/>
      <c r="T368" s="2"/>
      <c r="U368" s="2"/>
      <c r="V368" s="2"/>
      <c r="W368" s="2"/>
      <c r="X368" s="2"/>
      <c r="Y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K369" s="2"/>
      <c r="L369" s="2"/>
      <c r="Q369" s="2"/>
      <c r="T369" s="2"/>
      <c r="U369" s="2"/>
      <c r="V369" s="2"/>
      <c r="W369" s="2"/>
      <c r="X369" s="2"/>
      <c r="Y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K370" s="2"/>
      <c r="L370" s="2"/>
      <c r="Q370" s="2"/>
      <c r="T370" s="2"/>
      <c r="U370" s="2"/>
      <c r="V370" s="2"/>
      <c r="W370" s="2"/>
      <c r="X370" s="2"/>
      <c r="Y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K371" s="2"/>
      <c r="L371" s="2"/>
      <c r="Q371" s="2"/>
      <c r="T371" s="2"/>
      <c r="U371" s="2"/>
      <c r="V371" s="2"/>
      <c r="W371" s="2"/>
      <c r="X371" s="2"/>
      <c r="Y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K372" s="2"/>
      <c r="L372" s="2"/>
      <c r="Q372" s="2"/>
      <c r="T372" s="2"/>
      <c r="U372" s="2"/>
      <c r="V372" s="2"/>
      <c r="W372" s="2"/>
      <c r="X372" s="2"/>
      <c r="Y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K373" s="2"/>
      <c r="L373" s="2"/>
      <c r="Q373" s="2"/>
      <c r="T373" s="2"/>
      <c r="U373" s="2"/>
      <c r="V373" s="2"/>
      <c r="W373" s="2"/>
      <c r="X373" s="2"/>
      <c r="Y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K374" s="2"/>
      <c r="L374" s="2"/>
      <c r="Q374" s="2"/>
      <c r="T374" s="2"/>
      <c r="U374" s="2"/>
      <c r="V374" s="2"/>
      <c r="W374" s="2"/>
      <c r="X374" s="2"/>
      <c r="Y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K375" s="2"/>
      <c r="L375" s="2"/>
      <c r="Q375" s="2"/>
      <c r="T375" s="2"/>
      <c r="U375" s="2"/>
      <c r="V375" s="2"/>
      <c r="W375" s="2"/>
      <c r="X375" s="2"/>
      <c r="Y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K376" s="2"/>
      <c r="L376" s="2"/>
      <c r="Q376" s="2"/>
      <c r="T376" s="2"/>
      <c r="U376" s="2"/>
      <c r="V376" s="2"/>
      <c r="W376" s="2"/>
      <c r="X376" s="2"/>
      <c r="Y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K377" s="2"/>
      <c r="L377" s="2"/>
      <c r="Q377" s="2"/>
      <c r="T377" s="2"/>
      <c r="U377" s="2"/>
      <c r="V377" s="2"/>
      <c r="W377" s="2"/>
      <c r="X377" s="2"/>
      <c r="Y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K378" s="2"/>
      <c r="L378" s="2"/>
      <c r="Q378" s="2"/>
      <c r="T378" s="2"/>
      <c r="U378" s="2"/>
      <c r="V378" s="2"/>
      <c r="W378" s="2"/>
      <c r="X378" s="2"/>
      <c r="Y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K379" s="2"/>
      <c r="L379" s="2"/>
      <c r="Q379" s="2"/>
      <c r="T379" s="2"/>
      <c r="U379" s="2"/>
      <c r="V379" s="2"/>
      <c r="W379" s="2"/>
      <c r="X379" s="2"/>
      <c r="Y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K380" s="2"/>
      <c r="L380" s="2"/>
      <c r="Q380" s="2"/>
      <c r="T380" s="2"/>
      <c r="U380" s="2"/>
      <c r="V380" s="2"/>
      <c r="W380" s="2"/>
      <c r="X380" s="2"/>
      <c r="Y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K381" s="2"/>
      <c r="L381" s="2"/>
      <c r="Q381" s="2"/>
      <c r="T381" s="2"/>
      <c r="U381" s="2"/>
      <c r="V381" s="2"/>
      <c r="W381" s="2"/>
      <c r="X381" s="2"/>
      <c r="Y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K382" s="2"/>
      <c r="L382" s="2"/>
      <c r="Q382" s="2"/>
      <c r="T382" s="2"/>
      <c r="U382" s="2"/>
      <c r="V382" s="2"/>
      <c r="W382" s="2"/>
      <c r="X382" s="2"/>
      <c r="Y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K383" s="2"/>
      <c r="L383" s="2"/>
      <c r="Q383" s="2"/>
      <c r="T383" s="2"/>
      <c r="U383" s="2"/>
      <c r="V383" s="2"/>
      <c r="W383" s="2"/>
      <c r="X383" s="2"/>
      <c r="Y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K384" s="2"/>
      <c r="L384" s="2"/>
      <c r="Q384" s="2"/>
      <c r="T384" s="2"/>
      <c r="U384" s="2"/>
      <c r="V384" s="2"/>
      <c r="W384" s="2"/>
      <c r="X384" s="2"/>
      <c r="Y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K385" s="2"/>
      <c r="L385" s="2"/>
      <c r="Q385" s="2"/>
      <c r="T385" s="2"/>
      <c r="U385" s="2"/>
      <c r="V385" s="2"/>
      <c r="W385" s="2"/>
      <c r="X385" s="2"/>
      <c r="Y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K386" s="2"/>
      <c r="L386" s="2"/>
      <c r="Q386" s="2"/>
      <c r="T386" s="2"/>
      <c r="U386" s="2"/>
      <c r="V386" s="2"/>
      <c r="W386" s="2"/>
      <c r="X386" s="2"/>
      <c r="Y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K387" s="2"/>
      <c r="L387" s="2"/>
      <c r="Q387" s="2"/>
      <c r="T387" s="2"/>
      <c r="U387" s="2"/>
      <c r="V387" s="2"/>
      <c r="W387" s="2"/>
      <c r="X387" s="2"/>
      <c r="Y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K388" s="2"/>
      <c r="L388" s="2"/>
      <c r="Q388" s="2"/>
      <c r="T388" s="2"/>
      <c r="U388" s="2"/>
      <c r="V388" s="2"/>
      <c r="W388" s="2"/>
      <c r="X388" s="2"/>
      <c r="Y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K389" s="2"/>
      <c r="L389" s="2"/>
      <c r="Q389" s="2"/>
      <c r="T389" s="2"/>
      <c r="U389" s="2"/>
      <c r="V389" s="2"/>
      <c r="W389" s="2"/>
      <c r="X389" s="2"/>
      <c r="Y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K390" s="2"/>
      <c r="L390" s="2"/>
      <c r="Q390" s="2"/>
      <c r="T390" s="2"/>
      <c r="U390" s="2"/>
      <c r="V390" s="2"/>
      <c r="W390" s="2"/>
      <c r="X390" s="2"/>
      <c r="Y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K391" s="2"/>
      <c r="L391" s="2"/>
      <c r="Q391" s="2"/>
      <c r="T391" s="2"/>
      <c r="U391" s="2"/>
      <c r="V391" s="2"/>
      <c r="W391" s="2"/>
      <c r="X391" s="2"/>
      <c r="Y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K392" s="2"/>
      <c r="L392" s="2"/>
      <c r="Q392" s="2"/>
      <c r="T392" s="2"/>
      <c r="U392" s="2"/>
      <c r="V392" s="2"/>
      <c r="W392" s="2"/>
      <c r="X392" s="2"/>
      <c r="Y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K393" s="2"/>
      <c r="L393" s="2"/>
      <c r="Q393" s="2"/>
      <c r="T393" s="2"/>
      <c r="U393" s="2"/>
      <c r="V393" s="2"/>
      <c r="W393" s="2"/>
      <c r="X393" s="2"/>
      <c r="Y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K394" s="2"/>
      <c r="L394" s="2"/>
      <c r="Q394" s="2"/>
      <c r="T394" s="2"/>
      <c r="U394" s="2"/>
      <c r="V394" s="2"/>
      <c r="W394" s="2"/>
      <c r="X394" s="2"/>
      <c r="Y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K395" s="2"/>
      <c r="L395" s="2"/>
      <c r="Q395" s="2"/>
      <c r="T395" s="2"/>
      <c r="U395" s="2"/>
      <c r="V395" s="2"/>
      <c r="W395" s="2"/>
      <c r="X395" s="2"/>
      <c r="Y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K396" s="2"/>
      <c r="L396" s="2"/>
      <c r="Q396" s="2"/>
      <c r="T396" s="2"/>
      <c r="U396" s="2"/>
      <c r="V396" s="2"/>
      <c r="W396" s="2"/>
      <c r="X396" s="2"/>
      <c r="Y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K397" s="2"/>
      <c r="L397" s="2"/>
      <c r="Q397" s="2"/>
      <c r="T397" s="2"/>
      <c r="U397" s="2"/>
      <c r="V397" s="2"/>
      <c r="W397" s="2"/>
      <c r="X397" s="2"/>
      <c r="Y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K398" s="2"/>
      <c r="L398" s="2"/>
      <c r="Q398" s="2"/>
      <c r="T398" s="2"/>
      <c r="U398" s="2"/>
      <c r="V398" s="2"/>
      <c r="W398" s="2"/>
      <c r="X398" s="2"/>
      <c r="Y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K399" s="2"/>
      <c r="L399" s="2"/>
      <c r="Q399" s="2"/>
      <c r="T399" s="2"/>
      <c r="U399" s="2"/>
      <c r="V399" s="2"/>
      <c r="W399" s="2"/>
      <c r="X399" s="2"/>
      <c r="Y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K400" s="2"/>
      <c r="L400" s="2"/>
      <c r="Q400" s="2"/>
      <c r="T400" s="2"/>
      <c r="U400" s="2"/>
      <c r="V400" s="2"/>
      <c r="W400" s="2"/>
      <c r="X400" s="2"/>
      <c r="Y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K401" s="2"/>
      <c r="L401" s="2"/>
      <c r="Q401" s="2"/>
      <c r="T401" s="2"/>
      <c r="U401" s="2"/>
      <c r="V401" s="2"/>
      <c r="W401" s="2"/>
      <c r="X401" s="2"/>
      <c r="Y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K402" s="2"/>
      <c r="L402" s="2"/>
      <c r="Q402" s="2"/>
      <c r="T402" s="2"/>
      <c r="U402" s="2"/>
      <c r="V402" s="2"/>
      <c r="W402" s="2"/>
      <c r="X402" s="2"/>
      <c r="Y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K403" s="2"/>
      <c r="L403" s="2"/>
      <c r="Q403" s="2"/>
      <c r="T403" s="2"/>
      <c r="U403" s="2"/>
      <c r="V403" s="2"/>
      <c r="W403" s="2"/>
      <c r="X403" s="2"/>
      <c r="Y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K404" s="2"/>
      <c r="L404" s="2"/>
      <c r="Q404" s="2"/>
      <c r="T404" s="2"/>
      <c r="U404" s="2"/>
      <c r="V404" s="2"/>
      <c r="W404" s="2"/>
      <c r="X404" s="2"/>
      <c r="Y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K405" s="2"/>
      <c r="L405" s="2"/>
      <c r="Q405" s="2"/>
      <c r="T405" s="2"/>
      <c r="U405" s="2"/>
      <c r="V405" s="2"/>
      <c r="W405" s="2"/>
      <c r="X405" s="2"/>
      <c r="Y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K406" s="2"/>
      <c r="L406" s="2"/>
      <c r="Q406" s="2"/>
      <c r="T406" s="2"/>
      <c r="U406" s="2"/>
      <c r="V406" s="2"/>
      <c r="W406" s="2"/>
      <c r="X406" s="2"/>
      <c r="Y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K407" s="2"/>
      <c r="L407" s="2"/>
      <c r="Q407" s="2"/>
      <c r="T407" s="2"/>
      <c r="U407" s="2"/>
      <c r="V407" s="2"/>
      <c r="W407" s="2"/>
      <c r="X407" s="2"/>
      <c r="Y407" s="2"/>
      <c r="AD407" s="2"/>
      <c r="AE407" s="2"/>
      <c r="AF407" s="2"/>
      <c r="AG407" s="2"/>
      <c r="AH407" s="2"/>
      <c r="AI407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BB167"/>
  <sheetViews>
    <sheetView zoomScaleNormal="100" workbookViewId="0">
      <selection activeCell="E23" sqref="E23"/>
    </sheetView>
  </sheetViews>
  <sheetFormatPr defaultRowHeight="14.4"/>
  <cols>
    <col min="1" max="2" width="9.109375" style="132"/>
    <col min="3" max="3" width="30.109375" style="132" bestFit="1" customWidth="1"/>
    <col min="4" max="258" width="9.109375" style="132"/>
    <col min="259" max="259" width="30.109375" style="132" bestFit="1" customWidth="1"/>
    <col min="260" max="514" width="9.109375" style="132"/>
    <col min="515" max="515" width="30.109375" style="132" bestFit="1" customWidth="1"/>
    <col min="516" max="770" width="9.109375" style="132"/>
    <col min="771" max="771" width="30.109375" style="132" bestFit="1" customWidth="1"/>
    <col min="772" max="1026" width="9.109375" style="132"/>
    <col min="1027" max="1027" width="30.109375" style="132" bestFit="1" customWidth="1"/>
    <col min="1028" max="1282" width="9.109375" style="132"/>
    <col min="1283" max="1283" width="30.109375" style="132" bestFit="1" customWidth="1"/>
    <col min="1284" max="1538" width="9.109375" style="132"/>
    <col min="1539" max="1539" width="30.109375" style="132" bestFit="1" customWidth="1"/>
    <col min="1540" max="1794" width="9.109375" style="132"/>
    <col min="1795" max="1795" width="30.109375" style="132" bestFit="1" customWidth="1"/>
    <col min="1796" max="2050" width="9.109375" style="132"/>
    <col min="2051" max="2051" width="30.109375" style="132" bestFit="1" customWidth="1"/>
    <col min="2052" max="2306" width="9.109375" style="132"/>
    <col min="2307" max="2307" width="30.109375" style="132" bestFit="1" customWidth="1"/>
    <col min="2308" max="2562" width="9.109375" style="132"/>
    <col min="2563" max="2563" width="30.109375" style="132" bestFit="1" customWidth="1"/>
    <col min="2564" max="2818" width="9.109375" style="132"/>
    <col min="2819" max="2819" width="30.109375" style="132" bestFit="1" customWidth="1"/>
    <col min="2820" max="3074" width="9.109375" style="132"/>
    <col min="3075" max="3075" width="30.109375" style="132" bestFit="1" customWidth="1"/>
    <col min="3076" max="3330" width="9.109375" style="132"/>
    <col min="3331" max="3331" width="30.109375" style="132" bestFit="1" customWidth="1"/>
    <col min="3332" max="3586" width="9.109375" style="132"/>
    <col min="3587" max="3587" width="30.109375" style="132" bestFit="1" customWidth="1"/>
    <col min="3588" max="3842" width="9.109375" style="132"/>
    <col min="3843" max="3843" width="30.109375" style="132" bestFit="1" customWidth="1"/>
    <col min="3844" max="4098" width="9.109375" style="132"/>
    <col min="4099" max="4099" width="30.109375" style="132" bestFit="1" customWidth="1"/>
    <col min="4100" max="4354" width="9.109375" style="132"/>
    <col min="4355" max="4355" width="30.109375" style="132" bestFit="1" customWidth="1"/>
    <col min="4356" max="4610" width="9.109375" style="132"/>
    <col min="4611" max="4611" width="30.109375" style="132" bestFit="1" customWidth="1"/>
    <col min="4612" max="4866" width="9.109375" style="132"/>
    <col min="4867" max="4867" width="30.109375" style="132" bestFit="1" customWidth="1"/>
    <col min="4868" max="5122" width="9.109375" style="132"/>
    <col min="5123" max="5123" width="30.109375" style="132" bestFit="1" customWidth="1"/>
    <col min="5124" max="5378" width="9.109375" style="132"/>
    <col min="5379" max="5379" width="30.109375" style="132" bestFit="1" customWidth="1"/>
    <col min="5380" max="5634" width="9.109375" style="132"/>
    <col min="5635" max="5635" width="30.109375" style="132" bestFit="1" customWidth="1"/>
    <col min="5636" max="5890" width="9.109375" style="132"/>
    <col min="5891" max="5891" width="30.109375" style="132" bestFit="1" customWidth="1"/>
    <col min="5892" max="6146" width="9.109375" style="132"/>
    <col min="6147" max="6147" width="30.109375" style="132" bestFit="1" customWidth="1"/>
    <col min="6148" max="6402" width="9.109375" style="132"/>
    <col min="6403" max="6403" width="30.109375" style="132" bestFit="1" customWidth="1"/>
    <col min="6404" max="6658" width="9.109375" style="132"/>
    <col min="6659" max="6659" width="30.109375" style="132" bestFit="1" customWidth="1"/>
    <col min="6660" max="6914" width="9.109375" style="132"/>
    <col min="6915" max="6915" width="30.109375" style="132" bestFit="1" customWidth="1"/>
    <col min="6916" max="7170" width="9.109375" style="132"/>
    <col min="7171" max="7171" width="30.109375" style="132" bestFit="1" customWidth="1"/>
    <col min="7172" max="7426" width="9.109375" style="132"/>
    <col min="7427" max="7427" width="30.109375" style="132" bestFit="1" customWidth="1"/>
    <col min="7428" max="7682" width="9.109375" style="132"/>
    <col min="7683" max="7683" width="30.109375" style="132" bestFit="1" customWidth="1"/>
    <col min="7684" max="7938" width="9.109375" style="132"/>
    <col min="7939" max="7939" width="30.109375" style="132" bestFit="1" customWidth="1"/>
    <col min="7940" max="8194" width="9.109375" style="132"/>
    <col min="8195" max="8195" width="30.109375" style="132" bestFit="1" customWidth="1"/>
    <col min="8196" max="8450" width="9.109375" style="132"/>
    <col min="8451" max="8451" width="30.109375" style="132" bestFit="1" customWidth="1"/>
    <col min="8452" max="8706" width="9.109375" style="132"/>
    <col min="8707" max="8707" width="30.109375" style="132" bestFit="1" customWidth="1"/>
    <col min="8708" max="8962" width="9.109375" style="132"/>
    <col min="8963" max="8963" width="30.109375" style="132" bestFit="1" customWidth="1"/>
    <col min="8964" max="9218" width="9.109375" style="132"/>
    <col min="9219" max="9219" width="30.109375" style="132" bestFit="1" customWidth="1"/>
    <col min="9220" max="9474" width="9.109375" style="132"/>
    <col min="9475" max="9475" width="30.109375" style="132" bestFit="1" customWidth="1"/>
    <col min="9476" max="9730" width="9.109375" style="132"/>
    <col min="9731" max="9731" width="30.109375" style="132" bestFit="1" customWidth="1"/>
    <col min="9732" max="9986" width="9.109375" style="132"/>
    <col min="9987" max="9987" width="30.109375" style="132" bestFit="1" customWidth="1"/>
    <col min="9988" max="10242" width="9.109375" style="132"/>
    <col min="10243" max="10243" width="30.109375" style="132" bestFit="1" customWidth="1"/>
    <col min="10244" max="10498" width="9.109375" style="132"/>
    <col min="10499" max="10499" width="30.109375" style="132" bestFit="1" customWidth="1"/>
    <col min="10500" max="10754" width="9.109375" style="132"/>
    <col min="10755" max="10755" width="30.109375" style="132" bestFit="1" customWidth="1"/>
    <col min="10756" max="11010" width="9.109375" style="132"/>
    <col min="11011" max="11011" width="30.109375" style="132" bestFit="1" customWidth="1"/>
    <col min="11012" max="11266" width="9.109375" style="132"/>
    <col min="11267" max="11267" width="30.109375" style="132" bestFit="1" customWidth="1"/>
    <col min="11268" max="11522" width="9.109375" style="132"/>
    <col min="11523" max="11523" width="30.109375" style="132" bestFit="1" customWidth="1"/>
    <col min="11524" max="11778" width="9.109375" style="132"/>
    <col min="11779" max="11779" width="30.109375" style="132" bestFit="1" customWidth="1"/>
    <col min="11780" max="12034" width="9.109375" style="132"/>
    <col min="12035" max="12035" width="30.109375" style="132" bestFit="1" customWidth="1"/>
    <col min="12036" max="12290" width="9.109375" style="132"/>
    <col min="12291" max="12291" width="30.109375" style="132" bestFit="1" customWidth="1"/>
    <col min="12292" max="12546" width="9.109375" style="132"/>
    <col min="12547" max="12547" width="30.109375" style="132" bestFit="1" customWidth="1"/>
    <col min="12548" max="12802" width="9.109375" style="132"/>
    <col min="12803" max="12803" width="30.109375" style="132" bestFit="1" customWidth="1"/>
    <col min="12804" max="13058" width="9.109375" style="132"/>
    <col min="13059" max="13059" width="30.109375" style="132" bestFit="1" customWidth="1"/>
    <col min="13060" max="13314" width="9.109375" style="132"/>
    <col min="13315" max="13315" width="30.109375" style="132" bestFit="1" customWidth="1"/>
    <col min="13316" max="13570" width="9.109375" style="132"/>
    <col min="13571" max="13571" width="30.109375" style="132" bestFit="1" customWidth="1"/>
    <col min="13572" max="13826" width="9.109375" style="132"/>
    <col min="13827" max="13827" width="30.109375" style="132" bestFit="1" customWidth="1"/>
    <col min="13828" max="14082" width="9.109375" style="132"/>
    <col min="14083" max="14083" width="30.109375" style="132" bestFit="1" customWidth="1"/>
    <col min="14084" max="14338" width="9.109375" style="132"/>
    <col min="14339" max="14339" width="30.109375" style="132" bestFit="1" customWidth="1"/>
    <col min="14340" max="14594" width="9.109375" style="132"/>
    <col min="14595" max="14595" width="30.109375" style="132" bestFit="1" customWidth="1"/>
    <col min="14596" max="14850" width="9.109375" style="132"/>
    <col min="14851" max="14851" width="30.109375" style="132" bestFit="1" customWidth="1"/>
    <col min="14852" max="15106" width="9.109375" style="132"/>
    <col min="15107" max="15107" width="30.109375" style="132" bestFit="1" customWidth="1"/>
    <col min="15108" max="15362" width="9.109375" style="132"/>
    <col min="15363" max="15363" width="30.109375" style="132" bestFit="1" customWidth="1"/>
    <col min="15364" max="15618" width="9.109375" style="132"/>
    <col min="15619" max="15619" width="30.109375" style="132" bestFit="1" customWidth="1"/>
    <col min="15620" max="15874" width="9.109375" style="132"/>
    <col min="15875" max="15875" width="30.109375" style="132" bestFit="1" customWidth="1"/>
    <col min="15876" max="16130" width="9.109375" style="132"/>
    <col min="16131" max="16131" width="30.109375" style="132" bestFit="1" customWidth="1"/>
    <col min="16132" max="16384" width="9.109375" style="132"/>
  </cols>
  <sheetData>
    <row r="1" spans="1:54" s="154" customFormat="1">
      <c r="A1" s="132"/>
      <c r="B1" s="127" t="s">
        <v>242</v>
      </c>
      <c r="C1" s="132"/>
      <c r="D1" s="132"/>
      <c r="E1" s="132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</row>
    <row r="2" spans="1:54" s="154" customFormat="1">
      <c r="A2" s="131"/>
      <c r="B2" s="237"/>
      <c r="C2" s="237"/>
      <c r="D2" s="240">
        <v>43739</v>
      </c>
      <c r="E2" s="241">
        <v>43739</v>
      </c>
      <c r="F2" s="240">
        <v>43770</v>
      </c>
      <c r="G2" s="241">
        <v>43770</v>
      </c>
      <c r="H2" s="240">
        <v>43800</v>
      </c>
      <c r="I2" s="241">
        <v>43800</v>
      </c>
      <c r="J2" s="240">
        <v>43831</v>
      </c>
      <c r="K2" s="241">
        <v>43831</v>
      </c>
      <c r="L2" s="240">
        <v>43862</v>
      </c>
      <c r="M2" s="241">
        <v>43862</v>
      </c>
      <c r="N2" s="240">
        <v>43891</v>
      </c>
      <c r="O2" s="241">
        <v>43891</v>
      </c>
      <c r="P2" s="240">
        <v>43922</v>
      </c>
      <c r="Q2" s="241">
        <v>43922</v>
      </c>
      <c r="R2" s="240">
        <v>43952</v>
      </c>
      <c r="S2" s="241">
        <v>43952</v>
      </c>
      <c r="T2" s="240">
        <v>43983</v>
      </c>
      <c r="U2" s="241">
        <v>43983</v>
      </c>
      <c r="V2" s="240">
        <v>44013</v>
      </c>
      <c r="W2" s="241">
        <v>44013</v>
      </c>
      <c r="X2" s="240">
        <v>44044</v>
      </c>
      <c r="Y2" s="241">
        <v>44044</v>
      </c>
      <c r="Z2" s="240">
        <v>44075</v>
      </c>
      <c r="AA2" s="241">
        <v>44075</v>
      </c>
      <c r="AB2" s="240">
        <v>44105</v>
      </c>
      <c r="AC2" s="241">
        <v>44105</v>
      </c>
      <c r="AD2" s="240">
        <v>44136</v>
      </c>
      <c r="AE2" s="241">
        <v>44136</v>
      </c>
      <c r="AF2" s="240">
        <v>44166</v>
      </c>
      <c r="AG2" s="241">
        <v>44166</v>
      </c>
      <c r="AH2" s="240">
        <v>44197</v>
      </c>
      <c r="AI2" s="241">
        <v>44197</v>
      </c>
      <c r="AJ2" s="240">
        <v>44228</v>
      </c>
      <c r="AK2" s="241">
        <v>44228</v>
      </c>
      <c r="AL2" s="240">
        <v>44256</v>
      </c>
      <c r="AM2" s="241">
        <v>44256</v>
      </c>
      <c r="AN2" s="240">
        <v>44287</v>
      </c>
      <c r="AO2" s="241">
        <v>44287</v>
      </c>
      <c r="AP2" s="240">
        <v>44317</v>
      </c>
      <c r="AQ2" s="241">
        <v>44317</v>
      </c>
      <c r="AR2" s="240">
        <v>44348</v>
      </c>
      <c r="AS2" s="241">
        <v>44348</v>
      </c>
      <c r="AT2" s="240">
        <v>44378</v>
      </c>
      <c r="AU2" s="241">
        <v>44378</v>
      </c>
      <c r="AV2" s="240">
        <v>44409</v>
      </c>
      <c r="AW2" s="241">
        <v>44409</v>
      </c>
      <c r="AX2" s="240">
        <v>44440</v>
      </c>
      <c r="AY2" s="241">
        <v>44440</v>
      </c>
      <c r="BA2" s="171"/>
    </row>
    <row r="3" spans="1:54" s="154" customFormat="1">
      <c r="A3" s="132"/>
      <c r="B3" s="238" t="s">
        <v>2</v>
      </c>
      <c r="C3" s="238" t="s">
        <v>147</v>
      </c>
      <c r="D3" s="242" t="s">
        <v>143</v>
      </c>
      <c r="E3" s="243" t="s">
        <v>144</v>
      </c>
      <c r="F3" s="242" t="s">
        <v>143</v>
      </c>
      <c r="G3" s="243" t="s">
        <v>144</v>
      </c>
      <c r="H3" s="242" t="s">
        <v>143</v>
      </c>
      <c r="I3" s="243" t="s">
        <v>144</v>
      </c>
      <c r="J3" s="242" t="s">
        <v>143</v>
      </c>
      <c r="K3" s="243" t="s">
        <v>144</v>
      </c>
      <c r="L3" s="242" t="s">
        <v>143</v>
      </c>
      <c r="M3" s="243" t="s">
        <v>144</v>
      </c>
      <c r="N3" s="242" t="s">
        <v>143</v>
      </c>
      <c r="O3" s="243" t="s">
        <v>144</v>
      </c>
      <c r="P3" s="242" t="s">
        <v>143</v>
      </c>
      <c r="Q3" s="243" t="s">
        <v>144</v>
      </c>
      <c r="R3" s="242" t="s">
        <v>143</v>
      </c>
      <c r="S3" s="243" t="s">
        <v>144</v>
      </c>
      <c r="T3" s="242" t="s">
        <v>143</v>
      </c>
      <c r="U3" s="243" t="s">
        <v>144</v>
      </c>
      <c r="V3" s="242" t="s">
        <v>143</v>
      </c>
      <c r="W3" s="243" t="s">
        <v>144</v>
      </c>
      <c r="X3" s="242" t="s">
        <v>143</v>
      </c>
      <c r="Y3" s="243" t="s">
        <v>144</v>
      </c>
      <c r="Z3" s="242" t="s">
        <v>143</v>
      </c>
      <c r="AA3" s="243" t="s">
        <v>144</v>
      </c>
      <c r="AB3" s="242" t="s">
        <v>143</v>
      </c>
      <c r="AC3" s="243" t="s">
        <v>144</v>
      </c>
      <c r="AD3" s="242" t="s">
        <v>143</v>
      </c>
      <c r="AE3" s="243" t="s">
        <v>144</v>
      </c>
      <c r="AF3" s="242" t="s">
        <v>143</v>
      </c>
      <c r="AG3" s="243" t="s">
        <v>144</v>
      </c>
      <c r="AH3" s="242" t="s">
        <v>143</v>
      </c>
      <c r="AI3" s="243" t="s">
        <v>144</v>
      </c>
      <c r="AJ3" s="242" t="s">
        <v>143</v>
      </c>
      <c r="AK3" s="243" t="s">
        <v>144</v>
      </c>
      <c r="AL3" s="242" t="s">
        <v>143</v>
      </c>
      <c r="AM3" s="243" t="s">
        <v>144</v>
      </c>
      <c r="AN3" s="242" t="s">
        <v>143</v>
      </c>
      <c r="AO3" s="243" t="s">
        <v>144</v>
      </c>
      <c r="AP3" s="242" t="s">
        <v>143</v>
      </c>
      <c r="AQ3" s="243" t="s">
        <v>144</v>
      </c>
      <c r="AR3" s="242" t="s">
        <v>143</v>
      </c>
      <c r="AS3" s="243" t="s">
        <v>144</v>
      </c>
      <c r="AT3" s="242" t="s">
        <v>143</v>
      </c>
      <c r="AU3" s="243" t="s">
        <v>144</v>
      </c>
      <c r="AV3" s="242" t="s">
        <v>143</v>
      </c>
      <c r="AW3" s="243" t="s">
        <v>144</v>
      </c>
      <c r="AX3" s="242" t="s">
        <v>143</v>
      </c>
      <c r="AY3" s="243" t="s">
        <v>144</v>
      </c>
      <c r="BA3" s="168"/>
      <c r="BB3" s="172"/>
    </row>
    <row r="4" spans="1:54" s="154" customFormat="1">
      <c r="A4" s="132"/>
      <c r="B4" s="237">
        <v>10005</v>
      </c>
      <c r="C4" s="237" t="s">
        <v>7</v>
      </c>
      <c r="D4" s="239">
        <v>37.07633896880003</v>
      </c>
      <c r="E4" s="254">
        <v>76.013310060799995</v>
      </c>
      <c r="F4" s="254">
        <v>19.196753332800029</v>
      </c>
      <c r="G4" s="254">
        <v>53.478713968600005</v>
      </c>
      <c r="H4" s="254">
        <v>112.23545358719997</v>
      </c>
      <c r="I4" s="254">
        <v>111.74249124239998</v>
      </c>
      <c r="J4" s="254">
        <v>150.05205598719996</v>
      </c>
      <c r="K4" s="254">
        <v>168.9941640424</v>
      </c>
      <c r="L4" s="254">
        <v>125.62078260240003</v>
      </c>
      <c r="M4" s="254">
        <v>116.27647707760001</v>
      </c>
      <c r="N4" s="254">
        <v>110.89543864160001</v>
      </c>
      <c r="O4" s="254">
        <v>105.27288383460001</v>
      </c>
      <c r="P4" s="254">
        <v>92.776540814399993</v>
      </c>
      <c r="Q4" s="254">
        <v>87.324404833599999</v>
      </c>
      <c r="R4" s="254">
        <v>-60.876941540000018</v>
      </c>
      <c r="S4" s="254">
        <v>19.760559869600002</v>
      </c>
      <c r="T4" s="254">
        <v>-140.70007808559998</v>
      </c>
      <c r="U4" s="254">
        <v>-52.68733156639999</v>
      </c>
      <c r="V4" s="254">
        <v>-100.52524508560001</v>
      </c>
      <c r="W4" s="254">
        <v>5.6553405152000096</v>
      </c>
      <c r="X4" s="254">
        <v>-76.916836385599993</v>
      </c>
      <c r="Y4" s="254">
        <v>-9.6516114848000001</v>
      </c>
      <c r="Z4" s="254">
        <v>-31.510045439999999</v>
      </c>
      <c r="AA4" s="254">
        <v>13.380101688000025</v>
      </c>
      <c r="AB4" s="254">
        <v>38.476525891200026</v>
      </c>
      <c r="AC4" s="254">
        <v>77.179659699199988</v>
      </c>
      <c r="AD4" s="254">
        <v>19.759279827199975</v>
      </c>
      <c r="AE4" s="254">
        <v>53.993100826399996</v>
      </c>
      <c r="AF4" s="254">
        <v>112.19576225279997</v>
      </c>
      <c r="AG4" s="254">
        <v>111.79326253759999</v>
      </c>
      <c r="AH4" s="254">
        <v>149.44493985279993</v>
      </c>
      <c r="AI4" s="254">
        <v>168.63524973759999</v>
      </c>
      <c r="AJ4" s="254">
        <v>133.79029727679998</v>
      </c>
      <c r="AK4" s="254">
        <v>120.31429019199999</v>
      </c>
      <c r="AL4" s="254">
        <v>110.27651987839999</v>
      </c>
      <c r="AM4" s="254">
        <v>104.91838741039999</v>
      </c>
      <c r="AN4" s="254">
        <v>80.348823865599996</v>
      </c>
      <c r="AO4" s="254">
        <v>98.959566086399988</v>
      </c>
      <c r="AP4" s="254">
        <v>-52.73555896000002</v>
      </c>
      <c r="AQ4" s="254">
        <v>10.550297750399977</v>
      </c>
      <c r="AR4" s="254">
        <v>-141.58519973439999</v>
      </c>
      <c r="AS4" s="254">
        <v>-53.1660275136</v>
      </c>
      <c r="AT4" s="254">
        <v>-101.26130773439999</v>
      </c>
      <c r="AU4" s="254">
        <v>5.3221269247999885</v>
      </c>
      <c r="AV4" s="254">
        <v>-77.630388934400003</v>
      </c>
      <c r="AW4" s="254">
        <v>-9.979321075200005</v>
      </c>
      <c r="AX4" s="254">
        <v>-32.108722560000018</v>
      </c>
      <c r="AY4" s="254">
        <v>13.043946912000024</v>
      </c>
      <c r="BA4" s="169"/>
      <c r="BB4" s="169"/>
    </row>
    <row r="5" spans="1:54">
      <c r="B5" s="237">
        <v>10015</v>
      </c>
      <c r="C5" s="237" t="s">
        <v>8</v>
      </c>
      <c r="D5" s="254">
        <v>-90.498202966799994</v>
      </c>
      <c r="E5" s="254">
        <v>-4.0342216288000117</v>
      </c>
      <c r="F5" s="254">
        <v>-209.34050652080003</v>
      </c>
      <c r="G5" s="254">
        <v>-112.45712916210002</v>
      </c>
      <c r="H5" s="254">
        <v>-200.82083609920005</v>
      </c>
      <c r="I5" s="254">
        <v>-107.69523979640002</v>
      </c>
      <c r="J5" s="254">
        <v>-143.53559249920002</v>
      </c>
      <c r="K5" s="254">
        <v>-82.278750596400016</v>
      </c>
      <c r="L5" s="254">
        <v>-144.2734267564</v>
      </c>
      <c r="M5" s="254">
        <v>-70.20509572360001</v>
      </c>
      <c r="N5" s="254">
        <v>-145.95255847759998</v>
      </c>
      <c r="O5" s="254">
        <v>-81.632300013100021</v>
      </c>
      <c r="P5" s="254">
        <v>-42.750722738399986</v>
      </c>
      <c r="Q5" s="254">
        <v>-17.571611989600015</v>
      </c>
      <c r="R5" s="254">
        <v>-18.384863810000013</v>
      </c>
      <c r="S5" s="254">
        <v>95.595210664400014</v>
      </c>
      <c r="T5" s="254">
        <v>30.021171411599937</v>
      </c>
      <c r="U5" s="254">
        <v>143.79779341039998</v>
      </c>
      <c r="V5" s="254">
        <v>234.62659591160002</v>
      </c>
      <c r="W5" s="254">
        <v>344.07488909279994</v>
      </c>
      <c r="X5" s="254">
        <v>221.04244146159994</v>
      </c>
      <c r="Y5" s="254">
        <v>297.68476109280004</v>
      </c>
      <c r="Z5" s="254">
        <v>40.256427839999958</v>
      </c>
      <c r="AA5" s="254">
        <v>170.319238332</v>
      </c>
      <c r="AB5" s="254">
        <v>-90.498202966799994</v>
      </c>
      <c r="AC5" s="254">
        <v>-4.0342216288000117</v>
      </c>
      <c r="AD5" s="254">
        <v>-209.34050652080003</v>
      </c>
      <c r="AE5" s="254">
        <v>-112.45712916210002</v>
      </c>
      <c r="AF5" s="254">
        <v>-200.82083609920005</v>
      </c>
      <c r="AG5" s="254">
        <v>-107.69523979640002</v>
      </c>
      <c r="AH5" s="254">
        <v>-143.53559249920002</v>
      </c>
      <c r="AI5" s="254">
        <v>-82.278750596400016</v>
      </c>
      <c r="AJ5" s="254">
        <v>-135.1584199852</v>
      </c>
      <c r="AK5" s="254">
        <v>-65.64759233800001</v>
      </c>
      <c r="AL5" s="254">
        <v>-145.95255847759998</v>
      </c>
      <c r="AM5" s="254">
        <v>-81.632300013100021</v>
      </c>
      <c r="AN5" s="254">
        <v>-42.750722738399986</v>
      </c>
      <c r="AO5" s="254">
        <v>-17.571611989600015</v>
      </c>
      <c r="AP5" s="254">
        <v>-18.384863810000013</v>
      </c>
      <c r="AQ5" s="254">
        <v>95.595210664400014</v>
      </c>
      <c r="AR5" s="254">
        <v>30.021171411599937</v>
      </c>
      <c r="AS5" s="254">
        <v>143.79779341039998</v>
      </c>
      <c r="AT5" s="254">
        <v>234.62659591160002</v>
      </c>
      <c r="AU5" s="254">
        <v>344.07488909279994</v>
      </c>
      <c r="AV5" s="254">
        <v>221.04244146159994</v>
      </c>
      <c r="AW5" s="254">
        <v>297.68476109280004</v>
      </c>
      <c r="AX5" s="254">
        <v>40.256427839999958</v>
      </c>
      <c r="AY5" s="254">
        <v>170.319238332</v>
      </c>
      <c r="BA5" s="170"/>
      <c r="BB5" s="170"/>
    </row>
    <row r="6" spans="1:54">
      <c r="B6" s="237">
        <v>10024</v>
      </c>
      <c r="C6" s="237" t="s">
        <v>9</v>
      </c>
      <c r="D6" s="254">
        <v>-10217.609352205713</v>
      </c>
      <c r="E6" s="254">
        <v>995.04842910142906</v>
      </c>
      <c r="F6" s="254">
        <v>-19633.482738227394</v>
      </c>
      <c r="G6" s="254">
        <v>-4445.5987903764253</v>
      </c>
      <c r="H6" s="254">
        <v>-13664.038371227194</v>
      </c>
      <c r="I6" s="254">
        <v>1567.8255386807687</v>
      </c>
      <c r="J6" s="254">
        <v>-167.56064650176268</v>
      </c>
      <c r="K6" s="254">
        <v>8744.8916427619261</v>
      </c>
      <c r="L6" s="254">
        <v>-6362.2807390657472</v>
      </c>
      <c r="M6" s="254">
        <v>1633.520660841823</v>
      </c>
      <c r="N6" s="254">
        <v>-12714.378590486231</v>
      </c>
      <c r="O6" s="254">
        <v>-210.35615046103339</v>
      </c>
      <c r="P6" s="254">
        <v>-114.44905031857343</v>
      </c>
      <c r="Q6" s="254">
        <v>5149.4948893441142</v>
      </c>
      <c r="R6" s="254">
        <v>-8302.790030843993</v>
      </c>
      <c r="S6" s="254">
        <v>9257.4599806041624</v>
      </c>
      <c r="T6" s="254">
        <v>-11381.65337467903</v>
      </c>
      <c r="U6" s="254">
        <v>4143.1273692922477</v>
      </c>
      <c r="V6" s="254">
        <v>9124.0628844070743</v>
      </c>
      <c r="W6" s="254">
        <v>25511.013018830574</v>
      </c>
      <c r="X6" s="254">
        <v>2132.2798762774109</v>
      </c>
      <c r="Y6" s="254">
        <v>19090.771173930269</v>
      </c>
      <c r="Z6" s="254">
        <v>-7927.9197499053989</v>
      </c>
      <c r="AA6" s="254">
        <v>4240.3167758756535</v>
      </c>
      <c r="AB6" s="254">
        <v>-10043.809521283947</v>
      </c>
      <c r="AC6" s="254">
        <v>1120.5705292116218</v>
      </c>
      <c r="AD6" s="254">
        <v>-20859.30095872016</v>
      </c>
      <c r="AE6" s="254">
        <v>-2902.038827711247</v>
      </c>
      <c r="AF6" s="254">
        <v>-11868.443179007918</v>
      </c>
      <c r="AG6" s="254">
        <v>145.23152205513907</v>
      </c>
      <c r="AH6" s="254">
        <v>-1673.8785146812006</v>
      </c>
      <c r="AI6" s="254">
        <v>10656.445356030672</v>
      </c>
      <c r="AJ6" s="254">
        <v>-4720.0933458970467</v>
      </c>
      <c r="AK6" s="254">
        <v>2794.2443445142126</v>
      </c>
      <c r="AL6" s="254">
        <v>-11265.083860772807</v>
      </c>
      <c r="AM6" s="254">
        <v>-1360.3289491424839</v>
      </c>
      <c r="AN6" s="254">
        <v>71.79570676797448</v>
      </c>
      <c r="AO6" s="254">
        <v>5285.5968272150531</v>
      </c>
      <c r="AP6" s="254">
        <v>-8084.9212969251967</v>
      </c>
      <c r="AQ6" s="254">
        <v>9444.827091774674</v>
      </c>
      <c r="AR6" s="254">
        <v>-11107.607517822937</v>
      </c>
      <c r="AS6" s="254">
        <v>4343.3916493024662</v>
      </c>
      <c r="AT6" s="254">
        <v>9445.9144231509854</v>
      </c>
      <c r="AU6" s="254">
        <v>25764.780578224814</v>
      </c>
      <c r="AV6" s="254">
        <v>2410.359605751968</v>
      </c>
      <c r="AW6" s="254">
        <v>19310.026345246748</v>
      </c>
      <c r="AX6" s="254">
        <v>-7743.7216385011125</v>
      </c>
      <c r="AY6" s="254">
        <v>4387.6752649991104</v>
      </c>
      <c r="BA6" s="170"/>
      <c r="BB6" s="170"/>
    </row>
    <row r="7" spans="1:54">
      <c r="B7" s="237">
        <v>10025</v>
      </c>
      <c r="C7" s="237" t="s">
        <v>10</v>
      </c>
      <c r="D7" s="254">
        <v>-924.4443978240015</v>
      </c>
      <c r="E7" s="254">
        <v>1984.9477260159983</v>
      </c>
      <c r="F7" s="254">
        <v>-10487.007876544001</v>
      </c>
      <c r="G7" s="254">
        <v>-3152.703126528002</v>
      </c>
      <c r="H7" s="254">
        <v>-5796.0729650560061</v>
      </c>
      <c r="I7" s="254">
        <v>1340.8855092480007</v>
      </c>
      <c r="J7" s="254">
        <v>-191.14351705600347</v>
      </c>
      <c r="K7" s="254">
        <v>3195.4807652479994</v>
      </c>
      <c r="L7" s="254">
        <v>-4012.3545035520037</v>
      </c>
      <c r="M7" s="254">
        <v>-505.73922284800028</v>
      </c>
      <c r="N7" s="254">
        <v>-6386.6355575679954</v>
      </c>
      <c r="O7" s="254">
        <v>-757.80995820800126</v>
      </c>
      <c r="P7" s="254">
        <v>-786.63891731200056</v>
      </c>
      <c r="Q7" s="254">
        <v>700.37231827200048</v>
      </c>
      <c r="R7" s="254">
        <v>-2139.1678208000048</v>
      </c>
      <c r="S7" s="254">
        <v>2213.4630849919959</v>
      </c>
      <c r="T7" s="254">
        <v>-6413.584445312008</v>
      </c>
      <c r="U7" s="254">
        <v>1537.362190271997</v>
      </c>
      <c r="V7" s="254">
        <v>5501.9287146880015</v>
      </c>
      <c r="W7" s="254">
        <v>10256.980941504002</v>
      </c>
      <c r="X7" s="254">
        <v>4234.7013386879989</v>
      </c>
      <c r="Y7" s="254">
        <v>7778.3219015039995</v>
      </c>
      <c r="Z7" s="254">
        <v>236.57145119999768</v>
      </c>
      <c r="AA7" s="254">
        <v>5421.8212617600002</v>
      </c>
      <c r="AB7" s="254">
        <v>-827.58139782400031</v>
      </c>
      <c r="AC7" s="254">
        <v>1997.4057260160007</v>
      </c>
      <c r="AD7" s="254">
        <v>-10317.436876544001</v>
      </c>
      <c r="AE7" s="254">
        <v>-3270.6441265280046</v>
      </c>
      <c r="AF7" s="254">
        <v>-5958.4959650560013</v>
      </c>
      <c r="AG7" s="254">
        <v>1422.2935092480002</v>
      </c>
      <c r="AH7" s="254">
        <v>-196.37151705600263</v>
      </c>
      <c r="AI7" s="254">
        <v>2948.0407652480008</v>
      </c>
      <c r="AJ7" s="254">
        <v>-3007.5482655359992</v>
      </c>
      <c r="AK7" s="254">
        <v>-35.076603839999734</v>
      </c>
      <c r="AL7" s="254">
        <v>-6571.9675575679976</v>
      </c>
      <c r="AM7" s="254">
        <v>-691.55495820800206</v>
      </c>
      <c r="AN7" s="254">
        <v>-803.77191731199855</v>
      </c>
      <c r="AO7" s="254">
        <v>663.32831827200062</v>
      </c>
      <c r="AP7" s="254">
        <v>-2078.2148208000035</v>
      </c>
      <c r="AQ7" s="254">
        <v>2194.4990849919996</v>
      </c>
      <c r="AR7" s="254">
        <v>-6334.0794453120034</v>
      </c>
      <c r="AS7" s="254">
        <v>1584.8311902719979</v>
      </c>
      <c r="AT7" s="254">
        <v>5621.4507146879987</v>
      </c>
      <c r="AU7" s="254">
        <v>10296.736941503999</v>
      </c>
      <c r="AV7" s="254">
        <v>4333.8473386879996</v>
      </c>
      <c r="AW7" s="254">
        <v>7789.4649015039995</v>
      </c>
      <c r="AX7" s="254">
        <v>284.15745120000065</v>
      </c>
      <c r="AY7" s="254">
        <v>5449.7532617600009</v>
      </c>
      <c r="BA7" s="170"/>
      <c r="BB7" s="170"/>
    </row>
    <row r="8" spans="1:54">
      <c r="B8" s="237">
        <v>10027</v>
      </c>
      <c r="C8" s="237" t="s">
        <v>11</v>
      </c>
      <c r="D8" s="254">
        <v>-4328.8192131752003</v>
      </c>
      <c r="E8" s="254">
        <v>731.78978295680099</v>
      </c>
      <c r="F8" s="254">
        <v>-18041.3255771312</v>
      </c>
      <c r="G8" s="254">
        <v>-8828.8056120994006</v>
      </c>
      <c r="H8" s="254">
        <v>-14325.033445548801</v>
      </c>
      <c r="I8" s="254">
        <v>-6763.0440928696025</v>
      </c>
      <c r="J8" s="254">
        <v>-9632.8277551488027</v>
      </c>
      <c r="K8" s="254">
        <v>-3372.7890840696</v>
      </c>
      <c r="L8" s="254">
        <v>-10177.543318309597</v>
      </c>
      <c r="M8" s="254">
        <v>-4468.2995004103996</v>
      </c>
      <c r="N8" s="254">
        <v>-14086.404253166396</v>
      </c>
      <c r="O8" s="254">
        <v>-7038.8815713134009</v>
      </c>
      <c r="P8" s="254">
        <v>-3518.0352406575985</v>
      </c>
      <c r="Q8" s="254">
        <v>-783.55539993440107</v>
      </c>
      <c r="R8" s="254">
        <v>5646.5220436599957</v>
      </c>
      <c r="S8" s="254">
        <v>10450.754161421601</v>
      </c>
      <c r="T8" s="254">
        <v>9369.4233224424024</v>
      </c>
      <c r="U8" s="254">
        <v>12203.212695665599</v>
      </c>
      <c r="V8" s="254">
        <v>14974.409615442401</v>
      </c>
      <c r="W8" s="254">
        <v>20798.708768739205</v>
      </c>
      <c r="X8" s="254">
        <v>11516.056718142401</v>
      </c>
      <c r="Y8" s="254">
        <v>14303.3145767392</v>
      </c>
      <c r="Z8" s="254">
        <v>4696.2934217599977</v>
      </c>
      <c r="AA8" s="254">
        <v>8493.7120202480019</v>
      </c>
      <c r="AB8" s="254">
        <v>-4438.7492131751969</v>
      </c>
      <c r="AC8" s="254">
        <v>646.36278295680131</v>
      </c>
      <c r="AD8" s="254">
        <v>-18059.4525771312</v>
      </c>
      <c r="AE8" s="254">
        <v>-8992.8816120994015</v>
      </c>
      <c r="AF8" s="254">
        <v>-14499.946445548801</v>
      </c>
      <c r="AG8" s="254">
        <v>-6783.4860928696016</v>
      </c>
      <c r="AH8" s="254">
        <v>-9659.762755148804</v>
      </c>
      <c r="AI8" s="254">
        <v>-3541.2120840695989</v>
      </c>
      <c r="AJ8" s="254">
        <v>-9218.4570177528003</v>
      </c>
      <c r="AK8" s="254">
        <v>-4016.7798501319994</v>
      </c>
      <c r="AL8" s="254">
        <v>-14264.926253166395</v>
      </c>
      <c r="AM8" s="254">
        <v>-7055.1475713134005</v>
      </c>
      <c r="AN8" s="254">
        <v>-3617.8582406575988</v>
      </c>
      <c r="AO8" s="254">
        <v>-865.36139993440156</v>
      </c>
      <c r="AP8" s="254">
        <v>5548.9840436599952</v>
      </c>
      <c r="AQ8" s="254">
        <v>10352.9281614216</v>
      </c>
      <c r="AR8" s="254">
        <v>9267.5653224424022</v>
      </c>
      <c r="AS8" s="254">
        <v>12123.441695665599</v>
      </c>
      <c r="AT8" s="254">
        <v>14867.742615442399</v>
      </c>
      <c r="AU8" s="254">
        <v>20710.017768739199</v>
      </c>
      <c r="AV8" s="254">
        <v>11415.440718142399</v>
      </c>
      <c r="AW8" s="254">
        <v>14208.5665767392</v>
      </c>
      <c r="AX8" s="254">
        <v>4598.6964217599962</v>
      </c>
      <c r="AY8" s="254">
        <v>8409.6800202480026</v>
      </c>
      <c r="BA8" s="170"/>
      <c r="BB8" s="170"/>
    </row>
    <row r="9" spans="1:54">
      <c r="B9" s="237">
        <v>10029</v>
      </c>
      <c r="C9" s="237" t="s">
        <v>12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v>0</v>
      </c>
      <c r="T9" s="254">
        <v>0</v>
      </c>
      <c r="U9" s="254">
        <v>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v>0</v>
      </c>
      <c r="AI9" s="254">
        <v>0</v>
      </c>
      <c r="AJ9" s="254">
        <v>0</v>
      </c>
      <c r="AK9" s="254">
        <v>0</v>
      </c>
      <c r="AL9" s="254">
        <v>0</v>
      </c>
      <c r="AM9" s="254">
        <v>0</v>
      </c>
      <c r="AN9" s="254">
        <v>0</v>
      </c>
      <c r="AO9" s="254">
        <v>0</v>
      </c>
      <c r="AP9" s="254">
        <v>0</v>
      </c>
      <c r="AQ9" s="254">
        <v>0</v>
      </c>
      <c r="AR9" s="254">
        <v>0</v>
      </c>
      <c r="AS9" s="254">
        <v>0</v>
      </c>
      <c r="AT9" s="254">
        <v>0</v>
      </c>
      <c r="AU9" s="254">
        <v>0</v>
      </c>
      <c r="AV9" s="254">
        <v>0</v>
      </c>
      <c r="AW9" s="254">
        <v>0</v>
      </c>
      <c r="AX9" s="254">
        <v>0</v>
      </c>
      <c r="AY9" s="254">
        <v>0</v>
      </c>
      <c r="BA9" s="170"/>
      <c r="BB9" s="170"/>
    </row>
    <row r="10" spans="1:54">
      <c r="B10" s="237">
        <v>10044</v>
      </c>
      <c r="C10" s="237" t="s">
        <v>13</v>
      </c>
      <c r="D10" s="254">
        <v>978.40485065080065</v>
      </c>
      <c r="E10" s="254">
        <v>1014.9596253728005</v>
      </c>
      <c r="F10" s="254">
        <v>-221.56127377519806</v>
      </c>
      <c r="G10" s="254">
        <v>48.71582173509978</v>
      </c>
      <c r="H10" s="254">
        <v>1564.3264569952007</v>
      </c>
      <c r="I10" s="254">
        <v>859.01283932839942</v>
      </c>
      <c r="J10" s="254">
        <v>2793.9115453951999</v>
      </c>
      <c r="K10" s="254">
        <v>2418.7007541284001</v>
      </c>
      <c r="L10" s="254">
        <v>1976.5187310884003</v>
      </c>
      <c r="M10" s="254">
        <v>971.06191379160009</v>
      </c>
      <c r="N10" s="254">
        <v>1631.1316445656012</v>
      </c>
      <c r="O10" s="254">
        <v>595.17366821609994</v>
      </c>
      <c r="P10" s="254">
        <v>2486.9566347303999</v>
      </c>
      <c r="Q10" s="254">
        <v>993.37073463760044</v>
      </c>
      <c r="R10" s="254">
        <v>-1513.5056908899987</v>
      </c>
      <c r="S10" s="254">
        <v>-137.48464303639958</v>
      </c>
      <c r="T10" s="254">
        <v>-3341.9537489195991</v>
      </c>
      <c r="U10" s="254">
        <v>-1852.1693727623997</v>
      </c>
      <c r="V10" s="254">
        <v>-623.06685841959916</v>
      </c>
      <c r="W10" s="254">
        <v>1387.0911768432006</v>
      </c>
      <c r="X10" s="254">
        <v>457.09212453039981</v>
      </c>
      <c r="Y10" s="254">
        <v>896.85594484319972</v>
      </c>
      <c r="Z10" s="254">
        <v>298.81235295999977</v>
      </c>
      <c r="AA10" s="254">
        <v>336.76139850800064</v>
      </c>
      <c r="AB10" s="254">
        <v>1011.366850650802</v>
      </c>
      <c r="AC10" s="254">
        <v>1034.2696253728</v>
      </c>
      <c r="AD10" s="254">
        <v>-159.47227377519812</v>
      </c>
      <c r="AE10" s="254">
        <v>86.742821735099824</v>
      </c>
      <c r="AF10" s="254">
        <v>1635.7984569952005</v>
      </c>
      <c r="AG10" s="254">
        <v>902.0578393283995</v>
      </c>
      <c r="AH10" s="254">
        <v>2863.0405453951989</v>
      </c>
      <c r="AI10" s="254">
        <v>2464.1737541284001</v>
      </c>
      <c r="AJ10" s="254">
        <v>2359.2114360611995</v>
      </c>
      <c r="AK10" s="254">
        <v>1166.3482662779998</v>
      </c>
      <c r="AL10" s="254">
        <v>1694.2896445656006</v>
      </c>
      <c r="AM10" s="254">
        <v>629.31166821609986</v>
      </c>
      <c r="AN10" s="254">
        <v>2208.9516347304007</v>
      </c>
      <c r="AO10" s="254">
        <v>1360.5837346376002</v>
      </c>
      <c r="AP10" s="254">
        <v>-1162.9806908899991</v>
      </c>
      <c r="AQ10" s="254">
        <v>-405.76564303639952</v>
      </c>
      <c r="AR10" s="254">
        <v>-3285.6777489195993</v>
      </c>
      <c r="AS10" s="254">
        <v>-1822.0013727623991</v>
      </c>
      <c r="AT10" s="254">
        <v>-563.32885841959978</v>
      </c>
      <c r="AU10" s="254">
        <v>1424.142176843201</v>
      </c>
      <c r="AV10" s="254">
        <v>521.37412453040088</v>
      </c>
      <c r="AW10" s="254">
        <v>930.49494484319985</v>
      </c>
      <c r="AX10" s="254">
        <v>352.22035295999922</v>
      </c>
      <c r="AY10" s="254">
        <v>367.76039850800043</v>
      </c>
      <c r="BA10" s="170"/>
      <c r="BB10" s="170"/>
    </row>
    <row r="11" spans="1:54">
      <c r="B11" s="237">
        <v>10046</v>
      </c>
      <c r="C11" s="237" t="s">
        <v>14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v>0</v>
      </c>
      <c r="AI11" s="254">
        <v>0</v>
      </c>
      <c r="AJ11" s="254">
        <v>0</v>
      </c>
      <c r="AK11" s="254">
        <v>0</v>
      </c>
      <c r="AL11" s="254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0</v>
      </c>
      <c r="AY11" s="254">
        <v>0</v>
      </c>
      <c r="BA11" s="170"/>
      <c r="BB11" s="170"/>
    </row>
    <row r="12" spans="1:54">
      <c r="B12" s="237">
        <v>10047</v>
      </c>
      <c r="C12" s="237" t="s">
        <v>15</v>
      </c>
      <c r="D12" s="254">
        <v>-1529.0885842983917</v>
      </c>
      <c r="E12" s="254">
        <v>10265.934961145605</v>
      </c>
      <c r="F12" s="254">
        <v>-15186.531501150414</v>
      </c>
      <c r="G12" s="254">
        <v>-643.69187472980411</v>
      </c>
      <c r="H12" s="254">
        <v>2228.4148275904008</v>
      </c>
      <c r="I12" s="254">
        <v>8943.9545898567958</v>
      </c>
      <c r="J12" s="254">
        <v>7298.8212043903914</v>
      </c>
      <c r="K12" s="254">
        <v>18122.604819456799</v>
      </c>
      <c r="L12" s="254">
        <v>4389.0290533768057</v>
      </c>
      <c r="M12" s="254">
        <v>8215.1690763832012</v>
      </c>
      <c r="N12" s="254">
        <v>4754.7434699312143</v>
      </c>
      <c r="O12" s="254">
        <v>8100.002976232201</v>
      </c>
      <c r="P12" s="254">
        <v>12359.467416660802</v>
      </c>
      <c r="Q12" s="254">
        <v>12281.556946075198</v>
      </c>
      <c r="R12" s="254">
        <v>-22480.039401780014</v>
      </c>
      <c r="S12" s="254">
        <v>696.19905872720119</v>
      </c>
      <c r="T12" s="254">
        <v>-40732.337050639202</v>
      </c>
      <c r="U12" s="254">
        <v>-15259.4114687248</v>
      </c>
      <c r="V12" s="254">
        <v>-25739.375269639204</v>
      </c>
      <c r="W12" s="254">
        <v>6545.2195312863987</v>
      </c>
      <c r="X12" s="254">
        <v>-17737.552203739193</v>
      </c>
      <c r="Y12" s="254">
        <v>3234.1730672863996</v>
      </c>
      <c r="Z12" s="254">
        <v>-11197.839014080004</v>
      </c>
      <c r="AA12" s="254">
        <v>2594.257941015996</v>
      </c>
      <c r="AB12" s="254">
        <v>-1568.4890033060001</v>
      </c>
      <c r="AC12" s="254">
        <v>10262.760349903998</v>
      </c>
      <c r="AD12" s="254">
        <v>-15256.144932235999</v>
      </c>
      <c r="AE12" s="254">
        <v>-671.57460914450348</v>
      </c>
      <c r="AF12" s="254">
        <v>2187.9004443359881</v>
      </c>
      <c r="AG12" s="254">
        <v>8931.4605437619903</v>
      </c>
      <c r="AH12" s="254">
        <v>7273.3600063359918</v>
      </c>
      <c r="AI12" s="254">
        <v>18129.831757761996</v>
      </c>
      <c r="AJ12" s="254">
        <v>6834.8275984659995</v>
      </c>
      <c r="AK12" s="254">
        <v>9444.9066517899919</v>
      </c>
      <c r="AL12" s="254">
        <v>4724.4603449080023</v>
      </c>
      <c r="AM12" s="254">
        <v>8091.3425790604961</v>
      </c>
      <c r="AN12" s="254">
        <v>9772.1714243719907</v>
      </c>
      <c r="AO12" s="254">
        <v>14860.081404867993</v>
      </c>
      <c r="AP12" s="254">
        <v>-20424.82715645001</v>
      </c>
      <c r="AQ12" s="254">
        <v>-1459.7109567020016</v>
      </c>
      <c r="AR12" s="254">
        <v>-40852.395563878003</v>
      </c>
      <c r="AS12" s="254">
        <v>-15313.416452132005</v>
      </c>
      <c r="AT12" s="254">
        <v>-25826.094211377997</v>
      </c>
      <c r="AU12" s="254">
        <v>6535.3260899759916</v>
      </c>
      <c r="AV12" s="254">
        <v>-17809.980486628003</v>
      </c>
      <c r="AW12" s="254">
        <v>3219.2723299759964</v>
      </c>
      <c r="AX12" s="254">
        <v>-11252.646507200014</v>
      </c>
      <c r="AY12" s="254">
        <v>2577.8150269399994</v>
      </c>
      <c r="BA12" s="170"/>
      <c r="BB12" s="170"/>
    </row>
    <row r="13" spans="1:54">
      <c r="B13" s="237">
        <v>10055</v>
      </c>
      <c r="C13" s="237" t="s">
        <v>16</v>
      </c>
      <c r="D13" s="254">
        <v>-14.394783262399983</v>
      </c>
      <c r="E13" s="254">
        <v>18.705800921600002</v>
      </c>
      <c r="F13" s="254">
        <v>-36.680740534399973</v>
      </c>
      <c r="G13" s="254">
        <v>7.3749990371999985</v>
      </c>
      <c r="H13" s="254">
        <v>61.124574374399998</v>
      </c>
      <c r="I13" s="254">
        <v>74.668334884799989</v>
      </c>
      <c r="J13" s="254">
        <v>69.77417917439999</v>
      </c>
      <c r="K13" s="254">
        <v>103.43448048479999</v>
      </c>
      <c r="L13" s="254">
        <v>43.768277604800033</v>
      </c>
      <c r="M13" s="254">
        <v>54.778921755200017</v>
      </c>
      <c r="N13" s="254">
        <v>14.027258883200005</v>
      </c>
      <c r="O13" s="254">
        <v>31.665979769200007</v>
      </c>
      <c r="P13" s="254">
        <v>13.827556028800018</v>
      </c>
      <c r="Q13" s="254">
        <v>23.078183267200004</v>
      </c>
      <c r="R13" s="254">
        <v>-71.630173079999977</v>
      </c>
      <c r="S13" s="254">
        <v>-11.905820660799989</v>
      </c>
      <c r="T13" s="254">
        <v>-118.96233177119998</v>
      </c>
      <c r="U13" s="254">
        <v>-60.316689532799984</v>
      </c>
      <c r="V13" s="254">
        <v>-66.927165771200009</v>
      </c>
      <c r="W13" s="254">
        <v>-4.0805237695999921</v>
      </c>
      <c r="X13" s="254">
        <v>-60.532398371200003</v>
      </c>
      <c r="Y13" s="254">
        <v>-17.863427769599994</v>
      </c>
      <c r="Z13" s="254">
        <v>-50.233530879999989</v>
      </c>
      <c r="AA13" s="254">
        <v>-18.539408623999989</v>
      </c>
      <c r="AB13" s="254">
        <v>-14.394783262399983</v>
      </c>
      <c r="AC13" s="254">
        <v>18.705800921600002</v>
      </c>
      <c r="AD13" s="254">
        <v>-36.680740534399973</v>
      </c>
      <c r="AE13" s="254">
        <v>7.3749990371999985</v>
      </c>
      <c r="AF13" s="254">
        <v>61.124574374399998</v>
      </c>
      <c r="AG13" s="254">
        <v>74.668334884799989</v>
      </c>
      <c r="AH13" s="254">
        <v>69.77417917439999</v>
      </c>
      <c r="AI13" s="254">
        <v>103.43448048479999</v>
      </c>
      <c r="AJ13" s="254">
        <v>49.927369726400002</v>
      </c>
      <c r="AK13" s="254">
        <v>57.858467816000015</v>
      </c>
      <c r="AL13" s="254">
        <v>14.027258883200005</v>
      </c>
      <c r="AM13" s="254">
        <v>31.665979769200007</v>
      </c>
      <c r="AN13" s="254">
        <v>7.9745560288000092</v>
      </c>
      <c r="AO13" s="254">
        <v>28.931183267199998</v>
      </c>
      <c r="AP13" s="254">
        <v>-66.96317307999999</v>
      </c>
      <c r="AQ13" s="254">
        <v>-16.572820660799991</v>
      </c>
      <c r="AR13" s="254">
        <v>-118.96233177119998</v>
      </c>
      <c r="AS13" s="254">
        <v>-60.316689532799984</v>
      </c>
      <c r="AT13" s="254">
        <v>-66.927165771200009</v>
      </c>
      <c r="AU13" s="254">
        <v>-4.0805237695999921</v>
      </c>
      <c r="AV13" s="254">
        <v>-60.532398371200003</v>
      </c>
      <c r="AW13" s="254">
        <v>-17.863427769599994</v>
      </c>
      <c r="AX13" s="254">
        <v>-50.233530879999989</v>
      </c>
      <c r="AY13" s="254">
        <v>-18.539408623999989</v>
      </c>
      <c r="BA13" s="170"/>
      <c r="BB13" s="170"/>
    </row>
    <row r="14" spans="1:54">
      <c r="B14" s="237">
        <v>10057</v>
      </c>
      <c r="C14" s="237" t="s">
        <v>17</v>
      </c>
      <c r="D14" s="254">
        <v>-167.8391877091999</v>
      </c>
      <c r="E14" s="254">
        <v>263.34217961279955</v>
      </c>
      <c r="F14" s="254">
        <v>-398.93924793520091</v>
      </c>
      <c r="G14" s="254">
        <v>-118.70020693490096</v>
      </c>
      <c r="H14" s="254">
        <v>887.132157155198</v>
      </c>
      <c r="I14" s="254">
        <v>442.6021450483986</v>
      </c>
      <c r="J14" s="254">
        <v>2251.0239655551995</v>
      </c>
      <c r="K14" s="254">
        <v>2141.9978998483994</v>
      </c>
      <c r="L14" s="254">
        <v>1613.2536448084011</v>
      </c>
      <c r="M14" s="254">
        <v>826.44550407160023</v>
      </c>
      <c r="N14" s="254">
        <v>700.62945904560002</v>
      </c>
      <c r="O14" s="254">
        <v>125.54713184609955</v>
      </c>
      <c r="P14" s="254">
        <v>1663.5631770504006</v>
      </c>
      <c r="Q14" s="254">
        <v>542.4275467175994</v>
      </c>
      <c r="R14" s="254">
        <v>-2225.3800778900013</v>
      </c>
      <c r="S14" s="254">
        <v>-493.87532515639941</v>
      </c>
      <c r="T14" s="254">
        <v>-4663.4585015996008</v>
      </c>
      <c r="U14" s="254">
        <v>-2707.8109806824004</v>
      </c>
      <c r="V14" s="254">
        <v>-989.35846109960039</v>
      </c>
      <c r="W14" s="254">
        <v>907.18521540319944</v>
      </c>
      <c r="X14" s="254">
        <v>-106.19599314960033</v>
      </c>
      <c r="Y14" s="254">
        <v>292.08138340319965</v>
      </c>
      <c r="Z14" s="254">
        <v>-908.75607904000117</v>
      </c>
      <c r="AA14" s="254">
        <v>-490.16638509199947</v>
      </c>
      <c r="AB14" s="254">
        <v>-164.83012232120018</v>
      </c>
      <c r="AC14" s="254">
        <v>264.95043142079976</v>
      </c>
      <c r="AD14" s="254">
        <v>-395.26188040720081</v>
      </c>
      <c r="AE14" s="254">
        <v>-116.51214122390047</v>
      </c>
      <c r="AF14" s="254">
        <v>890.73061382719789</v>
      </c>
      <c r="AG14" s="254">
        <v>444.79828857239954</v>
      </c>
      <c r="AH14" s="254">
        <v>2254.0595462271995</v>
      </c>
      <c r="AI14" s="254">
        <v>2143.7924713723996</v>
      </c>
      <c r="AJ14" s="254">
        <v>1935.7587889532006</v>
      </c>
      <c r="AK14" s="254">
        <v>987.93279725799948</v>
      </c>
      <c r="AL14" s="254">
        <v>703.72405286160028</v>
      </c>
      <c r="AM14" s="254">
        <v>127.31961396709994</v>
      </c>
      <c r="AN14" s="254">
        <v>1334.2267617944008</v>
      </c>
      <c r="AO14" s="254">
        <v>875.72774045359984</v>
      </c>
      <c r="AP14" s="254">
        <v>-1925.1089907900005</v>
      </c>
      <c r="AQ14" s="254">
        <v>-789.80301456039979</v>
      </c>
      <c r="AR14" s="254">
        <v>-4659.0328933556002</v>
      </c>
      <c r="AS14" s="254">
        <v>-2705.4175009464007</v>
      </c>
      <c r="AT14" s="254">
        <v>-985.6781478556004</v>
      </c>
      <c r="AU14" s="254">
        <v>908.85128335520039</v>
      </c>
      <c r="AV14" s="254">
        <v>-102.62823040560033</v>
      </c>
      <c r="AW14" s="254">
        <v>293.71993135520006</v>
      </c>
      <c r="AX14" s="254">
        <v>-905.76269344000048</v>
      </c>
      <c r="AY14" s="254">
        <v>-488.48561121199964</v>
      </c>
      <c r="BA14" s="170"/>
      <c r="BB14" s="170"/>
    </row>
    <row r="15" spans="1:54">
      <c r="B15" s="237">
        <v>10059</v>
      </c>
      <c r="C15" s="237" t="s">
        <v>18</v>
      </c>
      <c r="D15" s="254">
        <v>56.032118711200383</v>
      </c>
      <c r="E15" s="254">
        <v>241.15662881920025</v>
      </c>
      <c r="F15" s="254">
        <v>-363.67073525279966</v>
      </c>
      <c r="G15" s="254">
        <v>-44.894624508600373</v>
      </c>
      <c r="H15" s="254">
        <v>566.58294033279981</v>
      </c>
      <c r="I15" s="254">
        <v>459.93689139759999</v>
      </c>
      <c r="J15" s="254">
        <v>1132.0419779327995</v>
      </c>
      <c r="K15" s="254">
        <v>1216.0682985976002</v>
      </c>
      <c r="L15" s="254">
        <v>1134.6714960376003</v>
      </c>
      <c r="M15" s="254">
        <v>744.80609228240019</v>
      </c>
      <c r="N15" s="254">
        <v>654.01061111840045</v>
      </c>
      <c r="O15" s="254">
        <v>412.43349822540017</v>
      </c>
      <c r="P15" s="254">
        <v>929.02185102559997</v>
      </c>
      <c r="Q15" s="254">
        <v>574.91973612640004</v>
      </c>
      <c r="R15" s="254">
        <v>-838.76335246000008</v>
      </c>
      <c r="S15" s="254">
        <v>-16.470639309599619</v>
      </c>
      <c r="T15" s="254">
        <v>-1878.6543200743995</v>
      </c>
      <c r="U15" s="254">
        <v>-944.81456747359994</v>
      </c>
      <c r="V15" s="254">
        <v>-1269.6198530743995</v>
      </c>
      <c r="W15" s="254">
        <v>7.9761942048000947</v>
      </c>
      <c r="X15" s="254">
        <v>-939.84869177439987</v>
      </c>
      <c r="Y15" s="254">
        <v>-193.82905379520002</v>
      </c>
      <c r="Z15" s="254">
        <v>-487.16653855999994</v>
      </c>
      <c r="AA15" s="254">
        <v>-154.42032488799987</v>
      </c>
      <c r="AB15" s="254">
        <v>49.713081396400412</v>
      </c>
      <c r="AC15" s="254">
        <v>237.77930002240009</v>
      </c>
      <c r="AD15" s="254">
        <v>-371.3932070615997</v>
      </c>
      <c r="AE15" s="254">
        <v>-49.48956250170022</v>
      </c>
      <c r="AF15" s="254">
        <v>559.02618132159932</v>
      </c>
      <c r="AG15" s="254">
        <v>455.32498999719974</v>
      </c>
      <c r="AH15" s="254">
        <v>1125.6672585215993</v>
      </c>
      <c r="AI15" s="254">
        <v>1212.2996983972</v>
      </c>
      <c r="AJ15" s="254">
        <v>1248.5382088995998</v>
      </c>
      <c r="AK15" s="254">
        <v>801.24653437399979</v>
      </c>
      <c r="AL15" s="254">
        <v>647.51196410480043</v>
      </c>
      <c r="AM15" s="254">
        <v>408.71128577130003</v>
      </c>
      <c r="AN15" s="254">
        <v>779.20132306320011</v>
      </c>
      <c r="AO15" s="254">
        <v>716.41842928079973</v>
      </c>
      <c r="AP15" s="254">
        <v>-727.94333537000011</v>
      </c>
      <c r="AQ15" s="254">
        <v>-138.5138915611999</v>
      </c>
      <c r="AR15" s="254">
        <v>-1887.9480973867999</v>
      </c>
      <c r="AS15" s="254">
        <v>-949.84087491920013</v>
      </c>
      <c r="AT15" s="254">
        <v>-1277.3485108867999</v>
      </c>
      <c r="AU15" s="254">
        <v>4.4774515055999018</v>
      </c>
      <c r="AV15" s="254">
        <v>-947.34099353679994</v>
      </c>
      <c r="AW15" s="254">
        <v>-197.27000449440015</v>
      </c>
      <c r="AX15" s="254">
        <v>-493.45264832000021</v>
      </c>
      <c r="AY15" s="254">
        <v>-157.94995003600002</v>
      </c>
      <c r="BA15" s="170"/>
      <c r="BB15" s="170"/>
    </row>
    <row r="16" spans="1:54">
      <c r="B16" s="237">
        <v>10061</v>
      </c>
      <c r="C16" s="237" t="s">
        <v>19</v>
      </c>
      <c r="D16" s="254">
        <v>281.82551696200017</v>
      </c>
      <c r="E16" s="254">
        <v>552.19313579200002</v>
      </c>
      <c r="F16" s="254">
        <v>-127.40568342799997</v>
      </c>
      <c r="G16" s="254">
        <v>183.11761692649952</v>
      </c>
      <c r="H16" s="254">
        <v>408.08241172799899</v>
      </c>
      <c r="I16" s="254">
        <v>380.02824552599986</v>
      </c>
      <c r="J16" s="254">
        <v>1186.6653377279995</v>
      </c>
      <c r="K16" s="254">
        <v>1310.7191675259996</v>
      </c>
      <c r="L16" s="254">
        <v>1017.1394619260004</v>
      </c>
      <c r="M16" s="254">
        <v>807.3501312740002</v>
      </c>
      <c r="N16" s="254">
        <v>697.50255888400034</v>
      </c>
      <c r="O16" s="254">
        <v>532.02089314149953</v>
      </c>
      <c r="P16" s="254">
        <v>964.68629455600012</v>
      </c>
      <c r="Q16" s="254">
        <v>616.67855796399999</v>
      </c>
      <c r="R16" s="254">
        <v>-729.17787335000048</v>
      </c>
      <c r="S16" s="254">
        <v>187.41632685400009</v>
      </c>
      <c r="T16" s="254">
        <v>-1851.2068101939999</v>
      </c>
      <c r="U16" s="254">
        <v>-825.7616530360001</v>
      </c>
      <c r="V16" s="254">
        <v>-867.38495269400028</v>
      </c>
      <c r="W16" s="254">
        <v>525.75084144799985</v>
      </c>
      <c r="X16" s="254">
        <v>-519.37515844399968</v>
      </c>
      <c r="Y16" s="254">
        <v>205.11936144799961</v>
      </c>
      <c r="Z16" s="254">
        <v>-131.51706560000002</v>
      </c>
      <c r="AA16" s="254">
        <v>197.48654962000001</v>
      </c>
      <c r="AB16" s="254">
        <v>323.22951696200016</v>
      </c>
      <c r="AC16" s="254">
        <v>578.47013579200006</v>
      </c>
      <c r="AD16" s="254">
        <v>-85.72468342800039</v>
      </c>
      <c r="AE16" s="254">
        <v>210.35561692649981</v>
      </c>
      <c r="AF16" s="254">
        <v>446.71141172799889</v>
      </c>
      <c r="AG16" s="254">
        <v>404.64324552599965</v>
      </c>
      <c r="AH16" s="254">
        <v>1222.8323377279999</v>
      </c>
      <c r="AI16" s="254">
        <v>1336.5551675259999</v>
      </c>
      <c r="AJ16" s="254">
        <v>1191.2301917180002</v>
      </c>
      <c r="AK16" s="254">
        <v>899.03199617000018</v>
      </c>
      <c r="AL16" s="254">
        <v>729.00755888400045</v>
      </c>
      <c r="AM16" s="254">
        <v>550.98689314149988</v>
      </c>
      <c r="AN16" s="254">
        <v>833.89129455600005</v>
      </c>
      <c r="AO16" s="254">
        <v>793.84655796400011</v>
      </c>
      <c r="AP16" s="254">
        <v>-562.24387335000029</v>
      </c>
      <c r="AQ16" s="254">
        <v>58.443326854000134</v>
      </c>
      <c r="AR16" s="254">
        <v>-1831.5718101940001</v>
      </c>
      <c r="AS16" s="254">
        <v>-814.19465303600009</v>
      </c>
      <c r="AT16" s="254">
        <v>-850.41395269400027</v>
      </c>
      <c r="AU16" s="254">
        <v>537.65584144800005</v>
      </c>
      <c r="AV16" s="254">
        <v>-504.42915844399977</v>
      </c>
      <c r="AW16" s="254">
        <v>213.68436144799966</v>
      </c>
      <c r="AX16" s="254">
        <v>-115.55206560000033</v>
      </c>
      <c r="AY16" s="254">
        <v>207.66154962000019</v>
      </c>
      <c r="BA16" s="170"/>
      <c r="BB16" s="170"/>
    </row>
    <row r="17" spans="2:54">
      <c r="B17" s="237">
        <v>10062</v>
      </c>
      <c r="C17" s="237" t="s">
        <v>20</v>
      </c>
      <c r="D17" s="254">
        <v>609.86894975840005</v>
      </c>
      <c r="E17" s="254">
        <v>59.826738214400166</v>
      </c>
      <c r="F17" s="254">
        <v>531.7817779103998</v>
      </c>
      <c r="G17" s="254">
        <v>153.05890647479964</v>
      </c>
      <c r="H17" s="254">
        <v>1466.5924346495995</v>
      </c>
      <c r="I17" s="254">
        <v>787.48869772319972</v>
      </c>
      <c r="J17" s="254">
        <v>1830.6446378495998</v>
      </c>
      <c r="K17" s="254">
        <v>1088.8487281232001</v>
      </c>
      <c r="L17" s="254">
        <v>1490.3502462031997</v>
      </c>
      <c r="M17" s="254">
        <v>735.30418003680006</v>
      </c>
      <c r="N17" s="254">
        <v>896.32593778880027</v>
      </c>
      <c r="O17" s="254">
        <v>265.32546646280048</v>
      </c>
      <c r="P17" s="254">
        <v>297.93897081919999</v>
      </c>
      <c r="Q17" s="254">
        <v>-201.11072195520001</v>
      </c>
      <c r="R17" s="254">
        <v>-1320.6932037200004</v>
      </c>
      <c r="S17" s="254">
        <v>-1389.0571409072002</v>
      </c>
      <c r="T17" s="254">
        <v>-2073.9671293808001</v>
      </c>
      <c r="U17" s="254">
        <v>-1709.1549371552001</v>
      </c>
      <c r="V17" s="254">
        <v>-792.23293538079997</v>
      </c>
      <c r="W17" s="254">
        <v>-702.35038144639975</v>
      </c>
      <c r="X17" s="254">
        <v>183.54510121920021</v>
      </c>
      <c r="Y17" s="254">
        <v>-127.20631744640013</v>
      </c>
      <c r="Z17" s="254">
        <v>334.76796607999995</v>
      </c>
      <c r="AA17" s="254">
        <v>-63.936886415999879</v>
      </c>
      <c r="AB17" s="254">
        <v>638.34194975840046</v>
      </c>
      <c r="AC17" s="254">
        <v>71.277738214400415</v>
      </c>
      <c r="AD17" s="254">
        <v>579.7197779103999</v>
      </c>
      <c r="AE17" s="254">
        <v>136.56690647479991</v>
      </c>
      <c r="AF17" s="254">
        <v>1451.5744346496003</v>
      </c>
      <c r="AG17" s="254">
        <v>816.4426977231999</v>
      </c>
      <c r="AH17" s="254">
        <v>1870.1296378495995</v>
      </c>
      <c r="AI17" s="254">
        <v>1067.8457281231999</v>
      </c>
      <c r="AJ17" s="254">
        <v>1621.0090452175998</v>
      </c>
      <c r="AK17" s="254">
        <v>799.49707954400014</v>
      </c>
      <c r="AL17" s="254">
        <v>893.1529377888005</v>
      </c>
      <c r="AM17" s="254">
        <v>300.52446646280009</v>
      </c>
      <c r="AN17" s="254">
        <v>368.26997081920013</v>
      </c>
      <c r="AO17" s="254">
        <v>-232.80272195520001</v>
      </c>
      <c r="AP17" s="254">
        <v>-1361.2882037200002</v>
      </c>
      <c r="AQ17" s="254">
        <v>-1306.4081409072</v>
      </c>
      <c r="AR17" s="254">
        <v>-2041.6291293807999</v>
      </c>
      <c r="AS17" s="254">
        <v>-1697.0349371552002</v>
      </c>
      <c r="AT17" s="254">
        <v>-761.06793538080001</v>
      </c>
      <c r="AU17" s="254">
        <v>-690.05038144640002</v>
      </c>
      <c r="AV17" s="254">
        <v>217.09610121920014</v>
      </c>
      <c r="AW17" s="254">
        <v>-116.5003174464</v>
      </c>
      <c r="AX17" s="254">
        <v>366.00496608000003</v>
      </c>
      <c r="AY17" s="254">
        <v>-51.054886415999817</v>
      </c>
      <c r="BA17" s="170"/>
      <c r="BB17" s="170"/>
    </row>
    <row r="18" spans="2:54">
      <c r="B18" s="237">
        <v>10064</v>
      </c>
      <c r="C18" s="237" t="s">
        <v>21</v>
      </c>
      <c r="D18" s="254">
        <v>-200.71421592959905</v>
      </c>
      <c r="E18" s="254">
        <v>314.88802160640034</v>
      </c>
      <c r="F18" s="254">
        <v>-1344.8358114175999</v>
      </c>
      <c r="G18" s="254">
        <v>-465.82865521120038</v>
      </c>
      <c r="H18" s="254">
        <v>608.66955477759893</v>
      </c>
      <c r="I18" s="254">
        <v>679.66973729919937</v>
      </c>
      <c r="J18" s="254">
        <v>1411.0867339775996</v>
      </c>
      <c r="K18" s="254">
        <v>1785.8600396992006</v>
      </c>
      <c r="L18" s="254">
        <v>976.84717217920024</v>
      </c>
      <c r="M18" s="254">
        <v>794.87805726079978</v>
      </c>
      <c r="N18" s="254">
        <v>343.82691937280106</v>
      </c>
      <c r="O18" s="254">
        <v>284.60938611680012</v>
      </c>
      <c r="P18" s="254">
        <v>789.19607467520018</v>
      </c>
      <c r="Q18" s="254">
        <v>363.52975770879993</v>
      </c>
      <c r="R18" s="254">
        <v>-1693.3119883200006</v>
      </c>
      <c r="S18" s="254">
        <v>-347.1169316032001</v>
      </c>
      <c r="T18" s="254">
        <v>-2951.8408365247997</v>
      </c>
      <c r="U18" s="254">
        <v>-1675.7430934911999</v>
      </c>
      <c r="V18" s="254">
        <v>-910.20097252479991</v>
      </c>
      <c r="W18" s="254">
        <v>646.17530940160032</v>
      </c>
      <c r="X18" s="254">
        <v>-391.77502292479949</v>
      </c>
      <c r="Y18" s="254">
        <v>229.68389340160002</v>
      </c>
      <c r="Z18" s="254">
        <v>-697.43577951999941</v>
      </c>
      <c r="AA18" s="254">
        <v>-255.04466329599973</v>
      </c>
      <c r="AB18" s="254">
        <v>-199.59103824880003</v>
      </c>
      <c r="AC18" s="254">
        <v>316.32896545919994</v>
      </c>
      <c r="AD18" s="254">
        <v>-1345.6258610128007</v>
      </c>
      <c r="AE18" s="254">
        <v>-465.63907862860015</v>
      </c>
      <c r="AF18" s="254">
        <v>611.80980209279824</v>
      </c>
      <c r="AG18" s="254">
        <v>682.19184931759901</v>
      </c>
      <c r="AH18" s="254">
        <v>1415.5067596927993</v>
      </c>
      <c r="AI18" s="254">
        <v>1790.3724965175998</v>
      </c>
      <c r="AJ18" s="254">
        <v>1203.0309018168</v>
      </c>
      <c r="AK18" s="254">
        <v>908.70137029199941</v>
      </c>
      <c r="AL18" s="254">
        <v>346.08530039840025</v>
      </c>
      <c r="AM18" s="254">
        <v>286.06494690539967</v>
      </c>
      <c r="AN18" s="254">
        <v>588.57388654559963</v>
      </c>
      <c r="AO18" s="254">
        <v>568.49349900639982</v>
      </c>
      <c r="AP18" s="254">
        <v>-1508.1414844600004</v>
      </c>
      <c r="AQ18" s="254">
        <v>-533.56738762960003</v>
      </c>
      <c r="AR18" s="254">
        <v>-2955.3669045544002</v>
      </c>
      <c r="AS18" s="254">
        <v>-1677.8129245936007</v>
      </c>
      <c r="AT18" s="254">
        <v>-910.12703755439998</v>
      </c>
      <c r="AU18" s="254">
        <v>648.30367836479945</v>
      </c>
      <c r="AV18" s="254">
        <v>-390.68241625440078</v>
      </c>
      <c r="AW18" s="254">
        <v>230.8788303647998</v>
      </c>
      <c r="AX18" s="254">
        <v>-697.26029056000061</v>
      </c>
      <c r="AY18" s="254">
        <v>-254.68029448800007</v>
      </c>
      <c r="BA18" s="170"/>
      <c r="BB18" s="170"/>
    </row>
    <row r="19" spans="2:54">
      <c r="B19" s="237">
        <v>10065</v>
      </c>
      <c r="C19" s="237" t="s">
        <v>22</v>
      </c>
      <c r="D19" s="254">
        <v>810.0216838604</v>
      </c>
      <c r="E19" s="254">
        <v>740.52261624639993</v>
      </c>
      <c r="F19" s="254">
        <v>682.4613533224001</v>
      </c>
      <c r="G19" s="254">
        <v>637.67427510629989</v>
      </c>
      <c r="H19" s="254">
        <v>1280.7226385375998</v>
      </c>
      <c r="I19" s="254">
        <v>1001.2784754692</v>
      </c>
      <c r="J19" s="254">
        <v>1499.5849877375999</v>
      </c>
      <c r="K19" s="254">
        <v>1307.5577678692</v>
      </c>
      <c r="L19" s="254">
        <v>1554.6299483492003</v>
      </c>
      <c r="M19" s="254">
        <v>1141.3338750908001</v>
      </c>
      <c r="N19" s="254">
        <v>1418.1892621528002</v>
      </c>
      <c r="O19" s="254">
        <v>1038.3172698593</v>
      </c>
      <c r="P19" s="254">
        <v>1204.5200166952</v>
      </c>
      <c r="Q19" s="254">
        <v>890.46646908880007</v>
      </c>
      <c r="R19" s="254">
        <v>741.03507343000001</v>
      </c>
      <c r="S19" s="254">
        <v>791.11922232680013</v>
      </c>
      <c r="T19" s="254">
        <v>402.05370424519992</v>
      </c>
      <c r="U19" s="254">
        <v>462.83137288879993</v>
      </c>
      <c r="V19" s="254">
        <v>611.08253074519985</v>
      </c>
      <c r="W19" s="254">
        <v>795.06592056159991</v>
      </c>
      <c r="X19" s="254">
        <v>804.85328409520002</v>
      </c>
      <c r="Y19" s="254">
        <v>753.2609045616</v>
      </c>
      <c r="Z19" s="254">
        <v>656.94506847999992</v>
      </c>
      <c r="AA19" s="254">
        <v>613.33443460399997</v>
      </c>
      <c r="AB19" s="254">
        <v>897.82368386040014</v>
      </c>
      <c r="AC19" s="254">
        <v>799.10361624640007</v>
      </c>
      <c r="AD19" s="254">
        <v>774.64435332240009</v>
      </c>
      <c r="AE19" s="254">
        <v>700.71127510629992</v>
      </c>
      <c r="AF19" s="254">
        <v>1400.4856385375997</v>
      </c>
      <c r="AG19" s="254">
        <v>1081.2984754692</v>
      </c>
      <c r="AH19" s="254">
        <v>1619.6289877375998</v>
      </c>
      <c r="AI19" s="254">
        <v>1396.9107678692001</v>
      </c>
      <c r="AJ19" s="254">
        <v>1712.1123993955998</v>
      </c>
      <c r="AK19" s="254">
        <v>1237.6541006140001</v>
      </c>
      <c r="AL19" s="254">
        <v>1537.1132621528002</v>
      </c>
      <c r="AM19" s="254">
        <v>1112.5482698593</v>
      </c>
      <c r="AN19" s="254">
        <v>1245.8030166952001</v>
      </c>
      <c r="AO19" s="254">
        <v>1010.4714690887999</v>
      </c>
      <c r="AP19" s="254">
        <v>884.34407342999998</v>
      </c>
      <c r="AQ19" s="254">
        <v>804.29622232680003</v>
      </c>
      <c r="AR19" s="254">
        <v>493.90470424520004</v>
      </c>
      <c r="AS19" s="254">
        <v>519.37637288880001</v>
      </c>
      <c r="AT19" s="254">
        <v>699.58953074519991</v>
      </c>
      <c r="AU19" s="254">
        <v>857.01592056159996</v>
      </c>
      <c r="AV19" s="254">
        <v>902.65528409519993</v>
      </c>
      <c r="AW19" s="254">
        <v>810.94290456160002</v>
      </c>
      <c r="AX19" s="254">
        <v>737.22006848000001</v>
      </c>
      <c r="AY19" s="254">
        <v>666.23343460400008</v>
      </c>
      <c r="BA19" s="170"/>
      <c r="BB19" s="170"/>
    </row>
    <row r="20" spans="2:54">
      <c r="B20" s="237">
        <v>10066</v>
      </c>
      <c r="C20" s="237" t="s">
        <v>23</v>
      </c>
      <c r="D20" s="254">
        <v>-2806.6685605267976</v>
      </c>
      <c r="E20" s="254">
        <v>-2006.6958145888002</v>
      </c>
      <c r="F20" s="254">
        <v>-2246.7540758807991</v>
      </c>
      <c r="G20" s="254">
        <v>-1805.2685752321004</v>
      </c>
      <c r="H20" s="254">
        <v>1608.5281792608002</v>
      </c>
      <c r="I20" s="254">
        <v>692.7100843235994</v>
      </c>
      <c r="J20" s="254">
        <v>4182.9655428608003</v>
      </c>
      <c r="K20" s="254">
        <v>3553.6312135236003</v>
      </c>
      <c r="L20" s="254">
        <v>2634.2282653636012</v>
      </c>
      <c r="M20" s="254">
        <v>1265.2395961564007</v>
      </c>
      <c r="N20" s="254">
        <v>885.96628160240107</v>
      </c>
      <c r="O20" s="254">
        <v>-184.76504778310027</v>
      </c>
      <c r="P20" s="254">
        <v>763.01268998160049</v>
      </c>
      <c r="Q20" s="254">
        <v>-318.10750230960002</v>
      </c>
      <c r="R20" s="254">
        <v>-4550.2583908100005</v>
      </c>
      <c r="S20" s="254">
        <v>-2696.6644978555996</v>
      </c>
      <c r="T20" s="254">
        <v>-8103.8366108684004</v>
      </c>
      <c r="U20" s="254">
        <v>-5228.9819169095999</v>
      </c>
      <c r="V20" s="254">
        <v>-5816.9820363684012</v>
      </c>
      <c r="W20" s="254">
        <v>-2503.4181091472001</v>
      </c>
      <c r="X20" s="254">
        <v>-5046.6760058184009</v>
      </c>
      <c r="Y20" s="254">
        <v>-3151.3788371471992</v>
      </c>
      <c r="Z20" s="254">
        <v>-4107.2480441600001</v>
      </c>
      <c r="AA20" s="254">
        <v>-3223.8827372679998</v>
      </c>
      <c r="AB20" s="254">
        <v>-2843.0295605267984</v>
      </c>
      <c r="AC20" s="254">
        <v>-2067.7828145887997</v>
      </c>
      <c r="AD20" s="254">
        <v>-2201.5470758807987</v>
      </c>
      <c r="AE20" s="254">
        <v>-1943.0325752321014</v>
      </c>
      <c r="AF20" s="254">
        <v>1492.6661792607993</v>
      </c>
      <c r="AG20" s="254">
        <v>696.39508432359889</v>
      </c>
      <c r="AH20" s="254">
        <v>4213.7745428607977</v>
      </c>
      <c r="AI20" s="254">
        <v>3399.0722135235992</v>
      </c>
      <c r="AJ20" s="254">
        <v>3045.5369591748022</v>
      </c>
      <c r="AK20" s="254">
        <v>1432.637943062</v>
      </c>
      <c r="AL20" s="254">
        <v>738.87228160240193</v>
      </c>
      <c r="AM20" s="254">
        <v>-179.26704778310068</v>
      </c>
      <c r="AN20" s="254">
        <v>341.7096899816006</v>
      </c>
      <c r="AO20" s="254">
        <v>-38.114502309600539</v>
      </c>
      <c r="AP20" s="254">
        <v>-4326.305390810001</v>
      </c>
      <c r="AQ20" s="254">
        <v>-3074.8184978556001</v>
      </c>
      <c r="AR20" s="254">
        <v>-8169.1226108683986</v>
      </c>
      <c r="AS20" s="254">
        <v>-5315.8129169095992</v>
      </c>
      <c r="AT20" s="254">
        <v>-5940.6680363684009</v>
      </c>
      <c r="AU20" s="254">
        <v>-2629.1971091472005</v>
      </c>
      <c r="AV20" s="254">
        <v>-5227.5170058184012</v>
      </c>
      <c r="AW20" s="254">
        <v>-3310.6158371472002</v>
      </c>
      <c r="AX20" s="254">
        <v>-4333.9410441600012</v>
      </c>
      <c r="AY20" s="254">
        <v>-3410.1077372679993</v>
      </c>
      <c r="BA20" s="170"/>
      <c r="BB20" s="170"/>
    </row>
    <row r="21" spans="2:54">
      <c r="B21" s="237">
        <v>10067</v>
      </c>
      <c r="C21" s="237" t="s">
        <v>24</v>
      </c>
      <c r="D21" s="254">
        <v>89.25025049640044</v>
      </c>
      <c r="E21" s="254">
        <v>285.18242562240039</v>
      </c>
      <c r="F21" s="254">
        <v>-1582.5260524615996</v>
      </c>
      <c r="G21" s="254">
        <v>-447.63977292670006</v>
      </c>
      <c r="H21" s="254">
        <v>61.822591721600475</v>
      </c>
      <c r="I21" s="254">
        <v>782.32234929720016</v>
      </c>
      <c r="J21" s="254">
        <v>1679.2459689216003</v>
      </c>
      <c r="K21" s="254">
        <v>1805.8241576972005</v>
      </c>
      <c r="L21" s="254">
        <v>1361.6776213772</v>
      </c>
      <c r="M21" s="254">
        <v>1200.1724316628006</v>
      </c>
      <c r="N21" s="254">
        <v>439.36623030480041</v>
      </c>
      <c r="O21" s="254">
        <v>555.15779359630096</v>
      </c>
      <c r="P21" s="254">
        <v>1093.0612488632005</v>
      </c>
      <c r="Q21" s="254">
        <v>725.86178948080078</v>
      </c>
      <c r="R21" s="254">
        <v>-2042.9776778700007</v>
      </c>
      <c r="S21" s="254">
        <v>-808.25384186119891</v>
      </c>
      <c r="T21" s="254">
        <v>-3716.0067840867996</v>
      </c>
      <c r="U21" s="254">
        <v>-1884.4175647191996</v>
      </c>
      <c r="V21" s="254">
        <v>-2210.1065725868002</v>
      </c>
      <c r="W21" s="254">
        <v>2.8956079056001727</v>
      </c>
      <c r="X21" s="254">
        <v>-1178.0602177368</v>
      </c>
      <c r="Y21" s="254">
        <v>16.317151905600895</v>
      </c>
      <c r="Z21" s="254">
        <v>-1132.8767283200004</v>
      </c>
      <c r="AA21" s="254">
        <v>-323.24525903599942</v>
      </c>
      <c r="AB21" s="254">
        <v>35.63325049640116</v>
      </c>
      <c r="AC21" s="254">
        <v>237.8804256223998</v>
      </c>
      <c r="AD21" s="254">
        <v>-1597.9530524615993</v>
      </c>
      <c r="AE21" s="254">
        <v>-514.54877292669971</v>
      </c>
      <c r="AF21" s="254">
        <v>4.1695917216011367</v>
      </c>
      <c r="AG21" s="254">
        <v>769.7853492971999</v>
      </c>
      <c r="AH21" s="254">
        <v>1667.8209689215992</v>
      </c>
      <c r="AI21" s="254">
        <v>1743.6901576971995</v>
      </c>
      <c r="AJ21" s="254">
        <v>1598.6344137996011</v>
      </c>
      <c r="AK21" s="254">
        <v>1302.7138278739994</v>
      </c>
      <c r="AL21" s="254">
        <v>365.78523030480028</v>
      </c>
      <c r="AM21" s="254">
        <v>533.44879359630022</v>
      </c>
      <c r="AN21" s="254">
        <v>1038.4972488632002</v>
      </c>
      <c r="AO21" s="254">
        <v>679.3467894808</v>
      </c>
      <c r="AP21" s="254">
        <v>-2092.2126778700003</v>
      </c>
      <c r="AQ21" s="254">
        <v>-864.45184186119877</v>
      </c>
      <c r="AR21" s="254">
        <v>-3770.8847840868002</v>
      </c>
      <c r="AS21" s="254">
        <v>-1933.1365647191997</v>
      </c>
      <c r="AT21" s="254">
        <v>-2266.0945725867996</v>
      </c>
      <c r="AU21" s="254">
        <v>-49.659392094399209</v>
      </c>
      <c r="AV21" s="254">
        <v>-1226.5682177367999</v>
      </c>
      <c r="AW21" s="254">
        <v>-36.039848094399986</v>
      </c>
      <c r="AX21" s="254">
        <v>-1185.7727283200002</v>
      </c>
      <c r="AY21" s="254">
        <v>-374.39125903599961</v>
      </c>
      <c r="BA21" s="170"/>
      <c r="BB21" s="170"/>
    </row>
    <row r="22" spans="2:54">
      <c r="B22" s="237">
        <v>10068</v>
      </c>
      <c r="C22" s="237" t="s">
        <v>25</v>
      </c>
      <c r="D22" s="254">
        <v>-17.707081615599918</v>
      </c>
      <c r="E22" s="254">
        <v>42.949817430400003</v>
      </c>
      <c r="F22" s="254">
        <v>-162.95156993360001</v>
      </c>
      <c r="G22" s="254">
        <v>-6.5634990907000201</v>
      </c>
      <c r="H22" s="254">
        <v>158.80130839359981</v>
      </c>
      <c r="I22" s="254">
        <v>212.97260032119993</v>
      </c>
      <c r="J22" s="254">
        <v>372.37030959360004</v>
      </c>
      <c r="K22" s="254">
        <v>349.41233672119995</v>
      </c>
      <c r="L22" s="254">
        <v>240.06282600120016</v>
      </c>
      <c r="M22" s="254">
        <v>191.25134383880004</v>
      </c>
      <c r="N22" s="254">
        <v>98.515229120800086</v>
      </c>
      <c r="O22" s="254">
        <v>127.59025259229998</v>
      </c>
      <c r="P22" s="254">
        <v>128.71722860720001</v>
      </c>
      <c r="Q22" s="254">
        <v>99.909238216799963</v>
      </c>
      <c r="R22" s="254">
        <v>-366.19127827000011</v>
      </c>
      <c r="S22" s="254">
        <v>-119.49316376519994</v>
      </c>
      <c r="T22" s="254">
        <v>-674.4687183428</v>
      </c>
      <c r="U22" s="254">
        <v>-331.50157998320003</v>
      </c>
      <c r="V22" s="254">
        <v>-300.79292684279994</v>
      </c>
      <c r="W22" s="254">
        <v>31.649085857599971</v>
      </c>
      <c r="X22" s="254">
        <v>-250.16430999279987</v>
      </c>
      <c r="Y22" s="254">
        <v>-15.521890142400025</v>
      </c>
      <c r="Z22" s="254">
        <v>-223.00834272000009</v>
      </c>
      <c r="AA22" s="254">
        <v>-60.001460155999894</v>
      </c>
      <c r="AB22" s="254">
        <v>-19.211614309600009</v>
      </c>
      <c r="AC22" s="254">
        <v>42.145691526400014</v>
      </c>
      <c r="AD22" s="254">
        <v>-164.79025369760006</v>
      </c>
      <c r="AE22" s="254">
        <v>-7.657531946200038</v>
      </c>
      <c r="AF22" s="254">
        <v>157.00208005759987</v>
      </c>
      <c r="AG22" s="254">
        <v>211.87452855919992</v>
      </c>
      <c r="AH22" s="254">
        <v>370.85251925759985</v>
      </c>
      <c r="AI22" s="254">
        <v>348.51505095919993</v>
      </c>
      <c r="AJ22" s="254">
        <v>279.61576376560004</v>
      </c>
      <c r="AK22" s="254">
        <v>210.91045216399993</v>
      </c>
      <c r="AL22" s="254">
        <v>96.967932212800179</v>
      </c>
      <c r="AM22" s="254">
        <v>126.70401153179989</v>
      </c>
      <c r="AN22" s="254">
        <v>127.47043623519994</v>
      </c>
      <c r="AO22" s="254">
        <v>99.174641348799923</v>
      </c>
      <c r="AP22" s="254">
        <v>-367.92532182000014</v>
      </c>
      <c r="AQ22" s="254">
        <v>-120.43131906319991</v>
      </c>
      <c r="AR22" s="254">
        <v>-676.68152246480008</v>
      </c>
      <c r="AS22" s="254">
        <v>-332.69831985120015</v>
      </c>
      <c r="AT22" s="254">
        <v>-302.63308346479994</v>
      </c>
      <c r="AU22" s="254">
        <v>30.816051881599947</v>
      </c>
      <c r="AV22" s="254">
        <v>-251.9481913648001</v>
      </c>
      <c r="AW22" s="254">
        <v>-16.341164118400002</v>
      </c>
      <c r="AX22" s="254">
        <v>-224.50503551999998</v>
      </c>
      <c r="AY22" s="254">
        <v>-60.841847095999924</v>
      </c>
      <c r="BA22" s="170"/>
      <c r="BB22" s="170"/>
    </row>
    <row r="23" spans="2:54">
      <c r="B23" s="237">
        <v>10070</v>
      </c>
      <c r="C23" s="237" t="s">
        <v>26</v>
      </c>
      <c r="D23" s="254">
        <v>2.7084782895999808</v>
      </c>
      <c r="E23" s="254">
        <v>16.119808153600005</v>
      </c>
      <c r="F23" s="254">
        <v>-18.060270422400009</v>
      </c>
      <c r="G23" s="254">
        <v>2.8872618811999899</v>
      </c>
      <c r="H23" s="254">
        <v>35.044401062399999</v>
      </c>
      <c r="I23" s="254">
        <v>41.208908980799976</v>
      </c>
      <c r="J23" s="254">
        <v>59.445501862399965</v>
      </c>
      <c r="K23" s="254">
        <v>70.741766580800004</v>
      </c>
      <c r="L23" s="254">
        <v>41.66866610080001</v>
      </c>
      <c r="M23" s="254">
        <v>36.784000459200001</v>
      </c>
      <c r="N23" s="254">
        <v>17.925634147200014</v>
      </c>
      <c r="O23" s="254">
        <v>21.35690825319999</v>
      </c>
      <c r="P23" s="254">
        <v>29.937895004799998</v>
      </c>
      <c r="Q23" s="254">
        <v>21.017958211199996</v>
      </c>
      <c r="R23" s="254">
        <v>-37.744824680000022</v>
      </c>
      <c r="S23" s="254">
        <v>1.3884217231999969</v>
      </c>
      <c r="T23" s="254">
        <v>-85.559898795200013</v>
      </c>
      <c r="U23" s="254">
        <v>-37.426770588799997</v>
      </c>
      <c r="V23" s="254">
        <v>-38.156912795200014</v>
      </c>
      <c r="W23" s="254">
        <v>16.093748038399994</v>
      </c>
      <c r="X23" s="254">
        <v>-20.176347395199997</v>
      </c>
      <c r="Y23" s="254">
        <v>5.492764038399983</v>
      </c>
      <c r="Z23" s="254">
        <v>-9.769988479999995</v>
      </c>
      <c r="AA23" s="254">
        <v>0.6056868960000088</v>
      </c>
      <c r="AB23" s="254">
        <v>2.863478289599982</v>
      </c>
      <c r="AC23" s="254">
        <v>16.217808153600004</v>
      </c>
      <c r="AD23" s="254">
        <v>-17.891270422399998</v>
      </c>
      <c r="AE23" s="254">
        <v>3.0012618811999943</v>
      </c>
      <c r="AF23" s="254">
        <v>35.262401062399988</v>
      </c>
      <c r="AG23" s="254">
        <v>41.361908980799967</v>
      </c>
      <c r="AH23" s="254">
        <v>59.658501862399987</v>
      </c>
      <c r="AI23" s="254">
        <v>70.90376658080001</v>
      </c>
      <c r="AJ23" s="254">
        <v>47.559189454399984</v>
      </c>
      <c r="AK23" s="254">
        <v>39.757762135999997</v>
      </c>
      <c r="AL23" s="254">
        <v>18.100634147200026</v>
      </c>
      <c r="AM23" s="254">
        <v>21.468908253199984</v>
      </c>
      <c r="AN23" s="254">
        <v>24.410895004800011</v>
      </c>
      <c r="AO23" s="254">
        <v>26.796958211199993</v>
      </c>
      <c r="AP23" s="254">
        <v>-32.479824680000007</v>
      </c>
      <c r="AQ23" s="254">
        <v>-3.6425782767999948</v>
      </c>
      <c r="AR23" s="254">
        <v>-85.420898795200003</v>
      </c>
      <c r="AS23" s="254">
        <v>-37.342770588800008</v>
      </c>
      <c r="AT23" s="254">
        <v>-38.007912795200014</v>
      </c>
      <c r="AU23" s="254">
        <v>16.194748038399993</v>
      </c>
      <c r="AV23" s="254">
        <v>-20.015347395199996</v>
      </c>
      <c r="AW23" s="254">
        <v>5.5817640383999816</v>
      </c>
      <c r="AX23" s="254">
        <v>-9.6279884799999991</v>
      </c>
      <c r="AY23" s="254">
        <v>0.69168689600000732</v>
      </c>
      <c r="BA23" s="170"/>
      <c r="BB23" s="170"/>
    </row>
    <row r="24" spans="2:54">
      <c r="B24" s="237">
        <v>10071</v>
      </c>
      <c r="C24" s="237" t="s">
        <v>27</v>
      </c>
      <c r="D24" s="254">
        <v>16.301765641200063</v>
      </c>
      <c r="E24" s="254">
        <v>65.869445699200014</v>
      </c>
      <c r="F24" s="254">
        <v>-139.44413167279993</v>
      </c>
      <c r="G24" s="254">
        <v>-45.255219986099974</v>
      </c>
      <c r="H24" s="254">
        <v>194.06413625280004</v>
      </c>
      <c r="I24" s="254">
        <v>147.6983517875999</v>
      </c>
      <c r="J24" s="254">
        <v>307.39556385279991</v>
      </c>
      <c r="K24" s="254">
        <v>302.01408898760002</v>
      </c>
      <c r="L24" s="254">
        <v>196.58770242760011</v>
      </c>
      <c r="M24" s="254">
        <v>137.9702838924</v>
      </c>
      <c r="N24" s="254">
        <v>167.91217937840008</v>
      </c>
      <c r="O24" s="254">
        <v>107.86798972290006</v>
      </c>
      <c r="P24" s="254">
        <v>186.01468436560003</v>
      </c>
      <c r="Q24" s="254">
        <v>103.37674058639999</v>
      </c>
      <c r="R24" s="254">
        <v>-229.87489020999999</v>
      </c>
      <c r="S24" s="254">
        <v>-46.17693899959994</v>
      </c>
      <c r="T24" s="254">
        <v>-482.65574548439997</v>
      </c>
      <c r="U24" s="254">
        <v>-256.34847801360002</v>
      </c>
      <c r="V24" s="254">
        <v>-306.92804098440001</v>
      </c>
      <c r="W24" s="254">
        <v>-24.872614075199976</v>
      </c>
      <c r="X24" s="254">
        <v>-209.5879034344</v>
      </c>
      <c r="Y24" s="254">
        <v>-48.534062075199984</v>
      </c>
      <c r="Z24" s="254">
        <v>-128.62852255999996</v>
      </c>
      <c r="AA24" s="254">
        <v>-57.897155587999976</v>
      </c>
      <c r="AB24" s="254">
        <v>15.3990460248001</v>
      </c>
      <c r="AC24" s="254">
        <v>65.386970156799975</v>
      </c>
      <c r="AD24" s="254">
        <v>-140.54734193119998</v>
      </c>
      <c r="AE24" s="254">
        <v>-45.911639699399984</v>
      </c>
      <c r="AF24" s="254">
        <v>192.98459925120005</v>
      </c>
      <c r="AG24" s="254">
        <v>147.03950873039992</v>
      </c>
      <c r="AH24" s="254">
        <v>306.48488965119986</v>
      </c>
      <c r="AI24" s="254">
        <v>301.4757175304</v>
      </c>
      <c r="AJ24" s="254">
        <v>225.5884110472</v>
      </c>
      <c r="AK24" s="254">
        <v>152.40022186799996</v>
      </c>
      <c r="AL24" s="254">
        <v>166.98380123360005</v>
      </c>
      <c r="AM24" s="254">
        <v>107.33624508660006</v>
      </c>
      <c r="AN24" s="254">
        <v>156.31960894240001</v>
      </c>
      <c r="AO24" s="254">
        <v>131.88398246559996</v>
      </c>
      <c r="AP24" s="254">
        <v>-207.06531633999998</v>
      </c>
      <c r="AQ24" s="254">
        <v>-70.589832178400002</v>
      </c>
      <c r="AR24" s="254">
        <v>-483.98342795759993</v>
      </c>
      <c r="AS24" s="254">
        <v>-257.06652193440004</v>
      </c>
      <c r="AT24" s="254">
        <v>-308.03213495760008</v>
      </c>
      <c r="AU24" s="254">
        <v>-25.37243446079998</v>
      </c>
      <c r="AV24" s="254">
        <v>-210.65823225759993</v>
      </c>
      <c r="AW24" s="254">
        <v>-49.02562646079997</v>
      </c>
      <c r="AX24" s="254">
        <v>-129.52653824000004</v>
      </c>
      <c r="AY24" s="254">
        <v>-58.401387752000005</v>
      </c>
      <c r="BA24" s="170"/>
      <c r="BB24" s="170"/>
    </row>
    <row r="25" spans="2:54">
      <c r="B25" s="237">
        <v>10072</v>
      </c>
      <c r="C25" s="237" t="s">
        <v>28</v>
      </c>
      <c r="D25" s="254">
        <v>914.69194235199939</v>
      </c>
      <c r="E25" s="254">
        <v>1083.6608600319996</v>
      </c>
      <c r="F25" s="254">
        <v>-1757.9771250880003</v>
      </c>
      <c r="G25" s="254">
        <v>-277.62015455600067</v>
      </c>
      <c r="H25" s="254">
        <v>907.8691418879971</v>
      </c>
      <c r="I25" s="254">
        <v>1800.319592496</v>
      </c>
      <c r="J25" s="254">
        <v>3586.6280378879983</v>
      </c>
      <c r="K25" s="254">
        <v>3467.6951044959997</v>
      </c>
      <c r="L25" s="254">
        <v>1748.2771668959995</v>
      </c>
      <c r="M25" s="254">
        <v>1303.2021803039997</v>
      </c>
      <c r="N25" s="254">
        <v>664.91340086400123</v>
      </c>
      <c r="O25" s="254">
        <v>990.10871708399918</v>
      </c>
      <c r="P25" s="254">
        <v>1719.8972093760003</v>
      </c>
      <c r="Q25" s="254">
        <v>1215.6880725439996</v>
      </c>
      <c r="R25" s="254">
        <v>-2684.7667916000009</v>
      </c>
      <c r="S25" s="254">
        <v>-585.0147840160007</v>
      </c>
      <c r="T25" s="254">
        <v>-5648.2625966240012</v>
      </c>
      <c r="U25" s="254">
        <v>-2635.7031834560003</v>
      </c>
      <c r="V25" s="254">
        <v>-2400.355776624001</v>
      </c>
      <c r="W25" s="254">
        <v>666.60823500799961</v>
      </c>
      <c r="X25" s="254">
        <v>-1639.9222786239989</v>
      </c>
      <c r="Y25" s="254">
        <v>341.43415500799983</v>
      </c>
      <c r="Z25" s="254">
        <v>-1806.8494976000002</v>
      </c>
      <c r="AA25" s="254">
        <v>-260.34009647999937</v>
      </c>
      <c r="AB25" s="254">
        <v>948.33094235200042</v>
      </c>
      <c r="AC25" s="254">
        <v>1103.4358600320002</v>
      </c>
      <c r="AD25" s="254">
        <v>-1725.547125088</v>
      </c>
      <c r="AE25" s="254">
        <v>-256.00215455600119</v>
      </c>
      <c r="AF25" s="254">
        <v>947.4941418879971</v>
      </c>
      <c r="AG25" s="254">
        <v>1828.2615924959991</v>
      </c>
      <c r="AH25" s="254">
        <v>3628.5440378879994</v>
      </c>
      <c r="AI25" s="254">
        <v>3496.5391044960006</v>
      </c>
      <c r="AJ25" s="254">
        <v>2163.5740509280004</v>
      </c>
      <c r="AK25" s="254">
        <v>1514.5571223199995</v>
      </c>
      <c r="AL25" s="254">
        <v>698.66840086400043</v>
      </c>
      <c r="AM25" s="254">
        <v>1011.2847170839996</v>
      </c>
      <c r="AN25" s="254">
        <v>1750.7102093760004</v>
      </c>
      <c r="AO25" s="254">
        <v>1234.4560725439997</v>
      </c>
      <c r="AP25" s="254">
        <v>-2657.2487916000009</v>
      </c>
      <c r="AQ25" s="254">
        <v>-567.50278401600008</v>
      </c>
      <c r="AR25" s="254">
        <v>-5619.8715966239997</v>
      </c>
      <c r="AS25" s="254">
        <v>-2619.0801834560007</v>
      </c>
      <c r="AT25" s="254">
        <v>-2369.8177766240005</v>
      </c>
      <c r="AU25" s="254">
        <v>685.73623500800022</v>
      </c>
      <c r="AV25" s="254">
        <v>-1608.2372786239994</v>
      </c>
      <c r="AW25" s="254">
        <v>359.29515500799971</v>
      </c>
      <c r="AX25" s="254">
        <v>-1781.5364976000001</v>
      </c>
      <c r="AY25" s="254">
        <v>-243.84409647999928</v>
      </c>
      <c r="BA25" s="170"/>
      <c r="BB25" s="170"/>
    </row>
    <row r="26" spans="2:54">
      <c r="B26" s="237">
        <v>10074</v>
      </c>
      <c r="C26" s="237" t="s">
        <v>29</v>
      </c>
      <c r="D26" s="254">
        <v>39.148244519599757</v>
      </c>
      <c r="E26" s="254">
        <v>464.44319383360016</v>
      </c>
      <c r="F26" s="254">
        <v>-2396.0297310423994</v>
      </c>
      <c r="G26" s="254">
        <v>-1397.5876758713011</v>
      </c>
      <c r="H26" s="254">
        <v>1255.7151561823975</v>
      </c>
      <c r="I26" s="254">
        <v>643.58192327079814</v>
      </c>
      <c r="J26" s="254">
        <v>2883.0925469823997</v>
      </c>
      <c r="K26" s="254">
        <v>2908.6044108707993</v>
      </c>
      <c r="L26" s="254">
        <v>2050.136886390801</v>
      </c>
      <c r="M26" s="254">
        <v>1031.8471581692002</v>
      </c>
      <c r="N26" s="254">
        <v>1702.9621850071999</v>
      </c>
      <c r="O26" s="254">
        <v>675.25580222569897</v>
      </c>
      <c r="P26" s="254">
        <v>2545.5407617448</v>
      </c>
      <c r="Q26" s="254">
        <v>1040.2073072711992</v>
      </c>
      <c r="R26" s="254">
        <v>-3584.0564899299989</v>
      </c>
      <c r="S26" s="254">
        <v>-1386.5023248668003</v>
      </c>
      <c r="T26" s="254">
        <v>-6950.6466283051996</v>
      </c>
      <c r="U26" s="254">
        <v>-4158.0614865288007</v>
      </c>
      <c r="V26" s="254">
        <v>-3449.4035298051986</v>
      </c>
      <c r="W26" s="254">
        <v>-86.253543041600096</v>
      </c>
      <c r="X26" s="254">
        <v>-1819.7929756552003</v>
      </c>
      <c r="Y26" s="254">
        <v>-566.89272704160066</v>
      </c>
      <c r="Z26" s="254">
        <v>-1220.2968124799991</v>
      </c>
      <c r="AA26" s="254">
        <v>-778.65995080399989</v>
      </c>
      <c r="AB26" s="254">
        <v>53.328244519600048</v>
      </c>
      <c r="AC26" s="254">
        <v>466.51919383360018</v>
      </c>
      <c r="AD26" s="254">
        <v>-2346.5967310424021</v>
      </c>
      <c r="AE26" s="254">
        <v>-1429.1526758713007</v>
      </c>
      <c r="AF26" s="254">
        <v>1229.8151561823997</v>
      </c>
      <c r="AG26" s="254">
        <v>669.07592327079874</v>
      </c>
      <c r="AH26" s="254">
        <v>2920.3795469823981</v>
      </c>
      <c r="AI26" s="254">
        <v>2873.7874108707983</v>
      </c>
      <c r="AJ26" s="254">
        <v>2524.1183054243975</v>
      </c>
      <c r="AK26" s="254">
        <v>1262.9378676859997</v>
      </c>
      <c r="AL26" s="254">
        <v>1682.0341850072</v>
      </c>
      <c r="AM26" s="254">
        <v>703.66480222570044</v>
      </c>
      <c r="AN26" s="254">
        <v>2095.0237617448001</v>
      </c>
      <c r="AO26" s="254">
        <v>1502.6543072712002</v>
      </c>
      <c r="AP26" s="254">
        <v>-3184.9894899300016</v>
      </c>
      <c r="AQ26" s="254">
        <v>-1760.0673248667999</v>
      </c>
      <c r="AR26" s="254">
        <v>-6930.6766283052002</v>
      </c>
      <c r="AS26" s="254">
        <v>-4156.9164865288003</v>
      </c>
      <c r="AT26" s="254">
        <v>-3435.6815298052006</v>
      </c>
      <c r="AU26" s="254">
        <v>-85.653543041599733</v>
      </c>
      <c r="AV26" s="254">
        <v>-1803.7199756552</v>
      </c>
      <c r="AW26" s="254">
        <v>-572.73072704159949</v>
      </c>
      <c r="AX26" s="254">
        <v>-1202.1718124800009</v>
      </c>
      <c r="AY26" s="254">
        <v>-778.77095080399977</v>
      </c>
      <c r="BA26" s="170"/>
      <c r="BB26" s="170"/>
    </row>
    <row r="27" spans="2:54">
      <c r="B27" s="237">
        <v>10076</v>
      </c>
      <c r="C27" s="237" t="s">
        <v>30</v>
      </c>
      <c r="D27" s="254">
        <v>-136.38140769359984</v>
      </c>
      <c r="E27" s="254">
        <v>282.93561658239992</v>
      </c>
      <c r="F27" s="254">
        <v>-445.50912760159963</v>
      </c>
      <c r="G27" s="254">
        <v>5.0255719557999328</v>
      </c>
      <c r="H27" s="254">
        <v>300.30785836160021</v>
      </c>
      <c r="I27" s="254">
        <v>360.53888792719999</v>
      </c>
      <c r="J27" s="254">
        <v>482.35086556160013</v>
      </c>
      <c r="K27" s="254">
        <v>894.22930632719999</v>
      </c>
      <c r="L27" s="254">
        <v>341.33064200720037</v>
      </c>
      <c r="M27" s="254">
        <v>452.21757703280036</v>
      </c>
      <c r="N27" s="254">
        <v>154.56909872480037</v>
      </c>
      <c r="O27" s="254">
        <v>212.9866970538003</v>
      </c>
      <c r="P27" s="254">
        <v>249.37148764320045</v>
      </c>
      <c r="Q27" s="254">
        <v>250.11703330080002</v>
      </c>
      <c r="R27" s="254">
        <v>-545.32401961999994</v>
      </c>
      <c r="S27" s="254">
        <v>30.390911408799866</v>
      </c>
      <c r="T27" s="254">
        <v>-953.79494405679998</v>
      </c>
      <c r="U27" s="254">
        <v>-418.06587589920014</v>
      </c>
      <c r="V27" s="254">
        <v>-421.18269505679973</v>
      </c>
      <c r="W27" s="254">
        <v>379.28544314560008</v>
      </c>
      <c r="X27" s="254">
        <v>-302.33774395679984</v>
      </c>
      <c r="Y27" s="254">
        <v>4.9885871456001496</v>
      </c>
      <c r="Z27" s="254">
        <v>-300.12265631999981</v>
      </c>
      <c r="AA27" s="254">
        <v>-19.246940935999646</v>
      </c>
      <c r="AB27" s="254">
        <v>-137.87340769360003</v>
      </c>
      <c r="AC27" s="254">
        <v>281.84761658239995</v>
      </c>
      <c r="AD27" s="254">
        <v>-398.6431276016001</v>
      </c>
      <c r="AE27" s="254">
        <v>-42.760428044200353</v>
      </c>
      <c r="AF27" s="254">
        <v>256.52685836159981</v>
      </c>
      <c r="AG27" s="254">
        <v>408.12988792719989</v>
      </c>
      <c r="AH27" s="254">
        <v>531.31486556160007</v>
      </c>
      <c r="AI27" s="254">
        <v>849.2303063272002</v>
      </c>
      <c r="AJ27" s="254">
        <v>465.61059538959989</v>
      </c>
      <c r="AK27" s="254">
        <v>514.11455372399996</v>
      </c>
      <c r="AL27" s="254">
        <v>108.00009872479995</v>
      </c>
      <c r="AM27" s="254">
        <v>258.82869705379994</v>
      </c>
      <c r="AN27" s="254">
        <v>127.25948764319992</v>
      </c>
      <c r="AO27" s="254">
        <v>369.5560333008001</v>
      </c>
      <c r="AP27" s="254">
        <v>-429.38901962000023</v>
      </c>
      <c r="AQ27" s="254">
        <v>-88.99608859119985</v>
      </c>
      <c r="AR27" s="254">
        <v>-954.39394405680014</v>
      </c>
      <c r="AS27" s="254">
        <v>-419.72087589920011</v>
      </c>
      <c r="AT27" s="254">
        <v>-421.51569505679981</v>
      </c>
      <c r="AU27" s="254">
        <v>378.47944314559982</v>
      </c>
      <c r="AV27" s="254">
        <v>-302.66174395679991</v>
      </c>
      <c r="AW27" s="254">
        <v>2.4165871455998058</v>
      </c>
      <c r="AX27" s="254">
        <v>-301.92365631999996</v>
      </c>
      <c r="AY27" s="254">
        <v>-21.768940936000035</v>
      </c>
      <c r="BA27" s="170"/>
      <c r="BB27" s="170"/>
    </row>
    <row r="28" spans="2:54">
      <c r="B28" s="237">
        <v>10078</v>
      </c>
      <c r="C28" s="237" t="s">
        <v>31</v>
      </c>
      <c r="D28" s="254">
        <v>184.03697975680006</v>
      </c>
      <c r="E28" s="254">
        <v>51.590248268799996</v>
      </c>
      <c r="F28" s="254">
        <v>1.9767332608000743</v>
      </c>
      <c r="G28" s="254">
        <v>-68.400790270400194</v>
      </c>
      <c r="H28" s="254">
        <v>363.70540785919979</v>
      </c>
      <c r="I28" s="254">
        <v>158.50004896639985</v>
      </c>
      <c r="J28" s="254">
        <v>788.59633425919969</v>
      </c>
      <c r="K28" s="254">
        <v>512.28054976639999</v>
      </c>
      <c r="L28" s="254">
        <v>603.26067392639993</v>
      </c>
      <c r="M28" s="254">
        <v>262.80964255359993</v>
      </c>
      <c r="N28" s="254">
        <v>387.38681525760035</v>
      </c>
      <c r="O28" s="254">
        <v>95.812411505599925</v>
      </c>
      <c r="P28" s="254">
        <v>500.4539907584001</v>
      </c>
      <c r="Q28" s="254">
        <v>131.65041736959995</v>
      </c>
      <c r="R28" s="254">
        <v>-465.78604943999994</v>
      </c>
      <c r="S28" s="254">
        <v>-248.17489773440002</v>
      </c>
      <c r="T28" s="254">
        <v>-939.28517964159983</v>
      </c>
      <c r="U28" s="254">
        <v>-636.98273303040003</v>
      </c>
      <c r="V28" s="254">
        <v>-650.21989164160004</v>
      </c>
      <c r="W28" s="254">
        <v>-203.75216993280003</v>
      </c>
      <c r="X28" s="254">
        <v>-476.45930844159989</v>
      </c>
      <c r="Y28" s="254">
        <v>-257.33364193280011</v>
      </c>
      <c r="Z28" s="254">
        <v>-237.17617984000003</v>
      </c>
      <c r="AA28" s="254">
        <v>-246.07337043199993</v>
      </c>
      <c r="AB28" s="254">
        <v>207.98697975680011</v>
      </c>
      <c r="AC28" s="254">
        <v>63.757248268800026</v>
      </c>
      <c r="AD28" s="254">
        <v>28.761733260800156</v>
      </c>
      <c r="AE28" s="254">
        <v>-53.424790270400081</v>
      </c>
      <c r="AF28" s="254">
        <v>393.6174078591996</v>
      </c>
      <c r="AG28" s="254">
        <v>175.91504896639981</v>
      </c>
      <c r="AH28" s="254">
        <v>820.61033425919982</v>
      </c>
      <c r="AI28" s="254">
        <v>531.82454976640008</v>
      </c>
      <c r="AJ28" s="254">
        <v>692.88792379519987</v>
      </c>
      <c r="AK28" s="254">
        <v>308.87826748799989</v>
      </c>
      <c r="AL28" s="254">
        <v>415.57981525760033</v>
      </c>
      <c r="AM28" s="254">
        <v>110.19741150559992</v>
      </c>
      <c r="AN28" s="254">
        <v>469.55899075840011</v>
      </c>
      <c r="AO28" s="254">
        <v>202.15841736959999</v>
      </c>
      <c r="AP28" s="254">
        <v>-405.12504943999988</v>
      </c>
      <c r="AQ28" s="254">
        <v>-281.23189773440004</v>
      </c>
      <c r="AR28" s="254">
        <v>-921.45217964159974</v>
      </c>
      <c r="AS28" s="254">
        <v>-628.99273303040013</v>
      </c>
      <c r="AT28" s="254">
        <v>-636.29589164160006</v>
      </c>
      <c r="AU28" s="254">
        <v>-196.46816993280004</v>
      </c>
      <c r="AV28" s="254">
        <v>-462.20630844159996</v>
      </c>
      <c r="AW28" s="254">
        <v>-251.17864193280013</v>
      </c>
      <c r="AX28" s="254">
        <v>-221.77917983999987</v>
      </c>
      <c r="AY28" s="254">
        <v>-238.72637043199995</v>
      </c>
      <c r="BA28" s="170"/>
      <c r="BB28" s="170"/>
    </row>
    <row r="29" spans="2:54">
      <c r="B29" s="237">
        <v>10079</v>
      </c>
      <c r="C29" s="237" t="s">
        <v>32</v>
      </c>
      <c r="D29" s="254">
        <v>-2498.3465144235961</v>
      </c>
      <c r="E29" s="254">
        <v>253.26268290240114</v>
      </c>
      <c r="F29" s="254">
        <v>-7018.3654099816049</v>
      </c>
      <c r="G29" s="254">
        <v>-3514.3387969167052</v>
      </c>
      <c r="H29" s="254">
        <v>-2565.1802287583996</v>
      </c>
      <c r="I29" s="254">
        <v>-1665.4358078628029</v>
      </c>
      <c r="J29" s="254">
        <v>4698.8029884415955</v>
      </c>
      <c r="K29" s="254">
        <v>5914.5904805371974</v>
      </c>
      <c r="L29" s="254">
        <v>5511.9936402172025</v>
      </c>
      <c r="M29" s="254">
        <v>3340.1139008227983</v>
      </c>
      <c r="N29" s="254">
        <v>2254.2316268647992</v>
      </c>
      <c r="O29" s="254">
        <v>1072.8451927062997</v>
      </c>
      <c r="P29" s="254">
        <v>6477.8401819031969</v>
      </c>
      <c r="Q29" s="254">
        <v>2782.9749932407976</v>
      </c>
      <c r="R29" s="254">
        <v>-8661.0755168700052</v>
      </c>
      <c r="S29" s="254">
        <v>-2217.5757555011987</v>
      </c>
      <c r="T29" s="254">
        <v>-20003.7739660468</v>
      </c>
      <c r="U29" s="254">
        <v>-10780.004100959202</v>
      </c>
      <c r="V29" s="254">
        <v>-10813.127204546799</v>
      </c>
      <c r="W29" s="254">
        <v>355.33097222559809</v>
      </c>
      <c r="X29" s="254">
        <v>-7591.8933046968014</v>
      </c>
      <c r="Y29" s="254">
        <v>-981.29468377440207</v>
      </c>
      <c r="Z29" s="254">
        <v>-3010.9874323200056</v>
      </c>
      <c r="AA29" s="254">
        <v>-774.8767082359991</v>
      </c>
      <c r="AB29" s="254">
        <v>-3025.4218738007985</v>
      </c>
      <c r="AC29" s="254">
        <v>-50.473025772800611</v>
      </c>
      <c r="AD29" s="254">
        <v>-7624.7673751248076</v>
      </c>
      <c r="AE29" s="254">
        <v>-3908.7083069726032</v>
      </c>
      <c r="AF29" s="254">
        <v>-3160.126080595197</v>
      </c>
      <c r="AG29" s="254">
        <v>-2052.4337267784031</v>
      </c>
      <c r="AH29" s="254">
        <v>4197.4993810048036</v>
      </c>
      <c r="AI29" s="254">
        <v>5591.4392084215979</v>
      </c>
      <c r="AJ29" s="254">
        <v>6455.3372960888009</v>
      </c>
      <c r="AK29" s="254">
        <v>3752.554485972003</v>
      </c>
      <c r="AL29" s="254">
        <v>1727.5868571344035</v>
      </c>
      <c r="AM29" s="254">
        <v>750.10874792140021</v>
      </c>
      <c r="AN29" s="254">
        <v>5080.1397355696026</v>
      </c>
      <c r="AO29" s="254">
        <v>3460.4764960623979</v>
      </c>
      <c r="AP29" s="254">
        <v>-8374.2853828599982</v>
      </c>
      <c r="AQ29" s="254">
        <v>-3441.4228880135997</v>
      </c>
      <c r="AR29" s="254">
        <v>-20746.718899530402</v>
      </c>
      <c r="AS29" s="254">
        <v>-11206.974071537599</v>
      </c>
      <c r="AT29" s="254">
        <v>-11439.975352530397</v>
      </c>
      <c r="AU29" s="254">
        <v>39.690910556797462</v>
      </c>
      <c r="AV29" s="254">
        <v>-8196.008279230402</v>
      </c>
      <c r="AW29" s="254">
        <v>-1296.8628574432005</v>
      </c>
      <c r="AX29" s="254">
        <v>-3527.1116329600045</v>
      </c>
      <c r="AY29" s="254">
        <v>-1093.3111300079981</v>
      </c>
      <c r="BA29" s="170"/>
      <c r="BB29" s="170"/>
    </row>
    <row r="30" spans="2:54">
      <c r="B30" s="237">
        <v>10080</v>
      </c>
      <c r="C30" s="237" t="s">
        <v>33</v>
      </c>
      <c r="D30" s="254">
        <v>-0.13142601159961487</v>
      </c>
      <c r="E30" s="254">
        <v>290.47445189440009</v>
      </c>
      <c r="F30" s="254">
        <v>-261.24033470959967</v>
      </c>
      <c r="G30" s="254">
        <v>63.764957222299927</v>
      </c>
      <c r="H30" s="254">
        <v>272.20854176960029</v>
      </c>
      <c r="I30" s="254">
        <v>315.9010460131999</v>
      </c>
      <c r="J30" s="254">
        <v>765.53303496960007</v>
      </c>
      <c r="K30" s="254">
        <v>935.02670641320037</v>
      </c>
      <c r="L30" s="254">
        <v>652.33740049320068</v>
      </c>
      <c r="M30" s="254">
        <v>517.69420374679999</v>
      </c>
      <c r="N30" s="254">
        <v>306.07984464880064</v>
      </c>
      <c r="O30" s="254">
        <v>275.21578393530012</v>
      </c>
      <c r="P30" s="254">
        <v>452.68744155920058</v>
      </c>
      <c r="Q30" s="254">
        <v>308.74270310480006</v>
      </c>
      <c r="R30" s="254">
        <v>-1095.0310189699999</v>
      </c>
      <c r="S30" s="254">
        <v>-225.00580149719963</v>
      </c>
      <c r="T30" s="254">
        <v>-2070.1440048907998</v>
      </c>
      <c r="U30" s="254">
        <v>-1012.1865770951997</v>
      </c>
      <c r="V30" s="254">
        <v>-1248.5091983907996</v>
      </c>
      <c r="W30" s="254">
        <v>13.057159473599995</v>
      </c>
      <c r="X30" s="254">
        <v>-951.84592304079933</v>
      </c>
      <c r="Y30" s="254">
        <v>-135.31097652639983</v>
      </c>
      <c r="Z30" s="254">
        <v>-655.93225791999976</v>
      </c>
      <c r="AA30" s="254">
        <v>-205.87994411599993</v>
      </c>
      <c r="AB30" s="254">
        <v>0.13288244519981163</v>
      </c>
      <c r="AC30" s="254">
        <v>291.05689936319982</v>
      </c>
      <c r="AD30" s="254">
        <v>-261.77764924880012</v>
      </c>
      <c r="AE30" s="254">
        <v>63.747665226899699</v>
      </c>
      <c r="AF30" s="254">
        <v>271.35870242879946</v>
      </c>
      <c r="AG30" s="254">
        <v>315.54844507959933</v>
      </c>
      <c r="AH30" s="254">
        <v>765.29022202879969</v>
      </c>
      <c r="AI30" s="254">
        <v>935.40030627960004</v>
      </c>
      <c r="AJ30" s="254">
        <v>763.30493628279964</v>
      </c>
      <c r="AK30" s="254">
        <v>573.40936208199969</v>
      </c>
      <c r="AL30" s="254">
        <v>306.25141330640054</v>
      </c>
      <c r="AM30" s="254">
        <v>275.44930896589972</v>
      </c>
      <c r="AN30" s="254">
        <v>348.0414229175999</v>
      </c>
      <c r="AO30" s="254">
        <v>415.0418318743998</v>
      </c>
      <c r="AP30" s="254">
        <v>-1016.5103409100002</v>
      </c>
      <c r="AQ30" s="254">
        <v>-315.51063633160015</v>
      </c>
      <c r="AR30" s="254">
        <v>-2079.0258564323999</v>
      </c>
      <c r="AS30" s="254">
        <v>-1017.1174487256001</v>
      </c>
      <c r="AT30" s="254">
        <v>-1256.3006369323998</v>
      </c>
      <c r="AU30" s="254">
        <v>8.8836643407996689</v>
      </c>
      <c r="AV30" s="254">
        <v>-959.67279088240048</v>
      </c>
      <c r="AW30" s="254">
        <v>-139.24194365920016</v>
      </c>
      <c r="AX30" s="254">
        <v>-662.79899776000002</v>
      </c>
      <c r="AY30" s="254">
        <v>-209.92602754800009</v>
      </c>
      <c r="BA30" s="170"/>
      <c r="BB30" s="170"/>
    </row>
    <row r="31" spans="2:54">
      <c r="B31" s="237">
        <v>10081</v>
      </c>
      <c r="C31" s="237" t="s">
        <v>34</v>
      </c>
      <c r="D31" s="254">
        <v>-989.1713069339994</v>
      </c>
      <c r="E31" s="254">
        <v>-403.39780174399993</v>
      </c>
      <c r="F31" s="254">
        <v>-1275.2466252040003</v>
      </c>
      <c r="G31" s="254">
        <v>-616.38028513550034</v>
      </c>
      <c r="H31" s="254">
        <v>564.47389710399875</v>
      </c>
      <c r="I31" s="254">
        <v>558.6195127179999</v>
      </c>
      <c r="J31" s="254">
        <v>1048.2978151039997</v>
      </c>
      <c r="K31" s="254">
        <v>1375.1338587180003</v>
      </c>
      <c r="L31" s="254">
        <v>325.97995791799985</v>
      </c>
      <c r="M31" s="254">
        <v>385.68136968199997</v>
      </c>
      <c r="N31" s="254">
        <v>-150.70914458799962</v>
      </c>
      <c r="O31" s="254">
        <v>11.095219859500048</v>
      </c>
      <c r="P31" s="254">
        <v>252.11278650799977</v>
      </c>
      <c r="Q31" s="254">
        <v>32.286673851999694</v>
      </c>
      <c r="R31" s="254">
        <v>-1995.2289515499997</v>
      </c>
      <c r="S31" s="254">
        <v>-956.77883737799993</v>
      </c>
      <c r="T31" s="254">
        <v>-3431.4010052419999</v>
      </c>
      <c r="U31" s="254">
        <v>-2254.4777491480004</v>
      </c>
      <c r="V31" s="254">
        <v>-1267.6977577419993</v>
      </c>
      <c r="W31" s="254">
        <v>-183.14860293599986</v>
      </c>
      <c r="X31" s="254">
        <v>-800.91374249199998</v>
      </c>
      <c r="Y31" s="254">
        <v>-460.97324293600013</v>
      </c>
      <c r="Z31" s="254">
        <v>-812.26838080000016</v>
      </c>
      <c r="AA31" s="254">
        <v>-505.82672933999993</v>
      </c>
      <c r="AB31" s="254">
        <v>-989.1713069339994</v>
      </c>
      <c r="AC31" s="254">
        <v>-403.39780174399993</v>
      </c>
      <c r="AD31" s="254">
        <v>-1275.2466252040003</v>
      </c>
      <c r="AE31" s="254">
        <v>-616.38028513550034</v>
      </c>
      <c r="AF31" s="254">
        <v>564.47389710399875</v>
      </c>
      <c r="AG31" s="254">
        <v>558.6195127179999</v>
      </c>
      <c r="AH31" s="254">
        <v>1048.2978151039997</v>
      </c>
      <c r="AI31" s="254">
        <v>1375.1338587180003</v>
      </c>
      <c r="AJ31" s="254">
        <v>492.37659817399981</v>
      </c>
      <c r="AK31" s="254">
        <v>468.87968980999949</v>
      </c>
      <c r="AL31" s="254">
        <v>-150.70914458799962</v>
      </c>
      <c r="AM31" s="254">
        <v>11.095219859500048</v>
      </c>
      <c r="AN31" s="254">
        <v>80.352786507999554</v>
      </c>
      <c r="AO31" s="254">
        <v>198.04667385199991</v>
      </c>
      <c r="AP31" s="254">
        <v>-1853.76195155</v>
      </c>
      <c r="AQ31" s="254">
        <v>-1091.2448373780003</v>
      </c>
      <c r="AR31" s="254">
        <v>-3431.4010052419999</v>
      </c>
      <c r="AS31" s="254">
        <v>-2254.4777491480004</v>
      </c>
      <c r="AT31" s="254">
        <v>-1267.6977577419993</v>
      </c>
      <c r="AU31" s="254">
        <v>-183.14860293599986</v>
      </c>
      <c r="AV31" s="254">
        <v>-800.91374249199998</v>
      </c>
      <c r="AW31" s="254">
        <v>-460.97324293600013</v>
      </c>
      <c r="AX31" s="254">
        <v>-812.26838080000016</v>
      </c>
      <c r="AY31" s="254">
        <v>-505.82672933999993</v>
      </c>
      <c r="BA31" s="170"/>
      <c r="BB31" s="170"/>
    </row>
    <row r="32" spans="2:54">
      <c r="B32" s="237">
        <v>10082</v>
      </c>
      <c r="C32" s="237" t="s">
        <v>35</v>
      </c>
      <c r="D32" s="254">
        <v>-5.018476199200002</v>
      </c>
      <c r="E32" s="254">
        <v>4.8844257728000002</v>
      </c>
      <c r="F32" s="254">
        <v>-5.6837248751999994</v>
      </c>
      <c r="G32" s="254">
        <v>3.7979194726000003</v>
      </c>
      <c r="H32" s="254">
        <v>16.182680595199997</v>
      </c>
      <c r="I32" s="254">
        <v>18.129676778399997</v>
      </c>
      <c r="J32" s="254">
        <v>20.450218995199997</v>
      </c>
      <c r="K32" s="254">
        <v>26.519741578400001</v>
      </c>
      <c r="L32" s="254">
        <v>15.170998538399999</v>
      </c>
      <c r="M32" s="254">
        <v>15.580736341600002</v>
      </c>
      <c r="N32" s="254">
        <v>5.3384428656000011</v>
      </c>
      <c r="O32" s="254">
        <v>8.9967395785999962</v>
      </c>
      <c r="P32" s="254">
        <v>3.3879644303999967</v>
      </c>
      <c r="Q32" s="254">
        <v>6.6688039375999999</v>
      </c>
      <c r="R32" s="254">
        <v>-18.953367140000005</v>
      </c>
      <c r="S32" s="254">
        <v>-2.8255619864000003</v>
      </c>
      <c r="T32" s="254">
        <v>-31.2201504696</v>
      </c>
      <c r="U32" s="254">
        <v>-13.634628462400006</v>
      </c>
      <c r="V32" s="254">
        <v>-20.897197469599998</v>
      </c>
      <c r="W32" s="254">
        <v>-0.32731055680000054</v>
      </c>
      <c r="X32" s="254">
        <v>-18.583020769599997</v>
      </c>
      <c r="Y32" s="254">
        <v>-3.1935425568000007</v>
      </c>
      <c r="Z32" s="254">
        <v>-15.160367040000004</v>
      </c>
      <c r="AA32" s="254">
        <v>-4.0953699919999984</v>
      </c>
      <c r="AB32" s="254">
        <v>-5.018476199200002</v>
      </c>
      <c r="AC32" s="254">
        <v>4.8844257728000002</v>
      </c>
      <c r="AD32" s="254">
        <v>-5.6837248751999994</v>
      </c>
      <c r="AE32" s="254">
        <v>3.7979194726000003</v>
      </c>
      <c r="AF32" s="254">
        <v>16.182680595199997</v>
      </c>
      <c r="AG32" s="254">
        <v>18.129676778399997</v>
      </c>
      <c r="AH32" s="254">
        <v>20.450218995199997</v>
      </c>
      <c r="AI32" s="254">
        <v>26.519741578400001</v>
      </c>
      <c r="AJ32" s="254">
        <v>16.677053911199998</v>
      </c>
      <c r="AK32" s="254">
        <v>16.333764028000001</v>
      </c>
      <c r="AL32" s="254">
        <v>5.3384428656000011</v>
      </c>
      <c r="AM32" s="254">
        <v>8.9967395785999962</v>
      </c>
      <c r="AN32" s="254">
        <v>1.9859644303999957</v>
      </c>
      <c r="AO32" s="254">
        <v>8.0718039375999986</v>
      </c>
      <c r="AP32" s="254">
        <v>-17.882367140000003</v>
      </c>
      <c r="AQ32" s="254">
        <v>-3.8965619864000018</v>
      </c>
      <c r="AR32" s="254">
        <v>-31.2201504696</v>
      </c>
      <c r="AS32" s="254">
        <v>-13.634628462400006</v>
      </c>
      <c r="AT32" s="254">
        <v>-20.897197469599998</v>
      </c>
      <c r="AU32" s="254">
        <v>-0.32731055680000054</v>
      </c>
      <c r="AV32" s="254">
        <v>-18.583020769599997</v>
      </c>
      <c r="AW32" s="254">
        <v>-3.1935425568000007</v>
      </c>
      <c r="AX32" s="254">
        <v>-15.160367040000004</v>
      </c>
      <c r="AY32" s="254">
        <v>-4.0953699919999984</v>
      </c>
      <c r="BA32" s="170"/>
      <c r="BB32" s="170"/>
    </row>
    <row r="33" spans="2:54">
      <c r="B33" s="237">
        <v>10083</v>
      </c>
      <c r="C33" s="237" t="s">
        <v>36</v>
      </c>
      <c r="D33" s="254">
        <v>171.25586099160046</v>
      </c>
      <c r="E33" s="254">
        <v>332.46438378560038</v>
      </c>
      <c r="F33" s="254">
        <v>-254.3203634103993</v>
      </c>
      <c r="G33" s="254">
        <v>6.5157784627003821</v>
      </c>
      <c r="H33" s="254">
        <v>717.6787633504</v>
      </c>
      <c r="I33" s="254">
        <v>572.59022452680028</v>
      </c>
      <c r="J33" s="254">
        <v>1427.7478101504003</v>
      </c>
      <c r="K33" s="254">
        <v>1472.9089441268002</v>
      </c>
      <c r="L33" s="254">
        <v>1108.1058260468003</v>
      </c>
      <c r="M33" s="254">
        <v>731.5051977132</v>
      </c>
      <c r="N33" s="254">
        <v>523.80254371120054</v>
      </c>
      <c r="O33" s="254">
        <v>312.76742409970029</v>
      </c>
      <c r="P33" s="254">
        <v>876.6985876808003</v>
      </c>
      <c r="Q33" s="254">
        <v>468.30385845520004</v>
      </c>
      <c r="R33" s="254">
        <v>-918.35955252999929</v>
      </c>
      <c r="S33" s="254">
        <v>-127.3996388427995</v>
      </c>
      <c r="T33" s="254">
        <v>-1943.0878433691996</v>
      </c>
      <c r="U33" s="254">
        <v>-1032.0420513447998</v>
      </c>
      <c r="V33" s="254">
        <v>-969.60097486919904</v>
      </c>
      <c r="W33" s="254">
        <v>200.28972444640044</v>
      </c>
      <c r="X33" s="254">
        <v>-689.4974177191998</v>
      </c>
      <c r="Y33" s="254">
        <v>-95.542339553599959</v>
      </c>
      <c r="Z33" s="254">
        <v>-346.16956607999964</v>
      </c>
      <c r="AA33" s="254">
        <v>-91.714506083999595</v>
      </c>
      <c r="AB33" s="254">
        <v>192.13486099160082</v>
      </c>
      <c r="AC33" s="254">
        <v>344.97138378559998</v>
      </c>
      <c r="AD33" s="254">
        <v>-233.88136341039899</v>
      </c>
      <c r="AE33" s="254">
        <v>19.463778462700247</v>
      </c>
      <c r="AF33" s="254">
        <v>738.06976335039963</v>
      </c>
      <c r="AG33" s="254">
        <v>585.58622452679992</v>
      </c>
      <c r="AH33" s="254">
        <v>1447.1988101504003</v>
      </c>
      <c r="AI33" s="254">
        <v>1486.8439441268006</v>
      </c>
      <c r="AJ33" s="254">
        <v>1262.0268990324007</v>
      </c>
      <c r="AK33" s="254">
        <v>810.63023420600007</v>
      </c>
      <c r="AL33" s="254">
        <v>544.98954371120135</v>
      </c>
      <c r="AM33" s="254">
        <v>324.96742409970011</v>
      </c>
      <c r="AN33" s="254">
        <v>747.14558768079996</v>
      </c>
      <c r="AO33" s="254">
        <v>631.2438584552001</v>
      </c>
      <c r="AP33" s="254">
        <v>-770.46855252999967</v>
      </c>
      <c r="AQ33" s="254">
        <v>-241.90363884279964</v>
      </c>
      <c r="AR33" s="254">
        <v>-1921.4998433691994</v>
      </c>
      <c r="AS33" s="254">
        <v>-1020.2430513447998</v>
      </c>
      <c r="AT33" s="254">
        <v>-949.25997486919914</v>
      </c>
      <c r="AU33" s="254">
        <v>213.33572444640026</v>
      </c>
      <c r="AV33" s="254">
        <v>-667.55841771919995</v>
      </c>
      <c r="AW33" s="254">
        <v>-84.094339553599866</v>
      </c>
      <c r="AX33" s="254">
        <v>-325.21956607999937</v>
      </c>
      <c r="AY33" s="254">
        <v>-79.278506083999673</v>
      </c>
      <c r="BA33" s="170"/>
      <c r="BB33" s="170"/>
    </row>
    <row r="34" spans="2:54">
      <c r="B34" s="237">
        <v>10086</v>
      </c>
      <c r="C34" s="237" t="s">
        <v>37</v>
      </c>
      <c r="D34" s="254">
        <v>8.1323450568002045</v>
      </c>
      <c r="E34" s="254">
        <v>179.85695306880007</v>
      </c>
      <c r="F34" s="254">
        <v>-246.1404549391998</v>
      </c>
      <c r="G34" s="254">
        <v>-7.2424330453998209</v>
      </c>
      <c r="H34" s="254">
        <v>228.86199105919991</v>
      </c>
      <c r="I34" s="254">
        <v>275.90746086640002</v>
      </c>
      <c r="J34" s="254">
        <v>483.57481745919972</v>
      </c>
      <c r="K34" s="254">
        <v>591.91226166640013</v>
      </c>
      <c r="L34" s="254">
        <v>391.33374582640022</v>
      </c>
      <c r="M34" s="254">
        <v>346.34315065360011</v>
      </c>
      <c r="N34" s="254">
        <v>292.42496985760044</v>
      </c>
      <c r="O34" s="254">
        <v>256.46235848060007</v>
      </c>
      <c r="P34" s="254">
        <v>278.81737215840008</v>
      </c>
      <c r="Q34" s="254">
        <v>215.17557396960001</v>
      </c>
      <c r="R34" s="254">
        <v>-493.91822693999984</v>
      </c>
      <c r="S34" s="254">
        <v>-49.261662634399954</v>
      </c>
      <c r="T34" s="254">
        <v>-1012.8083857415997</v>
      </c>
      <c r="U34" s="254">
        <v>-511.08472643039988</v>
      </c>
      <c r="V34" s="254">
        <v>-653.51372274159985</v>
      </c>
      <c r="W34" s="254">
        <v>-19.675868732799927</v>
      </c>
      <c r="X34" s="254">
        <v>-475.9813770415999</v>
      </c>
      <c r="Y34" s="254">
        <v>-100.6653407327999</v>
      </c>
      <c r="Z34" s="254">
        <v>-277.01381984</v>
      </c>
      <c r="AA34" s="254">
        <v>-88.52971743199987</v>
      </c>
      <c r="AB34" s="254">
        <v>7.8494665912003256</v>
      </c>
      <c r="AC34" s="254">
        <v>180.05605089920016</v>
      </c>
      <c r="AD34" s="254">
        <v>-246.99729597279998</v>
      </c>
      <c r="AE34" s="254">
        <v>-7.4741118986000856</v>
      </c>
      <c r="AF34" s="254">
        <v>228.98184305279983</v>
      </c>
      <c r="AG34" s="254">
        <v>276.25308863760006</v>
      </c>
      <c r="AH34" s="254">
        <v>484.25712065280004</v>
      </c>
      <c r="AI34" s="254">
        <v>592.92977583759989</v>
      </c>
      <c r="AJ34" s="254">
        <v>453.94595457679998</v>
      </c>
      <c r="AK34" s="254">
        <v>377.92608969200012</v>
      </c>
      <c r="AL34" s="254">
        <v>292.69845727840016</v>
      </c>
      <c r="AM34" s="254">
        <v>256.79637993539995</v>
      </c>
      <c r="AN34" s="254">
        <v>221.40207046559999</v>
      </c>
      <c r="AO34" s="254">
        <v>273.20454148639988</v>
      </c>
      <c r="AP34" s="254">
        <v>-445.10693146000017</v>
      </c>
      <c r="AQ34" s="254">
        <v>-99.671235349599897</v>
      </c>
      <c r="AR34" s="254">
        <v>-1015.2591156343999</v>
      </c>
      <c r="AS34" s="254">
        <v>-512.33690211359999</v>
      </c>
      <c r="AT34" s="254">
        <v>-655.18809863439992</v>
      </c>
      <c r="AU34" s="254">
        <v>-19.8841502752</v>
      </c>
      <c r="AV34" s="254">
        <v>-477.29069233439986</v>
      </c>
      <c r="AW34" s="254">
        <v>-101.03159827520005</v>
      </c>
      <c r="AX34" s="254">
        <v>-277.85588256000005</v>
      </c>
      <c r="AY34" s="254">
        <v>-88.868646087999878</v>
      </c>
      <c r="BA34" s="170"/>
      <c r="BB34" s="170"/>
    </row>
    <row r="35" spans="2:54">
      <c r="B35" s="237">
        <v>10087</v>
      </c>
      <c r="C35" s="237" t="s">
        <v>38</v>
      </c>
      <c r="D35" s="254">
        <v>5134.9455159920017</v>
      </c>
      <c r="E35" s="254">
        <v>5398.1536062720006</v>
      </c>
      <c r="F35" s="254">
        <v>3842.0843727520005</v>
      </c>
      <c r="G35" s="254">
        <v>5026.9841057739995</v>
      </c>
      <c r="H35" s="254">
        <v>7447.5951700479964</v>
      </c>
      <c r="I35" s="254">
        <v>8377.1643742159977</v>
      </c>
      <c r="J35" s="254">
        <v>11251.834786047999</v>
      </c>
      <c r="K35" s="254">
        <v>9658.6897262160019</v>
      </c>
      <c r="L35" s="254">
        <v>9535.9009566160021</v>
      </c>
      <c r="M35" s="254">
        <v>8070.1720945839998</v>
      </c>
      <c r="N35" s="254">
        <v>8416.2453993439995</v>
      </c>
      <c r="O35" s="254">
        <v>7671.363059714</v>
      </c>
      <c r="P35" s="254">
        <v>7518.8450076959998</v>
      </c>
      <c r="Q35" s="254">
        <v>6467.7811486240007</v>
      </c>
      <c r="R35" s="254">
        <v>556.0977213999995</v>
      </c>
      <c r="S35" s="254">
        <v>3292.0099378640007</v>
      </c>
      <c r="T35" s="254">
        <v>-4340.9665933039996</v>
      </c>
      <c r="U35" s="254">
        <v>-566.16952737599968</v>
      </c>
      <c r="V35" s="254">
        <v>-1796.9596233039993</v>
      </c>
      <c r="W35" s="254">
        <v>3322.3813215679993</v>
      </c>
      <c r="X35" s="254">
        <v>-534.91814030400019</v>
      </c>
      <c r="Y35" s="254">
        <v>2645.067641568</v>
      </c>
      <c r="Z35" s="254">
        <v>1154.3294703999982</v>
      </c>
      <c r="AA35" s="254">
        <v>3333.495239920001</v>
      </c>
      <c r="AB35" s="254">
        <v>5130.1310113712025</v>
      </c>
      <c r="AC35" s="254">
        <v>5395.580403379201</v>
      </c>
      <c r="AD35" s="254">
        <v>3836.2005847072014</v>
      </c>
      <c r="AE35" s="254">
        <v>5023.4832006363995</v>
      </c>
      <c r="AF35" s="254">
        <v>7441.8376393727976</v>
      </c>
      <c r="AG35" s="254">
        <v>8373.6505445775965</v>
      </c>
      <c r="AH35" s="254">
        <v>11246.977856972799</v>
      </c>
      <c r="AI35" s="254">
        <v>9655.8184117776</v>
      </c>
      <c r="AJ35" s="254">
        <v>10022.368138996801</v>
      </c>
      <c r="AK35" s="254">
        <v>8313.030131992</v>
      </c>
      <c r="AL35" s="254">
        <v>8411.2940492383987</v>
      </c>
      <c r="AM35" s="254">
        <v>7668.5270883204003</v>
      </c>
      <c r="AN35" s="254">
        <v>7514.8552721055985</v>
      </c>
      <c r="AO35" s="254">
        <v>6465.4304386464009</v>
      </c>
      <c r="AP35" s="254">
        <v>550.54878203999942</v>
      </c>
      <c r="AQ35" s="254">
        <v>3289.0078409104008</v>
      </c>
      <c r="AR35" s="254">
        <v>-4348.0475664944006</v>
      </c>
      <c r="AS35" s="254">
        <v>-569.99909495360043</v>
      </c>
      <c r="AT35" s="254">
        <v>-1802.8481244943996</v>
      </c>
      <c r="AU35" s="254">
        <v>3319.7156128447987</v>
      </c>
      <c r="AV35" s="254">
        <v>-540.62656069440163</v>
      </c>
      <c r="AW35" s="254">
        <v>2642.4459648448001</v>
      </c>
      <c r="AX35" s="254">
        <v>1149.5400534399978</v>
      </c>
      <c r="AY35" s="254">
        <v>3330.8060017120015</v>
      </c>
      <c r="BA35" s="170"/>
      <c r="BB35" s="170"/>
    </row>
    <row r="36" spans="2:54">
      <c r="B36" s="237">
        <v>10089</v>
      </c>
      <c r="C36" s="237" t="s">
        <v>39</v>
      </c>
      <c r="D36" s="254">
        <v>-7018.7270351607949</v>
      </c>
      <c r="E36" s="254">
        <v>288.67396046720023</v>
      </c>
      <c r="F36" s="254">
        <v>-14452.293287284796</v>
      </c>
      <c r="G36" s="254">
        <v>-4902.262185392603</v>
      </c>
      <c r="H36" s="254">
        <v>2578.9951075647987</v>
      </c>
      <c r="I36" s="254">
        <v>5177.9146499415947</v>
      </c>
      <c r="J36" s="254">
        <v>7723.6692891647981</v>
      </c>
      <c r="K36" s="254">
        <v>13630.015425141595</v>
      </c>
      <c r="L36" s="254">
        <v>-499.63166381839983</v>
      </c>
      <c r="M36" s="254">
        <v>2841.3346329384003</v>
      </c>
      <c r="N36" s="254">
        <v>-3857.3974143855885</v>
      </c>
      <c r="O36" s="254">
        <v>-515.45156069860241</v>
      </c>
      <c r="P36" s="254">
        <v>349.67560388960555</v>
      </c>
      <c r="Q36" s="254">
        <v>373.73840214239681</v>
      </c>
      <c r="R36" s="254">
        <v>-12405.54774486</v>
      </c>
      <c r="S36" s="254">
        <v>-1643.3364111335977</v>
      </c>
      <c r="T36" s="254">
        <v>-20812.262201210397</v>
      </c>
      <c r="U36" s="254">
        <v>-10887.712085457599</v>
      </c>
      <c r="V36" s="254">
        <v>-4523.2727542103967</v>
      </c>
      <c r="W36" s="254">
        <v>7669.0960571167998</v>
      </c>
      <c r="X36" s="254">
        <v>336.00542908960051</v>
      </c>
      <c r="Y36" s="254">
        <v>3421.5326891168006</v>
      </c>
      <c r="Z36" s="254">
        <v>-5541.021664959997</v>
      </c>
      <c r="AA36" s="254">
        <v>-865.14814360799937</v>
      </c>
      <c r="AB36" s="254">
        <v>-7191.1630351607964</v>
      </c>
      <c r="AC36" s="254">
        <v>142.06096046719904</v>
      </c>
      <c r="AD36" s="254">
        <v>-14380.362287284806</v>
      </c>
      <c r="AE36" s="254">
        <v>-5226.7371853926015</v>
      </c>
      <c r="AF36" s="254">
        <v>2382.9791075647954</v>
      </c>
      <c r="AG36" s="254">
        <v>5292.1546499415999</v>
      </c>
      <c r="AH36" s="254">
        <v>7873.8802891647938</v>
      </c>
      <c r="AI36" s="254">
        <v>13393.329425141601</v>
      </c>
      <c r="AJ36" s="254">
        <v>1227.8663470487954</v>
      </c>
      <c r="AK36" s="254">
        <v>3653.6321383719987</v>
      </c>
      <c r="AL36" s="254">
        <v>-4174.343414385592</v>
      </c>
      <c r="AM36" s="254">
        <v>-473.04556069860337</v>
      </c>
      <c r="AN36" s="254">
        <v>-1470.0053961103986</v>
      </c>
      <c r="AO36" s="254">
        <v>1882.7274021423982</v>
      </c>
      <c r="AP36" s="254">
        <v>-10786.197744860001</v>
      </c>
      <c r="AQ36" s="254">
        <v>-3556.5054111335994</v>
      </c>
      <c r="AR36" s="254">
        <v>-20915.389201210404</v>
      </c>
      <c r="AS36" s="254">
        <v>-11023.225085457598</v>
      </c>
      <c r="AT36" s="254">
        <v>-4586.4537542104008</v>
      </c>
      <c r="AU36" s="254">
        <v>7567.3700571167974</v>
      </c>
      <c r="AV36" s="254">
        <v>296.5234290895969</v>
      </c>
      <c r="AW36" s="254">
        <v>3284.8506891167999</v>
      </c>
      <c r="AX36" s="254">
        <v>-5670.9726649599979</v>
      </c>
      <c r="AY36" s="254">
        <v>-1020.9361436079998</v>
      </c>
      <c r="BA36" s="170"/>
      <c r="BB36" s="170"/>
    </row>
    <row r="37" spans="2:54">
      <c r="B37" s="237">
        <v>10091</v>
      </c>
      <c r="C37" s="237" t="s">
        <v>40</v>
      </c>
      <c r="D37" s="254">
        <v>-305.45194720840027</v>
      </c>
      <c r="E37" s="254">
        <v>155.86961258559995</v>
      </c>
      <c r="F37" s="254">
        <v>-685.71749261040077</v>
      </c>
      <c r="G37" s="254">
        <v>95.496921812699384</v>
      </c>
      <c r="H37" s="254">
        <v>415.26026255039869</v>
      </c>
      <c r="I37" s="254">
        <v>901.54269592679975</v>
      </c>
      <c r="J37" s="254">
        <v>1293.189709350399</v>
      </c>
      <c r="K37" s="254">
        <v>1461.0702155268</v>
      </c>
      <c r="L37" s="254">
        <v>1012.1542574467999</v>
      </c>
      <c r="M37" s="254">
        <v>1026.5642463131999</v>
      </c>
      <c r="N37" s="254">
        <v>188.11547131120005</v>
      </c>
      <c r="O37" s="254">
        <v>554.33810594969964</v>
      </c>
      <c r="P37" s="254">
        <v>379.69187608079983</v>
      </c>
      <c r="Q37" s="254">
        <v>401.64179805519984</v>
      </c>
      <c r="R37" s="254">
        <v>-1244.2376175300001</v>
      </c>
      <c r="S37" s="254">
        <v>-293.9992282428002</v>
      </c>
      <c r="T37" s="254">
        <v>-2383.7900799692006</v>
      </c>
      <c r="U37" s="254">
        <v>-1103.5570117448001</v>
      </c>
      <c r="V37" s="254">
        <v>-1020.5659614692004</v>
      </c>
      <c r="W37" s="254">
        <v>245.05953164640005</v>
      </c>
      <c r="X37" s="254">
        <v>-984.43182931920046</v>
      </c>
      <c r="Y37" s="254">
        <v>-27.185532353600138</v>
      </c>
      <c r="Z37" s="254">
        <v>-780.24640608000027</v>
      </c>
      <c r="AA37" s="254">
        <v>-134.7215880839999</v>
      </c>
      <c r="AB37" s="254">
        <v>-381.68794720840015</v>
      </c>
      <c r="AC37" s="254">
        <v>99.211612585599596</v>
      </c>
      <c r="AD37" s="254">
        <v>-756.59849261040017</v>
      </c>
      <c r="AE37" s="254">
        <v>33.087921812699278</v>
      </c>
      <c r="AF37" s="254">
        <v>333.93226255039917</v>
      </c>
      <c r="AG37" s="254">
        <v>840.30969592679958</v>
      </c>
      <c r="AH37" s="254">
        <v>1210.5377093503989</v>
      </c>
      <c r="AI37" s="254">
        <v>1395.4252155268</v>
      </c>
      <c r="AJ37" s="254">
        <v>1086.4831592323999</v>
      </c>
      <c r="AK37" s="254">
        <v>1044.2716972059998</v>
      </c>
      <c r="AL37" s="254">
        <v>108.96647131119971</v>
      </c>
      <c r="AM37" s="254">
        <v>491.70910594969973</v>
      </c>
      <c r="AN37" s="254">
        <v>301.51787608079985</v>
      </c>
      <c r="AO37" s="254">
        <v>343.88379805519958</v>
      </c>
      <c r="AP37" s="254">
        <v>-1321.1396175300001</v>
      </c>
      <c r="AQ37" s="254">
        <v>-355.50622824280026</v>
      </c>
      <c r="AR37" s="254">
        <v>-2457.2280799692007</v>
      </c>
      <c r="AS37" s="254">
        <v>-1163.5980117448003</v>
      </c>
      <c r="AT37" s="254">
        <v>-1096.3609614692004</v>
      </c>
      <c r="AU37" s="254">
        <v>184.58053164639978</v>
      </c>
      <c r="AV37" s="254">
        <v>-1060.7378293192005</v>
      </c>
      <c r="AW37" s="254">
        <v>-87.544532353600061</v>
      </c>
      <c r="AX37" s="254">
        <v>-854.20640608000031</v>
      </c>
      <c r="AY37" s="254">
        <v>-194.58758808399989</v>
      </c>
      <c r="BA37" s="170"/>
      <c r="BB37" s="170"/>
    </row>
    <row r="38" spans="2:54">
      <c r="B38" s="237">
        <v>10094</v>
      </c>
      <c r="C38" s="237" t="s">
        <v>41</v>
      </c>
      <c r="D38" s="254">
        <v>55.010976621200143</v>
      </c>
      <c r="E38" s="254">
        <v>93.097897379200049</v>
      </c>
      <c r="F38" s="254">
        <v>-164.54777379279994</v>
      </c>
      <c r="G38" s="254">
        <v>-4.4700623011000289</v>
      </c>
      <c r="H38" s="254">
        <v>116.80178537279994</v>
      </c>
      <c r="I38" s="254">
        <v>157.17067032759985</v>
      </c>
      <c r="J38" s="254">
        <v>368.99975297280002</v>
      </c>
      <c r="K38" s="254">
        <v>335.00278752759993</v>
      </c>
      <c r="L38" s="254">
        <v>254.53817696760029</v>
      </c>
      <c r="M38" s="254">
        <v>206.80603735240004</v>
      </c>
      <c r="N38" s="254">
        <v>156.79019973840036</v>
      </c>
      <c r="O38" s="254">
        <v>151.8194397579</v>
      </c>
      <c r="P38" s="254">
        <v>281.2392016056001</v>
      </c>
      <c r="Q38" s="254">
        <v>194.61077414639999</v>
      </c>
      <c r="R38" s="254">
        <v>-295.37926171000004</v>
      </c>
      <c r="S38" s="254">
        <v>-37.836187339599974</v>
      </c>
      <c r="T38" s="254">
        <v>-778.89210574439994</v>
      </c>
      <c r="U38" s="254">
        <v>-392.09563445359993</v>
      </c>
      <c r="V38" s="254">
        <v>-372.67272624439988</v>
      </c>
      <c r="W38" s="254">
        <v>11.595173844800001</v>
      </c>
      <c r="X38" s="254">
        <v>-251.16675619440002</v>
      </c>
      <c r="Y38" s="254">
        <v>8.1525844800012237E-2</v>
      </c>
      <c r="Z38" s="254">
        <v>-88.782146560000001</v>
      </c>
      <c r="AA38" s="254">
        <v>20.939154212000062</v>
      </c>
      <c r="AB38" s="254">
        <v>55.010976621200143</v>
      </c>
      <c r="AC38" s="254">
        <v>93.097897379200049</v>
      </c>
      <c r="AD38" s="254">
        <v>-164.54777379279994</v>
      </c>
      <c r="AE38" s="254">
        <v>-4.4700623011000289</v>
      </c>
      <c r="AF38" s="254">
        <v>116.80178537279994</v>
      </c>
      <c r="AG38" s="254">
        <v>157.17067032759985</v>
      </c>
      <c r="AH38" s="254">
        <v>368.99975297280002</v>
      </c>
      <c r="AI38" s="254">
        <v>335.00278752759993</v>
      </c>
      <c r="AJ38" s="254">
        <v>302.87805874680021</v>
      </c>
      <c r="AK38" s="254">
        <v>230.975978242</v>
      </c>
      <c r="AL38" s="254">
        <v>156.79019973840036</v>
      </c>
      <c r="AM38" s="254">
        <v>151.8194397579</v>
      </c>
      <c r="AN38" s="254">
        <v>281.2392016056001</v>
      </c>
      <c r="AO38" s="254">
        <v>194.61077414639999</v>
      </c>
      <c r="AP38" s="254">
        <v>-295.37926171000004</v>
      </c>
      <c r="AQ38" s="254">
        <v>-36.836187339599974</v>
      </c>
      <c r="AR38" s="254">
        <v>-778.89210574439994</v>
      </c>
      <c r="AS38" s="254">
        <v>-392.09563445359993</v>
      </c>
      <c r="AT38" s="254">
        <v>-372.67272624439988</v>
      </c>
      <c r="AU38" s="254">
        <v>11.595173844800001</v>
      </c>
      <c r="AV38" s="254">
        <v>-251.16675619440002</v>
      </c>
      <c r="AW38" s="254">
        <v>8.1525844800012237E-2</v>
      </c>
      <c r="AX38" s="254">
        <v>-88.782146560000001</v>
      </c>
      <c r="AY38" s="254">
        <v>20.939154212000062</v>
      </c>
      <c r="BA38" s="170"/>
      <c r="BB38" s="170"/>
    </row>
    <row r="39" spans="2:54">
      <c r="B39" s="237">
        <v>10095</v>
      </c>
      <c r="C39" s="237" t="s">
        <v>42</v>
      </c>
      <c r="D39" s="254">
        <v>112.37107286960008</v>
      </c>
      <c r="E39" s="254">
        <v>112.66571743360009</v>
      </c>
      <c r="F39" s="254">
        <v>-277.97217094239977</v>
      </c>
      <c r="G39" s="254">
        <v>-159.5022937338</v>
      </c>
      <c r="H39" s="254">
        <v>-165.81995141760012</v>
      </c>
      <c r="I39" s="254">
        <v>-114.12482967920005</v>
      </c>
      <c r="J39" s="254">
        <v>375.78948938240001</v>
      </c>
      <c r="K39" s="254">
        <v>302.3390079208001</v>
      </c>
      <c r="L39" s="254">
        <v>382.66200344080016</v>
      </c>
      <c r="M39" s="254">
        <v>191.55185111920002</v>
      </c>
      <c r="N39" s="254">
        <v>380.99450970720022</v>
      </c>
      <c r="O39" s="254">
        <v>147.07972198820005</v>
      </c>
      <c r="P39" s="254">
        <v>479.85798904480021</v>
      </c>
      <c r="Q39" s="254">
        <v>197.77387097120004</v>
      </c>
      <c r="R39" s="254">
        <v>-91.29932617999998</v>
      </c>
      <c r="S39" s="254">
        <v>61.954994583200232</v>
      </c>
      <c r="T39" s="254">
        <v>-546.77373225519977</v>
      </c>
      <c r="U39" s="254">
        <v>-339.1218478287999</v>
      </c>
      <c r="V39" s="254">
        <v>-216.6545712551997</v>
      </c>
      <c r="W39" s="254">
        <v>170.5051503584001</v>
      </c>
      <c r="X39" s="254">
        <v>-48.463023355199766</v>
      </c>
      <c r="Y39" s="254">
        <v>87.427966358399999</v>
      </c>
      <c r="Z39" s="254">
        <v>57.253707520000034</v>
      </c>
      <c r="AA39" s="254">
        <v>47.277832696000132</v>
      </c>
      <c r="AB39" s="254">
        <v>122.58107286960012</v>
      </c>
      <c r="AC39" s="254">
        <v>118.44571743360007</v>
      </c>
      <c r="AD39" s="254">
        <v>-270.32417094239986</v>
      </c>
      <c r="AE39" s="254">
        <v>-154.92429373380003</v>
      </c>
      <c r="AF39" s="254">
        <v>-165.58695141759995</v>
      </c>
      <c r="AG39" s="254">
        <v>-113.98382967919997</v>
      </c>
      <c r="AH39" s="254">
        <v>383.09148938240014</v>
      </c>
      <c r="AI39" s="254">
        <v>306.95800792080001</v>
      </c>
      <c r="AJ39" s="254">
        <v>445.40689607440027</v>
      </c>
      <c r="AK39" s="254">
        <v>223.24479743600011</v>
      </c>
      <c r="AL39" s="254">
        <v>385.81550970720036</v>
      </c>
      <c r="AM39" s="254">
        <v>149.66772198820001</v>
      </c>
      <c r="AN39" s="254">
        <v>430.08598904480027</v>
      </c>
      <c r="AO39" s="254">
        <v>252.50287097120008</v>
      </c>
      <c r="AP39" s="254">
        <v>-39.21532617999992</v>
      </c>
      <c r="AQ39" s="254">
        <v>11.104994583200096</v>
      </c>
      <c r="AR39" s="254">
        <v>-548.96973225519969</v>
      </c>
      <c r="AS39" s="254">
        <v>-340.25384782879985</v>
      </c>
      <c r="AT39" s="254">
        <v>-219.84857125519966</v>
      </c>
      <c r="AU39" s="254">
        <v>168.54915035839997</v>
      </c>
      <c r="AV39" s="254">
        <v>-55.183023355199794</v>
      </c>
      <c r="AW39" s="254">
        <v>83.929966358399952</v>
      </c>
      <c r="AX39" s="254">
        <v>50.274707519999993</v>
      </c>
      <c r="AY39" s="254">
        <v>43.292832696000119</v>
      </c>
      <c r="BA39" s="170"/>
      <c r="BB39" s="170"/>
    </row>
    <row r="40" spans="2:54">
      <c r="B40" s="237">
        <v>10097</v>
      </c>
      <c r="C40" s="237" t="s">
        <v>43</v>
      </c>
      <c r="D40" s="254">
        <v>1.9005794155999638</v>
      </c>
      <c r="E40" s="254">
        <v>82.87350736960002</v>
      </c>
      <c r="F40" s="254">
        <v>-111.52332326639998</v>
      </c>
      <c r="G40" s="254">
        <v>37.821786940699894</v>
      </c>
      <c r="H40" s="254">
        <v>235.41785480639987</v>
      </c>
      <c r="I40" s="254">
        <v>318.03610907879988</v>
      </c>
      <c r="J40" s="254">
        <v>430.23125360639983</v>
      </c>
      <c r="K40" s="254">
        <v>449.20517267879995</v>
      </c>
      <c r="L40" s="254">
        <v>256.22304339880009</v>
      </c>
      <c r="M40" s="254">
        <v>228.94986676120004</v>
      </c>
      <c r="N40" s="254">
        <v>132.21179047919998</v>
      </c>
      <c r="O40" s="254">
        <v>187.14536875769994</v>
      </c>
      <c r="P40" s="254">
        <v>128.62568779279991</v>
      </c>
      <c r="Q40" s="254">
        <v>152.98783338320004</v>
      </c>
      <c r="R40" s="254">
        <v>-357.32233673000007</v>
      </c>
      <c r="S40" s="254">
        <v>-108.07372363480005</v>
      </c>
      <c r="T40" s="254">
        <v>-654.93864025719995</v>
      </c>
      <c r="U40" s="254">
        <v>-317.85824841680005</v>
      </c>
      <c r="V40" s="254">
        <v>-430.48468175720006</v>
      </c>
      <c r="W40" s="254">
        <v>-87.257254657600072</v>
      </c>
      <c r="X40" s="254">
        <v>-383.20847360720006</v>
      </c>
      <c r="Y40" s="254">
        <v>-114.19327865760005</v>
      </c>
      <c r="Z40" s="254">
        <v>-265.38029728000015</v>
      </c>
      <c r="AA40" s="254">
        <v>-84.443561843999987</v>
      </c>
      <c r="AB40" s="254">
        <v>-0.58111212760002218</v>
      </c>
      <c r="AC40" s="254">
        <v>81.709954838399995</v>
      </c>
      <c r="AD40" s="254">
        <v>-114.79563780559988</v>
      </c>
      <c r="AE40" s="254">
        <v>36.083494945300004</v>
      </c>
      <c r="AF40" s="254">
        <v>232.90201546560002</v>
      </c>
      <c r="AG40" s="254">
        <v>316.84850814519996</v>
      </c>
      <c r="AH40" s="254">
        <v>428.58444066560003</v>
      </c>
      <c r="AI40" s="254">
        <v>448.62177254519997</v>
      </c>
      <c r="AJ40" s="254">
        <v>286.78944106360007</v>
      </c>
      <c r="AK40" s="254">
        <v>244.24145603400001</v>
      </c>
      <c r="AL40" s="254">
        <v>129.9073591368001</v>
      </c>
      <c r="AM40" s="254">
        <v>186.04789378829997</v>
      </c>
      <c r="AN40" s="254">
        <v>126.82166915120001</v>
      </c>
      <c r="AO40" s="254">
        <v>152.07896215279993</v>
      </c>
      <c r="AP40" s="254">
        <v>-360.90465867</v>
      </c>
      <c r="AQ40" s="254">
        <v>-109.84155846919992</v>
      </c>
      <c r="AR40" s="254">
        <v>-659.90949179879999</v>
      </c>
      <c r="AS40" s="254">
        <v>-320.47412004720002</v>
      </c>
      <c r="AT40" s="254">
        <v>-434.39612029879993</v>
      </c>
      <c r="AU40" s="254">
        <v>-88.813749790399982</v>
      </c>
      <c r="AV40" s="254">
        <v>-386.92634144880003</v>
      </c>
      <c r="AW40" s="254">
        <v>-115.77724579040006</v>
      </c>
      <c r="AX40" s="254">
        <v>-268.38703712000006</v>
      </c>
      <c r="AY40" s="254">
        <v>-86.003645275999986</v>
      </c>
      <c r="BA40" s="170"/>
      <c r="BB40" s="170"/>
    </row>
    <row r="41" spans="2:54">
      <c r="B41" s="237">
        <v>10101</v>
      </c>
      <c r="C41" s="237" t="s">
        <v>44</v>
      </c>
      <c r="D41" s="254">
        <v>1197.5189393308065</v>
      </c>
      <c r="E41" s="254">
        <v>2230.9928602528016</v>
      </c>
      <c r="F41" s="254">
        <v>432.35993030480313</v>
      </c>
      <c r="G41" s="254">
        <v>2249.8543619450975</v>
      </c>
      <c r="H41" s="254">
        <v>8730.1333149151978</v>
      </c>
      <c r="I41" s="254">
        <v>6884.0844349684012</v>
      </c>
      <c r="J41" s="254">
        <v>15102.7600433152</v>
      </c>
      <c r="K41" s="254">
        <v>12333.493429768398</v>
      </c>
      <c r="L41" s="254">
        <v>12605.140422728404</v>
      </c>
      <c r="M41" s="254">
        <v>8743.7636701515985</v>
      </c>
      <c r="N41" s="254">
        <v>7036.465436325605</v>
      </c>
      <c r="O41" s="254">
        <v>5306.884733526098</v>
      </c>
      <c r="P41" s="254">
        <v>5852.0050045703974</v>
      </c>
      <c r="Q41" s="254">
        <v>4330.6861575976</v>
      </c>
      <c r="R41" s="254">
        <v>-11563.65690989</v>
      </c>
      <c r="S41" s="254">
        <v>-3135.3802454763972</v>
      </c>
      <c r="T41" s="254">
        <v>-23483.997794079594</v>
      </c>
      <c r="U41" s="254">
        <v>-11777.6724898024</v>
      </c>
      <c r="V41" s="254">
        <v>-16728.368353579594</v>
      </c>
      <c r="W41" s="254">
        <v>-3353.165964436801</v>
      </c>
      <c r="X41" s="254">
        <v>-14330.733925629604</v>
      </c>
      <c r="Y41" s="254">
        <v>-4167.9583964368012</v>
      </c>
      <c r="Z41" s="254">
        <v>-8243.7870310399994</v>
      </c>
      <c r="AA41" s="254">
        <v>-3367.5405146919984</v>
      </c>
      <c r="AB41" s="254">
        <v>963.80693933079965</v>
      </c>
      <c r="AC41" s="254">
        <v>2062.2008602528003</v>
      </c>
      <c r="AD41" s="254">
        <v>252.5359303048026</v>
      </c>
      <c r="AE41" s="254">
        <v>2039.6173619450965</v>
      </c>
      <c r="AF41" s="254">
        <v>8477.1573149151955</v>
      </c>
      <c r="AG41" s="254">
        <v>6734.5564349683991</v>
      </c>
      <c r="AH41" s="254">
        <v>14914.280043315197</v>
      </c>
      <c r="AI41" s="254">
        <v>12119.469429768396</v>
      </c>
      <c r="AJ41" s="254">
        <v>13635.319522581201</v>
      </c>
      <c r="AK41" s="254">
        <v>9206.9172200780013</v>
      </c>
      <c r="AL41" s="254">
        <v>6774.8334363255999</v>
      </c>
      <c r="AM41" s="254">
        <v>5166.5537335260997</v>
      </c>
      <c r="AN41" s="254">
        <v>5626.9490045703969</v>
      </c>
      <c r="AO41" s="254">
        <v>4166.2221575976</v>
      </c>
      <c r="AP41" s="254">
        <v>-11780.056909890001</v>
      </c>
      <c r="AQ41" s="254">
        <v>-3321.4842454763966</v>
      </c>
      <c r="AR41" s="254">
        <v>-23709.053794079595</v>
      </c>
      <c r="AS41" s="254">
        <v>-11942.1364898024</v>
      </c>
      <c r="AT41" s="254">
        <v>-16953.424353579594</v>
      </c>
      <c r="AU41" s="254">
        <v>-3530.6139644368013</v>
      </c>
      <c r="AV41" s="254">
        <v>-14555.7899256296</v>
      </c>
      <c r="AW41" s="254">
        <v>-4345.4063964367997</v>
      </c>
      <c r="AX41" s="254">
        <v>-8460.1870310400009</v>
      </c>
      <c r="AY41" s="254">
        <v>-3540.6605146919992</v>
      </c>
      <c r="BA41" s="170"/>
      <c r="BB41" s="170"/>
    </row>
    <row r="42" spans="2:54">
      <c r="B42" s="237">
        <v>10103</v>
      </c>
      <c r="C42" s="237" t="s">
        <v>45</v>
      </c>
      <c r="D42" s="254">
        <v>-10312.147614494817</v>
      </c>
      <c r="E42" s="254">
        <v>4789.6425438092992</v>
      </c>
      <c r="F42" s="254">
        <v>-9511.3042256507761</v>
      </c>
      <c r="G42" s="254">
        <v>8894.5342441725297</v>
      </c>
      <c r="H42" s="254">
        <v>6486.3314760600042</v>
      </c>
      <c r="I42" s="254">
        <v>25040.747254604379</v>
      </c>
      <c r="J42" s="254">
        <v>23543.928143619793</v>
      </c>
      <c r="K42" s="254">
        <v>31535.182365161025</v>
      </c>
      <c r="L42" s="254">
        <v>6746.9200282352249</v>
      </c>
      <c r="M42" s="254">
        <v>14259.520709933968</v>
      </c>
      <c r="N42" s="254">
        <v>-6674.3381839927461</v>
      </c>
      <c r="O42" s="254">
        <v>9050.4704743363618</v>
      </c>
      <c r="P42" s="254">
        <v>-2493.3158827885345</v>
      </c>
      <c r="Q42" s="254">
        <v>5824.9765783160692</v>
      </c>
      <c r="R42" s="254">
        <v>-7862.0844718623848</v>
      </c>
      <c r="S42" s="254">
        <v>17200.301606522342</v>
      </c>
      <c r="T42" s="254">
        <v>-45879.590153118508</v>
      </c>
      <c r="U42" s="254">
        <v>-15319.257764071226</v>
      </c>
      <c r="V42" s="254">
        <v>-26883.696982587608</v>
      </c>
      <c r="W42" s="254">
        <v>5569.3740463020731</v>
      </c>
      <c r="X42" s="254">
        <v>-23701.676301292267</v>
      </c>
      <c r="Y42" s="254">
        <v>6752.1875826657051</v>
      </c>
      <c r="Z42" s="254">
        <v>-21215.585890211594</v>
      </c>
      <c r="AA42" s="254">
        <v>-1508.3597023292677</v>
      </c>
      <c r="AB42" s="254">
        <v>-10192.148885328716</v>
      </c>
      <c r="AC42" s="254">
        <v>5111.5585041514787</v>
      </c>
      <c r="AD42" s="254">
        <v>-12163.188790804605</v>
      </c>
      <c r="AE42" s="254">
        <v>12267.907748643978</v>
      </c>
      <c r="AF42" s="254">
        <v>10562.47847115295</v>
      </c>
      <c r="AG42" s="254">
        <v>22481.570107627267</v>
      </c>
      <c r="AH42" s="254">
        <v>20994.086161031591</v>
      </c>
      <c r="AI42" s="254">
        <v>36070.197823908238</v>
      </c>
      <c r="AJ42" s="254">
        <v>9354.0958083964142</v>
      </c>
      <c r="AK42" s="254">
        <v>16449.653427436511</v>
      </c>
      <c r="AL42" s="254">
        <v>-4073.0918033691778</v>
      </c>
      <c r="AM42" s="254">
        <v>7120.176647682616</v>
      </c>
      <c r="AN42" s="254">
        <v>-2242.419774320224</v>
      </c>
      <c r="AO42" s="254">
        <v>6155.3301190121456</v>
      </c>
      <c r="AP42" s="254">
        <v>-7623.1036824444163</v>
      </c>
      <c r="AQ42" s="254">
        <v>17866.465216105818</v>
      </c>
      <c r="AR42" s="254">
        <v>-46471.672952314759</v>
      </c>
      <c r="AS42" s="254">
        <v>-15401.900072353092</v>
      </c>
      <c r="AT42" s="254">
        <v>-27094.056733131365</v>
      </c>
      <c r="AU42" s="254">
        <v>5918.0662367541154</v>
      </c>
      <c r="AV42" s="254">
        <v>-23846.548577379013</v>
      </c>
      <c r="AW42" s="254">
        <v>7127.0213952819322</v>
      </c>
      <c r="AX42" s="254">
        <v>-21370.409051348804</v>
      </c>
      <c r="AY42" s="254">
        <v>-1334.9358637990372</v>
      </c>
      <c r="BA42" s="170"/>
      <c r="BB42" s="170"/>
    </row>
    <row r="43" spans="2:54">
      <c r="B43" s="237">
        <v>10105</v>
      </c>
      <c r="C43" s="237" t="s">
        <v>46</v>
      </c>
      <c r="D43" s="254">
        <v>-250.26863847989807</v>
      </c>
      <c r="E43" s="254">
        <v>2369.2067908895178</v>
      </c>
      <c r="F43" s="254">
        <v>-3860.3784671394787</v>
      </c>
      <c r="G43" s="254">
        <v>345.94485946853638</v>
      </c>
      <c r="H43" s="254">
        <v>-2559.5099688160408</v>
      </c>
      <c r="I43" s="254">
        <v>1854.3330338461237</v>
      </c>
      <c r="J43" s="254">
        <v>218.98084362319605</v>
      </c>
      <c r="K43" s="254">
        <v>2875.6445509356745</v>
      </c>
      <c r="L43" s="254">
        <v>734.98701677747886</v>
      </c>
      <c r="M43" s="254">
        <v>2474.8658729780936</v>
      </c>
      <c r="N43" s="254">
        <v>126.23563412630028</v>
      </c>
      <c r="O43" s="254">
        <v>3078.3513146646528</v>
      </c>
      <c r="P43" s="254">
        <v>2489.9896413076331</v>
      </c>
      <c r="Q43" s="254">
        <v>3413.0595834748083</v>
      </c>
      <c r="R43" s="254">
        <v>-5689.0554437070805</v>
      </c>
      <c r="S43" s="254">
        <v>100.44601159691229</v>
      </c>
      <c r="T43" s="254">
        <v>-6549.844574392424</v>
      </c>
      <c r="U43" s="254">
        <v>-992.29284754638684</v>
      </c>
      <c r="V43" s="254">
        <v>-4237.6945319538518</v>
      </c>
      <c r="W43" s="254">
        <v>2236.1517426565779</v>
      </c>
      <c r="X43" s="254">
        <v>-3575.0303590183539</v>
      </c>
      <c r="Y43" s="254">
        <v>2482.3126307066832</v>
      </c>
      <c r="Z43" s="254">
        <v>-1216.5632729062399</v>
      </c>
      <c r="AA43" s="254">
        <v>2249.0931987750082</v>
      </c>
      <c r="AB43" s="254">
        <v>-108.96774172891674</v>
      </c>
      <c r="AC43" s="254">
        <v>2517.9798028346713</v>
      </c>
      <c r="AD43" s="254">
        <v>-4316.1300340984708</v>
      </c>
      <c r="AE43" s="254">
        <v>988.55113836761302</v>
      </c>
      <c r="AF43" s="254">
        <v>-1893.3781675040318</v>
      </c>
      <c r="AG43" s="254">
        <v>1453.7732873380683</v>
      </c>
      <c r="AH43" s="254">
        <v>-175.73167320396169</v>
      </c>
      <c r="AI43" s="254">
        <v>3599.4979832316985</v>
      </c>
      <c r="AJ43" s="254">
        <v>1331.8206957478742</v>
      </c>
      <c r="AK43" s="254">
        <v>2962.9602147587038</v>
      </c>
      <c r="AL43" s="254">
        <v>840.70872225206585</v>
      </c>
      <c r="AM43" s="254">
        <v>2698.0610430946226</v>
      </c>
      <c r="AN43" s="254">
        <v>2686.0263080767563</v>
      </c>
      <c r="AO43" s="254">
        <v>3585.5136606176293</v>
      </c>
      <c r="AP43" s="254">
        <v>-5684.2543493906414</v>
      </c>
      <c r="AQ43" s="254">
        <v>196.06135714604898</v>
      </c>
      <c r="AR43" s="254">
        <v>-6522.9410446802103</v>
      </c>
      <c r="AS43" s="254">
        <v>-903.11341793169413</v>
      </c>
      <c r="AT43" s="254">
        <v>-4179.9353943837868</v>
      </c>
      <c r="AU43" s="254">
        <v>2383.8864375800904</v>
      </c>
      <c r="AV43" s="254">
        <v>-3503.4367820626703</v>
      </c>
      <c r="AW43" s="254">
        <v>2635.8922110621243</v>
      </c>
      <c r="AX43" s="254">
        <v>-1104.3165079136015</v>
      </c>
      <c r="AY43" s="254">
        <v>2397.9330021891201</v>
      </c>
      <c r="BA43" s="170"/>
      <c r="BB43" s="170"/>
    </row>
    <row r="44" spans="2:54">
      <c r="B44" s="237">
        <v>10106</v>
      </c>
      <c r="C44" s="237" t="s">
        <v>47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254">
        <v>0</v>
      </c>
      <c r="T44" s="254">
        <v>0</v>
      </c>
      <c r="U44" s="254">
        <v>0</v>
      </c>
      <c r="V44" s="254">
        <v>0</v>
      </c>
      <c r="W44" s="254">
        <v>0</v>
      </c>
      <c r="X44" s="254">
        <v>0</v>
      </c>
      <c r="Y44" s="254">
        <v>0</v>
      </c>
      <c r="Z44" s="254">
        <v>0</v>
      </c>
      <c r="AA44" s="254">
        <v>0</v>
      </c>
      <c r="AB44" s="254">
        <v>0</v>
      </c>
      <c r="AC44" s="254">
        <v>0</v>
      </c>
      <c r="AD44" s="254">
        <v>0</v>
      </c>
      <c r="AE44" s="254">
        <v>0</v>
      </c>
      <c r="AF44" s="254">
        <v>0</v>
      </c>
      <c r="AG44" s="254">
        <v>0</v>
      </c>
      <c r="AH44" s="254">
        <v>0</v>
      </c>
      <c r="AI44" s="254">
        <v>0</v>
      </c>
      <c r="AJ44" s="254">
        <v>0</v>
      </c>
      <c r="AK44" s="254">
        <v>0</v>
      </c>
      <c r="AL44" s="254">
        <v>0</v>
      </c>
      <c r="AM44" s="254">
        <v>0</v>
      </c>
      <c r="AN44" s="254">
        <v>0</v>
      </c>
      <c r="AO44" s="254">
        <v>0</v>
      </c>
      <c r="AP44" s="254">
        <v>0</v>
      </c>
      <c r="AQ44" s="254">
        <v>0</v>
      </c>
      <c r="AR44" s="254">
        <v>0</v>
      </c>
      <c r="AS44" s="254">
        <v>0</v>
      </c>
      <c r="AT44" s="254">
        <v>0</v>
      </c>
      <c r="AU44" s="254">
        <v>0</v>
      </c>
      <c r="AV44" s="254">
        <v>0</v>
      </c>
      <c r="AW44" s="254">
        <v>0</v>
      </c>
      <c r="AX44" s="254">
        <v>0</v>
      </c>
      <c r="AY44" s="254">
        <v>0</v>
      </c>
      <c r="BA44" s="170"/>
      <c r="BB44" s="170"/>
    </row>
    <row r="45" spans="2:54">
      <c r="B45" s="237">
        <v>10109</v>
      </c>
      <c r="C45" s="237" t="s">
        <v>48</v>
      </c>
      <c r="D45" s="254">
        <v>-793.47320580799988</v>
      </c>
      <c r="E45" s="254">
        <v>330.621897472</v>
      </c>
      <c r="F45" s="254">
        <v>-2368.3816780479997</v>
      </c>
      <c r="G45" s="254">
        <v>-894.11176007600034</v>
      </c>
      <c r="H45" s="254">
        <v>-785.2326491520007</v>
      </c>
      <c r="I45" s="254">
        <v>121.66371281599959</v>
      </c>
      <c r="J45" s="254">
        <v>-259.90143315200112</v>
      </c>
      <c r="K45" s="254">
        <v>716.80226481599993</v>
      </c>
      <c r="L45" s="254">
        <v>-800.81366478400059</v>
      </c>
      <c r="M45" s="254">
        <v>-156.22876401600024</v>
      </c>
      <c r="N45" s="254">
        <v>-701.69698825600062</v>
      </c>
      <c r="O45" s="254">
        <v>-35.21831963600016</v>
      </c>
      <c r="P45" s="254">
        <v>1150.9045792959996</v>
      </c>
      <c r="Q45" s="254">
        <v>1034.6135490239999</v>
      </c>
      <c r="R45" s="254">
        <v>22.586536399999204</v>
      </c>
      <c r="S45" s="254">
        <v>1437.635017264</v>
      </c>
      <c r="T45" s="254">
        <v>-606.11474670400094</v>
      </c>
      <c r="U45" s="254">
        <v>498.34977302399966</v>
      </c>
      <c r="V45" s="254">
        <v>6.9374732959995526</v>
      </c>
      <c r="W45" s="254">
        <v>1894.7173943679995</v>
      </c>
      <c r="X45" s="254">
        <v>671.98113129599915</v>
      </c>
      <c r="Y45" s="254">
        <v>1346.5847143679994</v>
      </c>
      <c r="Z45" s="254">
        <v>42.748310399998445</v>
      </c>
      <c r="AA45" s="254">
        <v>826.67602192000004</v>
      </c>
      <c r="AB45" s="254">
        <v>-794.1142058079995</v>
      </c>
      <c r="AC45" s="254">
        <v>329.77789747199995</v>
      </c>
      <c r="AD45" s="254">
        <v>-2345.2186780480001</v>
      </c>
      <c r="AE45" s="254">
        <v>-924.75676007600032</v>
      </c>
      <c r="AF45" s="254">
        <v>-831.51464915200086</v>
      </c>
      <c r="AG45" s="254">
        <v>130.6357128159998</v>
      </c>
      <c r="AH45" s="254">
        <v>-251.75643315200068</v>
      </c>
      <c r="AI45" s="254">
        <v>675.53926481600047</v>
      </c>
      <c r="AJ45" s="254">
        <v>-585.25566331200071</v>
      </c>
      <c r="AK45" s="254">
        <v>-50.804263280000214</v>
      </c>
      <c r="AL45" s="254">
        <v>-731.27498825600014</v>
      </c>
      <c r="AM45" s="254">
        <v>-13.768319635999887</v>
      </c>
      <c r="AN45" s="254">
        <v>917.48057929599963</v>
      </c>
      <c r="AO45" s="254">
        <v>1269.4225490240001</v>
      </c>
      <c r="AP45" s="254">
        <v>293.1455363999994</v>
      </c>
      <c r="AQ45" s="254">
        <v>1173.8720172640001</v>
      </c>
      <c r="AR45" s="254">
        <v>-600.85674670400022</v>
      </c>
      <c r="AS45" s="254">
        <v>500.15777302399965</v>
      </c>
      <c r="AT45" s="254">
        <v>5.2974732960001347</v>
      </c>
      <c r="AU45" s="254">
        <v>1892.5483943680006</v>
      </c>
      <c r="AV45" s="254">
        <v>672.54213129599975</v>
      </c>
      <c r="AW45" s="254">
        <v>1342.6887143680005</v>
      </c>
      <c r="AX45" s="254">
        <v>47.281310399999711</v>
      </c>
      <c r="AY45" s="254">
        <v>828.08302191999974</v>
      </c>
      <c r="BA45" s="170"/>
      <c r="BB45" s="170"/>
    </row>
    <row r="46" spans="2:54">
      <c r="B46" s="237">
        <v>10111</v>
      </c>
      <c r="C46" s="237" t="s">
        <v>49</v>
      </c>
      <c r="D46" s="254">
        <v>-334.5757522368001</v>
      </c>
      <c r="E46" s="254">
        <v>-20.189983948799977</v>
      </c>
      <c r="F46" s="254">
        <v>-514.76056014079995</v>
      </c>
      <c r="G46" s="254">
        <v>-148.54629228960016</v>
      </c>
      <c r="H46" s="254">
        <v>-34.554812979200051</v>
      </c>
      <c r="I46" s="254">
        <v>171.89316799359995</v>
      </c>
      <c r="J46" s="254">
        <v>95.563220620799711</v>
      </c>
      <c r="K46" s="254">
        <v>386.24278719359984</v>
      </c>
      <c r="L46" s="254">
        <v>-79.373912966399985</v>
      </c>
      <c r="M46" s="254">
        <v>91.725468486400018</v>
      </c>
      <c r="N46" s="254">
        <v>-144.23087861759996</v>
      </c>
      <c r="O46" s="254">
        <v>40.297752334399888</v>
      </c>
      <c r="P46" s="254">
        <v>74.323655001599946</v>
      </c>
      <c r="Q46" s="254">
        <v>131.4995960704</v>
      </c>
      <c r="R46" s="254">
        <v>-294.69556656000009</v>
      </c>
      <c r="S46" s="254">
        <v>124.57572557440005</v>
      </c>
      <c r="T46" s="254">
        <v>-594.47673459840007</v>
      </c>
      <c r="U46" s="254">
        <v>-198.54581352960008</v>
      </c>
      <c r="V46" s="254">
        <v>6.6001774015999217</v>
      </c>
      <c r="W46" s="254">
        <v>489.75293601279998</v>
      </c>
      <c r="X46" s="254">
        <v>135.94807420160009</v>
      </c>
      <c r="Y46" s="254">
        <v>337.39460801279984</v>
      </c>
      <c r="Z46" s="254">
        <v>-44.809996160000082</v>
      </c>
      <c r="AA46" s="254">
        <v>157.98044563200006</v>
      </c>
      <c r="AB46" s="254">
        <v>-334.3720980083998</v>
      </c>
      <c r="AC46" s="254">
        <v>-19.702760214399973</v>
      </c>
      <c r="AD46" s="254">
        <v>-517.55371741039994</v>
      </c>
      <c r="AE46" s="254">
        <v>-150.24093828730008</v>
      </c>
      <c r="AF46" s="254">
        <v>-50.183732649600188</v>
      </c>
      <c r="AG46" s="254">
        <v>160.69686752679991</v>
      </c>
      <c r="AH46" s="254">
        <v>83.8453141504001</v>
      </c>
      <c r="AI46" s="254">
        <v>377.07458712680011</v>
      </c>
      <c r="AJ46" s="254">
        <v>-34.491401967600041</v>
      </c>
      <c r="AK46" s="254">
        <v>113.584919206</v>
      </c>
      <c r="AL46" s="254">
        <v>-148.02509428879966</v>
      </c>
      <c r="AM46" s="254">
        <v>37.958014849700021</v>
      </c>
      <c r="AN46" s="254">
        <v>26.155145680799933</v>
      </c>
      <c r="AO46" s="254">
        <v>178.26716045519993</v>
      </c>
      <c r="AP46" s="254">
        <v>-242.49822752999989</v>
      </c>
      <c r="AQ46" s="254">
        <v>74.833308157200122</v>
      </c>
      <c r="AR46" s="254">
        <v>-593.90266036920002</v>
      </c>
      <c r="AS46" s="254">
        <v>-197.89524934479994</v>
      </c>
      <c r="AT46" s="254">
        <v>7.1169581308001852</v>
      </c>
      <c r="AU46" s="254">
        <v>490.92568844640004</v>
      </c>
      <c r="AV46" s="254">
        <v>136.45064028080014</v>
      </c>
      <c r="AW46" s="254">
        <v>338.11462444640006</v>
      </c>
      <c r="AX46" s="254">
        <v>-43.867366080000011</v>
      </c>
      <c r="AY46" s="254">
        <v>158.95390391600006</v>
      </c>
      <c r="BA46" s="170"/>
      <c r="BB46" s="170"/>
    </row>
    <row r="47" spans="2:54">
      <c r="B47" s="237">
        <v>10112</v>
      </c>
      <c r="C47" s="237" t="s">
        <v>50</v>
      </c>
      <c r="D47" s="254">
        <v>2463.5174768272009</v>
      </c>
      <c r="E47" s="254">
        <v>2695.3582778752025</v>
      </c>
      <c r="F47" s="254">
        <v>-2674.8146001567984</v>
      </c>
      <c r="G47" s="254">
        <v>433.01257176840227</v>
      </c>
      <c r="H47" s="254">
        <v>2140.9554346367986</v>
      </c>
      <c r="I47" s="254">
        <v>3316.3162852655987</v>
      </c>
      <c r="J47" s="254">
        <v>8416.9245402367997</v>
      </c>
      <c r="K47" s="254">
        <v>7520.4820884656001</v>
      </c>
      <c r="L47" s="254">
        <v>4912.6139451056042</v>
      </c>
      <c r="M47" s="254">
        <v>4055.9264008144</v>
      </c>
      <c r="N47" s="254">
        <v>4024.1362006304043</v>
      </c>
      <c r="O47" s="254">
        <v>3654.3556623723998</v>
      </c>
      <c r="P47" s="254">
        <v>5546.0491594335981</v>
      </c>
      <c r="Q47" s="254">
        <v>3779.3520610783999</v>
      </c>
      <c r="R47" s="254">
        <v>-3865.9123127599996</v>
      </c>
      <c r="S47" s="254">
        <v>432.60654166240238</v>
      </c>
      <c r="T47" s="254">
        <v>-10722.901297166394</v>
      </c>
      <c r="U47" s="254">
        <v>-4577.7134405215984</v>
      </c>
      <c r="V47" s="254">
        <v>-3832.2873951663969</v>
      </c>
      <c r="W47" s="254">
        <v>2818.5043914688013</v>
      </c>
      <c r="X47" s="254">
        <v>-1526.3747373663973</v>
      </c>
      <c r="Y47" s="254">
        <v>2500.6705034688002</v>
      </c>
      <c r="Z47" s="254">
        <v>-317.22435935999965</v>
      </c>
      <c r="AA47" s="254">
        <v>1681.3500962720009</v>
      </c>
      <c r="AB47" s="254">
        <v>2627.1596640979988</v>
      </c>
      <c r="AC47" s="254">
        <v>2793.5923331680006</v>
      </c>
      <c r="AD47" s="254">
        <v>-2518.0019062119973</v>
      </c>
      <c r="AE47" s="254">
        <v>541.8716555184983</v>
      </c>
      <c r="AF47" s="254">
        <v>2327.3462569119984</v>
      </c>
      <c r="AG47" s="254">
        <v>3445.6943208539997</v>
      </c>
      <c r="AH47" s="254">
        <v>8627.2077109119964</v>
      </c>
      <c r="AI47" s="254">
        <v>7664.6012588539998</v>
      </c>
      <c r="AJ47" s="254">
        <v>5955.8103956220002</v>
      </c>
      <c r="AK47" s="254">
        <v>4601.4666659300001</v>
      </c>
      <c r="AL47" s="254">
        <v>4203.8641280360025</v>
      </c>
      <c r="AM47" s="254">
        <v>3767.9496072535003</v>
      </c>
      <c r="AN47" s="254">
        <v>5706.6110857240019</v>
      </c>
      <c r="AO47" s="254">
        <v>3878.349849356</v>
      </c>
      <c r="AP47" s="254">
        <v>-3728.3534621500039</v>
      </c>
      <c r="AQ47" s="254">
        <v>526.7367561659994</v>
      </c>
      <c r="AR47" s="254">
        <v>-10591.386427026002</v>
      </c>
      <c r="AS47" s="254">
        <v>-4496.8603696439986</v>
      </c>
      <c r="AT47" s="254">
        <v>-3684.2138095260016</v>
      </c>
      <c r="AU47" s="254">
        <v>2920.7372507920009</v>
      </c>
      <c r="AV47" s="254">
        <v>-1365.9613512760006</v>
      </c>
      <c r="AW47" s="254">
        <v>2599.0073307920011</v>
      </c>
      <c r="AX47" s="254">
        <v>-175.42226240000309</v>
      </c>
      <c r="AY47" s="254">
        <v>1775.6236609799998</v>
      </c>
      <c r="BA47" s="170"/>
      <c r="BB47" s="170"/>
    </row>
    <row r="48" spans="2:54">
      <c r="B48" s="237">
        <v>10113</v>
      </c>
      <c r="C48" s="237" t="s">
        <v>51</v>
      </c>
      <c r="D48" s="254">
        <v>-3270.8375084500003</v>
      </c>
      <c r="E48" s="254">
        <v>-395.25002520000089</v>
      </c>
      <c r="F48" s="254">
        <v>-10976.946180700001</v>
      </c>
      <c r="G48" s="254">
        <v>-5924.6657324625012</v>
      </c>
      <c r="H48" s="254">
        <v>-10017.750486800003</v>
      </c>
      <c r="I48" s="254">
        <v>-5864.756059350002</v>
      </c>
      <c r="J48" s="254">
        <v>-7668.2708368000021</v>
      </c>
      <c r="K48" s="254">
        <v>-3363.3135093500005</v>
      </c>
      <c r="L48" s="254">
        <v>-7668.6621493499997</v>
      </c>
      <c r="M48" s="254">
        <v>-4252.0345206500006</v>
      </c>
      <c r="N48" s="254">
        <v>-7009.9804928999984</v>
      </c>
      <c r="O48" s="254">
        <v>-4067.8033208375018</v>
      </c>
      <c r="P48" s="254">
        <v>-75.811571100000947</v>
      </c>
      <c r="Q48" s="254">
        <v>-137.68856590000087</v>
      </c>
      <c r="R48" s="254">
        <v>1559.2871037500008</v>
      </c>
      <c r="S48" s="254">
        <v>4229.5711938500008</v>
      </c>
      <c r="T48" s="254">
        <v>3160.2639976499959</v>
      </c>
      <c r="U48" s="254">
        <v>3556.0849091</v>
      </c>
      <c r="V48" s="254">
        <v>10781.344060149997</v>
      </c>
      <c r="W48" s="254">
        <v>13617.650306199999</v>
      </c>
      <c r="X48" s="254">
        <v>9981.8143538999975</v>
      </c>
      <c r="Y48" s="254">
        <v>8497.7433061999982</v>
      </c>
      <c r="Z48" s="254">
        <v>-206.05664000000252</v>
      </c>
      <c r="AA48" s="254">
        <v>814.94041549999929</v>
      </c>
      <c r="AB48" s="254">
        <v>-3536.0415084499982</v>
      </c>
      <c r="AC48" s="254">
        <v>-594.64802520000194</v>
      </c>
      <c r="AD48" s="254">
        <v>-11131.972180700002</v>
      </c>
      <c r="AE48" s="254">
        <v>-6264.3337324625008</v>
      </c>
      <c r="AF48" s="254">
        <v>-10397.692486800002</v>
      </c>
      <c r="AG48" s="254">
        <v>-5993.9150593500017</v>
      </c>
      <c r="AH48" s="254">
        <v>-7837.537836800002</v>
      </c>
      <c r="AI48" s="254">
        <v>-3705.3695093499991</v>
      </c>
      <c r="AJ48" s="254">
        <v>-7235.6808245500015</v>
      </c>
      <c r="AK48" s="254">
        <v>-4109.5338582500008</v>
      </c>
      <c r="AL48" s="254">
        <v>-7400.9034929000009</v>
      </c>
      <c r="AM48" s="254">
        <v>-4186.2283208375011</v>
      </c>
      <c r="AN48" s="254">
        <v>-915.64557109999987</v>
      </c>
      <c r="AO48" s="254">
        <v>257.2954340999986</v>
      </c>
      <c r="AP48" s="254">
        <v>2251.796103749999</v>
      </c>
      <c r="AQ48" s="254">
        <v>3172.44219385</v>
      </c>
      <c r="AR48" s="254">
        <v>3013.3889976499995</v>
      </c>
      <c r="AS48" s="254">
        <v>3424.4499090999998</v>
      </c>
      <c r="AT48" s="254">
        <v>10661.77006015</v>
      </c>
      <c r="AU48" s="254">
        <v>13512.2803062</v>
      </c>
      <c r="AV48" s="254">
        <v>9851.709353899998</v>
      </c>
      <c r="AW48" s="254">
        <v>8352.8573061999996</v>
      </c>
      <c r="AX48" s="254">
        <v>-422.15264000000025</v>
      </c>
      <c r="AY48" s="254">
        <v>620.83541549999973</v>
      </c>
      <c r="BA48" s="170"/>
      <c r="BB48" s="170"/>
    </row>
    <row r="49" spans="2:54">
      <c r="B49" s="237">
        <v>10116</v>
      </c>
      <c r="C49" s="237" t="s">
        <v>52</v>
      </c>
      <c r="D49" s="254">
        <v>14.546809327785581</v>
      </c>
      <c r="E49" s="254">
        <v>24.757942968205008</v>
      </c>
      <c r="F49" s="254">
        <v>-24.20123440159999</v>
      </c>
      <c r="G49" s="254">
        <v>2.6432841058000065</v>
      </c>
      <c r="H49" s="254">
        <v>-16.707804838399994</v>
      </c>
      <c r="I49" s="254">
        <v>13.382678527200014</v>
      </c>
      <c r="J49" s="254">
        <v>17.191982361599997</v>
      </c>
      <c r="K49" s="254">
        <v>23.461116927200003</v>
      </c>
      <c r="L49" s="254">
        <v>19.830647607200021</v>
      </c>
      <c r="M49" s="254">
        <v>24.316241432800005</v>
      </c>
      <c r="N49" s="254">
        <v>8.0065976433185426</v>
      </c>
      <c r="O49" s="254">
        <v>25.035557185281512</v>
      </c>
      <c r="P49" s="254">
        <v>27.017926256386104</v>
      </c>
      <c r="Q49" s="254">
        <v>27.299025404249932</v>
      </c>
      <c r="R49" s="254">
        <v>-8.4884094150133791</v>
      </c>
      <c r="S49" s="254">
        <v>24.381169611003955</v>
      </c>
      <c r="T49" s="254">
        <v>-21.779311066965633</v>
      </c>
      <c r="U49" s="254">
        <v>6.8628991671811832</v>
      </c>
      <c r="V49" s="254">
        <v>2.2191879330343625</v>
      </c>
      <c r="W49" s="254">
        <v>37.107499313855016</v>
      </c>
      <c r="X49" s="254">
        <v>19.257233409682613</v>
      </c>
      <c r="Y49" s="254">
        <v>48.077519688105596</v>
      </c>
      <c r="Z49" s="254">
        <v>6.7969788849866291</v>
      </c>
      <c r="AA49" s="254">
        <v>24.613504575649408</v>
      </c>
      <c r="AB49" s="254">
        <v>14.546809327785581</v>
      </c>
      <c r="AC49" s="254">
        <v>24.757942968205008</v>
      </c>
      <c r="AD49" s="254">
        <v>-27.96963440159999</v>
      </c>
      <c r="AE49" s="254">
        <v>6.4116841058000063</v>
      </c>
      <c r="AF49" s="254">
        <v>-12.741304838399998</v>
      </c>
      <c r="AG49" s="254">
        <v>9.4161785272000174</v>
      </c>
      <c r="AH49" s="254">
        <v>12.771302361599993</v>
      </c>
      <c r="AI49" s="254">
        <v>27.881796927200007</v>
      </c>
      <c r="AJ49" s="254">
        <v>19.10080118960002</v>
      </c>
      <c r="AK49" s="254">
        <v>24.093880723999987</v>
      </c>
      <c r="AL49" s="254">
        <v>12.14707912480003</v>
      </c>
      <c r="AM49" s="254">
        <v>20.895075703800025</v>
      </c>
      <c r="AN49" s="254">
        <v>27.017926256386104</v>
      </c>
      <c r="AO49" s="254">
        <v>27.299025404249932</v>
      </c>
      <c r="AP49" s="254">
        <v>-8.4884094150133791</v>
      </c>
      <c r="AQ49" s="254">
        <v>24.381169611003955</v>
      </c>
      <c r="AR49" s="254">
        <v>-21.779311066965633</v>
      </c>
      <c r="AS49" s="254">
        <v>6.8628991671811832</v>
      </c>
      <c r="AT49" s="254">
        <v>2.2191879330343625</v>
      </c>
      <c r="AU49" s="254">
        <v>37.107499313855016</v>
      </c>
      <c r="AV49" s="254">
        <v>19.257233409682613</v>
      </c>
      <c r="AW49" s="254">
        <v>48.077519688105596</v>
      </c>
      <c r="AX49" s="254">
        <v>6.7969788849866291</v>
      </c>
      <c r="AY49" s="254">
        <v>24.613504575649408</v>
      </c>
      <c r="BA49" s="170"/>
      <c r="BB49" s="170"/>
    </row>
    <row r="50" spans="2:54">
      <c r="B50" s="237">
        <v>10118</v>
      </c>
      <c r="C50" s="237" t="s">
        <v>53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>
        <v>0</v>
      </c>
      <c r="R50" s="254">
        <v>0</v>
      </c>
      <c r="S50" s="254">
        <v>0</v>
      </c>
      <c r="T50" s="254">
        <v>0</v>
      </c>
      <c r="U50" s="254">
        <v>0</v>
      </c>
      <c r="V50" s="254">
        <v>0</v>
      </c>
      <c r="W50" s="254">
        <v>0</v>
      </c>
      <c r="X50" s="254">
        <v>0</v>
      </c>
      <c r="Y50" s="254">
        <v>0</v>
      </c>
      <c r="Z50" s="254">
        <v>0</v>
      </c>
      <c r="AA50" s="254">
        <v>0</v>
      </c>
      <c r="AB50" s="254">
        <v>0</v>
      </c>
      <c r="AC50" s="254">
        <v>0</v>
      </c>
      <c r="AD50" s="254">
        <v>0</v>
      </c>
      <c r="AE50" s="254">
        <v>0</v>
      </c>
      <c r="AF50" s="254">
        <v>0</v>
      </c>
      <c r="AG50" s="254">
        <v>0</v>
      </c>
      <c r="AH50" s="254">
        <v>0</v>
      </c>
      <c r="AI50" s="254">
        <v>0</v>
      </c>
      <c r="AJ50" s="254">
        <v>0</v>
      </c>
      <c r="AK50" s="254">
        <v>0</v>
      </c>
      <c r="AL50" s="254">
        <v>0</v>
      </c>
      <c r="AM50" s="254">
        <v>0</v>
      </c>
      <c r="AN50" s="254">
        <v>0</v>
      </c>
      <c r="AO50" s="254">
        <v>0</v>
      </c>
      <c r="AP50" s="254">
        <v>0</v>
      </c>
      <c r="AQ50" s="254">
        <v>0</v>
      </c>
      <c r="AR50" s="254">
        <v>0</v>
      </c>
      <c r="AS50" s="254">
        <v>0</v>
      </c>
      <c r="AT50" s="254">
        <v>0</v>
      </c>
      <c r="AU50" s="254">
        <v>0</v>
      </c>
      <c r="AV50" s="254">
        <v>0</v>
      </c>
      <c r="AW50" s="254">
        <v>0</v>
      </c>
      <c r="AX50" s="254">
        <v>0</v>
      </c>
      <c r="AY50" s="254">
        <v>0</v>
      </c>
      <c r="BA50" s="170"/>
      <c r="BB50" s="170"/>
    </row>
    <row r="51" spans="2:54">
      <c r="B51" s="237">
        <v>10121</v>
      </c>
      <c r="C51" s="237" t="s">
        <v>54</v>
      </c>
      <c r="D51" s="254">
        <v>0</v>
      </c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0</v>
      </c>
      <c r="Y51" s="254">
        <v>0</v>
      </c>
      <c r="Z51" s="254">
        <v>0</v>
      </c>
      <c r="AA51" s="254">
        <v>0</v>
      </c>
      <c r="AB51" s="254">
        <v>0</v>
      </c>
      <c r="AC51" s="254">
        <v>0</v>
      </c>
      <c r="AD51" s="254">
        <v>0</v>
      </c>
      <c r="AE51" s="254">
        <v>0</v>
      </c>
      <c r="AF51" s="254">
        <v>0</v>
      </c>
      <c r="AG51" s="254">
        <v>0</v>
      </c>
      <c r="AH51" s="254">
        <v>0</v>
      </c>
      <c r="AI51" s="254">
        <v>0</v>
      </c>
      <c r="AJ51" s="254">
        <v>0</v>
      </c>
      <c r="AK51" s="254">
        <v>0</v>
      </c>
      <c r="AL51" s="254">
        <v>0</v>
      </c>
      <c r="AM51" s="254">
        <v>0</v>
      </c>
      <c r="AN51" s="254">
        <v>0</v>
      </c>
      <c r="AO51" s="254">
        <v>0</v>
      </c>
      <c r="AP51" s="254">
        <v>0</v>
      </c>
      <c r="AQ51" s="254">
        <v>0</v>
      </c>
      <c r="AR51" s="254">
        <v>0</v>
      </c>
      <c r="AS51" s="254">
        <v>0</v>
      </c>
      <c r="AT51" s="254">
        <v>0</v>
      </c>
      <c r="AU51" s="254">
        <v>0</v>
      </c>
      <c r="AV51" s="254">
        <v>0</v>
      </c>
      <c r="AW51" s="254">
        <v>0</v>
      </c>
      <c r="AX51" s="254">
        <v>0</v>
      </c>
      <c r="AY51" s="254">
        <v>0</v>
      </c>
      <c r="BA51" s="170"/>
      <c r="BB51" s="170"/>
    </row>
    <row r="52" spans="2:54">
      <c r="B52" s="237">
        <v>10123</v>
      </c>
      <c r="C52" s="237" t="s">
        <v>55</v>
      </c>
      <c r="D52" s="254">
        <v>-1366.1916961438692</v>
      </c>
      <c r="E52" s="254">
        <v>12869.057587187745</v>
      </c>
      <c r="F52" s="254">
        <v>-18480.834855506779</v>
      </c>
      <c r="G52" s="254">
        <v>3882.3142642743187</v>
      </c>
      <c r="H52" s="254">
        <v>-13914.130852072776</v>
      </c>
      <c r="I52" s="254">
        <v>10070.366291526792</v>
      </c>
      <c r="J52" s="254">
        <v>2023.6475988793682</v>
      </c>
      <c r="K52" s="254">
        <v>16282.84339074009</v>
      </c>
      <c r="L52" s="254">
        <v>532.46997770761664</v>
      </c>
      <c r="M52" s="254">
        <v>10886.409916737211</v>
      </c>
      <c r="N52" s="254">
        <v>-5211.0783298800961</v>
      </c>
      <c r="O52" s="254">
        <v>12091.514216659016</v>
      </c>
      <c r="P52" s="254">
        <v>10049.978078497486</v>
      </c>
      <c r="Q52" s="254">
        <v>16002.587181683084</v>
      </c>
      <c r="R52" s="254">
        <v>-19605.088492449584</v>
      </c>
      <c r="S52" s="254">
        <v>10270.376223674357</v>
      </c>
      <c r="T52" s="254">
        <v>-40806.525280063244</v>
      </c>
      <c r="U52" s="254">
        <v>-9203.8979567443093</v>
      </c>
      <c r="V52" s="254">
        <v>-21351.605227289954</v>
      </c>
      <c r="W52" s="254">
        <v>13471.175517299263</v>
      </c>
      <c r="X52" s="254">
        <v>-18591.292959739949</v>
      </c>
      <c r="Y52" s="254">
        <v>14146.106269299256</v>
      </c>
      <c r="Z52" s="254">
        <v>-6616.2769725823746</v>
      </c>
      <c r="AA52" s="254">
        <v>12216.2958803941</v>
      </c>
      <c r="AB52" s="254">
        <v>-719.2962701205106</v>
      </c>
      <c r="AC52" s="254">
        <v>15308.542472232402</v>
      </c>
      <c r="AD52" s="254">
        <v>-23588.4000391226</v>
      </c>
      <c r="AE52" s="254">
        <v>8413.2589893142285</v>
      </c>
      <c r="AF52" s="254">
        <v>-11599.867230565476</v>
      </c>
      <c r="AG52" s="254">
        <v>8815.105037494417</v>
      </c>
      <c r="AH52" s="254">
        <v>-194.04699566481577</v>
      </c>
      <c r="AI52" s="254">
        <v>22695.037541936385</v>
      </c>
      <c r="AJ52" s="254">
        <v>4099.7349492447684</v>
      </c>
      <c r="AK52" s="254">
        <v>15046.924558849481</v>
      </c>
      <c r="AL52" s="254">
        <v>-1994.5961341125076</v>
      </c>
      <c r="AM52" s="254">
        <v>11320.895345951671</v>
      </c>
      <c r="AN52" s="254">
        <v>12307.654636093954</v>
      </c>
      <c r="AO52" s="254">
        <v>18884.894813887884</v>
      </c>
      <c r="AP52" s="254">
        <v>-21635.485351744006</v>
      </c>
      <c r="AQ52" s="254">
        <v>12386.133810891159</v>
      </c>
      <c r="AR52" s="254">
        <v>-45828.312560913109</v>
      </c>
      <c r="AS52" s="254">
        <v>-9939.0660658845736</v>
      </c>
      <c r="AT52" s="254">
        <v>-23590.435956706613</v>
      </c>
      <c r="AU52" s="254">
        <v>16019.833354961142</v>
      </c>
      <c r="AV52" s="254">
        <v>-20437.209893656618</v>
      </c>
      <c r="AW52" s="254">
        <v>16790.836426961141</v>
      </c>
      <c r="AX52" s="254">
        <v>-6782.1514878292073</v>
      </c>
      <c r="AY52" s="254">
        <v>14575.94195679664</v>
      </c>
      <c r="BA52" s="170"/>
      <c r="BB52" s="170"/>
    </row>
    <row r="53" spans="2:54">
      <c r="B53" s="237">
        <v>10136</v>
      </c>
      <c r="C53" s="237" t="s">
        <v>56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4">
        <v>0</v>
      </c>
      <c r="Q53" s="254">
        <v>0</v>
      </c>
      <c r="R53" s="254">
        <v>0</v>
      </c>
      <c r="S53" s="254">
        <v>0</v>
      </c>
      <c r="T53" s="254">
        <v>0</v>
      </c>
      <c r="U53" s="254">
        <v>0</v>
      </c>
      <c r="V53" s="254">
        <v>0</v>
      </c>
      <c r="W53" s="254">
        <v>0</v>
      </c>
      <c r="X53" s="254">
        <v>0</v>
      </c>
      <c r="Y53" s="254">
        <v>0</v>
      </c>
      <c r="Z53" s="254">
        <v>0</v>
      </c>
      <c r="AA53" s="254">
        <v>0</v>
      </c>
      <c r="AB53" s="254">
        <v>0</v>
      </c>
      <c r="AC53" s="254">
        <v>0</v>
      </c>
      <c r="AD53" s="254">
        <v>0</v>
      </c>
      <c r="AE53" s="254">
        <v>0</v>
      </c>
      <c r="AF53" s="254">
        <v>0</v>
      </c>
      <c r="AG53" s="254">
        <v>0</v>
      </c>
      <c r="AH53" s="254">
        <v>0</v>
      </c>
      <c r="AI53" s="254">
        <v>0</v>
      </c>
      <c r="AJ53" s="254">
        <v>0</v>
      </c>
      <c r="AK53" s="254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</v>
      </c>
      <c r="AU53" s="254">
        <v>0</v>
      </c>
      <c r="AV53" s="254">
        <v>0</v>
      </c>
      <c r="AW53" s="254">
        <v>0</v>
      </c>
      <c r="AX53" s="254">
        <v>0</v>
      </c>
      <c r="AY53" s="254">
        <v>0</v>
      </c>
      <c r="BA53" s="170"/>
      <c r="BB53" s="170"/>
    </row>
    <row r="54" spans="2:54">
      <c r="B54" s="237">
        <v>10142</v>
      </c>
      <c r="C54" s="237" t="s">
        <v>57</v>
      </c>
      <c r="D54" s="254">
        <v>-88.930380133999961</v>
      </c>
      <c r="E54" s="254">
        <v>104.83718705600006</v>
      </c>
      <c r="F54" s="254">
        <v>-420.86434440399989</v>
      </c>
      <c r="G54" s="254">
        <v>-107.99400303549999</v>
      </c>
      <c r="H54" s="254">
        <v>-50.260763695999913</v>
      </c>
      <c r="I54" s="254">
        <v>115.02038911800003</v>
      </c>
      <c r="J54" s="254">
        <v>92.721554303999937</v>
      </c>
      <c r="K54" s="254">
        <v>313.94453511800009</v>
      </c>
      <c r="L54" s="254">
        <v>-4.1842056819998561</v>
      </c>
      <c r="M54" s="254">
        <v>108.21501328200009</v>
      </c>
      <c r="N54" s="254">
        <v>-212.04494698799988</v>
      </c>
      <c r="O54" s="254">
        <v>-39.576447040500057</v>
      </c>
      <c r="P54" s="254">
        <v>170.44700490800017</v>
      </c>
      <c r="Q54" s="254">
        <v>134.97878345200002</v>
      </c>
      <c r="R54" s="254">
        <v>231.28885844999991</v>
      </c>
      <c r="S54" s="254">
        <v>335.97981822200006</v>
      </c>
      <c r="T54" s="254">
        <v>495.33606315800034</v>
      </c>
      <c r="U54" s="254">
        <v>367.25596045199995</v>
      </c>
      <c r="V54" s="254">
        <v>774.81081065800026</v>
      </c>
      <c r="W54" s="254">
        <v>888.08214426400002</v>
      </c>
      <c r="X54" s="254">
        <v>718.70927590800011</v>
      </c>
      <c r="Y54" s="254">
        <v>536.59350426399999</v>
      </c>
      <c r="Z54" s="254">
        <v>205.42777920000003</v>
      </c>
      <c r="AA54" s="254">
        <v>211.90153866000014</v>
      </c>
      <c r="AB54" s="254">
        <v>-87.153380133999917</v>
      </c>
      <c r="AC54" s="254">
        <v>106.04018705600004</v>
      </c>
      <c r="AD54" s="254">
        <v>-419.0803444039999</v>
      </c>
      <c r="AE54" s="254">
        <v>-106.67300303550007</v>
      </c>
      <c r="AF54" s="254">
        <v>-47.797763695999947</v>
      </c>
      <c r="AG54" s="254">
        <v>116.795389118</v>
      </c>
      <c r="AH54" s="254">
        <v>95.049554303999912</v>
      </c>
      <c r="AI54" s="254">
        <v>315.80353511800013</v>
      </c>
      <c r="AJ54" s="254">
        <v>40.496023373999947</v>
      </c>
      <c r="AK54" s="254">
        <v>130.92062781000004</v>
      </c>
      <c r="AL54" s="254">
        <v>-210.29594698799986</v>
      </c>
      <c r="AM54" s="254">
        <v>-38.426447040499966</v>
      </c>
      <c r="AN54" s="254">
        <v>136.56400490800013</v>
      </c>
      <c r="AO54" s="254">
        <v>171.89778345200011</v>
      </c>
      <c r="AP54" s="254">
        <v>283.95285844999989</v>
      </c>
      <c r="AQ54" s="254">
        <v>287.83481822200008</v>
      </c>
      <c r="AR54" s="254">
        <v>499.20206315800033</v>
      </c>
      <c r="AS54" s="254">
        <v>369.52196045200003</v>
      </c>
      <c r="AT54" s="254">
        <v>778.69881065800018</v>
      </c>
      <c r="AU54" s="254">
        <v>890.8001442640001</v>
      </c>
      <c r="AV54" s="254">
        <v>722.40327590800007</v>
      </c>
      <c r="AW54" s="254">
        <v>538.65650426400009</v>
      </c>
      <c r="AX54" s="254">
        <v>207.73877919999995</v>
      </c>
      <c r="AY54" s="254">
        <v>213.35953866000011</v>
      </c>
      <c r="BA54" s="170"/>
      <c r="BB54" s="170"/>
    </row>
    <row r="55" spans="2:54">
      <c r="B55" s="237">
        <v>10144</v>
      </c>
      <c r="C55" s="237" t="s">
        <v>58</v>
      </c>
      <c r="D55" s="254">
        <v>-70.321283537199861</v>
      </c>
      <c r="E55" s="254">
        <v>97.412712764800062</v>
      </c>
      <c r="F55" s="254">
        <v>48.486425896800029</v>
      </c>
      <c r="G55" s="254">
        <v>138.13346242410012</v>
      </c>
      <c r="H55" s="254">
        <v>338.21601312320013</v>
      </c>
      <c r="I55" s="254">
        <v>289.20915340439979</v>
      </c>
      <c r="J55" s="254">
        <v>570.58157752319994</v>
      </c>
      <c r="K55" s="254">
        <v>601.20884020439996</v>
      </c>
      <c r="L55" s="254">
        <v>486.1202315644</v>
      </c>
      <c r="M55" s="254">
        <v>383.85811651559993</v>
      </c>
      <c r="N55" s="254">
        <v>182.64120914960017</v>
      </c>
      <c r="O55" s="254">
        <v>161.51027649510002</v>
      </c>
      <c r="P55" s="254">
        <v>260.99343558639998</v>
      </c>
      <c r="Q55" s="254">
        <v>184.77750730160005</v>
      </c>
      <c r="R55" s="254">
        <v>-489.5567379900001</v>
      </c>
      <c r="S55" s="254">
        <v>-108.48152323239992</v>
      </c>
      <c r="T55" s="254">
        <v>-991.15257156359985</v>
      </c>
      <c r="U55" s="254">
        <v>-519.2054860984</v>
      </c>
      <c r="V55" s="254">
        <v>-740.1333860635998</v>
      </c>
      <c r="W55" s="254">
        <v>-121.15580630879992</v>
      </c>
      <c r="X55" s="254">
        <v>-572.29305261359991</v>
      </c>
      <c r="Y55" s="254">
        <v>-189.03151830879995</v>
      </c>
      <c r="Z55" s="254">
        <v>-346.81359264000002</v>
      </c>
      <c r="AA55" s="254">
        <v>-159.72306337199996</v>
      </c>
      <c r="AB55" s="254">
        <v>-68.476283537199834</v>
      </c>
      <c r="AC55" s="254">
        <v>98.581712764800045</v>
      </c>
      <c r="AD55" s="254">
        <v>50.307425896800169</v>
      </c>
      <c r="AE55" s="254">
        <v>139.32746242410008</v>
      </c>
      <c r="AF55" s="254">
        <v>340.0430131231999</v>
      </c>
      <c r="AG55" s="254">
        <v>290.39715340439989</v>
      </c>
      <c r="AH55" s="254">
        <v>572.33257752319992</v>
      </c>
      <c r="AI55" s="254">
        <v>602.47284020440009</v>
      </c>
      <c r="AJ55" s="254">
        <v>541.55806792919998</v>
      </c>
      <c r="AK55" s="254">
        <v>411.83503469800007</v>
      </c>
      <c r="AL55" s="254">
        <v>184.51720914960015</v>
      </c>
      <c r="AM55" s="254">
        <v>162.64927649510003</v>
      </c>
      <c r="AN55" s="254">
        <v>201.28043558640002</v>
      </c>
      <c r="AO55" s="254">
        <v>247.50550730160001</v>
      </c>
      <c r="AP55" s="254">
        <v>-437.96873799000014</v>
      </c>
      <c r="AQ55" s="254">
        <v>-157.0545232323999</v>
      </c>
      <c r="AR55" s="254">
        <v>-989.21457156359997</v>
      </c>
      <c r="AS55" s="254">
        <v>-518.1284860984</v>
      </c>
      <c r="AT55" s="254">
        <v>-738.32038606359981</v>
      </c>
      <c r="AU55" s="254">
        <v>-119.95380630879993</v>
      </c>
      <c r="AV55" s="254">
        <v>-570.31505261359985</v>
      </c>
      <c r="AW55" s="254">
        <v>-187.99451830880002</v>
      </c>
      <c r="AX55" s="254">
        <v>-344.92159263999997</v>
      </c>
      <c r="AY55" s="254">
        <v>-158.60006337199991</v>
      </c>
      <c r="BA55" s="170"/>
      <c r="BB55" s="170"/>
    </row>
    <row r="56" spans="2:54">
      <c r="B56" s="237">
        <v>10156</v>
      </c>
      <c r="C56" s="237" t="s">
        <v>59</v>
      </c>
      <c r="D56" s="254">
        <v>-331.29349621999791</v>
      </c>
      <c r="E56" s="254">
        <v>1048.1334964800008</v>
      </c>
      <c r="F56" s="254">
        <v>-767.81176531999881</v>
      </c>
      <c r="G56" s="254">
        <v>1647.232029285</v>
      </c>
      <c r="H56" s="254">
        <v>3328.0842923199998</v>
      </c>
      <c r="I56" s="254">
        <v>4063.2618129399998</v>
      </c>
      <c r="J56" s="254">
        <v>6083.5642323200009</v>
      </c>
      <c r="K56" s="254">
        <v>5788.0899929400002</v>
      </c>
      <c r="L56" s="254">
        <v>4662.8621289400035</v>
      </c>
      <c r="M56" s="254">
        <v>4216.5391790599997</v>
      </c>
      <c r="N56" s="254">
        <v>1851.5392299600026</v>
      </c>
      <c r="O56" s="254">
        <v>2485.9411176350004</v>
      </c>
      <c r="P56" s="254">
        <v>2445.0846436400025</v>
      </c>
      <c r="Q56" s="254">
        <v>2424.2275951600004</v>
      </c>
      <c r="R56" s="254">
        <v>-4868.0296114999983</v>
      </c>
      <c r="S56" s="254">
        <v>-798.62187073999939</v>
      </c>
      <c r="T56" s="254">
        <v>-9840.7046338599976</v>
      </c>
      <c r="U56" s="254">
        <v>-4434.963994839999</v>
      </c>
      <c r="V56" s="254">
        <v>-5913.7529588599973</v>
      </c>
      <c r="W56" s="254">
        <v>-299.54320087999986</v>
      </c>
      <c r="X56" s="254">
        <v>-5159.1959263599983</v>
      </c>
      <c r="Y56" s="254">
        <v>-505.44340087999899</v>
      </c>
      <c r="Z56" s="254">
        <v>-3352.244263999999</v>
      </c>
      <c r="AA56" s="254">
        <v>-774.24576219999835</v>
      </c>
      <c r="AB56" s="254">
        <v>-286.18349621999732</v>
      </c>
      <c r="AC56" s="254">
        <v>1076.3644964800005</v>
      </c>
      <c r="AD56" s="254">
        <v>-722.04276531999858</v>
      </c>
      <c r="AE56" s="254">
        <v>1680.4780292849991</v>
      </c>
      <c r="AF56" s="254">
        <v>3372.3852923199993</v>
      </c>
      <c r="AG56" s="254">
        <v>4094.856812940001</v>
      </c>
      <c r="AH56" s="254">
        <v>6127.6382323199978</v>
      </c>
      <c r="AI56" s="254">
        <v>5818.9949929400009</v>
      </c>
      <c r="AJ56" s="254">
        <v>5222.4304854200018</v>
      </c>
      <c r="AK56" s="254">
        <v>4504.2853573000011</v>
      </c>
      <c r="AL56" s="254">
        <v>1896.8642299600015</v>
      </c>
      <c r="AM56" s="254">
        <v>2515.9451176349994</v>
      </c>
      <c r="AN56" s="254">
        <v>2490.3436436400025</v>
      </c>
      <c r="AO56" s="254">
        <v>2454.1105951600002</v>
      </c>
      <c r="AP56" s="254">
        <v>-4827.108611499998</v>
      </c>
      <c r="AQ56" s="254">
        <v>-769.63287073999891</v>
      </c>
      <c r="AR56" s="254">
        <v>-9796.4956338599968</v>
      </c>
      <c r="AS56" s="254">
        <v>-4407.271994839999</v>
      </c>
      <c r="AT56" s="254">
        <v>-5867.3619588599977</v>
      </c>
      <c r="AU56" s="254">
        <v>-268.41220087999955</v>
      </c>
      <c r="AV56" s="254">
        <v>-5112.0979263599984</v>
      </c>
      <c r="AW56" s="254">
        <v>-475.92240087999926</v>
      </c>
      <c r="AX56" s="254">
        <v>-3309.4512639999994</v>
      </c>
      <c r="AY56" s="254">
        <v>-745.61876219999886</v>
      </c>
      <c r="BA56" s="170"/>
      <c r="BB56" s="170"/>
    </row>
    <row r="57" spans="2:54">
      <c r="B57" s="237">
        <v>10157</v>
      </c>
      <c r="C57" s="237" t="s">
        <v>60</v>
      </c>
      <c r="D57" s="254">
        <v>-1008.4234310291085</v>
      </c>
      <c r="E57" s="254">
        <v>1179.1191744511998</v>
      </c>
      <c r="F57" s="254">
        <v>-1716.5689690217623</v>
      </c>
      <c r="G57" s="254">
        <v>1198.5673679288002</v>
      </c>
      <c r="H57" s="254">
        <v>560.31160057207853</v>
      </c>
      <c r="I57" s="254">
        <v>3515.4823085286916</v>
      </c>
      <c r="J57" s="254">
        <v>1925.560035284574</v>
      </c>
      <c r="K57" s="254">
        <v>3540.1250726660073</v>
      </c>
      <c r="L57" s="254">
        <v>1524.5832687678412</v>
      </c>
      <c r="M57" s="254">
        <v>2572.6049162131139</v>
      </c>
      <c r="N57" s="254">
        <v>-347.12445365525491</v>
      </c>
      <c r="O57" s="254">
        <v>1955.5913497411702</v>
      </c>
      <c r="P57" s="254">
        <v>1046.1846119810925</v>
      </c>
      <c r="Q57" s="254">
        <v>1956.457457316953</v>
      </c>
      <c r="R57" s="254">
        <v>-3793.439068975521</v>
      </c>
      <c r="S57" s="254">
        <v>472.54444010305269</v>
      </c>
      <c r="T57" s="254">
        <v>-7034.2489580956235</v>
      </c>
      <c r="U57" s="254">
        <v>-2302.3161958121864</v>
      </c>
      <c r="V57" s="254">
        <v>-3613.6083362317349</v>
      </c>
      <c r="W57" s="254">
        <v>1322.8382028538254</v>
      </c>
      <c r="X57" s="254">
        <v>-3349.5609333707052</v>
      </c>
      <c r="Y57" s="254">
        <v>1324.3325844538667</v>
      </c>
      <c r="Z57" s="254">
        <v>-2387.7107283827218</v>
      </c>
      <c r="AA57" s="254">
        <v>500.21741381382435</v>
      </c>
      <c r="AB57" s="254">
        <v>-948.79330945869697</v>
      </c>
      <c r="AC57" s="254">
        <v>1222.1853733631642</v>
      </c>
      <c r="AD57" s="254">
        <v>-2077.5974365931907</v>
      </c>
      <c r="AE57" s="254">
        <v>1685.2637013536178</v>
      </c>
      <c r="AF57" s="254">
        <v>1154.8208390591462</v>
      </c>
      <c r="AG57" s="254">
        <v>3075.0175507651893</v>
      </c>
      <c r="AH57" s="254">
        <v>1533.5994311271588</v>
      </c>
      <c r="AI57" s="254">
        <v>4073.9687511740631</v>
      </c>
      <c r="AJ57" s="254">
        <v>1912.3367692929587</v>
      </c>
      <c r="AK57" s="254">
        <v>2877.0045247375192</v>
      </c>
      <c r="AL57" s="254">
        <v>109.72218403876286</v>
      </c>
      <c r="AM57" s="254">
        <v>1616.3049736519897</v>
      </c>
      <c r="AN57" s="254">
        <v>1107.8624605982677</v>
      </c>
      <c r="AO57" s="254">
        <v>2001.5297313064266</v>
      </c>
      <c r="AP57" s="254">
        <v>-3741.8584326268419</v>
      </c>
      <c r="AQ57" s="254">
        <v>516.90378736291677</v>
      </c>
      <c r="AR57" s="254">
        <v>-6982.7206288711368</v>
      </c>
      <c r="AS57" s="254">
        <v>-2264.6608783019847</v>
      </c>
      <c r="AT57" s="254">
        <v>-3556.1867376824484</v>
      </c>
      <c r="AU57" s="254">
        <v>1368.1129247869158</v>
      </c>
      <c r="AV57" s="254">
        <v>-3292.8948821707345</v>
      </c>
      <c r="AW57" s="254">
        <v>1369.0115863615365</v>
      </c>
      <c r="AX57" s="254">
        <v>-2337.4135538774808</v>
      </c>
      <c r="AY57" s="254">
        <v>540.45515341801638</v>
      </c>
      <c r="BA57" s="170"/>
      <c r="BB57" s="170"/>
    </row>
    <row r="58" spans="2:54">
      <c r="B58" s="237">
        <v>10158</v>
      </c>
      <c r="C58" s="237" t="s">
        <v>61</v>
      </c>
      <c r="D58" s="254">
        <v>-251.20958693319994</v>
      </c>
      <c r="E58" s="254">
        <v>50.571203228799959</v>
      </c>
      <c r="F58" s="254">
        <v>-311.85369287919991</v>
      </c>
      <c r="G58" s="254">
        <v>26.406201987099848</v>
      </c>
      <c r="H58" s="254">
        <v>106.26475049919986</v>
      </c>
      <c r="I58" s="254">
        <v>308.44124209639983</v>
      </c>
      <c r="J58" s="254">
        <v>279.1168068991999</v>
      </c>
      <c r="K58" s="254">
        <v>512.57085289639997</v>
      </c>
      <c r="L58" s="254">
        <v>62.347649056399973</v>
      </c>
      <c r="M58" s="254">
        <v>233.38173342360005</v>
      </c>
      <c r="N58" s="254">
        <v>3.9431866776001243</v>
      </c>
      <c r="O58" s="254">
        <v>203.46039858810002</v>
      </c>
      <c r="P58" s="254">
        <v>9.1612065384000516</v>
      </c>
      <c r="Q58" s="254">
        <v>147.58227418959996</v>
      </c>
      <c r="R58" s="254">
        <v>-408.88915369000017</v>
      </c>
      <c r="S58" s="254">
        <v>-6.0442139643998871</v>
      </c>
      <c r="T58" s="254">
        <v>-726.78667511160018</v>
      </c>
      <c r="U58" s="254">
        <v>-300.43868121040009</v>
      </c>
      <c r="V58" s="254">
        <v>-471.43872461160004</v>
      </c>
      <c r="W58" s="254">
        <v>19.696231307200037</v>
      </c>
      <c r="X58" s="254">
        <v>-371.50460766160006</v>
      </c>
      <c r="Y58" s="254">
        <v>-30.897640692799996</v>
      </c>
      <c r="Z58" s="254">
        <v>-354.06030783999995</v>
      </c>
      <c r="AA58" s="254">
        <v>-83.046137331999944</v>
      </c>
      <c r="AB58" s="254">
        <v>-250.60777385560004</v>
      </c>
      <c r="AC58" s="254">
        <v>50.892853590400023</v>
      </c>
      <c r="AD58" s="254">
        <v>-311.11821937360003</v>
      </c>
      <c r="AE58" s="254">
        <v>26.843815129299855</v>
      </c>
      <c r="AF58" s="254">
        <v>106.9844418335997</v>
      </c>
      <c r="AG58" s="254">
        <v>308.88047080119986</v>
      </c>
      <c r="AH58" s="254">
        <v>279.72392303359993</v>
      </c>
      <c r="AI58" s="254">
        <v>512.92976720119998</v>
      </c>
      <c r="AJ58" s="254">
        <v>101.52896487160001</v>
      </c>
      <c r="AK58" s="254">
        <v>253.01933555400001</v>
      </c>
      <c r="AL58" s="254">
        <v>4.5621054407999964</v>
      </c>
      <c r="AM58" s="254">
        <v>203.81489501229998</v>
      </c>
      <c r="AN58" s="254">
        <v>-24.22907651280002</v>
      </c>
      <c r="AO58" s="254">
        <v>181.76511293679994</v>
      </c>
      <c r="AP58" s="254">
        <v>-377.48353627000006</v>
      </c>
      <c r="AQ58" s="254">
        <v>-36.380951845200002</v>
      </c>
      <c r="AR58" s="254">
        <v>-725.90155346280005</v>
      </c>
      <c r="AS58" s="254">
        <v>-299.9599852632</v>
      </c>
      <c r="AT58" s="254">
        <v>-470.70266196279999</v>
      </c>
      <c r="AU58" s="254">
        <v>20.029444897600001</v>
      </c>
      <c r="AV58" s="254">
        <v>-370.79105511280011</v>
      </c>
      <c r="AW58" s="254">
        <v>-30.569931102400005</v>
      </c>
      <c r="AX58" s="254">
        <v>-353.46163072000013</v>
      </c>
      <c r="AY58" s="254">
        <v>-82.709982556</v>
      </c>
      <c r="BA58" s="170"/>
      <c r="BB58" s="170"/>
    </row>
    <row r="59" spans="2:54">
      <c r="B59" s="237">
        <v>10170</v>
      </c>
      <c r="C59" s="237" t="s">
        <v>62</v>
      </c>
      <c r="D59" s="254">
        <v>-1748.2719730415483</v>
      </c>
      <c r="E59" s="254">
        <v>6811.119271081101</v>
      </c>
      <c r="F59" s="254">
        <v>-15082.642881056592</v>
      </c>
      <c r="G59" s="254">
        <v>-1199.6299698199473</v>
      </c>
      <c r="H59" s="254">
        <v>-4738.5616029008015</v>
      </c>
      <c r="I59" s="254">
        <v>8765.538311792905</v>
      </c>
      <c r="J59" s="254">
        <v>8115.4865626890896</v>
      </c>
      <c r="K59" s="254">
        <v>14957.03872702031</v>
      </c>
      <c r="L59" s="254">
        <v>7430.2575211864096</v>
      </c>
      <c r="M59" s="254">
        <v>11612.312000844948</v>
      </c>
      <c r="N59" s="254">
        <v>957.12898585543007</v>
      </c>
      <c r="O59" s="254">
        <v>10184.960450733081</v>
      </c>
      <c r="P59" s="254">
        <v>5414.6369393013738</v>
      </c>
      <c r="Q59" s="254">
        <v>9002.0922413510016</v>
      </c>
      <c r="R59" s="254">
        <v>-18437.563791802277</v>
      </c>
      <c r="S59" s="254">
        <v>-47.188675601959403</v>
      </c>
      <c r="T59" s="254">
        <v>-29797.368531323918</v>
      </c>
      <c r="U59" s="254">
        <v>-9761.8878466674796</v>
      </c>
      <c r="V59" s="254">
        <v>-12868.854895558536</v>
      </c>
      <c r="W59" s="254">
        <v>7512.794382398075</v>
      </c>
      <c r="X59" s="254">
        <v>-10279.535108632685</v>
      </c>
      <c r="Y59" s="254">
        <v>8679.4657976780727</v>
      </c>
      <c r="Z59" s="254">
        <v>-5743.25013769012</v>
      </c>
      <c r="AA59" s="254">
        <v>5608.0964715279079</v>
      </c>
      <c r="AB59" s="254">
        <v>-1451.9906742607564</v>
      </c>
      <c r="AC59" s="254">
        <v>7163.7984005477847</v>
      </c>
      <c r="AD59" s="254">
        <v>-16581.759135935026</v>
      </c>
      <c r="AE59" s="254">
        <v>554.00895068203317</v>
      </c>
      <c r="AF59" s="254">
        <v>-2536.3759835697056</v>
      </c>
      <c r="AG59" s="254">
        <v>7319.4038775130248</v>
      </c>
      <c r="AH59" s="254">
        <v>6631.9143424323847</v>
      </c>
      <c r="AI59" s="254">
        <v>17565.472027429158</v>
      </c>
      <c r="AJ59" s="254">
        <v>9287.8824809906728</v>
      </c>
      <c r="AK59" s="254">
        <v>13177.710669562704</v>
      </c>
      <c r="AL59" s="254">
        <v>3112.2959683977606</v>
      </c>
      <c r="AM59" s="254">
        <v>8859.5076292083249</v>
      </c>
      <c r="AN59" s="254">
        <v>5832.3575912383967</v>
      </c>
      <c r="AO59" s="254">
        <v>9394.0212724395969</v>
      </c>
      <c r="AP59" s="254">
        <v>-18508.109808125046</v>
      </c>
      <c r="AQ59" s="254">
        <v>163.72472846546589</v>
      </c>
      <c r="AR59" s="254">
        <v>-30044.681075783083</v>
      </c>
      <c r="AS59" s="254">
        <v>-9736.2443791857149</v>
      </c>
      <c r="AT59" s="254">
        <v>-12775.698532519622</v>
      </c>
      <c r="AU59" s="254">
        <v>7889.613235606641</v>
      </c>
      <c r="AV59" s="254">
        <v>-10134.138381437835</v>
      </c>
      <c r="AW59" s="254">
        <v>9082.4442315144042</v>
      </c>
      <c r="AX59" s="254">
        <v>-5548.9706317783712</v>
      </c>
      <c r="AY59" s="254">
        <v>5938.7910205573098</v>
      </c>
      <c r="BA59" s="170"/>
      <c r="BB59" s="170"/>
    </row>
    <row r="60" spans="2:54">
      <c r="B60" s="237">
        <v>10172</v>
      </c>
      <c r="C60" s="237" t="s">
        <v>63</v>
      </c>
      <c r="D60" s="254">
        <v>-4.2905637556000329</v>
      </c>
      <c r="E60" s="254">
        <v>152.27783519040008</v>
      </c>
      <c r="F60" s="254">
        <v>-640.17641877359983</v>
      </c>
      <c r="G60" s="254">
        <v>-193.06011204570018</v>
      </c>
      <c r="H60" s="254">
        <v>-170.15964376639977</v>
      </c>
      <c r="I60" s="254">
        <v>114.85347310119982</v>
      </c>
      <c r="J60" s="254">
        <v>268.2631374335997</v>
      </c>
      <c r="K60" s="254">
        <v>384.14086950120009</v>
      </c>
      <c r="L60" s="254">
        <v>162.46299078120046</v>
      </c>
      <c r="M60" s="254">
        <v>240.25037505880005</v>
      </c>
      <c r="N60" s="254">
        <v>-98.306266359199981</v>
      </c>
      <c r="O60" s="254">
        <v>84.733993587299892</v>
      </c>
      <c r="P60" s="254">
        <v>286.3384072872002</v>
      </c>
      <c r="Q60" s="254">
        <v>249.21877513679988</v>
      </c>
      <c r="R60" s="254">
        <v>-464.51955377000013</v>
      </c>
      <c r="S60" s="254">
        <v>-13.60695514519989</v>
      </c>
      <c r="T60" s="254">
        <v>-1090.3100571627997</v>
      </c>
      <c r="U60" s="254">
        <v>-474.45387306320004</v>
      </c>
      <c r="V60" s="254">
        <v>-336.13779066279994</v>
      </c>
      <c r="W60" s="254">
        <v>274.69756529760002</v>
      </c>
      <c r="X60" s="254">
        <v>-200.71722131279967</v>
      </c>
      <c r="Y60" s="254">
        <v>179.98718929760003</v>
      </c>
      <c r="Z60" s="254">
        <v>-148.81851071999972</v>
      </c>
      <c r="AA60" s="254">
        <v>107.04511844400008</v>
      </c>
      <c r="AB60" s="254">
        <v>-10.368825307599764</v>
      </c>
      <c r="AC60" s="254">
        <v>149.42782795840003</v>
      </c>
      <c r="AD60" s="254">
        <v>-649.11388888559986</v>
      </c>
      <c r="AE60" s="254">
        <v>-197.88237488970003</v>
      </c>
      <c r="AF60" s="254">
        <v>-177.89747045439981</v>
      </c>
      <c r="AG60" s="254">
        <v>110.69189900519996</v>
      </c>
      <c r="AH60" s="254">
        <v>262.87981474560002</v>
      </c>
      <c r="AI60" s="254">
        <v>381.54358340520002</v>
      </c>
      <c r="AJ60" s="254">
        <v>244.23404904359995</v>
      </c>
      <c r="AK60" s="254">
        <v>281.08501973399984</v>
      </c>
      <c r="AL60" s="254">
        <v>-104.65164162319934</v>
      </c>
      <c r="AM60" s="254">
        <v>81.472065103299883</v>
      </c>
      <c r="AN60" s="254">
        <v>282.18806831120037</v>
      </c>
      <c r="AO60" s="254">
        <v>246.9870001928</v>
      </c>
      <c r="AP60" s="254">
        <v>-472.64490216999957</v>
      </c>
      <c r="AQ60" s="254">
        <v>-17.383197529199833</v>
      </c>
      <c r="AR60" s="254">
        <v>-1102.2264901387998</v>
      </c>
      <c r="AS60" s="254">
        <v>-480.60879200719978</v>
      </c>
      <c r="AT60" s="254">
        <v>-344.37104363879962</v>
      </c>
      <c r="AU60" s="254">
        <v>272.08229348960003</v>
      </c>
      <c r="AV60" s="254">
        <v>-208.38027228879992</v>
      </c>
      <c r="AW60" s="254">
        <v>177.17499748959995</v>
      </c>
      <c r="AX60" s="254">
        <v>-155.23005311999987</v>
      </c>
      <c r="AY60" s="254">
        <v>103.93702292400008</v>
      </c>
      <c r="BA60" s="170"/>
      <c r="BB60" s="170"/>
    </row>
    <row r="61" spans="2:54">
      <c r="B61" s="237">
        <v>10173</v>
      </c>
      <c r="C61" s="237" t="s">
        <v>64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4">
        <v>0</v>
      </c>
      <c r="AD61" s="254">
        <v>0</v>
      </c>
      <c r="AE61" s="254">
        <v>0</v>
      </c>
      <c r="AF61" s="254">
        <v>0</v>
      </c>
      <c r="AG61" s="254">
        <v>0</v>
      </c>
      <c r="AH61" s="254">
        <v>0</v>
      </c>
      <c r="AI61" s="254">
        <v>0</v>
      </c>
      <c r="AJ61" s="254">
        <v>0</v>
      </c>
      <c r="AK61" s="254">
        <v>0</v>
      </c>
      <c r="AL61" s="254">
        <v>0</v>
      </c>
      <c r="AM61" s="254">
        <v>0</v>
      </c>
      <c r="AN61" s="254">
        <v>0</v>
      </c>
      <c r="AO61" s="254">
        <v>0</v>
      </c>
      <c r="AP61" s="254">
        <v>0</v>
      </c>
      <c r="AQ61" s="254">
        <v>0</v>
      </c>
      <c r="AR61" s="254">
        <v>0</v>
      </c>
      <c r="AS61" s="254">
        <v>0</v>
      </c>
      <c r="AT61" s="254">
        <v>0</v>
      </c>
      <c r="AU61" s="254">
        <v>0</v>
      </c>
      <c r="AV61" s="254">
        <v>0</v>
      </c>
      <c r="AW61" s="254">
        <v>0</v>
      </c>
      <c r="AX61" s="254">
        <v>0</v>
      </c>
      <c r="AY61" s="254">
        <v>0</v>
      </c>
      <c r="BA61" s="170"/>
      <c r="BB61" s="170"/>
    </row>
    <row r="62" spans="2:54">
      <c r="B62" s="237">
        <v>10174</v>
      </c>
      <c r="C62" s="237" t="s">
        <v>65</v>
      </c>
      <c r="D62" s="254">
        <v>-35.484829470400001</v>
      </c>
      <c r="E62" s="254">
        <v>19.822771993600014</v>
      </c>
      <c r="F62" s="254">
        <v>-59.854620982400036</v>
      </c>
      <c r="G62" s="254">
        <v>-0.26805233880000401</v>
      </c>
      <c r="H62" s="254">
        <v>45.557267622399962</v>
      </c>
      <c r="I62" s="254">
        <v>75.097038500799982</v>
      </c>
      <c r="J62" s="254">
        <v>71.800888422400021</v>
      </c>
      <c r="K62" s="254">
        <v>119.6113361008</v>
      </c>
      <c r="L62" s="254">
        <v>40.994723620800016</v>
      </c>
      <c r="M62" s="254">
        <v>61.149606939199998</v>
      </c>
      <c r="N62" s="254">
        <v>-1.7912421727999686</v>
      </c>
      <c r="O62" s="254">
        <v>32.531265833199996</v>
      </c>
      <c r="P62" s="254">
        <v>4.5542001247999906</v>
      </c>
      <c r="Q62" s="254">
        <v>24.8270834912</v>
      </c>
      <c r="R62" s="254">
        <v>-84.710566679999999</v>
      </c>
      <c r="S62" s="254">
        <v>-8.5587901967999898</v>
      </c>
      <c r="T62" s="254">
        <v>-122.66506367519997</v>
      </c>
      <c r="U62" s="254">
        <v>-53.352365308800017</v>
      </c>
      <c r="V62" s="254">
        <v>-65.354177675199992</v>
      </c>
      <c r="W62" s="254">
        <v>18.055388998400005</v>
      </c>
      <c r="X62" s="254">
        <v>-59.35960227519999</v>
      </c>
      <c r="Y62" s="254">
        <v>-5.9151950016000114</v>
      </c>
      <c r="Z62" s="254">
        <v>-56.817700480000013</v>
      </c>
      <c r="AA62" s="254">
        <v>-13.06279070399998</v>
      </c>
      <c r="AB62" s="254">
        <v>-34.883016392799988</v>
      </c>
      <c r="AC62" s="254">
        <v>20.144422355200021</v>
      </c>
      <c r="AD62" s="254">
        <v>-59.119147476799981</v>
      </c>
      <c r="AE62" s="254">
        <v>0.16956080340000312</v>
      </c>
      <c r="AF62" s="254">
        <v>46.276958956799973</v>
      </c>
      <c r="AG62" s="254">
        <v>75.536267205600012</v>
      </c>
      <c r="AH62" s="254">
        <v>72.408004556800023</v>
      </c>
      <c r="AI62" s="254">
        <v>119.97025040560001</v>
      </c>
      <c r="AJ62" s="254">
        <v>49.481731800799992</v>
      </c>
      <c r="AK62" s="254">
        <v>65.440055251999993</v>
      </c>
      <c r="AL62" s="254">
        <v>-1.1723234095999544</v>
      </c>
      <c r="AM62" s="254">
        <v>32.885762257400003</v>
      </c>
      <c r="AN62" s="254">
        <v>-2.1780829263999806</v>
      </c>
      <c r="AO62" s="254">
        <v>32.351922238400007</v>
      </c>
      <c r="AP62" s="254">
        <v>-77.579949260000006</v>
      </c>
      <c r="AQ62" s="254">
        <v>-14.620528077599985</v>
      </c>
      <c r="AR62" s="254">
        <v>-121.77994202639997</v>
      </c>
      <c r="AS62" s="254">
        <v>-52.873669361600008</v>
      </c>
      <c r="AT62" s="254">
        <v>-64.618115026400005</v>
      </c>
      <c r="AU62" s="254">
        <v>18.388602588800012</v>
      </c>
      <c r="AV62" s="254">
        <v>-58.64604972639998</v>
      </c>
      <c r="AW62" s="254">
        <v>-5.5874854112000065</v>
      </c>
      <c r="AX62" s="254">
        <v>-56.219023359999994</v>
      </c>
      <c r="AY62" s="254">
        <v>-12.726635927999979</v>
      </c>
      <c r="BA62" s="170"/>
      <c r="BB62" s="170"/>
    </row>
    <row r="63" spans="2:54">
      <c r="B63" s="237">
        <v>10177</v>
      </c>
      <c r="C63" s="237" t="s">
        <v>66</v>
      </c>
      <c r="D63" s="254">
        <v>-679.05959289200018</v>
      </c>
      <c r="E63" s="254">
        <v>31.215383327999916</v>
      </c>
      <c r="F63" s="254">
        <v>-1144.863094152</v>
      </c>
      <c r="G63" s="254">
        <v>-156.28001569900016</v>
      </c>
      <c r="H63" s="254">
        <v>322.47521635199882</v>
      </c>
      <c r="I63" s="254">
        <v>865.57812708399933</v>
      </c>
      <c r="J63" s="254">
        <v>1359.8329003519998</v>
      </c>
      <c r="K63" s="254">
        <v>1595.113875084</v>
      </c>
      <c r="L63" s="254">
        <v>592.01536468399991</v>
      </c>
      <c r="M63" s="254">
        <v>886.67324411599975</v>
      </c>
      <c r="N63" s="254">
        <v>-34.070305143999576</v>
      </c>
      <c r="O63" s="254">
        <v>508.8699036109997</v>
      </c>
      <c r="P63" s="254">
        <v>199.09857010399992</v>
      </c>
      <c r="Q63" s="254">
        <v>473.29539957599968</v>
      </c>
      <c r="R63" s="254">
        <v>-1823.1480139</v>
      </c>
      <c r="S63" s="254">
        <v>-497.46757016399988</v>
      </c>
      <c r="T63" s="254">
        <v>-3197.7051913960004</v>
      </c>
      <c r="U63" s="254">
        <v>-1433.179974424</v>
      </c>
      <c r="V63" s="254">
        <v>-1971.3530363960003</v>
      </c>
      <c r="W63" s="254">
        <v>-234.78294916800041</v>
      </c>
      <c r="X63" s="254">
        <v>-1851.105431896</v>
      </c>
      <c r="Y63" s="254">
        <v>-383.20226916800016</v>
      </c>
      <c r="Z63" s="254">
        <v>-1497.1257504000005</v>
      </c>
      <c r="AA63" s="254">
        <v>-450.23200892</v>
      </c>
      <c r="AB63" s="254">
        <v>-692.71133099159988</v>
      </c>
      <c r="AC63" s="254">
        <v>24.707096214400281</v>
      </c>
      <c r="AD63" s="254">
        <v>-1162.1764565895996</v>
      </c>
      <c r="AE63" s="254">
        <v>-165.53305596270002</v>
      </c>
      <c r="AF63" s="254">
        <v>308.46355664959992</v>
      </c>
      <c r="AG63" s="254">
        <v>858.36796547319955</v>
      </c>
      <c r="AH63" s="254">
        <v>1350.1405098495998</v>
      </c>
      <c r="AI63" s="254">
        <v>1590.9622458732001</v>
      </c>
      <c r="AJ63" s="254">
        <v>729.78677096759975</v>
      </c>
      <c r="AK63" s="254">
        <v>955.77881579399991</v>
      </c>
      <c r="AL63" s="254">
        <v>-46.748083711199342</v>
      </c>
      <c r="AM63" s="254">
        <v>502.66727340030047</v>
      </c>
      <c r="AN63" s="254">
        <v>189.33555231920036</v>
      </c>
      <c r="AO63" s="254">
        <v>468.25680154480006</v>
      </c>
      <c r="AP63" s="254">
        <v>-1840.9651974700005</v>
      </c>
      <c r="AQ63" s="254">
        <v>-506.13185115719966</v>
      </c>
      <c r="AR63" s="254">
        <v>-3222.1547666308002</v>
      </c>
      <c r="AS63" s="254">
        <v>-1445.8092886551999</v>
      </c>
      <c r="AT63" s="254">
        <v>-1990.3071351307995</v>
      </c>
      <c r="AU63" s="254">
        <v>-242.04560444639992</v>
      </c>
      <c r="AV63" s="254">
        <v>-1869.3894422808003</v>
      </c>
      <c r="AW63" s="254">
        <v>-390.6685404463999</v>
      </c>
      <c r="AX63" s="254">
        <v>-1512.35543392</v>
      </c>
      <c r="AY63" s="254">
        <v>-458.00519391600005</v>
      </c>
      <c r="BA63" s="170"/>
      <c r="BB63" s="170"/>
    </row>
    <row r="64" spans="2:54">
      <c r="B64" s="237">
        <v>10179</v>
      </c>
      <c r="C64" s="237" t="s">
        <v>67</v>
      </c>
      <c r="D64" s="254">
        <v>3250.5201523535943</v>
      </c>
      <c r="E64" s="254">
        <v>6945.5491899776025</v>
      </c>
      <c r="F64" s="254">
        <v>-10160.739640438405</v>
      </c>
      <c r="G64" s="254">
        <v>1588.0203221892007</v>
      </c>
      <c r="H64" s="254">
        <v>13569.644728678395</v>
      </c>
      <c r="I64" s="254">
        <v>17109.5937612528</v>
      </c>
      <c r="J64" s="254">
        <v>30259.163901478387</v>
      </c>
      <c r="K64" s="254">
        <v>28942.802802852806</v>
      </c>
      <c r="L64" s="254">
        <v>19282.8892591728</v>
      </c>
      <c r="M64" s="254">
        <v>18014.091197787209</v>
      </c>
      <c r="N64" s="254">
        <v>11395.764203395214</v>
      </c>
      <c r="O64" s="254">
        <v>12379.219352041197</v>
      </c>
      <c r="P64" s="254">
        <v>14271.2653094368</v>
      </c>
      <c r="Q64" s="254">
        <v>12430.115213219207</v>
      </c>
      <c r="R64" s="254">
        <v>-20499.543945880003</v>
      </c>
      <c r="S64" s="254">
        <v>-4366.4279471888003</v>
      </c>
      <c r="T64" s="254">
        <v>-41971.023426363201</v>
      </c>
      <c r="U64" s="254">
        <v>-20058.5031075808</v>
      </c>
      <c r="V64" s="254">
        <v>-18360.810700363189</v>
      </c>
      <c r="W64" s="254">
        <v>3117.9289834943993</v>
      </c>
      <c r="X64" s="254">
        <v>-13890.263748963203</v>
      </c>
      <c r="Y64" s="254">
        <v>307.74743949439289</v>
      </c>
      <c r="Z64" s="254">
        <v>-11529.737351679993</v>
      </c>
      <c r="AA64" s="254">
        <v>-468.10621246399387</v>
      </c>
      <c r="AB64" s="254">
        <v>3045.8491523536068</v>
      </c>
      <c r="AC64" s="254">
        <v>6698.6921899776062</v>
      </c>
      <c r="AD64" s="254">
        <v>-10167.766640438407</v>
      </c>
      <c r="AE64" s="254">
        <v>1229.4603221891957</v>
      </c>
      <c r="AF64" s="254">
        <v>13328.337728678409</v>
      </c>
      <c r="AG64" s="254">
        <v>17024.145761252796</v>
      </c>
      <c r="AH64" s="254">
        <v>30273.137901478389</v>
      </c>
      <c r="AI64" s="254">
        <v>28614.776802852808</v>
      </c>
      <c r="AJ64" s="254">
        <v>21959.810532350384</v>
      </c>
      <c r="AK64" s="254">
        <v>19257.261334375995</v>
      </c>
      <c r="AL64" s="254">
        <v>11092.764203395214</v>
      </c>
      <c r="AM64" s="254">
        <v>12271.037352041196</v>
      </c>
      <c r="AN64" s="254">
        <v>14229.983309436808</v>
      </c>
      <c r="AO64" s="254">
        <v>12067.527213219204</v>
      </c>
      <c r="AP64" s="254">
        <v>-20867.991945880007</v>
      </c>
      <c r="AQ64" s="254">
        <v>-4565.0469471887991</v>
      </c>
      <c r="AR64" s="254">
        <v>-42199.774426363205</v>
      </c>
      <c r="AS64" s="254">
        <v>-20343.129107580804</v>
      </c>
      <c r="AT64" s="254">
        <v>-18592.241700363185</v>
      </c>
      <c r="AU64" s="254">
        <v>2803.1599834943991</v>
      </c>
      <c r="AV64" s="254">
        <v>-14089.319748963186</v>
      </c>
      <c r="AW64" s="254">
        <v>-46.537560505603324</v>
      </c>
      <c r="AX64" s="254">
        <v>-11762.815351680001</v>
      </c>
      <c r="AY64" s="254">
        <v>-757.52821246399253</v>
      </c>
      <c r="BA64" s="170"/>
      <c r="BB64" s="170"/>
    </row>
    <row r="65" spans="2:54">
      <c r="B65" s="237">
        <v>10183</v>
      </c>
      <c r="C65" s="237" t="s">
        <v>68</v>
      </c>
      <c r="D65" s="254">
        <v>-2930.505023864378</v>
      </c>
      <c r="E65" s="254">
        <v>2871.0094210979478</v>
      </c>
      <c r="F65" s="254">
        <v>-11087.158296961839</v>
      </c>
      <c r="G65" s="254">
        <v>-2161.4886989297156</v>
      </c>
      <c r="H65" s="254">
        <v>-7550.1074710805624</v>
      </c>
      <c r="I65" s="254">
        <v>1439.1234753564786</v>
      </c>
      <c r="J65" s="254">
        <v>208.30125885251618</v>
      </c>
      <c r="K65" s="254">
        <v>5451.0361377050976</v>
      </c>
      <c r="L65" s="254">
        <v>-2537.9641137638791</v>
      </c>
      <c r="M65" s="254">
        <v>1898.7208999840095</v>
      </c>
      <c r="N65" s="254">
        <v>-6353.3426321704756</v>
      </c>
      <c r="O65" s="254">
        <v>832.80241557437694</v>
      </c>
      <c r="P65" s="254">
        <v>-377.89589700451688</v>
      </c>
      <c r="Q65" s="254">
        <v>2840.4936308043907</v>
      </c>
      <c r="R65" s="254">
        <v>-7566.2925053361578</v>
      </c>
      <c r="S65" s="254">
        <v>3258.913214090906</v>
      </c>
      <c r="T65" s="254">
        <v>-10535.53348679285</v>
      </c>
      <c r="U65" s="254">
        <v>-278.06273504093406</v>
      </c>
      <c r="V65" s="254">
        <v>1495.7860561486195</v>
      </c>
      <c r="W65" s="254">
        <v>12088.283780155638</v>
      </c>
      <c r="X65" s="254">
        <v>972.16796951556171</v>
      </c>
      <c r="Y65" s="254">
        <v>11134.965533887269</v>
      </c>
      <c r="Z65" s="254">
        <v>-798.3091782863994</v>
      </c>
      <c r="AA65" s="254">
        <v>5663.9673061708818</v>
      </c>
      <c r="AB65" s="254">
        <v>-2819.153008418587</v>
      </c>
      <c r="AC65" s="254">
        <v>2951.4303211420993</v>
      </c>
      <c r="AD65" s="254">
        <v>-11845.534263631907</v>
      </c>
      <c r="AE65" s="254">
        <v>-1221.5677055958804</v>
      </c>
      <c r="AF65" s="254">
        <v>-6462.7592440642256</v>
      </c>
      <c r="AG65" s="254">
        <v>564.00394148228224</v>
      </c>
      <c r="AH65" s="254">
        <v>-708.05697390687783</v>
      </c>
      <c r="AI65" s="254">
        <v>6594.9648968458459</v>
      </c>
      <c r="AJ65" s="254">
        <v>-1568.2445962232159</v>
      </c>
      <c r="AK65" s="254">
        <v>2596.2868433645872</v>
      </c>
      <c r="AL65" s="254">
        <v>-5444.3866079226718</v>
      </c>
      <c r="AM65" s="254">
        <v>100.27747357722183</v>
      </c>
      <c r="AN65" s="254">
        <v>-275.95793837075325</v>
      </c>
      <c r="AO65" s="254">
        <v>2914.986754421343</v>
      </c>
      <c r="AP65" s="254">
        <v>-7457.6899223705586</v>
      </c>
      <c r="AQ65" s="254">
        <v>3352.3114354413228</v>
      </c>
      <c r="AR65" s="254">
        <v>-10401.09357033388</v>
      </c>
      <c r="AS65" s="254">
        <v>-179.81818070553345</v>
      </c>
      <c r="AT65" s="254">
        <v>1655.9130037921022</v>
      </c>
      <c r="AU65" s="254">
        <v>12214.537719643769</v>
      </c>
      <c r="AV65" s="254">
        <v>1125.1463927106633</v>
      </c>
      <c r="AW65" s="254">
        <v>11255.583136791098</v>
      </c>
      <c r="AX65" s="254">
        <v>-677.56326853351857</v>
      </c>
      <c r="AY65" s="254">
        <v>5760.5640339731835</v>
      </c>
      <c r="BA65" s="170"/>
      <c r="BB65" s="170"/>
    </row>
    <row r="66" spans="2:54">
      <c r="B66" s="237">
        <v>10186</v>
      </c>
      <c r="C66" s="237" t="s">
        <v>69</v>
      </c>
      <c r="D66" s="254">
        <v>-291.35166511880016</v>
      </c>
      <c r="E66" s="254">
        <v>735.07484153920041</v>
      </c>
      <c r="F66" s="254">
        <v>-2096.9054202328007</v>
      </c>
      <c r="G66" s="254">
        <v>-220.46338395610019</v>
      </c>
      <c r="H66" s="254">
        <v>103.66549081279845</v>
      </c>
      <c r="I66" s="254">
        <v>1597.3475523075986</v>
      </c>
      <c r="J66" s="254">
        <v>1554.2794384127992</v>
      </c>
      <c r="K66" s="254">
        <v>2359.6317295075987</v>
      </c>
      <c r="L66" s="254">
        <v>878.93523094760076</v>
      </c>
      <c r="M66" s="254">
        <v>1280.0616193723995</v>
      </c>
      <c r="N66" s="254">
        <v>176.05221705839995</v>
      </c>
      <c r="O66" s="254">
        <v>1136.9665750529002</v>
      </c>
      <c r="P66" s="254">
        <v>975.31331548559865</v>
      </c>
      <c r="Q66" s="254">
        <v>1424.9909598663994</v>
      </c>
      <c r="R66" s="254">
        <v>-2200.7026072100007</v>
      </c>
      <c r="S66" s="254">
        <v>-35.158991919600339</v>
      </c>
      <c r="T66" s="254">
        <v>-4468.9064593644007</v>
      </c>
      <c r="U66" s="254">
        <v>-1739.2404787336</v>
      </c>
      <c r="V66" s="254">
        <v>-2251.608104864401</v>
      </c>
      <c r="W66" s="254">
        <v>472.0721348847992</v>
      </c>
      <c r="X66" s="254">
        <v>-2193.9493323144015</v>
      </c>
      <c r="Y66" s="254">
        <v>16.435086884799603</v>
      </c>
      <c r="Z66" s="254">
        <v>-1182.6508345600005</v>
      </c>
      <c r="AA66" s="254">
        <v>270.74113681200015</v>
      </c>
      <c r="AB66" s="254">
        <v>-1382.8216621663996</v>
      </c>
      <c r="AC66" s="254">
        <v>158.02013365760013</v>
      </c>
      <c r="AD66" s="254">
        <v>-3442.6741355583999</v>
      </c>
      <c r="AE66" s="254">
        <v>-1014.6318030008006</v>
      </c>
      <c r="AF66" s="254">
        <v>-1213.0485942016003</v>
      </c>
      <c r="AG66" s="254">
        <v>800.8791432927992</v>
      </c>
      <c r="AH66" s="254">
        <v>453.43961859839874</v>
      </c>
      <c r="AI66" s="254">
        <v>1716.6760648928002</v>
      </c>
      <c r="AJ66" s="254">
        <v>211.20667407039855</v>
      </c>
      <c r="AK66" s="254">
        <v>866.73667617599949</v>
      </c>
      <c r="AL66" s="254">
        <v>-945.52086724479886</v>
      </c>
      <c r="AM66" s="254">
        <v>500.79907795120016</v>
      </c>
      <c r="AN66" s="254">
        <v>135.39335767680041</v>
      </c>
      <c r="AO66" s="254">
        <v>851.78848577919962</v>
      </c>
      <c r="AP66" s="254">
        <v>-3507.4651048800015</v>
      </c>
      <c r="AQ66" s="254">
        <v>-663.35650402879946</v>
      </c>
      <c r="AR66" s="254">
        <v>-6089.9526931232003</v>
      </c>
      <c r="AS66" s="254">
        <v>-2610.1447750208008</v>
      </c>
      <c r="AT66" s="254">
        <v>-3577.1544171232017</v>
      </c>
      <c r="AU66" s="254">
        <v>-112.44373058559995</v>
      </c>
      <c r="AV66" s="254">
        <v>-3474.3883207232011</v>
      </c>
      <c r="AW66" s="254">
        <v>-560.28247458560054</v>
      </c>
      <c r="AX66" s="254">
        <v>-2249.8085756800001</v>
      </c>
      <c r="AY66" s="254">
        <v>-318.26315766399966</v>
      </c>
      <c r="BA66" s="170"/>
      <c r="BB66" s="170"/>
    </row>
    <row r="67" spans="2:54">
      <c r="B67" s="237">
        <v>10190</v>
      </c>
      <c r="C67" s="237" t="s">
        <v>70</v>
      </c>
      <c r="D67" s="254">
        <v>48.882033281200165</v>
      </c>
      <c r="E67" s="254">
        <v>348.41909593919991</v>
      </c>
      <c r="F67" s="254">
        <v>377.74613016719968</v>
      </c>
      <c r="G67" s="254">
        <v>646.83289584390013</v>
      </c>
      <c r="H67" s="254">
        <v>1322.5965004127997</v>
      </c>
      <c r="I67" s="254">
        <v>1340.4278955075999</v>
      </c>
      <c r="J67" s="254">
        <v>1788.8726480127998</v>
      </c>
      <c r="K67" s="254">
        <v>1650.1604727075999</v>
      </c>
      <c r="L67" s="254">
        <v>1386.5450541476002</v>
      </c>
      <c r="M67" s="254">
        <v>1242.7770361724001</v>
      </c>
      <c r="N67" s="254">
        <v>704.28108585840027</v>
      </c>
      <c r="O67" s="254">
        <v>824.43739285290008</v>
      </c>
      <c r="P67" s="254">
        <v>618.58285468560007</v>
      </c>
      <c r="Q67" s="254">
        <v>680.46768466639992</v>
      </c>
      <c r="R67" s="254">
        <v>-323.99382721000029</v>
      </c>
      <c r="S67" s="254">
        <v>175.12308088039981</v>
      </c>
      <c r="T67" s="254">
        <v>-761.78262016440021</v>
      </c>
      <c r="U67" s="254">
        <v>-202.17395393360016</v>
      </c>
      <c r="V67" s="254">
        <v>164.27873433559989</v>
      </c>
      <c r="W67" s="254">
        <v>679.64144848479987</v>
      </c>
      <c r="X67" s="254">
        <v>258.3686068856</v>
      </c>
      <c r="Y67" s="254">
        <v>581.24240048479987</v>
      </c>
      <c r="Z67" s="254">
        <v>139.96424544000001</v>
      </c>
      <c r="AA67" s="254">
        <v>361.12712081199993</v>
      </c>
      <c r="AB67" s="254">
        <v>489.37903328120001</v>
      </c>
      <c r="AC67" s="254">
        <v>727.24709593919988</v>
      </c>
      <c r="AD67" s="254">
        <v>838.88713016719976</v>
      </c>
      <c r="AE67" s="254">
        <v>979.87989584390016</v>
      </c>
      <c r="AF67" s="254">
        <v>1759.6425004128</v>
      </c>
      <c r="AG67" s="254">
        <v>1722.8438955075997</v>
      </c>
      <c r="AH67" s="254">
        <v>2246.2996480127999</v>
      </c>
      <c r="AI67" s="254">
        <v>2010.8234727075999</v>
      </c>
      <c r="AJ67" s="254">
        <v>1879.8485544867997</v>
      </c>
      <c r="AK67" s="254">
        <v>1613.6607863419999</v>
      </c>
      <c r="AL67" s="254">
        <v>1162.6210858584</v>
      </c>
      <c r="AM67" s="254">
        <v>1185.8213928529001</v>
      </c>
      <c r="AN67" s="254">
        <v>812.39385468559976</v>
      </c>
      <c r="AO67" s="254">
        <v>847.14568466640003</v>
      </c>
      <c r="AP67" s="254">
        <v>-109.96382721000009</v>
      </c>
      <c r="AQ67" s="254">
        <v>333.5040808803999</v>
      </c>
      <c r="AR67" s="254">
        <v>-761.78262016440021</v>
      </c>
      <c r="AS67" s="254">
        <v>-202.17395393360016</v>
      </c>
      <c r="AT67" s="254">
        <v>164.27873433559989</v>
      </c>
      <c r="AU67" s="254">
        <v>679.64144848479987</v>
      </c>
      <c r="AV67" s="254">
        <v>258.3686068856</v>
      </c>
      <c r="AW67" s="254">
        <v>581.24240048479987</v>
      </c>
      <c r="AX67" s="254">
        <v>139.96424544000001</v>
      </c>
      <c r="AY67" s="254">
        <v>361.12712081199993</v>
      </c>
      <c r="BA67" s="170"/>
      <c r="BB67" s="170"/>
    </row>
    <row r="68" spans="2:54">
      <c r="B68" s="237">
        <v>10191</v>
      </c>
      <c r="C68" s="237" t="s">
        <v>71</v>
      </c>
      <c r="D68" s="254">
        <v>-1971.4615766121169</v>
      </c>
      <c r="E68" s="254">
        <v>3468.6252883634716</v>
      </c>
      <c r="F68" s="254">
        <v>-4405.8472371257594</v>
      </c>
      <c r="G68" s="254">
        <v>3071.9231715657334</v>
      </c>
      <c r="H68" s="254">
        <v>-567.78656098044667</v>
      </c>
      <c r="I68" s="254">
        <v>7292.7868442612307</v>
      </c>
      <c r="J68" s="254">
        <v>5530.3721649077597</v>
      </c>
      <c r="K68" s="254">
        <v>9546.5549087730305</v>
      </c>
      <c r="L68" s="254">
        <v>3907.521462338158</v>
      </c>
      <c r="M68" s="254">
        <v>6596.4205329726847</v>
      </c>
      <c r="N68" s="254">
        <v>0.17057654051313875</v>
      </c>
      <c r="O68" s="254">
        <v>5716.0104153870725</v>
      </c>
      <c r="P68" s="254">
        <v>3295.3791333120826</v>
      </c>
      <c r="Q68" s="254">
        <v>5465.4284576280588</v>
      </c>
      <c r="R68" s="254">
        <v>-8588.4580560530412</v>
      </c>
      <c r="S68" s="254">
        <v>2193.7805475323858</v>
      </c>
      <c r="T68" s="254">
        <v>-16815.589666968597</v>
      </c>
      <c r="U68" s="254">
        <v>-5008.726606888591</v>
      </c>
      <c r="V68" s="254">
        <v>-11055.332174498344</v>
      </c>
      <c r="W68" s="254">
        <v>1984.3621087243828</v>
      </c>
      <c r="X68" s="254">
        <v>-10378.030846825408</v>
      </c>
      <c r="Y68" s="254">
        <v>1988.2201281607358</v>
      </c>
      <c r="Z68" s="254">
        <v>-5535.5658152376818</v>
      </c>
      <c r="AA68" s="254">
        <v>1754.0781968898573</v>
      </c>
      <c r="AB68" s="254">
        <v>-1820.1111180774205</v>
      </c>
      <c r="AC68" s="254">
        <v>3603.9222086940827</v>
      </c>
      <c r="AD68" s="254">
        <v>-5355.6823056193425</v>
      </c>
      <c r="AE68" s="254">
        <v>4346.9622751546085</v>
      </c>
      <c r="AF68" s="254">
        <v>873.22881891117504</v>
      </c>
      <c r="AG68" s="254">
        <v>6269.8058140369467</v>
      </c>
      <c r="AH68" s="254">
        <v>4535.0272799416052</v>
      </c>
      <c r="AI68" s="254">
        <v>11004.298751406517</v>
      </c>
      <c r="AJ68" s="254">
        <v>4932.7582600300448</v>
      </c>
      <c r="AK68" s="254">
        <v>7419.8192450127317</v>
      </c>
      <c r="AL68" s="254">
        <v>1223.336876139896</v>
      </c>
      <c r="AM68" s="254">
        <v>4844.7785879334006</v>
      </c>
      <c r="AN68" s="254">
        <v>3480.1006170168803</v>
      </c>
      <c r="AO68" s="254">
        <v>5616.6571325661826</v>
      </c>
      <c r="AP68" s="254">
        <v>-8490.0062072553155</v>
      </c>
      <c r="AQ68" s="254">
        <v>2329.3363757584284</v>
      </c>
      <c r="AR68" s="254">
        <v>-16760.404106254122</v>
      </c>
      <c r="AS68" s="254">
        <v>-4929.7302417126266</v>
      </c>
      <c r="AT68" s="254">
        <v>-10974.210254749629</v>
      </c>
      <c r="AU68" s="254">
        <v>2105.1666269300986</v>
      </c>
      <c r="AV68" s="254">
        <v>-10295.308980204882</v>
      </c>
      <c r="AW68" s="254">
        <v>2107.4699428807617</v>
      </c>
      <c r="AX68" s="254">
        <v>-5428.0049009729555</v>
      </c>
      <c r="AY68" s="254">
        <v>1872.9679199016373</v>
      </c>
      <c r="BA68" s="170"/>
      <c r="BB68" s="170"/>
    </row>
    <row r="69" spans="2:54">
      <c r="B69" s="237">
        <v>10197</v>
      </c>
      <c r="C69" s="237" t="s">
        <v>72</v>
      </c>
      <c r="D69" s="254">
        <v>-5842.5667735972002</v>
      </c>
      <c r="E69" s="254">
        <v>-2260.0525001952005</v>
      </c>
      <c r="F69" s="254">
        <v>-9463.0044384632001</v>
      </c>
      <c r="G69" s="254">
        <v>-5131.2329142709004</v>
      </c>
      <c r="H69" s="254">
        <v>-8237.8635515168025</v>
      </c>
      <c r="I69" s="254">
        <v>-4551.6048199756005</v>
      </c>
      <c r="J69" s="254">
        <v>-6822.7003671168013</v>
      </c>
      <c r="K69" s="254">
        <v>-3087.0959931756006</v>
      </c>
      <c r="L69" s="254">
        <v>-6465.3098738155995</v>
      </c>
      <c r="M69" s="254">
        <v>-3295.5108941044</v>
      </c>
      <c r="N69" s="254">
        <v>-7531.2468157703988</v>
      </c>
      <c r="O69" s="254">
        <v>-3959.5461456499006</v>
      </c>
      <c r="P69" s="254">
        <v>-1797.7496866935999</v>
      </c>
      <c r="Q69" s="254">
        <v>-569.28829801839947</v>
      </c>
      <c r="R69" s="254">
        <v>5861.9521725099985</v>
      </c>
      <c r="S69" s="254">
        <v>7949.0238907475996</v>
      </c>
      <c r="T69" s="254">
        <v>3353.3187986564008</v>
      </c>
      <c r="U69" s="254">
        <v>4516.4476385815997</v>
      </c>
      <c r="V69" s="254">
        <v>11396.510759156401</v>
      </c>
      <c r="W69" s="254">
        <v>14332.566665451197</v>
      </c>
      <c r="X69" s="254">
        <v>12833.611215106399</v>
      </c>
      <c r="Y69" s="254">
        <v>11651.707353451198</v>
      </c>
      <c r="Z69" s="254">
        <v>3633.1359353600001</v>
      </c>
      <c r="AA69" s="254">
        <v>5408.2806360279992</v>
      </c>
      <c r="AB69" s="254">
        <v>-5869.570773597201</v>
      </c>
      <c r="AC69" s="254">
        <v>-2279.7555001952005</v>
      </c>
      <c r="AD69" s="254">
        <v>-9449.5464384631996</v>
      </c>
      <c r="AE69" s="254">
        <v>-5194.3619142709013</v>
      </c>
      <c r="AF69" s="254">
        <v>-8318.7975515168018</v>
      </c>
      <c r="AG69" s="254">
        <v>-4543.1468199756018</v>
      </c>
      <c r="AH69" s="254">
        <v>-6815.7603671168008</v>
      </c>
      <c r="AI69" s="254">
        <v>-3156.3179931756003</v>
      </c>
      <c r="AJ69" s="254">
        <v>-6089.5774704107998</v>
      </c>
      <c r="AK69" s="254">
        <v>-3114.5086924020006</v>
      </c>
      <c r="AL69" s="254">
        <v>-7599.4908157703994</v>
      </c>
      <c r="AM69" s="254">
        <v>-3939.5611456499009</v>
      </c>
      <c r="AN69" s="254">
        <v>-2130.7976866936006</v>
      </c>
      <c r="AO69" s="254">
        <v>-281.38629801840034</v>
      </c>
      <c r="AP69" s="254">
        <v>6638.784172509997</v>
      </c>
      <c r="AQ69" s="254">
        <v>7128.7368907475993</v>
      </c>
      <c r="AR69" s="254">
        <v>3327.6477986564023</v>
      </c>
      <c r="AS69" s="254">
        <v>4497.9166385815988</v>
      </c>
      <c r="AT69" s="254">
        <v>11370.948759156403</v>
      </c>
      <c r="AU69" s="254">
        <v>14312.048665451197</v>
      </c>
      <c r="AV69" s="254">
        <v>12806.0262151064</v>
      </c>
      <c r="AW69" s="254">
        <v>11630.705353451198</v>
      </c>
      <c r="AX69" s="254">
        <v>3607.5909353599982</v>
      </c>
      <c r="AY69" s="254">
        <v>5387.7456360280012</v>
      </c>
      <c r="BA69" s="170"/>
      <c r="BB69" s="170"/>
    </row>
    <row r="70" spans="2:54">
      <c r="B70" s="237">
        <v>10202</v>
      </c>
      <c r="C70" s="237" t="s">
        <v>73</v>
      </c>
      <c r="D70" s="254">
        <v>1118.3405183376008</v>
      </c>
      <c r="E70" s="254">
        <v>1074.6305465216001</v>
      </c>
      <c r="F70" s="254">
        <v>68.901709065599789</v>
      </c>
      <c r="G70" s="254">
        <v>314.75471923719988</v>
      </c>
      <c r="H70" s="254">
        <v>1498.6085647743994</v>
      </c>
      <c r="I70" s="254">
        <v>1032.5269916847997</v>
      </c>
      <c r="J70" s="254">
        <v>2047.4009695743989</v>
      </c>
      <c r="K70" s="254">
        <v>2038.9027372848004</v>
      </c>
      <c r="L70" s="254">
        <v>1022.8434544047996</v>
      </c>
      <c r="M70" s="254">
        <v>651.08450495519946</v>
      </c>
      <c r="N70" s="254">
        <v>1044.9823900832007</v>
      </c>
      <c r="O70" s="254">
        <v>460.84416196920029</v>
      </c>
      <c r="P70" s="254">
        <v>811.24001682880044</v>
      </c>
      <c r="Q70" s="254">
        <v>256.05945846719987</v>
      </c>
      <c r="R70" s="254">
        <v>-2069.4919530799998</v>
      </c>
      <c r="S70" s="254">
        <v>-837.32189346079986</v>
      </c>
      <c r="T70" s="254">
        <v>-3712.0041709712004</v>
      </c>
      <c r="U70" s="254">
        <v>-2219.2592143327997</v>
      </c>
      <c r="V70" s="254">
        <v>-2198.5490049711998</v>
      </c>
      <c r="W70" s="254">
        <v>-324.69283736960006</v>
      </c>
      <c r="X70" s="254">
        <v>-218.19333757120057</v>
      </c>
      <c r="Y70" s="254">
        <v>173.95925863039975</v>
      </c>
      <c r="Z70" s="254">
        <v>1014.0013891199997</v>
      </c>
      <c r="AA70" s="254">
        <v>745.84260737599971</v>
      </c>
      <c r="AB70" s="254">
        <v>1127.4835183376008</v>
      </c>
      <c r="AC70" s="254">
        <v>1071.0805465215999</v>
      </c>
      <c r="AD70" s="254">
        <v>117.2787090656002</v>
      </c>
      <c r="AE70" s="254">
        <v>282.68771923719987</v>
      </c>
      <c r="AF70" s="254">
        <v>1501.6865647743998</v>
      </c>
      <c r="AG70" s="254">
        <v>1067.8199916847993</v>
      </c>
      <c r="AH70" s="254">
        <v>2103.1369695743997</v>
      </c>
      <c r="AI70" s="254">
        <v>2018.4987372848</v>
      </c>
      <c r="AJ70" s="254">
        <v>1269.9844921264003</v>
      </c>
      <c r="AK70" s="254">
        <v>764.80602381600011</v>
      </c>
      <c r="AL70" s="254">
        <v>1027.1243900832014</v>
      </c>
      <c r="AM70" s="254">
        <v>481.55616196919982</v>
      </c>
      <c r="AN70" s="254">
        <v>574.93601682879944</v>
      </c>
      <c r="AO70" s="254">
        <v>471.85845846719985</v>
      </c>
      <c r="AP70" s="254">
        <v>-1892.34095308</v>
      </c>
      <c r="AQ70" s="254">
        <v>-1057.6608934607998</v>
      </c>
      <c r="AR70" s="254">
        <v>-3728.6211709712006</v>
      </c>
      <c r="AS70" s="254">
        <v>-2245.2572143327998</v>
      </c>
      <c r="AT70" s="254">
        <v>-2213.4580049712004</v>
      </c>
      <c r="AU70" s="254">
        <v>-347.93083736959989</v>
      </c>
      <c r="AV70" s="254">
        <v>-210.07233757120048</v>
      </c>
      <c r="AW70" s="254">
        <v>156.53925863039967</v>
      </c>
      <c r="AX70" s="254">
        <v>1027.1853891199999</v>
      </c>
      <c r="AY70" s="254">
        <v>738.32460737599968</v>
      </c>
      <c r="BA70" s="170"/>
      <c r="BB70" s="170"/>
    </row>
    <row r="71" spans="2:54">
      <c r="B71" s="237">
        <v>10203</v>
      </c>
      <c r="C71" s="237" t="s">
        <v>74</v>
      </c>
      <c r="D71" s="254">
        <v>-45.916728362400136</v>
      </c>
      <c r="E71" s="254">
        <v>108.47905932160006</v>
      </c>
      <c r="F71" s="254">
        <v>-7.302951134399791</v>
      </c>
      <c r="G71" s="254">
        <v>309.29478746219979</v>
      </c>
      <c r="H71" s="254">
        <v>731.81981997439971</v>
      </c>
      <c r="I71" s="254">
        <v>836.13592758479967</v>
      </c>
      <c r="J71" s="254">
        <v>1083.5211247743996</v>
      </c>
      <c r="K71" s="254">
        <v>1109.8189731847999</v>
      </c>
      <c r="L71" s="254">
        <v>827.31865030480003</v>
      </c>
      <c r="M71" s="254">
        <v>717.15868905519983</v>
      </c>
      <c r="N71" s="254">
        <v>372.10036068320051</v>
      </c>
      <c r="O71" s="254">
        <v>406.75022994419987</v>
      </c>
      <c r="P71" s="254">
        <v>412.39514222880007</v>
      </c>
      <c r="Q71" s="254">
        <v>345.25835106720001</v>
      </c>
      <c r="R71" s="254">
        <v>-760.98903058000042</v>
      </c>
      <c r="S71" s="254">
        <v>-169.78906236080002</v>
      </c>
      <c r="T71" s="254">
        <v>-1569.7691330712</v>
      </c>
      <c r="U71" s="254">
        <v>-795.02947173280018</v>
      </c>
      <c r="V71" s="254">
        <v>-542.8945920711999</v>
      </c>
      <c r="W71" s="254">
        <v>133.49541583039991</v>
      </c>
      <c r="X71" s="254">
        <v>-438.71166217119981</v>
      </c>
      <c r="Y71" s="254">
        <v>-36.48148816959997</v>
      </c>
      <c r="Z71" s="254">
        <v>-495.77365088000033</v>
      </c>
      <c r="AA71" s="254">
        <v>-113.12185962399985</v>
      </c>
      <c r="AB71" s="254">
        <v>-35.082728362399848</v>
      </c>
      <c r="AC71" s="254">
        <v>114.82405932159986</v>
      </c>
      <c r="AD71" s="254">
        <v>6.1200488655999834</v>
      </c>
      <c r="AE71" s="254">
        <v>318.58478746219976</v>
      </c>
      <c r="AF71" s="254">
        <v>747.98081997439931</v>
      </c>
      <c r="AG71" s="254">
        <v>847.61392758479974</v>
      </c>
      <c r="AH71" s="254">
        <v>1099.1041247743997</v>
      </c>
      <c r="AI71" s="254">
        <v>1120.9789731847998</v>
      </c>
      <c r="AJ71" s="254">
        <v>939.71630082639967</v>
      </c>
      <c r="AK71" s="254">
        <v>775.47501431599972</v>
      </c>
      <c r="AL71" s="254">
        <v>384.98936068320018</v>
      </c>
      <c r="AM71" s="254">
        <v>414.93922994419972</v>
      </c>
      <c r="AN71" s="254">
        <v>423.25114222879984</v>
      </c>
      <c r="AO71" s="254">
        <v>352.0803510671999</v>
      </c>
      <c r="AP71" s="254">
        <v>-751.12103058000048</v>
      </c>
      <c r="AQ71" s="254">
        <v>-163.40806236080016</v>
      </c>
      <c r="AR71" s="254">
        <v>-1559.5901330711999</v>
      </c>
      <c r="AS71" s="254">
        <v>-789.28847173280019</v>
      </c>
      <c r="AT71" s="254">
        <v>-531.17359207119989</v>
      </c>
      <c r="AU71" s="254">
        <v>140.45141583040004</v>
      </c>
      <c r="AV71" s="254">
        <v>-427.15166217119986</v>
      </c>
      <c r="AW71" s="254">
        <v>-30.466488169600098</v>
      </c>
      <c r="AX71" s="254">
        <v>-486.82965087999992</v>
      </c>
      <c r="AY71" s="254">
        <v>-107.40885962399989</v>
      </c>
      <c r="BA71" s="170"/>
      <c r="BB71" s="170"/>
    </row>
    <row r="72" spans="2:54">
      <c r="B72" s="237">
        <v>10204</v>
      </c>
      <c r="C72" s="237" t="s">
        <v>75</v>
      </c>
      <c r="D72" s="254">
        <v>-1298.1995745895001</v>
      </c>
      <c r="E72" s="254">
        <v>1015.5983328520279</v>
      </c>
      <c r="F72" s="254">
        <v>-2721.0198609003983</v>
      </c>
      <c r="G72" s="254">
        <v>454.30028734401367</v>
      </c>
      <c r="H72" s="254">
        <v>-478.64953526184036</v>
      </c>
      <c r="I72" s="254">
        <v>2694.75659803904</v>
      </c>
      <c r="J72" s="254">
        <v>2301.2431172430588</v>
      </c>
      <c r="K72" s="254">
        <v>3884.8449671452736</v>
      </c>
      <c r="L72" s="254">
        <v>1294.48014493548</v>
      </c>
      <c r="M72" s="254">
        <v>2436.9822024337282</v>
      </c>
      <c r="N72" s="254">
        <v>-851.54471534044569</v>
      </c>
      <c r="O72" s="254">
        <v>1612.5517422510693</v>
      </c>
      <c r="P72" s="254">
        <v>194.09951439707947</v>
      </c>
      <c r="Q72" s="254">
        <v>1362.3762288132511</v>
      </c>
      <c r="R72" s="254">
        <v>-2989.9387714252389</v>
      </c>
      <c r="S72" s="254">
        <v>1253.1604851062948</v>
      </c>
      <c r="T72" s="254">
        <v>-6240.4332217097653</v>
      </c>
      <c r="U72" s="254">
        <v>-1654.1299744725202</v>
      </c>
      <c r="V72" s="254">
        <v>-2889.7292511571595</v>
      </c>
      <c r="W72" s="254">
        <v>1993.6821366530075</v>
      </c>
      <c r="X72" s="254">
        <v>-2737.5798961957044</v>
      </c>
      <c r="Y72" s="254">
        <v>1901.990250284156</v>
      </c>
      <c r="Z72" s="254">
        <v>-2461.4505606267585</v>
      </c>
      <c r="AA72" s="254">
        <v>499.05425061859296</v>
      </c>
      <c r="AB72" s="254">
        <v>-1212.055921712592</v>
      </c>
      <c r="AC72" s="254">
        <v>1095.2705216381282</v>
      </c>
      <c r="AD72" s="254">
        <v>-3045.6221969529397</v>
      </c>
      <c r="AE72" s="254">
        <v>952.00844113100538</v>
      </c>
      <c r="AF72" s="254">
        <v>133.38424776449392</v>
      </c>
      <c r="AG72" s="254">
        <v>2341.3933043216666</v>
      </c>
      <c r="AH72" s="254">
        <v>1957.3546501186775</v>
      </c>
      <c r="AI72" s="254">
        <v>4529.7117563604161</v>
      </c>
      <c r="AJ72" s="254">
        <v>1751.2921705524568</v>
      </c>
      <c r="AK72" s="254">
        <v>2804.0393159982423</v>
      </c>
      <c r="AL72" s="254">
        <v>-367.25412511167633</v>
      </c>
      <c r="AM72" s="254">
        <v>1323.8786173339595</v>
      </c>
      <c r="AN72" s="254">
        <v>290.46968134269991</v>
      </c>
      <c r="AO72" s="254">
        <v>1443.7095568004352</v>
      </c>
      <c r="AP72" s="254">
        <v>-2920.0408748282407</v>
      </c>
      <c r="AQ72" s="254">
        <v>1347.4556253587134</v>
      </c>
      <c r="AR72" s="254">
        <v>-6198.9453049270469</v>
      </c>
      <c r="AS72" s="254">
        <v>-1597.8367668178407</v>
      </c>
      <c r="AT72" s="254">
        <v>-2809.9829109152761</v>
      </c>
      <c r="AU72" s="254">
        <v>2094.7427292196853</v>
      </c>
      <c r="AV72" s="254">
        <v>-2659.017625491344</v>
      </c>
      <c r="AW72" s="254">
        <v>2000.2254977837474</v>
      </c>
      <c r="AX72" s="254">
        <v>-2398.774304928801</v>
      </c>
      <c r="AY72" s="254">
        <v>571.25583431696032</v>
      </c>
      <c r="BA72" s="170"/>
      <c r="BB72" s="170"/>
    </row>
    <row r="73" spans="2:54">
      <c r="B73" s="237">
        <v>10209</v>
      </c>
      <c r="C73" s="237" t="s">
        <v>76</v>
      </c>
      <c r="D73" s="254">
        <v>1918.8757920360003</v>
      </c>
      <c r="E73" s="254">
        <v>5859.4058957759989</v>
      </c>
      <c r="F73" s="254">
        <v>-4900.2128933839995</v>
      </c>
      <c r="G73" s="254">
        <v>3580.3299945169965</v>
      </c>
      <c r="H73" s="254">
        <v>14113.521050783995</v>
      </c>
      <c r="I73" s="254">
        <v>16581.632238028003</v>
      </c>
      <c r="J73" s="254">
        <v>20904.864278784007</v>
      </c>
      <c r="K73" s="254">
        <v>21265.778154028001</v>
      </c>
      <c r="L73" s="254">
        <v>13402.018917228001</v>
      </c>
      <c r="M73" s="254">
        <v>13081.637752372</v>
      </c>
      <c r="N73" s="254">
        <v>5079.5490509520023</v>
      </c>
      <c r="O73" s="254">
        <v>8988.8180567870004</v>
      </c>
      <c r="P73" s="254">
        <v>7999.7707973680008</v>
      </c>
      <c r="Q73" s="254">
        <v>8668.5304391919963</v>
      </c>
      <c r="R73" s="254">
        <v>-9171.9506963000022</v>
      </c>
      <c r="S73" s="254">
        <v>1642.0497176120007</v>
      </c>
      <c r="T73" s="254">
        <v>-19670.922248132003</v>
      </c>
      <c r="U73" s="254">
        <v>-6256.6745188080022</v>
      </c>
      <c r="V73" s="254">
        <v>-6362.770613132001</v>
      </c>
      <c r="W73" s="254">
        <v>6936.168708944002</v>
      </c>
      <c r="X73" s="254">
        <v>-1987.5540366319983</v>
      </c>
      <c r="Y73" s="254">
        <v>5614.1482689439981</v>
      </c>
      <c r="Z73" s="254">
        <v>-2635.7173168000008</v>
      </c>
      <c r="AA73" s="254">
        <v>4541.3705603599992</v>
      </c>
      <c r="AB73" s="254">
        <v>1440.5077920359981</v>
      </c>
      <c r="AC73" s="254">
        <v>5472.295895776002</v>
      </c>
      <c r="AD73" s="254">
        <v>-5146.3488933839981</v>
      </c>
      <c r="AE73" s="254">
        <v>3108.6199945169974</v>
      </c>
      <c r="AF73" s="254">
        <v>13777.670050784</v>
      </c>
      <c r="AG73" s="254">
        <v>16450.373238027998</v>
      </c>
      <c r="AH73" s="254">
        <v>20782.150278783985</v>
      </c>
      <c r="AI73" s="254">
        <v>20889.175154028006</v>
      </c>
      <c r="AJ73" s="254">
        <v>14891.413145004</v>
      </c>
      <c r="AK73" s="254">
        <v>13717.478366260006</v>
      </c>
      <c r="AL73" s="254">
        <v>4600.8770509520036</v>
      </c>
      <c r="AM73" s="254">
        <v>8794.8570567869974</v>
      </c>
      <c r="AN73" s="254">
        <v>7486.3097973680051</v>
      </c>
      <c r="AO73" s="254">
        <v>8272.5634391919994</v>
      </c>
      <c r="AP73" s="254">
        <v>-9720.2426963000034</v>
      </c>
      <c r="AQ73" s="254">
        <v>1116.7027176119991</v>
      </c>
      <c r="AR73" s="254">
        <v>-20223.074248132005</v>
      </c>
      <c r="AS73" s="254">
        <v>-6695.7665188080027</v>
      </c>
      <c r="AT73" s="254">
        <v>-6816.4386131319989</v>
      </c>
      <c r="AU73" s="254">
        <v>6510.8007089439961</v>
      </c>
      <c r="AV73" s="254">
        <v>-2418.3820366319997</v>
      </c>
      <c r="AW73" s="254">
        <v>5178.7312689439968</v>
      </c>
      <c r="AX73" s="254">
        <v>-3101.6073168000003</v>
      </c>
      <c r="AY73" s="254">
        <v>4122.5765603600012</v>
      </c>
      <c r="BA73" s="170"/>
      <c r="BB73" s="170"/>
    </row>
    <row r="74" spans="2:54">
      <c r="B74" s="237">
        <v>10230</v>
      </c>
      <c r="C74" s="237" t="s">
        <v>77</v>
      </c>
      <c r="D74" s="254">
        <v>-486.06793657319986</v>
      </c>
      <c r="E74" s="254">
        <v>-218.77515901119978</v>
      </c>
      <c r="F74" s="254">
        <v>-657.15324671920007</v>
      </c>
      <c r="G74" s="254">
        <v>-200.57548034289994</v>
      </c>
      <c r="H74" s="254">
        <v>1093.8123783392002</v>
      </c>
      <c r="I74" s="254">
        <v>1196.7444123763999</v>
      </c>
      <c r="J74" s="254">
        <v>2015.2397147391994</v>
      </c>
      <c r="K74" s="254">
        <v>1545.3311831764004</v>
      </c>
      <c r="L74" s="254">
        <v>659.32461133640072</v>
      </c>
      <c r="M74" s="254">
        <v>687.75946714360043</v>
      </c>
      <c r="N74" s="254">
        <v>342.64255619760024</v>
      </c>
      <c r="O74" s="254">
        <v>448.06381395810013</v>
      </c>
      <c r="P74" s="254">
        <v>503.74192021840008</v>
      </c>
      <c r="Q74" s="254">
        <v>358.61172610960011</v>
      </c>
      <c r="R74" s="254">
        <v>-1177.6628666900006</v>
      </c>
      <c r="S74" s="254">
        <v>-556.61012784439981</v>
      </c>
      <c r="T74" s="254">
        <v>-2882.8791664315995</v>
      </c>
      <c r="U74" s="254">
        <v>-1652.6398092903996</v>
      </c>
      <c r="V74" s="254">
        <v>-1118.5463659316001</v>
      </c>
      <c r="W74" s="254">
        <v>-138.84875925279994</v>
      </c>
      <c r="X74" s="254">
        <v>-837.96723398159975</v>
      </c>
      <c r="Y74" s="254">
        <v>-329.86203125280008</v>
      </c>
      <c r="Z74" s="254">
        <v>-1044.1954758399997</v>
      </c>
      <c r="AA74" s="254">
        <v>-580.23323373199992</v>
      </c>
      <c r="AB74" s="254">
        <v>-487.91493657320007</v>
      </c>
      <c r="AC74" s="254">
        <v>-222.95215901119991</v>
      </c>
      <c r="AD74" s="254">
        <v>-613.81824671920003</v>
      </c>
      <c r="AE74" s="254">
        <v>-240.73248034290009</v>
      </c>
      <c r="AF74" s="254">
        <v>1066.7293783392006</v>
      </c>
      <c r="AG74" s="254">
        <v>1242.5114123763997</v>
      </c>
      <c r="AH74" s="254">
        <v>2067.0537147391997</v>
      </c>
      <c r="AI74" s="254">
        <v>1511.2291831764005</v>
      </c>
      <c r="AJ74" s="254">
        <v>857.16024392520058</v>
      </c>
      <c r="AK74" s="254">
        <v>785.86928343800037</v>
      </c>
      <c r="AL74" s="254">
        <v>306.15955619760098</v>
      </c>
      <c r="AM74" s="254">
        <v>486.93081395809986</v>
      </c>
      <c r="AN74" s="254">
        <v>509.0649202184004</v>
      </c>
      <c r="AO74" s="254">
        <v>347.95972610960007</v>
      </c>
      <c r="AP74" s="254">
        <v>-1192.4288666900002</v>
      </c>
      <c r="AQ74" s="254">
        <v>-546.21312784439988</v>
      </c>
      <c r="AR74" s="254">
        <v>-2885.2801664315994</v>
      </c>
      <c r="AS74" s="254">
        <v>-1657.7408092903997</v>
      </c>
      <c r="AT74" s="254">
        <v>-1117.893365931599</v>
      </c>
      <c r="AU74" s="254">
        <v>-142.74575925280033</v>
      </c>
      <c r="AV74" s="254">
        <v>-836.36123398159998</v>
      </c>
      <c r="AW74" s="254">
        <v>-334.94603125279991</v>
      </c>
      <c r="AX74" s="254">
        <v>-1047.4514758400001</v>
      </c>
      <c r="AY74" s="254">
        <v>-586.24023373199998</v>
      </c>
      <c r="BA74" s="170"/>
      <c r="BB74" s="170"/>
    </row>
    <row r="75" spans="2:54">
      <c r="B75" s="237">
        <v>10231</v>
      </c>
      <c r="C75" s="237" t="s">
        <v>78</v>
      </c>
      <c r="D75" s="254">
        <v>4142.3486643532051</v>
      </c>
      <c r="E75" s="254">
        <v>4416.3160394912029</v>
      </c>
      <c r="F75" s="254">
        <v>241.04642539920314</v>
      </c>
      <c r="G75" s="254">
        <v>1349.3570876278991</v>
      </c>
      <c r="H75" s="254">
        <v>5854.5745699807994</v>
      </c>
      <c r="I75" s="254">
        <v>4468.6463525635991</v>
      </c>
      <c r="J75" s="254">
        <v>8769.2041735807979</v>
      </c>
      <c r="K75" s="254">
        <v>9094.2707617636006</v>
      </c>
      <c r="L75" s="254">
        <v>4671.4852696036014</v>
      </c>
      <c r="M75" s="254">
        <v>3623.4713599164006</v>
      </c>
      <c r="N75" s="254">
        <v>4382.6740417624023</v>
      </c>
      <c r="O75" s="254">
        <v>2783.0790616768991</v>
      </c>
      <c r="P75" s="254">
        <v>5704.6682354215991</v>
      </c>
      <c r="Q75" s="254">
        <v>3201.3833970504002</v>
      </c>
      <c r="R75" s="254">
        <v>-1882.2239448100008</v>
      </c>
      <c r="S75" s="254">
        <v>850.2060651044012</v>
      </c>
      <c r="T75" s="254">
        <v>-4432.6279554283974</v>
      </c>
      <c r="U75" s="254">
        <v>-2357.5006575496009</v>
      </c>
      <c r="V75" s="254">
        <v>2782.8059190716012</v>
      </c>
      <c r="W75" s="254">
        <v>5925.6256543728032</v>
      </c>
      <c r="X75" s="254">
        <v>5530.5028196216008</v>
      </c>
      <c r="Y75" s="254">
        <v>4594.2797263728007</v>
      </c>
      <c r="Z75" s="254">
        <v>4037.3910118400036</v>
      </c>
      <c r="AA75" s="254">
        <v>3388.3217115320003</v>
      </c>
      <c r="AB75" s="254">
        <v>4171.3736643532029</v>
      </c>
      <c r="AC75" s="254">
        <v>4424.5700394912001</v>
      </c>
      <c r="AD75" s="254">
        <v>413.54842539920355</v>
      </c>
      <c r="AE75" s="254">
        <v>1223.9240876279018</v>
      </c>
      <c r="AF75" s="254">
        <v>5763.9165699807963</v>
      </c>
      <c r="AG75" s="254">
        <v>4594.5883525636018</v>
      </c>
      <c r="AH75" s="254">
        <v>8923.8691735807988</v>
      </c>
      <c r="AI75" s="254">
        <v>8974.032761763603</v>
      </c>
      <c r="AJ75" s="254">
        <v>5429.9063774948008</v>
      </c>
      <c r="AK75" s="254">
        <v>3993.4719138619994</v>
      </c>
      <c r="AL75" s="254">
        <v>4290.8260417624042</v>
      </c>
      <c r="AM75" s="254">
        <v>2907.8650616768991</v>
      </c>
      <c r="AN75" s="254">
        <v>4851.3172354216003</v>
      </c>
      <c r="AO75" s="254">
        <v>4097.4073970503996</v>
      </c>
      <c r="AP75" s="254">
        <v>-1044.2009448099998</v>
      </c>
      <c r="AQ75" s="254">
        <v>43.078065104402413</v>
      </c>
      <c r="AR75" s="254">
        <v>-4149.2259554283992</v>
      </c>
      <c r="AS75" s="254">
        <v>-2188.7226575496006</v>
      </c>
      <c r="AT75" s="254">
        <v>3363.5029190716014</v>
      </c>
      <c r="AU75" s="254">
        <v>6349.1796543728033</v>
      </c>
      <c r="AV75" s="254">
        <v>6443.2328196216004</v>
      </c>
      <c r="AW75" s="254">
        <v>5252.2457263727993</v>
      </c>
      <c r="AX75" s="254">
        <v>5235.3320118399988</v>
      </c>
      <c r="AY75" s="254">
        <v>4301.212711532</v>
      </c>
      <c r="BA75" s="170"/>
      <c r="BB75" s="170"/>
    </row>
    <row r="76" spans="2:54">
      <c r="B76" s="237">
        <v>10234</v>
      </c>
      <c r="C76" s="237" t="s">
        <v>79</v>
      </c>
      <c r="D76" s="254">
        <v>1516.8804874804009</v>
      </c>
      <c r="E76" s="254">
        <v>2342.7749181664003</v>
      </c>
      <c r="F76" s="254">
        <v>-1440.3450769576011</v>
      </c>
      <c r="G76" s="254">
        <v>816.44385487129875</v>
      </c>
      <c r="H76" s="254">
        <v>7265.4964518175948</v>
      </c>
      <c r="I76" s="254">
        <v>6613.0803127291965</v>
      </c>
      <c r="J76" s="254">
        <v>10510.888061017598</v>
      </c>
      <c r="K76" s="254">
        <v>10535.398825129201</v>
      </c>
      <c r="L76" s="254">
        <v>8503.9877496092013</v>
      </c>
      <c r="M76" s="254">
        <v>6614.7294058308016</v>
      </c>
      <c r="N76" s="254">
        <v>5970.4498389928012</v>
      </c>
      <c r="O76" s="254">
        <v>4060.440866774301</v>
      </c>
      <c r="P76" s="254">
        <v>5319.4380542551989</v>
      </c>
      <c r="Q76" s="254">
        <v>3800.2795967287984</v>
      </c>
      <c r="R76" s="254">
        <v>-5012.3476100700027</v>
      </c>
      <c r="S76" s="254">
        <v>-63.993231133197696</v>
      </c>
      <c r="T76" s="254">
        <v>-9136.7300556947994</v>
      </c>
      <c r="U76" s="254">
        <v>-4658.7676094712006</v>
      </c>
      <c r="V76" s="254">
        <v>-765.60815419479695</v>
      </c>
      <c r="W76" s="254">
        <v>4065.2740710416019</v>
      </c>
      <c r="X76" s="254">
        <v>1106.0797916552001</v>
      </c>
      <c r="Y76" s="254">
        <v>2605.3552550415989</v>
      </c>
      <c r="Z76" s="254">
        <v>-936.90278752000086</v>
      </c>
      <c r="AA76" s="254">
        <v>956.55027080400032</v>
      </c>
      <c r="AB76" s="254">
        <v>2052.8554874804031</v>
      </c>
      <c r="AC76" s="254">
        <v>2649.1189181664013</v>
      </c>
      <c r="AD76" s="254">
        <v>-842.85307695759911</v>
      </c>
      <c r="AE76" s="254">
        <v>1070.944854871299</v>
      </c>
      <c r="AF76" s="254">
        <v>7708.3984518175967</v>
      </c>
      <c r="AG76" s="254">
        <v>7012.6853127291997</v>
      </c>
      <c r="AH76" s="254">
        <v>11079.010061017601</v>
      </c>
      <c r="AI76" s="254">
        <v>10809.833825129203</v>
      </c>
      <c r="AJ76" s="254">
        <v>9922.4604425756006</v>
      </c>
      <c r="AK76" s="254">
        <v>7387.6347523139975</v>
      </c>
      <c r="AL76" s="254">
        <v>6439.9328389928014</v>
      </c>
      <c r="AM76" s="254">
        <v>4433.8298667742965</v>
      </c>
      <c r="AN76" s="254">
        <v>5854.9450542551967</v>
      </c>
      <c r="AO76" s="254">
        <v>4117.2405967287978</v>
      </c>
      <c r="AP76" s="254">
        <v>-4496.4316100700016</v>
      </c>
      <c r="AQ76" s="254">
        <v>262.31076886680057</v>
      </c>
      <c r="AR76" s="254">
        <v>-8574.5550556948037</v>
      </c>
      <c r="AS76" s="254">
        <v>-4369.0036094711995</v>
      </c>
      <c r="AT76" s="254">
        <v>-234.26015419479882</v>
      </c>
      <c r="AU76" s="254">
        <v>4375.6560710415997</v>
      </c>
      <c r="AV76" s="254">
        <v>1674.377791655199</v>
      </c>
      <c r="AW76" s="254">
        <v>2878.9062550415983</v>
      </c>
      <c r="AX76" s="254">
        <v>-403.72578752000118</v>
      </c>
      <c r="AY76" s="254">
        <v>1275.3552708040006</v>
      </c>
      <c r="BA76" s="170"/>
      <c r="BB76" s="170"/>
    </row>
    <row r="77" spans="2:54">
      <c r="B77" s="237">
        <v>10235</v>
      </c>
      <c r="C77" s="237" t="s">
        <v>80</v>
      </c>
      <c r="D77" s="254">
        <v>-259.2660786059987</v>
      </c>
      <c r="E77" s="254">
        <v>915.62428510400059</v>
      </c>
      <c r="F77" s="254">
        <v>-1609.8500040359995</v>
      </c>
      <c r="G77" s="254">
        <v>-323.03302386950054</v>
      </c>
      <c r="H77" s="254">
        <v>855.94762113599609</v>
      </c>
      <c r="I77" s="254">
        <v>993.57080186199892</v>
      </c>
      <c r="J77" s="254">
        <v>3332.6122831359971</v>
      </c>
      <c r="K77" s="254">
        <v>3864.5287158619994</v>
      </c>
      <c r="L77" s="254">
        <v>2873.4451686619996</v>
      </c>
      <c r="M77" s="254">
        <v>2059.4694597379994</v>
      </c>
      <c r="N77" s="254">
        <v>1152.5199703080016</v>
      </c>
      <c r="O77" s="254">
        <v>762.76074958549907</v>
      </c>
      <c r="P77" s="254">
        <v>1718.4430629719991</v>
      </c>
      <c r="Q77" s="254">
        <v>976.16362826799923</v>
      </c>
      <c r="R77" s="254">
        <v>-4364.9327289500015</v>
      </c>
      <c r="S77" s="254">
        <v>-923.07676180199996</v>
      </c>
      <c r="T77" s="254">
        <v>-8283.1720877780026</v>
      </c>
      <c r="U77" s="254">
        <v>-4273.3620787320006</v>
      </c>
      <c r="V77" s="254">
        <v>-4910.8646102780003</v>
      </c>
      <c r="W77" s="254">
        <v>85.170948775999932</v>
      </c>
      <c r="X77" s="254">
        <v>-3479.3943980280001</v>
      </c>
      <c r="Y77" s="254">
        <v>-569.03681122400121</v>
      </c>
      <c r="Z77" s="254">
        <v>-2262.4578672000007</v>
      </c>
      <c r="AA77" s="254">
        <v>-796.3237260599999</v>
      </c>
      <c r="AB77" s="254">
        <v>-290.60813405559929</v>
      </c>
      <c r="AC77" s="254">
        <v>900.98385039040022</v>
      </c>
      <c r="AD77" s="254">
        <v>-1650.7394605736008</v>
      </c>
      <c r="AE77" s="254">
        <v>-346.09188552070009</v>
      </c>
      <c r="AF77" s="254">
        <v>820.80125303360182</v>
      </c>
      <c r="AG77" s="254">
        <v>973.06484620119954</v>
      </c>
      <c r="AH77" s="254">
        <v>3308.1891342336003</v>
      </c>
      <c r="AI77" s="254">
        <v>3853.8819426011996</v>
      </c>
      <c r="AJ77" s="254">
        <v>3355.9794970716011</v>
      </c>
      <c r="AK77" s="254">
        <v>2299.5804785540004</v>
      </c>
      <c r="AL77" s="254">
        <v>1123.1277690408024</v>
      </c>
      <c r="AM77" s="254">
        <v>746.13309286230105</v>
      </c>
      <c r="AN77" s="254">
        <v>1233.3172358871998</v>
      </c>
      <c r="AO77" s="254">
        <v>1426.0951085368006</v>
      </c>
      <c r="AP77" s="254">
        <v>-4000.6040012699996</v>
      </c>
      <c r="AQ77" s="254">
        <v>-1352.7309252451996</v>
      </c>
      <c r="AR77" s="254">
        <v>-8345.0847660627987</v>
      </c>
      <c r="AS77" s="254">
        <v>-4306.4338896632007</v>
      </c>
      <c r="AT77" s="254">
        <v>-4958.3946245627976</v>
      </c>
      <c r="AU77" s="254">
        <v>68.276444097600688</v>
      </c>
      <c r="AV77" s="254">
        <v>-3522.903442712799</v>
      </c>
      <c r="AW77" s="254">
        <v>-586.95993190240006</v>
      </c>
      <c r="AX77" s="254">
        <v>-2297.6478707200004</v>
      </c>
      <c r="AY77" s="254">
        <v>-815.13458455599903</v>
      </c>
      <c r="BA77" s="170"/>
      <c r="BB77" s="170"/>
    </row>
    <row r="78" spans="2:54">
      <c r="B78" s="237">
        <v>10236</v>
      </c>
      <c r="C78" s="237" t="s">
        <v>81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4">
        <v>0</v>
      </c>
      <c r="P78" s="254">
        <v>0</v>
      </c>
      <c r="Q78" s="254">
        <v>0</v>
      </c>
      <c r="R78" s="254">
        <v>0</v>
      </c>
      <c r="S78" s="254">
        <v>0</v>
      </c>
      <c r="T78" s="254">
        <v>0</v>
      </c>
      <c r="U78" s="254">
        <v>0</v>
      </c>
      <c r="V78" s="254">
        <v>0</v>
      </c>
      <c r="W78" s="254">
        <v>0</v>
      </c>
      <c r="X78" s="254">
        <v>0</v>
      </c>
      <c r="Y78" s="254">
        <v>0</v>
      </c>
      <c r="Z78" s="254">
        <v>0</v>
      </c>
      <c r="AA78" s="254">
        <v>0</v>
      </c>
      <c r="AB78" s="254">
        <v>0</v>
      </c>
      <c r="AC78" s="254">
        <v>0</v>
      </c>
      <c r="AD78" s="254">
        <v>0</v>
      </c>
      <c r="AE78" s="254">
        <v>0</v>
      </c>
      <c r="AF78" s="254">
        <v>0</v>
      </c>
      <c r="AG78" s="254">
        <v>0</v>
      </c>
      <c r="AH78" s="254">
        <v>0</v>
      </c>
      <c r="AI78" s="254">
        <v>0</v>
      </c>
      <c r="AJ78" s="254">
        <v>0</v>
      </c>
      <c r="AK78" s="254">
        <v>0</v>
      </c>
      <c r="AL78" s="254">
        <v>0</v>
      </c>
      <c r="AM78" s="254">
        <v>0</v>
      </c>
      <c r="AN78" s="254">
        <v>0</v>
      </c>
      <c r="AO78" s="254">
        <v>0</v>
      </c>
      <c r="AP78" s="254">
        <v>0</v>
      </c>
      <c r="AQ78" s="254">
        <v>0</v>
      </c>
      <c r="AR78" s="254">
        <v>0</v>
      </c>
      <c r="AS78" s="254">
        <v>0</v>
      </c>
      <c r="AT78" s="254">
        <v>0</v>
      </c>
      <c r="AU78" s="254">
        <v>0</v>
      </c>
      <c r="AV78" s="254">
        <v>0</v>
      </c>
      <c r="AW78" s="254">
        <v>0</v>
      </c>
      <c r="AX78" s="254">
        <v>0</v>
      </c>
      <c r="AY78" s="254">
        <v>0</v>
      </c>
      <c r="BA78" s="170"/>
      <c r="BB78" s="170"/>
    </row>
    <row r="79" spans="2:54">
      <c r="B79" s="237">
        <v>10237</v>
      </c>
      <c r="C79" s="237" t="s">
        <v>82</v>
      </c>
      <c r="D79" s="254">
        <v>-871.60693419271956</v>
      </c>
      <c r="E79" s="254">
        <v>2360.1159594580349</v>
      </c>
      <c r="F79" s="254">
        <v>-2381.9473084088822</v>
      </c>
      <c r="G79" s="254">
        <v>2126.1693748070466</v>
      </c>
      <c r="H79" s="254">
        <v>991.82464869643809</v>
      </c>
      <c r="I79" s="254">
        <v>5607.7162391794009</v>
      </c>
      <c r="J79" s="254">
        <v>2235.2962119278109</v>
      </c>
      <c r="K79" s="254">
        <v>4931.4700320637912</v>
      </c>
      <c r="L79" s="254">
        <v>1965.4192649430424</v>
      </c>
      <c r="M79" s="254">
        <v>3718.3169693610434</v>
      </c>
      <c r="N79" s="254">
        <v>-229.38206325578358</v>
      </c>
      <c r="O79" s="254">
        <v>3312.4639822969748</v>
      </c>
      <c r="P79" s="254">
        <v>2530.6905785205399</v>
      </c>
      <c r="Q79" s="254">
        <v>3717.5392917688559</v>
      </c>
      <c r="R79" s="254">
        <v>-5286.5692332098788</v>
      </c>
      <c r="S79" s="254">
        <v>1307.4634746665051</v>
      </c>
      <c r="T79" s="254">
        <v>-10688.425408495217</v>
      </c>
      <c r="U79" s="254">
        <v>-3362.4709886330456</v>
      </c>
      <c r="V79" s="254">
        <v>-7336.3863020405061</v>
      </c>
      <c r="W79" s="254">
        <v>754.5878134132563</v>
      </c>
      <c r="X79" s="254">
        <v>-6559.6277869929654</v>
      </c>
      <c r="Y79" s="254">
        <v>1043.0649436074691</v>
      </c>
      <c r="Z79" s="254">
        <v>-3419.1563311703194</v>
      </c>
      <c r="AA79" s="254">
        <v>1042.6026578837445</v>
      </c>
      <c r="AB79" s="254">
        <v>-687.73877740309217</v>
      </c>
      <c r="AC79" s="254">
        <v>2515.960081250545</v>
      </c>
      <c r="AD79" s="254">
        <v>-2881.0883421003091</v>
      </c>
      <c r="AE79" s="254">
        <v>3013.1180813097635</v>
      </c>
      <c r="AF79" s="254">
        <v>2070.8252540968788</v>
      </c>
      <c r="AG79" s="254">
        <v>5051.437999789463</v>
      </c>
      <c r="AH79" s="254">
        <v>1766.1033676572006</v>
      </c>
      <c r="AI79" s="254">
        <v>5870.317427213593</v>
      </c>
      <c r="AJ79" s="254">
        <v>2693.1315385746511</v>
      </c>
      <c r="AK79" s="254">
        <v>4298.5865134984888</v>
      </c>
      <c r="AL79" s="254">
        <v>606.96321356799672</v>
      </c>
      <c r="AM79" s="254">
        <v>2865.0519446926537</v>
      </c>
      <c r="AN79" s="254">
        <v>2749.3322718739109</v>
      </c>
      <c r="AO79" s="254">
        <v>3891.7199976193961</v>
      </c>
      <c r="AP79" s="254">
        <v>-5161.8883460738816</v>
      </c>
      <c r="AQ79" s="254">
        <v>1459.8238054514622</v>
      </c>
      <c r="AR79" s="254">
        <v>-10609.635026495867</v>
      </c>
      <c r="AS79" s="254">
        <v>-3270.5961630642869</v>
      </c>
      <c r="AT79" s="254">
        <v>-7239.2451940215906</v>
      </c>
      <c r="AU79" s="254">
        <v>881.59711449743372</v>
      </c>
      <c r="AV79" s="254">
        <v>-6454.2036053147331</v>
      </c>
      <c r="AW79" s="254">
        <v>1174.1072826845357</v>
      </c>
      <c r="AX79" s="254">
        <v>-3288.2391123145626</v>
      </c>
      <c r="AY79" s="254">
        <v>1176.4649646483522</v>
      </c>
      <c r="BA79" s="170"/>
      <c r="BB79" s="170"/>
    </row>
    <row r="80" spans="2:54">
      <c r="B80" s="237">
        <v>10239</v>
      </c>
      <c r="C80" s="237" t="s">
        <v>83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0</v>
      </c>
      <c r="P80" s="254">
        <v>0</v>
      </c>
      <c r="Q80" s="254">
        <v>0</v>
      </c>
      <c r="R80" s="254">
        <v>0</v>
      </c>
      <c r="S80" s="254">
        <v>0</v>
      </c>
      <c r="T80" s="254">
        <v>0</v>
      </c>
      <c r="U80" s="254">
        <v>0</v>
      </c>
      <c r="V80" s="254">
        <v>0</v>
      </c>
      <c r="W80" s="254">
        <v>0</v>
      </c>
      <c r="X80" s="254">
        <v>0</v>
      </c>
      <c r="Y80" s="254">
        <v>0</v>
      </c>
      <c r="Z80" s="254">
        <v>0</v>
      </c>
      <c r="AA80" s="254">
        <v>0</v>
      </c>
      <c r="AB80" s="254">
        <v>0</v>
      </c>
      <c r="AC80" s="254">
        <v>0</v>
      </c>
      <c r="AD80" s="254">
        <v>0</v>
      </c>
      <c r="AE80" s="254">
        <v>0</v>
      </c>
      <c r="AF80" s="254">
        <v>0</v>
      </c>
      <c r="AG80" s="254">
        <v>0</v>
      </c>
      <c r="AH80" s="254">
        <v>0</v>
      </c>
      <c r="AI80" s="254">
        <v>0</v>
      </c>
      <c r="AJ80" s="254">
        <v>0</v>
      </c>
      <c r="AK80" s="254">
        <v>0</v>
      </c>
      <c r="AL80" s="254">
        <v>0</v>
      </c>
      <c r="AM80" s="254">
        <v>0</v>
      </c>
      <c r="AN80" s="254">
        <v>0</v>
      </c>
      <c r="AO80" s="254">
        <v>0</v>
      </c>
      <c r="AP80" s="254">
        <v>0</v>
      </c>
      <c r="AQ80" s="254">
        <v>0</v>
      </c>
      <c r="AR80" s="254">
        <v>0</v>
      </c>
      <c r="AS80" s="254">
        <v>0</v>
      </c>
      <c r="AT80" s="254">
        <v>0</v>
      </c>
      <c r="AU80" s="254">
        <v>0</v>
      </c>
      <c r="AV80" s="254">
        <v>0</v>
      </c>
      <c r="AW80" s="254">
        <v>0</v>
      </c>
      <c r="AX80" s="254">
        <v>0</v>
      </c>
      <c r="AY80" s="254">
        <v>0</v>
      </c>
      <c r="BA80" s="170"/>
      <c r="BB80" s="170"/>
    </row>
    <row r="81" spans="2:54">
      <c r="B81" s="237">
        <v>10242</v>
      </c>
      <c r="C81" s="237" t="s">
        <v>84</v>
      </c>
      <c r="D81" s="254">
        <v>-1935.5573953343996</v>
      </c>
      <c r="E81" s="254">
        <v>-741.98603863040012</v>
      </c>
      <c r="F81" s="254">
        <v>-2786.4163217664</v>
      </c>
      <c r="G81" s="254">
        <v>-1225.8710309968003</v>
      </c>
      <c r="H81" s="254">
        <v>-2000.3733591936002</v>
      </c>
      <c r="I81" s="254">
        <v>-699.61838517120032</v>
      </c>
      <c r="J81" s="254">
        <v>-1243.4942103936005</v>
      </c>
      <c r="K81" s="254">
        <v>-125.35807157120007</v>
      </c>
      <c r="L81" s="254">
        <v>-1311.6604008511999</v>
      </c>
      <c r="M81" s="254">
        <v>-322.6895389888</v>
      </c>
      <c r="N81" s="254">
        <v>-1984.0461390207993</v>
      </c>
      <c r="O81" s="254">
        <v>-743.46488480480002</v>
      </c>
      <c r="P81" s="254">
        <v>-1279.6011027072</v>
      </c>
      <c r="Q81" s="254">
        <v>-513.34851111680018</v>
      </c>
      <c r="R81" s="254">
        <v>380.95111952000025</v>
      </c>
      <c r="S81" s="254">
        <v>1388.1472681151999</v>
      </c>
      <c r="T81" s="254">
        <v>1453.2006004927998</v>
      </c>
      <c r="U81" s="254">
        <v>2045.7135320831994</v>
      </c>
      <c r="V81" s="254">
        <v>3970.8844964927994</v>
      </c>
      <c r="W81" s="254">
        <v>4772.2155463424006</v>
      </c>
      <c r="X81" s="254">
        <v>2809.2956108927992</v>
      </c>
      <c r="Y81" s="254">
        <v>3240.1765223423999</v>
      </c>
      <c r="Z81" s="254">
        <v>250.67950272000007</v>
      </c>
      <c r="AA81" s="254">
        <v>1097.0161906560002</v>
      </c>
      <c r="AB81" s="254">
        <v>-1927.5843953343997</v>
      </c>
      <c r="AC81" s="254">
        <v>-736.62703863039997</v>
      </c>
      <c r="AD81" s="254">
        <v>-2779.0023217664002</v>
      </c>
      <c r="AE81" s="254">
        <v>-1219.9860309968003</v>
      </c>
      <c r="AF81" s="254">
        <v>-1992.9743591936003</v>
      </c>
      <c r="AG81" s="254">
        <v>-693.75238517120033</v>
      </c>
      <c r="AH81" s="254">
        <v>-1236.1632103936004</v>
      </c>
      <c r="AI81" s="254">
        <v>-119.45607157120003</v>
      </c>
      <c r="AJ81" s="254">
        <v>-1152.6058122815998</v>
      </c>
      <c r="AK81" s="254">
        <v>-241.1522447040004</v>
      </c>
      <c r="AL81" s="254">
        <v>-1976.5321390207991</v>
      </c>
      <c r="AM81" s="254">
        <v>-737.8118848048</v>
      </c>
      <c r="AN81" s="254">
        <v>-1271.8951027071998</v>
      </c>
      <c r="AO81" s="254">
        <v>-507.91951111680009</v>
      </c>
      <c r="AP81" s="254">
        <v>429.72311952000018</v>
      </c>
      <c r="AQ81" s="254">
        <v>1425.9542681152002</v>
      </c>
      <c r="AR81" s="254">
        <v>1503.6936004927993</v>
      </c>
      <c r="AS81" s="254">
        <v>2081.5875320831992</v>
      </c>
      <c r="AT81" s="254">
        <v>4019.1164964927993</v>
      </c>
      <c r="AU81" s="254">
        <v>4810.1375463423992</v>
      </c>
      <c r="AV81" s="254">
        <v>2859.3446108927992</v>
      </c>
      <c r="AW81" s="254">
        <v>3276.0725223423997</v>
      </c>
      <c r="AX81" s="254">
        <v>298.77050271999951</v>
      </c>
      <c r="AY81" s="254">
        <v>1134.6601906560004</v>
      </c>
      <c r="BA81" s="170"/>
      <c r="BB81" s="170"/>
    </row>
    <row r="82" spans="2:54">
      <c r="B82" s="237">
        <v>10244</v>
      </c>
      <c r="C82" s="237" t="s">
        <v>85</v>
      </c>
      <c r="D82" s="254">
        <v>-3948.3383416203942</v>
      </c>
      <c r="E82" s="254">
        <v>1395.3057475936002</v>
      </c>
      <c r="F82" s="254">
        <v>-2736.052803882405</v>
      </c>
      <c r="G82" s="254">
        <v>5242.1660231736969</v>
      </c>
      <c r="H82" s="254">
        <v>14771.759828022397</v>
      </c>
      <c r="I82" s="254">
        <v>16964.970604050799</v>
      </c>
      <c r="J82" s="254">
        <v>16863.6549988224</v>
      </c>
      <c r="K82" s="254">
        <v>18314.311751650799</v>
      </c>
      <c r="L82" s="254">
        <v>18534.130059170799</v>
      </c>
      <c r="M82" s="254">
        <v>18562.417781389198</v>
      </c>
      <c r="N82" s="254">
        <v>7370.9691615272095</v>
      </c>
      <c r="O82" s="254">
        <v>9614.7555752206972</v>
      </c>
      <c r="P82" s="254">
        <v>3667.3099884248004</v>
      </c>
      <c r="Q82" s="254">
        <v>5729.1959561912008</v>
      </c>
      <c r="R82" s="254">
        <v>-16835.180565429997</v>
      </c>
      <c r="S82" s="254">
        <v>-5412.527884246796</v>
      </c>
      <c r="T82" s="254">
        <v>-26335.650919125197</v>
      </c>
      <c r="U82" s="254">
        <v>-13597.297667608796</v>
      </c>
      <c r="V82" s="254">
        <v>-18427.311345625196</v>
      </c>
      <c r="W82" s="254">
        <v>-4001.8836796016003</v>
      </c>
      <c r="X82" s="254">
        <v>-16021.222838975198</v>
      </c>
      <c r="Y82" s="254">
        <v>-5074.7862636015998</v>
      </c>
      <c r="Z82" s="254">
        <v>-10089.149780479995</v>
      </c>
      <c r="AA82" s="254">
        <v>-3381.5314122039963</v>
      </c>
      <c r="AB82" s="254">
        <v>-3928.8493416203928</v>
      </c>
      <c r="AC82" s="254">
        <v>1353.0147475936028</v>
      </c>
      <c r="AD82" s="254">
        <v>-2503.2868038824017</v>
      </c>
      <c r="AE82" s="254">
        <v>5028.3900231736989</v>
      </c>
      <c r="AF82" s="254">
        <v>14597.248828022399</v>
      </c>
      <c r="AG82" s="254">
        <v>17116.680604050805</v>
      </c>
      <c r="AH82" s="254">
        <v>17072.544998822406</v>
      </c>
      <c r="AI82" s="254">
        <v>18082.6207516508</v>
      </c>
      <c r="AJ82" s="254">
        <v>20148.696851964403</v>
      </c>
      <c r="AK82" s="254">
        <v>19374.243677785998</v>
      </c>
      <c r="AL82" s="254">
        <v>7191.2061615272032</v>
      </c>
      <c r="AM82" s="254">
        <v>9773.5345752206958</v>
      </c>
      <c r="AN82" s="254">
        <v>3714.5309884248054</v>
      </c>
      <c r="AO82" s="254">
        <v>5702.7809561911999</v>
      </c>
      <c r="AP82" s="254">
        <v>-17324.704565429998</v>
      </c>
      <c r="AQ82" s="254">
        <v>-5799.1408842467972</v>
      </c>
      <c r="AR82" s="254">
        <v>-26791.472919125201</v>
      </c>
      <c r="AS82" s="254">
        <v>-13973.001667608798</v>
      </c>
      <c r="AT82" s="254">
        <v>-18893.333345625193</v>
      </c>
      <c r="AU82" s="254">
        <v>-4411.0016796015989</v>
      </c>
      <c r="AV82" s="254">
        <v>-16474.879838975194</v>
      </c>
      <c r="AW82" s="254">
        <v>-5496.2682636015961</v>
      </c>
      <c r="AX82" s="254">
        <v>-10530.482780479993</v>
      </c>
      <c r="AY82" s="254">
        <v>-3771.731412203997</v>
      </c>
      <c r="BA82" s="170"/>
      <c r="BB82" s="170"/>
    </row>
    <row r="83" spans="2:54">
      <c r="B83" s="237">
        <v>10246</v>
      </c>
      <c r="C83" s="237" t="s">
        <v>86</v>
      </c>
      <c r="D83" s="254">
        <v>-32.449174232799578</v>
      </c>
      <c r="E83" s="254">
        <v>497.89828891520006</v>
      </c>
      <c r="F83" s="254">
        <v>-92.692830516799404</v>
      </c>
      <c r="G83" s="254">
        <v>400.00402182339985</v>
      </c>
      <c r="H83" s="254">
        <v>1090.7630859968003</v>
      </c>
      <c r="I83" s="254">
        <v>1025.4859088856001</v>
      </c>
      <c r="J83" s="254">
        <v>1419.3388115968005</v>
      </c>
      <c r="K83" s="254">
        <v>1798.5478520856</v>
      </c>
      <c r="L83" s="254">
        <v>1070.7332367256008</v>
      </c>
      <c r="M83" s="254">
        <v>982.23039319440022</v>
      </c>
      <c r="N83" s="254">
        <v>415.22397371040097</v>
      </c>
      <c r="O83" s="254">
        <v>523.04585947739997</v>
      </c>
      <c r="P83" s="254">
        <v>651.36791915359981</v>
      </c>
      <c r="Q83" s="254">
        <v>588.29731375839992</v>
      </c>
      <c r="R83" s="254">
        <v>-1694.2017272600001</v>
      </c>
      <c r="S83" s="254">
        <v>-331.96003135759975</v>
      </c>
      <c r="T83" s="254">
        <v>-2669.6966699463992</v>
      </c>
      <c r="U83" s="254">
        <v>-1223.6617578415996</v>
      </c>
      <c r="V83" s="254">
        <v>-1759.5477429463995</v>
      </c>
      <c r="W83" s="254">
        <v>-9.8395807711999623</v>
      </c>
      <c r="X83" s="254">
        <v>-1352.1530876464003</v>
      </c>
      <c r="Y83" s="254">
        <v>-232.53506877120003</v>
      </c>
      <c r="Z83" s="254">
        <v>-909.37703136000027</v>
      </c>
      <c r="AA83" s="254">
        <v>-175.5778143279997</v>
      </c>
      <c r="AB83" s="254">
        <v>-44.958482341199669</v>
      </c>
      <c r="AC83" s="254">
        <v>493.35554710080009</v>
      </c>
      <c r="AD83" s="254">
        <v>-110.40034852719964</v>
      </c>
      <c r="AE83" s="254">
        <v>391.1830107111</v>
      </c>
      <c r="AF83" s="254">
        <v>1073.1924389471997</v>
      </c>
      <c r="AG83" s="254">
        <v>1015.8597741123999</v>
      </c>
      <c r="AH83" s="254">
        <v>1406.1559113471999</v>
      </c>
      <c r="AI83" s="254">
        <v>1793.4973369124</v>
      </c>
      <c r="AJ83" s="254">
        <v>1202.6256061732001</v>
      </c>
      <c r="AK83" s="254">
        <v>1048.7331715580001</v>
      </c>
      <c r="AL83" s="254">
        <v>402.63425122160061</v>
      </c>
      <c r="AM83" s="254">
        <v>517.05877575209979</v>
      </c>
      <c r="AN83" s="254">
        <v>477.35358103440012</v>
      </c>
      <c r="AO83" s="254">
        <v>752.14381201359993</v>
      </c>
      <c r="AP83" s="254">
        <v>-1587.4329372900002</v>
      </c>
      <c r="AQ83" s="254">
        <v>-461.74771990040017</v>
      </c>
      <c r="AR83" s="254">
        <v>-2694.4008266155997</v>
      </c>
      <c r="AS83" s="254">
        <v>-1235.6911193864</v>
      </c>
      <c r="AT83" s="254">
        <v>-1778.3476561155999</v>
      </c>
      <c r="AU83" s="254">
        <v>-14.069012724799904</v>
      </c>
      <c r="AV83" s="254">
        <v>-1368.5032811655997</v>
      </c>
      <c r="AW83" s="254">
        <v>-237.91156472479997</v>
      </c>
      <c r="AX83" s="254">
        <v>-921.32651744000032</v>
      </c>
      <c r="AY83" s="254">
        <v>-180.4090114119997</v>
      </c>
      <c r="BA83" s="170"/>
      <c r="BB83" s="170"/>
    </row>
    <row r="84" spans="2:54">
      <c r="B84" s="237">
        <v>10247</v>
      </c>
      <c r="C84" s="237" t="s">
        <v>87</v>
      </c>
      <c r="D84" s="254">
        <v>-435.22035240279365</v>
      </c>
      <c r="E84" s="254">
        <v>3714.0532841952045</v>
      </c>
      <c r="F84" s="254">
        <v>-683.73471753679769</v>
      </c>
      <c r="G84" s="254">
        <v>1928.5031047708981</v>
      </c>
      <c r="H84" s="254">
        <v>6738.3048075168044</v>
      </c>
      <c r="I84" s="254">
        <v>6083.9297219756008</v>
      </c>
      <c r="J84" s="254">
        <v>14732.608623116801</v>
      </c>
      <c r="K84" s="254">
        <v>11683.542895175604</v>
      </c>
      <c r="L84" s="254">
        <v>10829.041575815605</v>
      </c>
      <c r="M84" s="254">
        <v>9167.5235921044004</v>
      </c>
      <c r="N84" s="254">
        <v>4215.0954837704048</v>
      </c>
      <c r="O84" s="254">
        <v>5539.3083911499016</v>
      </c>
      <c r="P84" s="254">
        <v>6385.4688986936017</v>
      </c>
      <c r="Q84" s="254">
        <v>5943.0161260183995</v>
      </c>
      <c r="R84" s="254">
        <v>-10760.349122509997</v>
      </c>
      <c r="S84" s="254">
        <v>-3687.726532747598</v>
      </c>
      <c r="T84" s="254">
        <v>-23714.610336656395</v>
      </c>
      <c r="U84" s="254">
        <v>-10797.0128105816</v>
      </c>
      <c r="V84" s="254">
        <v>-13748.526797156399</v>
      </c>
      <c r="W84" s="254">
        <v>-1643.6179694511993</v>
      </c>
      <c r="X84" s="254">
        <v>-12426.384003106396</v>
      </c>
      <c r="Y84" s="254">
        <v>-1252.0596574511983</v>
      </c>
      <c r="Z84" s="254">
        <v>-7275.5481353600007</v>
      </c>
      <c r="AA84" s="254">
        <v>-2557.7388960279968</v>
      </c>
      <c r="AB84" s="254">
        <v>-211.99366120799823</v>
      </c>
      <c r="AC84" s="254">
        <v>3855.4961310720028</v>
      </c>
      <c r="AD84" s="254">
        <v>-441.73057044800225</v>
      </c>
      <c r="AE84" s="254">
        <v>2083.9426998739982</v>
      </c>
      <c r="AF84" s="254">
        <v>6967.6821332479958</v>
      </c>
      <c r="AG84" s="254">
        <v>6231.8520586159975</v>
      </c>
      <c r="AH84" s="254">
        <v>14954.711149247996</v>
      </c>
      <c r="AI84" s="254">
        <v>11826.295210615997</v>
      </c>
      <c r="AJ84" s="254">
        <v>12318.284236088002</v>
      </c>
      <c r="AK84" s="254">
        <v>9943.9825477199993</v>
      </c>
      <c r="AL84" s="254">
        <v>4437.0830689440045</v>
      </c>
      <c r="AM84" s="254">
        <v>5681.253424814</v>
      </c>
      <c r="AN84" s="254">
        <v>6608.7082740960032</v>
      </c>
      <c r="AO84" s="254">
        <v>6071.9833702239994</v>
      </c>
      <c r="AP84" s="254">
        <v>-10550.061268599999</v>
      </c>
      <c r="AQ84" s="254">
        <v>-3529.8291745359966</v>
      </c>
      <c r="AR84" s="254">
        <v>-23476.052476903998</v>
      </c>
      <c r="AS84" s="254">
        <v>-10653.297705776</v>
      </c>
      <c r="AT84" s="254">
        <v>-13512.917006903997</v>
      </c>
      <c r="AU84" s="254">
        <v>-1504.9355472319985</v>
      </c>
      <c r="AV84" s="254">
        <v>-12194.474073903999</v>
      </c>
      <c r="AW84" s="254">
        <v>-1115.1582272319974</v>
      </c>
      <c r="AX84" s="254">
        <v>-7051.9761695999987</v>
      </c>
      <c r="AY84" s="254">
        <v>-2421.1905320799997</v>
      </c>
      <c r="BA84" s="170"/>
      <c r="BB84" s="170"/>
    </row>
    <row r="85" spans="2:54">
      <c r="B85" s="237">
        <v>10256</v>
      </c>
      <c r="C85" s="237" t="s">
        <v>88</v>
      </c>
      <c r="D85" s="254">
        <v>-1465.840953476396</v>
      </c>
      <c r="E85" s="254">
        <v>2254.5048506976</v>
      </c>
      <c r="F85" s="254">
        <v>-2283.4280574183977</v>
      </c>
      <c r="G85" s="254">
        <v>1482.1712162416989</v>
      </c>
      <c r="H85" s="254">
        <v>3185.8077111583953</v>
      </c>
      <c r="I85" s="254">
        <v>6257.7826161628</v>
      </c>
      <c r="J85" s="254">
        <v>5524.0307939583981</v>
      </c>
      <c r="K85" s="254">
        <v>6675.3934277628014</v>
      </c>
      <c r="L85" s="254">
        <v>4694.0767880828025</v>
      </c>
      <c r="M85" s="254">
        <v>4977.1857308771996</v>
      </c>
      <c r="N85" s="254">
        <v>1311.2434053352008</v>
      </c>
      <c r="O85" s="254">
        <v>3543.6436673686985</v>
      </c>
      <c r="P85" s="254">
        <v>3579.5015378967983</v>
      </c>
      <c r="Q85" s="254">
        <v>3951.0805529591998</v>
      </c>
      <c r="R85" s="254">
        <v>-743.85185062999881</v>
      </c>
      <c r="S85" s="254">
        <v>2533.1717262012007</v>
      </c>
      <c r="T85" s="254">
        <v>-8770.1650516532027</v>
      </c>
      <c r="U85" s="254">
        <v>-2647.4569028408005</v>
      </c>
      <c r="V85" s="254">
        <v>-2553.2289381531991</v>
      </c>
      <c r="W85" s="254">
        <v>5584.4010361743985</v>
      </c>
      <c r="X85" s="254">
        <v>-888.4246255031976</v>
      </c>
      <c r="Y85" s="254">
        <v>4323.8076921743996</v>
      </c>
      <c r="Z85" s="254">
        <v>-2179.4460476799977</v>
      </c>
      <c r="AA85" s="254">
        <v>2340.6530292360021</v>
      </c>
      <c r="AB85" s="254">
        <v>-1296.3814293271971</v>
      </c>
      <c r="AC85" s="254">
        <v>2385.3189821247997</v>
      </c>
      <c r="AD85" s="254">
        <v>-2134.075614843201</v>
      </c>
      <c r="AE85" s="254">
        <v>1601.9758326065985</v>
      </c>
      <c r="AF85" s="254">
        <v>3330.3449053631994</v>
      </c>
      <c r="AG85" s="254">
        <v>6383.0835572343985</v>
      </c>
      <c r="AH85" s="254">
        <v>5687.5742997631969</v>
      </c>
      <c r="AI85" s="254">
        <v>6803.9272540344009</v>
      </c>
      <c r="AJ85" s="254">
        <v>5613.6092731191966</v>
      </c>
      <c r="AK85" s="254">
        <v>5475.6161945479998</v>
      </c>
      <c r="AL85" s="254">
        <v>1475.5416943696036</v>
      </c>
      <c r="AM85" s="254">
        <v>3668.4968482525983</v>
      </c>
      <c r="AN85" s="254">
        <v>3768.5041455663995</v>
      </c>
      <c r="AO85" s="254">
        <v>4072.0349839215996</v>
      </c>
      <c r="AP85" s="254">
        <v>-594.03074974000265</v>
      </c>
      <c r="AQ85" s="254">
        <v>2658.9936408375997</v>
      </c>
      <c r="AR85" s="254">
        <v>-8631.4652103336011</v>
      </c>
      <c r="AS85" s="254">
        <v>-2547.0317644784009</v>
      </c>
      <c r="AT85" s="254">
        <v>-2413.7584873336018</v>
      </c>
      <c r="AU85" s="254">
        <v>5718.5517985311981</v>
      </c>
      <c r="AV85" s="254">
        <v>-733.81570763359923</v>
      </c>
      <c r="AW85" s="254">
        <v>4445.2056865311988</v>
      </c>
      <c r="AX85" s="254">
        <v>-2024.6526406400008</v>
      </c>
      <c r="AY85" s="254">
        <v>2473.7163787280006</v>
      </c>
      <c r="BA85" s="170"/>
      <c r="BB85" s="170"/>
    </row>
    <row r="86" spans="2:54">
      <c r="B86" s="237">
        <v>10258</v>
      </c>
      <c r="C86" s="237" t="s">
        <v>89</v>
      </c>
      <c r="D86" s="254">
        <v>-1592.6822081896007</v>
      </c>
      <c r="E86" s="254">
        <v>4.9271334464010579</v>
      </c>
      <c r="F86" s="254">
        <v>-2941.2605689775992</v>
      </c>
      <c r="G86" s="254">
        <v>704.02925594379849</v>
      </c>
      <c r="H86" s="254">
        <v>6189.6701533375963</v>
      </c>
      <c r="I86" s="254">
        <v>7286.0054733191992</v>
      </c>
      <c r="J86" s="254">
        <v>10147.575352537599</v>
      </c>
      <c r="K86" s="254">
        <v>9585.8147157192016</v>
      </c>
      <c r="L86" s="254">
        <v>4351.6669361992026</v>
      </c>
      <c r="M86" s="254">
        <v>4974.0632572408012</v>
      </c>
      <c r="N86" s="254">
        <v>1721.131914052803</v>
      </c>
      <c r="O86" s="254">
        <v>3419.1365853217994</v>
      </c>
      <c r="P86" s="254">
        <v>504.56886879520061</v>
      </c>
      <c r="Q86" s="254">
        <v>1375.3480239887995</v>
      </c>
      <c r="R86" s="254">
        <v>-7387.1256928200019</v>
      </c>
      <c r="S86" s="254">
        <v>-2894.4644050232</v>
      </c>
      <c r="T86" s="254">
        <v>-12336.403824904799</v>
      </c>
      <c r="U86" s="254">
        <v>-6299.9097972111995</v>
      </c>
      <c r="V86" s="254">
        <v>-4052.8484359048016</v>
      </c>
      <c r="W86" s="254">
        <v>606.65861236159981</v>
      </c>
      <c r="X86" s="254">
        <v>-2793.2045388047991</v>
      </c>
      <c r="Y86" s="254">
        <v>688.59459636159954</v>
      </c>
      <c r="Z86" s="254">
        <v>-4543.9688915200004</v>
      </c>
      <c r="AA86" s="254">
        <v>-1120.6819858959989</v>
      </c>
      <c r="AB86" s="254">
        <v>-1475.8642081895978</v>
      </c>
      <c r="AC86" s="254">
        <v>79.308133446400461</v>
      </c>
      <c r="AD86" s="254">
        <v>-2833.2325689776007</v>
      </c>
      <c r="AE86" s="254">
        <v>784.08325594379858</v>
      </c>
      <c r="AF86" s="254">
        <v>6288.5961533375958</v>
      </c>
      <c r="AG86" s="254">
        <v>7359.780473319197</v>
      </c>
      <c r="AH86" s="254">
        <v>10246.487352537599</v>
      </c>
      <c r="AI86" s="254">
        <v>9658.4657157191996</v>
      </c>
      <c r="AJ86" s="254">
        <v>5064.8370544455993</v>
      </c>
      <c r="AK86" s="254">
        <v>5351.7813163639985</v>
      </c>
      <c r="AL86" s="254">
        <v>1830.5009140528018</v>
      </c>
      <c r="AM86" s="254">
        <v>3495.5945853218</v>
      </c>
      <c r="AN86" s="254">
        <v>800.58786879520085</v>
      </c>
      <c r="AO86" s="254">
        <v>1270.7190239887987</v>
      </c>
      <c r="AP86" s="254">
        <v>-7454.7496928200017</v>
      </c>
      <c r="AQ86" s="254">
        <v>-2631.0514050231995</v>
      </c>
      <c r="AR86" s="254">
        <v>-12214.688824904799</v>
      </c>
      <c r="AS86" s="254">
        <v>-6225.1367972112002</v>
      </c>
      <c r="AT86" s="254">
        <v>-3939.0244359048011</v>
      </c>
      <c r="AU86" s="254">
        <v>681.81861236159966</v>
      </c>
      <c r="AV86" s="254">
        <v>-2676.1125388047985</v>
      </c>
      <c r="AW86" s="254">
        <v>759.85359636159956</v>
      </c>
      <c r="AX86" s="254">
        <v>-4430.1258915200015</v>
      </c>
      <c r="AY86" s="254">
        <v>-1039.5659858959989</v>
      </c>
      <c r="BA86" s="170"/>
      <c r="BB86" s="170"/>
    </row>
    <row r="87" spans="2:54">
      <c r="B87" s="237">
        <v>10259</v>
      </c>
      <c r="C87" s="237" t="s">
        <v>90</v>
      </c>
      <c r="D87" s="254">
        <v>834.6924328355999</v>
      </c>
      <c r="E87" s="254">
        <v>1288.7743660895994</v>
      </c>
      <c r="F87" s="254">
        <v>-1140.1025347464001</v>
      </c>
      <c r="G87" s="254">
        <v>678.65149855569871</v>
      </c>
      <c r="H87" s="254">
        <v>3060.1665192863984</v>
      </c>
      <c r="I87" s="254">
        <v>3519.8957517387989</v>
      </c>
      <c r="J87" s="254">
        <v>5117.9385780863977</v>
      </c>
      <c r="K87" s="254">
        <v>5060.9868353388001</v>
      </c>
      <c r="L87" s="254">
        <v>2719.1392100588018</v>
      </c>
      <c r="M87" s="254">
        <v>2657.440312101201</v>
      </c>
      <c r="N87" s="254">
        <v>1985.608650919201</v>
      </c>
      <c r="O87" s="254">
        <v>2179.6300710227006</v>
      </c>
      <c r="P87" s="254">
        <v>2426.3386177528009</v>
      </c>
      <c r="Q87" s="254">
        <v>2112.8889766231996</v>
      </c>
      <c r="R87" s="254">
        <v>-2287.7912352300009</v>
      </c>
      <c r="S87" s="254">
        <v>184.4203195052005</v>
      </c>
      <c r="T87" s="254">
        <v>-5094.0597827972015</v>
      </c>
      <c r="U87" s="254">
        <v>-2085.3711151768011</v>
      </c>
      <c r="V87" s="254">
        <v>-1321.5589992972</v>
      </c>
      <c r="W87" s="254">
        <v>1786.8435350223999</v>
      </c>
      <c r="X87" s="254">
        <v>-286.6767736471993</v>
      </c>
      <c r="Y87" s="254">
        <v>1402.3117110223993</v>
      </c>
      <c r="Z87" s="254">
        <v>-750.39539328000137</v>
      </c>
      <c r="AA87" s="254">
        <v>760.36077235599987</v>
      </c>
      <c r="AB87" s="254">
        <v>1012.2714328355996</v>
      </c>
      <c r="AC87" s="254">
        <v>1395.8173660896</v>
      </c>
      <c r="AD87" s="254">
        <v>-971.85153474639992</v>
      </c>
      <c r="AE87" s="254">
        <v>796.44549855569858</v>
      </c>
      <c r="AF87" s="254">
        <v>3231.6355192863994</v>
      </c>
      <c r="AG87" s="254">
        <v>3641.3947517387987</v>
      </c>
      <c r="AH87" s="254">
        <v>5288.9035780863978</v>
      </c>
      <c r="AI87" s="254">
        <v>5182.8718353388003</v>
      </c>
      <c r="AJ87" s="254">
        <v>3320.5094933483997</v>
      </c>
      <c r="AK87" s="254">
        <v>2986.5574537460006</v>
      </c>
      <c r="AL87" s="254">
        <v>2159.7086509192013</v>
      </c>
      <c r="AM87" s="254">
        <v>2292.4900710226993</v>
      </c>
      <c r="AN87" s="254">
        <v>2598.5136177528002</v>
      </c>
      <c r="AO87" s="254">
        <v>2224.1739766232004</v>
      </c>
      <c r="AP87" s="254">
        <v>-2118.6692352299997</v>
      </c>
      <c r="AQ87" s="254">
        <v>297.85631950520019</v>
      </c>
      <c r="AR87" s="254">
        <v>-4916.490782797202</v>
      </c>
      <c r="AS87" s="254">
        <v>-1979.2761151768009</v>
      </c>
      <c r="AT87" s="254">
        <v>-1147.1129992972001</v>
      </c>
      <c r="AU87" s="254">
        <v>1898.4695350223992</v>
      </c>
      <c r="AV87" s="254">
        <v>-104.91377364720029</v>
      </c>
      <c r="AW87" s="254">
        <v>1506.6787110223995</v>
      </c>
      <c r="AX87" s="254">
        <v>-581.64939328000037</v>
      </c>
      <c r="AY87" s="254">
        <v>873.76577235599962</v>
      </c>
      <c r="BA87" s="170"/>
      <c r="BB87" s="170"/>
    </row>
    <row r="88" spans="2:54">
      <c r="B88" s="237">
        <v>10260</v>
      </c>
      <c r="C88" s="237" t="s">
        <v>91</v>
      </c>
      <c r="D88" s="254">
        <v>-719.33428067479872</v>
      </c>
      <c r="E88" s="254">
        <v>-5.7310545567988811</v>
      </c>
      <c r="F88" s="254">
        <v>-3158.5006759687985</v>
      </c>
      <c r="G88" s="254">
        <v>-1159.4923829131012</v>
      </c>
      <c r="H88" s="254">
        <v>85.053421148797497</v>
      </c>
      <c r="I88" s="254">
        <v>937.12118931960049</v>
      </c>
      <c r="J88" s="254">
        <v>2860.7321807488006</v>
      </c>
      <c r="K88" s="254">
        <v>2889.6003305196018</v>
      </c>
      <c r="L88" s="254">
        <v>1629.4214447596005</v>
      </c>
      <c r="M88" s="254">
        <v>1477.6352639604011</v>
      </c>
      <c r="N88" s="254">
        <v>321.07635746640153</v>
      </c>
      <c r="O88" s="254">
        <v>560.62029742590039</v>
      </c>
      <c r="P88" s="254">
        <v>755.88322435759983</v>
      </c>
      <c r="Q88" s="254">
        <v>605.86899523440024</v>
      </c>
      <c r="R88" s="254">
        <v>-3648.2729949099994</v>
      </c>
      <c r="S88" s="254">
        <v>-1344.7146693715995</v>
      </c>
      <c r="T88" s="254">
        <v>-6077.1914449923988</v>
      </c>
      <c r="U88" s="254">
        <v>-3112.2519253655992</v>
      </c>
      <c r="V88" s="254">
        <v>-1600.1809254923992</v>
      </c>
      <c r="W88" s="254">
        <v>995.63647586079969</v>
      </c>
      <c r="X88" s="254">
        <v>-961.67570944239924</v>
      </c>
      <c r="Y88" s="254">
        <v>389.61966786079938</v>
      </c>
      <c r="Z88" s="254">
        <v>-1855.6355417600007</v>
      </c>
      <c r="AA88" s="254">
        <v>-439.22345874799976</v>
      </c>
      <c r="AB88" s="254">
        <v>-756.63128067480102</v>
      </c>
      <c r="AC88" s="254">
        <v>-39.267054556799849</v>
      </c>
      <c r="AD88" s="254">
        <v>-3155.1096759687989</v>
      </c>
      <c r="AE88" s="254">
        <v>-1217.0653829131006</v>
      </c>
      <c r="AF88" s="254">
        <v>38.248421148799025</v>
      </c>
      <c r="AG88" s="254">
        <v>941.54918931959855</v>
      </c>
      <c r="AH88" s="254">
        <v>2871.2481807488002</v>
      </c>
      <c r="AI88" s="254">
        <v>2838.1193305196002</v>
      </c>
      <c r="AJ88" s="254">
        <v>2053.5004226027995</v>
      </c>
      <c r="AK88" s="254">
        <v>1678.2867528819997</v>
      </c>
      <c r="AL88" s="254">
        <v>263.65435746640105</v>
      </c>
      <c r="AM88" s="254">
        <v>559.49329742589998</v>
      </c>
      <c r="AN88" s="254">
        <v>720.84622435760139</v>
      </c>
      <c r="AO88" s="254">
        <v>574.89899523439908</v>
      </c>
      <c r="AP88" s="254">
        <v>-3681.5249949099998</v>
      </c>
      <c r="AQ88" s="254">
        <v>-1383.6976693715987</v>
      </c>
      <c r="AR88" s="254">
        <v>-6109.6254449923981</v>
      </c>
      <c r="AS88" s="254">
        <v>-3143.7899253655996</v>
      </c>
      <c r="AT88" s="254">
        <v>-1626.0679254923998</v>
      </c>
      <c r="AU88" s="254">
        <v>965.18747586080008</v>
      </c>
      <c r="AV88" s="254">
        <v>-986.35770944239994</v>
      </c>
      <c r="AW88" s="254">
        <v>356.27866786079994</v>
      </c>
      <c r="AX88" s="254">
        <v>-1889.2795417600009</v>
      </c>
      <c r="AY88" s="254">
        <v>-473.25945874799982</v>
      </c>
      <c r="BA88" s="170"/>
      <c r="BB88" s="170"/>
    </row>
    <row r="89" spans="2:54">
      <c r="B89" s="237">
        <v>10273</v>
      </c>
      <c r="C89" s="237" t="s">
        <v>92</v>
      </c>
      <c r="D89" s="254">
        <v>-322.56765512639959</v>
      </c>
      <c r="E89" s="254">
        <v>-52.146105702399836</v>
      </c>
      <c r="F89" s="254">
        <v>-1613.1176773184</v>
      </c>
      <c r="G89" s="254">
        <v>-670.95812412080022</v>
      </c>
      <c r="H89" s="254">
        <v>-900.02071644159969</v>
      </c>
      <c r="I89" s="254">
        <v>-337.53732678720007</v>
      </c>
      <c r="J89" s="254">
        <v>-389.29458364160064</v>
      </c>
      <c r="K89" s="254">
        <v>36.567834812800129</v>
      </c>
      <c r="L89" s="254">
        <v>-740.71328486719972</v>
      </c>
      <c r="M89" s="254">
        <v>-218.75038617279984</v>
      </c>
      <c r="N89" s="254">
        <v>-1219.7847299647997</v>
      </c>
      <c r="O89" s="254">
        <v>-450.59711036880003</v>
      </c>
      <c r="P89" s="254">
        <v>-209.12737480319993</v>
      </c>
      <c r="Q89" s="254">
        <v>-24.788543340800061</v>
      </c>
      <c r="R89" s="254">
        <v>40.947063120000166</v>
      </c>
      <c r="S89" s="254">
        <v>244.98353565120033</v>
      </c>
      <c r="T89" s="254">
        <v>2.3554543967998143</v>
      </c>
      <c r="U89" s="254">
        <v>539.88907585920015</v>
      </c>
      <c r="V89" s="254">
        <v>1506.8241303967998</v>
      </c>
      <c r="W89" s="254">
        <v>1807.8706095743999</v>
      </c>
      <c r="X89" s="254">
        <v>1620.1141867967999</v>
      </c>
      <c r="Y89" s="254">
        <v>1429.9912655744001</v>
      </c>
      <c r="Z89" s="254">
        <v>451.23247231999994</v>
      </c>
      <c r="AA89" s="254">
        <v>927.60351273600008</v>
      </c>
      <c r="AB89" s="254">
        <v>-342.95965512639987</v>
      </c>
      <c r="AC89" s="254">
        <v>-80.632105702400168</v>
      </c>
      <c r="AD89" s="254">
        <v>-1706.8176773184</v>
      </c>
      <c r="AE89" s="254">
        <v>-820.06512412080008</v>
      </c>
      <c r="AF89" s="254">
        <v>-1075.5867164415999</v>
      </c>
      <c r="AG89" s="254">
        <v>-412.8043267871999</v>
      </c>
      <c r="AH89" s="254">
        <v>-488.4105836416004</v>
      </c>
      <c r="AI89" s="254">
        <v>-115.15116518719992</v>
      </c>
      <c r="AJ89" s="254">
        <v>-740.61806736960034</v>
      </c>
      <c r="AK89" s="254">
        <v>-251.03927742399992</v>
      </c>
      <c r="AL89" s="254">
        <v>-1400.9697299647994</v>
      </c>
      <c r="AM89" s="254">
        <v>-519.89611036879978</v>
      </c>
      <c r="AN89" s="254">
        <v>-206.15437480319952</v>
      </c>
      <c r="AO89" s="254">
        <v>-35.367543340799784</v>
      </c>
      <c r="AP89" s="254">
        <v>180.9040631200005</v>
      </c>
      <c r="AQ89" s="254">
        <v>304.72953565119997</v>
      </c>
      <c r="AR89" s="254">
        <v>149.51745439680053</v>
      </c>
      <c r="AS89" s="254">
        <v>653.15707585920018</v>
      </c>
      <c r="AT89" s="254">
        <v>1702.6961303968001</v>
      </c>
      <c r="AU89" s="254">
        <v>1949.9316095744005</v>
      </c>
      <c r="AV89" s="254">
        <v>1772.396186796801</v>
      </c>
      <c r="AW89" s="254">
        <v>1511.8342655744004</v>
      </c>
      <c r="AX89" s="254">
        <v>512.03947232000064</v>
      </c>
      <c r="AY89" s="254">
        <v>1026.7185127359999</v>
      </c>
      <c r="BA89" s="170"/>
      <c r="BB89" s="170"/>
    </row>
    <row r="90" spans="2:54">
      <c r="B90" s="237">
        <v>10278</v>
      </c>
      <c r="C90" s="237" t="s">
        <v>93</v>
      </c>
      <c r="D90" s="254">
        <v>0</v>
      </c>
      <c r="E90" s="254">
        <v>0</v>
      </c>
      <c r="F90" s="254">
        <v>0</v>
      </c>
      <c r="G90" s="254">
        <v>0</v>
      </c>
      <c r="H90" s="254">
        <v>0</v>
      </c>
      <c r="I90" s="254">
        <v>0</v>
      </c>
      <c r="J90" s="254">
        <v>0</v>
      </c>
      <c r="K90" s="254">
        <v>0</v>
      </c>
      <c r="L90" s="254">
        <v>0</v>
      </c>
      <c r="M90" s="254">
        <v>0</v>
      </c>
      <c r="N90" s="254">
        <v>0</v>
      </c>
      <c r="O90" s="254">
        <v>0</v>
      </c>
      <c r="P90" s="254">
        <v>0</v>
      </c>
      <c r="Q90" s="254">
        <v>0</v>
      </c>
      <c r="R90" s="254">
        <v>0</v>
      </c>
      <c r="S90" s="254">
        <v>0</v>
      </c>
      <c r="T90" s="254">
        <v>0</v>
      </c>
      <c r="U90" s="254">
        <v>0</v>
      </c>
      <c r="V90" s="254">
        <v>0</v>
      </c>
      <c r="W90" s="254">
        <v>0</v>
      </c>
      <c r="X90" s="254">
        <v>0</v>
      </c>
      <c r="Y90" s="254">
        <v>0</v>
      </c>
      <c r="Z90" s="254">
        <v>0</v>
      </c>
      <c r="AA90" s="254">
        <v>0</v>
      </c>
      <c r="AB90" s="254">
        <v>0</v>
      </c>
      <c r="AC90" s="254">
        <v>0</v>
      </c>
      <c r="AD90" s="254">
        <v>0</v>
      </c>
      <c r="AE90" s="254">
        <v>0</v>
      </c>
      <c r="AF90" s="254">
        <v>0</v>
      </c>
      <c r="AG90" s="254">
        <v>0</v>
      </c>
      <c r="AH90" s="254">
        <v>0</v>
      </c>
      <c r="AI90" s="254">
        <v>0</v>
      </c>
      <c r="AJ90" s="254">
        <v>0</v>
      </c>
      <c r="AK90" s="254">
        <v>0</v>
      </c>
      <c r="AL90" s="254">
        <v>0</v>
      </c>
      <c r="AM90" s="254">
        <v>0</v>
      </c>
      <c r="AN90" s="254">
        <v>0</v>
      </c>
      <c r="AO90" s="254">
        <v>0</v>
      </c>
      <c r="AP90" s="254">
        <v>0</v>
      </c>
      <c r="AQ90" s="254">
        <v>0</v>
      </c>
      <c r="AR90" s="254">
        <v>0</v>
      </c>
      <c r="AS90" s="254">
        <v>0</v>
      </c>
      <c r="AT90" s="254">
        <v>0</v>
      </c>
      <c r="AU90" s="254">
        <v>0</v>
      </c>
      <c r="AV90" s="254">
        <v>0</v>
      </c>
      <c r="AW90" s="254">
        <v>0</v>
      </c>
      <c r="AX90" s="254">
        <v>0</v>
      </c>
      <c r="AY90" s="254">
        <v>0</v>
      </c>
      <c r="BA90" s="170"/>
      <c r="BB90" s="170"/>
    </row>
    <row r="91" spans="2:54">
      <c r="B91" s="237">
        <v>10279</v>
      </c>
      <c r="C91" s="237" t="s">
        <v>94</v>
      </c>
      <c r="D91" s="254">
        <v>-9061.8196733479999</v>
      </c>
      <c r="E91" s="254">
        <v>-384.79633116799232</v>
      </c>
      <c r="F91" s="254">
        <v>-12704.991599287998</v>
      </c>
      <c r="G91" s="254">
        <v>-4929.9206355809947</v>
      </c>
      <c r="H91" s="254">
        <v>-6381.201138911998</v>
      </c>
      <c r="I91" s="254">
        <v>-3128.8382586040025</v>
      </c>
      <c r="J91" s="254">
        <v>-2589.6443429120009</v>
      </c>
      <c r="K91" s="254">
        <v>4747.8075533959964</v>
      </c>
      <c r="L91" s="254">
        <v>-1845.209224203998</v>
      </c>
      <c r="M91" s="254">
        <v>1076.3165514039956</v>
      </c>
      <c r="N91" s="254">
        <v>-5191.0718865359995</v>
      </c>
      <c r="O91" s="254">
        <v>-2303.4385316909975</v>
      </c>
      <c r="P91" s="254">
        <v>-3004.8026872240043</v>
      </c>
      <c r="Q91" s="254">
        <v>-1169.1127528559955</v>
      </c>
      <c r="R91" s="254">
        <v>-13780.290794100001</v>
      </c>
      <c r="S91" s="254">
        <v>-2752.8064759160006</v>
      </c>
      <c r="T91" s="254">
        <v>-20093.927205724001</v>
      </c>
      <c r="U91" s="254">
        <v>-9555.7616588560013</v>
      </c>
      <c r="V91" s="254">
        <v>-12727.698760724001</v>
      </c>
      <c r="W91" s="254">
        <v>1102.867812208</v>
      </c>
      <c r="X91" s="254">
        <v>-9231.1191252239987</v>
      </c>
      <c r="Y91" s="254">
        <v>-1808.2772677920038</v>
      </c>
      <c r="Z91" s="254">
        <v>-8190.359337599999</v>
      </c>
      <c r="AA91" s="254">
        <v>-2722.4022534800006</v>
      </c>
      <c r="AB91" s="254">
        <v>-11325.662673348001</v>
      </c>
      <c r="AC91" s="254">
        <v>-1991.5773311679986</v>
      </c>
      <c r="AD91" s="254">
        <v>-14350.120599287999</v>
      </c>
      <c r="AE91" s="254">
        <v>-7036.2846355810034</v>
      </c>
      <c r="AF91" s="254">
        <v>-8840.6211389120072</v>
      </c>
      <c r="AG91" s="254">
        <v>-4540.2882586039996</v>
      </c>
      <c r="AH91" s="254">
        <v>-4343.7433429120065</v>
      </c>
      <c r="AI91" s="254">
        <v>2634.2935533959972</v>
      </c>
      <c r="AJ91" s="254">
        <v>-2557.8004313719939</v>
      </c>
      <c r="AK91" s="254">
        <v>317.46494782000082</v>
      </c>
      <c r="AL91" s="254">
        <v>-7761.1668865359934</v>
      </c>
      <c r="AM91" s="254">
        <v>-3598.0475316909979</v>
      </c>
      <c r="AN91" s="254">
        <v>-7104.5056872240057</v>
      </c>
      <c r="AO91" s="254">
        <v>-814.94975285599867</v>
      </c>
      <c r="AP91" s="254">
        <v>-14006.957794099995</v>
      </c>
      <c r="AQ91" s="254">
        <v>-6395.5914759160005</v>
      </c>
      <c r="AR91" s="254">
        <v>-22271.350205724004</v>
      </c>
      <c r="AS91" s="254">
        <v>-11124.099658855997</v>
      </c>
      <c r="AT91" s="254">
        <v>-14906.117760723995</v>
      </c>
      <c r="AU91" s="254">
        <v>-586.85518779199811</v>
      </c>
      <c r="AV91" s="254">
        <v>-11374.649125224016</v>
      </c>
      <c r="AW91" s="254">
        <v>-3533.8522677920082</v>
      </c>
      <c r="AX91" s="254">
        <v>-10269.133337600004</v>
      </c>
      <c r="AY91" s="254">
        <v>-4387.6522534800006</v>
      </c>
      <c r="BA91" s="170"/>
      <c r="BB91" s="170"/>
    </row>
    <row r="92" spans="2:54">
      <c r="B92" s="237">
        <v>10284</v>
      </c>
      <c r="C92" s="237" t="s">
        <v>95</v>
      </c>
      <c r="D92" s="254">
        <v>220.22733526560023</v>
      </c>
      <c r="E92" s="254">
        <v>915.10337096960029</v>
      </c>
      <c r="F92" s="254">
        <v>73.65830183360049</v>
      </c>
      <c r="G92" s="254">
        <v>667.23168345320028</v>
      </c>
      <c r="H92" s="254">
        <v>1767.7218072064006</v>
      </c>
      <c r="I92" s="254">
        <v>1635.3264386288001</v>
      </c>
      <c r="J92" s="254">
        <v>2449.6097560063999</v>
      </c>
      <c r="K92" s="254">
        <v>2668.8863522287998</v>
      </c>
      <c r="L92" s="254">
        <v>1707.3417429487999</v>
      </c>
      <c r="M92" s="254">
        <v>1577.5474772112002</v>
      </c>
      <c r="N92" s="254">
        <v>1028.0681701792009</v>
      </c>
      <c r="O92" s="254">
        <v>1081.3310091451999</v>
      </c>
      <c r="P92" s="254">
        <v>1126.4606600928005</v>
      </c>
      <c r="Q92" s="254">
        <v>1038.1288020832003</v>
      </c>
      <c r="R92" s="254">
        <v>-1714.3252354799997</v>
      </c>
      <c r="S92" s="254">
        <v>-277.30026168479981</v>
      </c>
      <c r="T92" s="254">
        <v>-2815.7428117071995</v>
      </c>
      <c r="U92" s="254">
        <v>-1269.8264547168001</v>
      </c>
      <c r="V92" s="254">
        <v>-1957.6381657071997</v>
      </c>
      <c r="W92" s="254">
        <v>-88.147851257599996</v>
      </c>
      <c r="X92" s="254">
        <v>-1458.8375263072003</v>
      </c>
      <c r="Y92" s="254">
        <v>-300.18587525759995</v>
      </c>
      <c r="Z92" s="254">
        <v>-1103.0327772800001</v>
      </c>
      <c r="AA92" s="254">
        <v>-295.14250334399958</v>
      </c>
      <c r="AB92" s="254">
        <v>248.46364372239987</v>
      </c>
      <c r="AC92" s="254">
        <v>936.03681843840013</v>
      </c>
      <c r="AD92" s="254">
        <v>100.86398729439952</v>
      </c>
      <c r="AE92" s="254">
        <v>687.28539145779951</v>
      </c>
      <c r="AF92" s="254">
        <v>1795.3849678655997</v>
      </c>
      <c r="AG92" s="254">
        <v>1654.8858376951998</v>
      </c>
      <c r="AH92" s="254">
        <v>2473.9249430656</v>
      </c>
      <c r="AI92" s="254">
        <v>2688.4689520951997</v>
      </c>
      <c r="AJ92" s="254">
        <v>1888.0814542135995</v>
      </c>
      <c r="AK92" s="254">
        <v>1672.7332232839999</v>
      </c>
      <c r="AL92" s="254">
        <v>1048.5707388368</v>
      </c>
      <c r="AM92" s="254">
        <v>1095.3585341757998</v>
      </c>
      <c r="AN92" s="254">
        <v>945.51364145119987</v>
      </c>
      <c r="AO92" s="254">
        <v>1250.2329308528001</v>
      </c>
      <c r="AP92" s="254">
        <v>-1563.3645574200009</v>
      </c>
      <c r="AQ92" s="254">
        <v>-403.66509651919978</v>
      </c>
      <c r="AR92" s="254">
        <v>-2804.9436632488</v>
      </c>
      <c r="AS92" s="254">
        <v>-1262.7113263472002</v>
      </c>
      <c r="AT92" s="254">
        <v>-1949.3686042488002</v>
      </c>
      <c r="AU92" s="254">
        <v>-81.046346390400231</v>
      </c>
      <c r="AV92" s="254">
        <v>-1452.1433941488003</v>
      </c>
      <c r="AW92" s="254">
        <v>-295.88784239040046</v>
      </c>
      <c r="AX92" s="254">
        <v>-1099.0165171200006</v>
      </c>
      <c r="AY92" s="254">
        <v>-292.02458677599998</v>
      </c>
      <c r="BA92" s="170"/>
      <c r="BB92" s="170"/>
    </row>
    <row r="93" spans="2:54">
      <c r="B93" s="237">
        <v>10285</v>
      </c>
      <c r="C93" s="237" t="s">
        <v>96</v>
      </c>
      <c r="D93" s="254">
        <v>0</v>
      </c>
      <c r="E93" s="254">
        <v>0</v>
      </c>
      <c r="F93" s="254">
        <v>0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0</v>
      </c>
      <c r="P93" s="254">
        <v>0</v>
      </c>
      <c r="Q93" s="254">
        <v>0</v>
      </c>
      <c r="R93" s="254">
        <v>0</v>
      </c>
      <c r="S93" s="254">
        <v>0</v>
      </c>
      <c r="T93" s="254">
        <v>0</v>
      </c>
      <c r="U93" s="254">
        <v>0</v>
      </c>
      <c r="V93" s="254">
        <v>0</v>
      </c>
      <c r="W93" s="254">
        <v>0</v>
      </c>
      <c r="X93" s="254">
        <v>0</v>
      </c>
      <c r="Y93" s="254">
        <v>0</v>
      </c>
      <c r="Z93" s="254">
        <v>0</v>
      </c>
      <c r="AA93" s="254">
        <v>0</v>
      </c>
      <c r="AB93" s="254">
        <v>0</v>
      </c>
      <c r="AC93" s="254">
        <v>0</v>
      </c>
      <c r="AD93" s="254">
        <v>0</v>
      </c>
      <c r="AE93" s="254">
        <v>0</v>
      </c>
      <c r="AF93" s="254">
        <v>0</v>
      </c>
      <c r="AG93" s="254">
        <v>0</v>
      </c>
      <c r="AH93" s="254">
        <v>0</v>
      </c>
      <c r="AI93" s="254">
        <v>0</v>
      </c>
      <c r="AJ93" s="254">
        <v>0</v>
      </c>
      <c r="AK93" s="254">
        <v>0</v>
      </c>
      <c r="AL93" s="254">
        <v>0</v>
      </c>
      <c r="AM93" s="254">
        <v>0</v>
      </c>
      <c r="AN93" s="254">
        <v>0</v>
      </c>
      <c r="AO93" s="254">
        <v>0</v>
      </c>
      <c r="AP93" s="254">
        <v>0</v>
      </c>
      <c r="AQ93" s="254">
        <v>0</v>
      </c>
      <c r="AR93" s="254">
        <v>0</v>
      </c>
      <c r="AS93" s="254">
        <v>0</v>
      </c>
      <c r="AT93" s="254">
        <v>0</v>
      </c>
      <c r="AU93" s="254">
        <v>0</v>
      </c>
      <c r="AV93" s="254">
        <v>0</v>
      </c>
      <c r="AW93" s="254">
        <v>0</v>
      </c>
      <c r="AX93" s="254">
        <v>0</v>
      </c>
      <c r="AY93" s="254">
        <v>0</v>
      </c>
      <c r="BA93" s="170"/>
      <c r="BB93" s="170"/>
    </row>
    <row r="94" spans="2:54">
      <c r="B94" s="237">
        <v>10286</v>
      </c>
      <c r="C94" s="237" t="s">
        <v>97</v>
      </c>
      <c r="D94" s="254">
        <v>-1627.3510994333265</v>
      </c>
      <c r="E94" s="254">
        <v>2497.622368798151</v>
      </c>
      <c r="F94" s="254">
        <v>-4767.9379827423618</v>
      </c>
      <c r="G94" s="254">
        <v>1134.2866413555494</v>
      </c>
      <c r="H94" s="254">
        <v>2270.5402194774797</v>
      </c>
      <c r="I94" s="254">
        <v>7794.1827142873371</v>
      </c>
      <c r="J94" s="254">
        <v>9648.0744851290983</v>
      </c>
      <c r="K94" s="254">
        <v>11500.490330235731</v>
      </c>
      <c r="L94" s="254">
        <v>6951.6294808994826</v>
      </c>
      <c r="M94" s="254">
        <v>7925.5634749405272</v>
      </c>
      <c r="N94" s="254">
        <v>3913.5760192808193</v>
      </c>
      <c r="O94" s="254">
        <v>7367.3950830947651</v>
      </c>
      <c r="P94" s="254">
        <v>244.67744790719917</v>
      </c>
      <c r="Q94" s="254">
        <v>2473.9946499167982</v>
      </c>
      <c r="R94" s="254">
        <v>-10684.833144842603</v>
      </c>
      <c r="S94" s="254">
        <v>-1997.0409963926359</v>
      </c>
      <c r="T94" s="254">
        <v>-19964.343439092801</v>
      </c>
      <c r="U94" s="254">
        <v>-9124.2982804831991</v>
      </c>
      <c r="V94" s="254">
        <v>-5982.6408283443961</v>
      </c>
      <c r="W94" s="254">
        <v>3316.5643569092263</v>
      </c>
      <c r="X94" s="254">
        <v>-9512.5827807121696</v>
      </c>
      <c r="Y94" s="254">
        <v>135.32611587694373</v>
      </c>
      <c r="Z94" s="254">
        <v>-4528.9891827200008</v>
      </c>
      <c r="AA94" s="254">
        <v>1018.2402753440001</v>
      </c>
      <c r="AB94" s="254">
        <v>-1676.3543365946462</v>
      </c>
      <c r="AC94" s="254">
        <v>2462.2311419594207</v>
      </c>
      <c r="AD94" s="254">
        <v>-5583.7141442957582</v>
      </c>
      <c r="AE94" s="254">
        <v>1855.8040509089478</v>
      </c>
      <c r="AF94" s="254">
        <v>3224.2059123806976</v>
      </c>
      <c r="AG94" s="254">
        <v>6710.0892133841044</v>
      </c>
      <c r="AH94" s="254">
        <v>8440.7657739032766</v>
      </c>
      <c r="AI94" s="254">
        <v>12564.218849461522</v>
      </c>
      <c r="AJ94" s="254">
        <v>7472.3937760816007</v>
      </c>
      <c r="AK94" s="254">
        <v>8382.4539017040006</v>
      </c>
      <c r="AL94" s="254">
        <v>4769.7023985217274</v>
      </c>
      <c r="AM94" s="254">
        <v>6393.9932798538466</v>
      </c>
      <c r="AN94" s="254">
        <v>199.71577964054632</v>
      </c>
      <c r="AO94" s="254">
        <v>2441.138046183476</v>
      </c>
      <c r="AP94" s="254">
        <v>-10717.242693229682</v>
      </c>
      <c r="AQ94" s="254">
        <v>-2024.9132080055242</v>
      </c>
      <c r="AR94" s="254">
        <v>-19988.407430559455</v>
      </c>
      <c r="AS94" s="254">
        <v>-9141.8835050165217</v>
      </c>
      <c r="AT94" s="254">
        <v>-6031.6676360863312</v>
      </c>
      <c r="AU94" s="254">
        <v>3277.9086046511638</v>
      </c>
      <c r="AV94" s="254">
        <v>-9549.9657216153646</v>
      </c>
      <c r="AW94" s="254">
        <v>105.85110478019305</v>
      </c>
      <c r="AX94" s="254">
        <v>-4569.7859293866804</v>
      </c>
      <c r="AY94" s="254">
        <v>985.60287801065533</v>
      </c>
      <c r="BA94" s="170"/>
      <c r="BB94" s="170"/>
    </row>
    <row r="95" spans="2:54">
      <c r="B95" s="237">
        <v>10288</v>
      </c>
      <c r="C95" s="237" t="s">
        <v>98</v>
      </c>
      <c r="D95" s="254">
        <v>0</v>
      </c>
      <c r="E95" s="254">
        <v>0</v>
      </c>
      <c r="F95" s="254">
        <v>0</v>
      </c>
      <c r="G95" s="254">
        <v>0</v>
      </c>
      <c r="H95" s="254">
        <v>0</v>
      </c>
      <c r="I95" s="254">
        <v>0</v>
      </c>
      <c r="J95" s="254">
        <v>0</v>
      </c>
      <c r="K95" s="254">
        <v>0</v>
      </c>
      <c r="L95" s="254">
        <v>0</v>
      </c>
      <c r="M95" s="254">
        <v>0</v>
      </c>
      <c r="N95" s="254">
        <v>0</v>
      </c>
      <c r="O95" s="254">
        <v>0</v>
      </c>
      <c r="P95" s="254">
        <v>0</v>
      </c>
      <c r="Q95" s="254">
        <v>0</v>
      </c>
      <c r="R95" s="254">
        <v>0</v>
      </c>
      <c r="S95" s="254">
        <v>0</v>
      </c>
      <c r="T95" s="254">
        <v>0</v>
      </c>
      <c r="U95" s="254">
        <v>0</v>
      </c>
      <c r="V95" s="254">
        <v>0</v>
      </c>
      <c r="W95" s="254">
        <v>0</v>
      </c>
      <c r="X95" s="254">
        <v>0</v>
      </c>
      <c r="Y95" s="254">
        <v>0</v>
      </c>
      <c r="Z95" s="254">
        <v>0</v>
      </c>
      <c r="AA95" s="254">
        <v>0</v>
      </c>
      <c r="AB95" s="254">
        <v>0</v>
      </c>
      <c r="AC95" s="254">
        <v>0</v>
      </c>
      <c r="AD95" s="254">
        <v>0</v>
      </c>
      <c r="AE95" s="254">
        <v>0</v>
      </c>
      <c r="AF95" s="254">
        <v>0</v>
      </c>
      <c r="AG95" s="254">
        <v>0</v>
      </c>
      <c r="AH95" s="254">
        <v>0</v>
      </c>
      <c r="AI95" s="254">
        <v>0</v>
      </c>
      <c r="AJ95" s="254">
        <v>0</v>
      </c>
      <c r="AK95" s="254">
        <v>0</v>
      </c>
      <c r="AL95" s="254">
        <v>0</v>
      </c>
      <c r="AM95" s="254">
        <v>0</v>
      </c>
      <c r="AN95" s="254">
        <v>0</v>
      </c>
      <c r="AO95" s="254">
        <v>0</v>
      </c>
      <c r="AP95" s="254">
        <v>0</v>
      </c>
      <c r="AQ95" s="254">
        <v>0</v>
      </c>
      <c r="AR95" s="254">
        <v>0</v>
      </c>
      <c r="AS95" s="254">
        <v>0</v>
      </c>
      <c r="AT95" s="254">
        <v>0</v>
      </c>
      <c r="AU95" s="254">
        <v>0</v>
      </c>
      <c r="AV95" s="254">
        <v>0</v>
      </c>
      <c r="AW95" s="254">
        <v>0</v>
      </c>
      <c r="AX95" s="254">
        <v>0</v>
      </c>
      <c r="AY95" s="254">
        <v>0</v>
      </c>
      <c r="BA95" s="170"/>
      <c r="BB95" s="170"/>
    </row>
    <row r="96" spans="2:54">
      <c r="B96" s="237">
        <v>10291</v>
      </c>
      <c r="C96" s="237" t="s">
        <v>99</v>
      </c>
      <c r="D96" s="254">
        <v>-3348.7965694887971</v>
      </c>
      <c r="E96" s="254">
        <v>1614.213777619203</v>
      </c>
      <c r="F96" s="254">
        <v>-9993.8511444527976</v>
      </c>
      <c r="G96" s="254">
        <v>-2843.6865911585992</v>
      </c>
      <c r="H96" s="254">
        <v>568.65171953279787</v>
      </c>
      <c r="I96" s="254">
        <v>2358.1361227976013</v>
      </c>
      <c r="J96" s="254">
        <v>4781.9321571327964</v>
      </c>
      <c r="K96" s="254">
        <v>8426.9863299975987</v>
      </c>
      <c r="L96" s="254">
        <v>3520.7706874376017</v>
      </c>
      <c r="M96" s="254">
        <v>3904.8193808823999</v>
      </c>
      <c r="N96" s="254">
        <v>-786.38362128159497</v>
      </c>
      <c r="O96" s="254">
        <v>785.03297007540095</v>
      </c>
      <c r="P96" s="254">
        <v>3810.9906994256016</v>
      </c>
      <c r="Q96" s="254">
        <v>2796.0883157263997</v>
      </c>
      <c r="R96" s="254">
        <v>-8355.4004174599977</v>
      </c>
      <c r="S96" s="254">
        <v>288.93381129040426</v>
      </c>
      <c r="T96" s="254">
        <v>-15549.500996674396</v>
      </c>
      <c r="U96" s="254">
        <v>-7361.3478878735987</v>
      </c>
      <c r="V96" s="254">
        <v>-5304.056279674398</v>
      </c>
      <c r="W96" s="254">
        <v>5318.3394814048006</v>
      </c>
      <c r="X96" s="254">
        <v>-2147.2595433743991</v>
      </c>
      <c r="Y96" s="254">
        <v>2296.3532334047995</v>
      </c>
      <c r="Z96" s="254">
        <v>-4145.7153785600021</v>
      </c>
      <c r="AA96" s="254">
        <v>-318.04020688799937</v>
      </c>
      <c r="AB96" s="254">
        <v>-2994.1316927651969</v>
      </c>
      <c r="AC96" s="254">
        <v>1824.5001515168005</v>
      </c>
      <c r="AD96" s="254">
        <v>-9615.1111406711971</v>
      </c>
      <c r="AE96" s="254">
        <v>-2606.6753967668992</v>
      </c>
      <c r="AF96" s="254">
        <v>841.28029949119809</v>
      </c>
      <c r="AG96" s="254">
        <v>2527.877173560395</v>
      </c>
      <c r="AH96" s="254">
        <v>4938.2594198911902</v>
      </c>
      <c r="AI96" s="254">
        <v>8534.6903923604004</v>
      </c>
      <c r="AJ96" s="254">
        <v>4965.1531892372004</v>
      </c>
      <c r="AK96" s="254">
        <v>4648.4373767179968</v>
      </c>
      <c r="AL96" s="254">
        <v>-583.75833954639529</v>
      </c>
      <c r="AM96" s="254">
        <v>896.31574209409882</v>
      </c>
      <c r="AN96" s="254">
        <v>2706.3717849224013</v>
      </c>
      <c r="AO96" s="254">
        <v>4196.1562130856</v>
      </c>
      <c r="AP96" s="254">
        <v>-6863.1740530900024</v>
      </c>
      <c r="AQ96" s="254">
        <v>-852.93399910839798</v>
      </c>
      <c r="AR96" s="254">
        <v>-15278.967225727596</v>
      </c>
      <c r="AS96" s="254">
        <v>-7211.3325463143992</v>
      </c>
      <c r="AT96" s="254">
        <v>-5113.1611452275974</v>
      </c>
      <c r="AU96" s="254">
        <v>5414.3603983791982</v>
      </c>
      <c r="AV96" s="254">
        <v>-1988.5099212775967</v>
      </c>
      <c r="AW96" s="254">
        <v>2360.0508063792004</v>
      </c>
      <c r="AX96" s="254">
        <v>-4009.9091862399982</v>
      </c>
      <c r="AY96" s="254">
        <v>-239.58287565199862</v>
      </c>
      <c r="BA96" s="170"/>
      <c r="BB96" s="170"/>
    </row>
    <row r="97" spans="2:54">
      <c r="B97" s="237">
        <v>10294</v>
      </c>
      <c r="C97" s="237" t="s">
        <v>100</v>
      </c>
      <c r="D97" s="254">
        <v>-689.17661922617754</v>
      </c>
      <c r="E97" s="254">
        <v>799.13179285053775</v>
      </c>
      <c r="F97" s="254">
        <v>-780.38054536852087</v>
      </c>
      <c r="G97" s="254">
        <v>1125.2609940617713</v>
      </c>
      <c r="H97" s="254">
        <v>527.55247496523953</v>
      </c>
      <c r="I97" s="254">
        <v>2516.2689390234655</v>
      </c>
      <c r="J97" s="254">
        <v>2249.9339835538267</v>
      </c>
      <c r="K97" s="254">
        <v>3148.685798606517</v>
      </c>
      <c r="L97" s="254">
        <v>1275.31971112888</v>
      </c>
      <c r="M97" s="254">
        <v>1925.8024366024506</v>
      </c>
      <c r="N97" s="254">
        <v>312.33003406192347</v>
      </c>
      <c r="O97" s="254">
        <v>1760.6476646858573</v>
      </c>
      <c r="P97" s="254">
        <v>789.05637741350984</v>
      </c>
      <c r="Q97" s="254">
        <v>1387.0243554752565</v>
      </c>
      <c r="R97" s="254">
        <v>-2582.2483056928813</v>
      </c>
      <c r="S97" s="254">
        <v>318.65027070912311</v>
      </c>
      <c r="T97" s="254">
        <v>-5029.9331002554291</v>
      </c>
      <c r="U97" s="254">
        <v>-1746.0803550231972</v>
      </c>
      <c r="V97" s="254">
        <v>-3484.5616736859301</v>
      </c>
      <c r="W97" s="254">
        <v>89.14664107936278</v>
      </c>
      <c r="X97" s="254">
        <v>-3147.414740969034</v>
      </c>
      <c r="Y97" s="254">
        <v>214.43952528403088</v>
      </c>
      <c r="Z97" s="254">
        <v>-1861.2549853650007</v>
      </c>
      <c r="AA97" s="254">
        <v>149.83288600800006</v>
      </c>
      <c r="AB97" s="254">
        <v>-647.43813402255819</v>
      </c>
      <c r="AC97" s="254">
        <v>840.29301501148575</v>
      </c>
      <c r="AD97" s="254">
        <v>-1039.7624491924225</v>
      </c>
      <c r="AE97" s="254">
        <v>1493.2651666105039</v>
      </c>
      <c r="AF97" s="254">
        <v>956.48386154199034</v>
      </c>
      <c r="AG97" s="254">
        <v>2238.299921672723</v>
      </c>
      <c r="AH97" s="254">
        <v>1979.333278263719</v>
      </c>
      <c r="AI97" s="254">
        <v>3591.3311011315991</v>
      </c>
      <c r="AJ97" s="254">
        <v>1560.403731551738</v>
      </c>
      <c r="AK97" s="254">
        <v>2159.5720241488034</v>
      </c>
      <c r="AL97" s="254">
        <v>661.58005451126974</v>
      </c>
      <c r="AM97" s="254">
        <v>1530.3859123142702</v>
      </c>
      <c r="AN97" s="254">
        <v>845.60977221200392</v>
      </c>
      <c r="AO97" s="254">
        <v>1435.2361410395406</v>
      </c>
      <c r="AP97" s="254">
        <v>-2563.0158253033587</v>
      </c>
      <c r="AQ97" s="254">
        <v>356.76196788911057</v>
      </c>
      <c r="AR97" s="254">
        <v>-5033.4045518845778</v>
      </c>
      <c r="AS97" s="254">
        <v>-1732.2251224348847</v>
      </c>
      <c r="AT97" s="254">
        <v>-3476.171740851486</v>
      </c>
      <c r="AU97" s="254">
        <v>119.85827149209672</v>
      </c>
      <c r="AV97" s="254">
        <v>-3135.5577552720088</v>
      </c>
      <c r="AW97" s="254">
        <v>246.6909695932236</v>
      </c>
      <c r="AX97" s="254">
        <v>-1838.7196220215592</v>
      </c>
      <c r="AY97" s="254">
        <v>181.7829013827527</v>
      </c>
      <c r="BA97" s="170"/>
      <c r="BB97" s="170"/>
    </row>
    <row r="98" spans="2:54">
      <c r="B98" s="237">
        <v>10304</v>
      </c>
      <c r="C98" s="237" t="s">
        <v>101</v>
      </c>
      <c r="D98" s="254">
        <v>-103.93396466440026</v>
      </c>
      <c r="E98" s="254">
        <v>412.44650608960001</v>
      </c>
      <c r="F98" s="254">
        <v>-355.45441974640016</v>
      </c>
      <c r="G98" s="254">
        <v>385.63770668069992</v>
      </c>
      <c r="H98" s="254">
        <v>702.65477928639939</v>
      </c>
      <c r="I98" s="254">
        <v>1112.4608592387995</v>
      </c>
      <c r="J98" s="254">
        <v>2066.2803380863988</v>
      </c>
      <c r="K98" s="254">
        <v>1960.6584428388001</v>
      </c>
      <c r="L98" s="254">
        <v>1615.4098175587997</v>
      </c>
      <c r="M98" s="254">
        <v>1452.1712046012003</v>
      </c>
      <c r="N98" s="254">
        <v>871.91405591920011</v>
      </c>
      <c r="O98" s="254">
        <v>890.34804789769987</v>
      </c>
      <c r="P98" s="254">
        <v>850.78301275279955</v>
      </c>
      <c r="Q98" s="254">
        <v>785.41623162320002</v>
      </c>
      <c r="R98" s="254">
        <v>-2075.1969227300006</v>
      </c>
      <c r="S98" s="254">
        <v>-526.52031299479995</v>
      </c>
      <c r="T98" s="254">
        <v>-4052.1313252971995</v>
      </c>
      <c r="U98" s="254">
        <v>-1883.5396101768006</v>
      </c>
      <c r="V98" s="254">
        <v>-2753.7786667971995</v>
      </c>
      <c r="W98" s="254">
        <v>-263.75205497759998</v>
      </c>
      <c r="X98" s="254">
        <v>-2329.2016286471999</v>
      </c>
      <c r="Y98" s="254">
        <v>-397.77387897760036</v>
      </c>
      <c r="Z98" s="254">
        <v>-1230.6543932799996</v>
      </c>
      <c r="AA98" s="254">
        <v>-281.36820264399967</v>
      </c>
      <c r="AB98" s="254">
        <v>-104.79110468199997</v>
      </c>
      <c r="AC98" s="254">
        <v>413.19159668800057</v>
      </c>
      <c r="AD98" s="254">
        <v>-359.35173089199998</v>
      </c>
      <c r="AE98" s="254">
        <v>384.65576498350038</v>
      </c>
      <c r="AF98" s="254">
        <v>697.93580459199984</v>
      </c>
      <c r="AG98" s="254">
        <v>1110.822912914</v>
      </c>
      <c r="AH98" s="254">
        <v>2064.5793185920002</v>
      </c>
      <c r="AI98" s="254">
        <v>1960.9576709140006</v>
      </c>
      <c r="AJ98" s="254">
        <v>1835.3720752019999</v>
      </c>
      <c r="AK98" s="254">
        <v>1563.29478363</v>
      </c>
      <c r="AL98" s="254">
        <v>871.02816807600084</v>
      </c>
      <c r="AM98" s="254">
        <v>890.70414086850042</v>
      </c>
      <c r="AN98" s="254">
        <v>852.18037208400074</v>
      </c>
      <c r="AO98" s="254">
        <v>786.95542419599997</v>
      </c>
      <c r="AP98" s="254">
        <v>-2080.0009756500003</v>
      </c>
      <c r="AQ98" s="254">
        <v>-527.43212809399938</v>
      </c>
      <c r="AR98" s="254">
        <v>-4060.5774881659991</v>
      </c>
      <c r="AS98" s="254">
        <v>-1887.1237048039998</v>
      </c>
      <c r="AT98" s="254">
        <v>-2758.9672956659997</v>
      </c>
      <c r="AU98" s="254">
        <v>-262.99260832800019</v>
      </c>
      <c r="AV98" s="254">
        <v>-2333.226994916</v>
      </c>
      <c r="AW98" s="254">
        <v>-397.50732832799986</v>
      </c>
      <c r="AX98" s="254">
        <v>-1232.1309984</v>
      </c>
      <c r="AY98" s="254">
        <v>-280.94122681999988</v>
      </c>
      <c r="BA98" s="170"/>
      <c r="BB98" s="170"/>
    </row>
    <row r="99" spans="2:54">
      <c r="B99" s="237">
        <v>10306</v>
      </c>
      <c r="C99" s="237" t="s">
        <v>102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4">
        <v>0</v>
      </c>
      <c r="P99" s="254">
        <v>0</v>
      </c>
      <c r="Q99" s="254">
        <v>0</v>
      </c>
      <c r="R99" s="254">
        <v>0</v>
      </c>
      <c r="S99" s="254">
        <v>0</v>
      </c>
      <c r="T99" s="254">
        <v>0</v>
      </c>
      <c r="U99" s="254">
        <v>0</v>
      </c>
      <c r="V99" s="254">
        <v>0</v>
      </c>
      <c r="W99" s="254">
        <v>0</v>
      </c>
      <c r="X99" s="254">
        <v>0</v>
      </c>
      <c r="Y99" s="254">
        <v>0</v>
      </c>
      <c r="Z99" s="254">
        <v>0</v>
      </c>
      <c r="AA99" s="254">
        <v>0</v>
      </c>
      <c r="AB99" s="254">
        <v>0</v>
      </c>
      <c r="AC99" s="254">
        <v>0</v>
      </c>
      <c r="AD99" s="254">
        <v>0</v>
      </c>
      <c r="AE99" s="254">
        <v>0</v>
      </c>
      <c r="AF99" s="254">
        <v>0</v>
      </c>
      <c r="AG99" s="254">
        <v>0</v>
      </c>
      <c r="AH99" s="254">
        <v>0</v>
      </c>
      <c r="AI99" s="254">
        <v>0</v>
      </c>
      <c r="AJ99" s="254">
        <v>0</v>
      </c>
      <c r="AK99" s="254">
        <v>0</v>
      </c>
      <c r="AL99" s="254">
        <v>0</v>
      </c>
      <c r="AM99" s="254">
        <v>0</v>
      </c>
      <c r="AN99" s="254">
        <v>0</v>
      </c>
      <c r="AO99" s="254">
        <v>0</v>
      </c>
      <c r="AP99" s="254">
        <v>0</v>
      </c>
      <c r="AQ99" s="254">
        <v>0</v>
      </c>
      <c r="AR99" s="254">
        <v>0</v>
      </c>
      <c r="AS99" s="254">
        <v>0</v>
      </c>
      <c r="AT99" s="254">
        <v>0</v>
      </c>
      <c r="AU99" s="254">
        <v>0</v>
      </c>
      <c r="AV99" s="254">
        <v>0</v>
      </c>
      <c r="AW99" s="254">
        <v>0</v>
      </c>
      <c r="AX99" s="254">
        <v>0</v>
      </c>
      <c r="AY99" s="254">
        <v>0</v>
      </c>
      <c r="BA99" s="170"/>
      <c r="BB99" s="170"/>
    </row>
    <row r="100" spans="2:54">
      <c r="B100" s="237">
        <v>10307</v>
      </c>
      <c r="C100" s="237" t="s">
        <v>103</v>
      </c>
      <c r="D100" s="254">
        <v>539.98386404040502</v>
      </c>
      <c r="E100" s="254">
        <v>2562.8926151264022</v>
      </c>
      <c r="F100" s="254">
        <v>254.62520640240837</v>
      </c>
      <c r="G100" s="254">
        <v>1682.9024626913015</v>
      </c>
      <c r="H100" s="254">
        <v>7240.4525724576015</v>
      </c>
      <c r="I100" s="254">
        <v>5111.6247256091992</v>
      </c>
      <c r="J100" s="254">
        <v>11195.757061657598</v>
      </c>
      <c r="K100" s="254">
        <v>10862.652598009201</v>
      </c>
      <c r="L100" s="254">
        <v>10846.625594489204</v>
      </c>
      <c r="M100" s="254">
        <v>7069.8425769507994</v>
      </c>
      <c r="N100" s="254">
        <v>4753.0175569128041</v>
      </c>
      <c r="O100" s="254">
        <v>3177.6664187943024</v>
      </c>
      <c r="P100" s="254">
        <v>5231.2493635352002</v>
      </c>
      <c r="Q100" s="254">
        <v>3173.9305050487983</v>
      </c>
      <c r="R100" s="254">
        <v>-10505.136908069999</v>
      </c>
      <c r="S100" s="254">
        <v>-2206.8984496131998</v>
      </c>
      <c r="T100" s="254">
        <v>-18871.692676414801</v>
      </c>
      <c r="U100" s="254">
        <v>-9364.1933811511972</v>
      </c>
      <c r="V100" s="254">
        <v>-11661.167674914799</v>
      </c>
      <c r="W100" s="254">
        <v>383.80834528160085</v>
      </c>
      <c r="X100" s="254">
        <v>-8167.950539064801</v>
      </c>
      <c r="Y100" s="254">
        <v>-1026.6048707184</v>
      </c>
      <c r="Z100" s="254">
        <v>-5447.6155155199995</v>
      </c>
      <c r="AA100" s="254">
        <v>-1749.2165635959991</v>
      </c>
      <c r="AB100" s="254">
        <v>549.70678016919919</v>
      </c>
      <c r="AC100" s="254">
        <v>2570.5615517471997</v>
      </c>
      <c r="AD100" s="254">
        <v>261.16268669519923</v>
      </c>
      <c r="AE100" s="254">
        <v>1688.2497764298969</v>
      </c>
      <c r="AF100" s="254">
        <v>7245.3549930848021</v>
      </c>
      <c r="AG100" s="254">
        <v>5115.1412635315974</v>
      </c>
      <c r="AH100" s="254">
        <v>11203.469764684793</v>
      </c>
      <c r="AI100" s="254">
        <v>10870.382768731597</v>
      </c>
      <c r="AJ100" s="254">
        <v>11940.379987918797</v>
      </c>
      <c r="AK100" s="254">
        <v>7618.5573374219985</v>
      </c>
      <c r="AL100" s="254">
        <v>4762.2225626743966</v>
      </c>
      <c r="AM100" s="254">
        <v>3183.3620510988985</v>
      </c>
      <c r="AN100" s="254">
        <v>4143.1238364295968</v>
      </c>
      <c r="AO100" s="254">
        <v>4283.5204714024003</v>
      </c>
      <c r="AP100" s="254">
        <v>-9615.6057526100012</v>
      </c>
      <c r="AQ100" s="254">
        <v>-3086.5831480236011</v>
      </c>
      <c r="AR100" s="254">
        <v>-18872.383177420401</v>
      </c>
      <c r="AS100" s="254">
        <v>-9363.4231311976018</v>
      </c>
      <c r="AT100" s="254">
        <v>-11657.114992920397</v>
      </c>
      <c r="AU100" s="254">
        <v>393.12744243680027</v>
      </c>
      <c r="AV100" s="254">
        <v>-8160.5809833704006</v>
      </c>
      <c r="AW100" s="254">
        <v>-1019.6961255632013</v>
      </c>
      <c r="AX100" s="254">
        <v>-5438.7515689600004</v>
      </c>
      <c r="AY100" s="254">
        <v>-1742.4962903080013</v>
      </c>
      <c r="BA100" s="170"/>
      <c r="BB100" s="170"/>
    </row>
    <row r="101" spans="2:54">
      <c r="B101" s="237">
        <v>10326</v>
      </c>
      <c r="C101" s="237" t="s">
        <v>104</v>
      </c>
      <c r="D101" s="254">
        <v>-408.84519960879879</v>
      </c>
      <c r="E101" s="254">
        <v>2007.7769516992003</v>
      </c>
      <c r="F101" s="254">
        <v>-3980.9747731727985</v>
      </c>
      <c r="G101" s="254">
        <v>-865.4639570485997</v>
      </c>
      <c r="H101" s="254">
        <v>-2265.4610097471996</v>
      </c>
      <c r="I101" s="254">
        <v>38.144226037598855</v>
      </c>
      <c r="J101" s="254">
        <v>80.559667852798157</v>
      </c>
      <c r="K101" s="254">
        <v>2569.4127132376007</v>
      </c>
      <c r="L101" s="254">
        <v>436.08952667760059</v>
      </c>
      <c r="M101" s="254">
        <v>1553.6763096424011</v>
      </c>
      <c r="N101" s="254">
        <v>628.58402887840202</v>
      </c>
      <c r="O101" s="254">
        <v>1591.7766382853997</v>
      </c>
      <c r="P101" s="254">
        <v>1809.9427548656004</v>
      </c>
      <c r="Q101" s="254">
        <v>2032.1924050864</v>
      </c>
      <c r="R101" s="254">
        <v>-2589.7328464599996</v>
      </c>
      <c r="S101" s="254">
        <v>1459.6380892504012</v>
      </c>
      <c r="T101" s="254">
        <v>-7601.3832062344009</v>
      </c>
      <c r="U101" s="254">
        <v>-2884.3769385135993</v>
      </c>
      <c r="V101" s="254">
        <v>-4800.9254392343992</v>
      </c>
      <c r="W101" s="254">
        <v>1329.0308249248001</v>
      </c>
      <c r="X101" s="254">
        <v>-3658.0197079343998</v>
      </c>
      <c r="Y101" s="254">
        <v>309.80137692480002</v>
      </c>
      <c r="Z101" s="254">
        <v>-2278.1433225599994</v>
      </c>
      <c r="AA101" s="254">
        <v>177.97969191200082</v>
      </c>
      <c r="AB101" s="254">
        <v>-1542.5961434623987</v>
      </c>
      <c r="AC101" s="254">
        <v>1231.9197977215999</v>
      </c>
      <c r="AD101" s="254">
        <v>-4780.3789817343986</v>
      </c>
      <c r="AE101" s="254">
        <v>-1517.5327016128012</v>
      </c>
      <c r="AF101" s="254">
        <v>-3346.1446144256006</v>
      </c>
      <c r="AG101" s="254">
        <v>-571.55928971520007</v>
      </c>
      <c r="AH101" s="254">
        <v>-118.08460962560093</v>
      </c>
      <c r="AI101" s="254">
        <v>2464.7686558848009</v>
      </c>
      <c r="AJ101" s="254">
        <v>766.5419019264009</v>
      </c>
      <c r="AK101" s="254">
        <v>1692.5436108159993</v>
      </c>
      <c r="AL101" s="254">
        <v>397.78992248320174</v>
      </c>
      <c r="AM101" s="254">
        <v>1382.3891776192004</v>
      </c>
      <c r="AN101" s="254">
        <v>1406.2778684288005</v>
      </c>
      <c r="AO101" s="254">
        <v>2598.8691788671995</v>
      </c>
      <c r="AP101" s="254">
        <v>-2248.475638079999</v>
      </c>
      <c r="AQ101" s="254">
        <v>787.93620593920059</v>
      </c>
      <c r="AR101" s="254">
        <v>-6868.9005443711976</v>
      </c>
      <c r="AS101" s="254">
        <v>-2403.6275939327998</v>
      </c>
      <c r="AT101" s="254">
        <v>-4038.7871283711993</v>
      </c>
      <c r="AU101" s="254">
        <v>1924.2824754303992</v>
      </c>
      <c r="AV101" s="254">
        <v>-2716.2227859712002</v>
      </c>
      <c r="AW101" s="254">
        <v>914.8375714304002</v>
      </c>
      <c r="AX101" s="254">
        <v>-1166.3757708800003</v>
      </c>
      <c r="AY101" s="254">
        <v>962.1959893760004</v>
      </c>
      <c r="BA101" s="170"/>
      <c r="BB101" s="170"/>
    </row>
    <row r="102" spans="2:54">
      <c r="B102" s="237">
        <v>10331</v>
      </c>
      <c r="C102" s="237" t="s">
        <v>105</v>
      </c>
      <c r="D102" s="254">
        <v>0</v>
      </c>
      <c r="E102" s="254">
        <v>0</v>
      </c>
      <c r="F102" s="254">
        <v>0</v>
      </c>
      <c r="G102" s="254">
        <v>0</v>
      </c>
      <c r="H102" s="254">
        <v>0</v>
      </c>
      <c r="I102" s="254">
        <v>0</v>
      </c>
      <c r="J102" s="254">
        <v>0</v>
      </c>
      <c r="K102" s="254">
        <v>0</v>
      </c>
      <c r="L102" s="254">
        <v>0</v>
      </c>
      <c r="M102" s="254">
        <v>0</v>
      </c>
      <c r="N102" s="254">
        <v>0</v>
      </c>
      <c r="O102" s="254">
        <v>0</v>
      </c>
      <c r="P102" s="254">
        <v>0</v>
      </c>
      <c r="Q102" s="254">
        <v>0</v>
      </c>
      <c r="R102" s="254">
        <v>0</v>
      </c>
      <c r="S102" s="254">
        <v>0</v>
      </c>
      <c r="T102" s="254">
        <v>0</v>
      </c>
      <c r="U102" s="254">
        <v>0</v>
      </c>
      <c r="V102" s="254">
        <v>0</v>
      </c>
      <c r="W102" s="254">
        <v>0</v>
      </c>
      <c r="X102" s="254">
        <v>0</v>
      </c>
      <c r="Y102" s="254">
        <v>0</v>
      </c>
      <c r="Z102" s="254">
        <v>0</v>
      </c>
      <c r="AA102" s="254">
        <v>0</v>
      </c>
      <c r="AB102" s="254">
        <v>0</v>
      </c>
      <c r="AC102" s="254">
        <v>0</v>
      </c>
      <c r="AD102" s="254">
        <v>0</v>
      </c>
      <c r="AE102" s="254">
        <v>0</v>
      </c>
      <c r="AF102" s="254">
        <v>0</v>
      </c>
      <c r="AG102" s="254">
        <v>0</v>
      </c>
      <c r="AH102" s="254">
        <v>0</v>
      </c>
      <c r="AI102" s="254">
        <v>0</v>
      </c>
      <c r="AJ102" s="254">
        <v>0</v>
      </c>
      <c r="AK102" s="254">
        <v>0</v>
      </c>
      <c r="AL102" s="254">
        <v>0</v>
      </c>
      <c r="AM102" s="254">
        <v>0</v>
      </c>
      <c r="AN102" s="254">
        <v>0</v>
      </c>
      <c r="AO102" s="254">
        <v>0</v>
      </c>
      <c r="AP102" s="254">
        <v>0</v>
      </c>
      <c r="AQ102" s="254">
        <v>0</v>
      </c>
      <c r="AR102" s="254">
        <v>0</v>
      </c>
      <c r="AS102" s="254">
        <v>0</v>
      </c>
      <c r="AT102" s="254">
        <v>0</v>
      </c>
      <c r="AU102" s="254">
        <v>0</v>
      </c>
      <c r="AV102" s="254">
        <v>0</v>
      </c>
      <c r="AW102" s="254">
        <v>0</v>
      </c>
      <c r="AX102" s="254">
        <v>0</v>
      </c>
      <c r="AY102" s="254">
        <v>0</v>
      </c>
      <c r="BA102" s="170"/>
      <c r="BB102" s="170"/>
    </row>
    <row r="103" spans="2:54">
      <c r="B103" s="237">
        <v>10333</v>
      </c>
      <c r="C103" s="237" t="s">
        <v>106</v>
      </c>
      <c r="D103" s="254">
        <v>0</v>
      </c>
      <c r="E103" s="254">
        <v>0</v>
      </c>
      <c r="F103" s="254">
        <v>0</v>
      </c>
      <c r="G103" s="254">
        <v>0</v>
      </c>
      <c r="H103" s="254">
        <v>0</v>
      </c>
      <c r="I103" s="254">
        <v>0</v>
      </c>
      <c r="J103" s="254">
        <v>0</v>
      </c>
      <c r="K103" s="254">
        <v>0</v>
      </c>
      <c r="L103" s="254">
        <v>0</v>
      </c>
      <c r="M103" s="254">
        <v>0</v>
      </c>
      <c r="N103" s="254">
        <v>0</v>
      </c>
      <c r="O103" s="254">
        <v>0</v>
      </c>
      <c r="P103" s="254">
        <v>0</v>
      </c>
      <c r="Q103" s="254">
        <v>0</v>
      </c>
      <c r="R103" s="254">
        <v>0</v>
      </c>
      <c r="S103" s="254">
        <v>0</v>
      </c>
      <c r="T103" s="254">
        <v>0</v>
      </c>
      <c r="U103" s="254">
        <v>0</v>
      </c>
      <c r="V103" s="254">
        <v>0</v>
      </c>
      <c r="W103" s="254">
        <v>0</v>
      </c>
      <c r="X103" s="254">
        <v>0</v>
      </c>
      <c r="Y103" s="254">
        <v>0</v>
      </c>
      <c r="Z103" s="254">
        <v>0</v>
      </c>
      <c r="AA103" s="254">
        <v>0</v>
      </c>
      <c r="AB103" s="254">
        <v>0</v>
      </c>
      <c r="AC103" s="254">
        <v>0</v>
      </c>
      <c r="AD103" s="254">
        <v>0</v>
      </c>
      <c r="AE103" s="254">
        <v>0</v>
      </c>
      <c r="AF103" s="254">
        <v>0</v>
      </c>
      <c r="AG103" s="254">
        <v>0</v>
      </c>
      <c r="AH103" s="254">
        <v>0</v>
      </c>
      <c r="AI103" s="254">
        <v>0</v>
      </c>
      <c r="AJ103" s="254">
        <v>0</v>
      </c>
      <c r="AK103" s="254">
        <v>0</v>
      </c>
      <c r="AL103" s="254">
        <v>0</v>
      </c>
      <c r="AM103" s="254">
        <v>0</v>
      </c>
      <c r="AN103" s="254">
        <v>0</v>
      </c>
      <c r="AO103" s="254">
        <v>0</v>
      </c>
      <c r="AP103" s="254">
        <v>0</v>
      </c>
      <c r="AQ103" s="254">
        <v>0</v>
      </c>
      <c r="AR103" s="254">
        <v>0</v>
      </c>
      <c r="AS103" s="254">
        <v>0</v>
      </c>
      <c r="AT103" s="254">
        <v>0</v>
      </c>
      <c r="AU103" s="254">
        <v>0</v>
      </c>
      <c r="AV103" s="254">
        <v>0</v>
      </c>
      <c r="AW103" s="254">
        <v>0</v>
      </c>
      <c r="AX103" s="254">
        <v>0</v>
      </c>
      <c r="AY103" s="254">
        <v>0</v>
      </c>
      <c r="BA103" s="170"/>
      <c r="BB103" s="170"/>
    </row>
    <row r="104" spans="2:54">
      <c r="B104" s="237">
        <v>10338</v>
      </c>
      <c r="C104" s="237" t="s">
        <v>107</v>
      </c>
      <c r="D104" s="254">
        <v>-271.49697036799989</v>
      </c>
      <c r="E104" s="254">
        <v>-6.4246074879999924</v>
      </c>
      <c r="F104" s="254">
        <v>-461.96248940799978</v>
      </c>
      <c r="G104" s="254">
        <v>-137.22107889599999</v>
      </c>
      <c r="H104" s="254">
        <v>13.106558208000024</v>
      </c>
      <c r="I104" s="254">
        <v>194.31577593600002</v>
      </c>
      <c r="J104" s="254">
        <v>151.06289420799999</v>
      </c>
      <c r="K104" s="254">
        <v>399.05096793600012</v>
      </c>
      <c r="L104" s="254">
        <v>23.450366336000116</v>
      </c>
      <c r="M104" s="254">
        <v>156.13838886400004</v>
      </c>
      <c r="N104" s="254">
        <v>-182.70352217599986</v>
      </c>
      <c r="O104" s="254">
        <v>13.418007343999989</v>
      </c>
      <c r="P104" s="254">
        <v>109.06852601600008</v>
      </c>
      <c r="Q104" s="254">
        <v>148.92990470399997</v>
      </c>
      <c r="R104" s="254">
        <v>18.085734400000092</v>
      </c>
      <c r="S104" s="254">
        <v>249.94663974399998</v>
      </c>
      <c r="T104" s="254">
        <v>56.807630016000076</v>
      </c>
      <c r="U104" s="254">
        <v>137.06380870400005</v>
      </c>
      <c r="V104" s="254">
        <v>258.42775001600012</v>
      </c>
      <c r="W104" s="254">
        <v>525.40616812799999</v>
      </c>
      <c r="X104" s="254">
        <v>268.94471801600002</v>
      </c>
      <c r="Y104" s="254">
        <v>316.69188812800007</v>
      </c>
      <c r="Z104" s="254">
        <v>-118.53556160000005</v>
      </c>
      <c r="AA104" s="254">
        <v>45.031976320000126</v>
      </c>
      <c r="AB104" s="254">
        <v>-267.49397036799985</v>
      </c>
      <c r="AC104" s="254">
        <v>-3.533607487999916</v>
      </c>
      <c r="AD104" s="254">
        <v>-459.70948940799985</v>
      </c>
      <c r="AE104" s="254">
        <v>-135.47907889600003</v>
      </c>
      <c r="AF104" s="254">
        <v>16.70455820799998</v>
      </c>
      <c r="AG104" s="254">
        <v>197.05977593600005</v>
      </c>
      <c r="AH104" s="254">
        <v>154.51089420799985</v>
      </c>
      <c r="AI104" s="254">
        <v>402.00096793600005</v>
      </c>
      <c r="AJ104" s="254">
        <v>63.997142848000067</v>
      </c>
      <c r="AK104" s="254">
        <v>177.06527712000002</v>
      </c>
      <c r="AL104" s="254">
        <v>-180.20252217599989</v>
      </c>
      <c r="AM104" s="254">
        <v>15.195007344000032</v>
      </c>
      <c r="AN104" s="254">
        <v>75.708526016000064</v>
      </c>
      <c r="AO104" s="254">
        <v>186.937904704</v>
      </c>
      <c r="AP104" s="254">
        <v>66.963734400000021</v>
      </c>
      <c r="AQ104" s="254">
        <v>207.14063974400005</v>
      </c>
      <c r="AR104" s="254">
        <v>61.364630016000092</v>
      </c>
      <c r="AS104" s="254">
        <v>139.84280870400005</v>
      </c>
      <c r="AT104" s="254">
        <v>262.84275001600031</v>
      </c>
      <c r="AU104" s="254">
        <v>528.61116812800014</v>
      </c>
      <c r="AV104" s="254">
        <v>273.272718016</v>
      </c>
      <c r="AW104" s="254">
        <v>319.24888812800009</v>
      </c>
      <c r="AX104" s="254">
        <v>-115.94556160000002</v>
      </c>
      <c r="AY104" s="254">
        <v>46.812976320000075</v>
      </c>
      <c r="BA104" s="170"/>
      <c r="BB104" s="170"/>
    </row>
    <row r="105" spans="2:54">
      <c r="B105" s="237">
        <v>10342</v>
      </c>
      <c r="C105" s="237" t="s">
        <v>108</v>
      </c>
      <c r="D105" s="254">
        <v>-254.12269328199909</v>
      </c>
      <c r="E105" s="254">
        <v>571.51685908800027</v>
      </c>
      <c r="F105" s="254">
        <v>-1425.0297024920001</v>
      </c>
      <c r="G105" s="254">
        <v>-568.31893796650002</v>
      </c>
      <c r="H105" s="254">
        <v>2040.1392861919994</v>
      </c>
      <c r="I105" s="254">
        <v>1102.590755113999</v>
      </c>
      <c r="J105" s="254">
        <v>3170.1200001920006</v>
      </c>
      <c r="K105" s="254">
        <v>3473.7539131140002</v>
      </c>
      <c r="L105" s="254">
        <v>3761.1696347140005</v>
      </c>
      <c r="M105" s="254">
        <v>2040.0532200859998</v>
      </c>
      <c r="N105" s="254">
        <v>1692.8955028760029</v>
      </c>
      <c r="O105" s="254">
        <v>577.06582341850117</v>
      </c>
      <c r="P105" s="254">
        <v>2889.4300052840008</v>
      </c>
      <c r="Q105" s="254">
        <v>1079.3790349959991</v>
      </c>
      <c r="R105" s="254">
        <v>-3948.7264706499991</v>
      </c>
      <c r="S105" s="254">
        <v>-674.42368429399903</v>
      </c>
      <c r="T105" s="254">
        <v>-8597.5219299660002</v>
      </c>
      <c r="U105" s="254">
        <v>-4722.681794004</v>
      </c>
      <c r="V105" s="254">
        <v>-3096.9719874659968</v>
      </c>
      <c r="W105" s="254">
        <v>1440.1929572720001</v>
      </c>
      <c r="X105" s="254">
        <v>-1199.887461716</v>
      </c>
      <c r="Y105" s="254">
        <v>301.76723727199897</v>
      </c>
      <c r="Z105" s="254">
        <v>-1124.5993183999999</v>
      </c>
      <c r="AA105" s="254">
        <v>-387.22211281999989</v>
      </c>
      <c r="AB105" s="254">
        <v>-253.90742179159861</v>
      </c>
      <c r="AC105" s="254">
        <v>573.54268341440184</v>
      </c>
      <c r="AD105" s="254">
        <v>-1431.8763213895982</v>
      </c>
      <c r="AE105" s="254">
        <v>-571.7124710627013</v>
      </c>
      <c r="AF105" s="254">
        <v>2040.6312014495998</v>
      </c>
      <c r="AG105" s="254">
        <v>1102.5385170731988</v>
      </c>
      <c r="AH105" s="254">
        <v>3161.0907546495982</v>
      </c>
      <c r="AI105" s="254">
        <v>3471.2079974732005</v>
      </c>
      <c r="AJ105" s="254">
        <v>4362.4235497676018</v>
      </c>
      <c r="AK105" s="254">
        <v>2339.7701377939993</v>
      </c>
      <c r="AL105" s="254">
        <v>1682.4282706888007</v>
      </c>
      <c r="AM105" s="254">
        <v>570.34857730029944</v>
      </c>
      <c r="AN105" s="254">
        <v>2265.3561019192002</v>
      </c>
      <c r="AO105" s="254">
        <v>1693.0524839447999</v>
      </c>
      <c r="AP105" s="254">
        <v>-3396.5373074699983</v>
      </c>
      <c r="AQ105" s="254">
        <v>-1253.5082947571991</v>
      </c>
      <c r="AR105" s="254">
        <v>-8629.6575670307975</v>
      </c>
      <c r="AS105" s="254">
        <v>-4740.2182062552001</v>
      </c>
      <c r="AT105" s="254">
        <v>-3102.1424355307972</v>
      </c>
      <c r="AU105" s="254">
        <v>1445.8407923535997</v>
      </c>
      <c r="AV105" s="254">
        <v>-1200.6006926808004</v>
      </c>
      <c r="AW105" s="254">
        <v>303.78285635359862</v>
      </c>
      <c r="AX105" s="254">
        <v>-1135.8023939199993</v>
      </c>
      <c r="AY105" s="254">
        <v>-393.00510191600006</v>
      </c>
      <c r="BA105" s="170"/>
      <c r="BB105" s="170"/>
    </row>
    <row r="106" spans="2:54">
      <c r="B106" s="237">
        <v>10343</v>
      </c>
      <c r="C106" s="237" t="s">
        <v>109</v>
      </c>
      <c r="D106" s="254">
        <v>-1122.8803085108002</v>
      </c>
      <c r="E106" s="254">
        <v>95.184316867199868</v>
      </c>
      <c r="F106" s="254">
        <v>-1760.3715173848004</v>
      </c>
      <c r="G106" s="254">
        <v>-245.41876378010056</v>
      </c>
      <c r="H106" s="254">
        <v>-304.92886483520124</v>
      </c>
      <c r="I106" s="254">
        <v>807.4226678915993</v>
      </c>
      <c r="J106" s="254">
        <v>590.96426676479859</v>
      </c>
      <c r="K106" s="254">
        <v>1585.9170930916002</v>
      </c>
      <c r="L106" s="254">
        <v>280.74748413159978</v>
      </c>
      <c r="M106" s="254">
        <v>1035.4666749884</v>
      </c>
      <c r="N106" s="254">
        <v>-399.94022908559964</v>
      </c>
      <c r="O106" s="254">
        <v>619.90398578889972</v>
      </c>
      <c r="P106" s="254">
        <v>43.599466589599615</v>
      </c>
      <c r="Q106" s="254">
        <v>671.78004844239967</v>
      </c>
      <c r="R106" s="254">
        <v>-792.3305336100002</v>
      </c>
      <c r="S106" s="254">
        <v>841.42645441640025</v>
      </c>
      <c r="T106" s="254">
        <v>-2373.8431322604001</v>
      </c>
      <c r="U106" s="254">
        <v>-355.00101415760037</v>
      </c>
      <c r="V106" s="254">
        <v>-926.17949776040041</v>
      </c>
      <c r="W106" s="254">
        <v>1259.8305837167995</v>
      </c>
      <c r="X106" s="254">
        <v>-964.26893321040006</v>
      </c>
      <c r="Y106" s="254">
        <v>815.75721571679969</v>
      </c>
      <c r="Z106" s="254">
        <v>-1054.36918496</v>
      </c>
      <c r="AA106" s="254">
        <v>282.40562289199988</v>
      </c>
      <c r="AB106" s="254">
        <v>-1121.9775888943996</v>
      </c>
      <c r="AC106" s="254">
        <v>95.666792409600021</v>
      </c>
      <c r="AD106" s="254">
        <v>-1759.2683071264</v>
      </c>
      <c r="AE106" s="254">
        <v>-244.76234406679987</v>
      </c>
      <c r="AF106" s="254">
        <v>-303.8493278336</v>
      </c>
      <c r="AG106" s="254">
        <v>808.08151094879986</v>
      </c>
      <c r="AH106" s="254">
        <v>591.87494096639966</v>
      </c>
      <c r="AI106" s="254">
        <v>1586.4554645488001</v>
      </c>
      <c r="AJ106" s="254">
        <v>474.75536287839986</v>
      </c>
      <c r="AK106" s="254">
        <v>1132.5410306960002</v>
      </c>
      <c r="AL106" s="254">
        <v>-399.01185094079938</v>
      </c>
      <c r="AM106" s="254">
        <v>620.43573042520029</v>
      </c>
      <c r="AN106" s="254">
        <v>45.34754201279975</v>
      </c>
      <c r="AO106" s="254">
        <v>671.22080656319986</v>
      </c>
      <c r="AP106" s="254">
        <v>-793.29010747999928</v>
      </c>
      <c r="AQ106" s="254">
        <v>843.98934759520034</v>
      </c>
      <c r="AR106" s="254">
        <v>-2372.515449787199</v>
      </c>
      <c r="AS106" s="254">
        <v>-354.28297023679988</v>
      </c>
      <c r="AT106" s="254">
        <v>-925.07540378719932</v>
      </c>
      <c r="AU106" s="254">
        <v>1260.3304041023998</v>
      </c>
      <c r="AV106" s="254">
        <v>-963.19860438719934</v>
      </c>
      <c r="AW106" s="254">
        <v>816.24878010239991</v>
      </c>
      <c r="AX106" s="254">
        <v>-1053.4711692799992</v>
      </c>
      <c r="AY106" s="254">
        <v>282.9098550560002</v>
      </c>
      <c r="BA106" s="170"/>
      <c r="BB106" s="170"/>
    </row>
    <row r="107" spans="2:54">
      <c r="B107" s="237">
        <v>10349</v>
      </c>
      <c r="C107" s="237" t="s">
        <v>110</v>
      </c>
      <c r="D107" s="254">
        <v>-2892.0582542291959</v>
      </c>
      <c r="E107" s="254">
        <v>22391.319891292675</v>
      </c>
      <c r="F107" s="254">
        <v>62629.23310494484</v>
      </c>
      <c r="G107" s="254">
        <v>57862.904538875038</v>
      </c>
      <c r="H107" s="254">
        <v>71980.265866275207</v>
      </c>
      <c r="I107" s="254">
        <v>60386.891211088368</v>
      </c>
      <c r="J107" s="254">
        <v>131289.3027946754</v>
      </c>
      <c r="K107" s="254">
        <v>101535.42756588837</v>
      </c>
      <c r="L107" s="254">
        <v>100569.83060684838</v>
      </c>
      <c r="M107" s="254">
        <v>80825.265470031751</v>
      </c>
      <c r="N107" s="254">
        <v>95994.25520440549</v>
      </c>
      <c r="O107" s="254">
        <v>81761.065818756048</v>
      </c>
      <c r="P107" s="254">
        <v>-14381.777470709756</v>
      </c>
      <c r="Q107" s="254">
        <v>2223.3653952774766</v>
      </c>
      <c r="R107" s="254">
        <v>-166757.16053689001</v>
      </c>
      <c r="S107" s="254">
        <v>-84531.626565996412</v>
      </c>
      <c r="T107" s="254">
        <v>-270563.5430443596</v>
      </c>
      <c r="U107" s="254">
        <v>-146327.5377921224</v>
      </c>
      <c r="V107" s="254">
        <v>-116357.34501385974</v>
      </c>
      <c r="W107" s="254">
        <v>-29428.618746676686</v>
      </c>
      <c r="X107" s="254">
        <v>-89106.109380909518</v>
      </c>
      <c r="Y107" s="254">
        <v>-14165.919098676866</v>
      </c>
      <c r="Z107" s="254">
        <v>27490.392336960009</v>
      </c>
      <c r="AA107" s="254">
        <v>37573.519509708</v>
      </c>
      <c r="AB107" s="254">
        <v>-3385.5244145422184</v>
      </c>
      <c r="AC107" s="254">
        <v>22053.94904444147</v>
      </c>
      <c r="AD107" s="254">
        <v>61822.655623785628</v>
      </c>
      <c r="AE107" s="254">
        <v>57319.626101377391</v>
      </c>
      <c r="AF107" s="254">
        <v>71158.099430054484</v>
      </c>
      <c r="AG107" s="254">
        <v>59834.500591444725</v>
      </c>
      <c r="AH107" s="254">
        <v>130378.67802685438</v>
      </c>
      <c r="AI107" s="254">
        <v>100923.50934504493</v>
      </c>
      <c r="AJ107" s="254">
        <v>106668.4313498064</v>
      </c>
      <c r="AK107" s="254">
        <v>83741.439425016084</v>
      </c>
      <c r="AL107" s="254">
        <v>95182.34316592323</v>
      </c>
      <c r="AM107" s="254">
        <v>81213.659879509258</v>
      </c>
      <c r="AN107" s="254">
        <v>-14753.842880611366</v>
      </c>
      <c r="AO107" s="254">
        <v>1971.24535110734</v>
      </c>
      <c r="AP107" s="254">
        <v>-166823.22325908</v>
      </c>
      <c r="AQ107" s="254">
        <v>-84584.862652420779</v>
      </c>
      <c r="AR107" s="254">
        <v>-270470.16271041118</v>
      </c>
      <c r="AS107" s="254">
        <v>-146277.03536969281</v>
      </c>
      <c r="AT107" s="254">
        <v>-116613.86486841136</v>
      </c>
      <c r="AU107" s="254">
        <v>-29616.247688889518</v>
      </c>
      <c r="AV107" s="254">
        <v>-89427.661763011085</v>
      </c>
      <c r="AW107" s="254">
        <v>-14395.900520889452</v>
      </c>
      <c r="AX107" s="254">
        <v>26906.08974912003</v>
      </c>
      <c r="AY107" s="254">
        <v>37177.341822575996</v>
      </c>
      <c r="BA107" s="170"/>
      <c r="BB107" s="170"/>
    </row>
    <row r="108" spans="2:54">
      <c r="B108" s="237">
        <v>10352</v>
      </c>
      <c r="C108" s="237" t="s">
        <v>111</v>
      </c>
      <c r="D108" s="254">
        <v>494.84920184959992</v>
      </c>
      <c r="E108" s="254">
        <v>583.84645711359963</v>
      </c>
      <c r="F108" s="254">
        <v>108.52189493759943</v>
      </c>
      <c r="G108" s="254">
        <v>314.91129745119997</v>
      </c>
      <c r="H108" s="254">
        <v>2214.8396897023986</v>
      </c>
      <c r="I108" s="254">
        <v>1543.939202860799</v>
      </c>
      <c r="J108" s="254">
        <v>3235.3506705023983</v>
      </c>
      <c r="K108" s="254">
        <v>2973.7114204608001</v>
      </c>
      <c r="L108" s="254">
        <v>2980.1917919808002</v>
      </c>
      <c r="M108" s="254">
        <v>1839.2820905792</v>
      </c>
      <c r="N108" s="254">
        <v>2779.2598060672008</v>
      </c>
      <c r="O108" s="254">
        <v>1508.9789905232001</v>
      </c>
      <c r="P108" s="254">
        <v>1868.2073902847997</v>
      </c>
      <c r="Q108" s="254">
        <v>884.33730053119962</v>
      </c>
      <c r="R108" s="254">
        <v>-1623.8213476800011</v>
      </c>
      <c r="S108" s="254">
        <v>-342.41014775680014</v>
      </c>
      <c r="T108" s="254">
        <v>-3513.2384585152004</v>
      </c>
      <c r="U108" s="254">
        <v>-2057.5676082688005</v>
      </c>
      <c r="V108" s="254">
        <v>-1748.0271225152001</v>
      </c>
      <c r="W108" s="254">
        <v>257.01401027839984</v>
      </c>
      <c r="X108" s="254">
        <v>-1087.7979921152</v>
      </c>
      <c r="Y108" s="254">
        <v>-226.03237372160038</v>
      </c>
      <c r="Z108" s="254">
        <v>-593.90031648000058</v>
      </c>
      <c r="AA108" s="254">
        <v>-291.5516775039996</v>
      </c>
      <c r="AB108" s="254">
        <v>512.40781876320034</v>
      </c>
      <c r="AC108" s="254">
        <v>594.40735205119972</v>
      </c>
      <c r="AD108" s="254">
        <v>128.35126585920079</v>
      </c>
      <c r="AE108" s="254">
        <v>327.63771346039903</v>
      </c>
      <c r="AF108" s="254">
        <v>2242.4320110208</v>
      </c>
      <c r="AG108" s="254">
        <v>1561.5000009935993</v>
      </c>
      <c r="AH108" s="254">
        <v>3263.8470446208003</v>
      </c>
      <c r="AI108" s="254">
        <v>2994.5406201936007</v>
      </c>
      <c r="AJ108" s="254">
        <v>3251.3537104848001</v>
      </c>
      <c r="AK108" s="254">
        <v>1977.4068307119996</v>
      </c>
      <c r="AL108" s="254">
        <v>2805.9419433824014</v>
      </c>
      <c r="AM108" s="254">
        <v>1523.9530405844002</v>
      </c>
      <c r="AN108" s="254">
        <v>1600.1273530015997</v>
      </c>
      <c r="AO108" s="254">
        <v>1183.4455580704002</v>
      </c>
      <c r="AP108" s="254">
        <v>-1374.6479915600003</v>
      </c>
      <c r="AQ108" s="254">
        <v>-570.9638174255997</v>
      </c>
      <c r="AR108" s="254">
        <v>-3503.1811615983997</v>
      </c>
      <c r="AS108" s="254">
        <v>-2052.7043515296004</v>
      </c>
      <c r="AT108" s="254">
        <v>-1735.3109995983996</v>
      </c>
      <c r="AU108" s="254">
        <v>266.61502001279996</v>
      </c>
      <c r="AV108" s="254">
        <v>-1073.1957277983993</v>
      </c>
      <c r="AW108" s="254">
        <v>-218.32030798720007</v>
      </c>
      <c r="AX108" s="254">
        <v>-580.56079615999988</v>
      </c>
      <c r="AY108" s="254">
        <v>-283.90884436799979</v>
      </c>
      <c r="BA108" s="170"/>
      <c r="BB108" s="170"/>
    </row>
    <row r="109" spans="2:54">
      <c r="B109" s="237">
        <v>10354</v>
      </c>
      <c r="C109" s="237" t="s">
        <v>112</v>
      </c>
      <c r="D109" s="254">
        <v>-3935.0544098362152</v>
      </c>
      <c r="E109" s="254">
        <v>23053.50531881272</v>
      </c>
      <c r="F109" s="254">
        <v>-24922.371761456394</v>
      </c>
      <c r="G109" s="254">
        <v>14973.508083449109</v>
      </c>
      <c r="H109" s="254">
        <v>-3051.2665182415803</v>
      </c>
      <c r="I109" s="254">
        <v>38560.716137706564</v>
      </c>
      <c r="J109" s="254">
        <v>26077.120404970221</v>
      </c>
      <c r="K109" s="254">
        <v>48010.35830554353</v>
      </c>
      <c r="L109" s="254">
        <v>15788.539633098015</v>
      </c>
      <c r="M109" s="254">
        <v>31293.091928908732</v>
      </c>
      <c r="N109" s="254">
        <v>-1614.993830924388</v>
      </c>
      <c r="O109" s="254">
        <v>28984.310954902117</v>
      </c>
      <c r="P109" s="254">
        <v>12527.027924608934</v>
      </c>
      <c r="Q109" s="254">
        <v>25336.295568498841</v>
      </c>
      <c r="R109" s="254">
        <v>-47003.400326142786</v>
      </c>
      <c r="S109" s="254">
        <v>10282.668663815217</v>
      </c>
      <c r="T109" s="254">
        <v>-87410.319390223332</v>
      </c>
      <c r="U109" s="254">
        <v>-25346.34601249783</v>
      </c>
      <c r="V109" s="254">
        <v>-56973.029247291721</v>
      </c>
      <c r="W109" s="254">
        <v>11719.057454637295</v>
      </c>
      <c r="X109" s="254">
        <v>-51814.187039391705</v>
      </c>
      <c r="Y109" s="254">
        <v>12980.458670637294</v>
      </c>
      <c r="Z109" s="254">
        <v>-24639.892737458809</v>
      </c>
      <c r="AA109" s="254">
        <v>13011.84934871296</v>
      </c>
      <c r="AB109" s="254">
        <v>-2927.5254124968196</v>
      </c>
      <c r="AC109" s="254">
        <v>23557.835638682853</v>
      </c>
      <c r="AD109" s="254">
        <v>-29401.266902933654</v>
      </c>
      <c r="AE109" s="254">
        <v>21419.427427303628</v>
      </c>
      <c r="AF109" s="254">
        <v>4618.0435057635186</v>
      </c>
      <c r="AG109" s="254">
        <v>32773.106934234907</v>
      </c>
      <c r="AH109" s="254">
        <v>20706.915385979635</v>
      </c>
      <c r="AI109" s="254">
        <v>54888.660927994235</v>
      </c>
      <c r="AJ109" s="254">
        <v>20981.51960522517</v>
      </c>
      <c r="AK109" s="254">
        <v>35154.233976338364</v>
      </c>
      <c r="AL109" s="254">
        <v>4803.9379513739841</v>
      </c>
      <c r="AM109" s="254">
        <v>24149.217349489161</v>
      </c>
      <c r="AN109" s="254">
        <v>13340.517964830855</v>
      </c>
      <c r="AO109" s="254">
        <v>25791.211845703321</v>
      </c>
      <c r="AP109" s="254">
        <v>-45784.505205762776</v>
      </c>
      <c r="AQ109" s="254">
        <v>10893.620091599005</v>
      </c>
      <c r="AR109" s="254">
        <v>-85817.644459636402</v>
      </c>
      <c r="AS109" s="254">
        <v>-24514.764709666997</v>
      </c>
      <c r="AT109" s="254">
        <v>-55669.9123976798</v>
      </c>
      <c r="AU109" s="254">
        <v>12258.03584672841</v>
      </c>
      <c r="AV109" s="254">
        <v>-50555.561402429812</v>
      </c>
      <c r="AW109" s="254">
        <v>13508.558406728407</v>
      </c>
      <c r="AX109" s="254">
        <v>-23609.468956300378</v>
      </c>
      <c r="AY109" s="254">
        <v>13553.970026259689</v>
      </c>
      <c r="BA109" s="170"/>
      <c r="BB109" s="170"/>
    </row>
    <row r="110" spans="2:54">
      <c r="B110" s="237">
        <v>10360</v>
      </c>
      <c r="C110" s="237" t="s">
        <v>113</v>
      </c>
      <c r="D110" s="254">
        <v>-1167.3387351652</v>
      </c>
      <c r="E110" s="254">
        <v>-279.76240688320013</v>
      </c>
      <c r="F110" s="254">
        <v>-1920.2873550712002</v>
      </c>
      <c r="G110" s="254">
        <v>-832.14214456690024</v>
      </c>
      <c r="H110" s="254">
        <v>-1129.7306461088001</v>
      </c>
      <c r="I110" s="254">
        <v>-326.53088163960024</v>
      </c>
      <c r="J110" s="254">
        <v>-704.42672570879995</v>
      </c>
      <c r="K110" s="254">
        <v>165.11893716039981</v>
      </c>
      <c r="L110" s="254">
        <v>-818.8709850795999</v>
      </c>
      <c r="M110" s="254">
        <v>-190.99134764039991</v>
      </c>
      <c r="N110" s="254">
        <v>-1275.5104163463998</v>
      </c>
      <c r="O110" s="254">
        <v>-481.45662370590003</v>
      </c>
      <c r="P110" s="254">
        <v>-259.56982627759999</v>
      </c>
      <c r="Q110" s="254">
        <v>48.804320285599943</v>
      </c>
      <c r="R110" s="254">
        <v>98.873366910000186</v>
      </c>
      <c r="S110" s="254">
        <v>867.39408009160002</v>
      </c>
      <c r="T110" s="254">
        <v>1329.8318630724007</v>
      </c>
      <c r="U110" s="254">
        <v>1482.4027608855999</v>
      </c>
      <c r="V110" s="254">
        <v>1888.5759435724003</v>
      </c>
      <c r="W110" s="254">
        <v>2790.0465087791999</v>
      </c>
      <c r="X110" s="254">
        <v>1929.6650675224005</v>
      </c>
      <c r="Y110" s="254">
        <v>1987.8659167792</v>
      </c>
      <c r="Z110" s="254">
        <v>-16.249066240000502</v>
      </c>
      <c r="AA110" s="254">
        <v>551.79970034800021</v>
      </c>
      <c r="AB110" s="254">
        <v>-1161.9857351652001</v>
      </c>
      <c r="AC110" s="254">
        <v>-275.84140688320008</v>
      </c>
      <c r="AD110" s="254">
        <v>-1915.4793550712002</v>
      </c>
      <c r="AE110" s="254">
        <v>-828.35014456690033</v>
      </c>
      <c r="AF110" s="254">
        <v>-1122.7806461088003</v>
      </c>
      <c r="AG110" s="254">
        <v>-321.20088163960031</v>
      </c>
      <c r="AH110" s="254">
        <v>-697.81772570880003</v>
      </c>
      <c r="AI110" s="254">
        <v>170.76993716039988</v>
      </c>
      <c r="AJ110" s="254">
        <v>-705.73450436279995</v>
      </c>
      <c r="AK110" s="254">
        <v>-133.09310728200012</v>
      </c>
      <c r="AL110" s="254">
        <v>-1270.4434163463998</v>
      </c>
      <c r="AM110" s="254">
        <v>-477.80762370589991</v>
      </c>
      <c r="AN110" s="254">
        <v>-334.98482627759995</v>
      </c>
      <c r="AO110" s="254">
        <v>135.44432028560004</v>
      </c>
      <c r="AP110" s="254">
        <v>242.89136691000022</v>
      </c>
      <c r="AQ110" s="254">
        <v>742.22908009160005</v>
      </c>
      <c r="AR110" s="254">
        <v>1347.0598630724007</v>
      </c>
      <c r="AS110" s="254">
        <v>1494.0967608855999</v>
      </c>
      <c r="AT110" s="254">
        <v>1905.3219435724004</v>
      </c>
      <c r="AU110" s="254">
        <v>2803.5735087792</v>
      </c>
      <c r="AV110" s="254">
        <v>1946.1320675224001</v>
      </c>
      <c r="AW110" s="254">
        <v>1998.8479167792</v>
      </c>
      <c r="AX110" s="254">
        <v>-7.3580662400004258</v>
      </c>
      <c r="AY110" s="254">
        <v>558.53270034799993</v>
      </c>
      <c r="BA110" s="170"/>
      <c r="BB110" s="170"/>
    </row>
    <row r="111" spans="2:54">
      <c r="B111" s="237">
        <v>10363</v>
      </c>
      <c r="C111" s="237" t="s">
        <v>114</v>
      </c>
      <c r="D111" s="254">
        <v>-1602.1860464568017</v>
      </c>
      <c r="E111" s="254">
        <v>2553.0981445311991</v>
      </c>
      <c r="F111" s="254">
        <v>-9895.2973134607964</v>
      </c>
      <c r="G111" s="254">
        <v>-3424.0938065045993</v>
      </c>
      <c r="H111" s="254">
        <v>4644.9157673407972</v>
      </c>
      <c r="I111" s="254">
        <v>4935.4770269335932</v>
      </c>
      <c r="J111" s="254">
        <v>9327.8907409407984</v>
      </c>
      <c r="K111" s="254">
        <v>12223.5668261336</v>
      </c>
      <c r="L111" s="254">
        <v>5347.3386619736048</v>
      </c>
      <c r="M111" s="254">
        <v>4840.3904015464032</v>
      </c>
      <c r="N111" s="254">
        <v>3146.8199153424066</v>
      </c>
      <c r="O111" s="254">
        <v>2675.8658414694</v>
      </c>
      <c r="P111" s="254">
        <v>5756.0739746416002</v>
      </c>
      <c r="Q111" s="254">
        <v>3170.4724352304002</v>
      </c>
      <c r="R111" s="254">
        <v>-13151.410528059998</v>
      </c>
      <c r="S111" s="254">
        <v>-2754.6712111655979</v>
      </c>
      <c r="T111" s="254">
        <v>-23899.277442458399</v>
      </c>
      <c r="U111" s="254">
        <v>-12467.7935643696</v>
      </c>
      <c r="V111" s="254">
        <v>-12986.599355458398</v>
      </c>
      <c r="W111" s="254">
        <v>1338.093143132799</v>
      </c>
      <c r="X111" s="254">
        <v>-8287.5831761583977</v>
      </c>
      <c r="Y111" s="254">
        <v>-883.90638486720127</v>
      </c>
      <c r="Z111" s="254">
        <v>-6799.4328601599991</v>
      </c>
      <c r="AA111" s="254">
        <v>-2285.8642965679974</v>
      </c>
      <c r="AB111" s="254">
        <v>-1577.1178026912021</v>
      </c>
      <c r="AC111" s="254">
        <v>2574.9427515007992</v>
      </c>
      <c r="AD111" s="254">
        <v>-9884.3546606271993</v>
      </c>
      <c r="AE111" s="254">
        <v>-3411.4817704264024</v>
      </c>
      <c r="AF111" s="254">
        <v>4691.0844985471995</v>
      </c>
      <c r="AG111" s="254">
        <v>4968.852811062392</v>
      </c>
      <c r="AH111" s="254">
        <v>9380.2109209471964</v>
      </c>
      <c r="AI111" s="254">
        <v>12271.113023862403</v>
      </c>
      <c r="AJ111" s="254">
        <v>6906.9486275232048</v>
      </c>
      <c r="AK111" s="254">
        <v>5627.8230218079989</v>
      </c>
      <c r="AL111" s="254">
        <v>3184.3635825216043</v>
      </c>
      <c r="AM111" s="254">
        <v>2699.5257669895982</v>
      </c>
      <c r="AN111" s="254">
        <v>4225.6756577343986</v>
      </c>
      <c r="AO111" s="254">
        <v>4761.0356243136011</v>
      </c>
      <c r="AP111" s="254">
        <v>-11783.025001039998</v>
      </c>
      <c r="AQ111" s="254">
        <v>-4111.1134033503986</v>
      </c>
      <c r="AR111" s="254">
        <v>-23915.946918665599</v>
      </c>
      <c r="AS111" s="254">
        <v>-12475.674382086399</v>
      </c>
      <c r="AT111" s="254">
        <v>-12983.405810665601</v>
      </c>
      <c r="AU111" s="254">
        <v>1357.3957258752016</v>
      </c>
      <c r="AV111" s="254">
        <v>-8273.8599294655942</v>
      </c>
      <c r="AW111" s="254">
        <v>-870.37582612480401</v>
      </c>
      <c r="AX111" s="254">
        <v>-6787.5854374400005</v>
      </c>
      <c r="AY111" s="254">
        <v>-2275.4287149119991</v>
      </c>
      <c r="BA111" s="170"/>
      <c r="BB111" s="170"/>
    </row>
    <row r="112" spans="2:54">
      <c r="B112" s="237">
        <v>10369</v>
      </c>
      <c r="C112" s="237" t="s">
        <v>115</v>
      </c>
      <c r="D112" s="254">
        <v>-3219.7562513371986</v>
      </c>
      <c r="E112" s="254">
        <v>-1080.4091320351995</v>
      </c>
      <c r="F112" s="254">
        <v>-4793.8405009031994</v>
      </c>
      <c r="G112" s="254">
        <v>-2341.6981029259005</v>
      </c>
      <c r="H112" s="254">
        <v>-3652.6458300767999</v>
      </c>
      <c r="I112" s="254">
        <v>-1722.7663659956002</v>
      </c>
      <c r="J112" s="254">
        <v>-2196.5346656768006</v>
      </c>
      <c r="K112" s="254">
        <v>-255.55147919559931</v>
      </c>
      <c r="L112" s="254">
        <v>-2402.7014478355991</v>
      </c>
      <c r="M112" s="254">
        <v>-892.26828408439951</v>
      </c>
      <c r="N112" s="254">
        <v>-3061.4643504503993</v>
      </c>
      <c r="O112" s="254">
        <v>-1382.9166473548999</v>
      </c>
      <c r="P112" s="254">
        <v>-1381.2603408135992</v>
      </c>
      <c r="Q112" s="254">
        <v>-550.92490429840018</v>
      </c>
      <c r="R112" s="254">
        <v>-540.04887299000075</v>
      </c>
      <c r="S112" s="254">
        <v>1411.3438741676009</v>
      </c>
      <c r="T112" s="254">
        <v>-1171.3918229635983</v>
      </c>
      <c r="U112" s="254">
        <v>232.18200230159982</v>
      </c>
      <c r="V112" s="254">
        <v>3819.8711125364007</v>
      </c>
      <c r="W112" s="254">
        <v>5951.4464824911993</v>
      </c>
      <c r="X112" s="254">
        <v>4905.2938709863993</v>
      </c>
      <c r="Y112" s="254">
        <v>4870.7807704912002</v>
      </c>
      <c r="Z112" s="254">
        <v>922.03804735999984</v>
      </c>
      <c r="AA112" s="254">
        <v>1937.6402586280005</v>
      </c>
      <c r="AB112" s="254">
        <v>-3230.5562513371988</v>
      </c>
      <c r="AC112" s="254">
        <v>-1088.2091320351992</v>
      </c>
      <c r="AD112" s="254">
        <v>-4776.7365009031992</v>
      </c>
      <c r="AE112" s="254">
        <v>-2376.8271029259004</v>
      </c>
      <c r="AF112" s="254">
        <v>-3689.7498300767993</v>
      </c>
      <c r="AG112" s="254">
        <v>-1704.2623659956002</v>
      </c>
      <c r="AH112" s="254">
        <v>-2179.8306656768009</v>
      </c>
      <c r="AI112" s="254">
        <v>-290.8554791955994</v>
      </c>
      <c r="AJ112" s="254">
        <v>-2124.0720562707993</v>
      </c>
      <c r="AK112" s="254">
        <v>-755.35358830199993</v>
      </c>
      <c r="AL112" s="254">
        <v>-3098.9683504503992</v>
      </c>
      <c r="AM112" s="254">
        <v>-1363.9876473548998</v>
      </c>
      <c r="AN112" s="254">
        <v>-1586.0783408135985</v>
      </c>
      <c r="AO112" s="254">
        <v>-364.10690429839997</v>
      </c>
      <c r="AP112" s="254">
        <v>-227.64887298999929</v>
      </c>
      <c r="AQ112" s="254">
        <v>1080.3438741676009</v>
      </c>
      <c r="AR112" s="254">
        <v>-1181.791822963598</v>
      </c>
      <c r="AS112" s="254">
        <v>224.58200230160037</v>
      </c>
      <c r="AT112" s="254">
        <v>3809.4711125364011</v>
      </c>
      <c r="AU112" s="254">
        <v>5943.2464824912004</v>
      </c>
      <c r="AV112" s="254">
        <v>4894.8938709863996</v>
      </c>
      <c r="AW112" s="254">
        <v>4862.5807704912013</v>
      </c>
      <c r="AX112" s="254">
        <v>912.03804735999984</v>
      </c>
      <c r="AY112" s="254">
        <v>1929.6402586280005</v>
      </c>
      <c r="BA112" s="170"/>
      <c r="BB112" s="170"/>
    </row>
    <row r="113" spans="2:54">
      <c r="B113" s="237">
        <v>10370</v>
      </c>
      <c r="C113" s="237" t="s">
        <v>116</v>
      </c>
      <c r="D113" s="254">
        <v>-12791.724017093657</v>
      </c>
      <c r="E113" s="254">
        <v>3079.1749724045803</v>
      </c>
      <c r="F113" s="254">
        <v>-14872.971544114385</v>
      </c>
      <c r="G113" s="254">
        <v>4700.297911142763</v>
      </c>
      <c r="H113" s="254">
        <v>-69.327637473601499</v>
      </c>
      <c r="I113" s="254">
        <v>19530.651271184892</v>
      </c>
      <c r="J113" s="254">
        <v>10850.847304869341</v>
      </c>
      <c r="K113" s="254">
        <v>21612.33521839296</v>
      </c>
      <c r="L113" s="254">
        <v>7460.6678475248045</v>
      </c>
      <c r="M113" s="254">
        <v>14848.530412445332</v>
      </c>
      <c r="N113" s="254">
        <v>8170.0607743345026</v>
      </c>
      <c r="O113" s="254">
        <v>20812.883168318433</v>
      </c>
      <c r="P113" s="254">
        <v>11324.514876391469</v>
      </c>
      <c r="Q113" s="254">
        <v>15972.824601586064</v>
      </c>
      <c r="R113" s="254">
        <v>-20958.589487560799</v>
      </c>
      <c r="S113" s="254">
        <v>6094.6152339037217</v>
      </c>
      <c r="T113" s="254">
        <v>-43936.849807893625</v>
      </c>
      <c r="U113" s="254">
        <v>-13780.026932033805</v>
      </c>
      <c r="V113" s="254">
        <v>-25643.202505597423</v>
      </c>
      <c r="W113" s="254">
        <v>6723.1752572154874</v>
      </c>
      <c r="X113" s="254">
        <v>-26180.936099121427</v>
      </c>
      <c r="Y113" s="254">
        <v>4964.3998838734842</v>
      </c>
      <c r="Z113" s="254">
        <v>-11759.488380900802</v>
      </c>
      <c r="AA113" s="254">
        <v>6158.0398052393648</v>
      </c>
      <c r="AB113" s="254">
        <v>-12506.060948952581</v>
      </c>
      <c r="AC113" s="254">
        <v>3457.5746388675834</v>
      </c>
      <c r="AD113" s="254">
        <v>-17178.158508728069</v>
      </c>
      <c r="AE113" s="254">
        <v>7898.3413320468899</v>
      </c>
      <c r="AF113" s="254">
        <v>3825.7588950099889</v>
      </c>
      <c r="AG113" s="254">
        <v>17189.415301692272</v>
      </c>
      <c r="AH113" s="254">
        <v>8649.4742012679926</v>
      </c>
      <c r="AI113" s="254">
        <v>25478.638785270712</v>
      </c>
      <c r="AJ113" s="254">
        <v>10249.025941311993</v>
      </c>
      <c r="AK113" s="254">
        <v>17133.841862740795</v>
      </c>
      <c r="AL113" s="254">
        <v>11924.748070165922</v>
      </c>
      <c r="AM113" s="254">
        <v>18650.982377415807</v>
      </c>
      <c r="AN113" s="254">
        <v>12060.328306845178</v>
      </c>
      <c r="AO113" s="254">
        <v>16618.070786756096</v>
      </c>
      <c r="AP113" s="254">
        <v>-20770.836829049193</v>
      </c>
      <c r="AQ113" s="254">
        <v>6593.0445370496964</v>
      </c>
      <c r="AR113" s="254">
        <v>-44088.60260423529</v>
      </c>
      <c r="AS113" s="254">
        <v>-13634.870781895021</v>
      </c>
      <c r="AT113" s="254">
        <v>-25521.403543168453</v>
      </c>
      <c r="AU113" s="254">
        <v>7195.6086020864168</v>
      </c>
      <c r="AV113" s="254">
        <v>-26092.954110641593</v>
      </c>
      <c r="AW113" s="254">
        <v>5391.5217033172012</v>
      </c>
      <c r="AX113" s="254">
        <v>-11453.333897892808</v>
      </c>
      <c r="AY113" s="254">
        <v>6620.4278708057609</v>
      </c>
      <c r="BA113" s="170"/>
      <c r="BB113" s="170"/>
    </row>
    <row r="114" spans="2:54">
      <c r="B114" s="237">
        <v>10371</v>
      </c>
      <c r="C114" s="237" t="s">
        <v>117</v>
      </c>
      <c r="D114" s="254">
        <v>49.607050866400641</v>
      </c>
      <c r="E114" s="254">
        <v>306.56102554240033</v>
      </c>
      <c r="F114" s="254">
        <v>-226.87655224159971</v>
      </c>
      <c r="G114" s="254">
        <v>274.92974627579997</v>
      </c>
      <c r="H114" s="254">
        <v>790.26798700159998</v>
      </c>
      <c r="I114" s="254">
        <v>726.34558680720011</v>
      </c>
      <c r="J114" s="254">
        <v>1505.2638742016006</v>
      </c>
      <c r="K114" s="254">
        <v>1443.6423652072003</v>
      </c>
      <c r="L114" s="254">
        <v>1385.9541728872009</v>
      </c>
      <c r="M114" s="254">
        <v>1086.8132621528002</v>
      </c>
      <c r="N114" s="254">
        <v>810.18854064480092</v>
      </c>
      <c r="O114" s="254">
        <v>703.69443057380022</v>
      </c>
      <c r="P114" s="254">
        <v>666.8389129232005</v>
      </c>
      <c r="Q114" s="254">
        <v>532.26254562079976</v>
      </c>
      <c r="R114" s="254">
        <v>-1356.3466676199996</v>
      </c>
      <c r="S114" s="254">
        <v>-147.35741307119952</v>
      </c>
      <c r="T114" s="254">
        <v>-2670.9281987767999</v>
      </c>
      <c r="U114" s="254">
        <v>-1126.3590435791998</v>
      </c>
      <c r="V114" s="254">
        <v>-1394.3023497767999</v>
      </c>
      <c r="W114" s="254">
        <v>278.8416453855998</v>
      </c>
      <c r="X114" s="254">
        <v>-1115.2129586767996</v>
      </c>
      <c r="Y114" s="254">
        <v>130.14438938559988</v>
      </c>
      <c r="Z114" s="254">
        <v>-601.50898432000031</v>
      </c>
      <c r="AA114" s="254">
        <v>67.434044664000339</v>
      </c>
      <c r="AB114" s="254">
        <v>60.406050866400619</v>
      </c>
      <c r="AC114" s="254">
        <v>312.96902554240023</v>
      </c>
      <c r="AD114" s="254">
        <v>-212.97655224160007</v>
      </c>
      <c r="AE114" s="254">
        <v>284.23174627579965</v>
      </c>
      <c r="AF114" s="254">
        <v>805.15098700159979</v>
      </c>
      <c r="AG114" s="254">
        <v>735.99458680720045</v>
      </c>
      <c r="AH114" s="254">
        <v>1520.8388742016004</v>
      </c>
      <c r="AI114" s="254">
        <v>1454.2303652072001</v>
      </c>
      <c r="AJ114" s="254">
        <v>1579.2212552296005</v>
      </c>
      <c r="AK114" s="254">
        <v>1185.8068033240002</v>
      </c>
      <c r="AL114" s="254">
        <v>824.47954064480109</v>
      </c>
      <c r="AM114" s="254">
        <v>712.48643057380013</v>
      </c>
      <c r="AN114" s="254">
        <v>678.2169129232002</v>
      </c>
      <c r="AO114" s="254">
        <v>539.31354562079969</v>
      </c>
      <c r="AP114" s="254">
        <v>-1347.7746676199995</v>
      </c>
      <c r="AQ114" s="254">
        <v>-141.48141307119977</v>
      </c>
      <c r="AR114" s="254">
        <v>-2663.3581987767993</v>
      </c>
      <c r="AS114" s="254">
        <v>-1121.6980435791997</v>
      </c>
      <c r="AT114" s="254">
        <v>-1385.4123497767996</v>
      </c>
      <c r="AU114" s="254">
        <v>284.72364538559987</v>
      </c>
      <c r="AV114" s="254">
        <v>-1107.1409586767995</v>
      </c>
      <c r="AW114" s="254">
        <v>135.01438938559977</v>
      </c>
      <c r="AX114" s="254">
        <v>-595.24598431999993</v>
      </c>
      <c r="AY114" s="254">
        <v>71.574044664000212</v>
      </c>
      <c r="BA114" s="170"/>
      <c r="BB114" s="170"/>
    </row>
    <row r="115" spans="2:54">
      <c r="B115" s="237">
        <v>10376</v>
      </c>
      <c r="C115" s="237" t="s">
        <v>118</v>
      </c>
      <c r="D115" s="254">
        <v>-891.52287818599871</v>
      </c>
      <c r="E115" s="254">
        <v>1925.0450958239999</v>
      </c>
      <c r="F115" s="254">
        <v>-4942.7693335160002</v>
      </c>
      <c r="G115" s="254">
        <v>-1302.8248845045</v>
      </c>
      <c r="H115" s="254">
        <v>4158.4554536159994</v>
      </c>
      <c r="I115" s="254">
        <v>4413.5943255219972</v>
      </c>
      <c r="J115" s="254">
        <v>5850.6737756159964</v>
      </c>
      <c r="K115" s="254">
        <v>8073.2082595220018</v>
      </c>
      <c r="L115" s="254">
        <v>7863.7736163220034</v>
      </c>
      <c r="M115" s="254">
        <v>6207.791824078</v>
      </c>
      <c r="N115" s="254">
        <v>5198.0202847480032</v>
      </c>
      <c r="O115" s="254">
        <v>4107.5379821005008</v>
      </c>
      <c r="P115" s="254">
        <v>6111.351178932</v>
      </c>
      <c r="Q115" s="254">
        <v>4276.7892055079992</v>
      </c>
      <c r="R115" s="254">
        <v>-6693.2218524499986</v>
      </c>
      <c r="S115" s="254">
        <v>75.938930338001228</v>
      </c>
      <c r="T115" s="254">
        <v>-14168.620169318001</v>
      </c>
      <c r="U115" s="254">
        <v>-6486.931011491999</v>
      </c>
      <c r="V115" s="254">
        <v>-9375.099616817999</v>
      </c>
      <c r="W115" s="254">
        <v>603.228726456</v>
      </c>
      <c r="X115" s="254">
        <v>-6377.9120120679981</v>
      </c>
      <c r="Y115" s="254">
        <v>-479.43483354399905</v>
      </c>
      <c r="Z115" s="254">
        <v>-3715.4955632000019</v>
      </c>
      <c r="AA115" s="254">
        <v>-493.45892185999946</v>
      </c>
      <c r="AB115" s="254">
        <v>-885.31064401039839</v>
      </c>
      <c r="AC115" s="254">
        <v>1934.3785913535994</v>
      </c>
      <c r="AD115" s="254">
        <v>-4944.6674242223999</v>
      </c>
      <c r="AE115" s="254">
        <v>-1299.8283555938015</v>
      </c>
      <c r="AF115" s="254">
        <v>4178.8906098623993</v>
      </c>
      <c r="AG115" s="254">
        <v>4430.7721860807978</v>
      </c>
      <c r="AH115" s="254">
        <v>5873.6608106623971</v>
      </c>
      <c r="AI115" s="254">
        <v>8098.2477436807985</v>
      </c>
      <c r="AJ115" s="254">
        <v>8764.774089754399</v>
      </c>
      <c r="AK115" s="254">
        <v>6664.6166066360001</v>
      </c>
      <c r="AL115" s="254">
        <v>5219.506405547203</v>
      </c>
      <c r="AM115" s="254">
        <v>4122.7095235281995</v>
      </c>
      <c r="AN115" s="254">
        <v>5037.4817476048011</v>
      </c>
      <c r="AO115" s="254">
        <v>5387.304347611198</v>
      </c>
      <c r="AP115" s="254">
        <v>-5801.2006721799989</v>
      </c>
      <c r="AQ115" s="254">
        <v>-817.49193237679901</v>
      </c>
      <c r="AR115" s="254">
        <v>-14191.273583695198</v>
      </c>
      <c r="AS115" s="254">
        <v>-6496.2047311888018</v>
      </c>
      <c r="AT115" s="254">
        <v>-9388.0007226952002</v>
      </c>
      <c r="AU115" s="254">
        <v>609.39281883839976</v>
      </c>
      <c r="AV115" s="254">
        <v>-6383.770544795203</v>
      </c>
      <c r="AW115" s="254">
        <v>-476.00216516160071</v>
      </c>
      <c r="AX115" s="254">
        <v>-3716.4617484800001</v>
      </c>
      <c r="AY115" s="254">
        <v>-489.99453610399905</v>
      </c>
      <c r="BA115" s="170"/>
      <c r="BB115" s="170"/>
    </row>
    <row r="116" spans="2:54">
      <c r="B116" s="237">
        <v>10378</v>
      </c>
      <c r="C116" s="237" t="s">
        <v>119</v>
      </c>
      <c r="D116" s="254">
        <v>-83.6358136092</v>
      </c>
      <c r="E116" s="254">
        <v>-2.0564147872000262</v>
      </c>
      <c r="F116" s="254">
        <v>-27.076863335200073</v>
      </c>
      <c r="G116" s="254">
        <v>98.110998890099836</v>
      </c>
      <c r="H116" s="254">
        <v>442.19008755519974</v>
      </c>
      <c r="I116" s="254">
        <v>432.86371934839985</v>
      </c>
      <c r="J116" s="254">
        <v>659.46819595519992</v>
      </c>
      <c r="K116" s="254">
        <v>597.57957414840007</v>
      </c>
      <c r="L116" s="254">
        <v>371.92623910839995</v>
      </c>
      <c r="M116" s="254">
        <v>332.93416977159995</v>
      </c>
      <c r="N116" s="254">
        <v>161.66153524560002</v>
      </c>
      <c r="O116" s="254">
        <v>188.0675934210999</v>
      </c>
      <c r="P116" s="254">
        <v>90.743892850399902</v>
      </c>
      <c r="Q116" s="254">
        <v>101.29041691759994</v>
      </c>
      <c r="R116" s="254">
        <v>-357.98479539000016</v>
      </c>
      <c r="S116" s="254">
        <v>-144.22854045640003</v>
      </c>
      <c r="T116" s="254">
        <v>-578.26127329960013</v>
      </c>
      <c r="U116" s="254">
        <v>-296.14566048240005</v>
      </c>
      <c r="V116" s="254">
        <v>-305.07585779960004</v>
      </c>
      <c r="W116" s="254">
        <v>-17.860808196800065</v>
      </c>
      <c r="X116" s="254">
        <v>-260.55892734960014</v>
      </c>
      <c r="Y116" s="254">
        <v>-52.797640196800103</v>
      </c>
      <c r="Z116" s="254">
        <v>-259.28115904000015</v>
      </c>
      <c r="AA116" s="254">
        <v>-107.23664409200001</v>
      </c>
      <c r="AB116" s="254">
        <v>-88.592290156799891</v>
      </c>
      <c r="AC116" s="254">
        <v>-4.5206946687999334</v>
      </c>
      <c r="AD116" s="254">
        <v>-34.059755660799965</v>
      </c>
      <c r="AE116" s="254">
        <v>94.30322147039999</v>
      </c>
      <c r="AF116" s="254">
        <v>435.39825454079994</v>
      </c>
      <c r="AG116" s="254">
        <v>429.05513183360006</v>
      </c>
      <c r="AH116" s="254">
        <v>654.18612814079995</v>
      </c>
      <c r="AI116" s="254">
        <v>594.86623103360012</v>
      </c>
      <c r="AJ116" s="254">
        <v>398.21113060480002</v>
      </c>
      <c r="AK116" s="254">
        <v>346.00486851200003</v>
      </c>
      <c r="AL116" s="254">
        <v>156.33013194240016</v>
      </c>
      <c r="AM116" s="254">
        <v>185.30289169440005</v>
      </c>
      <c r="AN116" s="254">
        <v>87.066214041600119</v>
      </c>
      <c r="AO116" s="254">
        <v>99.314593830400042</v>
      </c>
      <c r="AP116" s="254">
        <v>-364.24563055999988</v>
      </c>
      <c r="AQ116" s="254">
        <v>-147.35157906559999</v>
      </c>
      <c r="AR116" s="254">
        <v>-586.9924155583999</v>
      </c>
      <c r="AS116" s="254">
        <v>-300.78205576959994</v>
      </c>
      <c r="AT116" s="254">
        <v>-311.91070355839986</v>
      </c>
      <c r="AU116" s="254">
        <v>-20.416191667199996</v>
      </c>
      <c r="AV116" s="254">
        <v>-266.94488675839989</v>
      </c>
      <c r="AW116" s="254">
        <v>-55.423719667199975</v>
      </c>
      <c r="AX116" s="254">
        <v>-264.27030015999992</v>
      </c>
      <c r="AY116" s="254">
        <v>-109.82273356799999</v>
      </c>
      <c r="BA116" s="170"/>
      <c r="BB116" s="170"/>
    </row>
    <row r="117" spans="2:54">
      <c r="B117" s="237">
        <v>10379</v>
      </c>
      <c r="C117" s="237" t="s">
        <v>120</v>
      </c>
      <c r="D117" s="254">
        <v>-74.023576132799917</v>
      </c>
      <c r="E117" s="254">
        <v>85.231078515200124</v>
      </c>
      <c r="F117" s="254">
        <v>-164.24350191680014</v>
      </c>
      <c r="G117" s="254">
        <v>118.68080564839988</v>
      </c>
      <c r="H117" s="254">
        <v>237.19467239679943</v>
      </c>
      <c r="I117" s="254">
        <v>255.3134351855997</v>
      </c>
      <c r="J117" s="254">
        <v>649.5476979967998</v>
      </c>
      <c r="K117" s="254">
        <v>645.23047838560001</v>
      </c>
      <c r="L117" s="254">
        <v>450.62358302560006</v>
      </c>
      <c r="M117" s="254">
        <v>392.34870689439981</v>
      </c>
      <c r="N117" s="254">
        <v>146.63741791040002</v>
      </c>
      <c r="O117" s="254">
        <v>203.2690790524</v>
      </c>
      <c r="P117" s="254">
        <v>255.69114695359985</v>
      </c>
      <c r="Q117" s="254">
        <v>232.90371195839987</v>
      </c>
      <c r="R117" s="254">
        <v>-752.7276447600002</v>
      </c>
      <c r="S117" s="254">
        <v>-169.5214386575999</v>
      </c>
      <c r="T117" s="254">
        <v>-1499.1299296464001</v>
      </c>
      <c r="U117" s="254">
        <v>-705.16390964160007</v>
      </c>
      <c r="V117" s="254">
        <v>-982.23062764639985</v>
      </c>
      <c r="W117" s="254">
        <v>-86.926508371200043</v>
      </c>
      <c r="X117" s="254">
        <v>-834.57850984640004</v>
      </c>
      <c r="Y117" s="254">
        <v>-124.20799637120024</v>
      </c>
      <c r="Z117" s="254">
        <v>-529.68931136000015</v>
      </c>
      <c r="AA117" s="254">
        <v>-169.54283332799992</v>
      </c>
      <c r="AB117" s="254">
        <v>-73.424585374400067</v>
      </c>
      <c r="AC117" s="254">
        <v>86.201672729599977</v>
      </c>
      <c r="AD117" s="254">
        <v>-165.60307800639976</v>
      </c>
      <c r="AE117" s="254">
        <v>118.84299537319998</v>
      </c>
      <c r="AF117" s="254">
        <v>235.08161104639976</v>
      </c>
      <c r="AG117" s="254">
        <v>254.41377590879983</v>
      </c>
      <c r="AH117" s="254">
        <v>649.22883984639975</v>
      </c>
      <c r="AI117" s="254">
        <v>645.95084950880005</v>
      </c>
      <c r="AJ117" s="254">
        <v>528.04449215840009</v>
      </c>
      <c r="AK117" s="254">
        <v>431.70955389599976</v>
      </c>
      <c r="AL117" s="254">
        <v>146.78671769919993</v>
      </c>
      <c r="AM117" s="254">
        <v>203.89113626519975</v>
      </c>
      <c r="AN117" s="254">
        <v>257.73067577279994</v>
      </c>
      <c r="AO117" s="254">
        <v>234.53029200319986</v>
      </c>
      <c r="AP117" s="254">
        <v>-754.64052348000018</v>
      </c>
      <c r="AQ117" s="254">
        <v>-169.18263256479986</v>
      </c>
      <c r="AR117" s="254">
        <v>-1503.6568760272003</v>
      </c>
      <c r="AS117" s="254">
        <v>-706.93004479679996</v>
      </c>
      <c r="AT117" s="254">
        <v>-984.33863002720022</v>
      </c>
      <c r="AU117" s="254">
        <v>-85.580925817600018</v>
      </c>
      <c r="AV117" s="254">
        <v>-835.92835062720019</v>
      </c>
      <c r="AW117" s="254">
        <v>-123.17334981760007</v>
      </c>
      <c r="AX117" s="254">
        <v>-529.84114528000009</v>
      </c>
      <c r="AY117" s="254">
        <v>-168.82030974399993</v>
      </c>
      <c r="BA117" s="170"/>
      <c r="BB117" s="170"/>
    </row>
    <row r="118" spans="2:54">
      <c r="B118" s="237">
        <v>10388</v>
      </c>
      <c r="C118" s="237" t="s">
        <v>121</v>
      </c>
      <c r="D118" s="254">
        <v>-12743.394365803993</v>
      </c>
      <c r="E118" s="254">
        <v>4710.6227623360064</v>
      </c>
      <c r="F118" s="254">
        <v>-26775.40757642399</v>
      </c>
      <c r="G118" s="254">
        <v>-9919.0075444630274</v>
      </c>
      <c r="H118" s="254">
        <v>-31877.936822175965</v>
      </c>
      <c r="I118" s="254">
        <v>-2072.9521202920077</v>
      </c>
      <c r="J118" s="254">
        <v>-17037.236914176028</v>
      </c>
      <c r="K118" s="254">
        <v>-5711.0502442920224</v>
      </c>
      <c r="L118" s="254">
        <v>-17589.18868909197</v>
      </c>
      <c r="M118" s="254">
        <v>-5331.4174653079972</v>
      </c>
      <c r="N118" s="254">
        <v>-21124.856651927956</v>
      </c>
      <c r="O118" s="254">
        <v>-4680.8558459930209</v>
      </c>
      <c r="P118" s="254">
        <v>-5265.4792005520139</v>
      </c>
      <c r="Q118" s="254">
        <v>13366.558830712009</v>
      </c>
      <c r="R118" s="254">
        <v>3995.0265256999992</v>
      </c>
      <c r="S118" s="254">
        <v>11142.438214332004</v>
      </c>
      <c r="T118" s="254">
        <v>5493.8730239480356</v>
      </c>
      <c r="U118" s="254">
        <v>11924.07439271202</v>
      </c>
      <c r="V118" s="254">
        <v>11476.862758948017</v>
      </c>
      <c r="W118" s="254">
        <v>39401.373525584007</v>
      </c>
      <c r="X118" s="254">
        <v>23073.907925448002</v>
      </c>
      <c r="Y118" s="254">
        <v>23438.504685583997</v>
      </c>
      <c r="Z118" s="254">
        <v>-852.37832479996723</v>
      </c>
      <c r="AA118" s="254">
        <v>15629.354381960009</v>
      </c>
      <c r="AB118" s="254">
        <v>-12373.481365803964</v>
      </c>
      <c r="AC118" s="254">
        <v>2648.2187623360114</v>
      </c>
      <c r="AD118" s="254">
        <v>-26943.459576423986</v>
      </c>
      <c r="AE118" s="254">
        <v>-11372.036544463037</v>
      </c>
      <c r="AF118" s="254">
        <v>-36384.258822176009</v>
      </c>
      <c r="AG118" s="254">
        <v>736.75787970799865</v>
      </c>
      <c r="AH118" s="254">
        <v>-14931.838914175984</v>
      </c>
      <c r="AI118" s="254">
        <v>-9516.3492442919924</v>
      </c>
      <c r="AJ118" s="254">
        <v>-14314.612674755997</v>
      </c>
      <c r="AK118" s="254">
        <v>-4772.9484581399847</v>
      </c>
      <c r="AL118" s="254">
        <v>-24673.831651927932</v>
      </c>
      <c r="AM118" s="254">
        <v>-2812.0138459929585</v>
      </c>
      <c r="AN118" s="254">
        <v>-4314.7892005519534</v>
      </c>
      <c r="AO118" s="254">
        <v>10809.683830712023</v>
      </c>
      <c r="AP118" s="254">
        <v>1442.0835256999999</v>
      </c>
      <c r="AQ118" s="254">
        <v>12011.362214332003</v>
      </c>
      <c r="AR118" s="254">
        <v>6198.6520239480451</v>
      </c>
      <c r="AS118" s="254">
        <v>9614.7393927119992</v>
      </c>
      <c r="AT118" s="254">
        <v>11840.356758948023</v>
      </c>
      <c r="AU118" s="254">
        <v>37347.442525584011</v>
      </c>
      <c r="AV118" s="254">
        <v>22263.673925448064</v>
      </c>
      <c r="AW118" s="254">
        <v>22573.68868558402</v>
      </c>
      <c r="AX118" s="254">
        <v>-1902.6313247999642</v>
      </c>
      <c r="AY118" s="254">
        <v>15085.314381959986</v>
      </c>
      <c r="BA118" s="170"/>
      <c r="BB118" s="170"/>
    </row>
    <row r="119" spans="2:54">
      <c r="B119" s="237">
        <v>10391</v>
      </c>
      <c r="C119" s="237" t="s">
        <v>122</v>
      </c>
      <c r="D119" s="254">
        <v>-4153.7197589823991</v>
      </c>
      <c r="E119" s="254">
        <v>-1543.4532745983988</v>
      </c>
      <c r="F119" s="254">
        <v>-6843.4376828543991</v>
      </c>
      <c r="G119" s="254">
        <v>-2842.0543300528007</v>
      </c>
      <c r="H119" s="254">
        <v>-3855.204881305599</v>
      </c>
      <c r="I119" s="254">
        <v>-1188.684030675201</v>
      </c>
      <c r="J119" s="254">
        <v>-1387.7848365056016</v>
      </c>
      <c r="K119" s="254">
        <v>792.07679492480111</v>
      </c>
      <c r="L119" s="254">
        <v>-1989.4206719552003</v>
      </c>
      <c r="M119" s="254">
        <v>-155.60752068479815</v>
      </c>
      <c r="N119" s="254">
        <v>-4173.8128301567976</v>
      </c>
      <c r="O119" s="254">
        <v>-1785.3641072207993</v>
      </c>
      <c r="P119" s="254">
        <v>-1006.2845213311994</v>
      </c>
      <c r="Q119" s="254">
        <v>-234.45757057280025</v>
      </c>
      <c r="R119" s="254">
        <v>-2557.7271220799994</v>
      </c>
      <c r="S119" s="254">
        <v>204.27278209920041</v>
      </c>
      <c r="T119" s="254">
        <v>-1688.2808741312037</v>
      </c>
      <c r="U119" s="254">
        <v>961.9212166271991</v>
      </c>
      <c r="V119" s="254">
        <v>392.71834186879823</v>
      </c>
      <c r="W119" s="254">
        <v>4298.4947573504005</v>
      </c>
      <c r="X119" s="254">
        <v>-342.97829573119816</v>
      </c>
      <c r="Y119" s="254">
        <v>1987.8466533504006</v>
      </c>
      <c r="Z119" s="254">
        <v>-2229.8031948799999</v>
      </c>
      <c r="AA119" s="254">
        <v>-208.92796582399933</v>
      </c>
      <c r="AB119" s="254">
        <v>-4173.6327589823995</v>
      </c>
      <c r="AC119" s="254">
        <v>-1574.5032745983999</v>
      </c>
      <c r="AD119" s="254">
        <v>-6754.4616828544004</v>
      </c>
      <c r="AE119" s="254">
        <v>-2969.2043300528003</v>
      </c>
      <c r="AF119" s="254">
        <v>-3974.5498813056001</v>
      </c>
      <c r="AG119" s="254">
        <v>-1120.2890306752015</v>
      </c>
      <c r="AH119" s="254">
        <v>-1306.6458365056005</v>
      </c>
      <c r="AI119" s="254">
        <v>659.99279492480036</v>
      </c>
      <c r="AJ119" s="254">
        <v>-1417.222295353602</v>
      </c>
      <c r="AK119" s="254">
        <v>120.3766676160003</v>
      </c>
      <c r="AL119" s="254">
        <v>-4294.3218301567977</v>
      </c>
      <c r="AM119" s="254">
        <v>-1715.2181072207995</v>
      </c>
      <c r="AN119" s="254">
        <v>-1018.2545213312005</v>
      </c>
      <c r="AO119" s="254">
        <v>-260.10057057280028</v>
      </c>
      <c r="AP119" s="254">
        <v>-2567.8041220800005</v>
      </c>
      <c r="AQ119" s="254">
        <v>163.36778209920067</v>
      </c>
      <c r="AR119" s="254">
        <v>-1699.9838741312014</v>
      </c>
      <c r="AS119" s="254">
        <v>935.98021662720021</v>
      </c>
      <c r="AT119" s="254">
        <v>371.97634186879804</v>
      </c>
      <c r="AU119" s="254">
        <v>4268.2437573504003</v>
      </c>
      <c r="AV119" s="254">
        <v>-352.44229573119992</v>
      </c>
      <c r="AW119" s="254">
        <v>1946.3166533504</v>
      </c>
      <c r="AX119" s="254">
        <v>-2239.2011948800009</v>
      </c>
      <c r="AY119" s="254">
        <v>-237.17596582399892</v>
      </c>
      <c r="BA119" s="170"/>
      <c r="BB119" s="170"/>
    </row>
    <row r="120" spans="2:54">
      <c r="B120" s="237">
        <v>10406</v>
      </c>
      <c r="C120" s="237" t="s">
        <v>123</v>
      </c>
      <c r="D120" s="254">
        <v>62.946656318800024</v>
      </c>
      <c r="E120" s="254">
        <v>90.144457660800001</v>
      </c>
      <c r="F120" s="254">
        <v>72.115847432799967</v>
      </c>
      <c r="G120" s="254">
        <v>105.67753535609998</v>
      </c>
      <c r="H120" s="254">
        <v>175.05216198719995</v>
      </c>
      <c r="I120" s="254">
        <v>174.06828529239999</v>
      </c>
      <c r="J120" s="254">
        <v>210.52281438719996</v>
      </c>
      <c r="K120" s="254">
        <v>232.77930809240002</v>
      </c>
      <c r="L120" s="254">
        <v>176.49324665239999</v>
      </c>
      <c r="M120" s="254">
        <v>165.66922302759997</v>
      </c>
      <c r="N120" s="254">
        <v>135.93586134159997</v>
      </c>
      <c r="O120" s="254">
        <v>131.5089103471</v>
      </c>
      <c r="P120" s="254">
        <v>136.36335011439999</v>
      </c>
      <c r="Q120" s="254">
        <v>125.34932653359998</v>
      </c>
      <c r="R120" s="254">
        <v>0.85214720999999827</v>
      </c>
      <c r="S120" s="254">
        <v>64.832442319599991</v>
      </c>
      <c r="T120" s="254">
        <v>-60.778975035599984</v>
      </c>
      <c r="U120" s="254">
        <v>-2.4608348664000061</v>
      </c>
      <c r="V120" s="254">
        <v>-20.551329535600019</v>
      </c>
      <c r="W120" s="254">
        <v>57.637189915199968</v>
      </c>
      <c r="X120" s="254">
        <v>6.2571979143999954</v>
      </c>
      <c r="Y120" s="254">
        <v>43.926237915199991</v>
      </c>
      <c r="Z120" s="254">
        <v>22.860274559999965</v>
      </c>
      <c r="AA120" s="254">
        <v>50.053775187999989</v>
      </c>
      <c r="AB120" s="254">
        <v>68.9596563188</v>
      </c>
      <c r="AC120" s="254">
        <v>94.674457660800002</v>
      </c>
      <c r="AD120" s="254">
        <v>77.983847432799962</v>
      </c>
      <c r="AE120" s="254">
        <v>110.3535353561</v>
      </c>
      <c r="AF120" s="254">
        <v>180.99316198719998</v>
      </c>
      <c r="AG120" s="254">
        <v>178.6712852924</v>
      </c>
      <c r="AH120" s="254">
        <v>216.20081438719996</v>
      </c>
      <c r="AI120" s="254">
        <v>237.64430809240002</v>
      </c>
      <c r="AJ120" s="254">
        <v>189.77649991319996</v>
      </c>
      <c r="AK120" s="254">
        <v>173.87134965799999</v>
      </c>
      <c r="AL120" s="254">
        <v>142.0238613416</v>
      </c>
      <c r="AM120" s="254">
        <v>135.96591034709999</v>
      </c>
      <c r="AN120" s="254">
        <v>130.49935011440002</v>
      </c>
      <c r="AO120" s="254">
        <v>141.75732653360001</v>
      </c>
      <c r="AP120" s="254">
        <v>15.846147209999998</v>
      </c>
      <c r="AQ120" s="254">
        <v>60.381442319599998</v>
      </c>
      <c r="AR120" s="254">
        <v>-54.484975035600002</v>
      </c>
      <c r="AS120" s="254">
        <v>1.7891651335999939</v>
      </c>
      <c r="AT120" s="254">
        <v>-14.558329535599995</v>
      </c>
      <c r="AU120" s="254">
        <v>62.188189915199985</v>
      </c>
      <c r="AV120" s="254">
        <v>12.71819791439998</v>
      </c>
      <c r="AW120" s="254">
        <v>48.009237915199989</v>
      </c>
      <c r="AX120" s="254">
        <v>28.945274559999973</v>
      </c>
      <c r="AY120" s="254">
        <v>54.512775187999992</v>
      </c>
      <c r="BA120" s="170"/>
      <c r="BB120" s="170"/>
    </row>
    <row r="121" spans="2:54">
      <c r="B121" s="237">
        <v>10408</v>
      </c>
      <c r="C121" s="237" t="s">
        <v>124</v>
      </c>
      <c r="D121" s="254">
        <v>85.730670438000061</v>
      </c>
      <c r="E121" s="254">
        <v>261.99074260800001</v>
      </c>
      <c r="F121" s="254">
        <v>-70.309232171999952</v>
      </c>
      <c r="G121" s="254">
        <v>117.92010212350004</v>
      </c>
      <c r="H121" s="254">
        <v>36.43341387199996</v>
      </c>
      <c r="I121" s="254">
        <v>175.59964467399993</v>
      </c>
      <c r="J121" s="254">
        <v>102.13168787200004</v>
      </c>
      <c r="K121" s="254">
        <v>300.25112267400004</v>
      </c>
      <c r="L121" s="254">
        <v>115.78270827400002</v>
      </c>
      <c r="M121" s="254">
        <v>205.06233852600002</v>
      </c>
      <c r="N121" s="254">
        <v>119.54640791600013</v>
      </c>
      <c r="O121" s="254">
        <v>206.36803140850003</v>
      </c>
      <c r="P121" s="254">
        <v>193.14282664400002</v>
      </c>
      <c r="Q121" s="254">
        <v>235.20952483599996</v>
      </c>
      <c r="R121" s="254">
        <v>-134.66742165000005</v>
      </c>
      <c r="S121" s="254">
        <v>155.585308946</v>
      </c>
      <c r="T121" s="254">
        <v>-316.71914360599988</v>
      </c>
      <c r="U121" s="254">
        <v>-27.297964164000007</v>
      </c>
      <c r="V121" s="254">
        <v>-199.74625110599993</v>
      </c>
      <c r="W121" s="254">
        <v>183.252628152</v>
      </c>
      <c r="X121" s="254">
        <v>-74.936820355999998</v>
      </c>
      <c r="Y121" s="254">
        <v>130.80310815199999</v>
      </c>
      <c r="Z121" s="254">
        <v>-361.65405439999995</v>
      </c>
      <c r="AA121" s="254">
        <v>-118.97167561999998</v>
      </c>
      <c r="AB121" s="254">
        <v>86.031576976800125</v>
      </c>
      <c r="AC121" s="254">
        <v>262.15156778879998</v>
      </c>
      <c r="AD121" s="254">
        <v>-69.94149541920001</v>
      </c>
      <c r="AE121" s="254">
        <v>118.13890869460005</v>
      </c>
      <c r="AF121" s="254">
        <v>36.79325953919988</v>
      </c>
      <c r="AG121" s="254">
        <v>175.81925902639995</v>
      </c>
      <c r="AH121" s="254">
        <v>102.43524593920006</v>
      </c>
      <c r="AI121" s="254">
        <v>300.43057982640005</v>
      </c>
      <c r="AJ121" s="254">
        <v>139.81847737520002</v>
      </c>
      <c r="AK121" s="254">
        <v>217.10369518800002</v>
      </c>
      <c r="AL121" s="254">
        <v>119.85586729760007</v>
      </c>
      <c r="AM121" s="254">
        <v>206.54527962060007</v>
      </c>
      <c r="AN121" s="254">
        <v>156.85218511840003</v>
      </c>
      <c r="AO121" s="254">
        <v>271.89644420960002</v>
      </c>
      <c r="AP121" s="254">
        <v>-102.17661294000004</v>
      </c>
      <c r="AQ121" s="254">
        <v>123.62894000559999</v>
      </c>
      <c r="AR121" s="254">
        <v>-316.27658278159993</v>
      </c>
      <c r="AS121" s="254">
        <v>-27.05861619039996</v>
      </c>
      <c r="AT121" s="254">
        <v>-199.37821978159991</v>
      </c>
      <c r="AU121" s="254">
        <v>183.41923494719998</v>
      </c>
      <c r="AV121" s="254">
        <v>-74.580044081600022</v>
      </c>
      <c r="AW121" s="254">
        <v>130.96696294719999</v>
      </c>
      <c r="AX121" s="254">
        <v>-361.35471583999993</v>
      </c>
      <c r="AY121" s="254">
        <v>-118.80359823199996</v>
      </c>
      <c r="BA121" s="170"/>
      <c r="BB121" s="170"/>
    </row>
    <row r="122" spans="2:54">
      <c r="B122" s="237">
        <v>10409</v>
      </c>
      <c r="C122" s="237" t="s">
        <v>125</v>
      </c>
      <c r="D122" s="254">
        <v>-141.47583478639899</v>
      </c>
      <c r="E122" s="254">
        <v>1533.0331277376008</v>
      </c>
      <c r="F122" s="254">
        <v>-2062.4125192783995</v>
      </c>
      <c r="G122" s="254">
        <v>15.971067984199181</v>
      </c>
      <c r="H122" s="254">
        <v>-558.004943481601</v>
      </c>
      <c r="I122" s="254">
        <v>795.42151903279955</v>
      </c>
      <c r="J122" s="254">
        <v>1063.2360093183997</v>
      </c>
      <c r="K122" s="254">
        <v>2545.2122206327995</v>
      </c>
      <c r="L122" s="254">
        <v>383.1433089528</v>
      </c>
      <c r="M122" s="254">
        <v>1144.8683440072</v>
      </c>
      <c r="N122" s="254">
        <v>95.710297915200499</v>
      </c>
      <c r="O122" s="254">
        <v>950.10916428620021</v>
      </c>
      <c r="P122" s="254">
        <v>1301.5842981167998</v>
      </c>
      <c r="Q122" s="254">
        <v>1606.5276401392002</v>
      </c>
      <c r="R122" s="254">
        <v>-2403.2053463800003</v>
      </c>
      <c r="S122" s="254">
        <v>609.63742643120077</v>
      </c>
      <c r="T122" s="254">
        <v>-2136.9035801831997</v>
      </c>
      <c r="U122" s="254">
        <v>296.7419893392007</v>
      </c>
      <c r="V122" s="254">
        <v>-76.241129183199519</v>
      </c>
      <c r="W122" s="254">
        <v>3255.5164429344004</v>
      </c>
      <c r="X122" s="254">
        <v>490.77364971680072</v>
      </c>
      <c r="Y122" s="254">
        <v>2445.2064989343999</v>
      </c>
      <c r="Z122" s="254">
        <v>1382.0554803199993</v>
      </c>
      <c r="AA122" s="254">
        <v>2362.4013161360008</v>
      </c>
      <c r="AB122" s="254">
        <v>2581.3400717524</v>
      </c>
      <c r="AC122" s="254">
        <v>3375.8549529183992</v>
      </c>
      <c r="AD122" s="254">
        <v>485.60121747439916</v>
      </c>
      <c r="AE122" s="254">
        <v>2088.7358745552992</v>
      </c>
      <c r="AF122" s="254">
        <v>2925.4339021855994</v>
      </c>
      <c r="AG122" s="254">
        <v>2549.867133385198</v>
      </c>
      <c r="AH122" s="254">
        <v>3680.8285673855989</v>
      </c>
      <c r="AI122" s="254">
        <v>4452.0596777852006</v>
      </c>
      <c r="AJ122" s="254">
        <v>3145.6221603835984</v>
      </c>
      <c r="AK122" s="254">
        <v>2997.4937418339996</v>
      </c>
      <c r="AL122" s="254">
        <v>2786.6477572968015</v>
      </c>
      <c r="AM122" s="254">
        <v>2908.6634124983002</v>
      </c>
      <c r="AN122" s="254">
        <v>3643.0206565911985</v>
      </c>
      <c r="AO122" s="254">
        <v>3765.6115595127999</v>
      </c>
      <c r="AP122" s="254">
        <v>466.27846232999946</v>
      </c>
      <c r="AQ122" s="254">
        <v>2448.8500574908003</v>
      </c>
      <c r="AR122" s="254">
        <v>-2136.4610193588014</v>
      </c>
      <c r="AS122" s="254">
        <v>296.98133731279995</v>
      </c>
      <c r="AT122" s="254">
        <v>-75.873097858799156</v>
      </c>
      <c r="AU122" s="254">
        <v>3255.6830497296005</v>
      </c>
      <c r="AV122" s="254">
        <v>491.13042599119944</v>
      </c>
      <c r="AW122" s="254">
        <v>2445.3703537295996</v>
      </c>
      <c r="AX122" s="254">
        <v>1382.3548188799996</v>
      </c>
      <c r="AY122" s="254">
        <v>2362.5693935240006</v>
      </c>
      <c r="BA122" s="170"/>
      <c r="BB122" s="170"/>
    </row>
    <row r="123" spans="2:54">
      <c r="B123" s="237">
        <v>10426</v>
      </c>
      <c r="C123" s="237" t="s">
        <v>126</v>
      </c>
      <c r="D123" s="254">
        <v>-7522.4943535803986</v>
      </c>
      <c r="E123" s="254">
        <v>-2825.8645957664003</v>
      </c>
      <c r="F123" s="254">
        <v>-9310.3460596423993</v>
      </c>
      <c r="G123" s="254">
        <v>-3958.7864596963009</v>
      </c>
      <c r="H123" s="254">
        <v>-6831.7914302176014</v>
      </c>
      <c r="I123" s="254">
        <v>-1844.8866030292002</v>
      </c>
      <c r="J123" s="254">
        <v>-3955.4433394176012</v>
      </c>
      <c r="K123" s="254">
        <v>-372.51121542920009</v>
      </c>
      <c r="L123" s="254">
        <v>-5024.1654599091989</v>
      </c>
      <c r="M123" s="254">
        <v>-1420.1271555308003</v>
      </c>
      <c r="N123" s="254">
        <v>-6655.9312591927983</v>
      </c>
      <c r="O123" s="254">
        <v>-2087.0264173493006</v>
      </c>
      <c r="P123" s="254">
        <v>-5436.7404660552002</v>
      </c>
      <c r="Q123" s="254">
        <v>-2045.7520909288005</v>
      </c>
      <c r="R123" s="254">
        <v>-10063.805572429999</v>
      </c>
      <c r="S123" s="254">
        <v>-4183.9359175667996</v>
      </c>
      <c r="T123" s="254">
        <v>-13786.5343686052</v>
      </c>
      <c r="U123" s="254">
        <v>-6595.4983347287998</v>
      </c>
      <c r="V123" s="254">
        <v>-9942.9386451051978</v>
      </c>
      <c r="W123" s="254">
        <v>-2917.4616154416008</v>
      </c>
      <c r="X123" s="254">
        <v>-9027.0355534552</v>
      </c>
      <c r="Y123" s="254">
        <v>-2894.1717994416003</v>
      </c>
      <c r="Z123" s="254">
        <v>-8023.0815324799996</v>
      </c>
      <c r="AA123" s="254">
        <v>-3317.7979318039997</v>
      </c>
      <c r="AB123" s="254">
        <v>-9367.0514364243973</v>
      </c>
      <c r="AC123" s="254">
        <v>-3811.7229540704002</v>
      </c>
      <c r="AD123" s="254">
        <v>-11564.572354306398</v>
      </c>
      <c r="AE123" s="254">
        <v>-5300.0707405393005</v>
      </c>
      <c r="AF123" s="254">
        <v>-9037.6453701535993</v>
      </c>
      <c r="AG123" s="254">
        <v>-3191.122583241201</v>
      </c>
      <c r="AH123" s="254">
        <v>-5816.2542913535999</v>
      </c>
      <c r="AI123" s="254">
        <v>-1472.5835596412007</v>
      </c>
      <c r="AJ123" s="254">
        <v>-6158.2381537915999</v>
      </c>
      <c r="AK123" s="254">
        <v>-2131.0475453540002</v>
      </c>
      <c r="AL123" s="254">
        <v>-8552.9172684007972</v>
      </c>
      <c r="AM123" s="254">
        <v>-3173.557957522301</v>
      </c>
      <c r="AN123" s="254">
        <v>-6965.3079141271992</v>
      </c>
      <c r="AO123" s="254">
        <v>-2946.3678510968002</v>
      </c>
      <c r="AP123" s="254">
        <v>-12189.742964730001</v>
      </c>
      <c r="AQ123" s="254">
        <v>-5334.1143129147986</v>
      </c>
      <c r="AR123" s="254">
        <v>-16499.432222177198</v>
      </c>
      <c r="AS123" s="254">
        <v>-8062.7014128968003</v>
      </c>
      <c r="AT123" s="254">
        <v>-12198.970663677199</v>
      </c>
      <c r="AU123" s="254">
        <v>-3938.7612700176005</v>
      </c>
      <c r="AV123" s="254">
        <v>-11214.074115527197</v>
      </c>
      <c r="AW123" s="254">
        <v>-3898.6016940176005</v>
      </c>
      <c r="AX123" s="254">
        <v>-9858.0269052799995</v>
      </c>
      <c r="AY123" s="254">
        <v>-4348.1123202439994</v>
      </c>
      <c r="BA123" s="170"/>
      <c r="BB123" s="170"/>
    </row>
    <row r="124" spans="2:54">
      <c r="B124" s="237">
        <v>10434</v>
      </c>
      <c r="C124" s="237" t="s">
        <v>127</v>
      </c>
      <c r="D124" s="254">
        <v>-1391.4619495539973</v>
      </c>
      <c r="E124" s="254">
        <v>-305.70932766400074</v>
      </c>
      <c r="F124" s="254">
        <v>-2902.2988289240002</v>
      </c>
      <c r="G124" s="254">
        <v>-869.9326916505006</v>
      </c>
      <c r="H124" s="254">
        <v>646.64086782399863</v>
      </c>
      <c r="I124" s="254">
        <v>1272.8430784579978</v>
      </c>
      <c r="J124" s="254">
        <v>2598.0045258239988</v>
      </c>
      <c r="K124" s="254">
        <v>2607.1412044579993</v>
      </c>
      <c r="L124" s="254">
        <v>1380.2317596580015</v>
      </c>
      <c r="M124" s="254">
        <v>1217.809835942001</v>
      </c>
      <c r="N124" s="254">
        <v>-101.82451942799889</v>
      </c>
      <c r="O124" s="254">
        <v>582.05300369450015</v>
      </c>
      <c r="P124" s="254">
        <v>414.98186694800097</v>
      </c>
      <c r="Q124" s="254">
        <v>387.25548821200027</v>
      </c>
      <c r="R124" s="254">
        <v>-4168.0979430499992</v>
      </c>
      <c r="S124" s="254">
        <v>-1463.2283969179998</v>
      </c>
      <c r="T124" s="254">
        <v>-6999.2225023019982</v>
      </c>
      <c r="U124" s="254">
        <v>-3608.4793247879998</v>
      </c>
      <c r="V124" s="254">
        <v>-2254.3715798019985</v>
      </c>
      <c r="W124" s="254">
        <v>541.27469058400038</v>
      </c>
      <c r="X124" s="254">
        <v>-1908.626632051999</v>
      </c>
      <c r="Y124" s="254">
        <v>-57.824149415999273</v>
      </c>
      <c r="Z124" s="254">
        <v>-2568.6403247999988</v>
      </c>
      <c r="AA124" s="254">
        <v>-810.32895553999879</v>
      </c>
      <c r="AB124" s="254">
        <v>-1433.2489495539994</v>
      </c>
      <c r="AC124" s="254">
        <v>-343.20032766399981</v>
      </c>
      <c r="AD124" s="254">
        <v>-2906.927828924001</v>
      </c>
      <c r="AE124" s="254">
        <v>-924.22669165050138</v>
      </c>
      <c r="AF124" s="254">
        <v>610.56186782399891</v>
      </c>
      <c r="AG124" s="254">
        <v>1272.4560784579971</v>
      </c>
      <c r="AH124" s="254">
        <v>2603.7695258239983</v>
      </c>
      <c r="AI124" s="254">
        <v>2560.2592044579997</v>
      </c>
      <c r="AJ124" s="254">
        <v>1810.3179339939998</v>
      </c>
      <c r="AK124" s="254">
        <v>1419.4249231099993</v>
      </c>
      <c r="AL124" s="254">
        <v>-154.98451942799875</v>
      </c>
      <c r="AM124" s="254">
        <v>573.51000369450048</v>
      </c>
      <c r="AN124" s="254">
        <v>376.65386694800145</v>
      </c>
      <c r="AO124" s="254">
        <v>352.81748821200108</v>
      </c>
      <c r="AP124" s="254">
        <v>-4207.2489430499991</v>
      </c>
      <c r="AQ124" s="254">
        <v>-1507.6613969179998</v>
      </c>
      <c r="AR124" s="254">
        <v>-7038.5625023019984</v>
      </c>
      <c r="AS124" s="254">
        <v>-3645.7673247879993</v>
      </c>
      <c r="AT124" s="254">
        <v>-2284.441579802</v>
      </c>
      <c r="AU124" s="254">
        <v>505.5336905840004</v>
      </c>
      <c r="AV124" s="254">
        <v>-1937.9326320519995</v>
      </c>
      <c r="AW124" s="254">
        <v>-96.403149415998996</v>
      </c>
      <c r="AX124" s="254">
        <v>-2609.0093247999994</v>
      </c>
      <c r="AY124" s="254">
        <v>-850.18695553999896</v>
      </c>
      <c r="BA124" s="170"/>
      <c r="BB124" s="170"/>
    </row>
    <row r="125" spans="2:54">
      <c r="B125" s="237">
        <v>10436</v>
      </c>
      <c r="C125" s="237" t="s">
        <v>128</v>
      </c>
      <c r="D125" s="254">
        <v>-1481.1622387947991</v>
      </c>
      <c r="E125" s="254">
        <v>128.41127152320041</v>
      </c>
      <c r="F125" s="254">
        <v>-3147.5824726887995</v>
      </c>
      <c r="G125" s="254">
        <v>-663.37901480310029</v>
      </c>
      <c r="H125" s="254">
        <v>-551.48634013119954</v>
      </c>
      <c r="I125" s="254">
        <v>1147.8041485595986</v>
      </c>
      <c r="J125" s="254">
        <v>820.09365946879916</v>
      </c>
      <c r="K125" s="254">
        <v>2172.1585697596011</v>
      </c>
      <c r="L125" s="254">
        <v>23.973539999601599</v>
      </c>
      <c r="M125" s="254">
        <v>1057.6711367204007</v>
      </c>
      <c r="N125" s="254">
        <v>-912.51288837359789</v>
      </c>
      <c r="O125" s="254">
        <v>648.03923963590023</v>
      </c>
      <c r="P125" s="254">
        <v>60.477815797601579</v>
      </c>
      <c r="Q125" s="254">
        <v>812.45266859440017</v>
      </c>
      <c r="R125" s="254">
        <v>-43.952023909998388</v>
      </c>
      <c r="S125" s="254">
        <v>2044.8810325884006</v>
      </c>
      <c r="T125" s="254">
        <v>103.36288144760147</v>
      </c>
      <c r="U125" s="254">
        <v>1816.2816079944014</v>
      </c>
      <c r="V125" s="254">
        <v>3567.0044509476011</v>
      </c>
      <c r="W125" s="254">
        <v>5514.7991073808007</v>
      </c>
      <c r="X125" s="254">
        <v>2395.2266619975999</v>
      </c>
      <c r="Y125" s="254">
        <v>3688.8500993807993</v>
      </c>
      <c r="Z125" s="254">
        <v>79.40091424000093</v>
      </c>
      <c r="AA125" s="254">
        <v>1678.2961600520002</v>
      </c>
      <c r="AB125" s="254">
        <v>-1496.2672387947987</v>
      </c>
      <c r="AC125" s="254">
        <v>113.76127152319987</v>
      </c>
      <c r="AD125" s="254">
        <v>-3123.4824726887991</v>
      </c>
      <c r="AE125" s="254">
        <v>-711.7610148030999</v>
      </c>
      <c r="AF125" s="254">
        <v>-600.30634013119925</v>
      </c>
      <c r="AG125" s="254">
        <v>1166.9631485595992</v>
      </c>
      <c r="AH125" s="254">
        <v>840.36065946879899</v>
      </c>
      <c r="AI125" s="254">
        <v>2122.2985697596005</v>
      </c>
      <c r="AJ125" s="254">
        <v>355.23240392280059</v>
      </c>
      <c r="AK125" s="254">
        <v>1219.7265686820001</v>
      </c>
      <c r="AL125" s="254">
        <v>-962.97288837359883</v>
      </c>
      <c r="AM125" s="254">
        <v>669.15023963590011</v>
      </c>
      <c r="AN125" s="254">
        <v>47.807815797600597</v>
      </c>
      <c r="AO125" s="254">
        <v>801.13666859440036</v>
      </c>
      <c r="AP125" s="254">
        <v>-56.175023910000164</v>
      </c>
      <c r="AQ125" s="254">
        <v>2027.1430325884003</v>
      </c>
      <c r="AR125" s="254">
        <v>91.171881447602573</v>
      </c>
      <c r="AS125" s="254">
        <v>1803.8806079943997</v>
      </c>
      <c r="AT125" s="254">
        <v>3552.0994509476022</v>
      </c>
      <c r="AU125" s="254">
        <v>5499.3891073808009</v>
      </c>
      <c r="AV125" s="254">
        <v>2383.3906619976005</v>
      </c>
      <c r="AW125" s="254">
        <v>3670.4840993807993</v>
      </c>
      <c r="AX125" s="254">
        <v>67.386914240000806</v>
      </c>
      <c r="AY125" s="254">
        <v>1665.8171600520009</v>
      </c>
      <c r="BA125" s="170"/>
      <c r="BB125" s="170"/>
    </row>
    <row r="126" spans="2:54">
      <c r="B126" s="237">
        <v>10440</v>
      </c>
      <c r="C126" s="237" t="s">
        <v>129</v>
      </c>
      <c r="D126" s="254">
        <v>-53.854743526799666</v>
      </c>
      <c r="E126" s="254">
        <v>185.98365741120006</v>
      </c>
      <c r="F126" s="254">
        <v>-59.431373880799583</v>
      </c>
      <c r="G126" s="254">
        <v>172.65113001789996</v>
      </c>
      <c r="H126" s="254">
        <v>773.84702726079968</v>
      </c>
      <c r="I126" s="254">
        <v>651.90777532359971</v>
      </c>
      <c r="J126" s="254">
        <v>1044.3173908608001</v>
      </c>
      <c r="K126" s="254">
        <v>1130.8049045235998</v>
      </c>
      <c r="L126" s="254">
        <v>1070.3713563636002</v>
      </c>
      <c r="M126" s="254">
        <v>816.34770515640002</v>
      </c>
      <c r="N126" s="254">
        <v>739.06927560240001</v>
      </c>
      <c r="O126" s="254">
        <v>547.09778496690001</v>
      </c>
      <c r="P126" s="254">
        <v>588.09073598159989</v>
      </c>
      <c r="Q126" s="254">
        <v>424.67427169040025</v>
      </c>
      <c r="R126" s="254">
        <v>-747.49586580999994</v>
      </c>
      <c r="S126" s="254">
        <v>-116.12535885559987</v>
      </c>
      <c r="T126" s="254">
        <v>-1457.3589398683998</v>
      </c>
      <c r="U126" s="254">
        <v>-717.24264290959991</v>
      </c>
      <c r="V126" s="254">
        <v>-1072.3096153683996</v>
      </c>
      <c r="W126" s="254">
        <v>-134.4942411472</v>
      </c>
      <c r="X126" s="254">
        <v>-842.04445981839967</v>
      </c>
      <c r="Y126" s="254">
        <v>-240.68796914719996</v>
      </c>
      <c r="Z126" s="254">
        <v>-507.97364416000005</v>
      </c>
      <c r="AA126" s="254">
        <v>-185.18156726799987</v>
      </c>
      <c r="AB126" s="254">
        <v>-41.681304293999801</v>
      </c>
      <c r="AC126" s="254">
        <v>193.57460849600011</v>
      </c>
      <c r="AD126" s="254">
        <v>-44.522953363999932</v>
      </c>
      <c r="AE126" s="254">
        <v>182.57096944449995</v>
      </c>
      <c r="AF126" s="254">
        <v>792.63010126400013</v>
      </c>
      <c r="AG126" s="254">
        <v>664.27646143800007</v>
      </c>
      <c r="AH126" s="254">
        <v>1062.136739264</v>
      </c>
      <c r="AI126" s="254">
        <v>1143.9286474379999</v>
      </c>
      <c r="AJ126" s="254">
        <v>1165.9034451340001</v>
      </c>
      <c r="AK126" s="254">
        <v>866.50008220999985</v>
      </c>
      <c r="AL126" s="254">
        <v>755.58003189200008</v>
      </c>
      <c r="AM126" s="254">
        <v>557.17827423950007</v>
      </c>
      <c r="AN126" s="254">
        <v>507.90088682800024</v>
      </c>
      <c r="AO126" s="254">
        <v>526.35778793200006</v>
      </c>
      <c r="AP126" s="254">
        <v>-668.12801354999988</v>
      </c>
      <c r="AQ126" s="254">
        <v>-177.7445724979998</v>
      </c>
      <c r="AR126" s="254">
        <v>-1446.4055749219999</v>
      </c>
      <c r="AS126" s="254">
        <v>-710.96055506799985</v>
      </c>
      <c r="AT126" s="254">
        <v>-1062.4964274219997</v>
      </c>
      <c r="AU126" s="254">
        <v>-128.28160037599991</v>
      </c>
      <c r="AV126" s="254">
        <v>-831.53480217199967</v>
      </c>
      <c r="AW126" s="254">
        <v>-235.12484037599995</v>
      </c>
      <c r="AX126" s="254">
        <v>-498.15561279999997</v>
      </c>
      <c r="AY126" s="254">
        <v>-179.16510293999988</v>
      </c>
      <c r="BA126" s="170"/>
      <c r="BB126" s="170"/>
    </row>
    <row r="127" spans="2:54">
      <c r="B127" s="237">
        <v>10442</v>
      </c>
      <c r="C127" s="237" t="s">
        <v>130</v>
      </c>
      <c r="D127" s="254">
        <v>-1591.5013249035997</v>
      </c>
      <c r="E127" s="254">
        <v>-152.13926077760016</v>
      </c>
      <c r="F127" s="254">
        <v>-2053.9496648615996</v>
      </c>
      <c r="G127" s="254">
        <v>-577.36020297670029</v>
      </c>
      <c r="H127" s="254">
        <v>71.724094121599592</v>
      </c>
      <c r="I127" s="254">
        <v>895.22793509719986</v>
      </c>
      <c r="J127" s="254">
        <v>1027.3562713215997</v>
      </c>
      <c r="K127" s="254">
        <v>1953.6683434971997</v>
      </c>
      <c r="L127" s="254">
        <v>-657.3966728227997</v>
      </c>
      <c r="M127" s="254">
        <v>66.535285862800265</v>
      </c>
      <c r="N127" s="254">
        <v>-839.46855249519922</v>
      </c>
      <c r="O127" s="254">
        <v>43.369748046300174</v>
      </c>
      <c r="P127" s="254">
        <v>-202.91061633679965</v>
      </c>
      <c r="Q127" s="254">
        <v>179.40797068080019</v>
      </c>
      <c r="R127" s="254">
        <v>-1857.9644828700002</v>
      </c>
      <c r="S127" s="254">
        <v>-144.74307366120001</v>
      </c>
      <c r="T127" s="254">
        <v>-2669.7820742867998</v>
      </c>
      <c r="U127" s="254">
        <v>-1179.2776835192003</v>
      </c>
      <c r="V127" s="254">
        <v>-810.04061278680001</v>
      </c>
      <c r="W127" s="254">
        <v>1012.5181863056</v>
      </c>
      <c r="X127" s="254">
        <v>-628.87198293680012</v>
      </c>
      <c r="Y127" s="254">
        <v>337.93273030559976</v>
      </c>
      <c r="Z127" s="254">
        <v>-1118.5532083200005</v>
      </c>
      <c r="AA127" s="254">
        <v>-55.917013035999389</v>
      </c>
      <c r="AB127" s="254">
        <v>-1693.686567624</v>
      </c>
      <c r="AC127" s="254">
        <v>-220.96975078399964</v>
      </c>
      <c r="AD127" s="254">
        <v>-2160.8418153439998</v>
      </c>
      <c r="AE127" s="254">
        <v>-651.83814837799991</v>
      </c>
      <c r="AF127" s="254">
        <v>-34.381096256000092</v>
      </c>
      <c r="AG127" s="254">
        <v>820.50394384799984</v>
      </c>
      <c r="AH127" s="254">
        <v>934.55495174400039</v>
      </c>
      <c r="AI127" s="254">
        <v>1884.7173998480002</v>
      </c>
      <c r="AJ127" s="254">
        <v>-543.64646773599998</v>
      </c>
      <c r="AK127" s="254">
        <v>109.00920315999974</v>
      </c>
      <c r="AL127" s="254">
        <v>-924.24468116799926</v>
      </c>
      <c r="AM127" s="254">
        <v>-11.777853558000061</v>
      </c>
      <c r="AN127" s="254">
        <v>-440.86636971199914</v>
      </c>
      <c r="AO127" s="254">
        <v>295.98266267200006</v>
      </c>
      <c r="AP127" s="254">
        <v>-1761.1886058</v>
      </c>
      <c r="AQ127" s="254">
        <v>-363.34245160799946</v>
      </c>
      <c r="AR127" s="254">
        <v>-2748.2506227119993</v>
      </c>
      <c r="AS127" s="254">
        <v>-1223.8185653280002</v>
      </c>
      <c r="AT127" s="254">
        <v>-873.31421271199906</v>
      </c>
      <c r="AU127" s="254">
        <v>976.05982230400014</v>
      </c>
      <c r="AV127" s="254">
        <v>-686.71441371200035</v>
      </c>
      <c r="AW127" s="254">
        <v>308.29478230399991</v>
      </c>
      <c r="AX127" s="254">
        <v>-1162.9633088</v>
      </c>
      <c r="AY127" s="254">
        <v>-83.494436239999686</v>
      </c>
      <c r="BA127" s="170"/>
      <c r="BB127" s="170"/>
    </row>
    <row r="128" spans="2:54">
      <c r="B128" s="237">
        <v>10446</v>
      </c>
      <c r="C128" s="237" t="s">
        <v>131</v>
      </c>
      <c r="D128" s="254">
        <v>-563.70426946559746</v>
      </c>
      <c r="E128" s="254">
        <v>9966.5446418304018</v>
      </c>
      <c r="F128" s="254">
        <v>-9664.1695870335971</v>
      </c>
      <c r="G128" s="254">
        <v>3316.4416503967987</v>
      </c>
      <c r="H128" s="254">
        <v>-4088.572052006406</v>
      </c>
      <c r="I128" s="254">
        <v>5743.0059347711976</v>
      </c>
      <c r="J128" s="254">
        <v>2466.7063991935938</v>
      </c>
      <c r="K128" s="254">
        <v>13493.8718211712</v>
      </c>
      <c r="L128" s="254">
        <v>3838.6583904512081</v>
      </c>
      <c r="M128" s="254">
        <v>9553.8932693888019</v>
      </c>
      <c r="N128" s="254">
        <v>2036.9304254208109</v>
      </c>
      <c r="O128" s="254">
        <v>8280.6569182048006</v>
      </c>
      <c r="P128" s="254">
        <v>6172.7868403072061</v>
      </c>
      <c r="Q128" s="254">
        <v>9519.3749655168031</v>
      </c>
      <c r="R128" s="254">
        <v>-14168.313779520002</v>
      </c>
      <c r="S128" s="254">
        <v>3303.2620302848045</v>
      </c>
      <c r="T128" s="254">
        <v>-16639.029962892797</v>
      </c>
      <c r="U128" s="254">
        <v>-944.29867768320037</v>
      </c>
      <c r="V128" s="254">
        <v>-7971.6998588927963</v>
      </c>
      <c r="W128" s="254">
        <v>12675.1473544576</v>
      </c>
      <c r="X128" s="254">
        <v>-2527.4076732927933</v>
      </c>
      <c r="Y128" s="254">
        <v>10724.1423784576</v>
      </c>
      <c r="Z128" s="254">
        <v>-239.93526271999872</v>
      </c>
      <c r="AA128" s="254">
        <v>9398.5451613440018</v>
      </c>
      <c r="AB128" s="254">
        <v>91.182160873999237</v>
      </c>
      <c r="AC128" s="254">
        <v>10460.068892783998</v>
      </c>
      <c r="AD128" s="254">
        <v>-9083.5865751559977</v>
      </c>
      <c r="AE128" s="254">
        <v>3831.8593764405014</v>
      </c>
      <c r="AF128" s="254">
        <v>-3493.1775257440022</v>
      </c>
      <c r="AG128" s="254">
        <v>6271.3912259019999</v>
      </c>
      <c r="AH128" s="254">
        <v>3201.3061762559955</v>
      </c>
      <c r="AI128" s="254">
        <v>14101.832019901998</v>
      </c>
      <c r="AJ128" s="254">
        <v>6081.2646794859975</v>
      </c>
      <c r="AK128" s="254">
        <v>10853.435623090001</v>
      </c>
      <c r="AL128" s="254">
        <v>2854.3933276680036</v>
      </c>
      <c r="AM128" s="254">
        <v>8968.2179059955015</v>
      </c>
      <c r="AN128" s="254">
        <v>5695.2201632119977</v>
      </c>
      <c r="AO128" s="254">
        <v>11708.781688827996</v>
      </c>
      <c r="AP128" s="254">
        <v>-11988.582337950007</v>
      </c>
      <c r="AQ128" s="254">
        <v>2971.1740993579988</v>
      </c>
      <c r="AR128" s="254">
        <v>-15579.746552538003</v>
      </c>
      <c r="AS128" s="254">
        <v>-213.84095817200068</v>
      </c>
      <c r="AT128" s="254">
        <v>-7622.8700250380061</v>
      </c>
      <c r="AU128" s="254">
        <v>12982.617650696</v>
      </c>
      <c r="AV128" s="254">
        <v>-1169.8859177880004</v>
      </c>
      <c r="AW128" s="254">
        <v>11621.148690695998</v>
      </c>
      <c r="AX128" s="254">
        <v>1070.3887087999974</v>
      </c>
      <c r="AY128" s="254">
        <v>10358.144868740001</v>
      </c>
      <c r="BA128" s="170"/>
      <c r="BB128" s="170"/>
    </row>
    <row r="129" spans="2:54">
      <c r="B129" s="237">
        <v>10448</v>
      </c>
      <c r="C129" s="237" t="s">
        <v>132</v>
      </c>
      <c r="D129" s="254">
        <v>0</v>
      </c>
      <c r="E129" s="254">
        <v>0</v>
      </c>
      <c r="F129" s="254">
        <v>0</v>
      </c>
      <c r="G129" s="254">
        <v>0</v>
      </c>
      <c r="H129" s="254">
        <v>0</v>
      </c>
      <c r="I129" s="254">
        <v>0</v>
      </c>
      <c r="J129" s="254">
        <v>0</v>
      </c>
      <c r="K129" s="254">
        <v>0</v>
      </c>
      <c r="L129" s="254">
        <v>0</v>
      </c>
      <c r="M129" s="254">
        <v>0</v>
      </c>
      <c r="N129" s="254">
        <v>0</v>
      </c>
      <c r="O129" s="254">
        <v>0</v>
      </c>
      <c r="P129" s="254">
        <v>0</v>
      </c>
      <c r="Q129" s="254">
        <v>0</v>
      </c>
      <c r="R129" s="254">
        <v>0</v>
      </c>
      <c r="S129" s="254">
        <v>0</v>
      </c>
      <c r="T129" s="254">
        <v>0</v>
      </c>
      <c r="U129" s="254">
        <v>0</v>
      </c>
      <c r="V129" s="254">
        <v>0</v>
      </c>
      <c r="W129" s="254">
        <v>0</v>
      </c>
      <c r="X129" s="254">
        <v>0</v>
      </c>
      <c r="Y129" s="254">
        <v>0</v>
      </c>
      <c r="Z129" s="254">
        <v>0</v>
      </c>
      <c r="AA129" s="254">
        <v>0</v>
      </c>
      <c r="AB129" s="254">
        <v>0</v>
      </c>
      <c r="AC129" s="254">
        <v>0</v>
      </c>
      <c r="AD129" s="254">
        <v>0</v>
      </c>
      <c r="AE129" s="254">
        <v>0</v>
      </c>
      <c r="AF129" s="254">
        <v>0</v>
      </c>
      <c r="AG129" s="254">
        <v>0</v>
      </c>
      <c r="AH129" s="254">
        <v>0</v>
      </c>
      <c r="AI129" s="254">
        <v>0</v>
      </c>
      <c r="AJ129" s="254">
        <v>0</v>
      </c>
      <c r="AK129" s="254">
        <v>0</v>
      </c>
      <c r="AL129" s="254">
        <v>0</v>
      </c>
      <c r="AM129" s="254">
        <v>0</v>
      </c>
      <c r="AN129" s="254">
        <v>0</v>
      </c>
      <c r="AO129" s="254">
        <v>0</v>
      </c>
      <c r="AP129" s="254">
        <v>0</v>
      </c>
      <c r="AQ129" s="254">
        <v>0</v>
      </c>
      <c r="AR129" s="254">
        <v>0</v>
      </c>
      <c r="AS129" s="254">
        <v>0</v>
      </c>
      <c r="AT129" s="254">
        <v>0</v>
      </c>
      <c r="AU129" s="254">
        <v>0</v>
      </c>
      <c r="AV129" s="254">
        <v>0</v>
      </c>
      <c r="AW129" s="254">
        <v>0</v>
      </c>
      <c r="AX129" s="254">
        <v>0</v>
      </c>
      <c r="AY129" s="254">
        <v>0</v>
      </c>
      <c r="BA129" s="170"/>
      <c r="BB129" s="170"/>
    </row>
    <row r="130" spans="2:54">
      <c r="B130" s="237">
        <v>10451</v>
      </c>
      <c r="C130" s="237" t="s">
        <v>133</v>
      </c>
      <c r="D130" s="254">
        <v>281.14116884480063</v>
      </c>
      <c r="E130" s="254">
        <v>3030.2714192768008</v>
      </c>
      <c r="F130" s="254">
        <v>-2710.0651770111999</v>
      </c>
      <c r="G130" s="254">
        <v>653.47535746559879</v>
      </c>
      <c r="H130" s="254">
        <v>-2029.4349026688014</v>
      </c>
      <c r="I130" s="254">
        <v>767.08832759039797</v>
      </c>
      <c r="J130" s="254">
        <v>-309.44175226879997</v>
      </c>
      <c r="K130" s="254">
        <v>2734.3089563904005</v>
      </c>
      <c r="L130" s="254">
        <v>371.34154615039915</v>
      </c>
      <c r="M130" s="254">
        <v>1920.7692071295996</v>
      </c>
      <c r="N130" s="254">
        <v>414.31435247360241</v>
      </c>
      <c r="O130" s="254">
        <v>1916.9160534016009</v>
      </c>
      <c r="P130" s="254">
        <v>2112.3407761024009</v>
      </c>
      <c r="Q130" s="254">
        <v>2842.7388125055995</v>
      </c>
      <c r="R130" s="254">
        <v>-2088.3048598400019</v>
      </c>
      <c r="S130" s="254">
        <v>2328.3697407616</v>
      </c>
      <c r="T130" s="254">
        <v>-5129.4351582975996</v>
      </c>
      <c r="U130" s="254">
        <v>-642.49540189439904</v>
      </c>
      <c r="V130" s="254">
        <v>-2716.1727902975999</v>
      </c>
      <c r="W130" s="254">
        <v>3196.6177528192002</v>
      </c>
      <c r="X130" s="254">
        <v>-1358.4533950976002</v>
      </c>
      <c r="Y130" s="254">
        <v>2454.7797608191995</v>
      </c>
      <c r="Z130" s="254">
        <v>-6292.6653542400009</v>
      </c>
      <c r="AA130" s="254">
        <v>-2376.6193595519999</v>
      </c>
      <c r="AB130" s="254">
        <v>-5696.4822367223987</v>
      </c>
      <c r="AC130" s="254">
        <v>-1989.0649064384002</v>
      </c>
      <c r="AD130" s="254">
        <v>-382.7697452943994</v>
      </c>
      <c r="AE130" s="254">
        <v>2285.907481292199</v>
      </c>
      <c r="AF130" s="254">
        <v>965.82084013439999</v>
      </c>
      <c r="AG130" s="254">
        <v>2972.8134233047995</v>
      </c>
      <c r="AH130" s="254">
        <v>3418.2528649344003</v>
      </c>
      <c r="AI130" s="254">
        <v>5414.9613089047998</v>
      </c>
      <c r="AJ130" s="254">
        <v>4198.2581187863998</v>
      </c>
      <c r="AK130" s="254">
        <v>4461.6317717160009</v>
      </c>
      <c r="AL130" s="254">
        <v>4106.7926351632013</v>
      </c>
      <c r="AM130" s="254">
        <v>4550.0913910741992</v>
      </c>
      <c r="AN130" s="254">
        <v>5200.9518245487998</v>
      </c>
      <c r="AO130" s="254">
        <v>5723.5438231472008</v>
      </c>
      <c r="AP130" s="254">
        <v>2160.45283242</v>
      </c>
      <c r="AQ130" s="254">
        <v>4723.4647655192002</v>
      </c>
      <c r="AR130" s="254">
        <v>-937.75949575119921</v>
      </c>
      <c r="AS130" s="254">
        <v>2083.3435803472012</v>
      </c>
      <c r="AT130" s="254">
        <v>1250.8056952488005</v>
      </c>
      <c r="AU130" s="254">
        <v>5806.7755743903999</v>
      </c>
      <c r="AV130" s="254">
        <v>2592.1803601487991</v>
      </c>
      <c r="AW130" s="254">
        <v>5074.6840703903999</v>
      </c>
      <c r="AX130" s="254">
        <v>3358.1109171199987</v>
      </c>
      <c r="AY130" s="254">
        <v>5041.3556567759997</v>
      </c>
      <c r="BA130" s="170"/>
      <c r="BB130" s="170"/>
    </row>
    <row r="131" spans="2:54">
      <c r="B131" s="237">
        <v>10482</v>
      </c>
      <c r="C131" s="237" t="s">
        <v>134</v>
      </c>
      <c r="D131" s="254">
        <v>-19.930922069600001</v>
      </c>
      <c r="E131" s="254">
        <v>247.58565536640003</v>
      </c>
      <c r="F131" s="254">
        <v>-258.64560425759987</v>
      </c>
      <c r="G131" s="254">
        <v>43.665153833799991</v>
      </c>
      <c r="H131" s="254">
        <v>-132.03105338240016</v>
      </c>
      <c r="I131" s="254">
        <v>89.827658079199864</v>
      </c>
      <c r="J131" s="254">
        <v>30.443905817599898</v>
      </c>
      <c r="K131" s="254">
        <v>317.36262047920002</v>
      </c>
      <c r="L131" s="254">
        <v>76.807584959200085</v>
      </c>
      <c r="M131" s="254">
        <v>207.61844048080002</v>
      </c>
      <c r="N131" s="254">
        <v>66.522055892799926</v>
      </c>
      <c r="O131" s="254">
        <v>196.87536911180007</v>
      </c>
      <c r="P131" s="254">
        <v>220.46474135519998</v>
      </c>
      <c r="Q131" s="254">
        <v>270.32376662879994</v>
      </c>
      <c r="R131" s="254">
        <v>-231.42106381999997</v>
      </c>
      <c r="S131" s="254">
        <v>190.95246901680002</v>
      </c>
      <c r="T131" s="254">
        <v>-502.55168734480003</v>
      </c>
      <c r="U131" s="254">
        <v>-120.92191457119998</v>
      </c>
      <c r="V131" s="254">
        <v>-223.61334834479999</v>
      </c>
      <c r="W131" s="254">
        <v>262.7056928415999</v>
      </c>
      <c r="X131" s="254">
        <v>-107.96644624479995</v>
      </c>
      <c r="Y131" s="254">
        <v>151.33887684160004</v>
      </c>
      <c r="Z131" s="254">
        <v>-39.934747519999974</v>
      </c>
      <c r="AA131" s="254">
        <v>170.79867530400008</v>
      </c>
      <c r="AB131" s="254">
        <v>-19.630015530799938</v>
      </c>
      <c r="AC131" s="254">
        <v>247.74648054720001</v>
      </c>
      <c r="AD131" s="254">
        <v>-258.27786750480004</v>
      </c>
      <c r="AE131" s="254">
        <v>43.883960404899995</v>
      </c>
      <c r="AF131" s="254">
        <v>-131.67120771520013</v>
      </c>
      <c r="AG131" s="254">
        <v>90.047272431599936</v>
      </c>
      <c r="AH131" s="254">
        <v>30.747463884799799</v>
      </c>
      <c r="AI131" s="254">
        <v>317.54207763160002</v>
      </c>
      <c r="AJ131" s="254">
        <v>120.25348561880003</v>
      </c>
      <c r="AK131" s="254">
        <v>229.36486292200004</v>
      </c>
      <c r="AL131" s="254">
        <v>66.83151527440009</v>
      </c>
      <c r="AM131" s="254">
        <v>197.05261732389999</v>
      </c>
      <c r="AN131" s="254">
        <v>170.25509982959989</v>
      </c>
      <c r="AO131" s="254">
        <v>320.92968600239988</v>
      </c>
      <c r="AP131" s="254">
        <v>-182.25325511000005</v>
      </c>
      <c r="AQ131" s="254">
        <v>142.32010007639997</v>
      </c>
      <c r="AR131" s="254">
        <v>-502.10912652039997</v>
      </c>
      <c r="AS131" s="254">
        <v>-120.68256659760004</v>
      </c>
      <c r="AT131" s="254">
        <v>-223.24531702040008</v>
      </c>
      <c r="AU131" s="254">
        <v>262.87229963679988</v>
      </c>
      <c r="AV131" s="254">
        <v>-107.60966997040009</v>
      </c>
      <c r="AW131" s="254">
        <v>151.50273163680004</v>
      </c>
      <c r="AX131" s="254">
        <v>-39.63540895999995</v>
      </c>
      <c r="AY131" s="254">
        <v>170.966752692</v>
      </c>
      <c r="BA131" s="170"/>
      <c r="BB131" s="170"/>
    </row>
    <row r="132" spans="2:54">
      <c r="B132" s="237">
        <v>10502</v>
      </c>
      <c r="C132" s="237" t="s">
        <v>135</v>
      </c>
      <c r="D132" s="254">
        <v>-1630.444212811999</v>
      </c>
      <c r="E132" s="254">
        <v>-307.74903939199976</v>
      </c>
      <c r="F132" s="254">
        <v>-4724.663581672</v>
      </c>
      <c r="G132" s="254">
        <v>-2270.7370684390003</v>
      </c>
      <c r="H132" s="254">
        <v>-3441.1187241279995</v>
      </c>
      <c r="I132" s="254">
        <v>-1420.1821950760004</v>
      </c>
      <c r="J132" s="254">
        <v>-2154.3552001280004</v>
      </c>
      <c r="K132" s="254">
        <v>-592.18296707599984</v>
      </c>
      <c r="L132" s="254">
        <v>-1816.222781475999</v>
      </c>
      <c r="M132" s="254">
        <v>-642.52112172399939</v>
      </c>
      <c r="N132" s="254">
        <v>-2950.8170185839981</v>
      </c>
      <c r="O132" s="254">
        <v>-1259.8041385289998</v>
      </c>
      <c r="P132" s="254">
        <v>-58.951986855999166</v>
      </c>
      <c r="Q132" s="254">
        <v>260.08179333599992</v>
      </c>
      <c r="R132" s="254">
        <v>-442.00372789999892</v>
      </c>
      <c r="S132" s="254">
        <v>1017.4562311960008</v>
      </c>
      <c r="T132" s="254">
        <v>-785.29123835599967</v>
      </c>
      <c r="U132" s="254">
        <v>506.30817933600065</v>
      </c>
      <c r="V132" s="254">
        <v>3424.1762166440003</v>
      </c>
      <c r="W132" s="254">
        <v>4699.6009951519991</v>
      </c>
      <c r="X132" s="254">
        <v>4511.370491144</v>
      </c>
      <c r="Y132" s="254">
        <v>4328.8274751520003</v>
      </c>
      <c r="Z132" s="254">
        <v>1012.2375456000009</v>
      </c>
      <c r="AA132" s="254">
        <v>1811.4949918800003</v>
      </c>
      <c r="AB132" s="254">
        <v>-1271.3292128119983</v>
      </c>
      <c r="AC132" s="254">
        <v>-109.31903939200038</v>
      </c>
      <c r="AD132" s="254">
        <v>-4352.3255816720002</v>
      </c>
      <c r="AE132" s="254">
        <v>-2032.5970684390004</v>
      </c>
      <c r="AF132" s="254">
        <v>-3082.3427241279996</v>
      </c>
      <c r="AG132" s="254">
        <v>-1175.1211950760007</v>
      </c>
      <c r="AH132" s="254">
        <v>-1856.6262001280002</v>
      </c>
      <c r="AI132" s="254">
        <v>-408.04596707599922</v>
      </c>
      <c r="AJ132" s="254">
        <v>-1260.9388648679997</v>
      </c>
      <c r="AK132" s="254">
        <v>-336.98366342000008</v>
      </c>
      <c r="AL132" s="254">
        <v>-2704.236018583998</v>
      </c>
      <c r="AM132" s="254">
        <v>-1101.258138529</v>
      </c>
      <c r="AN132" s="254">
        <v>180.32901314400078</v>
      </c>
      <c r="AO132" s="254">
        <v>405.95179333599981</v>
      </c>
      <c r="AP132" s="254">
        <v>-259.34472789999927</v>
      </c>
      <c r="AQ132" s="254">
        <v>1142.3252311960005</v>
      </c>
      <c r="AR132" s="254">
        <v>-618.02123835599923</v>
      </c>
      <c r="AS132" s="254">
        <v>598.72217933600041</v>
      </c>
      <c r="AT132" s="254">
        <v>3574.9202166440009</v>
      </c>
      <c r="AU132" s="254">
        <v>4785.2369951519995</v>
      </c>
      <c r="AV132" s="254">
        <v>4630.1374911439998</v>
      </c>
      <c r="AW132" s="254">
        <v>4396.3264751520001</v>
      </c>
      <c r="AX132" s="254">
        <v>1081.9175456000012</v>
      </c>
      <c r="AY132" s="254">
        <v>1854.1869918800003</v>
      </c>
      <c r="BA132" s="170"/>
      <c r="BB132" s="170"/>
    </row>
    <row r="133" spans="2:54">
      <c r="B133" s="237">
        <v>13927</v>
      </c>
      <c r="C133" s="237" t="s">
        <v>238</v>
      </c>
      <c r="D133" s="254">
        <v>118.79069623760006</v>
      </c>
      <c r="E133" s="254">
        <v>312.01837292160008</v>
      </c>
      <c r="F133" s="254">
        <v>-223.01656353439989</v>
      </c>
      <c r="G133" s="254">
        <v>127.19635741219997</v>
      </c>
      <c r="H133" s="254">
        <v>-52.84467762560007</v>
      </c>
      <c r="I133" s="254">
        <v>249.09651338480001</v>
      </c>
      <c r="J133" s="254">
        <v>137.14142717439995</v>
      </c>
      <c r="K133" s="254">
        <v>364.64515898479999</v>
      </c>
      <c r="L133" s="254">
        <v>208.3883561048001</v>
      </c>
      <c r="M133" s="254">
        <v>346.37454325520002</v>
      </c>
      <c r="N133" s="254">
        <v>59.745577883200212</v>
      </c>
      <c r="O133" s="254">
        <v>247.36518439420001</v>
      </c>
      <c r="P133" s="254">
        <v>241.7332770288001</v>
      </c>
      <c r="Q133" s="254">
        <v>318.28453226720001</v>
      </c>
      <c r="R133" s="254">
        <v>-122.2288355799999</v>
      </c>
      <c r="S133" s="254">
        <v>247.36570583920013</v>
      </c>
      <c r="T133" s="254">
        <v>-423.87242327119998</v>
      </c>
      <c r="U133" s="254">
        <v>-25.210590532799984</v>
      </c>
      <c r="V133" s="254">
        <v>-1.4806322711999655</v>
      </c>
      <c r="W133" s="254">
        <v>443.64299423040006</v>
      </c>
      <c r="X133" s="254">
        <v>145.70457262879995</v>
      </c>
      <c r="Y133" s="254">
        <v>399.70509023039995</v>
      </c>
      <c r="Z133" s="254">
        <v>65.08786912000005</v>
      </c>
      <c r="AA133" s="254">
        <v>308.38238637600011</v>
      </c>
      <c r="AB133" s="254">
        <v>-11.582760084799929</v>
      </c>
      <c r="AC133" s="254">
        <v>245.76543288319999</v>
      </c>
      <c r="AD133" s="254">
        <v>-387.43146642880015</v>
      </c>
      <c r="AE133" s="254">
        <v>32.951685004399906</v>
      </c>
      <c r="AF133" s="254">
        <v>-211.6388198912</v>
      </c>
      <c r="AG133" s="254">
        <v>156.0285658895998</v>
      </c>
      <c r="AH133" s="254">
        <v>5.7405097087998911</v>
      </c>
      <c r="AI133" s="254">
        <v>290.85249708959998</v>
      </c>
      <c r="AJ133" s="254">
        <v>144.03991461279998</v>
      </c>
      <c r="AK133" s="254">
        <v>307.24021103200005</v>
      </c>
      <c r="AL133" s="254">
        <v>-75.18319415359997</v>
      </c>
      <c r="AM133" s="254">
        <v>173.02557476839991</v>
      </c>
      <c r="AN133" s="254">
        <v>135.78475677760002</v>
      </c>
      <c r="AO133" s="254">
        <v>258.30168421439998</v>
      </c>
      <c r="AP133" s="254">
        <v>-276.06957316000012</v>
      </c>
      <c r="AQ133" s="254">
        <v>168.45643815840003</v>
      </c>
      <c r="AR133" s="254">
        <v>-623.92771382239971</v>
      </c>
      <c r="AS133" s="254">
        <v>-130.59888138560007</v>
      </c>
      <c r="AT133" s="254">
        <v>-163.20423182240006</v>
      </c>
      <c r="AU133" s="254">
        <v>376.49181022079995</v>
      </c>
      <c r="AV133" s="254">
        <v>-9.0950120224001694</v>
      </c>
      <c r="AW133" s="254">
        <v>333.1434022208</v>
      </c>
      <c r="AX133" s="254">
        <v>-65.314733759999854</v>
      </c>
      <c r="AY133" s="254">
        <v>238.91684715200017</v>
      </c>
      <c r="BA133" s="170"/>
      <c r="BB133" s="170"/>
    </row>
    <row r="134" spans="2:54">
      <c r="B134" s="237">
        <v>10597</v>
      </c>
      <c r="C134" s="237" t="s">
        <v>136</v>
      </c>
      <c r="D134" s="254">
        <v>-356.799774771599</v>
      </c>
      <c r="E134" s="254">
        <v>28.175559734400395</v>
      </c>
      <c r="F134" s="254">
        <v>-1059.2113312695992</v>
      </c>
      <c r="G134" s="254">
        <v>-150.89964024770052</v>
      </c>
      <c r="H134" s="254">
        <v>36.339904329600358</v>
      </c>
      <c r="I134" s="254">
        <v>604.50553253319958</v>
      </c>
      <c r="J134" s="254">
        <v>1222.4899175295996</v>
      </c>
      <c r="K134" s="254">
        <v>1286.8066329332</v>
      </c>
      <c r="L134" s="254">
        <v>703.09161501320068</v>
      </c>
      <c r="M134" s="254">
        <v>756.00605322679985</v>
      </c>
      <c r="N134" s="254">
        <v>-368.5253936711988</v>
      </c>
      <c r="O134" s="254">
        <v>17.176550765299908</v>
      </c>
      <c r="P134" s="254">
        <v>334.88618867920013</v>
      </c>
      <c r="Q134" s="254">
        <v>165.24152638479973</v>
      </c>
      <c r="R134" s="254">
        <v>-1178.2380859700006</v>
      </c>
      <c r="S134" s="254">
        <v>-293.92396041719985</v>
      </c>
      <c r="T134" s="254">
        <v>-2365.1403527707998</v>
      </c>
      <c r="U134" s="254">
        <v>-1252.8519738152004</v>
      </c>
      <c r="V134" s="254">
        <v>72.296603729200797</v>
      </c>
      <c r="W134" s="254">
        <v>897.4118364336</v>
      </c>
      <c r="X134" s="254">
        <v>308.75076407920005</v>
      </c>
      <c r="Y134" s="254">
        <v>589.70310043359996</v>
      </c>
      <c r="Z134" s="254">
        <v>-274.93716992000009</v>
      </c>
      <c r="AA134" s="254">
        <v>59.698168284000076</v>
      </c>
      <c r="AB134" s="254">
        <v>-359.14593362079995</v>
      </c>
      <c r="AC134" s="254">
        <v>26.93713310719977</v>
      </c>
      <c r="AD134" s="254">
        <v>-1060.1229620447994</v>
      </c>
      <c r="AE134" s="254">
        <v>-151.22889938759999</v>
      </c>
      <c r="AF134" s="254">
        <v>37.3742933247986</v>
      </c>
      <c r="AG134" s="254">
        <v>605.53000336159948</v>
      </c>
      <c r="AH134" s="254">
        <v>1227.2048949248001</v>
      </c>
      <c r="AI134" s="254">
        <v>1290.2365185616</v>
      </c>
      <c r="AJ134" s="254">
        <v>903.41824110879952</v>
      </c>
      <c r="AK134" s="254">
        <v>856.83561727200004</v>
      </c>
      <c r="AL134" s="254">
        <v>-366.83052810560002</v>
      </c>
      <c r="AM134" s="254">
        <v>18.350316856399786</v>
      </c>
      <c r="AN134" s="254">
        <v>336.06496240960041</v>
      </c>
      <c r="AO134" s="254">
        <v>165.91325202239977</v>
      </c>
      <c r="AP134" s="254">
        <v>-1178.4673643599999</v>
      </c>
      <c r="AQ134" s="254">
        <v>-293.84563995360031</v>
      </c>
      <c r="AR134" s="254">
        <v>-2366.4094001904004</v>
      </c>
      <c r="AS134" s="254">
        <v>-1253.5261055776</v>
      </c>
      <c r="AT134" s="254">
        <v>70.146321809599613</v>
      </c>
      <c r="AU134" s="254">
        <v>896.59237527679988</v>
      </c>
      <c r="AV134" s="254">
        <v>306.9787776096</v>
      </c>
      <c r="AW134" s="254">
        <v>588.98740727679979</v>
      </c>
      <c r="AX134" s="254">
        <v>-274.87821695999992</v>
      </c>
      <c r="AY134" s="254">
        <v>59.851471792000211</v>
      </c>
      <c r="BA134" s="170"/>
      <c r="BB134" s="170"/>
    </row>
    <row r="135" spans="2:54">
      <c r="B135" s="237">
        <v>10706</v>
      </c>
      <c r="C135" s="237" t="s">
        <v>137</v>
      </c>
      <c r="D135" s="254">
        <v>-2733.5622848195999</v>
      </c>
      <c r="E135" s="254">
        <v>-650.0196986336</v>
      </c>
      <c r="F135" s="254">
        <v>-4763.0041307575993</v>
      </c>
      <c r="G135" s="254">
        <v>-1982.8733751037003</v>
      </c>
      <c r="H135" s="254">
        <v>-4300.8859393824014</v>
      </c>
      <c r="I135" s="254">
        <v>-1974.5983601708008</v>
      </c>
      <c r="J135" s="254">
        <v>-2949.7052301824006</v>
      </c>
      <c r="K135" s="254">
        <v>-897.83914777080054</v>
      </c>
      <c r="L135" s="254">
        <v>-2723.4889832908002</v>
      </c>
      <c r="M135" s="254">
        <v>-1009.3656412691998</v>
      </c>
      <c r="N135" s="254">
        <v>-3037.5296896071995</v>
      </c>
      <c r="O135" s="254">
        <v>-1168.1200054506999</v>
      </c>
      <c r="P135" s="254">
        <v>-1741.7677931447997</v>
      </c>
      <c r="Q135" s="254">
        <v>-459.90931387120008</v>
      </c>
      <c r="R135" s="254">
        <v>-4019.2147075699995</v>
      </c>
      <c r="S135" s="254">
        <v>-1170.9541352331994</v>
      </c>
      <c r="T135" s="254">
        <v>-5959.3526905947992</v>
      </c>
      <c r="U135" s="254">
        <v>-2382.3568700712003</v>
      </c>
      <c r="V135" s="254">
        <v>-3797.0444140947993</v>
      </c>
      <c r="W135" s="254">
        <v>-15.107458158400277</v>
      </c>
      <c r="X135" s="254">
        <v>-3103.0101057448001</v>
      </c>
      <c r="Y135" s="254">
        <v>-105.23227415840074</v>
      </c>
      <c r="Z135" s="254">
        <v>-2531.8875475200002</v>
      </c>
      <c r="AA135" s="254">
        <v>-311.08545219600001</v>
      </c>
      <c r="AB135" s="254">
        <v>-2568.0112848195995</v>
      </c>
      <c r="AC135" s="254">
        <v>-531.99369863359971</v>
      </c>
      <c r="AD135" s="254">
        <v>-4535.6491307575998</v>
      </c>
      <c r="AE135" s="254">
        <v>-1937.1463751037004</v>
      </c>
      <c r="AF135" s="254">
        <v>-4217.1839393824011</v>
      </c>
      <c r="AG135" s="254">
        <v>-1775.0333601708007</v>
      </c>
      <c r="AH135" s="254">
        <v>-2714.359230182401</v>
      </c>
      <c r="AI135" s="254">
        <v>-848.07414777080066</v>
      </c>
      <c r="AJ135" s="254">
        <v>-2226.5930071243993</v>
      </c>
      <c r="AK135" s="254">
        <v>-726.76565318600024</v>
      </c>
      <c r="AL135" s="254">
        <v>-2951.888689607199</v>
      </c>
      <c r="AM135" s="254">
        <v>-976.59100545069941</v>
      </c>
      <c r="AN135" s="254">
        <v>-1584.9827931447999</v>
      </c>
      <c r="AO135" s="254">
        <v>-346.70631387120011</v>
      </c>
      <c r="AP135" s="254">
        <v>-3861.2537075700002</v>
      </c>
      <c r="AQ135" s="254">
        <v>-1046.0861352331995</v>
      </c>
      <c r="AR135" s="254">
        <v>-5793.4486905947997</v>
      </c>
      <c r="AS135" s="254">
        <v>-2263.4658700711993</v>
      </c>
      <c r="AT135" s="254">
        <v>-3622.2594140947995</v>
      </c>
      <c r="AU135" s="254">
        <v>121.45354184159987</v>
      </c>
      <c r="AV135" s="254">
        <v>-2917.4301057448001</v>
      </c>
      <c r="AW135" s="254">
        <v>27.408725841599335</v>
      </c>
      <c r="AX135" s="254">
        <v>-2369.3975475200004</v>
      </c>
      <c r="AY135" s="254">
        <v>-182.18145219600046</v>
      </c>
      <c r="BA135" s="170"/>
      <c r="BB135" s="170"/>
    </row>
    <row r="136" spans="2:54">
      <c r="B136" s="237">
        <v>11680</v>
      </c>
      <c r="C136" s="237" t="s">
        <v>138</v>
      </c>
      <c r="D136" s="254">
        <v>-77.379494186800002</v>
      </c>
      <c r="E136" s="254">
        <v>111.34655485119993</v>
      </c>
      <c r="F136" s="254">
        <v>-445.73504184080002</v>
      </c>
      <c r="G136" s="254">
        <v>-143.34668362710022</v>
      </c>
      <c r="H136" s="254">
        <v>178.35097622079957</v>
      </c>
      <c r="I136" s="254">
        <v>197.44178814359975</v>
      </c>
      <c r="J136" s="254">
        <v>672.43015982079987</v>
      </c>
      <c r="K136" s="254">
        <v>773.44445734359988</v>
      </c>
      <c r="L136" s="254">
        <v>427.89691718360018</v>
      </c>
      <c r="M136" s="254">
        <v>301.83786833639988</v>
      </c>
      <c r="N136" s="254">
        <v>78.967481482400217</v>
      </c>
      <c r="O136" s="254">
        <v>18.514771371899997</v>
      </c>
      <c r="P136" s="254">
        <v>311.17371090160032</v>
      </c>
      <c r="Q136" s="254">
        <v>81.087493170399966</v>
      </c>
      <c r="R136" s="254">
        <v>-687.03185031000021</v>
      </c>
      <c r="S136" s="254">
        <v>-167.77692507560005</v>
      </c>
      <c r="T136" s="254">
        <v>-1146.8305474484005</v>
      </c>
      <c r="U136" s="254">
        <v>-693.43619142959983</v>
      </c>
      <c r="V136" s="254">
        <v>150.26430205160023</v>
      </c>
      <c r="W136" s="254">
        <v>581.94450821279975</v>
      </c>
      <c r="X136" s="254">
        <v>312.33880510159997</v>
      </c>
      <c r="Y136" s="254">
        <v>271.78318021279983</v>
      </c>
      <c r="Z136" s="254">
        <v>-170.11883616000023</v>
      </c>
      <c r="AA136" s="254">
        <v>-80.546473868000021</v>
      </c>
      <c r="AB136" s="254">
        <v>-72.339494186800039</v>
      </c>
      <c r="AC136" s="254">
        <v>114.3435548512</v>
      </c>
      <c r="AD136" s="254">
        <v>-440.21904184079995</v>
      </c>
      <c r="AE136" s="254">
        <v>-139.82968362710017</v>
      </c>
      <c r="AF136" s="254">
        <v>185.00297622079961</v>
      </c>
      <c r="AG136" s="254">
        <v>201.66578814359991</v>
      </c>
      <c r="AH136" s="254">
        <v>679.05515982079987</v>
      </c>
      <c r="AI136" s="254">
        <v>778.10545734359994</v>
      </c>
      <c r="AJ136" s="254">
        <v>534.23556043479994</v>
      </c>
      <c r="AK136" s="254">
        <v>355.58618996199993</v>
      </c>
      <c r="AL136" s="254">
        <v>84.478481482400184</v>
      </c>
      <c r="AM136" s="254">
        <v>21.606771371900095</v>
      </c>
      <c r="AN136" s="254">
        <v>227.12271090159993</v>
      </c>
      <c r="AO136" s="254">
        <v>172.75949317039999</v>
      </c>
      <c r="AP136" s="254">
        <v>-596.57885031000023</v>
      </c>
      <c r="AQ136" s="254">
        <v>-250.63792507560015</v>
      </c>
      <c r="AR136" s="254">
        <v>-1141.3635474484004</v>
      </c>
      <c r="AS136" s="254">
        <v>-690.63019142960002</v>
      </c>
      <c r="AT136" s="254">
        <v>156.95430205159983</v>
      </c>
      <c r="AU136" s="254">
        <v>585.97250821279999</v>
      </c>
      <c r="AV136" s="254">
        <v>319.13680510159975</v>
      </c>
      <c r="AW136" s="254">
        <v>275.15518021279991</v>
      </c>
      <c r="AX136" s="254">
        <v>-165.26183616000026</v>
      </c>
      <c r="AY136" s="254">
        <v>-77.800473868000154</v>
      </c>
      <c r="BA136" s="170"/>
      <c r="BB136" s="170"/>
    </row>
    <row r="137" spans="2:54">
      <c r="B137" s="237">
        <v>12026</v>
      </c>
      <c r="C137" s="237" t="s">
        <v>139</v>
      </c>
      <c r="D137" s="254">
        <v>-24.20428912639909</v>
      </c>
      <c r="E137" s="254">
        <v>2081.4899502976004</v>
      </c>
      <c r="F137" s="254">
        <v>-1287.3260813184024</v>
      </c>
      <c r="G137" s="254">
        <v>770.73346537919861</v>
      </c>
      <c r="H137" s="254">
        <v>4448.4045875583979</v>
      </c>
      <c r="I137" s="254">
        <v>3709.641291212798</v>
      </c>
      <c r="J137" s="254">
        <v>7922.9427203583982</v>
      </c>
      <c r="K137" s="254">
        <v>8247.0444528127973</v>
      </c>
      <c r="L137" s="254">
        <v>7258.4155331328002</v>
      </c>
      <c r="M137" s="254">
        <v>5525.1393958272001</v>
      </c>
      <c r="N137" s="254">
        <v>4613.7962820352041</v>
      </c>
      <c r="O137" s="254">
        <v>3705.7042241311992</v>
      </c>
      <c r="P137" s="254">
        <v>4367.7885331967991</v>
      </c>
      <c r="Q137" s="254">
        <v>3304.7749086591994</v>
      </c>
      <c r="R137" s="254">
        <v>-6079.5459868800008</v>
      </c>
      <c r="S137" s="254">
        <v>-573.14174234880011</v>
      </c>
      <c r="T137" s="254">
        <v>-12377.271887603203</v>
      </c>
      <c r="U137" s="254">
        <v>-6029.4724721408002</v>
      </c>
      <c r="V137" s="254">
        <v>-8597.8887116032001</v>
      </c>
      <c r="W137" s="254">
        <v>-803.6971264256008</v>
      </c>
      <c r="X137" s="254">
        <v>-6856.0209052032005</v>
      </c>
      <c r="Y137" s="254">
        <v>-1642.2674704256005</v>
      </c>
      <c r="Z137" s="254">
        <v>-3654.3753276799998</v>
      </c>
      <c r="AA137" s="254">
        <v>-897.27082726399931</v>
      </c>
      <c r="AB137" s="254">
        <v>37.053319242404541</v>
      </c>
      <c r="AC137" s="254">
        <v>2130.046850758401</v>
      </c>
      <c r="AD137" s="254">
        <v>-1267.8609515855969</v>
      </c>
      <c r="AE137" s="254">
        <v>790.71246489779878</v>
      </c>
      <c r="AF137" s="254">
        <v>4370.7818747456004</v>
      </c>
      <c r="AG137" s="254">
        <v>3663.0309586551975</v>
      </c>
      <c r="AH137" s="254">
        <v>7841.6368099455976</v>
      </c>
      <c r="AI137" s="254">
        <v>8199.2271930552015</v>
      </c>
      <c r="AJ137" s="254">
        <v>7933.6719914936002</v>
      </c>
      <c r="AK137" s="254">
        <v>5861.2652664839989</v>
      </c>
      <c r="AL137" s="254">
        <v>4604.8424114768022</v>
      </c>
      <c r="AM137" s="254">
        <v>3703.9052140157983</v>
      </c>
      <c r="AN137" s="254">
        <v>3678.6713112111993</v>
      </c>
      <c r="AO137" s="254">
        <v>4014.7490002927989</v>
      </c>
      <c r="AP137" s="254">
        <v>-5507.9855734200028</v>
      </c>
      <c r="AQ137" s="254">
        <v>-1115.3336526791991</v>
      </c>
      <c r="AR137" s="254">
        <v>-12392.344553488798</v>
      </c>
      <c r="AS137" s="254">
        <v>-6033.1158169072005</v>
      </c>
      <c r="AT137" s="254">
        <v>-8594.5782944887978</v>
      </c>
      <c r="AU137" s="254">
        <v>-780.32938831039974</v>
      </c>
      <c r="AV137" s="254">
        <v>-6838.0516043888001</v>
      </c>
      <c r="AW137" s="254">
        <v>-1622.9376843104001</v>
      </c>
      <c r="AX137" s="254">
        <v>-3620.2610931199997</v>
      </c>
      <c r="AY137" s="254">
        <v>-869.35103157599951</v>
      </c>
      <c r="BA137" s="170"/>
      <c r="BB137" s="170"/>
    </row>
    <row r="138" spans="2:54">
      <c r="B138" s="237">
        <v>10298</v>
      </c>
      <c r="C138" s="237" t="s">
        <v>140</v>
      </c>
      <c r="D138" s="254">
        <v>-11485.784108974796</v>
      </c>
      <c r="E138" s="254">
        <v>6906.5742326432082</v>
      </c>
      <c r="F138" s="254">
        <v>-27199.414465768816</v>
      </c>
      <c r="G138" s="254">
        <v>-1028.6046948881121</v>
      </c>
      <c r="H138" s="254">
        <v>31981.332365948765</v>
      </c>
      <c r="I138" s="254">
        <v>34582.918028419605</v>
      </c>
      <c r="J138" s="254">
        <v>56023.550225548795</v>
      </c>
      <c r="K138" s="254">
        <v>61305.774869619621</v>
      </c>
      <c r="L138" s="254">
        <v>40785.958023859595</v>
      </c>
      <c r="M138" s="254">
        <v>35555.761304860411</v>
      </c>
      <c r="N138" s="254">
        <v>14602.151236866455</v>
      </c>
      <c r="O138" s="254">
        <v>17603.13492320088</v>
      </c>
      <c r="P138" s="254">
        <v>27633.646248957608</v>
      </c>
      <c r="Q138" s="254">
        <v>20485.76345263439</v>
      </c>
      <c r="R138" s="254">
        <v>-44287.504292410013</v>
      </c>
      <c r="S138" s="254">
        <v>-73.052525471590343</v>
      </c>
      <c r="T138" s="254">
        <v>-84999.318207892386</v>
      </c>
      <c r="U138" s="254">
        <v>-35060.889817965595</v>
      </c>
      <c r="V138" s="254">
        <v>-25465.655313392403</v>
      </c>
      <c r="W138" s="254">
        <v>31646.069922660812</v>
      </c>
      <c r="X138" s="254">
        <v>-18589.653734842403</v>
      </c>
      <c r="Y138" s="254">
        <v>14597.138114660804</v>
      </c>
      <c r="Z138" s="254">
        <v>-16655.793501759996</v>
      </c>
      <c r="AA138" s="254">
        <v>5031.2492582520063</v>
      </c>
      <c r="AB138" s="254">
        <v>-11029.129985698382</v>
      </c>
      <c r="AC138" s="254">
        <v>7083.7888587455964</v>
      </c>
      <c r="AD138" s="254">
        <v>-26407.036469550396</v>
      </c>
      <c r="AE138" s="254">
        <v>-1136.4318892798328</v>
      </c>
      <c r="AF138" s="254">
        <v>32204.526785990369</v>
      </c>
      <c r="AG138" s="254">
        <v>35156.47697765677</v>
      </c>
      <c r="AH138" s="254">
        <v>56896.561962790351</v>
      </c>
      <c r="AI138" s="254">
        <v>61288.489807256788</v>
      </c>
      <c r="AJ138" s="254">
        <v>48530.484379122412</v>
      </c>
      <c r="AK138" s="254">
        <v>39441.097737556018</v>
      </c>
      <c r="AL138" s="254">
        <v>14771.528955131216</v>
      </c>
      <c r="AM138" s="254">
        <v>18130.650151182213</v>
      </c>
      <c r="AN138" s="254">
        <v>24948.109163460787</v>
      </c>
      <c r="AO138" s="254">
        <v>23893.523555275198</v>
      </c>
      <c r="AP138" s="254">
        <v>-41312.999656780041</v>
      </c>
      <c r="AQ138" s="254">
        <v>-2512.8187150727899</v>
      </c>
      <c r="AR138" s="254">
        <v>-84617.9579788392</v>
      </c>
      <c r="AS138" s="254">
        <v>-34942.610159524804</v>
      </c>
      <c r="AT138" s="254">
        <v>-25066.715447839204</v>
      </c>
      <c r="AU138" s="254">
        <v>31820.478005686397</v>
      </c>
      <c r="AV138" s="254">
        <v>-18109.838356939203</v>
      </c>
      <c r="AW138" s="254">
        <v>14695.982541686404</v>
      </c>
      <c r="AX138" s="254">
        <v>-16219.103694080026</v>
      </c>
      <c r="AY138" s="254">
        <v>5195.5739270159975</v>
      </c>
      <c r="BA138" s="170"/>
      <c r="BB138" s="170"/>
    </row>
    <row r="139" spans="2:54">
      <c r="B139" s="155" t="s">
        <v>141</v>
      </c>
      <c r="C139" s="156" t="s">
        <v>141</v>
      </c>
      <c r="D139" s="157" t="s">
        <v>141</v>
      </c>
      <c r="E139" s="158" t="s">
        <v>141</v>
      </c>
      <c r="F139" s="157" t="s">
        <v>141</v>
      </c>
      <c r="G139" s="158" t="s">
        <v>141</v>
      </c>
      <c r="H139" s="157" t="s">
        <v>141</v>
      </c>
      <c r="I139" s="158" t="s">
        <v>141</v>
      </c>
      <c r="J139" s="157" t="s">
        <v>141</v>
      </c>
      <c r="K139" s="158" t="s">
        <v>141</v>
      </c>
      <c r="L139" s="157" t="s">
        <v>141</v>
      </c>
      <c r="M139" s="158" t="s">
        <v>141</v>
      </c>
      <c r="N139" s="157" t="s">
        <v>141</v>
      </c>
      <c r="O139" s="158" t="s">
        <v>141</v>
      </c>
      <c r="P139" s="157" t="s">
        <v>141</v>
      </c>
      <c r="Q139" s="158" t="s">
        <v>141</v>
      </c>
      <c r="R139" s="157" t="s">
        <v>141</v>
      </c>
      <c r="S139" s="158" t="s">
        <v>141</v>
      </c>
      <c r="T139" s="157" t="s">
        <v>141</v>
      </c>
      <c r="U139" s="158" t="s">
        <v>141</v>
      </c>
      <c r="V139" s="157" t="s">
        <v>141</v>
      </c>
      <c r="W139" s="158" t="s">
        <v>141</v>
      </c>
      <c r="X139" s="157" t="s">
        <v>141</v>
      </c>
      <c r="Y139" s="158" t="s">
        <v>141</v>
      </c>
      <c r="Z139" s="157" t="s">
        <v>141</v>
      </c>
      <c r="AA139" s="158" t="s">
        <v>141</v>
      </c>
      <c r="AB139" s="157" t="s">
        <v>141</v>
      </c>
      <c r="AC139" s="158" t="s">
        <v>141</v>
      </c>
      <c r="AD139" s="157" t="s">
        <v>141</v>
      </c>
      <c r="AE139" s="158" t="s">
        <v>141</v>
      </c>
      <c r="AF139" s="157" t="s">
        <v>141</v>
      </c>
      <c r="AG139" s="158" t="s">
        <v>141</v>
      </c>
      <c r="AH139" s="157" t="s">
        <v>141</v>
      </c>
      <c r="AI139" s="158" t="s">
        <v>141</v>
      </c>
      <c r="AJ139" s="157" t="s">
        <v>141</v>
      </c>
      <c r="AK139" s="158" t="s">
        <v>141</v>
      </c>
      <c r="AL139" s="157" t="s">
        <v>141</v>
      </c>
      <c r="AM139" s="158" t="s">
        <v>141</v>
      </c>
      <c r="AN139" s="157" t="s">
        <v>141</v>
      </c>
      <c r="AO139" s="158" t="s">
        <v>141</v>
      </c>
      <c r="AP139" s="157" t="s">
        <v>141</v>
      </c>
      <c r="AQ139" s="158" t="s">
        <v>141</v>
      </c>
      <c r="AR139" s="157" t="s">
        <v>141</v>
      </c>
      <c r="AS139" s="158" t="s">
        <v>141</v>
      </c>
      <c r="AT139" s="157" t="s">
        <v>141</v>
      </c>
      <c r="AU139" s="158" t="s">
        <v>141</v>
      </c>
      <c r="AV139" s="157" t="s">
        <v>141</v>
      </c>
      <c r="AW139" s="158" t="s">
        <v>141</v>
      </c>
      <c r="AX139" s="157" t="s">
        <v>141</v>
      </c>
      <c r="AY139" s="158" t="s">
        <v>141</v>
      </c>
      <c r="BA139" s="170"/>
      <c r="BB139" s="170"/>
    </row>
    <row r="140" spans="2:54">
      <c r="B140" s="155" t="s">
        <v>141</v>
      </c>
      <c r="C140" s="156" t="s">
        <v>141</v>
      </c>
      <c r="D140" s="157"/>
      <c r="E140" s="158"/>
      <c r="F140" s="157"/>
      <c r="G140" s="158"/>
      <c r="H140" s="157"/>
      <c r="I140" s="158" t="s">
        <v>141</v>
      </c>
      <c r="J140" s="157" t="s">
        <v>141</v>
      </c>
      <c r="K140" s="158" t="s">
        <v>141</v>
      </c>
      <c r="L140" s="157" t="s">
        <v>141</v>
      </c>
      <c r="M140" s="158" t="s">
        <v>141</v>
      </c>
      <c r="N140" s="157" t="s">
        <v>141</v>
      </c>
      <c r="O140" s="158" t="s">
        <v>141</v>
      </c>
      <c r="P140" s="157" t="s">
        <v>141</v>
      </c>
      <c r="Q140" s="158" t="s">
        <v>141</v>
      </c>
      <c r="R140" s="157" t="s">
        <v>141</v>
      </c>
      <c r="S140" s="158" t="s">
        <v>141</v>
      </c>
      <c r="T140" s="157" t="s">
        <v>141</v>
      </c>
      <c r="U140" s="158" t="s">
        <v>141</v>
      </c>
      <c r="V140" s="157" t="s">
        <v>141</v>
      </c>
      <c r="W140" s="158" t="s">
        <v>141</v>
      </c>
      <c r="X140" s="157" t="s">
        <v>141</v>
      </c>
      <c r="Y140" s="158" t="s">
        <v>141</v>
      </c>
      <c r="Z140" s="157" t="s">
        <v>141</v>
      </c>
      <c r="AA140" s="158" t="s">
        <v>141</v>
      </c>
      <c r="AB140" s="157" t="s">
        <v>141</v>
      </c>
      <c r="AC140" s="158" t="s">
        <v>141</v>
      </c>
      <c r="AD140" s="157" t="s">
        <v>141</v>
      </c>
      <c r="AE140" s="158" t="s">
        <v>141</v>
      </c>
      <c r="AF140" s="157" t="s">
        <v>141</v>
      </c>
      <c r="AG140" s="158" t="s">
        <v>141</v>
      </c>
      <c r="AH140" s="157" t="s">
        <v>141</v>
      </c>
      <c r="AI140" s="158" t="s">
        <v>141</v>
      </c>
      <c r="AJ140" s="157" t="s">
        <v>141</v>
      </c>
      <c r="AK140" s="158" t="s">
        <v>141</v>
      </c>
      <c r="AL140" s="157" t="s">
        <v>141</v>
      </c>
      <c r="AM140" s="158" t="s">
        <v>141</v>
      </c>
      <c r="AN140" s="157" t="s">
        <v>141</v>
      </c>
      <c r="AO140" s="158" t="s">
        <v>141</v>
      </c>
      <c r="AP140" s="157" t="s">
        <v>141</v>
      </c>
      <c r="AQ140" s="158" t="s">
        <v>141</v>
      </c>
      <c r="AR140" s="157" t="s">
        <v>141</v>
      </c>
      <c r="AS140" s="158" t="s">
        <v>141</v>
      </c>
      <c r="AT140" s="157" t="s">
        <v>141</v>
      </c>
      <c r="AU140" s="158" t="s">
        <v>141</v>
      </c>
      <c r="AV140" s="157" t="s">
        <v>141</v>
      </c>
      <c r="AW140" s="158" t="s">
        <v>141</v>
      </c>
      <c r="AX140" s="157" t="s">
        <v>141</v>
      </c>
      <c r="AY140" s="158" t="s">
        <v>141</v>
      </c>
    </row>
    <row r="141" spans="2:54">
      <c r="B141" s="155" t="s">
        <v>141</v>
      </c>
      <c r="C141" s="156" t="s">
        <v>141</v>
      </c>
      <c r="D141" s="157" t="s">
        <v>141</v>
      </c>
      <c r="E141" s="158" t="s">
        <v>141</v>
      </c>
      <c r="F141" s="157" t="s">
        <v>141</v>
      </c>
      <c r="G141" s="158" t="s">
        <v>141</v>
      </c>
      <c r="H141" s="157" t="s">
        <v>141</v>
      </c>
      <c r="I141" s="158" t="s">
        <v>141</v>
      </c>
      <c r="J141" s="157" t="s">
        <v>141</v>
      </c>
      <c r="K141" s="158" t="s">
        <v>141</v>
      </c>
      <c r="L141" s="157" t="s">
        <v>141</v>
      </c>
      <c r="M141" s="158" t="s">
        <v>141</v>
      </c>
      <c r="N141" s="157" t="s">
        <v>141</v>
      </c>
      <c r="O141" s="158" t="s">
        <v>141</v>
      </c>
      <c r="P141" s="157" t="s">
        <v>141</v>
      </c>
      <c r="Q141" s="158" t="s">
        <v>141</v>
      </c>
      <c r="R141" s="157" t="s">
        <v>141</v>
      </c>
      <c r="S141" s="158" t="s">
        <v>141</v>
      </c>
      <c r="T141" s="157" t="s">
        <v>141</v>
      </c>
      <c r="U141" s="158" t="s">
        <v>141</v>
      </c>
      <c r="V141" s="157" t="s">
        <v>141</v>
      </c>
      <c r="W141" s="158" t="s">
        <v>141</v>
      </c>
      <c r="X141" s="157" t="s">
        <v>141</v>
      </c>
      <c r="Y141" s="158" t="s">
        <v>141</v>
      </c>
      <c r="Z141" s="157" t="s">
        <v>141</v>
      </c>
      <c r="AA141" s="158" t="s">
        <v>141</v>
      </c>
      <c r="AB141" s="157" t="s">
        <v>141</v>
      </c>
      <c r="AC141" s="158" t="s">
        <v>141</v>
      </c>
      <c r="AD141" s="157" t="s">
        <v>141</v>
      </c>
      <c r="AE141" s="158" t="s">
        <v>141</v>
      </c>
      <c r="AF141" s="157" t="s">
        <v>141</v>
      </c>
      <c r="AG141" s="158" t="s">
        <v>141</v>
      </c>
      <c r="AH141" s="157" t="s">
        <v>141</v>
      </c>
      <c r="AI141" s="158" t="s">
        <v>141</v>
      </c>
      <c r="AJ141" s="157" t="s">
        <v>141</v>
      </c>
      <c r="AK141" s="158" t="s">
        <v>141</v>
      </c>
      <c r="AL141" s="157" t="s">
        <v>141</v>
      </c>
      <c r="AM141" s="158" t="s">
        <v>141</v>
      </c>
      <c r="AN141" s="157" t="s">
        <v>141</v>
      </c>
      <c r="AO141" s="158" t="s">
        <v>141</v>
      </c>
      <c r="AP141" s="157" t="s">
        <v>141</v>
      </c>
      <c r="AQ141" s="158" t="s">
        <v>141</v>
      </c>
      <c r="AR141" s="157" t="s">
        <v>141</v>
      </c>
      <c r="AS141" s="158" t="s">
        <v>141</v>
      </c>
      <c r="AT141" s="157" t="s">
        <v>141</v>
      </c>
      <c r="AU141" s="158" t="s">
        <v>141</v>
      </c>
      <c r="AV141" s="157" t="s">
        <v>141</v>
      </c>
      <c r="AW141" s="158" t="s">
        <v>141</v>
      </c>
      <c r="AX141" s="157" t="s">
        <v>141</v>
      </c>
      <c r="AY141" s="158" t="s">
        <v>141</v>
      </c>
    </row>
    <row r="142" spans="2:54">
      <c r="B142" s="155"/>
      <c r="C142" s="156"/>
      <c r="D142" s="157"/>
      <c r="E142" s="158"/>
      <c r="F142" s="157" t="s">
        <v>141</v>
      </c>
      <c r="G142" s="158" t="s">
        <v>141</v>
      </c>
      <c r="H142" s="157" t="s">
        <v>141</v>
      </c>
      <c r="I142" s="158" t="s">
        <v>141</v>
      </c>
      <c r="J142" s="157" t="s">
        <v>141</v>
      </c>
      <c r="K142" s="158" t="s">
        <v>141</v>
      </c>
      <c r="L142" s="157" t="s">
        <v>141</v>
      </c>
      <c r="M142" s="158" t="s">
        <v>141</v>
      </c>
      <c r="N142" s="157" t="s">
        <v>141</v>
      </c>
      <c r="O142" s="158" t="s">
        <v>141</v>
      </c>
      <c r="P142" s="157" t="s">
        <v>141</v>
      </c>
      <c r="Q142" s="158" t="s">
        <v>141</v>
      </c>
      <c r="R142" s="157" t="s">
        <v>141</v>
      </c>
      <c r="S142" s="158" t="s">
        <v>141</v>
      </c>
      <c r="T142" s="157" t="s">
        <v>141</v>
      </c>
      <c r="U142" s="158" t="s">
        <v>141</v>
      </c>
      <c r="V142" s="157" t="s">
        <v>141</v>
      </c>
      <c r="W142" s="158" t="s">
        <v>141</v>
      </c>
      <c r="X142" s="157" t="s">
        <v>141</v>
      </c>
      <c r="Y142" s="158" t="s">
        <v>141</v>
      </c>
      <c r="Z142" s="157" t="s">
        <v>141</v>
      </c>
      <c r="AA142" s="158" t="s">
        <v>141</v>
      </c>
      <c r="AB142" s="157" t="s">
        <v>141</v>
      </c>
      <c r="AC142" s="158" t="s">
        <v>141</v>
      </c>
      <c r="AD142" s="157" t="s">
        <v>141</v>
      </c>
      <c r="AE142" s="158" t="s">
        <v>141</v>
      </c>
      <c r="AF142" s="157" t="s">
        <v>141</v>
      </c>
      <c r="AG142" s="158" t="s">
        <v>141</v>
      </c>
      <c r="AH142" s="157" t="s">
        <v>141</v>
      </c>
      <c r="AI142" s="158" t="s">
        <v>141</v>
      </c>
      <c r="AJ142" s="157" t="s">
        <v>141</v>
      </c>
      <c r="AK142" s="158" t="s">
        <v>141</v>
      </c>
      <c r="AL142" s="157" t="s">
        <v>141</v>
      </c>
      <c r="AM142" s="158" t="s">
        <v>141</v>
      </c>
      <c r="AN142" s="157" t="s">
        <v>141</v>
      </c>
      <c r="AO142" s="158" t="s">
        <v>141</v>
      </c>
      <c r="AP142" s="157" t="s">
        <v>141</v>
      </c>
      <c r="AQ142" s="158" t="s">
        <v>141</v>
      </c>
      <c r="AR142" s="157" t="s">
        <v>141</v>
      </c>
      <c r="AS142" s="158" t="s">
        <v>141</v>
      </c>
      <c r="AT142" s="157" t="s">
        <v>141</v>
      </c>
      <c r="AU142" s="158" t="s">
        <v>141</v>
      </c>
      <c r="AV142" s="157" t="s">
        <v>141</v>
      </c>
      <c r="AW142" s="158" t="s">
        <v>141</v>
      </c>
      <c r="AX142" s="157" t="s">
        <v>141</v>
      </c>
      <c r="AY142" s="158" t="s">
        <v>141</v>
      </c>
    </row>
    <row r="143" spans="2:54">
      <c r="B143" s="155" t="s">
        <v>141</v>
      </c>
      <c r="C143" s="156" t="s">
        <v>141</v>
      </c>
      <c r="D143" s="157" t="s">
        <v>141</v>
      </c>
      <c r="E143" s="158" t="s">
        <v>141</v>
      </c>
      <c r="F143" s="157" t="s">
        <v>141</v>
      </c>
      <c r="G143" s="158" t="s">
        <v>141</v>
      </c>
      <c r="H143" s="157" t="s">
        <v>141</v>
      </c>
      <c r="I143" s="158" t="s">
        <v>141</v>
      </c>
      <c r="J143" s="157" t="s">
        <v>141</v>
      </c>
      <c r="K143" s="158" t="s">
        <v>141</v>
      </c>
      <c r="L143" s="157" t="s">
        <v>141</v>
      </c>
      <c r="M143" s="158" t="s">
        <v>141</v>
      </c>
      <c r="N143" s="157" t="s">
        <v>141</v>
      </c>
      <c r="O143" s="158" t="s">
        <v>141</v>
      </c>
      <c r="P143" s="157" t="s">
        <v>141</v>
      </c>
      <c r="Q143" s="158" t="s">
        <v>141</v>
      </c>
      <c r="R143" s="157" t="s">
        <v>141</v>
      </c>
      <c r="S143" s="158" t="s">
        <v>141</v>
      </c>
      <c r="T143" s="157" t="s">
        <v>141</v>
      </c>
      <c r="U143" s="158" t="s">
        <v>141</v>
      </c>
      <c r="V143" s="157" t="s">
        <v>141</v>
      </c>
      <c r="W143" s="158" t="s">
        <v>141</v>
      </c>
      <c r="X143" s="157" t="s">
        <v>141</v>
      </c>
      <c r="Y143" s="158" t="s">
        <v>141</v>
      </c>
      <c r="Z143" s="157" t="s">
        <v>141</v>
      </c>
      <c r="AA143" s="158" t="s">
        <v>141</v>
      </c>
      <c r="AB143" s="157" t="s">
        <v>141</v>
      </c>
      <c r="AC143" s="158" t="s">
        <v>141</v>
      </c>
      <c r="AD143" s="157" t="s">
        <v>141</v>
      </c>
      <c r="AE143" s="158" t="s">
        <v>141</v>
      </c>
      <c r="AF143" s="157" t="s">
        <v>141</v>
      </c>
      <c r="AG143" s="158" t="s">
        <v>141</v>
      </c>
      <c r="AH143" s="157" t="s">
        <v>141</v>
      </c>
      <c r="AI143" s="158" t="s">
        <v>141</v>
      </c>
      <c r="AJ143" s="157" t="s">
        <v>141</v>
      </c>
      <c r="AK143" s="158" t="s">
        <v>141</v>
      </c>
      <c r="AL143" s="157" t="s">
        <v>141</v>
      </c>
      <c r="AM143" s="158" t="s">
        <v>141</v>
      </c>
      <c r="AN143" s="157" t="s">
        <v>141</v>
      </c>
      <c r="AO143" s="158" t="s">
        <v>141</v>
      </c>
      <c r="AP143" s="157" t="s">
        <v>141</v>
      </c>
      <c r="AQ143" s="158" t="s">
        <v>141</v>
      </c>
      <c r="AR143" s="157" t="s">
        <v>141</v>
      </c>
      <c r="AS143" s="158" t="s">
        <v>141</v>
      </c>
      <c r="AT143" s="157" t="s">
        <v>141</v>
      </c>
      <c r="AU143" s="158" t="s">
        <v>141</v>
      </c>
      <c r="AV143" s="157" t="s">
        <v>141</v>
      </c>
      <c r="AW143" s="158" t="s">
        <v>141</v>
      </c>
      <c r="AX143" s="157" t="s">
        <v>141</v>
      </c>
      <c r="AY143" s="158" t="s">
        <v>141</v>
      </c>
    </row>
    <row r="144" spans="2:54">
      <c r="B144" s="155" t="s">
        <v>141</v>
      </c>
      <c r="C144" s="156" t="s">
        <v>141</v>
      </c>
      <c r="D144" s="157" t="s">
        <v>141</v>
      </c>
      <c r="E144" s="158" t="s">
        <v>141</v>
      </c>
      <c r="F144" s="157" t="s">
        <v>141</v>
      </c>
      <c r="G144" s="158" t="s">
        <v>141</v>
      </c>
      <c r="H144" s="157" t="s">
        <v>141</v>
      </c>
      <c r="I144" s="158" t="s">
        <v>141</v>
      </c>
      <c r="J144" s="157" t="s">
        <v>141</v>
      </c>
      <c r="K144" s="158" t="s">
        <v>141</v>
      </c>
      <c r="L144" s="157" t="s">
        <v>141</v>
      </c>
      <c r="M144" s="158" t="s">
        <v>141</v>
      </c>
      <c r="N144" s="157" t="s">
        <v>141</v>
      </c>
      <c r="O144" s="158" t="s">
        <v>141</v>
      </c>
      <c r="P144" s="157" t="s">
        <v>141</v>
      </c>
      <c r="Q144" s="158" t="s">
        <v>141</v>
      </c>
      <c r="R144" s="157" t="s">
        <v>141</v>
      </c>
      <c r="S144" s="158" t="s">
        <v>141</v>
      </c>
      <c r="T144" s="157" t="s">
        <v>141</v>
      </c>
      <c r="U144" s="158" t="s">
        <v>141</v>
      </c>
      <c r="V144" s="157" t="s">
        <v>141</v>
      </c>
      <c r="W144" s="158" t="s">
        <v>141</v>
      </c>
      <c r="X144" s="157" t="s">
        <v>141</v>
      </c>
      <c r="Y144" s="158" t="s">
        <v>141</v>
      </c>
      <c r="Z144" s="157" t="s">
        <v>141</v>
      </c>
      <c r="AA144" s="158" t="s">
        <v>141</v>
      </c>
      <c r="AB144" s="157" t="s">
        <v>141</v>
      </c>
      <c r="AC144" s="158" t="s">
        <v>141</v>
      </c>
      <c r="AD144" s="157" t="s">
        <v>141</v>
      </c>
      <c r="AE144" s="158" t="s">
        <v>141</v>
      </c>
      <c r="AF144" s="157" t="s">
        <v>141</v>
      </c>
      <c r="AG144" s="158" t="s">
        <v>141</v>
      </c>
      <c r="AH144" s="157" t="s">
        <v>141</v>
      </c>
      <c r="AI144" s="158" t="s">
        <v>141</v>
      </c>
      <c r="AJ144" s="157" t="s">
        <v>141</v>
      </c>
      <c r="AK144" s="158" t="s">
        <v>141</v>
      </c>
      <c r="AL144" s="157" t="s">
        <v>141</v>
      </c>
      <c r="AM144" s="158" t="s">
        <v>141</v>
      </c>
      <c r="AN144" s="157" t="s">
        <v>141</v>
      </c>
      <c r="AO144" s="158" t="s">
        <v>141</v>
      </c>
      <c r="AP144" s="157" t="s">
        <v>141</v>
      </c>
      <c r="AQ144" s="158" t="s">
        <v>141</v>
      </c>
      <c r="AR144" s="157" t="s">
        <v>141</v>
      </c>
      <c r="AS144" s="158" t="s">
        <v>141</v>
      </c>
      <c r="AT144" s="157" t="s">
        <v>141</v>
      </c>
      <c r="AU144" s="158" t="s">
        <v>141</v>
      </c>
      <c r="AV144" s="157" t="s">
        <v>141</v>
      </c>
      <c r="AW144" s="158" t="s">
        <v>141</v>
      </c>
      <c r="AX144" s="157" t="s">
        <v>141</v>
      </c>
      <c r="AY144" s="158" t="s">
        <v>141</v>
      </c>
    </row>
    <row r="145" spans="2:51">
      <c r="B145" s="155" t="s">
        <v>141</v>
      </c>
      <c r="C145" s="156" t="s">
        <v>141</v>
      </c>
      <c r="D145" s="157" t="s">
        <v>141</v>
      </c>
      <c r="E145" s="158" t="s">
        <v>141</v>
      </c>
      <c r="F145" s="157" t="s">
        <v>141</v>
      </c>
      <c r="G145" s="158" t="s">
        <v>141</v>
      </c>
      <c r="H145" s="157" t="s">
        <v>141</v>
      </c>
      <c r="I145" s="158" t="s">
        <v>141</v>
      </c>
      <c r="J145" s="157" t="s">
        <v>141</v>
      </c>
      <c r="K145" s="158" t="s">
        <v>141</v>
      </c>
      <c r="L145" s="157" t="s">
        <v>141</v>
      </c>
      <c r="M145" s="158" t="s">
        <v>141</v>
      </c>
      <c r="N145" s="157" t="s">
        <v>141</v>
      </c>
      <c r="O145" s="158" t="s">
        <v>141</v>
      </c>
      <c r="P145" s="157" t="s">
        <v>141</v>
      </c>
      <c r="Q145" s="158" t="s">
        <v>141</v>
      </c>
      <c r="R145" s="157" t="s">
        <v>141</v>
      </c>
      <c r="S145" s="158" t="s">
        <v>141</v>
      </c>
      <c r="T145" s="157" t="s">
        <v>141</v>
      </c>
      <c r="U145" s="158" t="s">
        <v>141</v>
      </c>
      <c r="V145" s="157" t="s">
        <v>141</v>
      </c>
      <c r="W145" s="158" t="s">
        <v>141</v>
      </c>
      <c r="X145" s="157" t="s">
        <v>141</v>
      </c>
      <c r="Y145" s="158" t="s">
        <v>141</v>
      </c>
      <c r="Z145" s="157" t="s">
        <v>141</v>
      </c>
      <c r="AA145" s="158" t="s">
        <v>141</v>
      </c>
      <c r="AB145" s="157" t="s">
        <v>141</v>
      </c>
      <c r="AC145" s="158" t="s">
        <v>141</v>
      </c>
      <c r="AD145" s="157" t="s">
        <v>141</v>
      </c>
      <c r="AE145" s="158" t="s">
        <v>141</v>
      </c>
      <c r="AF145" s="157" t="s">
        <v>141</v>
      </c>
      <c r="AG145" s="158" t="s">
        <v>141</v>
      </c>
      <c r="AH145" s="157" t="s">
        <v>141</v>
      </c>
      <c r="AI145" s="158" t="s">
        <v>141</v>
      </c>
      <c r="AJ145" s="157" t="s">
        <v>141</v>
      </c>
      <c r="AK145" s="158" t="s">
        <v>141</v>
      </c>
      <c r="AL145" s="157" t="s">
        <v>141</v>
      </c>
      <c r="AM145" s="158" t="s">
        <v>141</v>
      </c>
      <c r="AN145" s="157" t="s">
        <v>141</v>
      </c>
      <c r="AO145" s="158" t="s">
        <v>141</v>
      </c>
      <c r="AP145" s="157" t="s">
        <v>141</v>
      </c>
      <c r="AQ145" s="158" t="s">
        <v>141</v>
      </c>
      <c r="AR145" s="157" t="s">
        <v>141</v>
      </c>
      <c r="AS145" s="158" t="s">
        <v>141</v>
      </c>
      <c r="AT145" s="157" t="s">
        <v>141</v>
      </c>
      <c r="AU145" s="158" t="s">
        <v>141</v>
      </c>
      <c r="AV145" s="157" t="s">
        <v>141</v>
      </c>
      <c r="AW145" s="158" t="s">
        <v>141</v>
      </c>
      <c r="AX145" s="157" t="s">
        <v>141</v>
      </c>
      <c r="AY145" s="158" t="s">
        <v>141</v>
      </c>
    </row>
    <row r="146" spans="2:51">
      <c r="B146" s="155" t="s">
        <v>141</v>
      </c>
      <c r="C146" s="156" t="s">
        <v>141</v>
      </c>
      <c r="D146" s="157" t="s">
        <v>141</v>
      </c>
      <c r="E146" s="158" t="s">
        <v>141</v>
      </c>
      <c r="F146" s="157" t="s">
        <v>141</v>
      </c>
      <c r="G146" s="158" t="s">
        <v>141</v>
      </c>
      <c r="H146" s="157" t="s">
        <v>141</v>
      </c>
      <c r="I146" s="158" t="s">
        <v>141</v>
      </c>
      <c r="J146" s="157" t="s">
        <v>141</v>
      </c>
      <c r="K146" s="158" t="s">
        <v>141</v>
      </c>
      <c r="L146" s="157" t="s">
        <v>141</v>
      </c>
      <c r="M146" s="158" t="s">
        <v>141</v>
      </c>
      <c r="N146" s="157" t="s">
        <v>141</v>
      </c>
      <c r="O146" s="158" t="s">
        <v>141</v>
      </c>
      <c r="P146" s="157" t="s">
        <v>141</v>
      </c>
      <c r="Q146" s="158" t="s">
        <v>141</v>
      </c>
      <c r="R146" s="157" t="s">
        <v>141</v>
      </c>
      <c r="S146" s="158" t="s">
        <v>141</v>
      </c>
      <c r="T146" s="157" t="s">
        <v>141</v>
      </c>
      <c r="U146" s="158" t="s">
        <v>141</v>
      </c>
      <c r="V146" s="157" t="s">
        <v>141</v>
      </c>
      <c r="W146" s="158" t="s">
        <v>141</v>
      </c>
      <c r="X146" s="157" t="s">
        <v>141</v>
      </c>
      <c r="Y146" s="158" t="s">
        <v>141</v>
      </c>
      <c r="Z146" s="157" t="s">
        <v>141</v>
      </c>
      <c r="AA146" s="158" t="s">
        <v>141</v>
      </c>
      <c r="AB146" s="157" t="s">
        <v>141</v>
      </c>
      <c r="AC146" s="158" t="s">
        <v>141</v>
      </c>
      <c r="AD146" s="157" t="s">
        <v>141</v>
      </c>
      <c r="AE146" s="158" t="s">
        <v>141</v>
      </c>
      <c r="AF146" s="157" t="s">
        <v>141</v>
      </c>
      <c r="AG146" s="158" t="s">
        <v>141</v>
      </c>
      <c r="AH146" s="157" t="s">
        <v>141</v>
      </c>
      <c r="AI146" s="158" t="s">
        <v>141</v>
      </c>
      <c r="AJ146" s="157" t="s">
        <v>141</v>
      </c>
      <c r="AK146" s="158" t="s">
        <v>141</v>
      </c>
      <c r="AL146" s="157" t="s">
        <v>141</v>
      </c>
      <c r="AM146" s="158" t="s">
        <v>141</v>
      </c>
      <c r="AN146" s="157" t="s">
        <v>141</v>
      </c>
      <c r="AO146" s="158" t="s">
        <v>141</v>
      </c>
      <c r="AP146" s="157" t="s">
        <v>141</v>
      </c>
      <c r="AQ146" s="158" t="s">
        <v>141</v>
      </c>
      <c r="AR146" s="157" t="s">
        <v>141</v>
      </c>
      <c r="AS146" s="158" t="s">
        <v>141</v>
      </c>
      <c r="AT146" s="157" t="s">
        <v>141</v>
      </c>
      <c r="AU146" s="158" t="s">
        <v>141</v>
      </c>
      <c r="AV146" s="157" t="s">
        <v>141</v>
      </c>
      <c r="AW146" s="158" t="s">
        <v>141</v>
      </c>
      <c r="AX146" s="157" t="s">
        <v>141</v>
      </c>
      <c r="AY146" s="158" t="s">
        <v>141</v>
      </c>
    </row>
    <row r="147" spans="2:51">
      <c r="B147" s="155" t="s">
        <v>141</v>
      </c>
      <c r="C147" s="156" t="s">
        <v>141</v>
      </c>
      <c r="D147" s="157" t="s">
        <v>141</v>
      </c>
      <c r="E147" s="158" t="s">
        <v>141</v>
      </c>
      <c r="F147" s="157" t="s">
        <v>141</v>
      </c>
      <c r="G147" s="158" t="s">
        <v>141</v>
      </c>
      <c r="H147" s="157" t="s">
        <v>141</v>
      </c>
      <c r="I147" s="158" t="s">
        <v>141</v>
      </c>
      <c r="J147" s="157" t="s">
        <v>141</v>
      </c>
      <c r="K147" s="158" t="s">
        <v>141</v>
      </c>
      <c r="L147" s="157" t="s">
        <v>141</v>
      </c>
      <c r="M147" s="158" t="s">
        <v>141</v>
      </c>
      <c r="N147" s="157" t="s">
        <v>141</v>
      </c>
      <c r="O147" s="158" t="s">
        <v>141</v>
      </c>
      <c r="P147" s="157" t="s">
        <v>141</v>
      </c>
      <c r="Q147" s="158" t="s">
        <v>141</v>
      </c>
      <c r="R147" s="157" t="s">
        <v>141</v>
      </c>
      <c r="S147" s="158" t="s">
        <v>141</v>
      </c>
      <c r="T147" s="157" t="s">
        <v>141</v>
      </c>
      <c r="U147" s="158" t="s">
        <v>141</v>
      </c>
      <c r="V147" s="157" t="s">
        <v>141</v>
      </c>
      <c r="W147" s="158" t="s">
        <v>141</v>
      </c>
      <c r="X147" s="157" t="s">
        <v>141</v>
      </c>
      <c r="Y147" s="158" t="s">
        <v>141</v>
      </c>
      <c r="Z147" s="157" t="s">
        <v>141</v>
      </c>
      <c r="AA147" s="158" t="s">
        <v>141</v>
      </c>
      <c r="AB147" s="157" t="s">
        <v>141</v>
      </c>
      <c r="AC147" s="158" t="s">
        <v>141</v>
      </c>
      <c r="AD147" s="157" t="s">
        <v>141</v>
      </c>
      <c r="AE147" s="158" t="s">
        <v>141</v>
      </c>
      <c r="AF147" s="157" t="s">
        <v>141</v>
      </c>
      <c r="AG147" s="158" t="s">
        <v>141</v>
      </c>
      <c r="AH147" s="157" t="s">
        <v>141</v>
      </c>
      <c r="AI147" s="158" t="s">
        <v>141</v>
      </c>
      <c r="AJ147" s="157" t="s">
        <v>141</v>
      </c>
      <c r="AK147" s="158" t="s">
        <v>141</v>
      </c>
      <c r="AL147" s="157" t="s">
        <v>141</v>
      </c>
      <c r="AM147" s="158" t="s">
        <v>141</v>
      </c>
      <c r="AN147" s="157" t="s">
        <v>141</v>
      </c>
      <c r="AO147" s="158" t="s">
        <v>141</v>
      </c>
      <c r="AP147" s="157" t="s">
        <v>141</v>
      </c>
      <c r="AQ147" s="158" t="s">
        <v>141</v>
      </c>
      <c r="AR147" s="157" t="s">
        <v>141</v>
      </c>
      <c r="AS147" s="158" t="s">
        <v>141</v>
      </c>
      <c r="AT147" s="157" t="s">
        <v>141</v>
      </c>
      <c r="AU147" s="158" t="s">
        <v>141</v>
      </c>
      <c r="AV147" s="157" t="s">
        <v>141</v>
      </c>
      <c r="AW147" s="158" t="s">
        <v>141</v>
      </c>
      <c r="AX147" s="157" t="s">
        <v>141</v>
      </c>
      <c r="AY147" s="158" t="s">
        <v>141</v>
      </c>
    </row>
    <row r="148" spans="2:51">
      <c r="B148" s="155" t="s">
        <v>141</v>
      </c>
      <c r="C148" s="156" t="s">
        <v>141</v>
      </c>
      <c r="D148" s="157" t="s">
        <v>141</v>
      </c>
      <c r="E148" s="158" t="s">
        <v>141</v>
      </c>
      <c r="F148" s="157" t="s">
        <v>141</v>
      </c>
      <c r="G148" s="158" t="s">
        <v>141</v>
      </c>
      <c r="H148" s="157" t="s">
        <v>141</v>
      </c>
      <c r="I148" s="158" t="s">
        <v>141</v>
      </c>
      <c r="J148" s="157" t="s">
        <v>141</v>
      </c>
      <c r="K148" s="158" t="s">
        <v>141</v>
      </c>
      <c r="L148" s="157" t="s">
        <v>141</v>
      </c>
      <c r="M148" s="158" t="s">
        <v>141</v>
      </c>
      <c r="N148" s="157" t="s">
        <v>141</v>
      </c>
      <c r="O148" s="158" t="s">
        <v>141</v>
      </c>
      <c r="P148" s="157" t="s">
        <v>141</v>
      </c>
      <c r="Q148" s="158" t="s">
        <v>141</v>
      </c>
      <c r="R148" s="157" t="s">
        <v>141</v>
      </c>
      <c r="S148" s="158" t="s">
        <v>141</v>
      </c>
      <c r="T148" s="157" t="s">
        <v>141</v>
      </c>
      <c r="U148" s="158" t="s">
        <v>141</v>
      </c>
      <c r="V148" s="157" t="s">
        <v>141</v>
      </c>
      <c r="W148" s="158" t="s">
        <v>141</v>
      </c>
      <c r="X148" s="157" t="s">
        <v>141</v>
      </c>
      <c r="Y148" s="158" t="s">
        <v>141</v>
      </c>
      <c r="Z148" s="157" t="s">
        <v>141</v>
      </c>
      <c r="AA148" s="158" t="s">
        <v>141</v>
      </c>
      <c r="AB148" s="157" t="s">
        <v>141</v>
      </c>
      <c r="AC148" s="158" t="s">
        <v>141</v>
      </c>
      <c r="AD148" s="157" t="s">
        <v>141</v>
      </c>
      <c r="AE148" s="158" t="s">
        <v>141</v>
      </c>
      <c r="AF148" s="157" t="s">
        <v>141</v>
      </c>
      <c r="AG148" s="158" t="s">
        <v>141</v>
      </c>
      <c r="AH148" s="157" t="s">
        <v>141</v>
      </c>
      <c r="AI148" s="158" t="s">
        <v>141</v>
      </c>
      <c r="AJ148" s="157" t="s">
        <v>141</v>
      </c>
      <c r="AK148" s="158" t="s">
        <v>141</v>
      </c>
      <c r="AL148" s="157" t="s">
        <v>141</v>
      </c>
      <c r="AM148" s="158" t="s">
        <v>141</v>
      </c>
      <c r="AN148" s="157" t="s">
        <v>141</v>
      </c>
      <c r="AO148" s="158" t="s">
        <v>141</v>
      </c>
      <c r="AP148" s="157" t="s">
        <v>141</v>
      </c>
      <c r="AQ148" s="158" t="s">
        <v>141</v>
      </c>
      <c r="AR148" s="157" t="s">
        <v>141</v>
      </c>
      <c r="AS148" s="158" t="s">
        <v>141</v>
      </c>
      <c r="AT148" s="157" t="s">
        <v>141</v>
      </c>
      <c r="AU148" s="158" t="s">
        <v>141</v>
      </c>
      <c r="AV148" s="157" t="s">
        <v>141</v>
      </c>
      <c r="AW148" s="158" t="s">
        <v>141</v>
      </c>
      <c r="AX148" s="157" t="s">
        <v>141</v>
      </c>
      <c r="AY148" s="158" t="s">
        <v>141</v>
      </c>
    </row>
    <row r="149" spans="2:51">
      <c r="B149" s="155">
        <v>1</v>
      </c>
      <c r="C149" s="156">
        <v>2</v>
      </c>
      <c r="D149" s="157">
        <v>3</v>
      </c>
      <c r="E149" s="158">
        <v>4</v>
      </c>
      <c r="F149" s="157">
        <v>5</v>
      </c>
      <c r="G149" s="158">
        <v>6</v>
      </c>
      <c r="H149" s="157">
        <v>7</v>
      </c>
      <c r="I149" s="158">
        <v>8</v>
      </c>
      <c r="J149" s="157">
        <v>9</v>
      </c>
      <c r="K149" s="158">
        <v>10</v>
      </c>
      <c r="L149" s="157">
        <v>11</v>
      </c>
      <c r="M149" s="158">
        <v>12</v>
      </c>
      <c r="N149" s="157">
        <v>13</v>
      </c>
      <c r="O149" s="158">
        <v>14</v>
      </c>
      <c r="P149" s="157">
        <v>15</v>
      </c>
      <c r="Q149" s="158">
        <v>16</v>
      </c>
      <c r="R149" s="157">
        <v>17</v>
      </c>
      <c r="S149" s="158">
        <v>18</v>
      </c>
      <c r="T149" s="157">
        <v>19</v>
      </c>
      <c r="U149" s="158">
        <v>20</v>
      </c>
      <c r="V149" s="157">
        <v>21</v>
      </c>
      <c r="W149" s="158">
        <v>22</v>
      </c>
      <c r="X149" s="157">
        <v>23</v>
      </c>
      <c r="Y149" s="158">
        <v>24</v>
      </c>
      <c r="Z149" s="157">
        <v>25</v>
      </c>
      <c r="AA149" s="158">
        <v>26</v>
      </c>
      <c r="AB149" s="157">
        <v>27</v>
      </c>
      <c r="AC149" s="158">
        <v>28</v>
      </c>
      <c r="AD149" s="157">
        <v>29</v>
      </c>
      <c r="AE149" s="158">
        <v>30</v>
      </c>
      <c r="AF149" s="157">
        <v>31</v>
      </c>
      <c r="AG149" s="158">
        <v>32</v>
      </c>
      <c r="AH149" s="157">
        <v>33</v>
      </c>
      <c r="AI149" s="158">
        <v>34</v>
      </c>
      <c r="AJ149" s="157">
        <v>35</v>
      </c>
      <c r="AK149" s="158">
        <v>36</v>
      </c>
      <c r="AL149" s="157">
        <v>37</v>
      </c>
      <c r="AM149" s="158">
        <v>38</v>
      </c>
      <c r="AN149" s="157">
        <v>39</v>
      </c>
      <c r="AO149" s="158">
        <v>40</v>
      </c>
      <c r="AP149" s="157">
        <v>41</v>
      </c>
      <c r="AQ149" s="158">
        <v>42</v>
      </c>
      <c r="AR149" s="157">
        <v>43</v>
      </c>
      <c r="AS149" s="158">
        <v>44</v>
      </c>
      <c r="AT149" s="157">
        <v>45</v>
      </c>
      <c r="AU149" s="158">
        <v>46</v>
      </c>
      <c r="AV149" s="157">
        <v>47</v>
      </c>
      <c r="AW149" s="158">
        <v>48</v>
      </c>
      <c r="AX149" s="157">
        <v>49</v>
      </c>
      <c r="AY149" s="158">
        <v>50</v>
      </c>
    </row>
    <row r="150" spans="2:51">
      <c r="B150" s="155" t="s">
        <v>141</v>
      </c>
      <c r="C150" s="156" t="s">
        <v>141</v>
      </c>
      <c r="D150" s="157" t="s">
        <v>141</v>
      </c>
      <c r="E150" s="158" t="s">
        <v>141</v>
      </c>
      <c r="F150" s="157" t="s">
        <v>141</v>
      </c>
      <c r="G150" s="158" t="s">
        <v>141</v>
      </c>
      <c r="H150" s="157" t="s">
        <v>141</v>
      </c>
      <c r="I150" s="158" t="s">
        <v>141</v>
      </c>
      <c r="J150" s="157" t="s">
        <v>141</v>
      </c>
      <c r="K150" s="158" t="s">
        <v>141</v>
      </c>
      <c r="L150" s="157" t="s">
        <v>141</v>
      </c>
      <c r="M150" s="158" t="s">
        <v>141</v>
      </c>
      <c r="N150" s="157" t="s">
        <v>141</v>
      </c>
      <c r="O150" s="158" t="s">
        <v>141</v>
      </c>
      <c r="P150" s="157" t="s">
        <v>141</v>
      </c>
      <c r="Q150" s="158" t="s">
        <v>141</v>
      </c>
      <c r="R150" s="157" t="s">
        <v>141</v>
      </c>
      <c r="S150" s="158" t="s">
        <v>141</v>
      </c>
      <c r="T150" s="157" t="s">
        <v>141</v>
      </c>
      <c r="U150" s="158" t="s">
        <v>141</v>
      </c>
      <c r="V150" s="157" t="s">
        <v>141</v>
      </c>
      <c r="W150" s="158" t="s">
        <v>141</v>
      </c>
      <c r="X150" s="157" t="s">
        <v>141</v>
      </c>
      <c r="Y150" s="158" t="s">
        <v>141</v>
      </c>
      <c r="Z150" s="157" t="s">
        <v>141</v>
      </c>
      <c r="AA150" s="158" t="s">
        <v>141</v>
      </c>
      <c r="AB150" s="157" t="s">
        <v>141</v>
      </c>
      <c r="AC150" s="158" t="s">
        <v>141</v>
      </c>
      <c r="AD150" s="157" t="s">
        <v>141</v>
      </c>
      <c r="AE150" s="158" t="s">
        <v>141</v>
      </c>
      <c r="AF150" s="157" t="s">
        <v>141</v>
      </c>
      <c r="AG150" s="158" t="s">
        <v>141</v>
      </c>
      <c r="AH150" s="157" t="s">
        <v>141</v>
      </c>
      <c r="AI150" s="158" t="s">
        <v>141</v>
      </c>
      <c r="AJ150" s="157" t="s">
        <v>141</v>
      </c>
      <c r="AK150" s="158" t="s">
        <v>141</v>
      </c>
      <c r="AL150" s="157" t="s">
        <v>141</v>
      </c>
      <c r="AM150" s="158" t="s">
        <v>141</v>
      </c>
      <c r="AN150" s="157" t="s">
        <v>141</v>
      </c>
      <c r="AO150" s="158" t="s">
        <v>141</v>
      </c>
      <c r="AP150" s="157" t="s">
        <v>141</v>
      </c>
      <c r="AQ150" s="158" t="s">
        <v>141</v>
      </c>
      <c r="AR150" s="157" t="s">
        <v>141</v>
      </c>
      <c r="AS150" s="158" t="s">
        <v>141</v>
      </c>
      <c r="AT150" s="157" t="s">
        <v>141</v>
      </c>
      <c r="AU150" s="158" t="s">
        <v>141</v>
      </c>
      <c r="AV150" s="157" t="s">
        <v>141</v>
      </c>
      <c r="AW150" s="158" t="s">
        <v>141</v>
      </c>
      <c r="AX150" s="157" t="s">
        <v>141</v>
      </c>
      <c r="AY150" s="158" t="s">
        <v>141</v>
      </c>
    </row>
    <row r="151" spans="2:51">
      <c r="B151" s="155" t="s">
        <v>141</v>
      </c>
      <c r="C151" s="156" t="s">
        <v>141</v>
      </c>
      <c r="D151" s="157" t="s">
        <v>141</v>
      </c>
      <c r="E151" s="158" t="s">
        <v>141</v>
      </c>
      <c r="F151" s="157" t="s">
        <v>141</v>
      </c>
      <c r="G151" s="158" t="s">
        <v>141</v>
      </c>
      <c r="H151" s="157" t="s">
        <v>141</v>
      </c>
      <c r="I151" s="158" t="s">
        <v>141</v>
      </c>
      <c r="J151" s="157" t="s">
        <v>141</v>
      </c>
      <c r="K151" s="158" t="s">
        <v>141</v>
      </c>
      <c r="L151" s="157" t="s">
        <v>141</v>
      </c>
      <c r="M151" s="158" t="s">
        <v>141</v>
      </c>
      <c r="N151" s="157" t="s">
        <v>141</v>
      </c>
      <c r="O151" s="158" t="s">
        <v>141</v>
      </c>
      <c r="P151" s="157" t="s">
        <v>141</v>
      </c>
      <c r="Q151" s="158" t="s">
        <v>141</v>
      </c>
      <c r="R151" s="157" t="s">
        <v>141</v>
      </c>
      <c r="S151" s="158" t="s">
        <v>141</v>
      </c>
      <c r="T151" s="157" t="s">
        <v>141</v>
      </c>
      <c r="U151" s="158" t="s">
        <v>141</v>
      </c>
      <c r="V151" s="157" t="s">
        <v>141</v>
      </c>
      <c r="W151" s="158" t="s">
        <v>141</v>
      </c>
      <c r="X151" s="157" t="s">
        <v>141</v>
      </c>
      <c r="Y151" s="158" t="s">
        <v>141</v>
      </c>
      <c r="Z151" s="157" t="s">
        <v>141</v>
      </c>
      <c r="AA151" s="158" t="s">
        <v>141</v>
      </c>
      <c r="AB151" s="157" t="s">
        <v>141</v>
      </c>
      <c r="AC151" s="158" t="s">
        <v>141</v>
      </c>
      <c r="AD151" s="157" t="s">
        <v>141</v>
      </c>
      <c r="AE151" s="158" t="s">
        <v>141</v>
      </c>
      <c r="AF151" s="157" t="s">
        <v>141</v>
      </c>
      <c r="AG151" s="158" t="s">
        <v>141</v>
      </c>
      <c r="AH151" s="157" t="s">
        <v>141</v>
      </c>
      <c r="AI151" s="158" t="s">
        <v>141</v>
      </c>
      <c r="AJ151" s="157" t="s">
        <v>141</v>
      </c>
      <c r="AK151" s="158" t="s">
        <v>141</v>
      </c>
      <c r="AL151" s="157" t="s">
        <v>141</v>
      </c>
      <c r="AM151" s="158" t="s">
        <v>141</v>
      </c>
      <c r="AN151" s="157" t="s">
        <v>141</v>
      </c>
      <c r="AO151" s="158" t="s">
        <v>141</v>
      </c>
      <c r="AP151" s="157" t="s">
        <v>141</v>
      </c>
      <c r="AQ151" s="158" t="s">
        <v>141</v>
      </c>
      <c r="AR151" s="157" t="s">
        <v>141</v>
      </c>
      <c r="AS151" s="158" t="s">
        <v>141</v>
      </c>
      <c r="AT151" s="157" t="s">
        <v>141</v>
      </c>
      <c r="AU151" s="158" t="s">
        <v>141</v>
      </c>
      <c r="AV151" s="157" t="s">
        <v>141</v>
      </c>
      <c r="AW151" s="158" t="s">
        <v>141</v>
      </c>
      <c r="AX151" s="157" t="s">
        <v>141</v>
      </c>
      <c r="AY151" s="158" t="s">
        <v>141</v>
      </c>
    </row>
    <row r="152" spans="2:51">
      <c r="B152" s="155" t="s">
        <v>141</v>
      </c>
      <c r="C152" s="156" t="s">
        <v>141</v>
      </c>
      <c r="D152" s="157" t="s">
        <v>141</v>
      </c>
      <c r="E152" s="158" t="s">
        <v>141</v>
      </c>
      <c r="F152" s="157" t="s">
        <v>141</v>
      </c>
      <c r="G152" s="158" t="s">
        <v>141</v>
      </c>
      <c r="H152" s="157" t="s">
        <v>141</v>
      </c>
      <c r="I152" s="158" t="s">
        <v>141</v>
      </c>
      <c r="J152" s="157" t="s">
        <v>141</v>
      </c>
      <c r="K152" s="158" t="s">
        <v>141</v>
      </c>
      <c r="L152" s="157" t="s">
        <v>141</v>
      </c>
      <c r="M152" s="158" t="s">
        <v>141</v>
      </c>
      <c r="N152" s="157" t="s">
        <v>141</v>
      </c>
      <c r="O152" s="158" t="s">
        <v>141</v>
      </c>
      <c r="P152" s="157" t="s">
        <v>141</v>
      </c>
      <c r="Q152" s="158" t="s">
        <v>141</v>
      </c>
      <c r="R152" s="157" t="s">
        <v>141</v>
      </c>
      <c r="S152" s="158" t="s">
        <v>141</v>
      </c>
      <c r="T152" s="157" t="s">
        <v>141</v>
      </c>
      <c r="U152" s="158" t="s">
        <v>141</v>
      </c>
      <c r="V152" s="157" t="s">
        <v>141</v>
      </c>
      <c r="W152" s="158" t="s">
        <v>141</v>
      </c>
      <c r="X152" s="157" t="s">
        <v>141</v>
      </c>
      <c r="Y152" s="158" t="s">
        <v>141</v>
      </c>
      <c r="Z152" s="157" t="s">
        <v>141</v>
      </c>
      <c r="AA152" s="158" t="s">
        <v>141</v>
      </c>
      <c r="AB152" s="157" t="s">
        <v>141</v>
      </c>
      <c r="AC152" s="158" t="s">
        <v>141</v>
      </c>
      <c r="AD152" s="157" t="s">
        <v>141</v>
      </c>
      <c r="AE152" s="158" t="s">
        <v>141</v>
      </c>
      <c r="AF152" s="157" t="s">
        <v>141</v>
      </c>
      <c r="AG152" s="158" t="s">
        <v>141</v>
      </c>
      <c r="AH152" s="157" t="s">
        <v>141</v>
      </c>
      <c r="AI152" s="158" t="s">
        <v>141</v>
      </c>
      <c r="AJ152" s="157" t="s">
        <v>141</v>
      </c>
      <c r="AK152" s="158" t="s">
        <v>141</v>
      </c>
      <c r="AL152" s="157" t="s">
        <v>141</v>
      </c>
      <c r="AM152" s="158" t="s">
        <v>141</v>
      </c>
      <c r="AN152" s="157" t="s">
        <v>141</v>
      </c>
      <c r="AO152" s="158" t="s">
        <v>141</v>
      </c>
      <c r="AP152" s="157" t="s">
        <v>141</v>
      </c>
      <c r="AQ152" s="158" t="s">
        <v>141</v>
      </c>
      <c r="AR152" s="157" t="s">
        <v>141</v>
      </c>
      <c r="AS152" s="158" t="s">
        <v>141</v>
      </c>
      <c r="AT152" s="157" t="s">
        <v>141</v>
      </c>
      <c r="AU152" s="158" t="s">
        <v>141</v>
      </c>
      <c r="AV152" s="157" t="s">
        <v>141</v>
      </c>
      <c r="AW152" s="158" t="s">
        <v>141</v>
      </c>
      <c r="AX152" s="157" t="s">
        <v>141</v>
      </c>
      <c r="AY152" s="158" t="s">
        <v>141</v>
      </c>
    </row>
    <row r="153" spans="2:51">
      <c r="B153" s="155" t="s">
        <v>141</v>
      </c>
      <c r="C153" s="156" t="s">
        <v>141</v>
      </c>
      <c r="D153" s="157" t="s">
        <v>141</v>
      </c>
      <c r="E153" s="158" t="s">
        <v>141</v>
      </c>
      <c r="F153" s="157" t="s">
        <v>141</v>
      </c>
      <c r="G153" s="158" t="s">
        <v>141</v>
      </c>
      <c r="H153" s="157" t="s">
        <v>141</v>
      </c>
      <c r="I153" s="158" t="s">
        <v>141</v>
      </c>
      <c r="J153" s="157" t="s">
        <v>141</v>
      </c>
      <c r="K153" s="158" t="s">
        <v>141</v>
      </c>
      <c r="L153" s="157" t="s">
        <v>141</v>
      </c>
      <c r="M153" s="158" t="s">
        <v>141</v>
      </c>
      <c r="N153" s="157" t="s">
        <v>141</v>
      </c>
      <c r="O153" s="158" t="s">
        <v>141</v>
      </c>
      <c r="P153" s="157" t="s">
        <v>141</v>
      </c>
      <c r="Q153" s="158" t="s">
        <v>141</v>
      </c>
      <c r="R153" s="157" t="s">
        <v>141</v>
      </c>
      <c r="S153" s="158" t="s">
        <v>141</v>
      </c>
      <c r="T153" s="157" t="s">
        <v>141</v>
      </c>
      <c r="U153" s="158" t="s">
        <v>141</v>
      </c>
      <c r="V153" s="157" t="s">
        <v>141</v>
      </c>
      <c r="W153" s="158" t="s">
        <v>141</v>
      </c>
      <c r="X153" s="157" t="s">
        <v>141</v>
      </c>
      <c r="Y153" s="158" t="s">
        <v>141</v>
      </c>
      <c r="Z153" s="157" t="s">
        <v>141</v>
      </c>
      <c r="AA153" s="158" t="s">
        <v>141</v>
      </c>
      <c r="AB153" s="157" t="s">
        <v>141</v>
      </c>
      <c r="AC153" s="158" t="s">
        <v>141</v>
      </c>
      <c r="AD153" s="157" t="s">
        <v>141</v>
      </c>
      <c r="AE153" s="158" t="s">
        <v>141</v>
      </c>
      <c r="AF153" s="157" t="s">
        <v>141</v>
      </c>
      <c r="AG153" s="158" t="s">
        <v>141</v>
      </c>
      <c r="AH153" s="157" t="s">
        <v>141</v>
      </c>
      <c r="AI153" s="158" t="s">
        <v>141</v>
      </c>
      <c r="AJ153" s="157" t="s">
        <v>141</v>
      </c>
      <c r="AK153" s="158" t="s">
        <v>141</v>
      </c>
      <c r="AL153" s="157" t="s">
        <v>141</v>
      </c>
      <c r="AM153" s="158" t="s">
        <v>141</v>
      </c>
      <c r="AN153" s="157" t="s">
        <v>141</v>
      </c>
      <c r="AO153" s="158" t="s">
        <v>141</v>
      </c>
      <c r="AP153" s="157" t="s">
        <v>141</v>
      </c>
      <c r="AQ153" s="158" t="s">
        <v>141</v>
      </c>
      <c r="AR153" s="157" t="s">
        <v>141</v>
      </c>
      <c r="AS153" s="158" t="s">
        <v>141</v>
      </c>
      <c r="AT153" s="157" t="s">
        <v>141</v>
      </c>
      <c r="AU153" s="158" t="s">
        <v>141</v>
      </c>
      <c r="AV153" s="157" t="s">
        <v>141</v>
      </c>
      <c r="AW153" s="158" t="s">
        <v>141</v>
      </c>
      <c r="AX153" s="157" t="s">
        <v>141</v>
      </c>
      <c r="AY153" s="158" t="s">
        <v>141</v>
      </c>
    </row>
    <row r="154" spans="2:51">
      <c r="B154" s="155" t="s">
        <v>141</v>
      </c>
      <c r="C154" s="156" t="s">
        <v>141</v>
      </c>
      <c r="D154" s="157" t="s">
        <v>141</v>
      </c>
      <c r="E154" s="158" t="s">
        <v>141</v>
      </c>
      <c r="F154" s="157" t="s">
        <v>141</v>
      </c>
      <c r="G154" s="158" t="s">
        <v>141</v>
      </c>
      <c r="H154" s="157" t="s">
        <v>141</v>
      </c>
      <c r="I154" s="158" t="s">
        <v>141</v>
      </c>
      <c r="J154" s="157" t="s">
        <v>141</v>
      </c>
      <c r="K154" s="158" t="s">
        <v>141</v>
      </c>
      <c r="L154" s="157" t="s">
        <v>141</v>
      </c>
      <c r="M154" s="158" t="s">
        <v>141</v>
      </c>
      <c r="N154" s="157" t="s">
        <v>141</v>
      </c>
      <c r="O154" s="158" t="s">
        <v>141</v>
      </c>
      <c r="P154" s="157" t="s">
        <v>141</v>
      </c>
      <c r="Q154" s="158" t="s">
        <v>141</v>
      </c>
      <c r="R154" s="157" t="s">
        <v>141</v>
      </c>
      <c r="S154" s="158" t="s">
        <v>141</v>
      </c>
      <c r="T154" s="157" t="s">
        <v>141</v>
      </c>
      <c r="U154" s="158" t="s">
        <v>141</v>
      </c>
      <c r="V154" s="157" t="s">
        <v>141</v>
      </c>
      <c r="W154" s="158" t="s">
        <v>141</v>
      </c>
      <c r="X154" s="157" t="s">
        <v>141</v>
      </c>
      <c r="Y154" s="158" t="s">
        <v>141</v>
      </c>
      <c r="Z154" s="157" t="s">
        <v>141</v>
      </c>
      <c r="AA154" s="158" t="s">
        <v>141</v>
      </c>
      <c r="AB154" s="157" t="s">
        <v>141</v>
      </c>
      <c r="AC154" s="158" t="s">
        <v>141</v>
      </c>
      <c r="AD154" s="157" t="s">
        <v>141</v>
      </c>
      <c r="AE154" s="158" t="s">
        <v>141</v>
      </c>
      <c r="AF154" s="157" t="s">
        <v>141</v>
      </c>
      <c r="AG154" s="158" t="s">
        <v>141</v>
      </c>
      <c r="AH154" s="157" t="s">
        <v>141</v>
      </c>
      <c r="AI154" s="158" t="s">
        <v>141</v>
      </c>
      <c r="AJ154" s="157" t="s">
        <v>141</v>
      </c>
      <c r="AK154" s="158" t="s">
        <v>141</v>
      </c>
      <c r="AL154" s="157" t="s">
        <v>141</v>
      </c>
      <c r="AM154" s="158" t="s">
        <v>141</v>
      </c>
      <c r="AN154" s="157" t="s">
        <v>141</v>
      </c>
      <c r="AO154" s="158" t="s">
        <v>141</v>
      </c>
      <c r="AP154" s="157" t="s">
        <v>141</v>
      </c>
      <c r="AQ154" s="158" t="s">
        <v>141</v>
      </c>
      <c r="AR154" s="157" t="s">
        <v>141</v>
      </c>
      <c r="AS154" s="158" t="s">
        <v>141</v>
      </c>
      <c r="AT154" s="157" t="s">
        <v>141</v>
      </c>
      <c r="AU154" s="158" t="s">
        <v>141</v>
      </c>
      <c r="AV154" s="157" t="s">
        <v>141</v>
      </c>
      <c r="AW154" s="158" t="s">
        <v>141</v>
      </c>
      <c r="AX154" s="157" t="s">
        <v>141</v>
      </c>
      <c r="AY154" s="158" t="s">
        <v>141</v>
      </c>
    </row>
    <row r="155" spans="2:51">
      <c r="B155" s="155" t="s">
        <v>141</v>
      </c>
      <c r="C155" s="156" t="s">
        <v>141</v>
      </c>
      <c r="D155" s="157" t="s">
        <v>141</v>
      </c>
      <c r="E155" s="158" t="s">
        <v>141</v>
      </c>
      <c r="F155" s="157" t="s">
        <v>141</v>
      </c>
      <c r="G155" s="158" t="s">
        <v>141</v>
      </c>
      <c r="H155" s="157" t="s">
        <v>141</v>
      </c>
      <c r="I155" s="158" t="s">
        <v>141</v>
      </c>
      <c r="J155" s="157" t="s">
        <v>141</v>
      </c>
      <c r="K155" s="158" t="s">
        <v>141</v>
      </c>
      <c r="L155" s="157" t="s">
        <v>141</v>
      </c>
      <c r="M155" s="158" t="s">
        <v>141</v>
      </c>
      <c r="N155" s="157" t="s">
        <v>141</v>
      </c>
      <c r="O155" s="158" t="s">
        <v>141</v>
      </c>
      <c r="P155" s="157" t="s">
        <v>141</v>
      </c>
      <c r="Q155" s="158" t="s">
        <v>141</v>
      </c>
      <c r="R155" s="157" t="s">
        <v>141</v>
      </c>
      <c r="S155" s="158" t="s">
        <v>141</v>
      </c>
      <c r="T155" s="157" t="s">
        <v>141</v>
      </c>
      <c r="U155" s="158" t="s">
        <v>141</v>
      </c>
      <c r="V155" s="157" t="s">
        <v>141</v>
      </c>
      <c r="W155" s="158" t="s">
        <v>141</v>
      </c>
      <c r="X155" s="157" t="s">
        <v>141</v>
      </c>
      <c r="Y155" s="158" t="s">
        <v>141</v>
      </c>
      <c r="Z155" s="157" t="s">
        <v>141</v>
      </c>
      <c r="AA155" s="158" t="s">
        <v>141</v>
      </c>
      <c r="AB155" s="157" t="s">
        <v>141</v>
      </c>
      <c r="AC155" s="158" t="s">
        <v>141</v>
      </c>
      <c r="AD155" s="157" t="s">
        <v>141</v>
      </c>
      <c r="AE155" s="158" t="s">
        <v>141</v>
      </c>
      <c r="AF155" s="157" t="s">
        <v>141</v>
      </c>
      <c r="AG155" s="158" t="s">
        <v>141</v>
      </c>
      <c r="AH155" s="157" t="s">
        <v>141</v>
      </c>
      <c r="AI155" s="158" t="s">
        <v>141</v>
      </c>
      <c r="AJ155" s="157" t="s">
        <v>141</v>
      </c>
      <c r="AK155" s="158" t="s">
        <v>141</v>
      </c>
      <c r="AL155" s="157" t="s">
        <v>141</v>
      </c>
      <c r="AM155" s="158" t="s">
        <v>141</v>
      </c>
      <c r="AN155" s="157" t="s">
        <v>141</v>
      </c>
      <c r="AO155" s="158" t="s">
        <v>141</v>
      </c>
      <c r="AP155" s="157" t="s">
        <v>141</v>
      </c>
      <c r="AQ155" s="158" t="s">
        <v>141</v>
      </c>
      <c r="AR155" s="157" t="s">
        <v>141</v>
      </c>
      <c r="AS155" s="158" t="s">
        <v>141</v>
      </c>
      <c r="AT155" s="157" t="s">
        <v>141</v>
      </c>
      <c r="AU155" s="158" t="s">
        <v>141</v>
      </c>
      <c r="AV155" s="157" t="s">
        <v>141</v>
      </c>
      <c r="AW155" s="158" t="s">
        <v>141</v>
      </c>
      <c r="AX155" s="157" t="s">
        <v>141</v>
      </c>
      <c r="AY155" s="158" t="s">
        <v>141</v>
      </c>
    </row>
    <row r="156" spans="2:51">
      <c r="B156" s="155" t="s">
        <v>141</v>
      </c>
      <c r="C156" s="156" t="s">
        <v>141</v>
      </c>
      <c r="D156" s="157" t="s">
        <v>141</v>
      </c>
      <c r="E156" s="158" t="s">
        <v>141</v>
      </c>
      <c r="F156" s="157" t="s">
        <v>141</v>
      </c>
      <c r="G156" s="158" t="s">
        <v>141</v>
      </c>
      <c r="H156" s="157" t="s">
        <v>141</v>
      </c>
      <c r="I156" s="158" t="s">
        <v>141</v>
      </c>
      <c r="J156" s="157" t="s">
        <v>141</v>
      </c>
      <c r="K156" s="158" t="s">
        <v>141</v>
      </c>
      <c r="L156" s="157" t="s">
        <v>141</v>
      </c>
      <c r="M156" s="158" t="s">
        <v>141</v>
      </c>
      <c r="N156" s="157" t="s">
        <v>141</v>
      </c>
      <c r="O156" s="158" t="s">
        <v>141</v>
      </c>
      <c r="P156" s="157" t="s">
        <v>141</v>
      </c>
      <c r="Q156" s="158" t="s">
        <v>141</v>
      </c>
      <c r="R156" s="157" t="s">
        <v>141</v>
      </c>
      <c r="S156" s="158" t="s">
        <v>141</v>
      </c>
      <c r="T156" s="157" t="s">
        <v>141</v>
      </c>
      <c r="U156" s="158" t="s">
        <v>141</v>
      </c>
      <c r="V156" s="157" t="s">
        <v>141</v>
      </c>
      <c r="W156" s="158" t="s">
        <v>141</v>
      </c>
      <c r="X156" s="157" t="s">
        <v>141</v>
      </c>
      <c r="Y156" s="158" t="s">
        <v>141</v>
      </c>
      <c r="Z156" s="157" t="s">
        <v>141</v>
      </c>
      <c r="AA156" s="158" t="s">
        <v>141</v>
      </c>
      <c r="AB156" s="157" t="s">
        <v>141</v>
      </c>
      <c r="AC156" s="158" t="s">
        <v>141</v>
      </c>
      <c r="AD156" s="157" t="s">
        <v>141</v>
      </c>
      <c r="AE156" s="158" t="s">
        <v>141</v>
      </c>
      <c r="AF156" s="157" t="s">
        <v>141</v>
      </c>
      <c r="AG156" s="158" t="s">
        <v>141</v>
      </c>
      <c r="AH156" s="157" t="s">
        <v>141</v>
      </c>
      <c r="AI156" s="158" t="s">
        <v>141</v>
      </c>
      <c r="AJ156" s="157" t="s">
        <v>141</v>
      </c>
      <c r="AK156" s="158" t="s">
        <v>141</v>
      </c>
      <c r="AL156" s="157" t="s">
        <v>141</v>
      </c>
      <c r="AM156" s="158" t="s">
        <v>141</v>
      </c>
      <c r="AN156" s="157" t="s">
        <v>141</v>
      </c>
      <c r="AO156" s="158" t="s">
        <v>141</v>
      </c>
      <c r="AP156" s="157" t="s">
        <v>141</v>
      </c>
      <c r="AQ156" s="158" t="s">
        <v>141</v>
      </c>
      <c r="AR156" s="157" t="s">
        <v>141</v>
      </c>
      <c r="AS156" s="158" t="s">
        <v>141</v>
      </c>
      <c r="AT156" s="157" t="s">
        <v>141</v>
      </c>
      <c r="AU156" s="158" t="s">
        <v>141</v>
      </c>
      <c r="AV156" s="157" t="s">
        <v>141</v>
      </c>
      <c r="AW156" s="158" t="s">
        <v>141</v>
      </c>
      <c r="AX156" s="157" t="s">
        <v>141</v>
      </c>
      <c r="AY156" s="158" t="s">
        <v>141</v>
      </c>
    </row>
    <row r="157" spans="2:51">
      <c r="B157" s="155" t="s">
        <v>141</v>
      </c>
      <c r="C157" s="156" t="s">
        <v>141</v>
      </c>
      <c r="D157" s="157" t="s">
        <v>141</v>
      </c>
      <c r="E157" s="158" t="s">
        <v>141</v>
      </c>
      <c r="F157" s="157" t="s">
        <v>141</v>
      </c>
      <c r="G157" s="158" t="s">
        <v>141</v>
      </c>
      <c r="H157" s="157" t="s">
        <v>141</v>
      </c>
      <c r="I157" s="158" t="s">
        <v>141</v>
      </c>
      <c r="J157" s="157" t="s">
        <v>141</v>
      </c>
      <c r="K157" s="158" t="s">
        <v>141</v>
      </c>
      <c r="L157" s="157" t="s">
        <v>141</v>
      </c>
      <c r="M157" s="158" t="s">
        <v>141</v>
      </c>
      <c r="N157" s="157" t="s">
        <v>141</v>
      </c>
      <c r="O157" s="158" t="s">
        <v>141</v>
      </c>
      <c r="P157" s="157" t="s">
        <v>141</v>
      </c>
      <c r="Q157" s="158" t="s">
        <v>141</v>
      </c>
      <c r="R157" s="157" t="s">
        <v>141</v>
      </c>
      <c r="S157" s="158" t="s">
        <v>141</v>
      </c>
      <c r="T157" s="157" t="s">
        <v>141</v>
      </c>
      <c r="U157" s="158" t="s">
        <v>141</v>
      </c>
      <c r="V157" s="157" t="s">
        <v>141</v>
      </c>
      <c r="W157" s="158" t="s">
        <v>141</v>
      </c>
      <c r="X157" s="157" t="s">
        <v>141</v>
      </c>
      <c r="Y157" s="158" t="s">
        <v>141</v>
      </c>
      <c r="Z157" s="157" t="s">
        <v>141</v>
      </c>
      <c r="AA157" s="158" t="s">
        <v>141</v>
      </c>
      <c r="AB157" s="157" t="s">
        <v>141</v>
      </c>
      <c r="AC157" s="158" t="s">
        <v>141</v>
      </c>
      <c r="AD157" s="157" t="s">
        <v>141</v>
      </c>
      <c r="AE157" s="158" t="s">
        <v>141</v>
      </c>
      <c r="AF157" s="157" t="s">
        <v>141</v>
      </c>
      <c r="AG157" s="158" t="s">
        <v>141</v>
      </c>
      <c r="AH157" s="157" t="s">
        <v>141</v>
      </c>
      <c r="AI157" s="158" t="s">
        <v>141</v>
      </c>
      <c r="AJ157" s="157" t="s">
        <v>141</v>
      </c>
      <c r="AK157" s="158" t="s">
        <v>141</v>
      </c>
      <c r="AL157" s="157" t="s">
        <v>141</v>
      </c>
      <c r="AM157" s="158" t="s">
        <v>141</v>
      </c>
      <c r="AN157" s="157" t="s">
        <v>141</v>
      </c>
      <c r="AO157" s="158" t="s">
        <v>141</v>
      </c>
      <c r="AP157" s="157" t="s">
        <v>141</v>
      </c>
      <c r="AQ157" s="158" t="s">
        <v>141</v>
      </c>
      <c r="AR157" s="157" t="s">
        <v>141</v>
      </c>
      <c r="AS157" s="158" t="s">
        <v>141</v>
      </c>
      <c r="AT157" s="157" t="s">
        <v>141</v>
      </c>
      <c r="AU157" s="158" t="s">
        <v>141</v>
      </c>
      <c r="AV157" s="157" t="s">
        <v>141</v>
      </c>
      <c r="AW157" s="158" t="s">
        <v>141</v>
      </c>
      <c r="AX157" s="157" t="s">
        <v>141</v>
      </c>
      <c r="AY157" s="158" t="s">
        <v>141</v>
      </c>
    </row>
    <row r="158" spans="2:51">
      <c r="B158" s="155" t="s">
        <v>141</v>
      </c>
      <c r="C158" s="156" t="s">
        <v>141</v>
      </c>
      <c r="D158" s="157" t="s">
        <v>141</v>
      </c>
      <c r="E158" s="158" t="s">
        <v>141</v>
      </c>
      <c r="F158" s="157" t="s">
        <v>141</v>
      </c>
      <c r="G158" s="158" t="s">
        <v>141</v>
      </c>
      <c r="H158" s="157" t="s">
        <v>141</v>
      </c>
      <c r="I158" s="158" t="s">
        <v>141</v>
      </c>
      <c r="J158" s="157" t="s">
        <v>141</v>
      </c>
      <c r="K158" s="158" t="s">
        <v>141</v>
      </c>
      <c r="L158" s="157" t="s">
        <v>141</v>
      </c>
      <c r="M158" s="158" t="s">
        <v>141</v>
      </c>
      <c r="N158" s="157" t="s">
        <v>141</v>
      </c>
      <c r="O158" s="158" t="s">
        <v>141</v>
      </c>
      <c r="P158" s="157" t="s">
        <v>141</v>
      </c>
      <c r="Q158" s="158" t="s">
        <v>141</v>
      </c>
      <c r="R158" s="157" t="s">
        <v>141</v>
      </c>
      <c r="S158" s="158" t="s">
        <v>141</v>
      </c>
      <c r="T158" s="157" t="s">
        <v>141</v>
      </c>
      <c r="U158" s="158" t="s">
        <v>141</v>
      </c>
      <c r="V158" s="157" t="s">
        <v>141</v>
      </c>
      <c r="W158" s="158" t="s">
        <v>141</v>
      </c>
      <c r="X158" s="157" t="s">
        <v>141</v>
      </c>
      <c r="Y158" s="158" t="s">
        <v>141</v>
      </c>
      <c r="Z158" s="157" t="s">
        <v>141</v>
      </c>
      <c r="AA158" s="158" t="s">
        <v>141</v>
      </c>
      <c r="AB158" s="157" t="s">
        <v>141</v>
      </c>
      <c r="AC158" s="158" t="s">
        <v>141</v>
      </c>
      <c r="AD158" s="157" t="s">
        <v>141</v>
      </c>
      <c r="AE158" s="158" t="s">
        <v>141</v>
      </c>
      <c r="AF158" s="157" t="s">
        <v>141</v>
      </c>
      <c r="AG158" s="158" t="s">
        <v>141</v>
      </c>
      <c r="AH158" s="157" t="s">
        <v>141</v>
      </c>
      <c r="AI158" s="158" t="s">
        <v>141</v>
      </c>
      <c r="AJ158" s="157" t="s">
        <v>141</v>
      </c>
      <c r="AK158" s="158" t="s">
        <v>141</v>
      </c>
      <c r="AL158" s="157" t="s">
        <v>141</v>
      </c>
      <c r="AM158" s="158" t="s">
        <v>141</v>
      </c>
      <c r="AN158" s="157" t="s">
        <v>141</v>
      </c>
      <c r="AO158" s="158" t="s">
        <v>141</v>
      </c>
      <c r="AP158" s="157" t="s">
        <v>141</v>
      </c>
      <c r="AQ158" s="158" t="s">
        <v>141</v>
      </c>
      <c r="AR158" s="157" t="s">
        <v>141</v>
      </c>
      <c r="AS158" s="158" t="s">
        <v>141</v>
      </c>
      <c r="AT158" s="157" t="s">
        <v>141</v>
      </c>
      <c r="AU158" s="158" t="s">
        <v>141</v>
      </c>
      <c r="AV158" s="157" t="s">
        <v>141</v>
      </c>
      <c r="AW158" s="158" t="s">
        <v>141</v>
      </c>
      <c r="AX158" s="157" t="s">
        <v>141</v>
      </c>
      <c r="AY158" s="158" t="s">
        <v>141</v>
      </c>
    </row>
    <row r="159" spans="2:51">
      <c r="B159" s="155" t="s">
        <v>141</v>
      </c>
      <c r="C159" s="156" t="s">
        <v>141</v>
      </c>
      <c r="D159" s="157" t="s">
        <v>141</v>
      </c>
      <c r="E159" s="158" t="s">
        <v>141</v>
      </c>
      <c r="F159" s="157" t="s">
        <v>141</v>
      </c>
      <c r="G159" s="158" t="s">
        <v>141</v>
      </c>
      <c r="H159" s="157" t="s">
        <v>141</v>
      </c>
      <c r="I159" s="158" t="s">
        <v>141</v>
      </c>
      <c r="J159" s="157" t="s">
        <v>141</v>
      </c>
      <c r="K159" s="158" t="s">
        <v>141</v>
      </c>
      <c r="L159" s="157" t="s">
        <v>141</v>
      </c>
      <c r="M159" s="158" t="s">
        <v>141</v>
      </c>
      <c r="N159" s="157" t="s">
        <v>141</v>
      </c>
      <c r="O159" s="158" t="s">
        <v>141</v>
      </c>
      <c r="P159" s="157" t="s">
        <v>141</v>
      </c>
      <c r="Q159" s="158" t="s">
        <v>141</v>
      </c>
      <c r="R159" s="157" t="s">
        <v>141</v>
      </c>
      <c r="S159" s="158" t="s">
        <v>141</v>
      </c>
      <c r="T159" s="157" t="s">
        <v>141</v>
      </c>
      <c r="U159" s="158" t="s">
        <v>141</v>
      </c>
      <c r="V159" s="157" t="s">
        <v>141</v>
      </c>
      <c r="W159" s="158" t="s">
        <v>141</v>
      </c>
      <c r="X159" s="157" t="s">
        <v>141</v>
      </c>
      <c r="Y159" s="158" t="s">
        <v>141</v>
      </c>
      <c r="Z159" s="157" t="s">
        <v>141</v>
      </c>
      <c r="AA159" s="158" t="s">
        <v>141</v>
      </c>
      <c r="AB159" s="157" t="s">
        <v>141</v>
      </c>
      <c r="AC159" s="158" t="s">
        <v>141</v>
      </c>
      <c r="AD159" s="157" t="s">
        <v>141</v>
      </c>
      <c r="AE159" s="158" t="s">
        <v>141</v>
      </c>
      <c r="AF159" s="157" t="s">
        <v>141</v>
      </c>
      <c r="AG159" s="158" t="s">
        <v>141</v>
      </c>
      <c r="AH159" s="157" t="s">
        <v>141</v>
      </c>
      <c r="AI159" s="158" t="s">
        <v>141</v>
      </c>
      <c r="AJ159" s="157" t="s">
        <v>141</v>
      </c>
      <c r="AK159" s="158" t="s">
        <v>141</v>
      </c>
      <c r="AL159" s="157" t="s">
        <v>141</v>
      </c>
      <c r="AM159" s="158" t="s">
        <v>141</v>
      </c>
      <c r="AN159" s="157" t="s">
        <v>141</v>
      </c>
      <c r="AO159" s="158" t="s">
        <v>141</v>
      </c>
      <c r="AP159" s="157" t="s">
        <v>141</v>
      </c>
      <c r="AQ159" s="158" t="s">
        <v>141</v>
      </c>
      <c r="AR159" s="157" t="s">
        <v>141</v>
      </c>
      <c r="AS159" s="158" t="s">
        <v>141</v>
      </c>
      <c r="AT159" s="157" t="s">
        <v>141</v>
      </c>
      <c r="AU159" s="158" t="s">
        <v>141</v>
      </c>
      <c r="AV159" s="157" t="s">
        <v>141</v>
      </c>
      <c r="AW159" s="158" t="s">
        <v>141</v>
      </c>
      <c r="AX159" s="157" t="s">
        <v>141</v>
      </c>
      <c r="AY159" s="158" t="s">
        <v>141</v>
      </c>
    </row>
    <row r="160" spans="2:51">
      <c r="B160" s="155" t="s">
        <v>141</v>
      </c>
      <c r="C160" s="156" t="s">
        <v>141</v>
      </c>
      <c r="D160" s="157" t="s">
        <v>141</v>
      </c>
      <c r="E160" s="158" t="s">
        <v>141</v>
      </c>
      <c r="F160" s="157" t="s">
        <v>141</v>
      </c>
      <c r="G160" s="158" t="s">
        <v>141</v>
      </c>
      <c r="H160" s="157" t="s">
        <v>141</v>
      </c>
      <c r="I160" s="158" t="s">
        <v>141</v>
      </c>
      <c r="J160" s="157" t="s">
        <v>141</v>
      </c>
      <c r="K160" s="158" t="s">
        <v>141</v>
      </c>
      <c r="L160" s="157" t="s">
        <v>141</v>
      </c>
      <c r="M160" s="158" t="s">
        <v>141</v>
      </c>
      <c r="N160" s="157" t="s">
        <v>141</v>
      </c>
      <c r="O160" s="158" t="s">
        <v>141</v>
      </c>
      <c r="P160" s="157" t="s">
        <v>141</v>
      </c>
      <c r="Q160" s="158" t="s">
        <v>141</v>
      </c>
      <c r="R160" s="157" t="s">
        <v>141</v>
      </c>
      <c r="S160" s="158" t="s">
        <v>141</v>
      </c>
      <c r="T160" s="157" t="s">
        <v>141</v>
      </c>
      <c r="U160" s="158" t="s">
        <v>141</v>
      </c>
      <c r="V160" s="157" t="s">
        <v>141</v>
      </c>
      <c r="W160" s="158" t="s">
        <v>141</v>
      </c>
      <c r="X160" s="157" t="s">
        <v>141</v>
      </c>
      <c r="Y160" s="158" t="s">
        <v>141</v>
      </c>
      <c r="Z160" s="157" t="s">
        <v>141</v>
      </c>
      <c r="AA160" s="158" t="s">
        <v>141</v>
      </c>
      <c r="AB160" s="157" t="s">
        <v>141</v>
      </c>
      <c r="AC160" s="158" t="s">
        <v>141</v>
      </c>
      <c r="AD160" s="157" t="s">
        <v>141</v>
      </c>
      <c r="AE160" s="158" t="s">
        <v>141</v>
      </c>
      <c r="AF160" s="157" t="s">
        <v>141</v>
      </c>
      <c r="AG160" s="158" t="s">
        <v>141</v>
      </c>
      <c r="AH160" s="157" t="s">
        <v>141</v>
      </c>
      <c r="AI160" s="158" t="s">
        <v>141</v>
      </c>
      <c r="AJ160" s="157" t="s">
        <v>141</v>
      </c>
      <c r="AK160" s="158" t="s">
        <v>141</v>
      </c>
      <c r="AL160" s="157" t="s">
        <v>141</v>
      </c>
      <c r="AM160" s="158" t="s">
        <v>141</v>
      </c>
      <c r="AN160" s="157" t="s">
        <v>141</v>
      </c>
      <c r="AO160" s="158" t="s">
        <v>141</v>
      </c>
      <c r="AP160" s="157" t="s">
        <v>141</v>
      </c>
      <c r="AQ160" s="158" t="s">
        <v>141</v>
      </c>
      <c r="AR160" s="157" t="s">
        <v>141</v>
      </c>
      <c r="AS160" s="158" t="s">
        <v>141</v>
      </c>
      <c r="AT160" s="157" t="s">
        <v>141</v>
      </c>
      <c r="AU160" s="158" t="s">
        <v>141</v>
      </c>
      <c r="AV160" s="157" t="s">
        <v>141</v>
      </c>
      <c r="AW160" s="158" t="s">
        <v>141</v>
      </c>
      <c r="AX160" s="157" t="s">
        <v>141</v>
      </c>
      <c r="AY160" s="158" t="s">
        <v>141</v>
      </c>
    </row>
    <row r="161" spans="2:51">
      <c r="B161" s="155" t="s">
        <v>141</v>
      </c>
      <c r="C161" s="156" t="s">
        <v>141</v>
      </c>
      <c r="D161" s="157" t="s">
        <v>141</v>
      </c>
      <c r="E161" s="158" t="s">
        <v>141</v>
      </c>
      <c r="F161" s="157" t="s">
        <v>141</v>
      </c>
      <c r="G161" s="158" t="s">
        <v>141</v>
      </c>
      <c r="H161" s="157" t="s">
        <v>141</v>
      </c>
      <c r="I161" s="158" t="s">
        <v>141</v>
      </c>
      <c r="J161" s="157" t="s">
        <v>141</v>
      </c>
      <c r="K161" s="158" t="s">
        <v>141</v>
      </c>
      <c r="L161" s="157" t="s">
        <v>141</v>
      </c>
      <c r="M161" s="158" t="s">
        <v>141</v>
      </c>
      <c r="N161" s="157" t="s">
        <v>141</v>
      </c>
      <c r="O161" s="158" t="s">
        <v>141</v>
      </c>
      <c r="P161" s="157" t="s">
        <v>141</v>
      </c>
      <c r="Q161" s="158" t="s">
        <v>141</v>
      </c>
      <c r="R161" s="157" t="s">
        <v>141</v>
      </c>
      <c r="S161" s="158" t="s">
        <v>141</v>
      </c>
      <c r="T161" s="157" t="s">
        <v>141</v>
      </c>
      <c r="U161" s="158" t="s">
        <v>141</v>
      </c>
      <c r="V161" s="157" t="s">
        <v>141</v>
      </c>
      <c r="W161" s="158" t="s">
        <v>141</v>
      </c>
      <c r="X161" s="157" t="s">
        <v>141</v>
      </c>
      <c r="Y161" s="158" t="s">
        <v>141</v>
      </c>
      <c r="Z161" s="157" t="s">
        <v>141</v>
      </c>
      <c r="AA161" s="158" t="s">
        <v>141</v>
      </c>
      <c r="AB161" s="157" t="s">
        <v>141</v>
      </c>
      <c r="AC161" s="158" t="s">
        <v>141</v>
      </c>
      <c r="AD161" s="157" t="s">
        <v>141</v>
      </c>
      <c r="AE161" s="158" t="s">
        <v>141</v>
      </c>
      <c r="AF161" s="157" t="s">
        <v>141</v>
      </c>
      <c r="AG161" s="158" t="s">
        <v>141</v>
      </c>
      <c r="AH161" s="157" t="s">
        <v>141</v>
      </c>
      <c r="AI161" s="158" t="s">
        <v>141</v>
      </c>
      <c r="AJ161" s="157" t="s">
        <v>141</v>
      </c>
      <c r="AK161" s="158" t="s">
        <v>141</v>
      </c>
      <c r="AL161" s="157" t="s">
        <v>141</v>
      </c>
      <c r="AM161" s="158" t="s">
        <v>141</v>
      </c>
      <c r="AN161" s="157" t="s">
        <v>141</v>
      </c>
      <c r="AO161" s="158" t="s">
        <v>141</v>
      </c>
      <c r="AP161" s="157" t="s">
        <v>141</v>
      </c>
      <c r="AQ161" s="158" t="s">
        <v>141</v>
      </c>
      <c r="AR161" s="157" t="s">
        <v>141</v>
      </c>
      <c r="AS161" s="158" t="s">
        <v>141</v>
      </c>
      <c r="AT161" s="157" t="s">
        <v>141</v>
      </c>
      <c r="AU161" s="158" t="s">
        <v>141</v>
      </c>
      <c r="AV161" s="157" t="s">
        <v>141</v>
      </c>
      <c r="AW161" s="158" t="s">
        <v>141</v>
      </c>
      <c r="AX161" s="157" t="s">
        <v>141</v>
      </c>
      <c r="AY161" s="158" t="s">
        <v>141</v>
      </c>
    </row>
    <row r="162" spans="2:51">
      <c r="B162" s="155" t="s">
        <v>141</v>
      </c>
      <c r="C162" s="156" t="s">
        <v>141</v>
      </c>
      <c r="D162" s="157" t="s">
        <v>141</v>
      </c>
      <c r="E162" s="158" t="s">
        <v>141</v>
      </c>
      <c r="F162" s="157" t="s">
        <v>141</v>
      </c>
      <c r="G162" s="158" t="s">
        <v>141</v>
      </c>
      <c r="H162" s="157" t="s">
        <v>141</v>
      </c>
      <c r="I162" s="158" t="s">
        <v>141</v>
      </c>
      <c r="J162" s="157" t="s">
        <v>141</v>
      </c>
      <c r="K162" s="158" t="s">
        <v>141</v>
      </c>
      <c r="L162" s="157" t="s">
        <v>141</v>
      </c>
      <c r="M162" s="158" t="s">
        <v>141</v>
      </c>
      <c r="N162" s="157" t="s">
        <v>141</v>
      </c>
      <c r="O162" s="158" t="s">
        <v>141</v>
      </c>
      <c r="P162" s="157" t="s">
        <v>141</v>
      </c>
      <c r="Q162" s="158" t="s">
        <v>141</v>
      </c>
      <c r="R162" s="157" t="s">
        <v>141</v>
      </c>
      <c r="S162" s="158" t="s">
        <v>141</v>
      </c>
      <c r="T162" s="157" t="s">
        <v>141</v>
      </c>
      <c r="U162" s="158" t="s">
        <v>141</v>
      </c>
      <c r="V162" s="157" t="s">
        <v>141</v>
      </c>
      <c r="W162" s="158" t="s">
        <v>141</v>
      </c>
      <c r="X162" s="157" t="s">
        <v>141</v>
      </c>
      <c r="Y162" s="158" t="s">
        <v>141</v>
      </c>
      <c r="Z162" s="157" t="s">
        <v>141</v>
      </c>
      <c r="AA162" s="158" t="s">
        <v>141</v>
      </c>
      <c r="AB162" s="157" t="s">
        <v>141</v>
      </c>
      <c r="AC162" s="158" t="s">
        <v>141</v>
      </c>
      <c r="AD162" s="157" t="s">
        <v>141</v>
      </c>
      <c r="AE162" s="158" t="s">
        <v>141</v>
      </c>
      <c r="AF162" s="157" t="s">
        <v>141</v>
      </c>
      <c r="AG162" s="158" t="s">
        <v>141</v>
      </c>
      <c r="AH162" s="157" t="s">
        <v>141</v>
      </c>
      <c r="AI162" s="158" t="s">
        <v>141</v>
      </c>
      <c r="AJ162" s="157" t="s">
        <v>141</v>
      </c>
      <c r="AK162" s="158" t="s">
        <v>141</v>
      </c>
      <c r="AL162" s="157" t="s">
        <v>141</v>
      </c>
      <c r="AM162" s="158" t="s">
        <v>141</v>
      </c>
      <c r="AN162" s="157" t="s">
        <v>141</v>
      </c>
      <c r="AO162" s="158" t="s">
        <v>141</v>
      </c>
      <c r="AP162" s="157" t="s">
        <v>141</v>
      </c>
      <c r="AQ162" s="158" t="s">
        <v>141</v>
      </c>
      <c r="AR162" s="157" t="s">
        <v>141</v>
      </c>
      <c r="AS162" s="158" t="s">
        <v>141</v>
      </c>
      <c r="AT162" s="157" t="s">
        <v>141</v>
      </c>
      <c r="AU162" s="158" t="s">
        <v>141</v>
      </c>
      <c r="AV162" s="157" t="s">
        <v>141</v>
      </c>
      <c r="AW162" s="158" t="s">
        <v>141</v>
      </c>
      <c r="AX162" s="157" t="s">
        <v>141</v>
      </c>
      <c r="AY162" s="158" t="s">
        <v>141</v>
      </c>
    </row>
    <row r="163" spans="2:51">
      <c r="B163" s="155" t="s">
        <v>141</v>
      </c>
      <c r="C163" s="156" t="s">
        <v>141</v>
      </c>
      <c r="D163" s="157" t="s">
        <v>141</v>
      </c>
      <c r="E163" s="158" t="s">
        <v>141</v>
      </c>
      <c r="F163" s="157" t="s">
        <v>141</v>
      </c>
      <c r="G163" s="158" t="s">
        <v>141</v>
      </c>
      <c r="H163" s="157" t="s">
        <v>141</v>
      </c>
      <c r="I163" s="158" t="s">
        <v>141</v>
      </c>
      <c r="J163" s="157" t="s">
        <v>141</v>
      </c>
      <c r="K163" s="158" t="s">
        <v>141</v>
      </c>
      <c r="L163" s="157" t="s">
        <v>141</v>
      </c>
      <c r="M163" s="158" t="s">
        <v>141</v>
      </c>
      <c r="N163" s="157" t="s">
        <v>141</v>
      </c>
      <c r="O163" s="158" t="s">
        <v>141</v>
      </c>
      <c r="P163" s="157" t="s">
        <v>141</v>
      </c>
      <c r="Q163" s="158" t="s">
        <v>141</v>
      </c>
      <c r="R163" s="157" t="s">
        <v>141</v>
      </c>
      <c r="S163" s="158" t="s">
        <v>141</v>
      </c>
      <c r="T163" s="157" t="s">
        <v>141</v>
      </c>
      <c r="U163" s="158" t="s">
        <v>141</v>
      </c>
      <c r="V163" s="157" t="s">
        <v>141</v>
      </c>
      <c r="W163" s="158" t="s">
        <v>141</v>
      </c>
      <c r="X163" s="157" t="s">
        <v>141</v>
      </c>
      <c r="Y163" s="158" t="s">
        <v>141</v>
      </c>
      <c r="Z163" s="157" t="s">
        <v>141</v>
      </c>
      <c r="AA163" s="158" t="s">
        <v>141</v>
      </c>
      <c r="AB163" s="157" t="s">
        <v>141</v>
      </c>
      <c r="AC163" s="158" t="s">
        <v>141</v>
      </c>
      <c r="AD163" s="157" t="s">
        <v>141</v>
      </c>
      <c r="AE163" s="158" t="s">
        <v>141</v>
      </c>
      <c r="AF163" s="157" t="s">
        <v>141</v>
      </c>
      <c r="AG163" s="158" t="s">
        <v>141</v>
      </c>
      <c r="AH163" s="157" t="s">
        <v>141</v>
      </c>
      <c r="AI163" s="158" t="s">
        <v>141</v>
      </c>
      <c r="AJ163" s="157" t="s">
        <v>141</v>
      </c>
      <c r="AK163" s="158" t="s">
        <v>141</v>
      </c>
      <c r="AL163" s="157" t="s">
        <v>141</v>
      </c>
      <c r="AM163" s="158" t="s">
        <v>141</v>
      </c>
      <c r="AN163" s="157" t="s">
        <v>141</v>
      </c>
      <c r="AO163" s="158" t="s">
        <v>141</v>
      </c>
      <c r="AP163" s="157" t="s">
        <v>141</v>
      </c>
      <c r="AQ163" s="158" t="s">
        <v>141</v>
      </c>
      <c r="AR163" s="157" t="s">
        <v>141</v>
      </c>
      <c r="AS163" s="158" t="s">
        <v>141</v>
      </c>
      <c r="AT163" s="157" t="s">
        <v>141</v>
      </c>
      <c r="AU163" s="158" t="s">
        <v>141</v>
      </c>
      <c r="AV163" s="157" t="s">
        <v>141</v>
      </c>
      <c r="AW163" s="158" t="s">
        <v>141</v>
      </c>
      <c r="AX163" s="157" t="s">
        <v>141</v>
      </c>
      <c r="AY163" s="158" t="s">
        <v>141</v>
      </c>
    </row>
    <row r="164" spans="2:51">
      <c r="B164" s="155" t="s">
        <v>141</v>
      </c>
      <c r="C164" s="156" t="s">
        <v>141</v>
      </c>
      <c r="D164" s="157" t="s">
        <v>141</v>
      </c>
      <c r="E164" s="158" t="s">
        <v>141</v>
      </c>
      <c r="F164" s="157" t="s">
        <v>141</v>
      </c>
      <c r="G164" s="158" t="s">
        <v>141</v>
      </c>
      <c r="H164" s="157" t="s">
        <v>141</v>
      </c>
      <c r="I164" s="158" t="s">
        <v>141</v>
      </c>
      <c r="J164" s="157" t="s">
        <v>141</v>
      </c>
      <c r="K164" s="158" t="s">
        <v>141</v>
      </c>
      <c r="L164" s="157" t="s">
        <v>141</v>
      </c>
      <c r="M164" s="158" t="s">
        <v>141</v>
      </c>
      <c r="N164" s="157" t="s">
        <v>141</v>
      </c>
      <c r="O164" s="158" t="s">
        <v>141</v>
      </c>
      <c r="P164" s="157" t="s">
        <v>141</v>
      </c>
      <c r="Q164" s="158" t="s">
        <v>141</v>
      </c>
      <c r="R164" s="157" t="s">
        <v>141</v>
      </c>
      <c r="S164" s="158" t="s">
        <v>141</v>
      </c>
      <c r="T164" s="157" t="s">
        <v>141</v>
      </c>
      <c r="U164" s="158" t="s">
        <v>141</v>
      </c>
      <c r="V164" s="157" t="s">
        <v>141</v>
      </c>
      <c r="W164" s="158" t="s">
        <v>141</v>
      </c>
      <c r="X164" s="157" t="s">
        <v>141</v>
      </c>
      <c r="Y164" s="158" t="s">
        <v>141</v>
      </c>
      <c r="Z164" s="157" t="s">
        <v>141</v>
      </c>
      <c r="AA164" s="158" t="s">
        <v>141</v>
      </c>
      <c r="AB164" s="157" t="s">
        <v>141</v>
      </c>
      <c r="AC164" s="158" t="s">
        <v>141</v>
      </c>
      <c r="AD164" s="157" t="s">
        <v>141</v>
      </c>
      <c r="AE164" s="158" t="s">
        <v>141</v>
      </c>
      <c r="AF164" s="157" t="s">
        <v>141</v>
      </c>
      <c r="AG164" s="158" t="s">
        <v>141</v>
      </c>
      <c r="AH164" s="157" t="s">
        <v>141</v>
      </c>
      <c r="AI164" s="158" t="s">
        <v>141</v>
      </c>
      <c r="AJ164" s="157" t="s">
        <v>141</v>
      </c>
      <c r="AK164" s="158" t="s">
        <v>141</v>
      </c>
      <c r="AL164" s="157" t="s">
        <v>141</v>
      </c>
      <c r="AM164" s="158" t="s">
        <v>141</v>
      </c>
      <c r="AN164" s="157" t="s">
        <v>141</v>
      </c>
      <c r="AO164" s="158" t="s">
        <v>141</v>
      </c>
      <c r="AP164" s="157" t="s">
        <v>141</v>
      </c>
      <c r="AQ164" s="158" t="s">
        <v>141</v>
      </c>
      <c r="AR164" s="157" t="s">
        <v>141</v>
      </c>
      <c r="AS164" s="158" t="s">
        <v>141</v>
      </c>
      <c r="AT164" s="157" t="s">
        <v>141</v>
      </c>
      <c r="AU164" s="158" t="s">
        <v>141</v>
      </c>
      <c r="AV164" s="157" t="s">
        <v>141</v>
      </c>
      <c r="AW164" s="158" t="s">
        <v>141</v>
      </c>
      <c r="AX164" s="157" t="s">
        <v>141</v>
      </c>
      <c r="AY164" s="158" t="s">
        <v>141</v>
      </c>
    </row>
    <row r="165" spans="2:51">
      <c r="B165" s="155" t="s">
        <v>141</v>
      </c>
      <c r="C165" s="156" t="s">
        <v>141</v>
      </c>
      <c r="D165" s="157" t="s">
        <v>141</v>
      </c>
      <c r="E165" s="158" t="s">
        <v>141</v>
      </c>
      <c r="F165" s="157" t="s">
        <v>141</v>
      </c>
      <c r="G165" s="158" t="s">
        <v>141</v>
      </c>
      <c r="H165" s="157" t="s">
        <v>141</v>
      </c>
      <c r="I165" s="158" t="s">
        <v>141</v>
      </c>
      <c r="J165" s="157" t="s">
        <v>141</v>
      </c>
      <c r="K165" s="158" t="s">
        <v>141</v>
      </c>
      <c r="L165" s="157" t="s">
        <v>141</v>
      </c>
      <c r="M165" s="158" t="s">
        <v>141</v>
      </c>
      <c r="N165" s="157" t="s">
        <v>141</v>
      </c>
      <c r="O165" s="158" t="s">
        <v>141</v>
      </c>
      <c r="P165" s="157" t="s">
        <v>141</v>
      </c>
      <c r="Q165" s="158" t="s">
        <v>141</v>
      </c>
      <c r="R165" s="157" t="s">
        <v>141</v>
      </c>
      <c r="S165" s="158" t="s">
        <v>141</v>
      </c>
      <c r="T165" s="157" t="s">
        <v>141</v>
      </c>
      <c r="U165" s="158" t="s">
        <v>141</v>
      </c>
      <c r="V165" s="157" t="s">
        <v>141</v>
      </c>
      <c r="W165" s="158" t="s">
        <v>141</v>
      </c>
      <c r="X165" s="157" t="s">
        <v>141</v>
      </c>
      <c r="Y165" s="158" t="s">
        <v>141</v>
      </c>
      <c r="Z165" s="157" t="s">
        <v>141</v>
      </c>
      <c r="AA165" s="158" t="s">
        <v>141</v>
      </c>
      <c r="AB165" s="157" t="s">
        <v>141</v>
      </c>
      <c r="AC165" s="158" t="s">
        <v>141</v>
      </c>
      <c r="AD165" s="157" t="s">
        <v>141</v>
      </c>
      <c r="AE165" s="158" t="s">
        <v>141</v>
      </c>
      <c r="AF165" s="157" t="s">
        <v>141</v>
      </c>
      <c r="AG165" s="158" t="s">
        <v>141</v>
      </c>
      <c r="AH165" s="157" t="s">
        <v>141</v>
      </c>
      <c r="AI165" s="158" t="s">
        <v>141</v>
      </c>
      <c r="AJ165" s="157" t="s">
        <v>141</v>
      </c>
      <c r="AK165" s="158" t="s">
        <v>141</v>
      </c>
      <c r="AL165" s="157" t="s">
        <v>141</v>
      </c>
      <c r="AM165" s="158" t="s">
        <v>141</v>
      </c>
      <c r="AN165" s="157" t="s">
        <v>141</v>
      </c>
      <c r="AO165" s="158" t="s">
        <v>141</v>
      </c>
      <c r="AP165" s="157" t="s">
        <v>141</v>
      </c>
      <c r="AQ165" s="158" t="s">
        <v>141</v>
      </c>
      <c r="AR165" s="157" t="s">
        <v>141</v>
      </c>
      <c r="AS165" s="158" t="s">
        <v>141</v>
      </c>
      <c r="AT165" s="157" t="s">
        <v>141</v>
      </c>
      <c r="AU165" s="158" t="s">
        <v>141</v>
      </c>
      <c r="AV165" s="157" t="s">
        <v>141</v>
      </c>
      <c r="AW165" s="158" t="s">
        <v>141</v>
      </c>
      <c r="AX165" s="157" t="s">
        <v>141</v>
      </c>
      <c r="AY165" s="158" t="s">
        <v>141</v>
      </c>
    </row>
    <row r="166" spans="2:51">
      <c r="B166" s="155" t="s">
        <v>141</v>
      </c>
      <c r="C166" s="156" t="s">
        <v>141</v>
      </c>
      <c r="D166" s="157" t="s">
        <v>141</v>
      </c>
      <c r="E166" s="158" t="s">
        <v>141</v>
      </c>
      <c r="F166" s="157" t="s">
        <v>141</v>
      </c>
      <c r="G166" s="158" t="s">
        <v>141</v>
      </c>
      <c r="H166" s="157" t="s">
        <v>141</v>
      </c>
      <c r="I166" s="158" t="s">
        <v>141</v>
      </c>
      <c r="J166" s="157" t="s">
        <v>141</v>
      </c>
      <c r="K166" s="158" t="s">
        <v>141</v>
      </c>
      <c r="L166" s="157" t="s">
        <v>141</v>
      </c>
      <c r="M166" s="158" t="s">
        <v>141</v>
      </c>
      <c r="N166" s="157" t="s">
        <v>141</v>
      </c>
      <c r="O166" s="158" t="s">
        <v>141</v>
      </c>
      <c r="P166" s="157" t="s">
        <v>141</v>
      </c>
      <c r="Q166" s="158" t="s">
        <v>141</v>
      </c>
      <c r="R166" s="157" t="s">
        <v>141</v>
      </c>
      <c r="S166" s="158" t="s">
        <v>141</v>
      </c>
      <c r="T166" s="157" t="s">
        <v>141</v>
      </c>
      <c r="U166" s="158" t="s">
        <v>141</v>
      </c>
      <c r="V166" s="157" t="s">
        <v>141</v>
      </c>
      <c r="W166" s="158" t="s">
        <v>141</v>
      </c>
      <c r="X166" s="157" t="s">
        <v>141</v>
      </c>
      <c r="Y166" s="158" t="s">
        <v>141</v>
      </c>
      <c r="Z166" s="157" t="s">
        <v>141</v>
      </c>
      <c r="AA166" s="158" t="s">
        <v>141</v>
      </c>
      <c r="AB166" s="157" t="s">
        <v>141</v>
      </c>
      <c r="AC166" s="158" t="s">
        <v>141</v>
      </c>
      <c r="AD166" s="157" t="s">
        <v>141</v>
      </c>
      <c r="AE166" s="158" t="s">
        <v>141</v>
      </c>
      <c r="AF166" s="157" t="s">
        <v>141</v>
      </c>
      <c r="AG166" s="158" t="s">
        <v>141</v>
      </c>
      <c r="AH166" s="157" t="s">
        <v>141</v>
      </c>
      <c r="AI166" s="158" t="s">
        <v>141</v>
      </c>
      <c r="AJ166" s="157" t="s">
        <v>141</v>
      </c>
      <c r="AK166" s="158" t="s">
        <v>141</v>
      </c>
      <c r="AL166" s="157" t="s">
        <v>141</v>
      </c>
      <c r="AM166" s="158" t="s">
        <v>141</v>
      </c>
      <c r="AN166" s="157" t="s">
        <v>141</v>
      </c>
      <c r="AO166" s="158" t="s">
        <v>141</v>
      </c>
      <c r="AP166" s="157" t="s">
        <v>141</v>
      </c>
      <c r="AQ166" s="158" t="s">
        <v>141</v>
      </c>
      <c r="AR166" s="157" t="s">
        <v>141</v>
      </c>
      <c r="AS166" s="158" t="s">
        <v>141</v>
      </c>
      <c r="AT166" s="157" t="s">
        <v>141</v>
      </c>
      <c r="AU166" s="158" t="s">
        <v>141</v>
      </c>
      <c r="AV166" s="157" t="s">
        <v>141</v>
      </c>
      <c r="AW166" s="158" t="s">
        <v>141</v>
      </c>
      <c r="AX166" s="157" t="s">
        <v>141</v>
      </c>
      <c r="AY166" s="158" t="s">
        <v>141</v>
      </c>
    </row>
    <row r="167" spans="2:51">
      <c r="B167" s="155" t="s">
        <v>141</v>
      </c>
      <c r="C167" s="156" t="s">
        <v>141</v>
      </c>
      <c r="D167" s="157" t="s">
        <v>141</v>
      </c>
      <c r="E167" s="158" t="s">
        <v>141</v>
      </c>
      <c r="F167" s="157" t="s">
        <v>141</v>
      </c>
      <c r="G167" s="158" t="s">
        <v>141</v>
      </c>
      <c r="H167" s="157" t="s">
        <v>141</v>
      </c>
      <c r="I167" s="158" t="s">
        <v>141</v>
      </c>
      <c r="J167" s="157" t="s">
        <v>141</v>
      </c>
      <c r="K167" s="158" t="s">
        <v>141</v>
      </c>
      <c r="L167" s="157" t="s">
        <v>141</v>
      </c>
      <c r="M167" s="158" t="s">
        <v>141</v>
      </c>
      <c r="N167" s="157" t="s">
        <v>141</v>
      </c>
      <c r="O167" s="158" t="s">
        <v>141</v>
      </c>
      <c r="P167" s="157" t="s">
        <v>141</v>
      </c>
      <c r="Q167" s="158" t="s">
        <v>141</v>
      </c>
      <c r="R167" s="157" t="s">
        <v>141</v>
      </c>
      <c r="S167" s="158" t="s">
        <v>141</v>
      </c>
      <c r="T167" s="157" t="s">
        <v>141</v>
      </c>
      <c r="U167" s="158" t="s">
        <v>141</v>
      </c>
      <c r="V167" s="157" t="s">
        <v>141</v>
      </c>
      <c r="W167" s="158" t="s">
        <v>141</v>
      </c>
      <c r="X167" s="157" t="s">
        <v>141</v>
      </c>
      <c r="Y167" s="158" t="s">
        <v>141</v>
      </c>
      <c r="Z167" s="157" t="s">
        <v>141</v>
      </c>
      <c r="AA167" s="158" t="s">
        <v>141</v>
      </c>
      <c r="AB167" s="157" t="s">
        <v>141</v>
      </c>
      <c r="AC167" s="158" t="s">
        <v>141</v>
      </c>
      <c r="AD167" s="157" t="s">
        <v>141</v>
      </c>
      <c r="AE167" s="158" t="s">
        <v>141</v>
      </c>
      <c r="AF167" s="157" t="s">
        <v>141</v>
      </c>
      <c r="AG167" s="158" t="s">
        <v>141</v>
      </c>
      <c r="AH167" s="157" t="s">
        <v>141</v>
      </c>
      <c r="AI167" s="158" t="s">
        <v>141</v>
      </c>
      <c r="AJ167" s="157" t="s">
        <v>141</v>
      </c>
      <c r="AK167" s="158" t="s">
        <v>141</v>
      </c>
      <c r="AL167" s="157" t="s">
        <v>141</v>
      </c>
      <c r="AM167" s="158" t="s">
        <v>141</v>
      </c>
      <c r="AN167" s="157" t="s">
        <v>141</v>
      </c>
      <c r="AO167" s="158" t="s">
        <v>141</v>
      </c>
      <c r="AP167" s="157" t="s">
        <v>141</v>
      </c>
      <c r="AQ167" s="158" t="s">
        <v>141</v>
      </c>
      <c r="AR167" s="157" t="s">
        <v>141</v>
      </c>
      <c r="AS167" s="158" t="s">
        <v>141</v>
      </c>
      <c r="AT167" s="157" t="s">
        <v>141</v>
      </c>
      <c r="AU167" s="158" t="s">
        <v>141</v>
      </c>
      <c r="AV167" s="157" t="s">
        <v>141</v>
      </c>
      <c r="AW167" s="158" t="s">
        <v>141</v>
      </c>
      <c r="AX167" s="157" t="s">
        <v>141</v>
      </c>
      <c r="AY167" s="158" t="s">
        <v>141</v>
      </c>
    </row>
  </sheetData>
  <conditionalFormatting sqref="B2:M2">
    <cfRule type="expression" dxfId="9" priority="1" stopIfTrue="1">
      <formula>A1 &gt; 30</formula>
    </cfRule>
  </conditionalFormatting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BB166"/>
  <sheetViews>
    <sheetView workbookViewId="0"/>
  </sheetViews>
  <sheetFormatPr defaultRowHeight="14.4"/>
  <cols>
    <col min="3" max="3" width="30.109375" bestFit="1" customWidth="1"/>
    <col min="259" max="259" width="30.109375" bestFit="1" customWidth="1"/>
    <col min="515" max="515" width="30.109375" bestFit="1" customWidth="1"/>
    <col min="771" max="771" width="30.109375" bestFit="1" customWidth="1"/>
    <col min="1027" max="1027" width="30.109375" bestFit="1" customWidth="1"/>
    <col min="1283" max="1283" width="30.109375" bestFit="1" customWidth="1"/>
    <col min="1539" max="1539" width="30.109375" bestFit="1" customWidth="1"/>
    <col min="1795" max="1795" width="30.109375" bestFit="1" customWidth="1"/>
    <col min="2051" max="2051" width="30.109375" bestFit="1" customWidth="1"/>
    <col min="2307" max="2307" width="30.109375" bestFit="1" customWidth="1"/>
    <col min="2563" max="2563" width="30.109375" bestFit="1" customWidth="1"/>
    <col min="2819" max="2819" width="30.109375" bestFit="1" customWidth="1"/>
    <col min="3075" max="3075" width="30.109375" bestFit="1" customWidth="1"/>
    <col min="3331" max="3331" width="30.109375" bestFit="1" customWidth="1"/>
    <col min="3587" max="3587" width="30.109375" bestFit="1" customWidth="1"/>
    <col min="3843" max="3843" width="30.109375" bestFit="1" customWidth="1"/>
    <col min="4099" max="4099" width="30.109375" bestFit="1" customWidth="1"/>
    <col min="4355" max="4355" width="30.109375" bestFit="1" customWidth="1"/>
    <col min="4611" max="4611" width="30.109375" bestFit="1" customWidth="1"/>
    <col min="4867" max="4867" width="30.109375" bestFit="1" customWidth="1"/>
    <col min="5123" max="5123" width="30.109375" bestFit="1" customWidth="1"/>
    <col min="5379" max="5379" width="30.109375" bestFit="1" customWidth="1"/>
    <col min="5635" max="5635" width="30.109375" bestFit="1" customWidth="1"/>
    <col min="5891" max="5891" width="30.109375" bestFit="1" customWidth="1"/>
    <col min="6147" max="6147" width="30.109375" bestFit="1" customWidth="1"/>
    <col min="6403" max="6403" width="30.109375" bestFit="1" customWidth="1"/>
    <col min="6659" max="6659" width="30.109375" bestFit="1" customWidth="1"/>
    <col min="6915" max="6915" width="30.109375" bestFit="1" customWidth="1"/>
    <col min="7171" max="7171" width="30.109375" bestFit="1" customWidth="1"/>
    <col min="7427" max="7427" width="30.109375" bestFit="1" customWidth="1"/>
    <col min="7683" max="7683" width="30.109375" bestFit="1" customWidth="1"/>
    <col min="7939" max="7939" width="30.109375" bestFit="1" customWidth="1"/>
    <col min="8195" max="8195" width="30.109375" bestFit="1" customWidth="1"/>
    <col min="8451" max="8451" width="30.109375" bestFit="1" customWidth="1"/>
    <col min="8707" max="8707" width="30.109375" bestFit="1" customWidth="1"/>
    <col min="8963" max="8963" width="30.109375" bestFit="1" customWidth="1"/>
    <col min="9219" max="9219" width="30.109375" bestFit="1" customWidth="1"/>
    <col min="9475" max="9475" width="30.109375" bestFit="1" customWidth="1"/>
    <col min="9731" max="9731" width="30.109375" bestFit="1" customWidth="1"/>
    <col min="9987" max="9987" width="30.109375" bestFit="1" customWidth="1"/>
    <col min="10243" max="10243" width="30.109375" bestFit="1" customWidth="1"/>
    <col min="10499" max="10499" width="30.109375" bestFit="1" customWidth="1"/>
    <col min="10755" max="10755" width="30.109375" bestFit="1" customWidth="1"/>
    <col min="11011" max="11011" width="30.109375" bestFit="1" customWidth="1"/>
    <col min="11267" max="11267" width="30.109375" bestFit="1" customWidth="1"/>
    <col min="11523" max="11523" width="30.109375" bestFit="1" customWidth="1"/>
    <col min="11779" max="11779" width="30.109375" bestFit="1" customWidth="1"/>
    <col min="12035" max="12035" width="30.109375" bestFit="1" customWidth="1"/>
    <col min="12291" max="12291" width="30.109375" bestFit="1" customWidth="1"/>
    <col min="12547" max="12547" width="30.109375" bestFit="1" customWidth="1"/>
    <col min="12803" max="12803" width="30.109375" bestFit="1" customWidth="1"/>
    <col min="13059" max="13059" width="30.109375" bestFit="1" customWidth="1"/>
    <col min="13315" max="13315" width="30.109375" bestFit="1" customWidth="1"/>
    <col min="13571" max="13571" width="30.109375" bestFit="1" customWidth="1"/>
    <col min="13827" max="13827" width="30.109375" bestFit="1" customWidth="1"/>
    <col min="14083" max="14083" width="30.109375" bestFit="1" customWidth="1"/>
    <col min="14339" max="14339" width="30.109375" bestFit="1" customWidth="1"/>
    <col min="14595" max="14595" width="30.109375" bestFit="1" customWidth="1"/>
    <col min="14851" max="14851" width="30.109375" bestFit="1" customWidth="1"/>
    <col min="15107" max="15107" width="30.109375" bestFit="1" customWidth="1"/>
    <col min="15363" max="15363" width="30.109375" bestFit="1" customWidth="1"/>
    <col min="15619" max="15619" width="30.109375" bestFit="1" customWidth="1"/>
    <col min="15875" max="15875" width="30.109375" bestFit="1" customWidth="1"/>
    <col min="16131" max="16131" width="30.109375" bestFit="1" customWidth="1"/>
  </cols>
  <sheetData>
    <row r="1" spans="1:54" s="23" customFormat="1">
      <c r="A1" s="113"/>
      <c r="B1" s="114" t="s">
        <v>242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</row>
    <row r="2" spans="1:54" s="23" customFormat="1">
      <c r="A2" s="115"/>
      <c r="B2" s="230"/>
      <c r="C2" s="230"/>
      <c r="D2" s="233">
        <v>44470</v>
      </c>
      <c r="E2" s="234">
        <v>44470</v>
      </c>
      <c r="F2" s="233">
        <v>44501</v>
      </c>
      <c r="G2" s="234">
        <v>44501</v>
      </c>
      <c r="H2" s="233">
        <v>44531</v>
      </c>
      <c r="I2" s="234">
        <v>44531</v>
      </c>
      <c r="J2" s="233">
        <v>44562</v>
      </c>
      <c r="K2" s="234">
        <v>44562</v>
      </c>
      <c r="L2" s="233">
        <v>44593</v>
      </c>
      <c r="M2" s="234">
        <v>44593</v>
      </c>
      <c r="N2" s="233">
        <v>44621</v>
      </c>
      <c r="O2" s="234">
        <v>44621</v>
      </c>
      <c r="P2" s="233">
        <v>44652</v>
      </c>
      <c r="Q2" s="234">
        <v>44652</v>
      </c>
      <c r="R2" s="233">
        <v>44682</v>
      </c>
      <c r="S2" s="234">
        <v>44682</v>
      </c>
      <c r="T2" s="233">
        <v>44713</v>
      </c>
      <c r="U2" s="234">
        <v>44713</v>
      </c>
      <c r="V2" s="233">
        <v>44743</v>
      </c>
      <c r="W2" s="234">
        <v>44743</v>
      </c>
      <c r="X2" s="233">
        <v>44774</v>
      </c>
      <c r="Y2" s="234">
        <v>44774</v>
      </c>
      <c r="Z2" s="233">
        <v>44805</v>
      </c>
      <c r="AA2" s="234">
        <v>44805</v>
      </c>
      <c r="AB2" s="233">
        <v>44835</v>
      </c>
      <c r="AC2" s="234">
        <v>44835</v>
      </c>
      <c r="AD2" s="233">
        <v>44866</v>
      </c>
      <c r="AE2" s="234">
        <v>44866</v>
      </c>
      <c r="AF2" s="233">
        <v>44896</v>
      </c>
      <c r="AG2" s="234">
        <v>44896</v>
      </c>
      <c r="AH2" s="233">
        <v>44927</v>
      </c>
      <c r="AI2" s="234">
        <v>44927</v>
      </c>
      <c r="AJ2" s="233">
        <v>44958</v>
      </c>
      <c r="AK2" s="234">
        <v>44958</v>
      </c>
      <c r="AL2" s="233">
        <v>44986</v>
      </c>
      <c r="AM2" s="234">
        <v>44986</v>
      </c>
      <c r="AN2" s="233">
        <v>45017</v>
      </c>
      <c r="AO2" s="234">
        <v>45017</v>
      </c>
      <c r="AP2" s="233">
        <v>45047</v>
      </c>
      <c r="AQ2" s="234">
        <v>45047</v>
      </c>
      <c r="AR2" s="233">
        <v>45078</v>
      </c>
      <c r="AS2" s="234">
        <v>45078</v>
      </c>
      <c r="AT2" s="233">
        <v>45108</v>
      </c>
      <c r="AU2" s="234">
        <v>45108</v>
      </c>
      <c r="AV2" s="233">
        <v>45139</v>
      </c>
      <c r="AW2" s="234">
        <v>45139</v>
      </c>
      <c r="AX2" s="233">
        <v>45170</v>
      </c>
      <c r="AY2" s="234">
        <v>45170</v>
      </c>
      <c r="BA2" s="93"/>
    </row>
    <row r="3" spans="1:54" s="23" customFormat="1">
      <c r="A3" s="113"/>
      <c r="B3" s="231" t="s">
        <v>2</v>
      </c>
      <c r="C3" s="231" t="s">
        <v>147</v>
      </c>
      <c r="D3" s="235" t="s">
        <v>143</v>
      </c>
      <c r="E3" s="236" t="s">
        <v>144</v>
      </c>
      <c r="F3" s="235" t="s">
        <v>143</v>
      </c>
      <c r="G3" s="236" t="s">
        <v>144</v>
      </c>
      <c r="H3" s="235" t="s">
        <v>143</v>
      </c>
      <c r="I3" s="236" t="s">
        <v>144</v>
      </c>
      <c r="J3" s="235" t="s">
        <v>143</v>
      </c>
      <c r="K3" s="236" t="s">
        <v>144</v>
      </c>
      <c r="L3" s="235" t="s">
        <v>143</v>
      </c>
      <c r="M3" s="236" t="s">
        <v>144</v>
      </c>
      <c r="N3" s="235" t="s">
        <v>143</v>
      </c>
      <c r="O3" s="236" t="s">
        <v>144</v>
      </c>
      <c r="P3" s="235" t="s">
        <v>143</v>
      </c>
      <c r="Q3" s="236" t="s">
        <v>144</v>
      </c>
      <c r="R3" s="235" t="s">
        <v>143</v>
      </c>
      <c r="S3" s="236" t="s">
        <v>144</v>
      </c>
      <c r="T3" s="235" t="s">
        <v>143</v>
      </c>
      <c r="U3" s="236" t="s">
        <v>144</v>
      </c>
      <c r="V3" s="235" t="s">
        <v>143</v>
      </c>
      <c r="W3" s="236" t="s">
        <v>144</v>
      </c>
      <c r="X3" s="235" t="s">
        <v>143</v>
      </c>
      <c r="Y3" s="236" t="s">
        <v>144</v>
      </c>
      <c r="Z3" s="235" t="s">
        <v>143</v>
      </c>
      <c r="AA3" s="236" t="s">
        <v>144</v>
      </c>
      <c r="AB3" s="235" t="s">
        <v>143</v>
      </c>
      <c r="AC3" s="236" t="s">
        <v>144</v>
      </c>
      <c r="AD3" s="235" t="s">
        <v>143</v>
      </c>
      <c r="AE3" s="236" t="s">
        <v>144</v>
      </c>
      <c r="AF3" s="235" t="s">
        <v>143</v>
      </c>
      <c r="AG3" s="236" t="s">
        <v>144</v>
      </c>
      <c r="AH3" s="235" t="s">
        <v>143</v>
      </c>
      <c r="AI3" s="236" t="s">
        <v>144</v>
      </c>
      <c r="AJ3" s="235" t="s">
        <v>143</v>
      </c>
      <c r="AK3" s="236" t="s">
        <v>144</v>
      </c>
      <c r="AL3" s="235" t="s">
        <v>143</v>
      </c>
      <c r="AM3" s="236" t="s">
        <v>144</v>
      </c>
      <c r="AN3" s="235" t="s">
        <v>143</v>
      </c>
      <c r="AO3" s="236" t="s">
        <v>144</v>
      </c>
      <c r="AP3" s="235" t="s">
        <v>143</v>
      </c>
      <c r="AQ3" s="236" t="s">
        <v>144</v>
      </c>
      <c r="AR3" s="235" t="s">
        <v>143</v>
      </c>
      <c r="AS3" s="236" t="s">
        <v>144</v>
      </c>
      <c r="AT3" s="235" t="s">
        <v>143</v>
      </c>
      <c r="AU3" s="236" t="s">
        <v>144</v>
      </c>
      <c r="AV3" s="235" t="s">
        <v>143</v>
      </c>
      <c r="AW3" s="236" t="s">
        <v>144</v>
      </c>
      <c r="AX3" s="235" t="s">
        <v>143</v>
      </c>
      <c r="AY3" s="236" t="s">
        <v>144</v>
      </c>
      <c r="BA3" s="90"/>
      <c r="BB3" s="94"/>
    </row>
    <row r="4" spans="1:54" s="23" customFormat="1">
      <c r="A4" s="113"/>
      <c r="B4" s="230">
        <v>10005</v>
      </c>
      <c r="C4" s="230" t="s">
        <v>7</v>
      </c>
      <c r="D4" s="232">
        <v>43.324675472045215</v>
      </c>
      <c r="E4" s="254">
        <v>73.76078947674597</v>
      </c>
      <c r="F4" s="254">
        <v>29.280454764893136</v>
      </c>
      <c r="G4" s="254">
        <v>49.981898652930397</v>
      </c>
      <c r="H4" s="254">
        <v>140.58347571134837</v>
      </c>
      <c r="I4" s="254">
        <v>93.983610825269153</v>
      </c>
      <c r="J4" s="254">
        <v>179.24341332428597</v>
      </c>
      <c r="K4" s="254">
        <v>151.95914233237079</v>
      </c>
      <c r="L4" s="254">
        <v>157.18784655895124</v>
      </c>
      <c r="M4" s="254">
        <v>109.8910510738684</v>
      </c>
      <c r="N4" s="254">
        <v>120.57827409822758</v>
      </c>
      <c r="O4" s="254">
        <v>98.056655832489582</v>
      </c>
      <c r="P4" s="254">
        <v>106.73246211710759</v>
      </c>
      <c r="Q4" s="254">
        <v>89.536063808372774</v>
      </c>
      <c r="R4" s="254">
        <v>-63.7140707124492</v>
      </c>
      <c r="S4" s="254">
        <v>33.692865218517198</v>
      </c>
      <c r="T4" s="254">
        <v>-104.90559404266961</v>
      </c>
      <c r="U4" s="254">
        <v>9.1705166824220044</v>
      </c>
      <c r="V4" s="254">
        <v>-87.683330462401983</v>
      </c>
      <c r="W4" s="254">
        <v>-1.7799428343639931</v>
      </c>
      <c r="X4" s="254">
        <v>-66.572110326693178</v>
      </c>
      <c r="Y4" s="254">
        <v>-11.718146641385601</v>
      </c>
      <c r="Z4" s="254">
        <v>-32.597555517366828</v>
      </c>
      <c r="AA4" s="254">
        <v>11.512613250142806</v>
      </c>
      <c r="AB4" s="254">
        <v>45.326675472045224</v>
      </c>
      <c r="AC4" s="254">
        <v>75.248789476745969</v>
      </c>
      <c r="AD4" s="254">
        <v>30.578454764893138</v>
      </c>
      <c r="AE4" s="254">
        <v>50.933898652930395</v>
      </c>
      <c r="AF4" s="254">
        <v>141.26347571134838</v>
      </c>
      <c r="AG4" s="254">
        <v>94.473610825269162</v>
      </c>
      <c r="AH4" s="254">
        <v>179.24341332428597</v>
      </c>
      <c r="AI4" s="254">
        <v>151.95914233237079</v>
      </c>
      <c r="AJ4" s="254">
        <v>157.18784655895124</v>
      </c>
      <c r="AK4" s="254">
        <v>109.8910510738684</v>
      </c>
      <c r="AL4" s="254">
        <v>120.57827409822758</v>
      </c>
      <c r="AM4" s="254">
        <v>98.056655832489582</v>
      </c>
      <c r="AN4" s="254">
        <v>94.803462117107614</v>
      </c>
      <c r="AO4" s="254">
        <v>101.46506380837278</v>
      </c>
      <c r="AP4" s="254">
        <v>-54.879070712449192</v>
      </c>
      <c r="AQ4" s="254">
        <v>24.85786521851719</v>
      </c>
      <c r="AR4" s="254">
        <v>-104.90559404266961</v>
      </c>
      <c r="AS4" s="254">
        <v>9.1705166824220044</v>
      </c>
      <c r="AT4" s="254">
        <v>-87.683330462401983</v>
      </c>
      <c r="AU4" s="254">
        <v>-1.7799428343639931</v>
      </c>
      <c r="AV4" s="254">
        <v>-66.572110326693178</v>
      </c>
      <c r="AW4" s="254">
        <v>-11.718146641385601</v>
      </c>
      <c r="AX4" s="254">
        <v>-32.597555517366828</v>
      </c>
      <c r="AY4" s="254">
        <v>11.512613250142806</v>
      </c>
      <c r="BA4" s="91"/>
      <c r="BB4" s="91"/>
    </row>
    <row r="5" spans="1:54">
      <c r="A5" s="113"/>
      <c r="B5" s="230">
        <v>10015</v>
      </c>
      <c r="C5" s="230" t="s">
        <v>8</v>
      </c>
      <c r="D5" s="254">
        <v>-83.631169480282551</v>
      </c>
      <c r="E5" s="254">
        <v>-6.215493485673008</v>
      </c>
      <c r="F5" s="254">
        <v>-198.38714784910661</v>
      </c>
      <c r="G5" s="254">
        <v>-115.87705965698518</v>
      </c>
      <c r="H5" s="254">
        <v>-170.76446613709419</v>
      </c>
      <c r="I5" s="254">
        <v>-126.03799485809461</v>
      </c>
      <c r="J5" s="254">
        <v>-112.65827368644298</v>
      </c>
      <c r="K5" s="254">
        <v>-99.907949002725388</v>
      </c>
      <c r="L5" s="254">
        <v>-110.94023787903554</v>
      </c>
      <c r="M5" s="254">
        <v>-76.710266144354193</v>
      </c>
      <c r="N5" s="254">
        <v>-135.48234720649376</v>
      </c>
      <c r="O5" s="254">
        <v>-88.989607556724778</v>
      </c>
      <c r="P5" s="254">
        <v>-27.874866959933769</v>
      </c>
      <c r="Q5" s="254">
        <v>-15.096799210826404</v>
      </c>
      <c r="R5" s="254">
        <v>-20.974625539315355</v>
      </c>
      <c r="S5" s="254">
        <v>110.37890020288143</v>
      </c>
      <c r="T5" s="254">
        <v>67.959847470814793</v>
      </c>
      <c r="U5" s="254">
        <v>208.78689116768899</v>
      </c>
      <c r="V5" s="254">
        <v>248.46644802130106</v>
      </c>
      <c r="W5" s="254">
        <v>336.47673507538195</v>
      </c>
      <c r="X5" s="254">
        <v>232.2569567200066</v>
      </c>
      <c r="Y5" s="254">
        <v>295.70141356597287</v>
      </c>
      <c r="Z5" s="254">
        <v>39.445578505023377</v>
      </c>
      <c r="AA5" s="254">
        <v>168.54878602978863</v>
      </c>
      <c r="AB5" s="254">
        <v>-83.631169480282551</v>
      </c>
      <c r="AC5" s="254">
        <v>-6.215493485673008</v>
      </c>
      <c r="AD5" s="254">
        <v>-198.38714784910661</v>
      </c>
      <c r="AE5" s="254">
        <v>-115.87705965698518</v>
      </c>
      <c r="AF5" s="254">
        <v>-170.76446613709419</v>
      </c>
      <c r="AG5" s="254">
        <v>-126.03799485809461</v>
      </c>
      <c r="AH5" s="254">
        <v>-112.65827368644298</v>
      </c>
      <c r="AI5" s="254">
        <v>-99.907949002725388</v>
      </c>
      <c r="AJ5" s="254">
        <v>-110.94023787903554</v>
      </c>
      <c r="AK5" s="254">
        <v>-76.710266144354193</v>
      </c>
      <c r="AL5" s="254">
        <v>-135.48234720649376</v>
      </c>
      <c r="AM5" s="254">
        <v>-88.989607556724778</v>
      </c>
      <c r="AN5" s="254">
        <v>-27.874866959933769</v>
      </c>
      <c r="AO5" s="254">
        <v>-15.096799210826404</v>
      </c>
      <c r="AP5" s="254">
        <v>-20.974625539315355</v>
      </c>
      <c r="AQ5" s="254">
        <v>110.37890020288143</v>
      </c>
      <c r="AR5" s="254">
        <v>67.959847470814793</v>
      </c>
      <c r="AS5" s="254">
        <v>208.78689116768899</v>
      </c>
      <c r="AT5" s="254">
        <v>248.46644802130106</v>
      </c>
      <c r="AU5" s="254">
        <v>336.47673507538195</v>
      </c>
      <c r="AV5" s="254">
        <v>232.2569567200066</v>
      </c>
      <c r="AW5" s="254">
        <v>295.70141356597287</v>
      </c>
      <c r="AX5" s="254">
        <v>39.445578505023377</v>
      </c>
      <c r="AY5" s="254">
        <v>168.54878602978863</v>
      </c>
      <c r="BA5" s="92"/>
      <c r="BB5" s="92"/>
    </row>
    <row r="6" spans="1:54">
      <c r="A6" s="113"/>
      <c r="B6" s="230">
        <v>10024</v>
      </c>
      <c r="C6" s="230" t="s">
        <v>9</v>
      </c>
      <c r="D6" s="254">
        <v>-11791.474835931334</v>
      </c>
      <c r="E6" s="254">
        <v>631.27104582464017</v>
      </c>
      <c r="F6" s="254">
        <v>-19261.349100365413</v>
      </c>
      <c r="G6" s="254">
        <v>-6389.8170804475267</v>
      </c>
      <c r="H6" s="254">
        <v>-8529.383412076997</v>
      </c>
      <c r="I6" s="254">
        <v>-4908.3135530908039</v>
      </c>
      <c r="J6" s="254">
        <v>1705.975959129355</v>
      </c>
      <c r="K6" s="254">
        <v>5482.5232419345593</v>
      </c>
      <c r="L6" s="254">
        <v>-2093.8862991251153</v>
      </c>
      <c r="M6" s="254">
        <v>-579.14261531741067</v>
      </c>
      <c r="N6" s="254">
        <v>-11144.243717063931</v>
      </c>
      <c r="O6" s="254">
        <v>-4000.698611353444</v>
      </c>
      <c r="P6" s="254">
        <v>856.31894013030251</v>
      </c>
      <c r="Q6" s="254">
        <v>4319.773033144098</v>
      </c>
      <c r="R6" s="254">
        <v>-10806.562273815573</v>
      </c>
      <c r="S6" s="254">
        <v>10189.345862312755</v>
      </c>
      <c r="T6" s="254">
        <v>-7009.5277363800124</v>
      </c>
      <c r="U6" s="254">
        <v>14125.436743283466</v>
      </c>
      <c r="V6" s="254">
        <v>6293.6824319399093</v>
      </c>
      <c r="W6" s="254">
        <v>24045.112535130967</v>
      </c>
      <c r="X6" s="254">
        <v>3584.7280786278934</v>
      </c>
      <c r="Y6" s="254">
        <v>14637.738802683718</v>
      </c>
      <c r="Z6" s="254">
        <v>-9791.9504173540263</v>
      </c>
      <c r="AA6" s="254">
        <v>2531.2806165550428</v>
      </c>
      <c r="AB6" s="254">
        <v>-11217.034942611364</v>
      </c>
      <c r="AC6" s="254">
        <v>1084.1948078653841</v>
      </c>
      <c r="AD6" s="254">
        <v>-18656.308304719292</v>
      </c>
      <c r="AE6" s="254">
        <v>-5904.2718419415141</v>
      </c>
      <c r="AF6" s="254">
        <v>-7813.5429296321672</v>
      </c>
      <c r="AG6" s="254">
        <v>-4343.9008650093019</v>
      </c>
      <c r="AH6" s="254">
        <v>2453.7675362325535</v>
      </c>
      <c r="AI6" s="254">
        <v>6125.6239982433144</v>
      </c>
      <c r="AJ6" s="254">
        <v>-1497.7895848059561</v>
      </c>
      <c r="AK6" s="254">
        <v>-132.0700795780358</v>
      </c>
      <c r="AL6" s="254">
        <v>-10546.907109909371</v>
      </c>
      <c r="AM6" s="254">
        <v>-3570.671563147298</v>
      </c>
      <c r="AN6" s="254">
        <v>122.61061327928473</v>
      </c>
      <c r="AO6" s="254">
        <v>6159.8729888450871</v>
      </c>
      <c r="AP6" s="254">
        <v>-8388.4453445960025</v>
      </c>
      <c r="AQ6" s="254">
        <v>9162.1212665051389</v>
      </c>
      <c r="AR6" s="254">
        <v>-6068.9192341386079</v>
      </c>
      <c r="AS6" s="254">
        <v>14812.80449492142</v>
      </c>
      <c r="AT6" s="254">
        <v>7355.8863766883078</v>
      </c>
      <c r="AU6" s="254">
        <v>24958.60792761459</v>
      </c>
      <c r="AV6" s="254">
        <v>4575.8918235512829</v>
      </c>
      <c r="AW6" s="254">
        <v>15353.57928512838</v>
      </c>
      <c r="AX6" s="254">
        <v>-9159.7266294397486</v>
      </c>
      <c r="AY6" s="254">
        <v>3037.0596468864678</v>
      </c>
      <c r="BA6" s="92"/>
      <c r="BB6" s="92"/>
    </row>
    <row r="7" spans="1:54">
      <c r="A7" s="113"/>
      <c r="B7" s="230">
        <v>10025</v>
      </c>
      <c r="C7" s="230" t="s">
        <v>10</v>
      </c>
      <c r="D7" s="254">
        <v>-1142.328154795905</v>
      </c>
      <c r="E7" s="254">
        <v>809.92564819007566</v>
      </c>
      <c r="F7" s="254">
        <v>-10345.967800852868</v>
      </c>
      <c r="G7" s="254">
        <v>-4317.7781672686069</v>
      </c>
      <c r="H7" s="254">
        <v>-3824.4998710119726</v>
      </c>
      <c r="I7" s="254">
        <v>-1280.1713369603858</v>
      </c>
      <c r="J7" s="254">
        <v>2130.736481489279</v>
      </c>
      <c r="K7" s="254">
        <v>373.7320003075838</v>
      </c>
      <c r="L7" s="254">
        <v>-1396.3561478090232</v>
      </c>
      <c r="M7" s="254">
        <v>-1854.9067387623672</v>
      </c>
      <c r="N7" s="254">
        <v>-6499.5089950795482</v>
      </c>
      <c r="O7" s="254">
        <v>-2196.2910866897928</v>
      </c>
      <c r="P7" s="254">
        <v>-291.29256745715247</v>
      </c>
      <c r="Q7" s="254">
        <v>185.16778161254479</v>
      </c>
      <c r="R7" s="254">
        <v>-3409.3233270460187</v>
      </c>
      <c r="S7" s="254">
        <v>2879.4224299746529</v>
      </c>
      <c r="T7" s="254">
        <v>-3498.6952483566165</v>
      </c>
      <c r="U7" s="254">
        <v>7535.7231254265571</v>
      </c>
      <c r="V7" s="254">
        <v>6057.94850842304</v>
      </c>
      <c r="W7" s="254">
        <v>8477.5191615372805</v>
      </c>
      <c r="X7" s="254">
        <v>4204.1876695888641</v>
      </c>
      <c r="Y7" s="254">
        <v>6894.9589532677128</v>
      </c>
      <c r="Z7" s="254">
        <v>-853.4458274576682</v>
      </c>
      <c r="AA7" s="254">
        <v>4425.6711229021457</v>
      </c>
      <c r="AB7" s="254">
        <v>-958.841154795904</v>
      </c>
      <c r="AC7" s="254">
        <v>865.95964819007713</v>
      </c>
      <c r="AD7" s="254">
        <v>-10234.860800852872</v>
      </c>
      <c r="AE7" s="254">
        <v>-4251.0801672686084</v>
      </c>
      <c r="AF7" s="254">
        <v>-3799.4828710119691</v>
      </c>
      <c r="AG7" s="254">
        <v>-1256.003336960388</v>
      </c>
      <c r="AH7" s="254">
        <v>2080.8684814892767</v>
      </c>
      <c r="AI7" s="254">
        <v>301.13200030758526</v>
      </c>
      <c r="AJ7" s="254">
        <v>-1388.4791478090192</v>
      </c>
      <c r="AK7" s="254">
        <v>-1865.9087387623676</v>
      </c>
      <c r="AL7" s="254">
        <v>-6494.6009950795524</v>
      </c>
      <c r="AM7" s="254">
        <v>-2190.2510866897937</v>
      </c>
      <c r="AN7" s="254">
        <v>-68.489567457148951</v>
      </c>
      <c r="AO7" s="254">
        <v>34.187781612543404</v>
      </c>
      <c r="AP7" s="254">
        <v>-3445.5063270460196</v>
      </c>
      <c r="AQ7" s="254">
        <v>3087.7944299746523</v>
      </c>
      <c r="AR7" s="254">
        <v>-3346.3902483566126</v>
      </c>
      <c r="AS7" s="254">
        <v>7636.3921254265588</v>
      </c>
      <c r="AT7" s="254">
        <v>6261.2945084230378</v>
      </c>
      <c r="AU7" s="254">
        <v>8563.6511615372783</v>
      </c>
      <c r="AV7" s="254">
        <v>4365.1096695888627</v>
      </c>
      <c r="AW7" s="254">
        <v>6974.5259532677119</v>
      </c>
      <c r="AX7" s="254">
        <v>-735.85982745766887</v>
      </c>
      <c r="AY7" s="254">
        <v>4509.6031229021428</v>
      </c>
      <c r="BA7" s="92"/>
      <c r="BB7" s="92"/>
    </row>
    <row r="8" spans="1:54">
      <c r="A8" s="113"/>
      <c r="B8" s="230">
        <v>10027</v>
      </c>
      <c r="C8" s="230" t="s">
        <v>11</v>
      </c>
      <c r="D8" s="254">
        <v>-4978.9039583059239</v>
      </c>
      <c r="E8" s="254">
        <v>-723.39371737377951</v>
      </c>
      <c r="F8" s="254">
        <v>-18260.375080931633</v>
      </c>
      <c r="G8" s="254">
        <v>-10315.747149650733</v>
      </c>
      <c r="H8" s="254">
        <v>-12632.665803748472</v>
      </c>
      <c r="I8" s="254">
        <v>-9798.1267468390779</v>
      </c>
      <c r="J8" s="254">
        <v>-7663.2419507697414</v>
      </c>
      <c r="K8" s="254">
        <v>-6531.624737539616</v>
      </c>
      <c r="L8" s="254">
        <v>-7891.7215802585561</v>
      </c>
      <c r="M8" s="254">
        <v>-6138.2271729961431</v>
      </c>
      <c r="N8" s="254">
        <v>-14546.672848314673</v>
      </c>
      <c r="O8" s="254">
        <v>-8845.4981591384621</v>
      </c>
      <c r="P8" s="254">
        <v>-3388.2095511651496</v>
      </c>
      <c r="Q8" s="254">
        <v>-1588.4446684913219</v>
      </c>
      <c r="R8" s="254">
        <v>3979.9613897982235</v>
      </c>
      <c r="S8" s="254">
        <v>10821.052820419316</v>
      </c>
      <c r="T8" s="254">
        <v>11981.056136374362</v>
      </c>
      <c r="U8" s="254">
        <v>18079.508351286851</v>
      </c>
      <c r="V8" s="254">
        <v>15132.692742411105</v>
      </c>
      <c r="W8" s="254">
        <v>18708.98221086472</v>
      </c>
      <c r="X8" s="254">
        <v>11140.267329575683</v>
      </c>
      <c r="Y8" s="254">
        <v>13065.19222801208</v>
      </c>
      <c r="Z8" s="254">
        <v>3214.5066548944524</v>
      </c>
      <c r="AA8" s="254">
        <v>7180.9517790951995</v>
      </c>
      <c r="AB8" s="254">
        <v>-4973.1859583059195</v>
      </c>
      <c r="AC8" s="254">
        <v>-734.00471737377848</v>
      </c>
      <c r="AD8" s="254">
        <v>-18254.518080931633</v>
      </c>
      <c r="AE8" s="254">
        <v>-10319.231149650734</v>
      </c>
      <c r="AF8" s="254">
        <v>-12631.818803748472</v>
      </c>
      <c r="AG8" s="254">
        <v>-9803.8647468390755</v>
      </c>
      <c r="AH8" s="254">
        <v>-7657.0409507697441</v>
      </c>
      <c r="AI8" s="254">
        <v>-6542.7197375396172</v>
      </c>
      <c r="AJ8" s="254">
        <v>-7877.5185802585565</v>
      </c>
      <c r="AK8" s="254">
        <v>-6134.5731729961426</v>
      </c>
      <c r="AL8" s="254">
        <v>-14545.33884831467</v>
      </c>
      <c r="AM8" s="254">
        <v>-8851.4121591384628</v>
      </c>
      <c r="AN8" s="254">
        <v>-3250.1285511651549</v>
      </c>
      <c r="AO8" s="254">
        <v>-1723.8346684913213</v>
      </c>
      <c r="AP8" s="254">
        <v>3853.4153897982287</v>
      </c>
      <c r="AQ8" s="254">
        <v>10942.698820419313</v>
      </c>
      <c r="AR8" s="254">
        <v>11985.694136374361</v>
      </c>
      <c r="AS8" s="254">
        <v>18077.561351286851</v>
      </c>
      <c r="AT8" s="254">
        <v>15137.577742411107</v>
      </c>
      <c r="AU8" s="254">
        <v>18699.203210864718</v>
      </c>
      <c r="AV8" s="254">
        <v>11141.091329575676</v>
      </c>
      <c r="AW8" s="254">
        <v>13059.468228012081</v>
      </c>
      <c r="AX8" s="254">
        <v>3219.3096548944523</v>
      </c>
      <c r="AY8" s="254">
        <v>7178.8397790952022</v>
      </c>
      <c r="BA8" s="92"/>
      <c r="BB8" s="92"/>
    </row>
    <row r="9" spans="1:54">
      <c r="A9" s="113"/>
      <c r="B9" s="230">
        <v>10029</v>
      </c>
      <c r="C9" s="230" t="s">
        <v>12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v>0</v>
      </c>
      <c r="T9" s="254">
        <v>0</v>
      </c>
      <c r="U9" s="254">
        <v>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v>0</v>
      </c>
      <c r="AI9" s="254">
        <v>0</v>
      </c>
      <c r="AJ9" s="254">
        <v>0</v>
      </c>
      <c r="AK9" s="254">
        <v>0</v>
      </c>
      <c r="AL9" s="254">
        <v>0</v>
      </c>
      <c r="AM9" s="254">
        <v>0</v>
      </c>
      <c r="AN9" s="254">
        <v>0</v>
      </c>
      <c r="AO9" s="254">
        <v>0</v>
      </c>
      <c r="AP9" s="254">
        <v>0</v>
      </c>
      <c r="AQ9" s="254">
        <v>0</v>
      </c>
      <c r="AR9" s="254">
        <v>0</v>
      </c>
      <c r="AS9" s="254">
        <v>0</v>
      </c>
      <c r="AT9" s="254">
        <v>0</v>
      </c>
      <c r="AU9" s="254">
        <v>0</v>
      </c>
      <c r="AV9" s="254">
        <v>0</v>
      </c>
      <c r="AW9" s="254">
        <v>0</v>
      </c>
      <c r="AX9" s="254">
        <v>0</v>
      </c>
      <c r="AY9" s="254">
        <v>0</v>
      </c>
      <c r="BA9" s="92"/>
      <c r="BB9" s="92"/>
    </row>
    <row r="10" spans="1:54">
      <c r="A10" s="113"/>
      <c r="B10" s="230">
        <v>10044</v>
      </c>
      <c r="C10" s="230" t="s">
        <v>13</v>
      </c>
      <c r="D10" s="254">
        <v>140.27527822235606</v>
      </c>
      <c r="E10" s="254">
        <v>82.400480105332463</v>
      </c>
      <c r="F10" s="254">
        <v>-870.59651600056168</v>
      </c>
      <c r="G10" s="254">
        <v>-907.28494541285363</v>
      </c>
      <c r="H10" s="254">
        <v>1549.5923994622026</v>
      </c>
      <c r="I10" s="254">
        <v>-643.86327355165395</v>
      </c>
      <c r="J10" s="254">
        <v>2848.2598682901307</v>
      </c>
      <c r="K10" s="254">
        <v>897.67475816578826</v>
      </c>
      <c r="L10" s="254">
        <v>2158.8738791093792</v>
      </c>
      <c r="M10" s="254">
        <v>-9.6148855239925979</v>
      </c>
      <c r="N10" s="254">
        <v>878.92049715325811</v>
      </c>
      <c r="O10" s="254">
        <v>-475.50099473380396</v>
      </c>
      <c r="P10" s="254">
        <v>1930.653724260178</v>
      </c>
      <c r="Q10" s="254">
        <v>288.22590085694992</v>
      </c>
      <c r="R10" s="254">
        <v>-2642.9454518290277</v>
      </c>
      <c r="S10" s="254">
        <v>-510.23808012972131</v>
      </c>
      <c r="T10" s="254">
        <v>-3074.586764269503</v>
      </c>
      <c r="U10" s="254">
        <v>-339.94169939462154</v>
      </c>
      <c r="V10" s="254">
        <v>-1169.8593218662609</v>
      </c>
      <c r="W10" s="254">
        <v>220.88444462181178</v>
      </c>
      <c r="X10" s="254">
        <v>-267.08180011001241</v>
      </c>
      <c r="Y10" s="254">
        <v>13.414083428340746</v>
      </c>
      <c r="Z10" s="254">
        <v>-769.30407361334073</v>
      </c>
      <c r="AA10" s="254">
        <v>-559.99069528240034</v>
      </c>
      <c r="AB10" s="254">
        <v>134.96527822235839</v>
      </c>
      <c r="AC10" s="254">
        <v>71.534480105331568</v>
      </c>
      <c r="AD10" s="254">
        <v>-845.30751600056101</v>
      </c>
      <c r="AE10" s="254">
        <v>-898.78994541285374</v>
      </c>
      <c r="AF10" s="254">
        <v>1582.7923994622033</v>
      </c>
      <c r="AG10" s="254">
        <v>-630.99427355165426</v>
      </c>
      <c r="AH10" s="254">
        <v>2880.5888682901304</v>
      </c>
      <c r="AI10" s="254">
        <v>911.49975816578808</v>
      </c>
      <c r="AJ10" s="254">
        <v>2183.0098791093797</v>
      </c>
      <c r="AK10" s="254">
        <v>-2.4388855239931218</v>
      </c>
      <c r="AL10" s="254">
        <v>902.33449715325696</v>
      </c>
      <c r="AM10" s="254">
        <v>-469.97499473380412</v>
      </c>
      <c r="AN10" s="254">
        <v>1657.8487242601796</v>
      </c>
      <c r="AO10" s="254">
        <v>583.99890085694915</v>
      </c>
      <c r="AP10" s="254">
        <v>-2372.692451829028</v>
      </c>
      <c r="AQ10" s="254">
        <v>-766.69508012972165</v>
      </c>
      <c r="AR10" s="254">
        <v>-3056.582764269504</v>
      </c>
      <c r="AS10" s="254">
        <v>-337.74169939462081</v>
      </c>
      <c r="AT10" s="254">
        <v>-1146.9213218662608</v>
      </c>
      <c r="AU10" s="254">
        <v>226.28744462181203</v>
      </c>
      <c r="AV10" s="254">
        <v>-242.54380011001194</v>
      </c>
      <c r="AW10" s="254">
        <v>18.349083428341146</v>
      </c>
      <c r="AX10" s="254">
        <v>-752.69607361334147</v>
      </c>
      <c r="AY10" s="254">
        <v>-558.43169528240105</v>
      </c>
      <c r="BA10" s="92"/>
      <c r="BB10" s="92"/>
    </row>
    <row r="11" spans="1:54">
      <c r="A11" s="113"/>
      <c r="B11" s="230">
        <v>10046</v>
      </c>
      <c r="C11" s="230" t="s">
        <v>14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v>0</v>
      </c>
      <c r="AI11" s="254">
        <v>0</v>
      </c>
      <c r="AJ11" s="254">
        <v>0</v>
      </c>
      <c r="AK11" s="254">
        <v>0</v>
      </c>
      <c r="AL11" s="254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0</v>
      </c>
      <c r="AY11" s="254">
        <v>0</v>
      </c>
      <c r="BA11" s="92"/>
      <c r="BB11" s="92"/>
    </row>
    <row r="12" spans="1:54">
      <c r="A12" s="113"/>
      <c r="B12" s="230">
        <v>10047</v>
      </c>
      <c r="C12" s="230" t="s">
        <v>15</v>
      </c>
      <c r="D12" s="254">
        <v>-2023.8674928787805</v>
      </c>
      <c r="E12" s="254">
        <v>7958.3278635991737</v>
      </c>
      <c r="F12" s="254">
        <v>-14635.531375876111</v>
      </c>
      <c r="G12" s="254">
        <v>-3380.0040779065384</v>
      </c>
      <c r="H12" s="254">
        <v>7947.7690353310754</v>
      </c>
      <c r="I12" s="254">
        <v>2099.2933753233519</v>
      </c>
      <c r="J12" s="254">
        <v>13425.993848547427</v>
      </c>
      <c r="K12" s="254">
        <v>11488.522465580485</v>
      </c>
      <c r="L12" s="254">
        <v>11311.272636833361</v>
      </c>
      <c r="M12" s="254">
        <v>4893.0217565001949</v>
      </c>
      <c r="N12" s="254">
        <v>5159.4751061035931</v>
      </c>
      <c r="O12" s="254">
        <v>4415.7828200680597</v>
      </c>
      <c r="P12" s="254">
        <v>14159.307674552867</v>
      </c>
      <c r="Q12" s="254">
        <v>11375.749500348393</v>
      </c>
      <c r="R12" s="254">
        <v>-25586.101546367434</v>
      </c>
      <c r="S12" s="254">
        <v>2901.1429303084369</v>
      </c>
      <c r="T12" s="254">
        <v>-33030.154432900148</v>
      </c>
      <c r="U12" s="254">
        <v>724.19416120542883</v>
      </c>
      <c r="V12" s="254">
        <v>-24400.330797766313</v>
      </c>
      <c r="W12" s="254">
        <v>2678.3690651280194</v>
      </c>
      <c r="X12" s="254">
        <v>-17227.159480204689</v>
      </c>
      <c r="Y12" s="254">
        <v>1041.6837045473731</v>
      </c>
      <c r="Z12" s="254">
        <v>-13719.848398016671</v>
      </c>
      <c r="AA12" s="254">
        <v>417.56945003051806</v>
      </c>
      <c r="AB12" s="254">
        <v>-2077.8154928787771</v>
      </c>
      <c r="AC12" s="254">
        <v>7907.2268635991713</v>
      </c>
      <c r="AD12" s="254">
        <v>-14681.734375876105</v>
      </c>
      <c r="AE12" s="254">
        <v>-3425.4960779065368</v>
      </c>
      <c r="AF12" s="254">
        <v>7920.8210353310715</v>
      </c>
      <c r="AG12" s="254">
        <v>2066.9153753233477</v>
      </c>
      <c r="AH12" s="254">
        <v>13393.329848547422</v>
      </c>
      <c r="AI12" s="254">
        <v>11450.630465580485</v>
      </c>
      <c r="AJ12" s="254">
        <v>11270.259636833362</v>
      </c>
      <c r="AK12" s="254">
        <v>4854.0697565001974</v>
      </c>
      <c r="AL12" s="254">
        <v>5112.6441061035875</v>
      </c>
      <c r="AM12" s="254">
        <v>4373.4898200680618</v>
      </c>
      <c r="AN12" s="254">
        <v>11606.251674552863</v>
      </c>
      <c r="AO12" s="254">
        <v>13835.458500348395</v>
      </c>
      <c r="AP12" s="254">
        <v>-23590.837546367424</v>
      </c>
      <c r="AQ12" s="254">
        <v>777.38893030844338</v>
      </c>
      <c r="AR12" s="254">
        <v>-33097.191432900145</v>
      </c>
      <c r="AS12" s="254">
        <v>668.83816120542906</v>
      </c>
      <c r="AT12" s="254">
        <v>-24463.498797766311</v>
      </c>
      <c r="AU12" s="254">
        <v>2617.2270651280123</v>
      </c>
      <c r="AV12" s="254">
        <v>-17293.565480204692</v>
      </c>
      <c r="AW12" s="254">
        <v>986.38170454736974</v>
      </c>
      <c r="AX12" s="254">
        <v>-13783.871398016672</v>
      </c>
      <c r="AY12" s="254">
        <v>359.69945003052271</v>
      </c>
      <c r="BA12" s="92"/>
      <c r="BB12" s="92"/>
    </row>
    <row r="13" spans="1:54">
      <c r="A13" s="113"/>
      <c r="B13" s="230">
        <v>10055</v>
      </c>
      <c r="C13" s="230" t="s">
        <v>16</v>
      </c>
      <c r="D13" s="254">
        <v>-14.230570919802176</v>
      </c>
      <c r="E13" s="254">
        <v>14.729233588768977</v>
      </c>
      <c r="F13" s="254">
        <v>-34.70110761933023</v>
      </c>
      <c r="G13" s="254">
        <v>1.6506531446556068</v>
      </c>
      <c r="H13" s="254">
        <v>76.493577707732584</v>
      </c>
      <c r="I13" s="254">
        <v>58.566510960633764</v>
      </c>
      <c r="J13" s="254">
        <v>86.574903498579005</v>
      </c>
      <c r="K13" s="254">
        <v>88.442902416826186</v>
      </c>
      <c r="L13" s="254">
        <v>62.695677138206833</v>
      </c>
      <c r="M13" s="254">
        <v>47.788696914512613</v>
      </c>
      <c r="N13" s="254">
        <v>16.563266226031402</v>
      </c>
      <c r="O13" s="254">
        <v>23.842873568974397</v>
      </c>
      <c r="P13" s="254">
        <v>20.343511126351416</v>
      </c>
      <c r="Q13" s="254">
        <v>22.548479365879189</v>
      </c>
      <c r="R13" s="254">
        <v>-78.737025620903793</v>
      </c>
      <c r="S13" s="254">
        <v>-4.5091185782942063</v>
      </c>
      <c r="T13" s="254">
        <v>-99.384416288744404</v>
      </c>
      <c r="U13" s="254">
        <v>-18.839799730817006</v>
      </c>
      <c r="V13" s="254">
        <v>-62.947137088653022</v>
      </c>
      <c r="W13" s="254">
        <v>-11.908046080646002</v>
      </c>
      <c r="X13" s="254">
        <v>-58.203616268369785</v>
      </c>
      <c r="Y13" s="254">
        <v>-21.748890084718397</v>
      </c>
      <c r="Z13" s="254">
        <v>-55.378233649220221</v>
      </c>
      <c r="AA13" s="254">
        <v>-22.341626452215806</v>
      </c>
      <c r="AB13" s="254">
        <v>-14.230570919802176</v>
      </c>
      <c r="AC13" s="254">
        <v>14.729233588768977</v>
      </c>
      <c r="AD13" s="254">
        <v>-34.70110761933023</v>
      </c>
      <c r="AE13" s="254">
        <v>1.6506531446556068</v>
      </c>
      <c r="AF13" s="254">
        <v>76.493577707732584</v>
      </c>
      <c r="AG13" s="254">
        <v>58.566510960633764</v>
      </c>
      <c r="AH13" s="254">
        <v>86.574903498579005</v>
      </c>
      <c r="AI13" s="254">
        <v>88.442902416826186</v>
      </c>
      <c r="AJ13" s="254">
        <v>62.695677138206833</v>
      </c>
      <c r="AK13" s="254">
        <v>47.788696914512613</v>
      </c>
      <c r="AL13" s="254">
        <v>16.563266226031402</v>
      </c>
      <c r="AM13" s="254">
        <v>23.842873568974397</v>
      </c>
      <c r="AN13" s="254">
        <v>14.490511126351407</v>
      </c>
      <c r="AO13" s="254">
        <v>28.401479365879183</v>
      </c>
      <c r="AP13" s="254">
        <v>-74.070025620903806</v>
      </c>
      <c r="AQ13" s="254">
        <v>-9.1761185782942079</v>
      </c>
      <c r="AR13" s="254">
        <v>-99.384416288744404</v>
      </c>
      <c r="AS13" s="254">
        <v>-18.839799730817006</v>
      </c>
      <c r="AT13" s="254">
        <v>-62.947137088653022</v>
      </c>
      <c r="AU13" s="254">
        <v>-11.908046080646002</v>
      </c>
      <c r="AV13" s="254">
        <v>-58.203616268369785</v>
      </c>
      <c r="AW13" s="254">
        <v>-21.748890084718397</v>
      </c>
      <c r="AX13" s="254">
        <v>-55.378233649220221</v>
      </c>
      <c r="AY13" s="254">
        <v>-22.341626452215806</v>
      </c>
      <c r="BA13" s="92"/>
      <c r="BB13" s="92"/>
    </row>
    <row r="14" spans="1:54">
      <c r="A14" s="113"/>
      <c r="B14" s="230">
        <v>10057</v>
      </c>
      <c r="C14" s="230" t="s">
        <v>17</v>
      </c>
      <c r="D14" s="254">
        <v>-265.65145045357167</v>
      </c>
      <c r="E14" s="254">
        <v>-2.630026877029195</v>
      </c>
      <c r="F14" s="254">
        <v>-424.94160876528076</v>
      </c>
      <c r="G14" s="254">
        <v>-497.0781589510334</v>
      </c>
      <c r="H14" s="254">
        <v>1567.9077896189756</v>
      </c>
      <c r="I14" s="254">
        <v>-481.68874817972664</v>
      </c>
      <c r="J14" s="254">
        <v>3026.988482884507</v>
      </c>
      <c r="K14" s="254">
        <v>1290.2872096960355</v>
      </c>
      <c r="L14" s="254">
        <v>2510.7621132205422</v>
      </c>
      <c r="M14" s="254">
        <v>401.78175585630652</v>
      </c>
      <c r="N14" s="254">
        <v>724.49588416087863</v>
      </c>
      <c r="O14" s="254">
        <v>-348.47812621566118</v>
      </c>
      <c r="P14" s="254">
        <v>1917.9481541503992</v>
      </c>
      <c r="Q14" s="254">
        <v>462.60377857408093</v>
      </c>
      <c r="R14" s="254">
        <v>-2721.72846766362</v>
      </c>
      <c r="S14" s="254">
        <v>-171.34623815733357</v>
      </c>
      <c r="T14" s="254">
        <v>-3790.6472599759336</v>
      </c>
      <c r="U14" s="254">
        <v>-611.7082503859001</v>
      </c>
      <c r="V14" s="254">
        <v>-910.28819011864471</v>
      </c>
      <c r="W14" s="254">
        <v>436.6921871002196</v>
      </c>
      <c r="X14" s="254">
        <v>-109.96349436567107</v>
      </c>
      <c r="Y14" s="254">
        <v>29.827566361278514</v>
      </c>
      <c r="Z14" s="254">
        <v>-1285.1458805566954</v>
      </c>
      <c r="AA14" s="254">
        <v>-749.53712201065082</v>
      </c>
      <c r="AB14" s="254">
        <v>-265.65145045357167</v>
      </c>
      <c r="AC14" s="254">
        <v>-2.630026877029195</v>
      </c>
      <c r="AD14" s="254">
        <v>-424.94160876528076</v>
      </c>
      <c r="AE14" s="254">
        <v>-497.0781589510334</v>
      </c>
      <c r="AF14" s="254">
        <v>1567.9077896189756</v>
      </c>
      <c r="AG14" s="254">
        <v>-481.68874817972664</v>
      </c>
      <c r="AH14" s="254">
        <v>3026.988482884507</v>
      </c>
      <c r="AI14" s="254">
        <v>1290.2872096960355</v>
      </c>
      <c r="AJ14" s="254">
        <v>2510.7621132205422</v>
      </c>
      <c r="AK14" s="254">
        <v>401.78175585630652</v>
      </c>
      <c r="AL14" s="254">
        <v>724.49588416087863</v>
      </c>
      <c r="AM14" s="254">
        <v>-348.47812621566118</v>
      </c>
      <c r="AN14" s="254">
        <v>1586.1181541503993</v>
      </c>
      <c r="AO14" s="254">
        <v>794.43477857408107</v>
      </c>
      <c r="AP14" s="254">
        <v>-2424.9254676636192</v>
      </c>
      <c r="AQ14" s="254">
        <v>-469.15023815733366</v>
      </c>
      <c r="AR14" s="254">
        <v>-3790.6472599759336</v>
      </c>
      <c r="AS14" s="254">
        <v>-611.7082503859001</v>
      </c>
      <c r="AT14" s="254">
        <v>-910.28819011864471</v>
      </c>
      <c r="AU14" s="254">
        <v>436.6921871002196</v>
      </c>
      <c r="AV14" s="254">
        <v>-109.96349436567107</v>
      </c>
      <c r="AW14" s="254">
        <v>29.827566361278514</v>
      </c>
      <c r="AX14" s="254">
        <v>-1285.1458805566954</v>
      </c>
      <c r="AY14" s="254">
        <v>-749.53712201065082</v>
      </c>
      <c r="BA14" s="92"/>
      <c r="BB14" s="92"/>
    </row>
    <row r="15" spans="1:54">
      <c r="A15" s="113"/>
      <c r="B15" s="230">
        <v>10059</v>
      </c>
      <c r="C15" s="230" t="s">
        <v>18</v>
      </c>
      <c r="D15" s="254">
        <v>94.046170851950592</v>
      </c>
      <c r="E15" s="254">
        <v>183.52378320871321</v>
      </c>
      <c r="F15" s="254">
        <v>-283.09529098988423</v>
      </c>
      <c r="G15" s="254">
        <v>-129.33022328769584</v>
      </c>
      <c r="H15" s="254">
        <v>903.03986181656683</v>
      </c>
      <c r="I15" s="254">
        <v>176.56442564038298</v>
      </c>
      <c r="J15" s="254">
        <v>1489.4362112484559</v>
      </c>
      <c r="K15" s="254">
        <v>949.33650078512255</v>
      </c>
      <c r="L15" s="254">
        <v>1529.6672953971338</v>
      </c>
      <c r="M15" s="254">
        <v>629.45249029128172</v>
      </c>
      <c r="N15" s="254">
        <v>738.50448185635105</v>
      </c>
      <c r="O15" s="254">
        <v>282.93044219077342</v>
      </c>
      <c r="P15" s="254">
        <v>1082.8838437123109</v>
      </c>
      <c r="Q15" s="254">
        <v>581.78335337006274</v>
      </c>
      <c r="R15" s="254">
        <v>-934.8831545058797</v>
      </c>
      <c r="S15" s="254">
        <v>147.13120627409876</v>
      </c>
      <c r="T15" s="254">
        <v>-1451.8905319066457</v>
      </c>
      <c r="U15" s="254">
        <v>-121.59394980185721</v>
      </c>
      <c r="V15" s="254">
        <v>-1150.6445317162397</v>
      </c>
      <c r="W15" s="254">
        <v>-122.84452917437534</v>
      </c>
      <c r="X15" s="254">
        <v>-853.8468265513402</v>
      </c>
      <c r="Y15" s="254">
        <v>-249.3635621390049</v>
      </c>
      <c r="Z15" s="254">
        <v>-551.15425777236669</v>
      </c>
      <c r="AA15" s="254">
        <v>-207.86902896031575</v>
      </c>
      <c r="AB15" s="254">
        <v>94.046170851950592</v>
      </c>
      <c r="AC15" s="254">
        <v>183.52378320871321</v>
      </c>
      <c r="AD15" s="254">
        <v>-283.09529098988423</v>
      </c>
      <c r="AE15" s="254">
        <v>-129.33022328769584</v>
      </c>
      <c r="AF15" s="254">
        <v>903.03986181656683</v>
      </c>
      <c r="AG15" s="254">
        <v>176.56442564038298</v>
      </c>
      <c r="AH15" s="254">
        <v>1489.4362112484559</v>
      </c>
      <c r="AI15" s="254">
        <v>949.33650078512255</v>
      </c>
      <c r="AJ15" s="254">
        <v>1529.6672953971338</v>
      </c>
      <c r="AK15" s="254">
        <v>629.45249029128172</v>
      </c>
      <c r="AL15" s="254">
        <v>738.50448185635105</v>
      </c>
      <c r="AM15" s="254">
        <v>282.93044219077342</v>
      </c>
      <c r="AN15" s="254">
        <v>938.29984371231103</v>
      </c>
      <c r="AO15" s="254">
        <v>726.36735337006257</v>
      </c>
      <c r="AP15" s="254">
        <v>-816.78015450587964</v>
      </c>
      <c r="AQ15" s="254">
        <v>29.028206274098693</v>
      </c>
      <c r="AR15" s="254">
        <v>-1451.8905319066457</v>
      </c>
      <c r="AS15" s="254">
        <v>-121.59394980185721</v>
      </c>
      <c r="AT15" s="254">
        <v>-1150.6445317162397</v>
      </c>
      <c r="AU15" s="254">
        <v>-122.84452917437534</v>
      </c>
      <c r="AV15" s="254">
        <v>-853.8468265513402</v>
      </c>
      <c r="AW15" s="254">
        <v>-249.3635621390049</v>
      </c>
      <c r="AX15" s="254">
        <v>-551.15425777236669</v>
      </c>
      <c r="AY15" s="254">
        <v>-207.86902896031575</v>
      </c>
      <c r="BA15" s="92"/>
      <c r="BB15" s="92"/>
    </row>
    <row r="16" spans="1:54">
      <c r="A16" s="113"/>
      <c r="B16" s="230">
        <v>10061</v>
      </c>
      <c r="C16" s="230" t="s">
        <v>19</v>
      </c>
      <c r="D16" s="254">
        <v>-62.285742627216678</v>
      </c>
      <c r="E16" s="254">
        <v>163.85634751224097</v>
      </c>
      <c r="F16" s="254">
        <v>-390.73109373298666</v>
      </c>
      <c r="G16" s="254">
        <v>-215.59740745290856</v>
      </c>
      <c r="H16" s="254">
        <v>418.5646168621779</v>
      </c>
      <c r="I16" s="254">
        <v>-253.91428856835182</v>
      </c>
      <c r="J16" s="254">
        <v>1226.2505103367039</v>
      </c>
      <c r="K16" s="254">
        <v>669.60763374537646</v>
      </c>
      <c r="L16" s="254">
        <v>1111.2032843203751</v>
      </c>
      <c r="M16" s="254">
        <v>396.67356256425273</v>
      </c>
      <c r="N16" s="254">
        <v>391.03908725070778</v>
      </c>
      <c r="O16" s="254">
        <v>83.517303460545918</v>
      </c>
      <c r="P16" s="254">
        <v>741.94306613450726</v>
      </c>
      <c r="Q16" s="254">
        <v>325.30643075605281</v>
      </c>
      <c r="R16" s="254">
        <v>-1199.3884314093857</v>
      </c>
      <c r="S16" s="254">
        <v>40.805841148628133</v>
      </c>
      <c r="T16" s="254">
        <v>-1719.2384126526586</v>
      </c>
      <c r="U16" s="254">
        <v>-162.2271944435613</v>
      </c>
      <c r="V16" s="254">
        <v>-1086.6797355371764</v>
      </c>
      <c r="W16" s="254">
        <v>37.441442005672343</v>
      </c>
      <c r="X16" s="254">
        <v>-813.76446185063833</v>
      </c>
      <c r="Y16" s="254">
        <v>-162.71238421850603</v>
      </c>
      <c r="Z16" s="254">
        <v>-575.31886479714967</v>
      </c>
      <c r="AA16" s="254">
        <v>-175.75361455796542</v>
      </c>
      <c r="AB16" s="254">
        <v>-25.457742627216703</v>
      </c>
      <c r="AC16" s="254">
        <v>186.52534751224084</v>
      </c>
      <c r="AD16" s="254">
        <v>-353.45009373298717</v>
      </c>
      <c r="AE16" s="254">
        <v>-191.89040745290822</v>
      </c>
      <c r="AF16" s="254">
        <v>452.61761686217778</v>
      </c>
      <c r="AG16" s="254">
        <v>-232.90728856835221</v>
      </c>
      <c r="AH16" s="254">
        <v>1258.0175103367046</v>
      </c>
      <c r="AI16" s="254">
        <v>691.6596337453766</v>
      </c>
      <c r="AJ16" s="254">
        <v>1141.872284320375</v>
      </c>
      <c r="AK16" s="254">
        <v>415.58856256425315</v>
      </c>
      <c r="AL16" s="254">
        <v>417.79208725070794</v>
      </c>
      <c r="AM16" s="254">
        <v>99.062303460545991</v>
      </c>
      <c r="AN16" s="254">
        <v>624.18806613450715</v>
      </c>
      <c r="AO16" s="254">
        <v>481.51443075605289</v>
      </c>
      <c r="AP16" s="254">
        <v>-1054.4704314093856</v>
      </c>
      <c r="AQ16" s="254">
        <v>-74.335158851371716</v>
      </c>
      <c r="AR16" s="254">
        <v>-1704.1794126526588</v>
      </c>
      <c r="AS16" s="254">
        <v>-154.00419444356112</v>
      </c>
      <c r="AT16" s="254">
        <v>-1074.1087355371765</v>
      </c>
      <c r="AU16" s="254">
        <v>45.562442005672438</v>
      </c>
      <c r="AV16" s="254">
        <v>-803.57046185063837</v>
      </c>
      <c r="AW16" s="254">
        <v>-157.57938421850599</v>
      </c>
      <c r="AX16" s="254">
        <v>-563.75386479715007</v>
      </c>
      <c r="AY16" s="254">
        <v>-169.09861455796522</v>
      </c>
      <c r="BA16" s="92"/>
      <c r="BB16" s="92"/>
    </row>
    <row r="17" spans="2:54">
      <c r="B17" s="230">
        <v>10062</v>
      </c>
      <c r="C17" s="230" t="s">
        <v>20</v>
      </c>
      <c r="D17" s="254">
        <v>492.16577275186182</v>
      </c>
      <c r="E17" s="254">
        <v>-149.69864647055329</v>
      </c>
      <c r="F17" s="254">
        <v>435.19469753759722</v>
      </c>
      <c r="G17" s="254">
        <v>-38.418277507897074</v>
      </c>
      <c r="H17" s="254">
        <v>1513.5930554869542</v>
      </c>
      <c r="I17" s="254">
        <v>479.54094424732898</v>
      </c>
      <c r="J17" s="254">
        <v>1943.7461509774764</v>
      </c>
      <c r="K17" s="254">
        <v>728.13933511265054</v>
      </c>
      <c r="L17" s="254">
        <v>1634.0410003634286</v>
      </c>
      <c r="M17" s="254">
        <v>544.04518645409371</v>
      </c>
      <c r="N17" s="254">
        <v>753.11667591217883</v>
      </c>
      <c r="O17" s="254">
        <v>67.452226456587368</v>
      </c>
      <c r="P17" s="254">
        <v>228.57437199233823</v>
      </c>
      <c r="Q17" s="254">
        <v>-330.00789612801032</v>
      </c>
      <c r="R17" s="254">
        <v>-1543.0985265543395</v>
      </c>
      <c r="S17" s="254">
        <v>-1423.5612360491345</v>
      </c>
      <c r="T17" s="254">
        <v>-1927.6120700120978</v>
      </c>
      <c r="U17" s="254">
        <v>-1257.320871582471</v>
      </c>
      <c r="V17" s="254">
        <v>-836.57056835413914</v>
      </c>
      <c r="W17" s="254">
        <v>-970.13238843869772</v>
      </c>
      <c r="X17" s="254">
        <v>47.678805437302799</v>
      </c>
      <c r="Y17" s="254">
        <v>-275.85968106045902</v>
      </c>
      <c r="Z17" s="254">
        <v>128.42326268452734</v>
      </c>
      <c r="AA17" s="254">
        <v>-240.08029510299525</v>
      </c>
      <c r="AB17" s="254">
        <v>501.00677275186172</v>
      </c>
      <c r="AC17" s="254">
        <v>-155.07164647055311</v>
      </c>
      <c r="AD17" s="254">
        <v>437.30869753759725</v>
      </c>
      <c r="AE17" s="254">
        <v>-44.415277507897372</v>
      </c>
      <c r="AF17" s="254">
        <v>1503.6630554869539</v>
      </c>
      <c r="AG17" s="254">
        <v>466.95094424732929</v>
      </c>
      <c r="AH17" s="254">
        <v>1938.1591509774769</v>
      </c>
      <c r="AI17" s="254">
        <v>715.75233511265037</v>
      </c>
      <c r="AJ17" s="254">
        <v>1635.7580003634287</v>
      </c>
      <c r="AK17" s="254">
        <v>539.06318645409397</v>
      </c>
      <c r="AL17" s="254">
        <v>754.24767591217869</v>
      </c>
      <c r="AM17" s="254">
        <v>61.94022645658697</v>
      </c>
      <c r="AN17" s="254">
        <v>313.59337199233846</v>
      </c>
      <c r="AO17" s="254">
        <v>-411.6678961280104</v>
      </c>
      <c r="AP17" s="254">
        <v>-1638.3655265543393</v>
      </c>
      <c r="AQ17" s="254">
        <v>-1322.6962360491348</v>
      </c>
      <c r="AR17" s="254">
        <v>-1915.6580700120976</v>
      </c>
      <c r="AS17" s="254">
        <v>-1260.0968715824713</v>
      </c>
      <c r="AT17" s="254">
        <v>-824.25356835413913</v>
      </c>
      <c r="AU17" s="254">
        <v>-975.44038843869794</v>
      </c>
      <c r="AV17" s="254">
        <v>59.309805437303112</v>
      </c>
      <c r="AW17" s="254">
        <v>-279.68968106045895</v>
      </c>
      <c r="AX17" s="254">
        <v>140.06026268452706</v>
      </c>
      <c r="AY17" s="254">
        <v>-242.87829510299525</v>
      </c>
      <c r="BA17" s="92"/>
      <c r="BB17" s="92"/>
    </row>
    <row r="18" spans="2:54">
      <c r="B18" s="230">
        <v>10064</v>
      </c>
      <c r="C18" s="230" t="s">
        <v>21</v>
      </c>
      <c r="D18" s="254">
        <v>-62.217890848901334</v>
      </c>
      <c r="E18" s="254">
        <v>245.39001445731083</v>
      </c>
      <c r="F18" s="254">
        <v>-1112.761601678335</v>
      </c>
      <c r="G18" s="254">
        <v>-571.4749361188633</v>
      </c>
      <c r="H18" s="254">
        <v>1310.0700596226989</v>
      </c>
      <c r="I18" s="254">
        <v>207.92958917018132</v>
      </c>
      <c r="J18" s="254">
        <v>2138.2218192867012</v>
      </c>
      <c r="K18" s="254">
        <v>1335.6159158395581</v>
      </c>
      <c r="L18" s="254">
        <v>1766.9529536959699</v>
      </c>
      <c r="M18" s="254">
        <v>619.26006338551906</v>
      </c>
      <c r="N18" s="254">
        <v>569.84794708801746</v>
      </c>
      <c r="O18" s="254">
        <v>86.524620566833619</v>
      </c>
      <c r="P18" s="254">
        <v>1129.2531694900963</v>
      </c>
      <c r="Q18" s="254">
        <v>409.61522526746467</v>
      </c>
      <c r="R18" s="254">
        <v>-1791.3293869963127</v>
      </c>
      <c r="S18" s="254">
        <v>-3.1802014278500792</v>
      </c>
      <c r="T18" s="254">
        <v>-2065.338189373464</v>
      </c>
      <c r="U18" s="254">
        <v>-105.55804865062328</v>
      </c>
      <c r="V18" s="254">
        <v>-607.35876996030674</v>
      </c>
      <c r="W18" s="254">
        <v>443.24181251392611</v>
      </c>
      <c r="X18" s="254">
        <v>-152.20513049796591</v>
      </c>
      <c r="Y18" s="254">
        <v>164.73903027083043</v>
      </c>
      <c r="Z18" s="254">
        <v>-747.0996336132439</v>
      </c>
      <c r="AA18" s="254">
        <v>-315.18785890483969</v>
      </c>
      <c r="AB18" s="254">
        <v>-50.863890848901974</v>
      </c>
      <c r="AC18" s="254">
        <v>252.29901445731093</v>
      </c>
      <c r="AD18" s="254">
        <v>-1101.0486016783352</v>
      </c>
      <c r="AE18" s="254">
        <v>-563.84593611886339</v>
      </c>
      <c r="AF18" s="254">
        <v>1325.4450596226989</v>
      </c>
      <c r="AG18" s="254">
        <v>217.91858917018089</v>
      </c>
      <c r="AH18" s="254">
        <v>2152.9628192867012</v>
      </c>
      <c r="AI18" s="254">
        <v>1346.2299158395576</v>
      </c>
      <c r="AJ18" s="254">
        <v>1779.6939536959699</v>
      </c>
      <c r="AK18" s="254">
        <v>627.16006338551915</v>
      </c>
      <c r="AL18" s="254">
        <v>582.62794708801721</v>
      </c>
      <c r="AM18" s="254">
        <v>94.00662056683359</v>
      </c>
      <c r="AN18" s="254">
        <v>937.10916949009606</v>
      </c>
      <c r="AO18" s="254">
        <v>619.5742252674645</v>
      </c>
      <c r="AP18" s="254">
        <v>-1594.3673869963122</v>
      </c>
      <c r="AQ18" s="254">
        <v>-183.25120142784999</v>
      </c>
      <c r="AR18" s="254">
        <v>-2053.8171893734643</v>
      </c>
      <c r="AS18" s="254">
        <v>-99.490048650623066</v>
      </c>
      <c r="AT18" s="254">
        <v>-594.7717699603063</v>
      </c>
      <c r="AU18" s="254">
        <v>451.03481251392577</v>
      </c>
      <c r="AV18" s="254">
        <v>-138.98213049796595</v>
      </c>
      <c r="AW18" s="254">
        <v>171.5050302708305</v>
      </c>
      <c r="AX18" s="254">
        <v>-736.74663361324383</v>
      </c>
      <c r="AY18" s="254">
        <v>-309.10885890483996</v>
      </c>
      <c r="BA18" s="92"/>
      <c r="BB18" s="92"/>
    </row>
    <row r="19" spans="2:54">
      <c r="B19" s="230">
        <v>10065</v>
      </c>
      <c r="C19" s="230" t="s">
        <v>22</v>
      </c>
      <c r="D19" s="254">
        <v>-32.192082069102867</v>
      </c>
      <c r="E19" s="254">
        <v>44.656729598200627</v>
      </c>
      <c r="F19" s="254">
        <v>-108.99513892603704</v>
      </c>
      <c r="G19" s="254">
        <v>-48.415350819050786</v>
      </c>
      <c r="H19" s="254">
        <v>534.90904989704882</v>
      </c>
      <c r="I19" s="254">
        <v>238.64193511428005</v>
      </c>
      <c r="J19" s="254">
        <v>790.47810652431815</v>
      </c>
      <c r="K19" s="254">
        <v>514.17751318697492</v>
      </c>
      <c r="L19" s="254">
        <v>889.12843603606814</v>
      </c>
      <c r="M19" s="254">
        <v>511.38152572901424</v>
      </c>
      <c r="N19" s="254">
        <v>557.41572408341824</v>
      </c>
      <c r="O19" s="254">
        <v>356.68878245875328</v>
      </c>
      <c r="P19" s="254">
        <v>395.30149993337795</v>
      </c>
      <c r="Q19" s="254">
        <v>264.15361706545258</v>
      </c>
      <c r="R19" s="254">
        <v>-106.66544727940277</v>
      </c>
      <c r="S19" s="254">
        <v>132.17457756539613</v>
      </c>
      <c r="T19" s="254">
        <v>-310.73251178050089</v>
      </c>
      <c r="U19" s="254">
        <v>96.12049699705517</v>
      </c>
      <c r="V19" s="254">
        <v>-168.40374570477798</v>
      </c>
      <c r="W19" s="254">
        <v>43.226625614299451</v>
      </c>
      <c r="X19" s="254">
        <v>-52.637757048938056</v>
      </c>
      <c r="Y19" s="254">
        <v>91.764283838214851</v>
      </c>
      <c r="Z19" s="254">
        <v>-183.57593740589459</v>
      </c>
      <c r="AA19" s="254">
        <v>-64.02989585923865</v>
      </c>
      <c r="AB19" s="254">
        <v>45.625917930897231</v>
      </c>
      <c r="AC19" s="254">
        <v>95.365729598200801</v>
      </c>
      <c r="AD19" s="254">
        <v>-26.41213892603696</v>
      </c>
      <c r="AE19" s="254">
        <v>6.9176491809492973</v>
      </c>
      <c r="AF19" s="254">
        <v>644.68804989704881</v>
      </c>
      <c r="AG19" s="254">
        <v>310.78993511428018</v>
      </c>
      <c r="AH19" s="254">
        <v>900.92210652431811</v>
      </c>
      <c r="AI19" s="254">
        <v>595.27451318697467</v>
      </c>
      <c r="AJ19" s="254">
        <v>999.55243603606812</v>
      </c>
      <c r="AK19" s="254">
        <v>581.86852572901387</v>
      </c>
      <c r="AL19" s="254">
        <v>665.97172408341805</v>
      </c>
      <c r="AM19" s="254">
        <v>423.45578245875333</v>
      </c>
      <c r="AN19" s="254">
        <v>460.52049993337801</v>
      </c>
      <c r="AO19" s="254">
        <v>342.94261706545234</v>
      </c>
      <c r="AP19" s="254">
        <v>-6.8764472794027824</v>
      </c>
      <c r="AQ19" s="254">
        <v>171.01557756539603</v>
      </c>
      <c r="AR19" s="254">
        <v>-228.86551178050081</v>
      </c>
      <c r="AS19" s="254">
        <v>145.36949699705519</v>
      </c>
      <c r="AT19" s="254">
        <v>-89.496745704777823</v>
      </c>
      <c r="AU19" s="254">
        <v>96.920625614299411</v>
      </c>
      <c r="AV19" s="254">
        <v>34.796242951061686</v>
      </c>
      <c r="AW19" s="254">
        <v>141.95828383821481</v>
      </c>
      <c r="AX19" s="254">
        <v>-112.90093740589441</v>
      </c>
      <c r="AY19" s="254">
        <v>-18.810895859238599</v>
      </c>
      <c r="BA19" s="92"/>
      <c r="BB19" s="92"/>
    </row>
    <row r="20" spans="2:54">
      <c r="B20" s="230">
        <v>10066</v>
      </c>
      <c r="C20" s="230" t="s">
        <v>23</v>
      </c>
      <c r="D20" s="254">
        <v>-1453.9742819384628</v>
      </c>
      <c r="E20" s="254">
        <v>-1401.1432865567267</v>
      </c>
      <c r="F20" s="254">
        <v>-830.39357810408546</v>
      </c>
      <c r="G20" s="254">
        <v>-1190.8222842638133</v>
      </c>
      <c r="H20" s="254">
        <v>3798.4228018999311</v>
      </c>
      <c r="I20" s="254">
        <v>764.75828503977391</v>
      </c>
      <c r="J20" s="254">
        <v>6518.8312103536537</v>
      </c>
      <c r="K20" s="254">
        <v>3540.8277204026408</v>
      </c>
      <c r="L20" s="254">
        <v>5035.8947211288232</v>
      </c>
      <c r="M20" s="254">
        <v>1706.6898744977752</v>
      </c>
      <c r="N20" s="254">
        <v>2278.6915597988846</v>
      </c>
      <c r="O20" s="254">
        <v>312.63158818949614</v>
      </c>
      <c r="P20" s="254">
        <v>2378.460922839563</v>
      </c>
      <c r="Q20" s="254">
        <v>504.07134290045451</v>
      </c>
      <c r="R20" s="254">
        <v>-3710.3866563883166</v>
      </c>
      <c r="S20" s="254">
        <v>-1256.0929348501968</v>
      </c>
      <c r="T20" s="254">
        <v>-5499.9787757816648</v>
      </c>
      <c r="U20" s="254">
        <v>-1745.9406427486274</v>
      </c>
      <c r="V20" s="254">
        <v>-4202.4894930257142</v>
      </c>
      <c r="W20" s="254">
        <v>-2090.4360182432165</v>
      </c>
      <c r="X20" s="254">
        <v>-3620.3058653150874</v>
      </c>
      <c r="Y20" s="254">
        <v>-2423.8135189959503</v>
      </c>
      <c r="Z20" s="254">
        <v>-3193.7878820358837</v>
      </c>
      <c r="AA20" s="254">
        <v>-2543.8256444901044</v>
      </c>
      <c r="AB20" s="254">
        <v>-1220.7672819384625</v>
      </c>
      <c r="AC20" s="254">
        <v>-1267.5422865567261</v>
      </c>
      <c r="AD20" s="254">
        <v>-621.01057810408565</v>
      </c>
      <c r="AE20" s="254">
        <v>-1042.8582842638134</v>
      </c>
      <c r="AF20" s="254">
        <v>4017.5848018999313</v>
      </c>
      <c r="AG20" s="254">
        <v>897.67528503977519</v>
      </c>
      <c r="AH20" s="254">
        <v>6723.8002103536546</v>
      </c>
      <c r="AI20" s="254">
        <v>3676.3647204026393</v>
      </c>
      <c r="AJ20" s="254">
        <v>5223.5027211288234</v>
      </c>
      <c r="AK20" s="254">
        <v>1822.1418744977746</v>
      </c>
      <c r="AL20" s="254">
        <v>2476.6055597988852</v>
      </c>
      <c r="AM20" s="254">
        <v>436.75358818949553</v>
      </c>
      <c r="AN20" s="254">
        <v>2254.7739228395631</v>
      </c>
      <c r="AO20" s="254">
        <v>935.72834290045557</v>
      </c>
      <c r="AP20" s="254">
        <v>-3274.8656563883178</v>
      </c>
      <c r="AQ20" s="254">
        <v>-1381.5589348501971</v>
      </c>
      <c r="AR20" s="254">
        <v>-5305.6807757816641</v>
      </c>
      <c r="AS20" s="254">
        <v>-1643.0756427486267</v>
      </c>
      <c r="AT20" s="254">
        <v>-4066.5914930257131</v>
      </c>
      <c r="AU20" s="254">
        <v>-2011.5430182432165</v>
      </c>
      <c r="AV20" s="254">
        <v>-3541.562865315087</v>
      </c>
      <c r="AW20" s="254">
        <v>-2378.3785189959508</v>
      </c>
      <c r="AX20" s="254">
        <v>-3170.8808820358845</v>
      </c>
      <c r="AY20" s="254">
        <v>-2530.3706444901045</v>
      </c>
      <c r="BA20" s="92"/>
      <c r="BB20" s="92"/>
    </row>
    <row r="21" spans="2:54">
      <c r="B21" s="230">
        <v>10067</v>
      </c>
      <c r="C21" s="230" t="s">
        <v>24</v>
      </c>
      <c r="D21" s="254">
        <v>-81.124034506613498</v>
      </c>
      <c r="E21" s="254">
        <v>-99.301883118354908</v>
      </c>
      <c r="F21" s="254">
        <v>-1645.0155930102101</v>
      </c>
      <c r="G21" s="254">
        <v>-836.61356181915562</v>
      </c>
      <c r="H21" s="254">
        <v>489.49584662729558</v>
      </c>
      <c r="I21" s="254">
        <v>-3.2253359995111168</v>
      </c>
      <c r="J21" s="254">
        <v>2186.2117314914394</v>
      </c>
      <c r="K21" s="254">
        <v>980.74750768098056</v>
      </c>
      <c r="L21" s="254">
        <v>1950.6304654992127</v>
      </c>
      <c r="M21" s="254">
        <v>766.25280406250613</v>
      </c>
      <c r="N21" s="254">
        <v>310.46444491250259</v>
      </c>
      <c r="O21" s="254">
        <v>87.415628010440741</v>
      </c>
      <c r="P21" s="254">
        <v>1120.6459259007424</v>
      </c>
      <c r="Q21" s="254">
        <v>513.48805822156419</v>
      </c>
      <c r="R21" s="254">
        <v>-2479.5935281152551</v>
      </c>
      <c r="S21" s="254">
        <v>-717.46040056140691</v>
      </c>
      <c r="T21" s="254">
        <v>-3047.1271383604562</v>
      </c>
      <c r="U21" s="254">
        <v>-369.9561744163816</v>
      </c>
      <c r="V21" s="254">
        <v>-2171.3839867227834</v>
      </c>
      <c r="W21" s="254">
        <v>-545.82889381969744</v>
      </c>
      <c r="X21" s="254">
        <v>-1285.1734524449412</v>
      </c>
      <c r="Y21" s="254">
        <v>-304.48312432184821</v>
      </c>
      <c r="Z21" s="254">
        <v>-1521.685449069565</v>
      </c>
      <c r="AA21" s="254">
        <v>-667.13283559703814</v>
      </c>
      <c r="AB21" s="254">
        <v>-77.253034506612494</v>
      </c>
      <c r="AC21" s="254">
        <v>-108.85988311835536</v>
      </c>
      <c r="AD21" s="254">
        <v>-1635.0665930102105</v>
      </c>
      <c r="AE21" s="254">
        <v>-836.61056181915683</v>
      </c>
      <c r="AF21" s="254">
        <v>506.67484662729657</v>
      </c>
      <c r="AG21" s="254">
        <v>4.6376640004882574</v>
      </c>
      <c r="AH21" s="254">
        <v>2204.4027314914392</v>
      </c>
      <c r="AI21" s="254">
        <v>984.22950768098053</v>
      </c>
      <c r="AJ21" s="254">
        <v>1963.4304654992138</v>
      </c>
      <c r="AK21" s="254">
        <v>769.00380406250542</v>
      </c>
      <c r="AL21" s="254">
        <v>313.76344491250256</v>
      </c>
      <c r="AM21" s="254">
        <v>83.930628010440159</v>
      </c>
      <c r="AN21" s="254">
        <v>1158.0819259007421</v>
      </c>
      <c r="AO21" s="254">
        <v>467.13305822156372</v>
      </c>
      <c r="AP21" s="254">
        <v>-2516.3805281152545</v>
      </c>
      <c r="AQ21" s="254">
        <v>-690.87440056140713</v>
      </c>
      <c r="AR21" s="254">
        <v>-3048.7571383604563</v>
      </c>
      <c r="AS21" s="254">
        <v>-379.76317441638184</v>
      </c>
      <c r="AT21" s="254">
        <v>-2171.9319867227832</v>
      </c>
      <c r="AU21" s="254">
        <v>-558.59189381969691</v>
      </c>
      <c r="AV21" s="254">
        <v>-1282.6254524449414</v>
      </c>
      <c r="AW21" s="254">
        <v>-312.66412432184916</v>
      </c>
      <c r="AX21" s="254">
        <v>-1523.381449069565</v>
      </c>
      <c r="AY21" s="254">
        <v>-677.31883559703783</v>
      </c>
      <c r="BA21" s="92"/>
      <c r="BB21" s="92"/>
    </row>
    <row r="22" spans="2:54">
      <c r="B22" s="230">
        <v>10068</v>
      </c>
      <c r="C22" s="230" t="s">
        <v>25</v>
      </c>
      <c r="D22" s="254">
        <v>-45.769698660992617</v>
      </c>
      <c r="E22" s="254">
        <v>0.2575437617716716</v>
      </c>
      <c r="F22" s="254">
        <v>-185.1253290444788</v>
      </c>
      <c r="G22" s="254">
        <v>-66.787799583490369</v>
      </c>
      <c r="H22" s="254">
        <v>228.62570767875241</v>
      </c>
      <c r="I22" s="254">
        <v>81.959593300914207</v>
      </c>
      <c r="J22" s="254">
        <v>457.40891160467936</v>
      </c>
      <c r="K22" s="254">
        <v>229.85874997848055</v>
      </c>
      <c r="L22" s="254">
        <v>342.25898624490935</v>
      </c>
      <c r="M22" s="254">
        <v>127.95888695473741</v>
      </c>
      <c r="N22" s="254">
        <v>85.784175720990561</v>
      </c>
      <c r="O22" s="254">
        <v>57.095633201362716</v>
      </c>
      <c r="P22" s="254">
        <v>148.93337102583064</v>
      </c>
      <c r="Q22" s="254">
        <v>82.051872700485319</v>
      </c>
      <c r="R22" s="254">
        <v>-448.24922776796689</v>
      </c>
      <c r="S22" s="254">
        <v>-87.289515419121585</v>
      </c>
      <c r="T22" s="254">
        <v>-583.98711843554042</v>
      </c>
      <c r="U22" s="254">
        <v>-72.096773697747835</v>
      </c>
      <c r="V22" s="254">
        <v>-309.36489686470463</v>
      </c>
      <c r="W22" s="254">
        <v>-37.843633134614606</v>
      </c>
      <c r="X22" s="254">
        <v>-268.89609276479632</v>
      </c>
      <c r="Y22" s="254">
        <v>-57.887197864490759</v>
      </c>
      <c r="Z22" s="254">
        <v>-287.09294310984626</v>
      </c>
      <c r="AA22" s="254">
        <v>-102.20905577281076</v>
      </c>
      <c r="AB22" s="254">
        <v>-48.106330872620902</v>
      </c>
      <c r="AC22" s="254">
        <v>-1.04896356321035</v>
      </c>
      <c r="AD22" s="254">
        <v>-187.95568518092296</v>
      </c>
      <c r="AE22" s="254">
        <v>-68.569790319026993</v>
      </c>
      <c r="AF22" s="254">
        <v>226.04660949020968</v>
      </c>
      <c r="AG22" s="254">
        <v>80.024125371277933</v>
      </c>
      <c r="AH22" s="254">
        <v>455.28764782451742</v>
      </c>
      <c r="AI22" s="254">
        <v>228.25117412623706</v>
      </c>
      <c r="AJ22" s="254">
        <v>340.38163414757901</v>
      </c>
      <c r="AK22" s="254">
        <v>126.60437201735476</v>
      </c>
      <c r="AL22" s="254">
        <v>83.41470431994162</v>
      </c>
      <c r="AM22" s="254">
        <v>55.6069080037596</v>
      </c>
      <c r="AN22" s="254">
        <v>147.08752011982153</v>
      </c>
      <c r="AO22" s="254">
        <v>80.902347585107805</v>
      </c>
      <c r="AP22" s="254">
        <v>-451.04579550727044</v>
      </c>
      <c r="AQ22" s="254">
        <v>-88.643063200373945</v>
      </c>
      <c r="AR22" s="254">
        <v>-587.14946476587716</v>
      </c>
      <c r="AS22" s="254">
        <v>-73.368912701021827</v>
      </c>
      <c r="AT22" s="254">
        <v>-312.16916831277058</v>
      </c>
      <c r="AU22" s="254">
        <v>-39.249704710226524</v>
      </c>
      <c r="AV22" s="254">
        <v>-271.63630008775181</v>
      </c>
      <c r="AW22" s="254">
        <v>-59.215962262855442</v>
      </c>
      <c r="AX22" s="254">
        <v>-289.49269110487046</v>
      </c>
      <c r="AY22" s="254">
        <v>-103.5694618217783</v>
      </c>
      <c r="BA22" s="92"/>
      <c r="BB22" s="92"/>
    </row>
    <row r="23" spans="2:54">
      <c r="B23" s="230">
        <v>10070</v>
      </c>
      <c r="C23" s="230" t="s">
        <v>26</v>
      </c>
      <c r="D23" s="254">
        <v>7.1928545615965902</v>
      </c>
      <c r="E23" s="254">
        <v>14.855784863642995</v>
      </c>
      <c r="F23" s="254">
        <v>-10.977614664219431</v>
      </c>
      <c r="G23" s="254">
        <v>0.88458829341320211</v>
      </c>
      <c r="H23" s="254">
        <v>54.073265027532187</v>
      </c>
      <c r="I23" s="254">
        <v>29.870786468088582</v>
      </c>
      <c r="J23" s="254">
        <v>78.952749959713003</v>
      </c>
      <c r="K23" s="254">
        <v>59.824933382531398</v>
      </c>
      <c r="L23" s="254">
        <v>62.695141819519634</v>
      </c>
      <c r="M23" s="254">
        <v>32.815301476192204</v>
      </c>
      <c r="N23" s="254">
        <v>24.669566033375816</v>
      </c>
      <c r="O23" s="254">
        <v>16.864949952196795</v>
      </c>
      <c r="P23" s="254">
        <v>39.400467468415798</v>
      </c>
      <c r="Q23" s="254">
        <v>22.658155173522402</v>
      </c>
      <c r="R23" s="254">
        <v>-39.148051445778606</v>
      </c>
      <c r="S23" s="254">
        <v>10.754715890472596</v>
      </c>
      <c r="T23" s="254">
        <v>-61.547991976386811</v>
      </c>
      <c r="U23" s="254">
        <v>3.3811732921009963</v>
      </c>
      <c r="V23" s="254">
        <v>-29.268236952190989</v>
      </c>
      <c r="W23" s="254">
        <v>11.444454948637997</v>
      </c>
      <c r="X23" s="254">
        <v>-12.937165007680591</v>
      </c>
      <c r="Y23" s="254">
        <v>4.3544607038352012</v>
      </c>
      <c r="Z23" s="254">
        <v>-10.089997684049393</v>
      </c>
      <c r="AA23" s="254">
        <v>-0.39678410944259213</v>
      </c>
      <c r="AB23" s="254">
        <v>7.3478545615965913</v>
      </c>
      <c r="AC23" s="254">
        <v>14.953784863642994</v>
      </c>
      <c r="AD23" s="254">
        <v>-10.808614664219419</v>
      </c>
      <c r="AE23" s="254">
        <v>0.99858829341320643</v>
      </c>
      <c r="AF23" s="254">
        <v>54.291265027532177</v>
      </c>
      <c r="AG23" s="254">
        <v>30.023786468088574</v>
      </c>
      <c r="AH23" s="254">
        <v>79.165749959713025</v>
      </c>
      <c r="AI23" s="254">
        <v>59.986933382531404</v>
      </c>
      <c r="AJ23" s="254">
        <v>62.876141819519617</v>
      </c>
      <c r="AK23" s="254">
        <v>32.934301476192203</v>
      </c>
      <c r="AL23" s="254">
        <v>24.844566033375827</v>
      </c>
      <c r="AM23" s="254">
        <v>16.97694995219679</v>
      </c>
      <c r="AN23" s="254">
        <v>33.873467468415811</v>
      </c>
      <c r="AO23" s="254">
        <v>28.437155173522399</v>
      </c>
      <c r="AP23" s="254">
        <v>-33.883051445778591</v>
      </c>
      <c r="AQ23" s="254">
        <v>5.7237158904726044</v>
      </c>
      <c r="AR23" s="254">
        <v>-61.408991976386801</v>
      </c>
      <c r="AS23" s="254">
        <v>3.4651732921009852</v>
      </c>
      <c r="AT23" s="254">
        <v>-29.119236952190988</v>
      </c>
      <c r="AU23" s="254">
        <v>11.545454948637996</v>
      </c>
      <c r="AV23" s="254">
        <v>-12.776165007680589</v>
      </c>
      <c r="AW23" s="254">
        <v>4.4434607038351999</v>
      </c>
      <c r="AX23" s="254">
        <v>-9.9479976840493975</v>
      </c>
      <c r="AY23" s="254">
        <v>-0.3107841094425936</v>
      </c>
      <c r="BA23" s="92"/>
      <c r="BB23" s="92"/>
    </row>
    <row r="24" spans="2:54">
      <c r="B24" s="230">
        <v>10071</v>
      </c>
      <c r="C24" s="230" t="s">
        <v>27</v>
      </c>
      <c r="D24" s="254">
        <v>22.178759284426064</v>
      </c>
      <c r="E24" s="254">
        <v>49.474330246724719</v>
      </c>
      <c r="F24" s="254">
        <v>-123.71093573759606</v>
      </c>
      <c r="G24" s="254">
        <v>-69.071110505032948</v>
      </c>
      <c r="H24" s="254">
        <v>274.02310135755886</v>
      </c>
      <c r="I24" s="254">
        <v>74.014305344464901</v>
      </c>
      <c r="J24" s="254">
        <v>393.28473649760224</v>
      </c>
      <c r="K24" s="254">
        <v>232.98773307095007</v>
      </c>
      <c r="L24" s="254">
        <v>292.23430801716097</v>
      </c>
      <c r="M24" s="254">
        <v>107.10075059440368</v>
      </c>
      <c r="N24" s="254">
        <v>185.33437896945247</v>
      </c>
      <c r="O24" s="254">
        <v>73.261248662215678</v>
      </c>
      <c r="P24" s="254">
        <v>221.55127422613248</v>
      </c>
      <c r="Q24" s="254">
        <v>103.31467652641578</v>
      </c>
      <c r="R24" s="254">
        <v>-258.17189265650734</v>
      </c>
      <c r="S24" s="254">
        <v>-7.4505043719070159</v>
      </c>
      <c r="T24" s="254">
        <v>-381.06711269288314</v>
      </c>
      <c r="U24" s="254">
        <v>-52.933104734476728</v>
      </c>
      <c r="V24" s="254">
        <v>-281.57448696336564</v>
      </c>
      <c r="W24" s="254">
        <v>-59.680505185516438</v>
      </c>
      <c r="X24" s="254">
        <v>-192.36175656657883</v>
      </c>
      <c r="Y24" s="254">
        <v>-64.440035495871484</v>
      </c>
      <c r="Z24" s="254">
        <v>-148.29660181389352</v>
      </c>
      <c r="AA24" s="254">
        <v>-73.33159984389539</v>
      </c>
      <c r="AB24" s="254">
        <v>22.178759284426064</v>
      </c>
      <c r="AC24" s="254">
        <v>49.474330246724719</v>
      </c>
      <c r="AD24" s="254">
        <v>-123.71093573759606</v>
      </c>
      <c r="AE24" s="254">
        <v>-69.071110505032948</v>
      </c>
      <c r="AF24" s="254">
        <v>274.02310135755886</v>
      </c>
      <c r="AG24" s="254">
        <v>74.014305344464901</v>
      </c>
      <c r="AH24" s="254">
        <v>393.28473649760224</v>
      </c>
      <c r="AI24" s="254">
        <v>232.98773307095007</v>
      </c>
      <c r="AJ24" s="254">
        <v>292.23430801716097</v>
      </c>
      <c r="AK24" s="254">
        <v>107.10075059440368</v>
      </c>
      <c r="AL24" s="254">
        <v>185.33437896945247</v>
      </c>
      <c r="AM24" s="254">
        <v>73.261248662215678</v>
      </c>
      <c r="AN24" s="254">
        <v>192.60427422613247</v>
      </c>
      <c r="AO24" s="254">
        <v>132.26267652641576</v>
      </c>
      <c r="AP24" s="254">
        <v>-234.32189265650732</v>
      </c>
      <c r="AQ24" s="254">
        <v>-31.300504371907039</v>
      </c>
      <c r="AR24" s="254">
        <v>-381.06711269288314</v>
      </c>
      <c r="AS24" s="254">
        <v>-52.933104734476728</v>
      </c>
      <c r="AT24" s="254">
        <v>-281.57448696336564</v>
      </c>
      <c r="AU24" s="254">
        <v>-59.680505185516438</v>
      </c>
      <c r="AV24" s="254">
        <v>-192.36175656657883</v>
      </c>
      <c r="AW24" s="254">
        <v>-64.440035495871484</v>
      </c>
      <c r="AX24" s="254">
        <v>-148.29660181389352</v>
      </c>
      <c r="AY24" s="254">
        <v>-73.33159984389539</v>
      </c>
      <c r="BA24" s="92"/>
      <c r="BB24" s="92"/>
    </row>
    <row r="25" spans="2:54">
      <c r="B25" s="230">
        <v>10072</v>
      </c>
      <c r="C25" s="230" t="s">
        <v>28</v>
      </c>
      <c r="D25" s="254">
        <v>508.106261637442</v>
      </c>
      <c r="E25" s="254">
        <v>442.21640545140963</v>
      </c>
      <c r="F25" s="254">
        <v>-1963.6987992064805</v>
      </c>
      <c r="G25" s="254">
        <v>-956.55767235371604</v>
      </c>
      <c r="H25" s="254">
        <v>1473.5881896358114</v>
      </c>
      <c r="I25" s="254">
        <v>485.41763869348142</v>
      </c>
      <c r="J25" s="254">
        <v>4211.4952532123079</v>
      </c>
      <c r="K25" s="254">
        <v>2153.7885072259178</v>
      </c>
      <c r="L25" s="254">
        <v>2501.8733468324535</v>
      </c>
      <c r="M25" s="254">
        <v>548.8690908100134</v>
      </c>
      <c r="N25" s="254">
        <v>382.21190254614703</v>
      </c>
      <c r="O25" s="254">
        <v>161.74153617441516</v>
      </c>
      <c r="P25" s="254">
        <v>1646.1059039909469</v>
      </c>
      <c r="Q25" s="254">
        <v>809.14388522208719</v>
      </c>
      <c r="R25" s="254">
        <v>-3457.7730533437843</v>
      </c>
      <c r="S25" s="254">
        <v>-542.98633141643859</v>
      </c>
      <c r="T25" s="254">
        <v>-4749.425172279718</v>
      </c>
      <c r="U25" s="254">
        <v>-423.86806889813033</v>
      </c>
      <c r="V25" s="254">
        <v>-2485.344297040172</v>
      </c>
      <c r="W25" s="254">
        <v>-228.3108384729403</v>
      </c>
      <c r="X25" s="254">
        <v>-1889.5160859465213</v>
      </c>
      <c r="Y25" s="254">
        <v>-264.43787105857518</v>
      </c>
      <c r="Z25" s="254">
        <v>-2507.4422388785797</v>
      </c>
      <c r="AA25" s="254">
        <v>-870.71567786746073</v>
      </c>
      <c r="AB25" s="254">
        <v>510.54526163744413</v>
      </c>
      <c r="AC25" s="254">
        <v>437.39140545140981</v>
      </c>
      <c r="AD25" s="254">
        <v>-1961.2687992064803</v>
      </c>
      <c r="AE25" s="254">
        <v>-959.01467235371638</v>
      </c>
      <c r="AF25" s="254">
        <v>1482.0131896358125</v>
      </c>
      <c r="AG25" s="254">
        <v>488.75963869348016</v>
      </c>
      <c r="AH25" s="254">
        <v>4223.411253212309</v>
      </c>
      <c r="AI25" s="254">
        <v>2156.8325072259177</v>
      </c>
      <c r="AJ25" s="254">
        <v>2506.6863468324536</v>
      </c>
      <c r="AK25" s="254">
        <v>547.78209081001387</v>
      </c>
      <c r="AL25" s="254">
        <v>383.56690254614659</v>
      </c>
      <c r="AM25" s="254">
        <v>159.59253617441573</v>
      </c>
      <c r="AN25" s="254">
        <v>1674.0869039909467</v>
      </c>
      <c r="AO25" s="254">
        <v>776.74388522208756</v>
      </c>
      <c r="AP25" s="254">
        <v>-3488.6230533437829</v>
      </c>
      <c r="AQ25" s="254">
        <v>-522.90633141643775</v>
      </c>
      <c r="AR25" s="254">
        <v>-4752.2341722797155</v>
      </c>
      <c r="AS25" s="254">
        <v>-430.04506889813092</v>
      </c>
      <c r="AT25" s="254">
        <v>-2484.8062970401716</v>
      </c>
      <c r="AU25" s="254">
        <v>-234.98283847293987</v>
      </c>
      <c r="AV25" s="254">
        <v>-1890.2310859465215</v>
      </c>
      <c r="AW25" s="254">
        <v>-269.97687105857494</v>
      </c>
      <c r="AX25" s="254">
        <v>-2512.1292388785796</v>
      </c>
      <c r="AY25" s="254">
        <v>-878.21967786746063</v>
      </c>
      <c r="BA25" s="92"/>
      <c r="BB25" s="92"/>
    </row>
    <row r="26" spans="2:54">
      <c r="B26" s="230">
        <v>10074</v>
      </c>
      <c r="C26" s="230" t="s">
        <v>29</v>
      </c>
      <c r="D26" s="254">
        <v>444.27814350552035</v>
      </c>
      <c r="E26" s="254">
        <v>371.74221752563608</v>
      </c>
      <c r="F26" s="254">
        <v>-1830.0502379098471</v>
      </c>
      <c r="G26" s="254">
        <v>-1515.0804950983656</v>
      </c>
      <c r="H26" s="254">
        <v>2680.9416427859196</v>
      </c>
      <c r="I26" s="254">
        <v>-136.72609818151432</v>
      </c>
      <c r="J26" s="254">
        <v>4403.9953242673946</v>
      </c>
      <c r="K26" s="254">
        <v>2099.5341968350076</v>
      </c>
      <c r="L26" s="254">
        <v>3682.4657133206892</v>
      </c>
      <c r="M26" s="254">
        <v>780.31126510820832</v>
      </c>
      <c r="N26" s="254">
        <v>2216.0527567697591</v>
      </c>
      <c r="O26" s="254">
        <v>402.47198236978693</v>
      </c>
      <c r="P26" s="254">
        <v>3290.096902281799</v>
      </c>
      <c r="Q26" s="254">
        <v>1191.9905707110165</v>
      </c>
      <c r="R26" s="254">
        <v>-3649.2228617634901</v>
      </c>
      <c r="S26" s="254">
        <v>-656.16297738242883</v>
      </c>
      <c r="T26" s="254">
        <v>-5123.9694248894139</v>
      </c>
      <c r="U26" s="254">
        <v>-1093.1384950876927</v>
      </c>
      <c r="V26" s="254">
        <v>-2718.2675152847096</v>
      </c>
      <c r="W26" s="254">
        <v>-429.16929266852367</v>
      </c>
      <c r="X26" s="254">
        <v>-1269.8676604039301</v>
      </c>
      <c r="Y26" s="254">
        <v>-590.14715792715469</v>
      </c>
      <c r="Z26" s="254">
        <v>-1204.8978120008651</v>
      </c>
      <c r="AA26" s="254">
        <v>-821.85971851785234</v>
      </c>
      <c r="AB26" s="254">
        <v>485.59414350552106</v>
      </c>
      <c r="AC26" s="254">
        <v>391.32221752563601</v>
      </c>
      <c r="AD26" s="254">
        <v>-1789.6252379098478</v>
      </c>
      <c r="AE26" s="254">
        <v>-1494.3774950983652</v>
      </c>
      <c r="AF26" s="254">
        <v>2710.8336427859231</v>
      </c>
      <c r="AG26" s="254">
        <v>-122.38409818151376</v>
      </c>
      <c r="AH26" s="254">
        <v>4434.4503242673945</v>
      </c>
      <c r="AI26" s="254">
        <v>2116.1891968350064</v>
      </c>
      <c r="AJ26" s="254">
        <v>3724.0037133206879</v>
      </c>
      <c r="AK26" s="254">
        <v>800.94026510820822</v>
      </c>
      <c r="AL26" s="254">
        <v>2251.8767567697614</v>
      </c>
      <c r="AM26" s="254">
        <v>418.70898236978792</v>
      </c>
      <c r="AN26" s="254">
        <v>2895.0199022817997</v>
      </c>
      <c r="AO26" s="254">
        <v>1642.1975707110169</v>
      </c>
      <c r="AP26" s="254">
        <v>-3256.6358617634905</v>
      </c>
      <c r="AQ26" s="254">
        <v>-978.60797738242945</v>
      </c>
      <c r="AR26" s="254">
        <v>-5079.0394248894136</v>
      </c>
      <c r="AS26" s="254">
        <v>-1073.7534950876925</v>
      </c>
      <c r="AT26" s="254">
        <v>-2678.3695152847104</v>
      </c>
      <c r="AU26" s="254">
        <v>-410.10529266852427</v>
      </c>
      <c r="AV26" s="254">
        <v>-1230.0506604039292</v>
      </c>
      <c r="AW26" s="254">
        <v>-575.08915792715379</v>
      </c>
      <c r="AX26" s="254">
        <v>-1162.7728120008651</v>
      </c>
      <c r="AY26" s="254">
        <v>-802.77071851785331</v>
      </c>
      <c r="BA26" s="92"/>
      <c r="BB26" s="92"/>
    </row>
    <row r="27" spans="2:54">
      <c r="B27" s="230">
        <v>10076</v>
      </c>
      <c r="C27" s="230" t="s">
        <v>30</v>
      </c>
      <c r="D27" s="254">
        <v>-167.51603943966461</v>
      </c>
      <c r="E27" s="254">
        <v>110.76419203722185</v>
      </c>
      <c r="F27" s="254">
        <v>-482.84140083590682</v>
      </c>
      <c r="G27" s="254">
        <v>-128.21785088706429</v>
      </c>
      <c r="H27" s="254">
        <v>371.59540699369518</v>
      </c>
      <c r="I27" s="254">
        <v>146.08765649376414</v>
      </c>
      <c r="J27" s="254">
        <v>658.24546943937457</v>
      </c>
      <c r="K27" s="254">
        <v>587.15463898080043</v>
      </c>
      <c r="L27" s="254">
        <v>542.90866801366815</v>
      </c>
      <c r="M27" s="254">
        <v>326.70670151399031</v>
      </c>
      <c r="N27" s="254">
        <v>55.54244668042611</v>
      </c>
      <c r="O27" s="254">
        <v>96.061678393571583</v>
      </c>
      <c r="P27" s="254">
        <v>238.56437126390597</v>
      </c>
      <c r="Q27" s="254">
        <v>171.35914850117354</v>
      </c>
      <c r="R27" s="254">
        <v>-696.6185687237321</v>
      </c>
      <c r="S27" s="254">
        <v>42.133323009672267</v>
      </c>
      <c r="T27" s="254">
        <v>-769.05253990341475</v>
      </c>
      <c r="U27" s="254">
        <v>29.180482333505324</v>
      </c>
      <c r="V27" s="254">
        <v>-387.80094340727373</v>
      </c>
      <c r="W27" s="254">
        <v>156.35322284381868</v>
      </c>
      <c r="X27" s="254">
        <v>-394.66726873501852</v>
      </c>
      <c r="Y27" s="254">
        <v>-67.251745155787376</v>
      </c>
      <c r="Z27" s="254">
        <v>-436.92013425767936</v>
      </c>
      <c r="AA27" s="254">
        <v>-138.77920750099975</v>
      </c>
      <c r="AB27" s="254">
        <v>-168.04803943966454</v>
      </c>
      <c r="AC27" s="254">
        <v>109.46019203722199</v>
      </c>
      <c r="AD27" s="254">
        <v>-482.58340083590724</v>
      </c>
      <c r="AE27" s="254">
        <v>-128.67485088706417</v>
      </c>
      <c r="AF27" s="254">
        <v>374.69440699369488</v>
      </c>
      <c r="AG27" s="254">
        <v>147.5426564937643</v>
      </c>
      <c r="AH27" s="254">
        <v>661.14546943937421</v>
      </c>
      <c r="AI27" s="254">
        <v>588.9636389808004</v>
      </c>
      <c r="AJ27" s="254">
        <v>544.43466801366799</v>
      </c>
      <c r="AK27" s="254">
        <v>327.3227015139903</v>
      </c>
      <c r="AL27" s="254">
        <v>55.869446680425881</v>
      </c>
      <c r="AM27" s="254">
        <v>95.750678393571434</v>
      </c>
      <c r="AN27" s="254">
        <v>169.17237126390569</v>
      </c>
      <c r="AO27" s="254">
        <v>238.79814850117384</v>
      </c>
      <c r="AP27" s="254">
        <v>-632.58756872373215</v>
      </c>
      <c r="AQ27" s="254">
        <v>-24.605676990327538</v>
      </c>
      <c r="AR27" s="254">
        <v>-769.23553990341452</v>
      </c>
      <c r="AS27" s="254">
        <v>27.829482333505439</v>
      </c>
      <c r="AT27" s="254">
        <v>-387.18994340727363</v>
      </c>
      <c r="AU27" s="254">
        <v>155.3472228438186</v>
      </c>
      <c r="AV27" s="254">
        <v>-395.10326873501845</v>
      </c>
      <c r="AW27" s="254">
        <v>-68.96774515578727</v>
      </c>
      <c r="AX27" s="254">
        <v>-438.32113425767943</v>
      </c>
      <c r="AY27" s="254">
        <v>-140.98120750099997</v>
      </c>
      <c r="BA27" s="92"/>
      <c r="BB27" s="92"/>
    </row>
    <row r="28" spans="2:54">
      <c r="B28" s="230">
        <v>10078</v>
      </c>
      <c r="C28" s="230" t="s">
        <v>31</v>
      </c>
      <c r="D28" s="254">
        <v>230.50500474851287</v>
      </c>
      <c r="E28" s="254">
        <v>38.492180161843862</v>
      </c>
      <c r="F28" s="254">
        <v>75.368662219584621</v>
      </c>
      <c r="G28" s="254">
        <v>-89.152903983214401</v>
      </c>
      <c r="H28" s="254">
        <v>560.88639193883751</v>
      </c>
      <c r="I28" s="254">
        <v>41.012102299248681</v>
      </c>
      <c r="J28" s="254">
        <v>990.73443265340393</v>
      </c>
      <c r="K28" s="254">
        <v>399.15808922371116</v>
      </c>
      <c r="L28" s="254">
        <v>821.14131995659682</v>
      </c>
      <c r="M28" s="254">
        <v>221.68517120211754</v>
      </c>
      <c r="N28" s="254">
        <v>457.26881810962664</v>
      </c>
      <c r="O28" s="254">
        <v>49.265819977094338</v>
      </c>
      <c r="P28" s="254">
        <v>598.5071038459464</v>
      </c>
      <c r="Q28" s="254">
        <v>148.64647408153917</v>
      </c>
      <c r="R28" s="254">
        <v>-480.32657246176882</v>
      </c>
      <c r="S28" s="254">
        <v>-151.11944006407919</v>
      </c>
      <c r="T28" s="254">
        <v>-690.46888536161441</v>
      </c>
      <c r="U28" s="254">
        <v>-214.12246415429195</v>
      </c>
      <c r="V28" s="254">
        <v>-558.11361282742791</v>
      </c>
      <c r="W28" s="254">
        <v>-251.92909675269607</v>
      </c>
      <c r="X28" s="254">
        <v>-401.44541850478458</v>
      </c>
      <c r="Y28" s="254">
        <v>-269.12897412403834</v>
      </c>
      <c r="Z28" s="254">
        <v>-240.49218072605549</v>
      </c>
      <c r="AA28" s="254">
        <v>-256.46118022068072</v>
      </c>
      <c r="AB28" s="254">
        <v>254.45500474851292</v>
      </c>
      <c r="AC28" s="254">
        <v>50.659180161843892</v>
      </c>
      <c r="AD28" s="254">
        <v>102.1536622195847</v>
      </c>
      <c r="AE28" s="254">
        <v>-74.176903983214288</v>
      </c>
      <c r="AF28" s="254">
        <v>590.79839193883731</v>
      </c>
      <c r="AG28" s="254">
        <v>58.427102299248645</v>
      </c>
      <c r="AH28" s="254">
        <v>1022.7484326534041</v>
      </c>
      <c r="AI28" s="254">
        <v>418.70208922371125</v>
      </c>
      <c r="AJ28" s="254">
        <v>851.60531995659676</v>
      </c>
      <c r="AK28" s="254">
        <v>238.17217120211762</v>
      </c>
      <c r="AL28" s="254">
        <v>485.46181810962662</v>
      </c>
      <c r="AM28" s="254">
        <v>63.650819977094329</v>
      </c>
      <c r="AN28" s="254">
        <v>567.61210384594642</v>
      </c>
      <c r="AO28" s="254">
        <v>219.15447408153921</v>
      </c>
      <c r="AP28" s="254">
        <v>-419.66557246176876</v>
      </c>
      <c r="AQ28" s="254">
        <v>-184.1764400640792</v>
      </c>
      <c r="AR28" s="254">
        <v>-672.63588536161433</v>
      </c>
      <c r="AS28" s="254">
        <v>-206.13246415429205</v>
      </c>
      <c r="AT28" s="254">
        <v>-544.18961282742794</v>
      </c>
      <c r="AU28" s="254">
        <v>-244.64509675269608</v>
      </c>
      <c r="AV28" s="254">
        <v>-387.19241850478465</v>
      </c>
      <c r="AW28" s="254">
        <v>-262.97397412403836</v>
      </c>
      <c r="AX28" s="254">
        <v>-225.09518072605533</v>
      </c>
      <c r="AY28" s="254">
        <v>-249.11418022068074</v>
      </c>
      <c r="BA28" s="92"/>
      <c r="BB28" s="92"/>
    </row>
    <row r="29" spans="2:54">
      <c r="B29" s="230">
        <v>10079</v>
      </c>
      <c r="C29" s="230" t="s">
        <v>32</v>
      </c>
      <c r="D29" s="254">
        <v>-606.43132286963373</v>
      </c>
      <c r="E29" s="254">
        <v>395.74600033997558</v>
      </c>
      <c r="F29" s="254">
        <v>-4326.0408529783381</v>
      </c>
      <c r="G29" s="254">
        <v>-3387.6269007523879</v>
      </c>
      <c r="H29" s="254">
        <v>2940.214720489952</v>
      </c>
      <c r="I29" s="254">
        <v>-3751.759630743687</v>
      </c>
      <c r="J29" s="254">
        <v>10162.869044573941</v>
      </c>
      <c r="K29" s="254">
        <v>3817.7641644303731</v>
      </c>
      <c r="L29" s="254">
        <v>11260.917259401205</v>
      </c>
      <c r="M29" s="254">
        <v>2842.6522947816229</v>
      </c>
      <c r="N29" s="254">
        <v>4705.857561140394</v>
      </c>
      <c r="O29" s="254">
        <v>494.53454121558025</v>
      </c>
      <c r="P29" s="254">
        <v>9409.2490855268734</v>
      </c>
      <c r="Q29" s="254">
        <v>3576.3611802114756</v>
      </c>
      <c r="R29" s="254">
        <v>-8039.9838377614724</v>
      </c>
      <c r="S29" s="254">
        <v>521.17464514352469</v>
      </c>
      <c r="T29" s="254">
        <v>-13088.377092097493</v>
      </c>
      <c r="U29" s="254">
        <v>-438.02553608344897</v>
      </c>
      <c r="V29" s="254">
        <v>-7691.4322473205029</v>
      </c>
      <c r="W29" s="254">
        <v>-289.58901921552024</v>
      </c>
      <c r="X29" s="254">
        <v>-4892.5779941257206</v>
      </c>
      <c r="Y29" s="254">
        <v>-800.64414566039704</v>
      </c>
      <c r="Z29" s="254">
        <v>-2263.4437260264167</v>
      </c>
      <c r="AA29" s="254">
        <v>-550.37744735603701</v>
      </c>
      <c r="AB29" s="254">
        <v>-608.65697912314499</v>
      </c>
      <c r="AC29" s="254">
        <v>397.28721466567731</v>
      </c>
      <c r="AD29" s="254">
        <v>-4337.9757422996699</v>
      </c>
      <c r="AE29" s="254">
        <v>-3395.9655394383226</v>
      </c>
      <c r="AF29" s="254">
        <v>2947.8098911367852</v>
      </c>
      <c r="AG29" s="254">
        <v>-3760.441879999511</v>
      </c>
      <c r="AH29" s="254">
        <v>10188.318757147626</v>
      </c>
      <c r="AI29" s="254">
        <v>3828.0377061928702</v>
      </c>
      <c r="AJ29" s="254">
        <v>11288.657527605323</v>
      </c>
      <c r="AK29" s="254">
        <v>2849.8692122236971</v>
      </c>
      <c r="AL29" s="254">
        <v>4716.201176499475</v>
      </c>
      <c r="AM29" s="254">
        <v>495.4032585090572</v>
      </c>
      <c r="AN29" s="254">
        <v>8469.3319001925156</v>
      </c>
      <c r="AO29" s="254">
        <v>4540.7797007117479</v>
      </c>
      <c r="AP29" s="254">
        <v>-7184.9169795943089</v>
      </c>
      <c r="AQ29" s="254">
        <v>-346.51571832532136</v>
      </c>
      <c r="AR29" s="254">
        <v>-13121.747598980633</v>
      </c>
      <c r="AS29" s="254">
        <v>-437.83995721113752</v>
      </c>
      <c r="AT29" s="254">
        <v>-7711.6778337950745</v>
      </c>
      <c r="AU29" s="254">
        <v>-289.43581066438855</v>
      </c>
      <c r="AV29" s="254">
        <v>-4905.2510797209907</v>
      </c>
      <c r="AW29" s="254">
        <v>-801.72195719662341</v>
      </c>
      <c r="AX29" s="254">
        <v>-2270.2958978323732</v>
      </c>
      <c r="AY29" s="254">
        <v>-551.59428326577108</v>
      </c>
      <c r="BA29" s="92"/>
      <c r="BB29" s="92"/>
    </row>
    <row r="30" spans="2:54">
      <c r="B30" s="230">
        <v>10080</v>
      </c>
      <c r="C30" s="230" t="s">
        <v>33</v>
      </c>
      <c r="D30" s="254">
        <v>-23.673805402952894</v>
      </c>
      <c r="E30" s="254">
        <v>204.50317529791369</v>
      </c>
      <c r="F30" s="254">
        <v>-257.88936169372164</v>
      </c>
      <c r="G30" s="254">
        <v>-58.873206338346336</v>
      </c>
      <c r="H30" s="254">
        <v>518.02300598501552</v>
      </c>
      <c r="I30" s="254">
        <v>5.8083255728624863</v>
      </c>
      <c r="J30" s="254">
        <v>1042.158207853774</v>
      </c>
      <c r="K30" s="254">
        <v>648.5189400938973</v>
      </c>
      <c r="L30" s="254">
        <v>969.78578009840157</v>
      </c>
      <c r="M30" s="254">
        <v>377.24648471169553</v>
      </c>
      <c r="N30" s="254">
        <v>324.61090646436833</v>
      </c>
      <c r="O30" s="254">
        <v>118.3418234511264</v>
      </c>
      <c r="P30" s="254">
        <v>548.37779665028893</v>
      </c>
      <c r="Q30" s="254">
        <v>286.2355281243149</v>
      </c>
      <c r="R30" s="254">
        <v>-1253.9087321334832</v>
      </c>
      <c r="S30" s="254">
        <v>-107.97432553430508</v>
      </c>
      <c r="T30" s="254">
        <v>-1755.6168785187465</v>
      </c>
      <c r="U30" s="254">
        <v>-284.3339511678023</v>
      </c>
      <c r="V30" s="254">
        <v>-1209.0635533880181</v>
      </c>
      <c r="W30" s="254">
        <v>-142.95911575407604</v>
      </c>
      <c r="X30" s="254">
        <v>-941.22492212247835</v>
      </c>
      <c r="Y30" s="254">
        <v>-219.9040791183902</v>
      </c>
      <c r="Z30" s="254">
        <v>-775.19819766606133</v>
      </c>
      <c r="AA30" s="254">
        <v>-289.34190033575487</v>
      </c>
      <c r="AB30" s="254">
        <v>-20.365121508767515</v>
      </c>
      <c r="AC30" s="254">
        <v>206.68392163542262</v>
      </c>
      <c r="AD30" s="254">
        <v>-254.69353976194407</v>
      </c>
      <c r="AE30" s="254">
        <v>-56.718201706114996</v>
      </c>
      <c r="AF30" s="254">
        <v>520.92145689074368</v>
      </c>
      <c r="AG30" s="254">
        <v>7.562591608043931</v>
      </c>
      <c r="AH30" s="254">
        <v>1045.1045759636932</v>
      </c>
      <c r="AI30" s="254">
        <v>650.60115216777535</v>
      </c>
      <c r="AJ30" s="254">
        <v>973.29910404973589</v>
      </c>
      <c r="AK30" s="254">
        <v>379.35522724300404</v>
      </c>
      <c r="AL30" s="254">
        <v>327.93017076384422</v>
      </c>
      <c r="AM30" s="254">
        <v>120.31246085232465</v>
      </c>
      <c r="AN30" s="254">
        <v>446.29987119728366</v>
      </c>
      <c r="AO30" s="254">
        <v>394.01676556662619</v>
      </c>
      <c r="AP30" s="254">
        <v>-1171.9310160031346</v>
      </c>
      <c r="AQ30" s="254">
        <v>-196.52909942493147</v>
      </c>
      <c r="AR30" s="254">
        <v>-1759.884051683915</v>
      </c>
      <c r="AS30" s="254">
        <v>-286.55002066943916</v>
      </c>
      <c r="AT30" s="254">
        <v>-1213.1046891120509</v>
      </c>
      <c r="AU30" s="254">
        <v>-145.50315154188229</v>
      </c>
      <c r="AV30" s="254">
        <v>-945.42702578395665</v>
      </c>
      <c r="AW30" s="254">
        <v>-222.2054613175726</v>
      </c>
      <c r="AX30" s="254">
        <v>-779.0740716635737</v>
      </c>
      <c r="AY30" s="254">
        <v>-291.71510336023857</v>
      </c>
      <c r="BA30" s="92"/>
      <c r="BB30" s="92"/>
    </row>
    <row r="31" spans="2:54">
      <c r="B31" s="230">
        <v>10081</v>
      </c>
      <c r="C31" s="230" t="s">
        <v>34</v>
      </c>
      <c r="D31" s="254">
        <v>-533.10395117555299</v>
      </c>
      <c r="E31" s="254">
        <v>-258.30497329107038</v>
      </c>
      <c r="F31" s="254">
        <v>-674.70473300753565</v>
      </c>
      <c r="G31" s="254">
        <v>-426.60339502929128</v>
      </c>
      <c r="H31" s="254">
        <v>1478.1848375825648</v>
      </c>
      <c r="I31" s="254">
        <v>497.69857191850588</v>
      </c>
      <c r="J31" s="254">
        <v>1912.1971982252576</v>
      </c>
      <c r="K31" s="254">
        <v>1280.8318758666092</v>
      </c>
      <c r="L31" s="254">
        <v>1200.1905544311871</v>
      </c>
      <c r="M31" s="254">
        <v>458.63499903651064</v>
      </c>
      <c r="N31" s="254">
        <v>375.78288102942633</v>
      </c>
      <c r="O31" s="254">
        <v>87.487914951823768</v>
      </c>
      <c r="P31" s="254">
        <v>784.92190572850541</v>
      </c>
      <c r="Q31" s="254">
        <v>240.15945567065933</v>
      </c>
      <c r="R31" s="254">
        <v>-1646.7021148506983</v>
      </c>
      <c r="S31" s="254">
        <v>-495.32883414082607</v>
      </c>
      <c r="T31" s="254">
        <v>-2291.2484510801414</v>
      </c>
      <c r="U31" s="254">
        <v>-888.03788672804194</v>
      </c>
      <c r="V31" s="254">
        <v>-618.1540494339506</v>
      </c>
      <c r="W31" s="254">
        <v>-122.85074271298663</v>
      </c>
      <c r="X31" s="254">
        <v>-208.36330732314036</v>
      </c>
      <c r="Y31" s="254">
        <v>-309.11717225155962</v>
      </c>
      <c r="Z31" s="254">
        <v>-487.42972498488234</v>
      </c>
      <c r="AA31" s="254">
        <v>-345.60590205192602</v>
      </c>
      <c r="AB31" s="254">
        <v>-533.68810922845978</v>
      </c>
      <c r="AC31" s="254">
        <v>-258.63160012231583</v>
      </c>
      <c r="AD31" s="254">
        <v>-675.4123220416468</v>
      </c>
      <c r="AE31" s="254">
        <v>-427.04889271317506</v>
      </c>
      <c r="AF31" s="254">
        <v>1477.5400630354297</v>
      </c>
      <c r="AG31" s="254">
        <v>497.21470493609695</v>
      </c>
      <c r="AH31" s="254">
        <v>1911.6668822802176</v>
      </c>
      <c r="AI31" s="254">
        <v>1280.4299819035487</v>
      </c>
      <c r="AJ31" s="254">
        <v>1199.7212164068546</v>
      </c>
      <c r="AK31" s="254">
        <v>458.29637030216509</v>
      </c>
      <c r="AL31" s="254">
        <v>375.1905131791641</v>
      </c>
      <c r="AM31" s="254">
        <v>87.115733652422932</v>
      </c>
      <c r="AN31" s="254">
        <v>612.70044300200288</v>
      </c>
      <c r="AO31" s="254">
        <v>405.63207439181542</v>
      </c>
      <c r="AP31" s="254">
        <v>-1505.9342567855247</v>
      </c>
      <c r="AQ31" s="254">
        <v>-630.1332210861392</v>
      </c>
      <c r="AR31" s="254">
        <v>-2292.0390376627247</v>
      </c>
      <c r="AS31" s="254">
        <v>-888.35592147886018</v>
      </c>
      <c r="AT31" s="254">
        <v>-618.85511729596692</v>
      </c>
      <c r="AU31" s="254">
        <v>-123.20226060688947</v>
      </c>
      <c r="AV31" s="254">
        <v>-209.04835915387866</v>
      </c>
      <c r="AW31" s="254">
        <v>-309.44936335115062</v>
      </c>
      <c r="AX31" s="254">
        <v>-488.02966198363811</v>
      </c>
      <c r="AY31" s="254">
        <v>-345.94600356416777</v>
      </c>
      <c r="BA31" s="92"/>
      <c r="BB31" s="92"/>
    </row>
    <row r="32" spans="2:54">
      <c r="B32" s="230">
        <v>10082</v>
      </c>
      <c r="C32" s="230" t="s">
        <v>35</v>
      </c>
      <c r="D32" s="254">
        <v>-5.8801427299505491</v>
      </c>
      <c r="E32" s="254">
        <v>3.4078083971922446</v>
      </c>
      <c r="F32" s="254">
        <v>-6.2920269048325537</v>
      </c>
      <c r="G32" s="254">
        <v>1.7104132861639023</v>
      </c>
      <c r="H32" s="254">
        <v>18.945394426933149</v>
      </c>
      <c r="I32" s="254">
        <v>13.445377740158442</v>
      </c>
      <c r="J32" s="254">
        <v>23.739725874644755</v>
      </c>
      <c r="K32" s="254">
        <v>22.23347560420655</v>
      </c>
      <c r="L32" s="254">
        <v>19.074669284551703</v>
      </c>
      <c r="M32" s="254">
        <v>13.348674228628152</v>
      </c>
      <c r="N32" s="254">
        <v>5.0440665565078504</v>
      </c>
      <c r="O32" s="254">
        <v>6.5092183922435964</v>
      </c>
      <c r="P32" s="254">
        <v>4.2688777815878538</v>
      </c>
      <c r="Q32" s="254">
        <v>6.095619841469798</v>
      </c>
      <c r="R32" s="254">
        <v>-21.770506405225952</v>
      </c>
      <c r="S32" s="254">
        <v>-1.5392796445735506</v>
      </c>
      <c r="T32" s="254">
        <v>-27.653354072186104</v>
      </c>
      <c r="U32" s="254">
        <v>-3.9834499327042536</v>
      </c>
      <c r="V32" s="254">
        <v>-21.006284272163253</v>
      </c>
      <c r="W32" s="254">
        <v>-2.7840115201614992</v>
      </c>
      <c r="X32" s="254">
        <v>-19.071154067092444</v>
      </c>
      <c r="Y32" s="254">
        <v>-4.6564725211795981</v>
      </c>
      <c r="Z32" s="254">
        <v>-17.344558412305055</v>
      </c>
      <c r="AA32" s="254">
        <v>-5.5501566130539501</v>
      </c>
      <c r="AB32" s="254">
        <v>-5.8801427299505491</v>
      </c>
      <c r="AC32" s="254">
        <v>3.4078083971922446</v>
      </c>
      <c r="AD32" s="254">
        <v>-6.2920269048325537</v>
      </c>
      <c r="AE32" s="254">
        <v>1.7104132861639023</v>
      </c>
      <c r="AF32" s="254">
        <v>18.945394426933149</v>
      </c>
      <c r="AG32" s="254">
        <v>13.445377740158442</v>
      </c>
      <c r="AH32" s="254">
        <v>23.739725874644755</v>
      </c>
      <c r="AI32" s="254">
        <v>22.23347560420655</v>
      </c>
      <c r="AJ32" s="254">
        <v>19.074669284551703</v>
      </c>
      <c r="AK32" s="254">
        <v>13.348674228628152</v>
      </c>
      <c r="AL32" s="254">
        <v>5.0440665565078504</v>
      </c>
      <c r="AM32" s="254">
        <v>6.5092183922435964</v>
      </c>
      <c r="AN32" s="254">
        <v>2.8668777815878528</v>
      </c>
      <c r="AO32" s="254">
        <v>7.4986198414697967</v>
      </c>
      <c r="AP32" s="254">
        <v>-20.69950640522595</v>
      </c>
      <c r="AQ32" s="254">
        <v>-2.6102796445735521</v>
      </c>
      <c r="AR32" s="254">
        <v>-27.653354072186104</v>
      </c>
      <c r="AS32" s="254">
        <v>-3.9834499327042536</v>
      </c>
      <c r="AT32" s="254">
        <v>-21.006284272163253</v>
      </c>
      <c r="AU32" s="254">
        <v>-2.7840115201614992</v>
      </c>
      <c r="AV32" s="254">
        <v>-19.071154067092444</v>
      </c>
      <c r="AW32" s="254">
        <v>-4.6564725211795981</v>
      </c>
      <c r="AX32" s="254">
        <v>-17.344558412305055</v>
      </c>
      <c r="AY32" s="254">
        <v>-5.5501566130539501</v>
      </c>
      <c r="BA32" s="92"/>
      <c r="BB32" s="92"/>
    </row>
    <row r="33" spans="2:54">
      <c r="B33" s="230">
        <v>10083</v>
      </c>
      <c r="C33" s="230" t="s">
        <v>36</v>
      </c>
      <c r="D33" s="254">
        <v>275.80008971060761</v>
      </c>
      <c r="E33" s="254">
        <v>302.99621877977188</v>
      </c>
      <c r="F33" s="254">
        <v>-89.202465488878261</v>
      </c>
      <c r="G33" s="254">
        <v>-40.172535120289922</v>
      </c>
      <c r="H33" s="254">
        <v>1161.298519135953</v>
      </c>
      <c r="I33" s="254">
        <v>308.2646636645145</v>
      </c>
      <c r="J33" s="254">
        <v>1882.5201314426799</v>
      </c>
      <c r="K33" s="254">
        <v>1218.4048977348807</v>
      </c>
      <c r="L33" s="254">
        <v>1598.2958889145098</v>
      </c>
      <c r="M33" s="254">
        <v>638.98294957193752</v>
      </c>
      <c r="N33" s="254">
        <v>681.02377467179076</v>
      </c>
      <c r="O33" s="254">
        <v>208.04643559816304</v>
      </c>
      <c r="P33" s="254">
        <v>1097.2994650166311</v>
      </c>
      <c r="Q33" s="254">
        <v>506.54175732288536</v>
      </c>
      <c r="R33" s="254">
        <v>-951.07296707156593</v>
      </c>
      <c r="S33" s="254">
        <v>90.956703328478625</v>
      </c>
      <c r="T33" s="254">
        <v>-1383.2984487723406</v>
      </c>
      <c r="U33" s="254">
        <v>-80.686776971747577</v>
      </c>
      <c r="V33" s="254">
        <v>-762.37934493070452</v>
      </c>
      <c r="W33" s="254">
        <v>91.900791253385705</v>
      </c>
      <c r="X33" s="254">
        <v>-520.73041572039574</v>
      </c>
      <c r="Y33" s="254">
        <v>-122.07959622929047</v>
      </c>
      <c r="Z33" s="254">
        <v>-353.629938134246</v>
      </c>
      <c r="AA33" s="254">
        <v>-115.08510474041054</v>
      </c>
      <c r="AB33" s="254">
        <v>296.67908971060797</v>
      </c>
      <c r="AC33" s="254">
        <v>315.50321877977149</v>
      </c>
      <c r="AD33" s="254">
        <v>-68.763465488877955</v>
      </c>
      <c r="AE33" s="254">
        <v>-27.224535120290057</v>
      </c>
      <c r="AF33" s="254">
        <v>1181.6895191359527</v>
      </c>
      <c r="AG33" s="254">
        <v>321.26066366451414</v>
      </c>
      <c r="AH33" s="254">
        <v>1901.97113144268</v>
      </c>
      <c r="AI33" s="254">
        <v>1232.3398977348811</v>
      </c>
      <c r="AJ33" s="254">
        <v>1619.1108889145103</v>
      </c>
      <c r="AK33" s="254">
        <v>651.55494957193764</v>
      </c>
      <c r="AL33" s="254">
        <v>702.21077467179157</v>
      </c>
      <c r="AM33" s="254">
        <v>220.24643559816286</v>
      </c>
      <c r="AN33" s="254">
        <v>967.74646501663074</v>
      </c>
      <c r="AO33" s="254">
        <v>669.48175732288541</v>
      </c>
      <c r="AP33" s="254">
        <v>-803.18196707156631</v>
      </c>
      <c r="AQ33" s="254">
        <v>-23.547296671521508</v>
      </c>
      <c r="AR33" s="254">
        <v>-1361.7104487723404</v>
      </c>
      <c r="AS33" s="254">
        <v>-68.887776971747599</v>
      </c>
      <c r="AT33" s="254">
        <v>-742.03834493070462</v>
      </c>
      <c r="AU33" s="254">
        <v>104.94679125338553</v>
      </c>
      <c r="AV33" s="254">
        <v>-498.79141572039589</v>
      </c>
      <c r="AW33" s="254">
        <v>-110.63159622929038</v>
      </c>
      <c r="AX33" s="254">
        <v>-332.67993813424573</v>
      </c>
      <c r="AY33" s="254">
        <v>-102.64910474041062</v>
      </c>
      <c r="BA33" s="92"/>
      <c r="BB33" s="92"/>
    </row>
    <row r="34" spans="2:54">
      <c r="B34" s="230">
        <v>10086</v>
      </c>
      <c r="C34" s="230" t="s">
        <v>37</v>
      </c>
      <c r="D34" s="254">
        <v>35.777558230469594</v>
      </c>
      <c r="E34" s="254">
        <v>154.3782603313183</v>
      </c>
      <c r="F34" s="254">
        <v>-194.73617227230261</v>
      </c>
      <c r="G34" s="254">
        <v>-45.018031088570524</v>
      </c>
      <c r="H34" s="254">
        <v>412.19568984998978</v>
      </c>
      <c r="I34" s="254">
        <v>135.42051813138369</v>
      </c>
      <c r="J34" s="254">
        <v>676.22156550188333</v>
      </c>
      <c r="K34" s="254">
        <v>458.94916117090634</v>
      </c>
      <c r="L34" s="254">
        <v>602.66589803904844</v>
      </c>
      <c r="M34" s="254">
        <v>291.07494497245989</v>
      </c>
      <c r="N34" s="254">
        <v>344.30059421739634</v>
      </c>
      <c r="O34" s="254">
        <v>194.30663077356553</v>
      </c>
      <c r="P34" s="254">
        <v>364.91460487907602</v>
      </c>
      <c r="Q34" s="254">
        <v>222.63308818759072</v>
      </c>
      <c r="R34" s="254">
        <v>-534.3184239687389</v>
      </c>
      <c r="S34" s="254">
        <v>40.221261740511636</v>
      </c>
      <c r="T34" s="254">
        <v>-780.63632515767108</v>
      </c>
      <c r="U34" s="254">
        <v>-79.591059036070646</v>
      </c>
      <c r="V34" s="254">
        <v>-582.27153861208467</v>
      </c>
      <c r="W34" s="254">
        <v>-82.79547767107897</v>
      </c>
      <c r="X34" s="254">
        <v>-422.06676325374769</v>
      </c>
      <c r="Y34" s="254">
        <v>-124.97974115822149</v>
      </c>
      <c r="Z34" s="254">
        <v>-302.08503752578758</v>
      </c>
      <c r="AA34" s="254">
        <v>-111.65452369162665</v>
      </c>
      <c r="AB34" s="254">
        <v>39.105558230469796</v>
      </c>
      <c r="AC34" s="254">
        <v>156.50726033131843</v>
      </c>
      <c r="AD34" s="254">
        <v>-191.18017227230257</v>
      </c>
      <c r="AE34" s="254">
        <v>-42.624031088570518</v>
      </c>
      <c r="AF34" s="254">
        <v>416.63368984998988</v>
      </c>
      <c r="AG34" s="254">
        <v>138.40151813138368</v>
      </c>
      <c r="AH34" s="254">
        <v>680.54656550188361</v>
      </c>
      <c r="AI34" s="254">
        <v>462.12016117090616</v>
      </c>
      <c r="AJ34" s="254">
        <v>606.48289803904845</v>
      </c>
      <c r="AK34" s="254">
        <v>293.54194497245999</v>
      </c>
      <c r="AL34" s="254">
        <v>348.28759421739619</v>
      </c>
      <c r="AM34" s="254">
        <v>196.76763077356554</v>
      </c>
      <c r="AN34" s="254">
        <v>310.49160487907602</v>
      </c>
      <c r="AO34" s="254">
        <v>282.42508818759063</v>
      </c>
      <c r="AP34" s="254">
        <v>-481.34542396873894</v>
      </c>
      <c r="AQ34" s="254">
        <v>-7.9367382594883793</v>
      </c>
      <c r="AR34" s="254">
        <v>-777.77632515767095</v>
      </c>
      <c r="AS34" s="254">
        <v>-77.971059036070642</v>
      </c>
      <c r="AT34" s="254">
        <v>-579.52953861208448</v>
      </c>
      <c r="AU34" s="254">
        <v>-81.00447767107903</v>
      </c>
      <c r="AV34" s="254">
        <v>-419.09476325374749</v>
      </c>
      <c r="AW34" s="254">
        <v>-123.37974115822158</v>
      </c>
      <c r="AX34" s="254">
        <v>-299.33503752578758</v>
      </c>
      <c r="AY34" s="254">
        <v>-109.97652369162665</v>
      </c>
      <c r="BA34" s="92"/>
      <c r="BB34" s="92"/>
    </row>
    <row r="35" spans="2:54">
      <c r="B35" s="230">
        <v>10087</v>
      </c>
      <c r="C35" s="230" t="s">
        <v>38</v>
      </c>
      <c r="D35" s="254">
        <v>-6123.9598425856639</v>
      </c>
      <c r="E35" s="254">
        <v>-1221.2986667214391</v>
      </c>
      <c r="F35" s="254">
        <v>-9653.9236260989237</v>
      </c>
      <c r="G35" s="254">
        <v>-4025.4635208977834</v>
      </c>
      <c r="H35" s="254">
        <v>-3769.5847993018069</v>
      </c>
      <c r="I35" s="254">
        <v>-2242.451719842451</v>
      </c>
      <c r="J35" s="254">
        <v>2357.3300293010798</v>
      </c>
      <c r="K35" s="254">
        <v>709.29047370610351</v>
      </c>
      <c r="L35" s="254">
        <v>1987.4694207854664</v>
      </c>
      <c r="M35" s="254">
        <v>979.02685315336021</v>
      </c>
      <c r="N35" s="254">
        <v>-2812.1127144295642</v>
      </c>
      <c r="O35" s="254">
        <v>-133.5736975253094</v>
      </c>
      <c r="P35" s="254">
        <v>-866.46257827880254</v>
      </c>
      <c r="Q35" s="254">
        <v>880.23296098190076</v>
      </c>
      <c r="R35" s="254">
        <v>-13500.848195101473</v>
      </c>
      <c r="S35" s="254">
        <v>-2648.2411905836507</v>
      </c>
      <c r="T35" s="254">
        <v>-18036.423741755236</v>
      </c>
      <c r="U35" s="254">
        <v>-3398.4813158084235</v>
      </c>
      <c r="V35" s="254">
        <v>-15007.759655326096</v>
      </c>
      <c r="W35" s="254">
        <v>-4084.1835620179409</v>
      </c>
      <c r="X35" s="254">
        <v>-13568.228133064045</v>
      </c>
      <c r="Y35" s="254">
        <v>-4074.4949877770778</v>
      </c>
      <c r="Z35" s="254">
        <v>-10832.017847550384</v>
      </c>
      <c r="AA35" s="254">
        <v>-3532.0755065145877</v>
      </c>
      <c r="AB35" s="254">
        <v>-6123.9598425856639</v>
      </c>
      <c r="AC35" s="254">
        <v>-1221.2986667214391</v>
      </c>
      <c r="AD35" s="254">
        <v>-9653.9236260989237</v>
      </c>
      <c r="AE35" s="254">
        <v>-4025.4635208977834</v>
      </c>
      <c r="AF35" s="254">
        <v>-3769.5847993018069</v>
      </c>
      <c r="AG35" s="254">
        <v>-2242.451719842451</v>
      </c>
      <c r="AH35" s="254">
        <v>2357.3300293010798</v>
      </c>
      <c r="AI35" s="254">
        <v>709.29047370610351</v>
      </c>
      <c r="AJ35" s="254">
        <v>1987.4694207854664</v>
      </c>
      <c r="AK35" s="254">
        <v>979.02685315336021</v>
      </c>
      <c r="AL35" s="254">
        <v>-2812.1127144295642</v>
      </c>
      <c r="AM35" s="254">
        <v>-133.5736975253094</v>
      </c>
      <c r="AN35" s="254">
        <v>-866.46257827880254</v>
      </c>
      <c r="AO35" s="254">
        <v>880.23296098190076</v>
      </c>
      <c r="AP35" s="254">
        <v>-13500.848195101473</v>
      </c>
      <c r="AQ35" s="254">
        <v>-2648.2411905836507</v>
      </c>
      <c r="AR35" s="254">
        <v>-18036.423741755236</v>
      </c>
      <c r="AS35" s="254">
        <v>-3398.4813158084235</v>
      </c>
      <c r="AT35" s="254">
        <v>-15007.759655326096</v>
      </c>
      <c r="AU35" s="254">
        <v>-4084.1835620179409</v>
      </c>
      <c r="AV35" s="254">
        <v>-13568.228133064045</v>
      </c>
      <c r="AW35" s="254">
        <v>-4074.4949877770778</v>
      </c>
      <c r="AX35" s="254">
        <v>-10832.017847550384</v>
      </c>
      <c r="AY35" s="254">
        <v>-3532.0755065145877</v>
      </c>
      <c r="BA35" s="92"/>
      <c r="BB35" s="92"/>
    </row>
    <row r="36" spans="2:54">
      <c r="B36" s="230">
        <v>10089</v>
      </c>
      <c r="C36" s="230" t="s">
        <v>39</v>
      </c>
      <c r="D36" s="254">
        <v>-5773.6361044177902</v>
      </c>
      <c r="E36" s="254">
        <v>-432.5807819753536</v>
      </c>
      <c r="F36" s="254">
        <v>-12621.464445291524</v>
      </c>
      <c r="G36" s="254">
        <v>-5658.2651890568777</v>
      </c>
      <c r="H36" s="254">
        <v>7684.2192254705733</v>
      </c>
      <c r="I36" s="254">
        <v>1890.7041825116394</v>
      </c>
      <c r="J36" s="254">
        <v>13326.665613336911</v>
      </c>
      <c r="K36" s="254">
        <v>10105.488214242832</v>
      </c>
      <c r="L36" s="254">
        <v>5551.9650567509234</v>
      </c>
      <c r="M36" s="254">
        <v>1621.9082773576411</v>
      </c>
      <c r="N36" s="254">
        <v>-2317.4451333377001</v>
      </c>
      <c r="O36" s="254">
        <v>-1811.3644888390263</v>
      </c>
      <c r="P36" s="254">
        <v>2860.7063321063761</v>
      </c>
      <c r="Q36" s="254">
        <v>681.67942273473091</v>
      </c>
      <c r="R36" s="254">
        <v>-13031.381893552913</v>
      </c>
      <c r="S36" s="254">
        <v>879.34975029181805</v>
      </c>
      <c r="T36" s="254">
        <v>-14089.19917716398</v>
      </c>
      <c r="U36" s="254">
        <v>759.29166806323701</v>
      </c>
      <c r="V36" s="254">
        <v>-1994.3530976592956</v>
      </c>
      <c r="W36" s="254">
        <v>5959.0217076306981</v>
      </c>
      <c r="X36" s="254">
        <v>2019.3327302764665</v>
      </c>
      <c r="Y36" s="254">
        <v>3095.9538737602925</v>
      </c>
      <c r="Z36" s="254">
        <v>-5853.2643295323069</v>
      </c>
      <c r="AA36" s="254">
        <v>-1331.0434996836302</v>
      </c>
      <c r="AB36" s="254">
        <v>-5804.5041044177851</v>
      </c>
      <c r="AC36" s="254">
        <v>-499.79378197535334</v>
      </c>
      <c r="AD36" s="254">
        <v>-12623.997445291527</v>
      </c>
      <c r="AE36" s="254">
        <v>-5694.1391890568775</v>
      </c>
      <c r="AF36" s="254">
        <v>7787.0032254705802</v>
      </c>
      <c r="AG36" s="254">
        <v>1927.1121825116425</v>
      </c>
      <c r="AH36" s="254">
        <v>13420.42861333691</v>
      </c>
      <c r="AI36" s="254">
        <v>10146.218214242836</v>
      </c>
      <c r="AJ36" s="254">
        <v>5565.3560567509267</v>
      </c>
      <c r="AK36" s="254">
        <v>1605.6642773576423</v>
      </c>
      <c r="AL36" s="254">
        <v>-2330.8391333377003</v>
      </c>
      <c r="AM36" s="254">
        <v>-1851.8394888390285</v>
      </c>
      <c r="AN36" s="254">
        <v>1361.8733321063773</v>
      </c>
      <c r="AO36" s="254">
        <v>2083.6604227347307</v>
      </c>
      <c r="AP36" s="254">
        <v>-11490.527893552913</v>
      </c>
      <c r="AQ36" s="254">
        <v>-734.35524970818369</v>
      </c>
      <c r="AR36" s="254">
        <v>-14068.774177163978</v>
      </c>
      <c r="AS36" s="254">
        <v>714.06666806323847</v>
      </c>
      <c r="AT36" s="254">
        <v>-1920.7180976592936</v>
      </c>
      <c r="AU36" s="254">
        <v>5941.4477076306976</v>
      </c>
      <c r="AV36" s="254">
        <v>2090.1387302764706</v>
      </c>
      <c r="AW36" s="254">
        <v>3069.9518737602921</v>
      </c>
      <c r="AX36" s="254">
        <v>-5864.4153295323049</v>
      </c>
      <c r="AY36" s="254">
        <v>-1391.7914996836334</v>
      </c>
      <c r="BA36" s="92"/>
      <c r="BB36" s="92"/>
    </row>
    <row r="37" spans="2:54">
      <c r="B37" s="230">
        <v>10091</v>
      </c>
      <c r="C37" s="230" t="s">
        <v>40</v>
      </c>
      <c r="D37" s="254">
        <v>-187.66644996971763</v>
      </c>
      <c r="E37" s="254">
        <v>122.66909534564684</v>
      </c>
      <c r="F37" s="254">
        <v>-499.68624107220421</v>
      </c>
      <c r="G37" s="254">
        <v>42.895201966559398</v>
      </c>
      <c r="H37" s="254">
        <v>915.06760878417663</v>
      </c>
      <c r="I37" s="254">
        <v>603.73842685768886</v>
      </c>
      <c r="J37" s="254">
        <v>1805.562172662304</v>
      </c>
      <c r="K37" s="254">
        <v>1174.3314254392053</v>
      </c>
      <c r="L37" s="254">
        <v>1564.4303706650594</v>
      </c>
      <c r="M37" s="254">
        <v>922.32339881266262</v>
      </c>
      <c r="N37" s="254">
        <v>365.24988697506569</v>
      </c>
      <c r="O37" s="254">
        <v>436.35346104756263</v>
      </c>
      <c r="P37" s="254">
        <v>628.23342013990577</v>
      </c>
      <c r="Q37" s="254">
        <v>444.72279818958509</v>
      </c>
      <c r="R37" s="254">
        <v>-1281.0944181909922</v>
      </c>
      <c r="S37" s="254">
        <v>-47.986505656346708</v>
      </c>
      <c r="T37" s="254">
        <v>-1753.0993857104913</v>
      </c>
      <c r="U37" s="254">
        <v>-31.70584008562264</v>
      </c>
      <c r="V37" s="254">
        <v>-787.09824144308004</v>
      </c>
      <c r="W37" s="254">
        <v>122.94237082613563</v>
      </c>
      <c r="X37" s="254">
        <v>-794.28928877457156</v>
      </c>
      <c r="Y37" s="254">
        <v>-57.083920922690595</v>
      </c>
      <c r="Z37" s="254">
        <v>-788.65168720132169</v>
      </c>
      <c r="AA37" s="254">
        <v>-161.05223892183585</v>
      </c>
      <c r="AB37" s="254">
        <v>-263.90244996971751</v>
      </c>
      <c r="AC37" s="254">
        <v>66.011095345646481</v>
      </c>
      <c r="AD37" s="254">
        <v>-570.56724107220361</v>
      </c>
      <c r="AE37" s="254">
        <v>-19.513798033440708</v>
      </c>
      <c r="AF37" s="254">
        <v>833.73960878417711</v>
      </c>
      <c r="AG37" s="254">
        <v>542.50542685768869</v>
      </c>
      <c r="AH37" s="254">
        <v>1722.9101726623039</v>
      </c>
      <c r="AI37" s="254">
        <v>1108.6864254392053</v>
      </c>
      <c r="AJ37" s="254">
        <v>1488.7943706650599</v>
      </c>
      <c r="AK37" s="254">
        <v>865.04839881266253</v>
      </c>
      <c r="AL37" s="254">
        <v>286.10088697506535</v>
      </c>
      <c r="AM37" s="254">
        <v>373.72446104756273</v>
      </c>
      <c r="AN37" s="254">
        <v>550.0594201399058</v>
      </c>
      <c r="AO37" s="254">
        <v>386.96479818958483</v>
      </c>
      <c r="AP37" s="254">
        <v>-1357.9964181909922</v>
      </c>
      <c r="AQ37" s="254">
        <v>-109.49350565634677</v>
      </c>
      <c r="AR37" s="254">
        <v>-1826.5373857104914</v>
      </c>
      <c r="AS37" s="254">
        <v>-91.746840085622807</v>
      </c>
      <c r="AT37" s="254">
        <v>-862.89324144308011</v>
      </c>
      <c r="AU37" s="254">
        <v>62.46337082613536</v>
      </c>
      <c r="AV37" s="254">
        <v>-870.5952887745716</v>
      </c>
      <c r="AW37" s="254">
        <v>-117.44292092269052</v>
      </c>
      <c r="AX37" s="254">
        <v>-862.61168720132173</v>
      </c>
      <c r="AY37" s="254">
        <v>-220.91823892183584</v>
      </c>
      <c r="BA37" s="92"/>
      <c r="BB37" s="92"/>
    </row>
    <row r="38" spans="2:54">
      <c r="B38" s="230">
        <v>10094</v>
      </c>
      <c r="C38" s="230" t="s">
        <v>41</v>
      </c>
      <c r="D38" s="254">
        <v>92.97810722328154</v>
      </c>
      <c r="E38" s="254">
        <v>82.395999406552164</v>
      </c>
      <c r="F38" s="254">
        <v>-104.58221785592059</v>
      </c>
      <c r="G38" s="254">
        <v>-21.425769192972098</v>
      </c>
      <c r="H38" s="254">
        <v>277.91033638467729</v>
      </c>
      <c r="I38" s="254">
        <v>61.176054329230283</v>
      </c>
      <c r="J38" s="254">
        <v>534.15856019040484</v>
      </c>
      <c r="K38" s="254">
        <v>242.57503243753445</v>
      </c>
      <c r="L38" s="254">
        <v>432.55957867274401</v>
      </c>
      <c r="M38" s="254">
        <v>173.20490678957219</v>
      </c>
      <c r="N38" s="254">
        <v>213.88793801092402</v>
      </c>
      <c r="O38" s="254">
        <v>113.7881156385796</v>
      </c>
      <c r="P38" s="254">
        <v>361.35440665680392</v>
      </c>
      <c r="Q38" s="254">
        <v>208.49755984511773</v>
      </c>
      <c r="R38" s="254">
        <v>-307.25973084309794</v>
      </c>
      <c r="S38" s="254">
        <v>41.463874104178444</v>
      </c>
      <c r="T38" s="254">
        <v>-575.59444584732228</v>
      </c>
      <c r="U38" s="254">
        <v>-46.593731635184213</v>
      </c>
      <c r="V38" s="254">
        <v>-297.41643726648317</v>
      </c>
      <c r="W38" s="254">
        <v>-27.76823083840145</v>
      </c>
      <c r="X38" s="254">
        <v>-189.87596200400435</v>
      </c>
      <c r="Y38" s="254">
        <v>-9.5559596708754952</v>
      </c>
      <c r="Z38" s="254">
        <v>-91.49151582499303</v>
      </c>
      <c r="AA38" s="254">
        <v>12.4516979237942</v>
      </c>
      <c r="AB38" s="254">
        <v>92.97810722328154</v>
      </c>
      <c r="AC38" s="254">
        <v>82.395999406552164</v>
      </c>
      <c r="AD38" s="254">
        <v>-104.58221785592059</v>
      </c>
      <c r="AE38" s="254">
        <v>-21.425769192972098</v>
      </c>
      <c r="AF38" s="254">
        <v>277.91033638467729</v>
      </c>
      <c r="AG38" s="254">
        <v>61.176054329230283</v>
      </c>
      <c r="AH38" s="254">
        <v>534.15856019040484</v>
      </c>
      <c r="AI38" s="254">
        <v>242.57503243753445</v>
      </c>
      <c r="AJ38" s="254">
        <v>432.55957867274401</v>
      </c>
      <c r="AK38" s="254">
        <v>173.20490678957219</v>
      </c>
      <c r="AL38" s="254">
        <v>213.88793801092402</v>
      </c>
      <c r="AM38" s="254">
        <v>113.7881156385796</v>
      </c>
      <c r="AN38" s="254">
        <v>361.35440665680392</v>
      </c>
      <c r="AO38" s="254">
        <v>208.49755984511773</v>
      </c>
      <c r="AP38" s="254">
        <v>-307.25973084309794</v>
      </c>
      <c r="AQ38" s="254">
        <v>42.463874104178444</v>
      </c>
      <c r="AR38" s="254">
        <v>-575.59444584732228</v>
      </c>
      <c r="AS38" s="254">
        <v>-46.593731635184213</v>
      </c>
      <c r="AT38" s="254">
        <v>-297.41643726648317</v>
      </c>
      <c r="AU38" s="254">
        <v>-27.76823083840145</v>
      </c>
      <c r="AV38" s="254">
        <v>-189.87596200400435</v>
      </c>
      <c r="AW38" s="254">
        <v>-9.5559596708754952</v>
      </c>
      <c r="AX38" s="254">
        <v>-91.49151582499303</v>
      </c>
      <c r="AY38" s="254">
        <v>12.4516979237942</v>
      </c>
      <c r="BA38" s="92"/>
      <c r="BB38" s="92"/>
    </row>
    <row r="39" spans="2:54">
      <c r="B39" s="230">
        <v>10095</v>
      </c>
      <c r="C39" s="230" t="s">
        <v>42</v>
      </c>
      <c r="D39" s="254">
        <v>157.61130252613543</v>
      </c>
      <c r="E39" s="254">
        <v>99.66808880223266</v>
      </c>
      <c r="F39" s="254">
        <v>-206.4119134895825</v>
      </c>
      <c r="G39" s="254">
        <v>-180.05927557929397</v>
      </c>
      <c r="H39" s="254">
        <v>27.068055663461564</v>
      </c>
      <c r="I39" s="254">
        <v>-229.48888112427358</v>
      </c>
      <c r="J39" s="254">
        <v>573.59201976803024</v>
      </c>
      <c r="K39" s="254">
        <v>191.29352228440848</v>
      </c>
      <c r="L39" s="254">
        <v>595.92056623405847</v>
      </c>
      <c r="M39" s="254">
        <v>151.08617975526681</v>
      </c>
      <c r="N39" s="254">
        <v>449.17313024839723</v>
      </c>
      <c r="O39" s="254">
        <v>101.28433819563634</v>
      </c>
      <c r="P39" s="254">
        <v>575.70589698731715</v>
      </c>
      <c r="Q39" s="254">
        <v>214.28399122087001</v>
      </c>
      <c r="R39" s="254">
        <v>-105.89662088340924</v>
      </c>
      <c r="S39" s="254">
        <v>156.88687456485854</v>
      </c>
      <c r="T39" s="254">
        <v>-303.36308977594422</v>
      </c>
      <c r="U39" s="254">
        <v>75.064360263679077</v>
      </c>
      <c r="V39" s="254">
        <v>-126.75355007156168</v>
      </c>
      <c r="W39" s="254">
        <v>123.12259267721151</v>
      </c>
      <c r="X39" s="254">
        <v>24.697802609007567</v>
      </c>
      <c r="Y39" s="254">
        <v>75.704058604499664</v>
      </c>
      <c r="Z39" s="254">
        <v>53.704511708639757</v>
      </c>
      <c r="AA39" s="254">
        <v>36.929149172019038</v>
      </c>
      <c r="AB39" s="254">
        <v>167.82130252613547</v>
      </c>
      <c r="AC39" s="254">
        <v>105.44808880223263</v>
      </c>
      <c r="AD39" s="254">
        <v>-198.76391348958259</v>
      </c>
      <c r="AE39" s="254">
        <v>-175.48127557929399</v>
      </c>
      <c r="AF39" s="254">
        <v>27.301055663461739</v>
      </c>
      <c r="AG39" s="254">
        <v>-229.3478811242735</v>
      </c>
      <c r="AH39" s="254">
        <v>580.89401976803038</v>
      </c>
      <c r="AI39" s="254">
        <v>195.9125222844084</v>
      </c>
      <c r="AJ39" s="254">
        <v>600.69356623405861</v>
      </c>
      <c r="AK39" s="254">
        <v>153.79317975526692</v>
      </c>
      <c r="AL39" s="254">
        <v>453.99413024839737</v>
      </c>
      <c r="AM39" s="254">
        <v>103.8723381956363</v>
      </c>
      <c r="AN39" s="254">
        <v>525.93389698731721</v>
      </c>
      <c r="AO39" s="254">
        <v>269.01299122087005</v>
      </c>
      <c r="AP39" s="254">
        <v>-53.812620883409181</v>
      </c>
      <c r="AQ39" s="254">
        <v>106.03687456485841</v>
      </c>
      <c r="AR39" s="254">
        <v>-305.55908977594413</v>
      </c>
      <c r="AS39" s="254">
        <v>73.932360263679129</v>
      </c>
      <c r="AT39" s="254">
        <v>-129.94755007156164</v>
      </c>
      <c r="AU39" s="254">
        <v>121.16659267721138</v>
      </c>
      <c r="AV39" s="254">
        <v>17.97780260900754</v>
      </c>
      <c r="AW39" s="254">
        <v>72.206058604499617</v>
      </c>
      <c r="AX39" s="254">
        <v>46.725511708639715</v>
      </c>
      <c r="AY39" s="254">
        <v>32.944149172019024</v>
      </c>
      <c r="BA39" s="92"/>
      <c r="BB39" s="92"/>
    </row>
    <row r="40" spans="2:54">
      <c r="B40" s="230">
        <v>10097</v>
      </c>
      <c r="C40" s="230" t="s">
        <v>43</v>
      </c>
      <c r="D40" s="254">
        <v>20.455929655054661</v>
      </c>
      <c r="E40" s="254">
        <v>71.993482512743469</v>
      </c>
      <c r="F40" s="254">
        <v>-79.743976222317428</v>
      </c>
      <c r="G40" s="254">
        <v>21.411842155099407</v>
      </c>
      <c r="H40" s="254">
        <v>335.24632848318481</v>
      </c>
      <c r="I40" s="254">
        <v>248.57194438366855</v>
      </c>
      <c r="J40" s="254">
        <v>534.07209130655849</v>
      </c>
      <c r="K40" s="254">
        <v>383.05801130312125</v>
      </c>
      <c r="L40" s="254">
        <v>369.32723088805835</v>
      </c>
      <c r="M40" s="254">
        <v>202.6887363391549</v>
      </c>
      <c r="N40" s="254">
        <v>163.40719207150107</v>
      </c>
      <c r="O40" s="254">
        <v>157.54938496464558</v>
      </c>
      <c r="P40" s="254">
        <v>176.64828565718108</v>
      </c>
      <c r="Q40" s="254">
        <v>158.9268146275308</v>
      </c>
      <c r="R40" s="254">
        <v>-373.27081195377377</v>
      </c>
      <c r="S40" s="254">
        <v>-59.178362086803361</v>
      </c>
      <c r="T40" s="254">
        <v>-528.70343866900066</v>
      </c>
      <c r="U40" s="254">
        <v>-91.529145431095571</v>
      </c>
      <c r="V40" s="254">
        <v>-388.45192488980956</v>
      </c>
      <c r="W40" s="254">
        <v>-117.50232090202906</v>
      </c>
      <c r="X40" s="254">
        <v>-350.28779175623276</v>
      </c>
      <c r="Y40" s="254">
        <v>-124.4287567101016</v>
      </c>
      <c r="Z40" s="254">
        <v>-274.08308920505249</v>
      </c>
      <c r="AA40" s="254">
        <v>-94.004482165061688</v>
      </c>
      <c r="AB40" s="254">
        <v>22.186929655054655</v>
      </c>
      <c r="AC40" s="254">
        <v>73.081482512743435</v>
      </c>
      <c r="AD40" s="254">
        <v>-77.867976222317452</v>
      </c>
      <c r="AE40" s="254">
        <v>22.736842155099453</v>
      </c>
      <c r="AF40" s="254">
        <v>337.76832848318497</v>
      </c>
      <c r="AG40" s="254">
        <v>250.45894438366849</v>
      </c>
      <c r="AH40" s="254">
        <v>536.67509130655856</v>
      </c>
      <c r="AI40" s="254">
        <v>384.98701130312122</v>
      </c>
      <c r="AJ40" s="254">
        <v>371.42323088805836</v>
      </c>
      <c r="AK40" s="254">
        <v>204.07373633915489</v>
      </c>
      <c r="AL40" s="254">
        <v>165.43519207150109</v>
      </c>
      <c r="AM40" s="254">
        <v>158.9333849646456</v>
      </c>
      <c r="AN40" s="254">
        <v>178.33528565718109</v>
      </c>
      <c r="AO40" s="254">
        <v>160.07481462753071</v>
      </c>
      <c r="AP40" s="254">
        <v>-371.99781195377375</v>
      </c>
      <c r="AQ40" s="254">
        <v>-58.319362086803324</v>
      </c>
      <c r="AR40" s="254">
        <v>-527.47843866900075</v>
      </c>
      <c r="AS40" s="254">
        <v>-90.794145431095558</v>
      </c>
      <c r="AT40" s="254">
        <v>-387.21092488980958</v>
      </c>
      <c r="AU40" s="254">
        <v>-116.72632090202904</v>
      </c>
      <c r="AV40" s="254">
        <v>-349.01079175623272</v>
      </c>
      <c r="AW40" s="254">
        <v>-123.71875671010162</v>
      </c>
      <c r="AX40" s="254">
        <v>-272.89908920505252</v>
      </c>
      <c r="AY40" s="254">
        <v>-93.211482165061682</v>
      </c>
      <c r="BA40" s="92"/>
      <c r="BB40" s="92"/>
    </row>
    <row r="41" spans="2:54">
      <c r="B41" s="230">
        <v>10101</v>
      </c>
      <c r="C41" s="230" t="s">
        <v>44</v>
      </c>
      <c r="D41" s="254">
        <v>1132.8880910372682</v>
      </c>
      <c r="E41" s="254">
        <v>1112.8959874703542</v>
      </c>
      <c r="F41" s="254">
        <v>930.56708831653668</v>
      </c>
      <c r="G41" s="254">
        <v>1020.6864253554559</v>
      </c>
      <c r="H41" s="254">
        <v>11692.034514958832</v>
      </c>
      <c r="I41" s="254">
        <v>3686.8522704093521</v>
      </c>
      <c r="J41" s="254">
        <v>18261.995836442406</v>
      </c>
      <c r="K41" s="254">
        <v>9129.5919154132825</v>
      </c>
      <c r="L41" s="254">
        <v>16126.453819188311</v>
      </c>
      <c r="M41" s="254">
        <v>7194.6325445381408</v>
      </c>
      <c r="N41" s="254">
        <v>7354.7438043055226</v>
      </c>
      <c r="O41" s="254">
        <v>3603.1597439046382</v>
      </c>
      <c r="P41" s="254">
        <v>6814.4691637444412</v>
      </c>
      <c r="Q41" s="254">
        <v>3916.160450445368</v>
      </c>
      <c r="R41" s="254">
        <v>-12863.838780710783</v>
      </c>
      <c r="S41" s="254">
        <v>-2012.8160727315171</v>
      </c>
      <c r="T41" s="254">
        <v>-19438.134447216191</v>
      </c>
      <c r="U41" s="254">
        <v>-3891.4886191844453</v>
      </c>
      <c r="V41" s="254">
        <v>-15819.496478417186</v>
      </c>
      <c r="W41" s="254">
        <v>-5228.8054698515389</v>
      </c>
      <c r="X41" s="254">
        <v>-13907.498522759615</v>
      </c>
      <c r="Y41" s="254">
        <v>-5163.4597954444998</v>
      </c>
      <c r="Z41" s="254">
        <v>-9314.4056745414855</v>
      </c>
      <c r="AA41" s="254">
        <v>-4382.231353225352</v>
      </c>
      <c r="AB41" s="254">
        <v>1069.2400910372671</v>
      </c>
      <c r="AC41" s="254">
        <v>1062.7119874703531</v>
      </c>
      <c r="AD41" s="254">
        <v>869.36708831653959</v>
      </c>
      <c r="AE41" s="254">
        <v>971.57342535545467</v>
      </c>
      <c r="AF41" s="254">
        <v>11628.386514958831</v>
      </c>
      <c r="AG41" s="254">
        <v>3636.668270409351</v>
      </c>
      <c r="AH41" s="254">
        <v>18200.795836442408</v>
      </c>
      <c r="AI41" s="254">
        <v>9076.9599154132811</v>
      </c>
      <c r="AJ41" s="254">
        <v>16067.701819188318</v>
      </c>
      <c r="AK41" s="254">
        <v>7150.5685445381423</v>
      </c>
      <c r="AL41" s="254">
        <v>7288.6478043055249</v>
      </c>
      <c r="AM41" s="254">
        <v>3555.5767439046358</v>
      </c>
      <c r="AN41" s="254">
        <v>6821.3011637444397</v>
      </c>
      <c r="AO41" s="254">
        <v>3799.1684504453697</v>
      </c>
      <c r="AP41" s="254">
        <v>-12995.518780710783</v>
      </c>
      <c r="AQ41" s="254">
        <v>-1994.9680727315172</v>
      </c>
      <c r="AR41" s="254">
        <v>-19501.782447216192</v>
      </c>
      <c r="AS41" s="254">
        <v>-3938.0006191844459</v>
      </c>
      <c r="AT41" s="254">
        <v>-15880.696478417187</v>
      </c>
      <c r="AU41" s="254">
        <v>-5281.4374698515385</v>
      </c>
      <c r="AV41" s="254">
        <v>-13973.594522759613</v>
      </c>
      <c r="AW41" s="254">
        <v>-5211.1957954445006</v>
      </c>
      <c r="AX41" s="254">
        <v>-9375.6056745414862</v>
      </c>
      <c r="AY41" s="254">
        <v>-4431.1913532253529</v>
      </c>
      <c r="BA41" s="92"/>
      <c r="BB41" s="92"/>
    </row>
    <row r="42" spans="2:54">
      <c r="B42" s="230">
        <v>10103</v>
      </c>
      <c r="C42" s="230" t="s">
        <v>45</v>
      </c>
      <c r="D42" s="254">
        <v>-13958.736228289279</v>
      </c>
      <c r="E42" s="254">
        <v>4586.135131952964</v>
      </c>
      <c r="F42" s="254">
        <v>-10623.516095177387</v>
      </c>
      <c r="G42" s="254">
        <v>5714.5631397553007</v>
      </c>
      <c r="H42" s="254">
        <v>14754.692057165958</v>
      </c>
      <c r="I42" s="254">
        <v>14486.667383237196</v>
      </c>
      <c r="J42" s="254">
        <v>26086.577369304039</v>
      </c>
      <c r="K42" s="254">
        <v>28740.421533148881</v>
      </c>
      <c r="L42" s="254">
        <v>13037.420416320318</v>
      </c>
      <c r="M42" s="254">
        <v>11334.809909933312</v>
      </c>
      <c r="N42" s="254">
        <v>-4846.8329891962348</v>
      </c>
      <c r="O42" s="254">
        <v>2827.2805518644527</v>
      </c>
      <c r="P42" s="254">
        <v>-1022.2383211114284</v>
      </c>
      <c r="Q42" s="254">
        <v>5054.229240975219</v>
      </c>
      <c r="R42" s="254">
        <v>-12589.725372319808</v>
      </c>
      <c r="S42" s="254">
        <v>19769.922738460191</v>
      </c>
      <c r="T42" s="254">
        <v>-40903.093986128981</v>
      </c>
      <c r="U42" s="254">
        <v>336.98526847580797</v>
      </c>
      <c r="V42" s="254">
        <v>-29644.557941375693</v>
      </c>
      <c r="W42" s="254">
        <v>3767.1861766028233</v>
      </c>
      <c r="X42" s="254">
        <v>-22833.635670350028</v>
      </c>
      <c r="Y42" s="254">
        <v>2431.0454051127381</v>
      </c>
      <c r="Z42" s="254">
        <v>-25215.605469261922</v>
      </c>
      <c r="AA42" s="254">
        <v>-3895.0061647192269</v>
      </c>
      <c r="AB42" s="254">
        <v>-12957.783687905132</v>
      </c>
      <c r="AC42" s="254">
        <v>5375.3477118712326</v>
      </c>
      <c r="AD42" s="254">
        <v>-9294.6443292125914</v>
      </c>
      <c r="AE42" s="254">
        <v>6780.982731942051</v>
      </c>
      <c r="AF42" s="254">
        <v>16418.246983438876</v>
      </c>
      <c r="AG42" s="254">
        <v>15798.316459721616</v>
      </c>
      <c r="AH42" s="254">
        <v>27713.260804381644</v>
      </c>
      <c r="AI42" s="254">
        <v>30139.369287315611</v>
      </c>
      <c r="AJ42" s="254">
        <v>14290.896194721347</v>
      </c>
      <c r="AK42" s="254">
        <v>12274.91674373408</v>
      </c>
      <c r="AL42" s="254">
        <v>-3659.3847324215822</v>
      </c>
      <c r="AM42" s="254">
        <v>3682.1333478295346</v>
      </c>
      <c r="AN42" s="254">
        <v>-2110.242129888713</v>
      </c>
      <c r="AO42" s="254">
        <v>7831.5437970808998</v>
      </c>
      <c r="AP42" s="254">
        <v>-8513.0725609508663</v>
      </c>
      <c r="AQ42" s="254">
        <v>18063.347691999581</v>
      </c>
      <c r="AR42" s="254">
        <v>-39956.183484310037</v>
      </c>
      <c r="AS42" s="254">
        <v>1028.9583274973484</v>
      </c>
      <c r="AT42" s="254">
        <v>-28682.10357562171</v>
      </c>
      <c r="AU42" s="254">
        <v>4594.8969311512556</v>
      </c>
      <c r="AV42" s="254">
        <v>-21779.544804419478</v>
      </c>
      <c r="AW42" s="254">
        <v>3192.3332527292441</v>
      </c>
      <c r="AX42" s="254">
        <v>-24389.159912940318</v>
      </c>
      <c r="AY42" s="254">
        <v>-3233.8497196619428</v>
      </c>
      <c r="BA42" s="92"/>
      <c r="BB42" s="92"/>
    </row>
    <row r="43" spans="2:54">
      <c r="B43" s="230">
        <v>10105</v>
      </c>
      <c r="C43" s="230" t="s">
        <v>46</v>
      </c>
      <c r="D43" s="254">
        <v>-1114.5554895434507</v>
      </c>
      <c r="E43" s="254">
        <v>2503.9567604873282</v>
      </c>
      <c r="F43" s="254">
        <v>-4337.6409714454603</v>
      </c>
      <c r="G43" s="254">
        <v>-391.56366580656504</v>
      </c>
      <c r="H43" s="254">
        <v>-1166.5753347896025</v>
      </c>
      <c r="I43" s="254">
        <v>-300.79879539603826</v>
      </c>
      <c r="J43" s="254">
        <v>826.42201559165369</v>
      </c>
      <c r="K43" s="254">
        <v>2078.8194681749028</v>
      </c>
      <c r="L43" s="254">
        <v>2084.5854470190679</v>
      </c>
      <c r="M43" s="254">
        <v>1901.1791284017945</v>
      </c>
      <c r="N43" s="254">
        <v>588.43603187478584</v>
      </c>
      <c r="O43" s="254">
        <v>1794.0127693439554</v>
      </c>
      <c r="P43" s="254">
        <v>2947.6192802177447</v>
      </c>
      <c r="Q43" s="254">
        <v>3412.6265984374668</v>
      </c>
      <c r="R43" s="254">
        <v>-7070.2506115175856</v>
      </c>
      <c r="S43" s="254">
        <v>557.7069699207932</v>
      </c>
      <c r="T43" s="254">
        <v>-5702.9622882101394</v>
      </c>
      <c r="U43" s="254">
        <v>2390.4353880587578</v>
      </c>
      <c r="V43" s="254">
        <v>-5065.1787540812184</v>
      </c>
      <c r="W43" s="254">
        <v>1992.3108750625615</v>
      </c>
      <c r="X43" s="254">
        <v>-3479.071457337468</v>
      </c>
      <c r="Y43" s="254">
        <v>1592.5184554705756</v>
      </c>
      <c r="Z43" s="254">
        <v>-2090.1492984442775</v>
      </c>
      <c r="AA43" s="254">
        <v>1859.3244481833499</v>
      </c>
      <c r="AB43" s="254">
        <v>-735.21281668710071</v>
      </c>
      <c r="AC43" s="254">
        <v>2838.3521502943713</v>
      </c>
      <c r="AD43" s="254">
        <v>-3994.9756308171327</v>
      </c>
      <c r="AE43" s="254">
        <v>-84.337476988979688</v>
      </c>
      <c r="AF43" s="254">
        <v>-745.38083252180513</v>
      </c>
      <c r="AG43" s="254">
        <v>37.756031911474565</v>
      </c>
      <c r="AH43" s="254">
        <v>1242.6864144646443</v>
      </c>
      <c r="AI43" s="254">
        <v>2451.0826882447527</v>
      </c>
      <c r="AJ43" s="254">
        <v>2505.9033802575032</v>
      </c>
      <c r="AK43" s="254">
        <v>2220.6918338892592</v>
      </c>
      <c r="AL43" s="254">
        <v>1040.3191643064383</v>
      </c>
      <c r="AM43" s="254">
        <v>2133.6265871450487</v>
      </c>
      <c r="AN43" s="254">
        <v>2813.4682161705659</v>
      </c>
      <c r="AO43" s="254">
        <v>4337.6593110377116</v>
      </c>
      <c r="AP43" s="254">
        <v>-6400.6256427286826</v>
      </c>
      <c r="AQ43" s="254">
        <v>384.57147779021761</v>
      </c>
      <c r="AR43" s="254">
        <v>-5353.5988387643083</v>
      </c>
      <c r="AS43" s="254">
        <v>2714.1708183403352</v>
      </c>
      <c r="AT43" s="254">
        <v>-4755.6855575970822</v>
      </c>
      <c r="AU43" s="254">
        <v>2324.7190472070361</v>
      </c>
      <c r="AV43" s="254">
        <v>-3119.1480385569648</v>
      </c>
      <c r="AW43" s="254">
        <v>1895.299961302886</v>
      </c>
      <c r="AX43" s="254">
        <v>-1737.5339668868673</v>
      </c>
      <c r="AY43" s="254">
        <v>2178.2666842913222</v>
      </c>
      <c r="BA43" s="92"/>
      <c r="BB43" s="92"/>
    </row>
    <row r="44" spans="2:54">
      <c r="B44" s="230">
        <v>10106</v>
      </c>
      <c r="C44" s="230" t="s">
        <v>47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254">
        <v>0</v>
      </c>
      <c r="T44" s="254">
        <v>0</v>
      </c>
      <c r="U44" s="254">
        <v>0</v>
      </c>
      <c r="V44" s="254">
        <v>0</v>
      </c>
      <c r="W44" s="254">
        <v>0</v>
      </c>
      <c r="X44" s="254">
        <v>0</v>
      </c>
      <c r="Y44" s="254">
        <v>0</v>
      </c>
      <c r="Z44" s="254">
        <v>0</v>
      </c>
      <c r="AA44" s="254">
        <v>0</v>
      </c>
      <c r="AB44" s="254">
        <v>0</v>
      </c>
      <c r="AC44" s="254">
        <v>0</v>
      </c>
      <c r="AD44" s="254">
        <v>0</v>
      </c>
      <c r="AE44" s="254">
        <v>0</v>
      </c>
      <c r="AF44" s="254">
        <v>0</v>
      </c>
      <c r="AG44" s="254">
        <v>0</v>
      </c>
      <c r="AH44" s="254">
        <v>0</v>
      </c>
      <c r="AI44" s="254">
        <v>0</v>
      </c>
      <c r="AJ44" s="254">
        <v>0</v>
      </c>
      <c r="AK44" s="254">
        <v>0</v>
      </c>
      <c r="AL44" s="254">
        <v>0</v>
      </c>
      <c r="AM44" s="254">
        <v>0</v>
      </c>
      <c r="AN44" s="254">
        <v>0</v>
      </c>
      <c r="AO44" s="254">
        <v>0</v>
      </c>
      <c r="AP44" s="254">
        <v>0</v>
      </c>
      <c r="AQ44" s="254">
        <v>0</v>
      </c>
      <c r="AR44" s="254">
        <v>0</v>
      </c>
      <c r="AS44" s="254">
        <v>0</v>
      </c>
      <c r="AT44" s="254">
        <v>0</v>
      </c>
      <c r="AU44" s="254">
        <v>0</v>
      </c>
      <c r="AV44" s="254">
        <v>0</v>
      </c>
      <c r="AW44" s="254">
        <v>0</v>
      </c>
      <c r="AX44" s="254">
        <v>0</v>
      </c>
      <c r="AY44" s="254">
        <v>0</v>
      </c>
      <c r="BA44" s="92"/>
      <c r="BB44" s="92"/>
    </row>
    <row r="45" spans="2:54">
      <c r="B45" s="230">
        <v>10109</v>
      </c>
      <c r="C45" s="230" t="s">
        <v>48</v>
      </c>
      <c r="D45" s="254">
        <v>-813.96517296937054</v>
      </c>
      <c r="E45" s="254">
        <v>106.78447449798705</v>
      </c>
      <c r="F45" s="254">
        <v>-2319.0867071902931</v>
      </c>
      <c r="G45" s="254">
        <v>-1114.137876568378</v>
      </c>
      <c r="H45" s="254">
        <v>-365.45700169787233</v>
      </c>
      <c r="I45" s="254">
        <v>-391.54264256128226</v>
      </c>
      <c r="J45" s="254">
        <v>234.68303357999048</v>
      </c>
      <c r="K45" s="254">
        <v>159.27584995594771</v>
      </c>
      <c r="L45" s="254">
        <v>-247.29591778587383</v>
      </c>
      <c r="M45" s="254">
        <v>-414.21885505327828</v>
      </c>
      <c r="N45" s="254">
        <v>-704.45833917566506</v>
      </c>
      <c r="O45" s="254">
        <v>-309.05063950856402</v>
      </c>
      <c r="P45" s="254">
        <v>1273.1310752470149</v>
      </c>
      <c r="Q45" s="254">
        <v>945.77893687562573</v>
      </c>
      <c r="R45" s="254">
        <v>-214.76337177363439</v>
      </c>
      <c r="S45" s="254">
        <v>1590.7988157409459</v>
      </c>
      <c r="T45" s="254">
        <v>7.4168281362717607</v>
      </c>
      <c r="U45" s="254">
        <v>1732.5678206018611</v>
      </c>
      <c r="V45" s="254">
        <v>142.74620996742215</v>
      </c>
      <c r="W45" s="254">
        <v>1548.9307113653085</v>
      </c>
      <c r="X45" s="254">
        <v>685.90276634486872</v>
      </c>
      <c r="Y45" s="254">
        <v>1185.583269957709</v>
      </c>
      <c r="Z45" s="254">
        <v>-157.96141782671657</v>
      </c>
      <c r="AA45" s="254">
        <v>640.96297420837709</v>
      </c>
      <c r="AB45" s="254">
        <v>-805.67817296937028</v>
      </c>
      <c r="AC45" s="254">
        <v>111.14847449798708</v>
      </c>
      <c r="AD45" s="254">
        <v>-2314.8517071902934</v>
      </c>
      <c r="AE45" s="254">
        <v>-1112.1558765683781</v>
      </c>
      <c r="AF45" s="254">
        <v>-378.33100169787303</v>
      </c>
      <c r="AG45" s="254">
        <v>-401.84264256128199</v>
      </c>
      <c r="AH45" s="254">
        <v>224.92403357999046</v>
      </c>
      <c r="AI45" s="254">
        <v>150.0528499559482</v>
      </c>
      <c r="AJ45" s="254">
        <v>-242.81091778587324</v>
      </c>
      <c r="AK45" s="254">
        <v>-412.50685505327829</v>
      </c>
      <c r="AL45" s="254">
        <v>-700.32433917566414</v>
      </c>
      <c r="AM45" s="254">
        <v>-307.195639508564</v>
      </c>
      <c r="AN45" s="254">
        <v>1081.4190752470154</v>
      </c>
      <c r="AO45" s="254">
        <v>1152.5559368756262</v>
      </c>
      <c r="AP45" s="254">
        <v>29.587628226365268</v>
      </c>
      <c r="AQ45" s="254">
        <v>1367.3798157409451</v>
      </c>
      <c r="AR45" s="254">
        <v>20.578828136272023</v>
      </c>
      <c r="AS45" s="254">
        <v>1740.1518206018609</v>
      </c>
      <c r="AT45" s="254">
        <v>149.73020996742252</v>
      </c>
      <c r="AU45" s="254">
        <v>1552.2737113653084</v>
      </c>
      <c r="AV45" s="254">
        <v>693.64776634486952</v>
      </c>
      <c r="AW45" s="254">
        <v>1188.6392699577095</v>
      </c>
      <c r="AX45" s="254">
        <v>-145.82841782671585</v>
      </c>
      <c r="AY45" s="254">
        <v>648.44997420837717</v>
      </c>
      <c r="BA45" s="92"/>
      <c r="BB45" s="92"/>
    </row>
    <row r="46" spans="2:54">
      <c r="B46" s="230">
        <v>10111</v>
      </c>
      <c r="C46" s="230" t="s">
        <v>49</v>
      </c>
      <c r="D46" s="254">
        <v>-352.37883178167431</v>
      </c>
      <c r="E46" s="254">
        <v>-62.335145939812037</v>
      </c>
      <c r="F46" s="254">
        <v>-522.23557322753049</v>
      </c>
      <c r="G46" s="254">
        <v>-208.40775631382883</v>
      </c>
      <c r="H46" s="254">
        <v>65.966425284775369</v>
      </c>
      <c r="I46" s="254">
        <v>28.66615182579767</v>
      </c>
      <c r="J46" s="254">
        <v>211.15570042830791</v>
      </c>
      <c r="K46" s="254">
        <v>254.48106763012231</v>
      </c>
      <c r="L46" s="254">
        <v>55.039712910994012</v>
      </c>
      <c r="M46" s="254">
        <v>25.342545441335233</v>
      </c>
      <c r="N46" s="254">
        <v>-143.535812993847</v>
      </c>
      <c r="O46" s="254">
        <v>-33.772461843411179</v>
      </c>
      <c r="P46" s="254">
        <v>110.79038719879281</v>
      </c>
      <c r="Q46" s="254">
        <v>117.91078469627837</v>
      </c>
      <c r="R46" s="254">
        <v>-373.79034044583773</v>
      </c>
      <c r="S46" s="254">
        <v>172.03595581114155</v>
      </c>
      <c r="T46" s="254">
        <v>-465.42102297062888</v>
      </c>
      <c r="U46" s="254">
        <v>119.23632414691599</v>
      </c>
      <c r="V46" s="254">
        <v>15.166360394644016</v>
      </c>
      <c r="W46" s="254">
        <v>416.32348820360812</v>
      </c>
      <c r="X46" s="254">
        <v>131.97265520713063</v>
      </c>
      <c r="Y46" s="254">
        <v>295.78835052552324</v>
      </c>
      <c r="Z46" s="254">
        <v>-105.13536518381034</v>
      </c>
      <c r="AA46" s="254">
        <v>116.77417628433852</v>
      </c>
      <c r="AB46" s="254">
        <v>-349.19259470231361</v>
      </c>
      <c r="AC46" s="254">
        <v>-60.232205692943808</v>
      </c>
      <c r="AD46" s="254">
        <v>-521.39318967636382</v>
      </c>
      <c r="AE46" s="254">
        <v>-207.90250978800248</v>
      </c>
      <c r="AF46" s="254">
        <v>53.823587105478737</v>
      </c>
      <c r="AG46" s="254">
        <v>19.732952299411181</v>
      </c>
      <c r="AH46" s="254">
        <v>202.35817434586897</v>
      </c>
      <c r="AI46" s="254">
        <v>247.17190857471383</v>
      </c>
      <c r="AJ46" s="254">
        <v>53.746719947492693</v>
      </c>
      <c r="AK46" s="254">
        <v>24.434488542853728</v>
      </c>
      <c r="AL46" s="254">
        <v>-144.27526121845335</v>
      </c>
      <c r="AM46" s="254">
        <v>-34.313189894310085</v>
      </c>
      <c r="AN46" s="254">
        <v>65.059581288546269</v>
      </c>
      <c r="AO46" s="254">
        <v>166.13785661454494</v>
      </c>
      <c r="AP46" s="254">
        <v>-318.11662754359872</v>
      </c>
      <c r="AQ46" s="254">
        <v>124.11453622911131</v>
      </c>
      <c r="AR46" s="254">
        <v>-460.56314309675281</v>
      </c>
      <c r="AS46" s="254">
        <v>122.03937627314372</v>
      </c>
      <c r="AT46" s="254">
        <v>19.31096218766902</v>
      </c>
      <c r="AU46" s="254">
        <v>419.18976504446255</v>
      </c>
      <c r="AV46" s="254">
        <v>136.00023295323899</v>
      </c>
      <c r="AW46" s="254">
        <v>298.15363717491016</v>
      </c>
      <c r="AX46" s="254">
        <v>-101.19745968567622</v>
      </c>
      <c r="AY46" s="254">
        <v>119.43432855270134</v>
      </c>
      <c r="BA46" s="92"/>
      <c r="BB46" s="92"/>
    </row>
    <row r="47" spans="2:54">
      <c r="B47" s="230">
        <v>10112</v>
      </c>
      <c r="C47" s="230" t="s">
        <v>50</v>
      </c>
      <c r="D47" s="254">
        <v>1919.9517181312985</v>
      </c>
      <c r="E47" s="254">
        <v>1815.6478252683355</v>
      </c>
      <c r="F47" s="254">
        <v>-3081.2165089788286</v>
      </c>
      <c r="G47" s="254">
        <v>-809.39306602803845</v>
      </c>
      <c r="H47" s="254">
        <v>3690.4401258190155</v>
      </c>
      <c r="I47" s="254">
        <v>568.00282562478242</v>
      </c>
      <c r="J47" s="254">
        <v>10280.093008771837</v>
      </c>
      <c r="K47" s="254">
        <v>5008.8348430888764</v>
      </c>
      <c r="L47" s="254">
        <v>7135.9278962711505</v>
      </c>
      <c r="M47" s="254">
        <v>2738.0610255806114</v>
      </c>
      <c r="N47" s="254">
        <v>3808.2740973520449</v>
      </c>
      <c r="O47" s="254">
        <v>2186.0603898455956</v>
      </c>
      <c r="P47" s="254">
        <v>6020.4680092227245</v>
      </c>
      <c r="Q47" s="254">
        <v>3425.5406302015035</v>
      </c>
      <c r="R47" s="254">
        <v>-5550.0878666502067</v>
      </c>
      <c r="S47" s="254">
        <v>1151.0934821278152</v>
      </c>
      <c r="T47" s="254">
        <v>-8719.2287893333887</v>
      </c>
      <c r="U47" s="254">
        <v>983.7383691643081</v>
      </c>
      <c r="V47" s="254">
        <v>-3949.2547331655296</v>
      </c>
      <c r="W47" s="254">
        <v>1369.6337382984093</v>
      </c>
      <c r="X47" s="254">
        <v>-1861.4953665216017</v>
      </c>
      <c r="Y47" s="254">
        <v>1628.4547531619501</v>
      </c>
      <c r="Z47" s="254">
        <v>-1627.4474776487514</v>
      </c>
      <c r="AA47" s="254">
        <v>813.24012879500879</v>
      </c>
      <c r="AB47" s="254">
        <v>2069.952152925187</v>
      </c>
      <c r="AC47" s="254">
        <v>1905.4449921843188</v>
      </c>
      <c r="AD47" s="254">
        <v>-2940.5738371906555</v>
      </c>
      <c r="AE47" s="254">
        <v>-712.10113189683034</v>
      </c>
      <c r="AF47" s="254">
        <v>3864.7945493217267</v>
      </c>
      <c r="AG47" s="254">
        <v>682.8514005232646</v>
      </c>
      <c r="AH47" s="254">
        <v>10481.30389114112</v>
      </c>
      <c r="AI47" s="254">
        <v>5140.5642730255349</v>
      </c>
      <c r="AJ47" s="254">
        <v>7299.0085233367099</v>
      </c>
      <c r="AK47" s="254">
        <v>2837.8370412001295</v>
      </c>
      <c r="AL47" s="254">
        <v>3974.6398532561943</v>
      </c>
      <c r="AM47" s="254">
        <v>2289.3859765432335</v>
      </c>
      <c r="AN47" s="254">
        <v>6171.523722465794</v>
      </c>
      <c r="AO47" s="254">
        <v>3517.7058185333753</v>
      </c>
      <c r="AP47" s="254">
        <v>-5430.3086504688654</v>
      </c>
      <c r="AQ47" s="254">
        <v>1238.7737199754229</v>
      </c>
      <c r="AR47" s="254">
        <v>-8602.3264226488354</v>
      </c>
      <c r="AS47" s="254">
        <v>1065.3966064742399</v>
      </c>
      <c r="AT47" s="254">
        <v>-3816.8006281958405</v>
      </c>
      <c r="AU47" s="254">
        <v>1462.0810657331222</v>
      </c>
      <c r="AV47" s="254">
        <v>-1716.6549870653398</v>
      </c>
      <c r="AW47" s="254">
        <v>1718.2425607444511</v>
      </c>
      <c r="AX47" s="254">
        <v>-1500.7124690498567</v>
      </c>
      <c r="AY47" s="254">
        <v>898.79605857177739</v>
      </c>
      <c r="BA47" s="92"/>
      <c r="BB47" s="92"/>
    </row>
    <row r="48" spans="2:54">
      <c r="B48" s="230">
        <v>10113</v>
      </c>
      <c r="C48" s="230" t="s">
        <v>51</v>
      </c>
      <c r="D48" s="254">
        <v>-2799.5730369582307</v>
      </c>
      <c r="E48" s="254">
        <v>-707.45955886428328</v>
      </c>
      <c r="F48" s="254">
        <v>-10329.179347839985</v>
      </c>
      <c r="G48" s="254">
        <v>-6212.4454386595871</v>
      </c>
      <c r="H48" s="254">
        <v>-8219.0167266839944</v>
      </c>
      <c r="I48" s="254">
        <v>-7034.7360930428586</v>
      </c>
      <c r="J48" s="254">
        <v>-5614.7137832683438</v>
      </c>
      <c r="K48" s="254">
        <v>-4693.5891391877685</v>
      </c>
      <c r="L48" s="254">
        <v>-5451.6255243762607</v>
      </c>
      <c r="M48" s="254">
        <v>-4688.2533478508676</v>
      </c>
      <c r="N48" s="254">
        <v>-6505.8670038751297</v>
      </c>
      <c r="O48" s="254">
        <v>-4514.3674277588498</v>
      </c>
      <c r="P48" s="254">
        <v>818.15448646986988</v>
      </c>
      <c r="Q48" s="254">
        <v>-38.618879159926109</v>
      </c>
      <c r="R48" s="254">
        <v>1315.4516143337933</v>
      </c>
      <c r="S48" s="254">
        <v>5130.7733969566434</v>
      </c>
      <c r="T48" s="254">
        <v>5582.912577284158</v>
      </c>
      <c r="U48" s="254">
        <v>7770.4665875312821</v>
      </c>
      <c r="V48" s="254">
        <v>11719.219432434653</v>
      </c>
      <c r="W48" s="254">
        <v>12945.898206463686</v>
      </c>
      <c r="X48" s="254">
        <v>10537.963267155606</v>
      </c>
      <c r="Y48" s="254">
        <v>8403.3030296598499</v>
      </c>
      <c r="Z48" s="254">
        <v>-336.07965430342301</v>
      </c>
      <c r="AA48" s="254">
        <v>632.49189204429604</v>
      </c>
      <c r="AB48" s="254">
        <v>-2855.5450369582304</v>
      </c>
      <c r="AC48" s="254">
        <v>-767.1535588642837</v>
      </c>
      <c r="AD48" s="254">
        <v>-10411.085347839984</v>
      </c>
      <c r="AE48" s="254">
        <v>-6287.0844386595872</v>
      </c>
      <c r="AF48" s="254">
        <v>-8303.5027266839952</v>
      </c>
      <c r="AG48" s="254">
        <v>-7110.4150930428586</v>
      </c>
      <c r="AH48" s="254">
        <v>-5696.7327832683441</v>
      </c>
      <c r="AI48" s="254">
        <v>-4773.957139187768</v>
      </c>
      <c r="AJ48" s="254">
        <v>-5538.7935243762613</v>
      </c>
      <c r="AK48" s="254">
        <v>-4760.8033478508678</v>
      </c>
      <c r="AL48" s="254">
        <v>-6593.8300038751313</v>
      </c>
      <c r="AM48" s="254">
        <v>-4587.2854277588503</v>
      </c>
      <c r="AN48" s="254">
        <v>284.25648646987065</v>
      </c>
      <c r="AO48" s="254">
        <v>388.10912084007396</v>
      </c>
      <c r="AP48" s="254">
        <v>2084.7286143337915</v>
      </c>
      <c r="AQ48" s="254">
        <v>4345.8123969566423</v>
      </c>
      <c r="AR48" s="254">
        <v>5631.141577284161</v>
      </c>
      <c r="AS48" s="254">
        <v>7781.4075875312792</v>
      </c>
      <c r="AT48" s="254">
        <v>11801.373432434655</v>
      </c>
      <c r="AU48" s="254">
        <v>12987.736206463689</v>
      </c>
      <c r="AV48" s="254">
        <v>10596.338267155606</v>
      </c>
      <c r="AW48" s="254">
        <v>8418.8730296598533</v>
      </c>
      <c r="AX48" s="254">
        <v>-364.57565430341856</v>
      </c>
      <c r="AY48" s="254">
        <v>588.4668920442964</v>
      </c>
      <c r="BA48" s="92"/>
      <c r="BB48" s="92"/>
    </row>
    <row r="49" spans="2:54">
      <c r="B49" s="230">
        <v>10116</v>
      </c>
      <c r="C49" s="230" t="s">
        <v>52</v>
      </c>
      <c r="D49" s="254">
        <v>13.261908495143004</v>
      </c>
      <c r="E49" s="254">
        <v>28.084091163478973</v>
      </c>
      <c r="F49" s="254">
        <v>-19.711834491887103</v>
      </c>
      <c r="G49" s="254">
        <v>1.3738728946438101</v>
      </c>
      <c r="H49" s="254">
        <v>-0.67970208884769079</v>
      </c>
      <c r="I49" s="254">
        <v>2.2294158321349187</v>
      </c>
      <c r="J49" s="254">
        <v>25.136132848479505</v>
      </c>
      <c r="K49" s="254">
        <v>20.962071947195113</v>
      </c>
      <c r="L49" s="254">
        <v>28.809578082451438</v>
      </c>
      <c r="M49" s="254">
        <v>19.768773770342293</v>
      </c>
      <c r="N49" s="254">
        <v>16.42177610776973</v>
      </c>
      <c r="O49" s="254">
        <v>18.047810796471225</v>
      </c>
      <c r="P49" s="254">
        <v>33.015856046315804</v>
      </c>
      <c r="Q49" s="254">
        <v>28.338677809501526</v>
      </c>
      <c r="R49" s="254">
        <v>-9.3778563019832717</v>
      </c>
      <c r="S49" s="254">
        <v>30.31807260679485</v>
      </c>
      <c r="T49" s="254">
        <v>-6.5591654062218367</v>
      </c>
      <c r="U49" s="254">
        <v>32.72935178460267</v>
      </c>
      <c r="V49" s="254">
        <v>3.2100688209534667</v>
      </c>
      <c r="W49" s="254">
        <v>38.803786234096421</v>
      </c>
      <c r="X49" s="254">
        <v>29.005048777769048</v>
      </c>
      <c r="Y49" s="254">
        <v>42.196796948073079</v>
      </c>
      <c r="Z49" s="254">
        <v>6.5941384052545118</v>
      </c>
      <c r="AA49" s="254">
        <v>23.97808004070351</v>
      </c>
      <c r="AB49" s="254">
        <v>13.261908495143004</v>
      </c>
      <c r="AC49" s="254">
        <v>28.084091163478973</v>
      </c>
      <c r="AD49" s="254">
        <v>-19.711834491887103</v>
      </c>
      <c r="AE49" s="254">
        <v>1.3738728946438101</v>
      </c>
      <c r="AF49" s="254">
        <v>-0.67970208884769079</v>
      </c>
      <c r="AG49" s="254">
        <v>2.2294158321349187</v>
      </c>
      <c r="AH49" s="254">
        <v>25.136132848479505</v>
      </c>
      <c r="AI49" s="254">
        <v>20.962071947195113</v>
      </c>
      <c r="AJ49" s="254">
        <v>28.809578082451438</v>
      </c>
      <c r="AK49" s="254">
        <v>19.768773770342293</v>
      </c>
      <c r="AL49" s="254">
        <v>16.42177610776973</v>
      </c>
      <c r="AM49" s="254">
        <v>18.047810796471225</v>
      </c>
      <c r="AN49" s="254">
        <v>28.888496238116332</v>
      </c>
      <c r="AO49" s="254">
        <v>32.466037617700998</v>
      </c>
      <c r="AP49" s="254">
        <v>-5.2504964937837997</v>
      </c>
      <c r="AQ49" s="254">
        <v>26.190712798595378</v>
      </c>
      <c r="AR49" s="254">
        <v>-6.5591654062218367</v>
      </c>
      <c r="AS49" s="254">
        <v>32.72935178460267</v>
      </c>
      <c r="AT49" s="254">
        <v>3.2100688209534667</v>
      </c>
      <c r="AU49" s="254">
        <v>38.803786234096421</v>
      </c>
      <c r="AV49" s="254">
        <v>29.005048777769048</v>
      </c>
      <c r="AW49" s="254">
        <v>42.196796948073079</v>
      </c>
      <c r="AX49" s="254">
        <v>6.5941384052545118</v>
      </c>
      <c r="AY49" s="254">
        <v>23.97808004070351</v>
      </c>
      <c r="BA49" s="92"/>
      <c r="BB49" s="92"/>
    </row>
    <row r="50" spans="2:54">
      <c r="B50" s="230">
        <v>10118</v>
      </c>
      <c r="C50" s="230" t="s">
        <v>53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>
        <v>0</v>
      </c>
      <c r="R50" s="254">
        <v>0</v>
      </c>
      <c r="S50" s="254">
        <v>0</v>
      </c>
      <c r="T50" s="254">
        <v>0</v>
      </c>
      <c r="U50" s="254">
        <v>0</v>
      </c>
      <c r="V50" s="254">
        <v>0</v>
      </c>
      <c r="W50" s="254">
        <v>0</v>
      </c>
      <c r="X50" s="254">
        <v>0</v>
      </c>
      <c r="Y50" s="254">
        <v>0</v>
      </c>
      <c r="Z50" s="254">
        <v>0</v>
      </c>
      <c r="AA50" s="254">
        <v>0</v>
      </c>
      <c r="AB50" s="254">
        <v>0</v>
      </c>
      <c r="AC50" s="254">
        <v>0</v>
      </c>
      <c r="AD50" s="254">
        <v>0</v>
      </c>
      <c r="AE50" s="254">
        <v>0</v>
      </c>
      <c r="AF50" s="254">
        <v>0</v>
      </c>
      <c r="AG50" s="254">
        <v>0</v>
      </c>
      <c r="AH50" s="254">
        <v>0</v>
      </c>
      <c r="AI50" s="254">
        <v>0</v>
      </c>
      <c r="AJ50" s="254">
        <v>0</v>
      </c>
      <c r="AK50" s="254">
        <v>0</v>
      </c>
      <c r="AL50" s="254">
        <v>0</v>
      </c>
      <c r="AM50" s="254">
        <v>0</v>
      </c>
      <c r="AN50" s="254">
        <v>0</v>
      </c>
      <c r="AO50" s="254">
        <v>0</v>
      </c>
      <c r="AP50" s="254">
        <v>0</v>
      </c>
      <c r="AQ50" s="254">
        <v>0</v>
      </c>
      <c r="AR50" s="254">
        <v>0</v>
      </c>
      <c r="AS50" s="254">
        <v>0</v>
      </c>
      <c r="AT50" s="254">
        <v>0</v>
      </c>
      <c r="AU50" s="254">
        <v>0</v>
      </c>
      <c r="AV50" s="254">
        <v>0</v>
      </c>
      <c r="AW50" s="254">
        <v>0</v>
      </c>
      <c r="AX50" s="254">
        <v>0</v>
      </c>
      <c r="AY50" s="254">
        <v>0</v>
      </c>
      <c r="BA50" s="92"/>
      <c r="BB50" s="92"/>
    </row>
    <row r="51" spans="2:54">
      <c r="B51" s="230">
        <v>10121</v>
      </c>
      <c r="C51" s="230" t="s">
        <v>54</v>
      </c>
      <c r="D51" s="254">
        <v>0</v>
      </c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0</v>
      </c>
      <c r="Y51" s="254">
        <v>0</v>
      </c>
      <c r="Z51" s="254">
        <v>0</v>
      </c>
      <c r="AA51" s="254">
        <v>0</v>
      </c>
      <c r="AB51" s="254">
        <v>0</v>
      </c>
      <c r="AC51" s="254">
        <v>0</v>
      </c>
      <c r="AD51" s="254">
        <v>0</v>
      </c>
      <c r="AE51" s="254">
        <v>0</v>
      </c>
      <c r="AF51" s="254">
        <v>0</v>
      </c>
      <c r="AG51" s="254">
        <v>0</v>
      </c>
      <c r="AH51" s="254">
        <v>0</v>
      </c>
      <c r="AI51" s="254">
        <v>0</v>
      </c>
      <c r="AJ51" s="254">
        <v>0</v>
      </c>
      <c r="AK51" s="254">
        <v>0</v>
      </c>
      <c r="AL51" s="254">
        <v>0</v>
      </c>
      <c r="AM51" s="254">
        <v>0</v>
      </c>
      <c r="AN51" s="254">
        <v>0</v>
      </c>
      <c r="AO51" s="254">
        <v>0</v>
      </c>
      <c r="AP51" s="254">
        <v>0</v>
      </c>
      <c r="AQ51" s="254">
        <v>0</v>
      </c>
      <c r="AR51" s="254">
        <v>0</v>
      </c>
      <c r="AS51" s="254">
        <v>0</v>
      </c>
      <c r="AT51" s="254">
        <v>0</v>
      </c>
      <c r="AU51" s="254">
        <v>0</v>
      </c>
      <c r="AV51" s="254">
        <v>0</v>
      </c>
      <c r="AW51" s="254">
        <v>0</v>
      </c>
      <c r="AX51" s="254">
        <v>0</v>
      </c>
      <c r="AY51" s="254">
        <v>0</v>
      </c>
      <c r="BA51" s="92"/>
      <c r="BB51" s="92"/>
    </row>
    <row r="52" spans="2:54">
      <c r="B52" s="230">
        <v>10123</v>
      </c>
      <c r="C52" s="230" t="s">
        <v>55</v>
      </c>
      <c r="D52" s="254">
        <v>-6073.043226173424</v>
      </c>
      <c r="E52" s="254">
        <v>13607.067580390154</v>
      </c>
      <c r="F52" s="254">
        <v>-20941.131652269556</v>
      </c>
      <c r="G52" s="254">
        <v>-5.0615126893171691</v>
      </c>
      <c r="H52" s="254">
        <v>-6357.2364588892233</v>
      </c>
      <c r="I52" s="254">
        <v>-1646.2937709842226</v>
      </c>
      <c r="J52" s="254">
        <v>5340.4710538011132</v>
      </c>
      <c r="K52" s="254">
        <v>12032.547869242691</v>
      </c>
      <c r="L52" s="254">
        <v>7671.9561833009502</v>
      </c>
      <c r="M52" s="254">
        <v>7590.6058379225578</v>
      </c>
      <c r="N52" s="254">
        <v>-3316.1863714960054</v>
      </c>
      <c r="O52" s="254">
        <v>5064.8855568579529</v>
      </c>
      <c r="P52" s="254">
        <v>12323.993051449244</v>
      </c>
      <c r="Q52" s="254">
        <v>15850.27718596044</v>
      </c>
      <c r="R52" s="254">
        <v>-26432.331804102985</v>
      </c>
      <c r="S52" s="254">
        <v>13366.46881484679</v>
      </c>
      <c r="T52" s="254">
        <v>-36563.94184896248</v>
      </c>
      <c r="U52" s="254">
        <v>8942.6794791437715</v>
      </c>
      <c r="V52" s="254">
        <v>-25837.857140385357</v>
      </c>
      <c r="W52" s="254">
        <v>12302.006447387015</v>
      </c>
      <c r="X52" s="254">
        <v>-18003.841090147456</v>
      </c>
      <c r="Y52" s="254">
        <v>9321.30254991111</v>
      </c>
      <c r="Z52" s="254">
        <v>-11377.835925631603</v>
      </c>
      <c r="AA52" s="254">
        <v>10101.810381873911</v>
      </c>
      <c r="AB52" s="254">
        <v>-4564.0272903466685</v>
      </c>
      <c r="AC52" s="254">
        <v>17111.886696466696</v>
      </c>
      <c r="AD52" s="254">
        <v>-21239.404861403353</v>
      </c>
      <c r="AE52" s="254">
        <v>1869.8364270612656</v>
      </c>
      <c r="AF52" s="254">
        <v>-4637.4838663360715</v>
      </c>
      <c r="AG52" s="254">
        <v>133.28553182116593</v>
      </c>
      <c r="AH52" s="254">
        <v>8409.0996775932872</v>
      </c>
      <c r="AI52" s="254">
        <v>15607.841266693998</v>
      </c>
      <c r="AJ52" s="254">
        <v>10848.743839814386</v>
      </c>
      <c r="AK52" s="254">
        <v>10204.332908340293</v>
      </c>
      <c r="AL52" s="254">
        <v>-1341.1345656433259</v>
      </c>
      <c r="AM52" s="254">
        <v>7424.5845885777308</v>
      </c>
      <c r="AN52" s="254">
        <v>12828.819371995356</v>
      </c>
      <c r="AO52" s="254">
        <v>22907.824274312399</v>
      </c>
      <c r="AP52" s="254">
        <v>-24407.046222028614</v>
      </c>
      <c r="AQ52" s="254">
        <v>13664.606037858313</v>
      </c>
      <c r="AR52" s="254">
        <v>-38957.862042547669</v>
      </c>
      <c r="AS52" s="254">
        <v>11681.309426471184</v>
      </c>
      <c r="AT52" s="254">
        <v>-26929.962963792743</v>
      </c>
      <c r="AU52" s="254">
        <v>15707.372617168796</v>
      </c>
      <c r="AV52" s="254">
        <v>-17937.293994308537</v>
      </c>
      <c r="AW52" s="254">
        <v>12178.792840869799</v>
      </c>
      <c r="AX52" s="254">
        <v>-10632.627610124371</v>
      </c>
      <c r="AY52" s="254">
        <v>13114.761745674128</v>
      </c>
      <c r="BA52" s="92"/>
      <c r="BB52" s="92"/>
    </row>
    <row r="53" spans="2:54">
      <c r="B53" s="230">
        <v>10136</v>
      </c>
      <c r="C53" s="230" t="s">
        <v>56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4">
        <v>0</v>
      </c>
      <c r="Q53" s="254">
        <v>0</v>
      </c>
      <c r="R53" s="254">
        <v>0</v>
      </c>
      <c r="S53" s="254">
        <v>0</v>
      </c>
      <c r="T53" s="254">
        <v>0</v>
      </c>
      <c r="U53" s="254">
        <v>0</v>
      </c>
      <c r="V53" s="254">
        <v>0</v>
      </c>
      <c r="W53" s="254">
        <v>0</v>
      </c>
      <c r="X53" s="254">
        <v>0</v>
      </c>
      <c r="Y53" s="254">
        <v>0</v>
      </c>
      <c r="Z53" s="254">
        <v>0</v>
      </c>
      <c r="AA53" s="254">
        <v>0</v>
      </c>
      <c r="AB53" s="254">
        <v>0</v>
      </c>
      <c r="AC53" s="254">
        <v>0</v>
      </c>
      <c r="AD53" s="254">
        <v>0</v>
      </c>
      <c r="AE53" s="254">
        <v>0</v>
      </c>
      <c r="AF53" s="254">
        <v>0</v>
      </c>
      <c r="AG53" s="254">
        <v>0</v>
      </c>
      <c r="AH53" s="254">
        <v>0</v>
      </c>
      <c r="AI53" s="254">
        <v>0</v>
      </c>
      <c r="AJ53" s="254">
        <v>0</v>
      </c>
      <c r="AK53" s="254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</v>
      </c>
      <c r="AU53" s="254">
        <v>0</v>
      </c>
      <c r="AV53" s="254">
        <v>0</v>
      </c>
      <c r="AW53" s="254">
        <v>0</v>
      </c>
      <c r="AX53" s="254">
        <v>0</v>
      </c>
      <c r="AY53" s="254">
        <v>0</v>
      </c>
      <c r="BA53" s="92"/>
      <c r="BB53" s="92"/>
    </row>
    <row r="54" spans="2:54">
      <c r="B54" s="230">
        <v>10142</v>
      </c>
      <c r="C54" s="230" t="s">
        <v>57</v>
      </c>
      <c r="D54" s="254">
        <v>-55.341695655757576</v>
      </c>
      <c r="E54" s="254">
        <v>95.36945355543628</v>
      </c>
      <c r="F54" s="254">
        <v>-367.81413739636787</v>
      </c>
      <c r="G54" s="254">
        <v>-122.9943435896904</v>
      </c>
      <c r="H54" s="254">
        <v>92.268424074330824</v>
      </c>
      <c r="I54" s="254">
        <v>30.096065966687206</v>
      </c>
      <c r="J54" s="254">
        <v>238.83391456044887</v>
      </c>
      <c r="K54" s="254">
        <v>232.17573527663774</v>
      </c>
      <c r="L54" s="254">
        <v>153.30740870722866</v>
      </c>
      <c r="M54" s="254">
        <v>78.488832907305778</v>
      </c>
      <c r="N54" s="254">
        <v>-161.53183512402563</v>
      </c>
      <c r="O54" s="254">
        <v>-73.221922110021978</v>
      </c>
      <c r="P54" s="254">
        <v>241.3231628293745</v>
      </c>
      <c r="Q54" s="254">
        <v>147.26411699852895</v>
      </c>
      <c r="R54" s="254">
        <v>220.77846899372526</v>
      </c>
      <c r="S54" s="254">
        <v>406.13483654182721</v>
      </c>
      <c r="T54" s="254">
        <v>675.18902663355971</v>
      </c>
      <c r="U54" s="254">
        <v>672.91388656780362</v>
      </c>
      <c r="V54" s="254">
        <v>841.38839251360901</v>
      </c>
      <c r="W54" s="254">
        <v>853.25820684954249</v>
      </c>
      <c r="X54" s="254">
        <v>772.93189201924292</v>
      </c>
      <c r="Y54" s="254">
        <v>528.06743302774203</v>
      </c>
      <c r="Z54" s="254">
        <v>203.03085986651968</v>
      </c>
      <c r="AA54" s="254">
        <v>204.39287295978534</v>
      </c>
      <c r="AB54" s="254">
        <v>-53.564695655757532</v>
      </c>
      <c r="AC54" s="254">
        <v>96.572453555436255</v>
      </c>
      <c r="AD54" s="254">
        <v>-366.03013739636788</v>
      </c>
      <c r="AE54" s="254">
        <v>-121.67334358969049</v>
      </c>
      <c r="AF54" s="254">
        <v>94.731424074330789</v>
      </c>
      <c r="AG54" s="254">
        <v>31.871065966687183</v>
      </c>
      <c r="AH54" s="254">
        <v>241.16191456044885</v>
      </c>
      <c r="AI54" s="254">
        <v>234.03473527663778</v>
      </c>
      <c r="AJ54" s="254">
        <v>155.22240870722862</v>
      </c>
      <c r="AK54" s="254">
        <v>79.811832907305757</v>
      </c>
      <c r="AL54" s="254">
        <v>-159.78283512402561</v>
      </c>
      <c r="AM54" s="254">
        <v>-72.071922110021887</v>
      </c>
      <c r="AN54" s="254">
        <v>207.44016282937446</v>
      </c>
      <c r="AO54" s="254">
        <v>184.18311699852904</v>
      </c>
      <c r="AP54" s="254">
        <v>273.44246899372524</v>
      </c>
      <c r="AQ54" s="254">
        <v>357.98983654182723</v>
      </c>
      <c r="AR54" s="254">
        <v>679.05502663355969</v>
      </c>
      <c r="AS54" s="254">
        <v>675.17988656780369</v>
      </c>
      <c r="AT54" s="254">
        <v>845.27639251360893</v>
      </c>
      <c r="AU54" s="254">
        <v>855.97620684954256</v>
      </c>
      <c r="AV54" s="254">
        <v>776.62589201924288</v>
      </c>
      <c r="AW54" s="254">
        <v>530.13043302774213</v>
      </c>
      <c r="AX54" s="254">
        <v>205.3418598665196</v>
      </c>
      <c r="AY54" s="254">
        <v>205.85087295978531</v>
      </c>
      <c r="BA54" s="92"/>
      <c r="BB54" s="92"/>
    </row>
    <row r="55" spans="2:54">
      <c r="B55" s="230">
        <v>10144</v>
      </c>
      <c r="C55" s="230" t="s">
        <v>58</v>
      </c>
      <c r="D55" s="254">
        <v>-28.514956183433469</v>
      </c>
      <c r="E55" s="254">
        <v>85.383007479482444</v>
      </c>
      <c r="F55" s="254">
        <v>114.62315364502638</v>
      </c>
      <c r="G55" s="254">
        <v>119.1100239361831</v>
      </c>
      <c r="H55" s="254">
        <v>516.53270508135574</v>
      </c>
      <c r="I55" s="254">
        <v>182.52724695429629</v>
      </c>
      <c r="J55" s="254">
        <v>753.44647107840751</v>
      </c>
      <c r="K55" s="254">
        <v>498.52289809975343</v>
      </c>
      <c r="L55" s="254">
        <v>683.27781196674914</v>
      </c>
      <c r="M55" s="254">
        <v>346.43146858550551</v>
      </c>
      <c r="N55" s="254">
        <v>245.65567712441475</v>
      </c>
      <c r="O55" s="254">
        <v>119.154600929092</v>
      </c>
      <c r="P55" s="254">
        <v>349.59539729201447</v>
      </c>
      <c r="Q55" s="254">
        <v>200.03164995610598</v>
      </c>
      <c r="R55" s="254">
        <v>-503.0795145597715</v>
      </c>
      <c r="S55" s="254">
        <v>-20.721864571743481</v>
      </c>
      <c r="T55" s="254">
        <v>-766.12899946331709</v>
      </c>
      <c r="U55" s="254">
        <v>-136.26788070212251</v>
      </c>
      <c r="V55" s="254">
        <v>-657.03885090935228</v>
      </c>
      <c r="W55" s="254">
        <v>-164.9781769586549</v>
      </c>
      <c r="X55" s="254">
        <v>-504.67561631227636</v>
      </c>
      <c r="Y55" s="254">
        <v>-199.88377252501186</v>
      </c>
      <c r="Z55" s="254">
        <v>-350.11774203329855</v>
      </c>
      <c r="AA55" s="254">
        <v>-169.3041066969314</v>
      </c>
      <c r="AB55" s="254">
        <v>-26.669956183433442</v>
      </c>
      <c r="AC55" s="254">
        <v>86.552007479482427</v>
      </c>
      <c r="AD55" s="254">
        <v>116.44415364502652</v>
      </c>
      <c r="AE55" s="254">
        <v>120.30402393618306</v>
      </c>
      <c r="AF55" s="254">
        <v>518.35970508135551</v>
      </c>
      <c r="AG55" s="254">
        <v>183.71524695429639</v>
      </c>
      <c r="AH55" s="254">
        <v>755.19747107840749</v>
      </c>
      <c r="AI55" s="254">
        <v>499.78689809975356</v>
      </c>
      <c r="AJ55" s="254">
        <v>685.11581196674933</v>
      </c>
      <c r="AK55" s="254">
        <v>347.60846858550565</v>
      </c>
      <c r="AL55" s="254">
        <v>247.53167712441473</v>
      </c>
      <c r="AM55" s="254">
        <v>120.29360092909201</v>
      </c>
      <c r="AN55" s="254">
        <v>289.8823972920145</v>
      </c>
      <c r="AO55" s="254">
        <v>262.75964995610593</v>
      </c>
      <c r="AP55" s="254">
        <v>-451.49151455977153</v>
      </c>
      <c r="AQ55" s="254">
        <v>-69.29486457174346</v>
      </c>
      <c r="AR55" s="254">
        <v>-764.19099946331721</v>
      </c>
      <c r="AS55" s="254">
        <v>-135.19088070212251</v>
      </c>
      <c r="AT55" s="254">
        <v>-655.22585090935229</v>
      </c>
      <c r="AU55" s="254">
        <v>-163.7761769586549</v>
      </c>
      <c r="AV55" s="254">
        <v>-502.6976163122763</v>
      </c>
      <c r="AW55" s="254">
        <v>-198.84677252501194</v>
      </c>
      <c r="AX55" s="254">
        <v>-348.2257420332985</v>
      </c>
      <c r="AY55" s="254">
        <v>-168.18110669693135</v>
      </c>
      <c r="BA55" s="92"/>
      <c r="BB55" s="92"/>
    </row>
    <row r="56" spans="2:54">
      <c r="B56" s="230">
        <v>10156</v>
      </c>
      <c r="C56" s="230" t="s">
        <v>59</v>
      </c>
      <c r="D56" s="254">
        <v>-581.31363663100819</v>
      </c>
      <c r="E56" s="254">
        <v>419.75026340583918</v>
      </c>
      <c r="F56" s="254">
        <v>-759.30249810291571</v>
      </c>
      <c r="G56" s="254">
        <v>963.39561650119504</v>
      </c>
      <c r="H56" s="254">
        <v>4385.0335743540782</v>
      </c>
      <c r="I56" s="254">
        <v>2529.5191930210876</v>
      </c>
      <c r="J56" s="254">
        <v>7208.6633964780704</v>
      </c>
      <c r="K56" s="254">
        <v>4267.142346153425</v>
      </c>
      <c r="L56" s="254">
        <v>5949.6169255962432</v>
      </c>
      <c r="M56" s="254">
        <v>3407.861824192225</v>
      </c>
      <c r="N56" s="254">
        <v>1779.4596338378724</v>
      </c>
      <c r="O56" s="254">
        <v>1594.1387505270395</v>
      </c>
      <c r="P56" s="254">
        <v>2642.4775362217533</v>
      </c>
      <c r="Q56" s="254">
        <v>2094.4996197371465</v>
      </c>
      <c r="R56" s="254">
        <v>-5622.0762333685798</v>
      </c>
      <c r="S56" s="254">
        <v>-496.85122024416432</v>
      </c>
      <c r="T56" s="254">
        <v>-8336.041040775659</v>
      </c>
      <c r="U56" s="254">
        <v>-1245.0072048076718</v>
      </c>
      <c r="V56" s="254">
        <v>-5742.9474844576198</v>
      </c>
      <c r="W56" s="254">
        <v>-1257.2506872829263</v>
      </c>
      <c r="X56" s="254">
        <v>-5186.8175625307613</v>
      </c>
      <c r="Y56" s="254">
        <v>-1097.4279437189343</v>
      </c>
      <c r="Z56" s="254">
        <v>-4008.9009651073629</v>
      </c>
      <c r="AA56" s="254">
        <v>-1366.580067677487</v>
      </c>
      <c r="AB56" s="254">
        <v>-578.21963663100723</v>
      </c>
      <c r="AC56" s="254">
        <v>414.85326340583833</v>
      </c>
      <c r="AD56" s="254">
        <v>-753.93349810291511</v>
      </c>
      <c r="AE56" s="254">
        <v>964.22061650119394</v>
      </c>
      <c r="AF56" s="254">
        <v>4387.318574354078</v>
      </c>
      <c r="AG56" s="254">
        <v>2527.9861930210882</v>
      </c>
      <c r="AH56" s="254">
        <v>7212.3373964780658</v>
      </c>
      <c r="AI56" s="254">
        <v>4263.3033461534269</v>
      </c>
      <c r="AJ56" s="254">
        <v>5957.3309255962431</v>
      </c>
      <c r="AK56" s="254">
        <v>3409.9848241922264</v>
      </c>
      <c r="AL56" s="254">
        <v>1781.1526338378717</v>
      </c>
      <c r="AM56" s="254">
        <v>1592.7317505270385</v>
      </c>
      <c r="AN56" s="254">
        <v>2672.4405362217531</v>
      </c>
      <c r="AO56" s="254">
        <v>2066.9586197371473</v>
      </c>
      <c r="AP56" s="254">
        <v>-5648.2752333685785</v>
      </c>
      <c r="AQ56" s="254">
        <v>-475.88622024416418</v>
      </c>
      <c r="AR56" s="254">
        <v>-8333.8480407756579</v>
      </c>
      <c r="AS56" s="254">
        <v>-1248.0192048076724</v>
      </c>
      <c r="AT56" s="254">
        <v>-5736.9564844576198</v>
      </c>
      <c r="AU56" s="254">
        <v>-1260.8636872829256</v>
      </c>
      <c r="AV56" s="254">
        <v>-5183.3515625307609</v>
      </c>
      <c r="AW56" s="254">
        <v>-1099.4189437189343</v>
      </c>
      <c r="AX56" s="254">
        <v>-4006.5079651073629</v>
      </c>
      <c r="AY56" s="254">
        <v>-1370.2730676774872</v>
      </c>
      <c r="BA56" s="92"/>
      <c r="BB56" s="92"/>
    </row>
    <row r="57" spans="2:54">
      <c r="B57" s="230">
        <v>10157</v>
      </c>
      <c r="C57" s="230" t="s">
        <v>60</v>
      </c>
      <c r="D57" s="254">
        <v>-1485.7508066438495</v>
      </c>
      <c r="E57" s="254">
        <v>1089.9769926329709</v>
      </c>
      <c r="F57" s="254">
        <v>-1775.7604372672595</v>
      </c>
      <c r="G57" s="254">
        <v>640.27743277749869</v>
      </c>
      <c r="H57" s="254">
        <v>1678.8085277896771</v>
      </c>
      <c r="I57" s="254">
        <v>1737.4913029165627</v>
      </c>
      <c r="J57" s="254">
        <v>2174.1148855431184</v>
      </c>
      <c r="K57" s="254">
        <v>2784.3404826875294</v>
      </c>
      <c r="L57" s="254">
        <v>2326.0983370474014</v>
      </c>
      <c r="M57" s="254">
        <v>1970.3601672567056</v>
      </c>
      <c r="N57" s="254">
        <v>-29.900692807246742</v>
      </c>
      <c r="O57" s="254">
        <v>894.61139486929369</v>
      </c>
      <c r="P57" s="254">
        <v>1206.3617313362838</v>
      </c>
      <c r="Q57" s="254">
        <v>1722.9710268387353</v>
      </c>
      <c r="R57" s="254">
        <v>-4278.8341981553531</v>
      </c>
      <c r="S57" s="254">
        <v>757.92890485985026</v>
      </c>
      <c r="T57" s="254">
        <v>-5830.1867176951528</v>
      </c>
      <c r="U57" s="254">
        <v>123.63146358827635</v>
      </c>
      <c r="V57" s="254">
        <v>-3781.5065707975464</v>
      </c>
      <c r="W57" s="254">
        <v>991.92134005374464</v>
      </c>
      <c r="X57" s="254">
        <v>-2981.2917715588374</v>
      </c>
      <c r="Y57" s="254">
        <v>591.24590879442167</v>
      </c>
      <c r="Z57" s="254">
        <v>-2791.3162623128655</v>
      </c>
      <c r="AA57" s="254">
        <v>127.7924668389569</v>
      </c>
      <c r="AB57" s="254">
        <v>-1304.1779041149421</v>
      </c>
      <c r="AC57" s="254">
        <v>1233.1402427038411</v>
      </c>
      <c r="AD57" s="254">
        <v>-1555.3030156176173</v>
      </c>
      <c r="AE57" s="254">
        <v>817.194513651335</v>
      </c>
      <c r="AF57" s="254">
        <v>1951.1678815830819</v>
      </c>
      <c r="AG57" s="254">
        <v>1952.2361780229012</v>
      </c>
      <c r="AH57" s="254">
        <v>2415.3238274147989</v>
      </c>
      <c r="AI57" s="254">
        <v>2991.7801726971747</v>
      </c>
      <c r="AJ57" s="254">
        <v>2548.2862309314869</v>
      </c>
      <c r="AK57" s="254">
        <v>2137.0010876697688</v>
      </c>
      <c r="AL57" s="254">
        <v>186.23735988295266</v>
      </c>
      <c r="AM57" s="254">
        <v>1050.2107800235808</v>
      </c>
      <c r="AN57" s="254">
        <v>1047.8711599817425</v>
      </c>
      <c r="AO57" s="254">
        <v>2219.016283132516</v>
      </c>
      <c r="AP57" s="254">
        <v>-3808.2576663348063</v>
      </c>
      <c r="AQ57" s="254">
        <v>590.72430507331865</v>
      </c>
      <c r="AR57" s="254">
        <v>-5667.248928846845</v>
      </c>
      <c r="AS57" s="254">
        <v>242.70138620819307</v>
      </c>
      <c r="AT57" s="254">
        <v>-3606.9172414428267</v>
      </c>
      <c r="AU57" s="254">
        <v>1142.0681632988035</v>
      </c>
      <c r="AV57" s="254">
        <v>-2795.2163021149645</v>
      </c>
      <c r="AW57" s="254">
        <v>725.63374783721883</v>
      </c>
      <c r="AX57" s="254">
        <v>-2632.2715092120643</v>
      </c>
      <c r="AY57" s="254">
        <v>255.02826931959771</v>
      </c>
      <c r="BA57" s="92"/>
      <c r="BB57" s="92"/>
    </row>
    <row r="58" spans="2:54">
      <c r="B58" s="230">
        <v>10158</v>
      </c>
      <c r="C58" s="230" t="s">
        <v>61</v>
      </c>
      <c r="D58" s="254">
        <v>-245.38641019585657</v>
      </c>
      <c r="E58" s="254">
        <v>28.295836761051646</v>
      </c>
      <c r="F58" s="254">
        <v>-293.62508358670277</v>
      </c>
      <c r="G58" s="254">
        <v>-5.8621701620182876</v>
      </c>
      <c r="H58" s="254">
        <v>208.00363522046428</v>
      </c>
      <c r="I58" s="254">
        <v>211.36331048637021</v>
      </c>
      <c r="J58" s="254">
        <v>388.90146281115938</v>
      </c>
      <c r="K58" s="254">
        <v>421.7877840682246</v>
      </c>
      <c r="L58" s="254">
        <v>184.9780701381253</v>
      </c>
      <c r="M58" s="254">
        <v>192.29248445004953</v>
      </c>
      <c r="N58" s="254">
        <v>24.718031762958617</v>
      </c>
      <c r="O58" s="254">
        <v>157.41964110549088</v>
      </c>
      <c r="P58" s="254">
        <v>53.838407266198715</v>
      </c>
      <c r="Q58" s="254">
        <v>146.61587731558933</v>
      </c>
      <c r="R58" s="254">
        <v>-447.75251819582297</v>
      </c>
      <c r="S58" s="254">
        <v>43.150395830974389</v>
      </c>
      <c r="T58" s="254">
        <v>-597.43826522206848</v>
      </c>
      <c r="U58" s="254">
        <v>-37.539213566787794</v>
      </c>
      <c r="V58" s="254">
        <v>-440.71003894206478</v>
      </c>
      <c r="W58" s="254">
        <v>-26.541770110134507</v>
      </c>
      <c r="X58" s="254">
        <v>-351.26979984657225</v>
      </c>
      <c r="Y58" s="254">
        <v>-52.555621929898734</v>
      </c>
      <c r="Z58" s="254">
        <v>-381.42402330887012</v>
      </c>
      <c r="AA58" s="254">
        <v>-104.11681381410676</v>
      </c>
      <c r="AB58" s="254">
        <v>-245.38641019585657</v>
      </c>
      <c r="AC58" s="254">
        <v>28.295836761051646</v>
      </c>
      <c r="AD58" s="254">
        <v>-293.62508358670277</v>
      </c>
      <c r="AE58" s="254">
        <v>-5.8621701620182876</v>
      </c>
      <c r="AF58" s="254">
        <v>208.00363522046428</v>
      </c>
      <c r="AG58" s="254">
        <v>211.36331048637021</v>
      </c>
      <c r="AH58" s="254">
        <v>388.90146281115938</v>
      </c>
      <c r="AI58" s="254">
        <v>421.7877840682246</v>
      </c>
      <c r="AJ58" s="254">
        <v>184.9780701381253</v>
      </c>
      <c r="AK58" s="254">
        <v>192.29248445004953</v>
      </c>
      <c r="AL58" s="254">
        <v>24.718031762958617</v>
      </c>
      <c r="AM58" s="254">
        <v>157.41964110549088</v>
      </c>
      <c r="AN58" s="254">
        <v>19.949407266198705</v>
      </c>
      <c r="AO58" s="254">
        <v>180.50487731558934</v>
      </c>
      <c r="AP58" s="254">
        <v>-417.04051819582287</v>
      </c>
      <c r="AQ58" s="254">
        <v>12.438395830974287</v>
      </c>
      <c r="AR58" s="254">
        <v>-597.43826522206848</v>
      </c>
      <c r="AS58" s="254">
        <v>-37.539213566787794</v>
      </c>
      <c r="AT58" s="254">
        <v>-440.71003894206478</v>
      </c>
      <c r="AU58" s="254">
        <v>-26.541770110134507</v>
      </c>
      <c r="AV58" s="254">
        <v>-351.26979984657225</v>
      </c>
      <c r="AW58" s="254">
        <v>-52.555621929898734</v>
      </c>
      <c r="AX58" s="254">
        <v>-381.42402330887012</v>
      </c>
      <c r="AY58" s="254">
        <v>-104.11681381410676</v>
      </c>
      <c r="BA58" s="92"/>
      <c r="BB58" s="92"/>
    </row>
    <row r="59" spans="2:54">
      <c r="B59" s="230">
        <v>10170</v>
      </c>
      <c r="C59" s="230" t="s">
        <v>62</v>
      </c>
      <c r="D59" s="254">
        <v>-4380.9382993913096</v>
      </c>
      <c r="E59" s="254">
        <v>7102.6642614960147</v>
      </c>
      <c r="F59" s="254">
        <v>-16473.51324923808</v>
      </c>
      <c r="G59" s="254">
        <v>-3578.6088961509558</v>
      </c>
      <c r="H59" s="254">
        <v>98.64645863413898</v>
      </c>
      <c r="I59" s="254">
        <v>2009.5586528316999</v>
      </c>
      <c r="J59" s="254">
        <v>10127.455814634654</v>
      </c>
      <c r="K59" s="254">
        <v>12979.170830264356</v>
      </c>
      <c r="L59" s="254">
        <v>11889.776329081098</v>
      </c>
      <c r="M59" s="254">
        <v>9971.35215452169</v>
      </c>
      <c r="N59" s="254">
        <v>2514.6525302568552</v>
      </c>
      <c r="O59" s="254">
        <v>6087.0435985100157</v>
      </c>
      <c r="P59" s="254">
        <v>6676.7347174962415</v>
      </c>
      <c r="Q59" s="254">
        <v>8806.985110225527</v>
      </c>
      <c r="R59" s="254">
        <v>-22461.626446162561</v>
      </c>
      <c r="S59" s="254">
        <v>1399.2692931806487</v>
      </c>
      <c r="T59" s="254">
        <v>-27231.289830821814</v>
      </c>
      <c r="U59" s="254">
        <v>566.38525971414492</v>
      </c>
      <c r="V59" s="254">
        <v>-15196.287836241703</v>
      </c>
      <c r="W59" s="254">
        <v>6743.1833974482106</v>
      </c>
      <c r="X59" s="254">
        <v>-9661.8626933086562</v>
      </c>
      <c r="Y59" s="254">
        <v>5833.4469587113272</v>
      </c>
      <c r="Z59" s="254">
        <v>-8446.2216832419144</v>
      </c>
      <c r="AA59" s="254">
        <v>4263.9609028932537</v>
      </c>
      <c r="AB59" s="254">
        <v>-3483.1755965711418</v>
      </c>
      <c r="AC59" s="254">
        <v>7920.2952908726147</v>
      </c>
      <c r="AD59" s="254">
        <v>-15755.067641052054</v>
      </c>
      <c r="AE59" s="254">
        <v>-2901.7966037278929</v>
      </c>
      <c r="AF59" s="254">
        <v>1252.6184393624499</v>
      </c>
      <c r="AG59" s="254">
        <v>2939.5095377925682</v>
      </c>
      <c r="AH59" s="254">
        <v>11408.560186535149</v>
      </c>
      <c r="AI59" s="254">
        <v>14125.31925595658</v>
      </c>
      <c r="AJ59" s="254">
        <v>13120.291178723826</v>
      </c>
      <c r="AK59" s="254">
        <v>10905.198927162863</v>
      </c>
      <c r="AL59" s="254">
        <v>3654.9329731924445</v>
      </c>
      <c r="AM59" s="254">
        <v>6952.4131387578818</v>
      </c>
      <c r="AN59" s="254">
        <v>6010.722761659461</v>
      </c>
      <c r="AO59" s="254">
        <v>11321.10134844108</v>
      </c>
      <c r="AP59" s="254">
        <v>-20607.584682720648</v>
      </c>
      <c r="AQ59" s="254">
        <v>700.86901189880882</v>
      </c>
      <c r="AR59" s="254">
        <v>-26720.213171132156</v>
      </c>
      <c r="AS59" s="254">
        <v>1152.6898167349609</v>
      </c>
      <c r="AT59" s="254">
        <v>-14447.274269185829</v>
      </c>
      <c r="AU59" s="254">
        <v>7593.3577481761204</v>
      </c>
      <c r="AV59" s="254">
        <v>-8758.546529423169</v>
      </c>
      <c r="AW59" s="254">
        <v>6619.0668975567896</v>
      </c>
      <c r="AX59" s="254">
        <v>-7654.6366668792252</v>
      </c>
      <c r="AY59" s="254">
        <v>5011.8344230856746</v>
      </c>
      <c r="BA59" s="92"/>
      <c r="BB59" s="92"/>
    </row>
    <row r="60" spans="2:54">
      <c r="B60" s="230">
        <v>10172</v>
      </c>
      <c r="C60" s="230" t="s">
        <v>63</v>
      </c>
      <c r="D60" s="254">
        <v>-62.903694802826067</v>
      </c>
      <c r="E60" s="254">
        <v>62.436065143269843</v>
      </c>
      <c r="F60" s="254">
        <v>-686.1954784910663</v>
      </c>
      <c r="G60" s="254">
        <v>-319.81459656985203</v>
      </c>
      <c r="H60" s="254">
        <v>-21.810661370941943</v>
      </c>
      <c r="I60" s="254">
        <v>-161.47094858094624</v>
      </c>
      <c r="J60" s="254">
        <v>448.63126313556995</v>
      </c>
      <c r="K60" s="254">
        <v>131.93850997274581</v>
      </c>
      <c r="L60" s="254">
        <v>379.02162120964454</v>
      </c>
      <c r="M60" s="254">
        <v>106.88333855645783</v>
      </c>
      <c r="N60" s="254">
        <v>-124.50547206493775</v>
      </c>
      <c r="O60" s="254">
        <v>-63.815075567247959</v>
      </c>
      <c r="P60" s="254">
        <v>329.61833040066222</v>
      </c>
      <c r="Q60" s="254">
        <v>211.82000789173594</v>
      </c>
      <c r="R60" s="254">
        <v>-637.11725539315421</v>
      </c>
      <c r="S60" s="254">
        <v>54.862002028814004</v>
      </c>
      <c r="T60" s="254">
        <v>-898.12652529185198</v>
      </c>
      <c r="U60" s="254">
        <v>74.192911676889935</v>
      </c>
      <c r="V60" s="254">
        <v>-353.41651978699019</v>
      </c>
      <c r="W60" s="254">
        <v>128.24135075381992</v>
      </c>
      <c r="X60" s="254">
        <v>-239.48843279993389</v>
      </c>
      <c r="Y60" s="254">
        <v>90.843135659728205</v>
      </c>
      <c r="Z60" s="254">
        <v>-283.54721494976593</v>
      </c>
      <c r="AA60" s="254">
        <v>18.243860297886158</v>
      </c>
      <c r="AB60" s="254">
        <v>-62.495196305443187</v>
      </c>
      <c r="AC60" s="254">
        <v>62.916110246437711</v>
      </c>
      <c r="AD60" s="254">
        <v>-687.14557431512185</v>
      </c>
      <c r="AE60" s="254">
        <v>-320.1168245667518</v>
      </c>
      <c r="AF60" s="254">
        <v>-21.28001956873095</v>
      </c>
      <c r="AG60" s="254">
        <v>-161.44468491383259</v>
      </c>
      <c r="AH60" s="254">
        <v>450.35226165768518</v>
      </c>
      <c r="AI60" s="254">
        <v>132.70151732366753</v>
      </c>
      <c r="AJ60" s="254">
        <v>380.53090997848471</v>
      </c>
      <c r="AK60" s="254">
        <v>107.53836558017383</v>
      </c>
      <c r="AL60" s="254">
        <v>-124.09996664242954</v>
      </c>
      <c r="AM60" s="254">
        <v>-63.522797911555699</v>
      </c>
      <c r="AN60" s="254">
        <v>331.05843449889062</v>
      </c>
      <c r="AO60" s="254">
        <v>212.73488574271414</v>
      </c>
      <c r="AP60" s="254">
        <v>-638.01210377400002</v>
      </c>
      <c r="AQ60" s="254">
        <v>55.376326048339479</v>
      </c>
      <c r="AR60" s="254">
        <v>-899.85109782640211</v>
      </c>
      <c r="AS60" s="254">
        <v>74.590581544114229</v>
      </c>
      <c r="AT60" s="254">
        <v>-353.58866447614628</v>
      </c>
      <c r="AU60" s="254">
        <v>128.95093076174157</v>
      </c>
      <c r="AV60" s="254">
        <v>-239.3884251919535</v>
      </c>
      <c r="AW60" s="254">
        <v>91.429320213611618</v>
      </c>
      <c r="AX60" s="254">
        <v>-283.68461643794899</v>
      </c>
      <c r="AY60" s="254">
        <v>18.627895931588228</v>
      </c>
      <c r="BA60" s="92"/>
      <c r="BB60" s="92"/>
    </row>
    <row r="61" spans="2:54">
      <c r="B61" s="230">
        <v>10173</v>
      </c>
      <c r="C61" s="230" t="s">
        <v>64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4">
        <v>0</v>
      </c>
      <c r="AD61" s="254">
        <v>0</v>
      </c>
      <c r="AE61" s="254">
        <v>0</v>
      </c>
      <c r="AF61" s="254">
        <v>0</v>
      </c>
      <c r="AG61" s="254">
        <v>0</v>
      </c>
      <c r="AH61" s="254">
        <v>0</v>
      </c>
      <c r="AI61" s="254">
        <v>0</v>
      </c>
      <c r="AJ61" s="254">
        <v>0</v>
      </c>
      <c r="AK61" s="254">
        <v>0</v>
      </c>
      <c r="AL61" s="254">
        <v>0</v>
      </c>
      <c r="AM61" s="254">
        <v>0</v>
      </c>
      <c r="AN61" s="254">
        <v>0</v>
      </c>
      <c r="AO61" s="254">
        <v>0</v>
      </c>
      <c r="AP61" s="254">
        <v>0</v>
      </c>
      <c r="AQ61" s="254">
        <v>0</v>
      </c>
      <c r="AR61" s="254">
        <v>0</v>
      </c>
      <c r="AS61" s="254">
        <v>0</v>
      </c>
      <c r="AT61" s="254">
        <v>0</v>
      </c>
      <c r="AU61" s="254">
        <v>0</v>
      </c>
      <c r="AV61" s="254">
        <v>0</v>
      </c>
      <c r="AW61" s="254">
        <v>0</v>
      </c>
      <c r="AX61" s="254">
        <v>0</v>
      </c>
      <c r="AY61" s="254">
        <v>0</v>
      </c>
      <c r="BA61" s="92"/>
      <c r="BB61" s="92"/>
    </row>
    <row r="62" spans="2:54">
      <c r="B62" s="230">
        <v>10174</v>
      </c>
      <c r="C62" s="230" t="s">
        <v>65</v>
      </c>
      <c r="D62" s="254">
        <v>-32.155740993648891</v>
      </c>
      <c r="E62" s="254">
        <v>16.427967582865506</v>
      </c>
      <c r="F62" s="254">
        <v>-53.521463245884917</v>
      </c>
      <c r="G62" s="254">
        <v>-5.2866685144277881</v>
      </c>
      <c r="H62" s="254">
        <v>68.853937578283677</v>
      </c>
      <c r="I62" s="254">
        <v>56.875753315133096</v>
      </c>
      <c r="J62" s="254">
        <v>96.336575730460538</v>
      </c>
      <c r="K62" s="254">
        <v>102.38706726113691</v>
      </c>
      <c r="L62" s="254">
        <v>67.95264926459663</v>
      </c>
      <c r="M62" s="254">
        <v>53.925284369893703</v>
      </c>
      <c r="N62" s="254">
        <v>4.6459417558343432</v>
      </c>
      <c r="O62" s="254">
        <v>24.409913515112805</v>
      </c>
      <c r="P62" s="254">
        <v>15.434881185674328</v>
      </c>
      <c r="Q62" s="254">
        <v>25.676120894860404</v>
      </c>
      <c r="R62" s="254">
        <v>-90.161954602498071</v>
      </c>
      <c r="S62" s="254">
        <v>2.8030866325971147</v>
      </c>
      <c r="T62" s="254">
        <v>-93.152583147727796</v>
      </c>
      <c r="U62" s="254">
        <v>1.931524456158499</v>
      </c>
      <c r="V62" s="254">
        <v>-56.471362463923498</v>
      </c>
      <c r="W62" s="254">
        <v>9.8180760888230054</v>
      </c>
      <c r="X62" s="254">
        <v>-52.695607235265072</v>
      </c>
      <c r="Y62" s="254">
        <v>-9.1626047532407853</v>
      </c>
      <c r="Z62" s="254">
        <v>-60.263382553439897</v>
      </c>
      <c r="AA62" s="254">
        <v>-16.160442894842078</v>
      </c>
      <c r="AB62" s="254">
        <v>-32.155740993648891</v>
      </c>
      <c r="AC62" s="254">
        <v>16.427967582865506</v>
      </c>
      <c r="AD62" s="254">
        <v>-53.521463245884917</v>
      </c>
      <c r="AE62" s="254">
        <v>-5.2866685144277881</v>
      </c>
      <c r="AF62" s="254">
        <v>68.853937578283677</v>
      </c>
      <c r="AG62" s="254">
        <v>56.875753315133096</v>
      </c>
      <c r="AH62" s="254">
        <v>96.336575730460538</v>
      </c>
      <c r="AI62" s="254">
        <v>102.38706726113691</v>
      </c>
      <c r="AJ62" s="254">
        <v>67.95264926459663</v>
      </c>
      <c r="AK62" s="254">
        <v>53.925284369893703</v>
      </c>
      <c r="AL62" s="254">
        <v>4.6459417558343432</v>
      </c>
      <c r="AM62" s="254">
        <v>24.409913515112805</v>
      </c>
      <c r="AN62" s="254">
        <v>8.2038811856743337</v>
      </c>
      <c r="AO62" s="254">
        <v>32.907120894860398</v>
      </c>
      <c r="AP62" s="254">
        <v>-83.724954602498087</v>
      </c>
      <c r="AQ62" s="254">
        <v>-3.6339133674028972</v>
      </c>
      <c r="AR62" s="254">
        <v>-93.152583147727796</v>
      </c>
      <c r="AS62" s="254">
        <v>1.931524456158499</v>
      </c>
      <c r="AT62" s="254">
        <v>-56.471362463923498</v>
      </c>
      <c r="AU62" s="254">
        <v>9.8180760888230054</v>
      </c>
      <c r="AV62" s="254">
        <v>-52.695607235265072</v>
      </c>
      <c r="AW62" s="254">
        <v>-9.1626047532407853</v>
      </c>
      <c r="AX62" s="254">
        <v>-60.263382553439897</v>
      </c>
      <c r="AY62" s="254">
        <v>-16.160442894842078</v>
      </c>
      <c r="BA62" s="92"/>
      <c r="BB62" s="92"/>
    </row>
    <row r="63" spans="2:54">
      <c r="B63" s="230">
        <v>10177</v>
      </c>
      <c r="C63" s="230" t="s">
        <v>66</v>
      </c>
      <c r="D63" s="254">
        <v>-602.06188776883801</v>
      </c>
      <c r="E63" s="254">
        <v>-22.912981364000643</v>
      </c>
      <c r="F63" s="254">
        <v>-1009.0601045084818</v>
      </c>
      <c r="G63" s="254">
        <v>-237.28718815844604</v>
      </c>
      <c r="H63" s="254">
        <v>770.25046888588713</v>
      </c>
      <c r="I63" s="254">
        <v>541.48537929343956</v>
      </c>
      <c r="J63" s="254">
        <v>1827.4892873372551</v>
      </c>
      <c r="K63" s="254">
        <v>1287.2870102043903</v>
      </c>
      <c r="L63" s="254">
        <v>1102.8433211371821</v>
      </c>
      <c r="M63" s="254">
        <v>762.05943724057761</v>
      </c>
      <c r="N63" s="254">
        <v>100.60914191593565</v>
      </c>
      <c r="O63" s="254">
        <v>368.55842966131149</v>
      </c>
      <c r="P63" s="254">
        <v>412.47091509329493</v>
      </c>
      <c r="Q63" s="254">
        <v>496.59236555967118</v>
      </c>
      <c r="R63" s="254">
        <v>-1905.4493311340252</v>
      </c>
      <c r="S63" s="254">
        <v>-278.45309546490398</v>
      </c>
      <c r="T63" s="254">
        <v>-2631.1518974641458</v>
      </c>
      <c r="U63" s="254">
        <v>-402.64273766110341</v>
      </c>
      <c r="V63" s="254">
        <v>-1788.5826357910805</v>
      </c>
      <c r="W63" s="254">
        <v>-377.78479659273307</v>
      </c>
      <c r="X63" s="254">
        <v>-1709.7816530148671</v>
      </c>
      <c r="Y63" s="254">
        <v>-434.45835939742278</v>
      </c>
      <c r="Z63" s="254">
        <v>-1544.9674987765775</v>
      </c>
      <c r="AA63" s="254">
        <v>-498.51009743120062</v>
      </c>
      <c r="AB63" s="254">
        <v>-604.60733758889774</v>
      </c>
      <c r="AC63" s="254">
        <v>-23.708697248305725</v>
      </c>
      <c r="AD63" s="254">
        <v>-1012.7027345372048</v>
      </c>
      <c r="AE63" s="254">
        <v>-238.78540225865117</v>
      </c>
      <c r="AF63" s="254">
        <v>770.35446340528415</v>
      </c>
      <c r="AG63" s="254">
        <v>541.48944106609861</v>
      </c>
      <c r="AH63" s="254">
        <v>1829.9153901891273</v>
      </c>
      <c r="AI63" s="254">
        <v>1288.929653776946</v>
      </c>
      <c r="AJ63" s="254">
        <v>1103.9615817600265</v>
      </c>
      <c r="AK63" s="254">
        <v>762.79969185821892</v>
      </c>
      <c r="AL63" s="254">
        <v>99.483440236869683</v>
      </c>
      <c r="AM63" s="254">
        <v>368.46261952059922</v>
      </c>
      <c r="AN63" s="254">
        <v>412.2622428325094</v>
      </c>
      <c r="AO63" s="254">
        <v>496.94295573758336</v>
      </c>
      <c r="AP63" s="254">
        <v>-1910.8670311238261</v>
      </c>
      <c r="AQ63" s="254">
        <v>-279.79109311725711</v>
      </c>
      <c r="AR63" s="254">
        <v>-2638.2039894942013</v>
      </c>
      <c r="AS63" s="254">
        <v>-404.16527629879056</v>
      </c>
      <c r="AT63" s="254">
        <v>-1793.7451876523369</v>
      </c>
      <c r="AU63" s="254">
        <v>-379.33332394822946</v>
      </c>
      <c r="AV63" s="254">
        <v>-1714.7799563913209</v>
      </c>
      <c r="AW63" s="254">
        <v>-436.0953214410863</v>
      </c>
      <c r="AX63" s="254">
        <v>-1549.4405222572968</v>
      </c>
      <c r="AY63" s="254">
        <v>-500.29367087095011</v>
      </c>
      <c r="BA63" s="92"/>
      <c r="BB63" s="92"/>
    </row>
    <row r="64" spans="2:54">
      <c r="B64" s="230">
        <v>10179</v>
      </c>
      <c r="C64" s="230" t="s">
        <v>67</v>
      </c>
      <c r="D64" s="254">
        <v>-1591.870261069198</v>
      </c>
      <c r="E64" s="254">
        <v>711.85445426901424</v>
      </c>
      <c r="F64" s="254">
        <v>-13627.19317499848</v>
      </c>
      <c r="G64" s="254">
        <v>-4768.1544342983907</v>
      </c>
      <c r="H64" s="254">
        <v>15285.262139613929</v>
      </c>
      <c r="I64" s="254">
        <v>6396.6922397315648</v>
      </c>
      <c r="J64" s="254">
        <v>32673.045467486387</v>
      </c>
      <c r="K64" s="254">
        <v>17949.999447024857</v>
      </c>
      <c r="L64" s="254">
        <v>22673.635593979299</v>
      </c>
      <c r="M64" s="254">
        <v>11352.735671491995</v>
      </c>
      <c r="N64" s="254">
        <v>7128.29473411871</v>
      </c>
      <c r="O64" s="254">
        <v>5137.1920025739018</v>
      </c>
      <c r="P64" s="254">
        <v>11641.110521907351</v>
      </c>
      <c r="Q64" s="254">
        <v>8055.2326305725364</v>
      </c>
      <c r="R64" s="254">
        <v>-27912.066490026358</v>
      </c>
      <c r="S64" s="254">
        <v>-5824.5536587114912</v>
      </c>
      <c r="T64" s="254">
        <v>-37835.508615350191</v>
      </c>
      <c r="U64" s="254">
        <v>-6219.766558176314</v>
      </c>
      <c r="V64" s="254">
        <v>-20884.732454216879</v>
      </c>
      <c r="W64" s="254">
        <v>-4960.3695204589385</v>
      </c>
      <c r="X64" s="254">
        <v>-17927.433935894442</v>
      </c>
      <c r="Y64" s="254">
        <v>-5391.6775371149924</v>
      </c>
      <c r="Z64" s="254">
        <v>-18438.546671077995</v>
      </c>
      <c r="AA64" s="254">
        <v>-6342.2710169397687</v>
      </c>
      <c r="AB64" s="254">
        <v>-1765.597261069197</v>
      </c>
      <c r="AC64" s="254">
        <v>413.22145426901261</v>
      </c>
      <c r="AD64" s="254">
        <v>-13790.716174998481</v>
      </c>
      <c r="AE64" s="254">
        <v>-4990.4064342983911</v>
      </c>
      <c r="AF64" s="254">
        <v>15135.011139613925</v>
      </c>
      <c r="AG64" s="254">
        <v>6199.3562397315545</v>
      </c>
      <c r="AH64" s="254">
        <v>32573.115467486379</v>
      </c>
      <c r="AI64" s="254">
        <v>17715.045447024859</v>
      </c>
      <c r="AJ64" s="254">
        <v>22582.082593979285</v>
      </c>
      <c r="AK64" s="254">
        <v>11208.980671491991</v>
      </c>
      <c r="AL64" s="254">
        <v>6915.9027341187029</v>
      </c>
      <c r="AM64" s="254">
        <v>4917.5980025739045</v>
      </c>
      <c r="AN64" s="254">
        <v>12004.324521907343</v>
      </c>
      <c r="AO64" s="254">
        <v>7267.9886305725304</v>
      </c>
      <c r="AP64" s="254">
        <v>-28707.85849002636</v>
      </c>
      <c r="AQ64" s="254">
        <v>-5616.6606587114875</v>
      </c>
      <c r="AR64" s="254">
        <v>-38075.907615350203</v>
      </c>
      <c r="AS64" s="254">
        <v>-6512.9045581763057</v>
      </c>
      <c r="AT64" s="254">
        <v>-21084.771454216876</v>
      </c>
      <c r="AU64" s="254">
        <v>-5327.3625204589407</v>
      </c>
      <c r="AV64" s="254">
        <v>-18181.177935894433</v>
      </c>
      <c r="AW64" s="254">
        <v>-5712.1065371149889</v>
      </c>
      <c r="AX64" s="254">
        <v>-18682.824671078</v>
      </c>
      <c r="AY64" s="254">
        <v>-6640.6530169397738</v>
      </c>
      <c r="BA64" s="92"/>
      <c r="BB64" s="92"/>
    </row>
    <row r="65" spans="2:54">
      <c r="B65" s="230">
        <v>10183</v>
      </c>
      <c r="C65" s="230" t="s">
        <v>68</v>
      </c>
      <c r="D65" s="254">
        <v>-4127.4714697912714</v>
      </c>
      <c r="E65" s="254">
        <v>2658.6791178452659</v>
      </c>
      <c r="F65" s="254">
        <v>-10890.526505690603</v>
      </c>
      <c r="G65" s="254">
        <v>-3339.3876937619771</v>
      </c>
      <c r="H65" s="254">
        <v>-4492.9744130696345</v>
      </c>
      <c r="I65" s="254">
        <v>-2460.5236932649786</v>
      </c>
      <c r="J65" s="254">
        <v>1303.4169605726165</v>
      </c>
      <c r="K65" s="254">
        <v>3512.3715455745551</v>
      </c>
      <c r="L65" s="254">
        <v>-58.837555324123969</v>
      </c>
      <c r="M65" s="254">
        <v>546.24148241038347</v>
      </c>
      <c r="N65" s="254">
        <v>-5428.2679548534688</v>
      </c>
      <c r="O65" s="254">
        <v>-1512.4025850180988</v>
      </c>
      <c r="P65" s="254">
        <v>219.92210352847178</v>
      </c>
      <c r="Q65" s="254">
        <v>2360.7402792980538</v>
      </c>
      <c r="R65" s="254">
        <v>-8925.256521620955</v>
      </c>
      <c r="S65" s="254">
        <v>3927.7185656101574</v>
      </c>
      <c r="T65" s="254">
        <v>-7743.1232800652215</v>
      </c>
      <c r="U65" s="254">
        <v>5804.9221430867856</v>
      </c>
      <c r="V65" s="254">
        <v>152.54469345701</v>
      </c>
      <c r="W65" s="254">
        <v>11228.130769019468</v>
      </c>
      <c r="X65" s="254">
        <v>1847.973439371257</v>
      </c>
      <c r="Y65" s="254">
        <v>8510.5048275680347</v>
      </c>
      <c r="Z65" s="254">
        <v>-2093.6289803024702</v>
      </c>
      <c r="AA65" s="254">
        <v>4498.0612895193444</v>
      </c>
      <c r="AB65" s="254">
        <v>-3750.0371549458177</v>
      </c>
      <c r="AC65" s="254">
        <v>2956.2715583964891</v>
      </c>
      <c r="AD65" s="254">
        <v>-10536.004825556243</v>
      </c>
      <c r="AE65" s="254">
        <v>-3054.8840454541532</v>
      </c>
      <c r="AF65" s="254">
        <v>-4075.2804379740228</v>
      </c>
      <c r="AG65" s="254">
        <v>-2131.1880590549736</v>
      </c>
      <c r="AH65" s="254">
        <v>1734.0791916141752</v>
      </c>
      <c r="AI65" s="254">
        <v>3882.7410642702962</v>
      </c>
      <c r="AJ65" s="254">
        <v>301.17671422074636</v>
      </c>
      <c r="AK65" s="254">
        <v>816.25218456903349</v>
      </c>
      <c r="AL65" s="254">
        <v>-5067.1876942009294</v>
      </c>
      <c r="AM65" s="254">
        <v>-1252.4582307057353</v>
      </c>
      <c r="AN65" s="254">
        <v>-226.95335928732675</v>
      </c>
      <c r="AO65" s="254">
        <v>3428.6403570787152</v>
      </c>
      <c r="AP65" s="254">
        <v>-7650.2836545479768</v>
      </c>
      <c r="AQ65" s="254">
        <v>3363.7738808882823</v>
      </c>
      <c r="AR65" s="254">
        <v>-7269.9045235412523</v>
      </c>
      <c r="AS65" s="254">
        <v>6150.7358497773803</v>
      </c>
      <c r="AT65" s="254">
        <v>694.50165836324959</v>
      </c>
      <c r="AU65" s="254">
        <v>11694.21375883887</v>
      </c>
      <c r="AV65" s="254">
        <v>2407.1568935191644</v>
      </c>
      <c r="AW65" s="254">
        <v>8914.3595444526654</v>
      </c>
      <c r="AX65" s="254">
        <v>-1668.6121343119921</v>
      </c>
      <c r="AY65" s="254">
        <v>4838.074766311729</v>
      </c>
      <c r="BA65" s="92"/>
      <c r="BB65" s="92"/>
    </row>
    <row r="66" spans="2:54">
      <c r="B66" s="230">
        <v>10186</v>
      </c>
      <c r="C66" s="230" t="s">
        <v>69</v>
      </c>
      <c r="D66" s="254">
        <v>-533.43144681735794</v>
      </c>
      <c r="E66" s="254">
        <v>411.5107026293781</v>
      </c>
      <c r="F66" s="254">
        <v>-2307.7580565788521</v>
      </c>
      <c r="G66" s="254">
        <v>-675.68829497182651</v>
      </c>
      <c r="H66" s="254">
        <v>539.06552644071235</v>
      </c>
      <c r="I66" s="254">
        <v>645.65114600219385</v>
      </c>
      <c r="J66" s="254">
        <v>2104.8332724693437</v>
      </c>
      <c r="K66" s="254">
        <v>1494.3326356804928</v>
      </c>
      <c r="L66" s="254">
        <v>1553.9337981668823</v>
      </c>
      <c r="M66" s="254">
        <v>811.95306216038352</v>
      </c>
      <c r="N66" s="254">
        <v>40.184953416031931</v>
      </c>
      <c r="O66" s="254">
        <v>615.9873531730218</v>
      </c>
      <c r="P66" s="254">
        <v>1079.512685834512</v>
      </c>
      <c r="Q66" s="254">
        <v>1277.656030129398</v>
      </c>
      <c r="R66" s="254">
        <v>-2828.2942879093507</v>
      </c>
      <c r="S66" s="254">
        <v>162.38868579660266</v>
      </c>
      <c r="T66" s="254">
        <v>-3901.1200271569278</v>
      </c>
      <c r="U66" s="254">
        <v>43.587802222349637</v>
      </c>
      <c r="V66" s="254">
        <v>-2367.1333049483055</v>
      </c>
      <c r="W66" s="254">
        <v>-40.279584555119982</v>
      </c>
      <c r="X66" s="254">
        <v>-2379.0173155451994</v>
      </c>
      <c r="Y66" s="254">
        <v>-305.2926847922372</v>
      </c>
      <c r="Z66" s="254">
        <v>-1677.0701842409362</v>
      </c>
      <c r="AA66" s="254">
        <v>-50.516674435118148</v>
      </c>
      <c r="AB66" s="254">
        <v>-535.40217007637875</v>
      </c>
      <c r="AC66" s="254">
        <v>415.59924271411546</v>
      </c>
      <c r="AD66" s="254">
        <v>-2321.5459738247937</v>
      </c>
      <c r="AE66" s="254">
        <v>-679.28685852450508</v>
      </c>
      <c r="AF66" s="254">
        <v>529.58417539629045</v>
      </c>
      <c r="AG66" s="254">
        <v>639.71485391826354</v>
      </c>
      <c r="AH66" s="254">
        <v>2107.8418388935834</v>
      </c>
      <c r="AI66" s="254">
        <v>1496.8341716540926</v>
      </c>
      <c r="AJ66" s="254">
        <v>1563.7250872081067</v>
      </c>
      <c r="AK66" s="254">
        <v>817.67344904555557</v>
      </c>
      <c r="AL66" s="254">
        <v>39.754341469918472</v>
      </c>
      <c r="AM66" s="254">
        <v>619.32575857125812</v>
      </c>
      <c r="AN66" s="254">
        <v>1144.2719363510778</v>
      </c>
      <c r="AO66" s="254">
        <v>1236.2338371824248</v>
      </c>
      <c r="AP66" s="254">
        <v>-2881.4412136628353</v>
      </c>
      <c r="AQ66" s="254">
        <v>215.63353669889966</v>
      </c>
      <c r="AR66" s="254">
        <v>-3914.2562470549556</v>
      </c>
      <c r="AS66" s="254">
        <v>51.099004781459371</v>
      </c>
      <c r="AT66" s="254">
        <v>-2359.0612678406324</v>
      </c>
      <c r="AU66" s="254">
        <v>-23.818775014309722</v>
      </c>
      <c r="AV66" s="254">
        <v>-2367.0589879196814</v>
      </c>
      <c r="AW66" s="254">
        <v>-289.87206830932882</v>
      </c>
      <c r="AX66" s="254">
        <v>-1661.9211126408018</v>
      </c>
      <c r="AY66" s="254">
        <v>-32.070846170590812</v>
      </c>
      <c r="BA66" s="92"/>
      <c r="BB66" s="92"/>
    </row>
    <row r="67" spans="2:54">
      <c r="B67" s="230">
        <v>10190</v>
      </c>
      <c r="C67" s="230" t="s">
        <v>70</v>
      </c>
      <c r="D67" s="254">
        <v>113.77307653995422</v>
      </c>
      <c r="E67" s="254">
        <v>330.12808175716464</v>
      </c>
      <c r="F67" s="254">
        <v>480.23550512465135</v>
      </c>
      <c r="G67" s="254">
        <v>617.85326288362307</v>
      </c>
      <c r="H67" s="254">
        <v>1597.9531520027344</v>
      </c>
      <c r="I67" s="254">
        <v>1176.3599061553527</v>
      </c>
      <c r="J67" s="254">
        <v>2071.1517440036423</v>
      </c>
      <c r="K67" s="254">
        <v>1492.1887387696618</v>
      </c>
      <c r="L67" s="254">
        <v>1690.8080915655291</v>
      </c>
      <c r="M67" s="254">
        <v>1185.3480869123798</v>
      </c>
      <c r="N67" s="254">
        <v>801.8689663609166</v>
      </c>
      <c r="O67" s="254">
        <v>759.43663405235975</v>
      </c>
      <c r="P67" s="254">
        <v>755.51074874079654</v>
      </c>
      <c r="Q67" s="254">
        <v>704.20210960740769</v>
      </c>
      <c r="R67" s="254">
        <v>-344.2991814525958</v>
      </c>
      <c r="S67" s="254">
        <v>310.65778250170069</v>
      </c>
      <c r="T67" s="254">
        <v>-414.31898428822751</v>
      </c>
      <c r="U67" s="254">
        <v>388.33627336660311</v>
      </c>
      <c r="V67" s="254">
        <v>292.90207315835414</v>
      </c>
      <c r="W67" s="254">
        <v>612.36398095952336</v>
      </c>
      <c r="X67" s="254">
        <v>363.12299611917297</v>
      </c>
      <c r="Y67" s="254">
        <v>564.77061345254447</v>
      </c>
      <c r="Z67" s="254">
        <v>135.33356107195414</v>
      </c>
      <c r="AA67" s="254">
        <v>346.62089175489655</v>
      </c>
      <c r="AB67" s="254">
        <v>554.27007653995406</v>
      </c>
      <c r="AC67" s="254">
        <v>708.95608175716461</v>
      </c>
      <c r="AD67" s="254">
        <v>941.37650512465143</v>
      </c>
      <c r="AE67" s="254">
        <v>950.9002628836231</v>
      </c>
      <c r="AF67" s="254">
        <v>2034.9991520027347</v>
      </c>
      <c r="AG67" s="254">
        <v>1558.7759061553525</v>
      </c>
      <c r="AH67" s="254">
        <v>2528.5787440036424</v>
      </c>
      <c r="AI67" s="254">
        <v>1852.8517387696618</v>
      </c>
      <c r="AJ67" s="254">
        <v>2101.4920915655289</v>
      </c>
      <c r="AK67" s="254">
        <v>1514.9220869123799</v>
      </c>
      <c r="AL67" s="254">
        <v>1260.2089663609163</v>
      </c>
      <c r="AM67" s="254">
        <v>1120.8206340523598</v>
      </c>
      <c r="AN67" s="254">
        <v>949.32174874079624</v>
      </c>
      <c r="AO67" s="254">
        <v>870.8801096074078</v>
      </c>
      <c r="AP67" s="254">
        <v>-130.2691814525956</v>
      </c>
      <c r="AQ67" s="254">
        <v>469.03878250170078</v>
      </c>
      <c r="AR67" s="254">
        <v>-414.31898428822751</v>
      </c>
      <c r="AS67" s="254">
        <v>388.33627336660311</v>
      </c>
      <c r="AT67" s="254">
        <v>292.90207315835414</v>
      </c>
      <c r="AU67" s="254">
        <v>612.36398095952336</v>
      </c>
      <c r="AV67" s="254">
        <v>363.12299611917297</v>
      </c>
      <c r="AW67" s="254">
        <v>564.77061345254447</v>
      </c>
      <c r="AX67" s="254">
        <v>135.33356107195414</v>
      </c>
      <c r="AY67" s="254">
        <v>346.62089175489655</v>
      </c>
      <c r="BA67" s="92"/>
      <c r="BB67" s="92"/>
    </row>
    <row r="68" spans="2:54">
      <c r="B68" s="230">
        <v>10191</v>
      </c>
      <c r="C68" s="230" t="s">
        <v>71</v>
      </c>
      <c r="D68" s="254">
        <v>-3333.3056883069839</v>
      </c>
      <c r="E68" s="254">
        <v>3331.8680150827458</v>
      </c>
      <c r="F68" s="254">
        <v>-4678.2581000457685</v>
      </c>
      <c r="G68" s="254">
        <v>1688.8999248804794</v>
      </c>
      <c r="H68" s="254">
        <v>2393.4436017426742</v>
      </c>
      <c r="I68" s="254">
        <v>2977.7560942773998</v>
      </c>
      <c r="J68" s="254">
        <v>6290.4773289523946</v>
      </c>
      <c r="K68" s="254">
        <v>7820.2598525167159</v>
      </c>
      <c r="L68" s="254">
        <v>6132.2792904402595</v>
      </c>
      <c r="M68" s="254">
        <v>5194.2736658838821</v>
      </c>
      <c r="N68" s="254">
        <v>829.09969007887412</v>
      </c>
      <c r="O68" s="254">
        <v>3011.3710485136144</v>
      </c>
      <c r="P68" s="254">
        <v>3781.2799038536468</v>
      </c>
      <c r="Q68" s="254">
        <v>4980.7653400091385</v>
      </c>
      <c r="R68" s="254">
        <v>-10158.423021071649</v>
      </c>
      <c r="S68" s="254">
        <v>2959.4645427242085</v>
      </c>
      <c r="T68" s="254">
        <v>-14163.624716796185</v>
      </c>
      <c r="U68" s="254">
        <v>1204.1725079097141</v>
      </c>
      <c r="V68" s="254">
        <v>-11640.60710215455</v>
      </c>
      <c r="W68" s="254">
        <v>1174.2617888618752</v>
      </c>
      <c r="X68" s="254">
        <v>-9665.5968374671538</v>
      </c>
      <c r="Y68" s="254">
        <v>252.21007965389981</v>
      </c>
      <c r="Z68" s="254">
        <v>-6778.0541596190233</v>
      </c>
      <c r="AA68" s="254">
        <v>799.60782451987689</v>
      </c>
      <c r="AB68" s="254">
        <v>-2845.3710878874299</v>
      </c>
      <c r="AC68" s="254">
        <v>3716.5856807981618</v>
      </c>
      <c r="AD68" s="254">
        <v>-4101.020924111006</v>
      </c>
      <c r="AE68" s="254">
        <v>2152.1327585681247</v>
      </c>
      <c r="AF68" s="254">
        <v>3062.7897843694591</v>
      </c>
      <c r="AG68" s="254">
        <v>3505.5098151946731</v>
      </c>
      <c r="AH68" s="254">
        <v>6934.0794276319939</v>
      </c>
      <c r="AI68" s="254">
        <v>8373.7576573811712</v>
      </c>
      <c r="AJ68" s="254">
        <v>6714.0474678635292</v>
      </c>
      <c r="AK68" s="254">
        <v>5630.5997989513653</v>
      </c>
      <c r="AL68" s="254">
        <v>1414.5419392303738</v>
      </c>
      <c r="AM68" s="254">
        <v>3432.8352602870327</v>
      </c>
      <c r="AN68" s="254">
        <v>3349.6389496995216</v>
      </c>
      <c r="AO68" s="254">
        <v>6318.622108995658</v>
      </c>
      <c r="AP68" s="254">
        <v>-8851.3571211634444</v>
      </c>
      <c r="AQ68" s="254">
        <v>2491.4873602534917</v>
      </c>
      <c r="AR68" s="254">
        <v>-13711.138356578052</v>
      </c>
      <c r="AS68" s="254">
        <v>1534.8356172998865</v>
      </c>
      <c r="AT68" s="254">
        <v>-11219.559000214591</v>
      </c>
      <c r="AU68" s="254">
        <v>1536.3631565302403</v>
      </c>
      <c r="AV68" s="254">
        <v>-9217.3610580876666</v>
      </c>
      <c r="AW68" s="254">
        <v>575.93592031686421</v>
      </c>
      <c r="AX68" s="254">
        <v>-6349.1865929287851</v>
      </c>
      <c r="AY68" s="254">
        <v>1142.7018778721012</v>
      </c>
      <c r="BA68" s="92"/>
      <c r="BB68" s="92"/>
    </row>
    <row r="69" spans="2:54">
      <c r="B69" s="230">
        <v>10197</v>
      </c>
      <c r="C69" s="230" t="s">
        <v>72</v>
      </c>
      <c r="D69" s="254">
        <v>-6537.4971533069265</v>
      </c>
      <c r="E69" s="254">
        <v>-3184.4209379493827</v>
      </c>
      <c r="F69" s="254">
        <v>-9994.199545012767</v>
      </c>
      <c r="G69" s="254">
        <v>-6045.0199385325195</v>
      </c>
      <c r="H69" s="254">
        <v>-8090.8795670825602</v>
      </c>
      <c r="I69" s="254">
        <v>-6034.3611531193983</v>
      </c>
      <c r="J69" s="254">
        <v>-6525.6157166299345</v>
      </c>
      <c r="K69" s="254">
        <v>-4662.8927979295695</v>
      </c>
      <c r="L69" s="254">
        <v>-6032.654902986018</v>
      </c>
      <c r="M69" s="254">
        <v>-4232.9705959420544</v>
      </c>
      <c r="N69" s="254">
        <v>-8202.6288838005203</v>
      </c>
      <c r="O69" s="254">
        <v>-4966.4296426971878</v>
      </c>
      <c r="P69" s="254">
        <v>-2217.2187925888011</v>
      </c>
      <c r="Q69" s="254">
        <v>-1210.3657115438618</v>
      </c>
      <c r="R69" s="254">
        <v>4792.5550009221606</v>
      </c>
      <c r="S69" s="254">
        <v>7699.920504478614</v>
      </c>
      <c r="T69" s="254">
        <v>3856.6154478598273</v>
      </c>
      <c r="U69" s="254">
        <v>6359.515181689374</v>
      </c>
      <c r="V69" s="254">
        <v>11020.131276845193</v>
      </c>
      <c r="W69" s="254">
        <v>13154.27748816962</v>
      </c>
      <c r="X69" s="254">
        <v>12193.63953271169</v>
      </c>
      <c r="Y69" s="254">
        <v>10855.072481135565</v>
      </c>
      <c r="Z69" s="254">
        <v>2632.4399185386064</v>
      </c>
      <c r="AA69" s="254">
        <v>4560.3806885391114</v>
      </c>
      <c r="AB69" s="254">
        <v>-6531.7331533069264</v>
      </c>
      <c r="AC69" s="254">
        <v>-3179.6039379493832</v>
      </c>
      <c r="AD69" s="254">
        <v>-9990.949545012767</v>
      </c>
      <c r="AE69" s="254">
        <v>-6042.42393853252</v>
      </c>
      <c r="AF69" s="254">
        <v>-8099.5095670825594</v>
      </c>
      <c r="AG69" s="254">
        <v>-6040.9191531193983</v>
      </c>
      <c r="AH69" s="254">
        <v>-6528.1477166299346</v>
      </c>
      <c r="AI69" s="254">
        <v>-4665.354797929569</v>
      </c>
      <c r="AJ69" s="254">
        <v>-6029.7429029860186</v>
      </c>
      <c r="AK69" s="254">
        <v>-4230.986595942054</v>
      </c>
      <c r="AL69" s="254">
        <v>-8197.3368838005208</v>
      </c>
      <c r="AM69" s="254">
        <v>-4962.7696426971888</v>
      </c>
      <c r="AN69" s="254">
        <v>-2439.2427925888014</v>
      </c>
      <c r="AO69" s="254">
        <v>-978.04771154386253</v>
      </c>
      <c r="AP69" s="254">
        <v>5521.19500092216</v>
      </c>
      <c r="AQ69" s="254">
        <v>6985.1135044786151</v>
      </c>
      <c r="AR69" s="254">
        <v>3862.9764478598281</v>
      </c>
      <c r="AS69" s="254">
        <v>6364.3921816893726</v>
      </c>
      <c r="AT69" s="254">
        <v>11026.105276845195</v>
      </c>
      <c r="AU69" s="254">
        <v>13159.511488169617</v>
      </c>
      <c r="AV69" s="254">
        <v>12198.582532711689</v>
      </c>
      <c r="AW69" s="254">
        <v>10858.830481135563</v>
      </c>
      <c r="AX69" s="254">
        <v>2637.6949185386075</v>
      </c>
      <c r="AY69" s="254">
        <v>4564.4856885391127</v>
      </c>
      <c r="BA69" s="92"/>
      <c r="BB69" s="92"/>
    </row>
    <row r="70" spans="2:54">
      <c r="B70" s="230">
        <v>10202</v>
      </c>
      <c r="C70" s="230" t="s">
        <v>73</v>
      </c>
      <c r="D70" s="254">
        <v>1139.3811383131015</v>
      </c>
      <c r="E70" s="254">
        <v>866.41945361360968</v>
      </c>
      <c r="F70" s="254">
        <v>163.54850313660245</v>
      </c>
      <c r="G70" s="254">
        <v>110.12173081598667</v>
      </c>
      <c r="H70" s="254">
        <v>1995.1764625899505</v>
      </c>
      <c r="I70" s="254">
        <v>511.90167164680224</v>
      </c>
      <c r="J70" s="254">
        <v>2623.5247677218822</v>
      </c>
      <c r="K70" s="254">
        <v>1471.6684395916823</v>
      </c>
      <c r="L70" s="254">
        <v>1661.0114933273017</v>
      </c>
      <c r="M70" s="254">
        <v>402.09080331080486</v>
      </c>
      <c r="N70" s="254">
        <v>1086.4873727422992</v>
      </c>
      <c r="O70" s="254">
        <v>197.19353870728082</v>
      </c>
      <c r="P70" s="254">
        <v>986.36094305441929</v>
      </c>
      <c r="Q70" s="254">
        <v>191.46632935761136</v>
      </c>
      <c r="R70" s="254">
        <v>-2284.6758745428097</v>
      </c>
      <c r="S70" s="254">
        <v>-636.20672430634613</v>
      </c>
      <c r="T70" s="254">
        <v>-3005.8252601771646</v>
      </c>
      <c r="U70" s="254">
        <v>-853.7822964661782</v>
      </c>
      <c r="V70" s="254">
        <v>-2010.2138862720294</v>
      </c>
      <c r="W70" s="254">
        <v>-663.06270700337336</v>
      </c>
      <c r="X70" s="254">
        <v>-158.65220418792796</v>
      </c>
      <c r="Y70" s="254">
        <v>32.36764684141599</v>
      </c>
      <c r="Z70" s="254">
        <v>838.41730503655072</v>
      </c>
      <c r="AA70" s="254">
        <v>578.19052471249825</v>
      </c>
      <c r="AB70" s="254">
        <v>1184.2201383131014</v>
      </c>
      <c r="AC70" s="254">
        <v>885.20545361360973</v>
      </c>
      <c r="AD70" s="254">
        <v>212.13350313660249</v>
      </c>
      <c r="AE70" s="254">
        <v>134.08473081598731</v>
      </c>
      <c r="AF70" s="254">
        <v>2058.4464625899509</v>
      </c>
      <c r="AG70" s="254">
        <v>545.03467164680205</v>
      </c>
      <c r="AH70" s="254">
        <v>2682.7167677218831</v>
      </c>
      <c r="AI70" s="254">
        <v>1505.8404395916828</v>
      </c>
      <c r="AJ70" s="254">
        <v>1701.8954933273017</v>
      </c>
      <c r="AK70" s="254">
        <v>420.17180331080499</v>
      </c>
      <c r="AL70" s="254">
        <v>1130.0693727422995</v>
      </c>
      <c r="AM70" s="254">
        <v>214.41953870728048</v>
      </c>
      <c r="AN70" s="254">
        <v>818.79294305441908</v>
      </c>
      <c r="AO70" s="254">
        <v>394.68932935761131</v>
      </c>
      <c r="AP70" s="254">
        <v>-2112.6128745428105</v>
      </c>
      <c r="AQ70" s="254">
        <v>-793.42572430634618</v>
      </c>
      <c r="AR70" s="254">
        <v>-2989.9942601771645</v>
      </c>
      <c r="AS70" s="254">
        <v>-856.06829646617825</v>
      </c>
      <c r="AT70" s="254">
        <v>-1990.6748862720297</v>
      </c>
      <c r="AU70" s="254">
        <v>-662.71670700337336</v>
      </c>
      <c r="AV70" s="254">
        <v>-120.08320418792755</v>
      </c>
      <c r="AW70" s="254">
        <v>42.531646841416205</v>
      </c>
      <c r="AX70" s="254">
        <v>882.80130503655073</v>
      </c>
      <c r="AY70" s="254">
        <v>595.63252471249825</v>
      </c>
      <c r="BA70" s="92"/>
      <c r="BB70" s="92"/>
    </row>
    <row r="71" spans="2:54">
      <c r="B71" s="230">
        <v>10203</v>
      </c>
      <c r="C71" s="230" t="s">
        <v>74</v>
      </c>
      <c r="D71" s="254">
        <v>31.455646235213862</v>
      </c>
      <c r="E71" s="254">
        <v>86.424255935422707</v>
      </c>
      <c r="F71" s="254">
        <v>115.00704442821552</v>
      </c>
      <c r="G71" s="254">
        <v>274.38793975146223</v>
      </c>
      <c r="H71" s="254">
        <v>1061.0563798764879</v>
      </c>
      <c r="I71" s="254">
        <v>639.53021089116419</v>
      </c>
      <c r="J71" s="254">
        <v>1421.0999997943204</v>
      </c>
      <c r="K71" s="254">
        <v>920.55050951357043</v>
      </c>
      <c r="L71" s="254">
        <v>1191.239361948727</v>
      </c>
      <c r="M71" s="254">
        <v>648.25588324609294</v>
      </c>
      <c r="N71" s="254">
        <v>488.60164277101194</v>
      </c>
      <c r="O71" s="254">
        <v>328.76837328618058</v>
      </c>
      <c r="P71" s="254">
        <v>576.04573475313168</v>
      </c>
      <c r="Q71" s="254">
        <v>373.52106372406206</v>
      </c>
      <c r="R71" s="254">
        <v>-785.64094226654697</v>
      </c>
      <c r="S71" s="254">
        <v>-7.7443659049833968</v>
      </c>
      <c r="T71" s="254">
        <v>-1154.3046700791883</v>
      </c>
      <c r="U71" s="254">
        <v>-88.439886225990904</v>
      </c>
      <c r="V71" s="254">
        <v>-389.30305894159164</v>
      </c>
      <c r="W71" s="254">
        <v>52.799025773751509</v>
      </c>
      <c r="X71" s="254">
        <v>-313.67952933578999</v>
      </c>
      <c r="Y71" s="254">
        <v>-56.361742651484064</v>
      </c>
      <c r="Z71" s="254">
        <v>-501.61582602746239</v>
      </c>
      <c r="AA71" s="254">
        <v>-130.65360310823871</v>
      </c>
      <c r="AB71" s="254">
        <v>42.28964623521415</v>
      </c>
      <c r="AC71" s="254">
        <v>92.769255935422507</v>
      </c>
      <c r="AD71" s="254">
        <v>128.4300444282153</v>
      </c>
      <c r="AE71" s="254">
        <v>283.67793975146219</v>
      </c>
      <c r="AF71" s="254">
        <v>1077.2173798764875</v>
      </c>
      <c r="AG71" s="254">
        <v>651.00821089116425</v>
      </c>
      <c r="AH71" s="254">
        <v>1436.6829997943205</v>
      </c>
      <c r="AI71" s="254">
        <v>931.71050951357029</v>
      </c>
      <c r="AJ71" s="254">
        <v>1204.7543619487269</v>
      </c>
      <c r="AK71" s="254">
        <v>657.13088324609294</v>
      </c>
      <c r="AL71" s="254">
        <v>501.49064277101161</v>
      </c>
      <c r="AM71" s="254">
        <v>336.95737328618043</v>
      </c>
      <c r="AN71" s="254">
        <v>586.90173475313145</v>
      </c>
      <c r="AO71" s="254">
        <v>380.34306372406195</v>
      </c>
      <c r="AP71" s="254">
        <v>-775.77294226654703</v>
      </c>
      <c r="AQ71" s="254">
        <v>-1.3633659049835387</v>
      </c>
      <c r="AR71" s="254">
        <v>-1144.1256700791882</v>
      </c>
      <c r="AS71" s="254">
        <v>-82.698886225990918</v>
      </c>
      <c r="AT71" s="254">
        <v>-377.58205894159164</v>
      </c>
      <c r="AU71" s="254">
        <v>59.75502577375164</v>
      </c>
      <c r="AV71" s="254">
        <v>-302.11952933579005</v>
      </c>
      <c r="AW71" s="254">
        <v>-50.346742651484192</v>
      </c>
      <c r="AX71" s="254">
        <v>-492.67182602746198</v>
      </c>
      <c r="AY71" s="254">
        <v>-124.94060310823875</v>
      </c>
      <c r="BA71" s="92"/>
      <c r="BB71" s="92"/>
    </row>
    <row r="72" spans="2:54">
      <c r="B72" s="230">
        <v>10204</v>
      </c>
      <c r="C72" s="230" t="s">
        <v>75</v>
      </c>
      <c r="D72" s="254">
        <v>-1983.4106043210104</v>
      </c>
      <c r="E72" s="254">
        <v>1025.3228736285919</v>
      </c>
      <c r="F72" s="254">
        <v>-3068.845132382181</v>
      </c>
      <c r="G72" s="254">
        <v>-98.112069682796573</v>
      </c>
      <c r="H72" s="254">
        <v>743.95438320546054</v>
      </c>
      <c r="I72" s="254">
        <v>1060.3656955356655</v>
      </c>
      <c r="J72" s="254">
        <v>2811.0876419713386</v>
      </c>
      <c r="K72" s="254">
        <v>3464.6829177930686</v>
      </c>
      <c r="L72" s="254">
        <v>2368.4421051481495</v>
      </c>
      <c r="M72" s="254">
        <v>2034.8394021527911</v>
      </c>
      <c r="N72" s="254">
        <v>-594.03701269874364</v>
      </c>
      <c r="O72" s="254">
        <v>621.25386351508132</v>
      </c>
      <c r="P72" s="254">
        <v>438.35383330805598</v>
      </c>
      <c r="Q72" s="254">
        <v>1283.6716737164243</v>
      </c>
      <c r="R72" s="254">
        <v>-3959.1106497463134</v>
      </c>
      <c r="S72" s="254">
        <v>1676.0151342374684</v>
      </c>
      <c r="T72" s="254">
        <v>-5663.021351177782</v>
      </c>
      <c r="U72" s="254">
        <v>881.15072937938203</v>
      </c>
      <c r="V72" s="254">
        <v>-3512.5929620523875</v>
      </c>
      <c r="W72" s="254">
        <v>1838.2382871449836</v>
      </c>
      <c r="X72" s="254">
        <v>-2661.244060073006</v>
      </c>
      <c r="Y72" s="254">
        <v>1220.1154503140569</v>
      </c>
      <c r="Z72" s="254">
        <v>-3222.8143826485793</v>
      </c>
      <c r="AA72" s="254">
        <v>124.73231483601467</v>
      </c>
      <c r="AB72" s="254">
        <v>-1724.0141728746221</v>
      </c>
      <c r="AC72" s="254">
        <v>1234.2006611285115</v>
      </c>
      <c r="AD72" s="254">
        <v>-2774.5695800699159</v>
      </c>
      <c r="AE72" s="254">
        <v>142.02019281750472</v>
      </c>
      <c r="AF72" s="254">
        <v>1118.0000841724614</v>
      </c>
      <c r="AG72" s="254">
        <v>1356.0830152170893</v>
      </c>
      <c r="AH72" s="254">
        <v>3184.5125785641176</v>
      </c>
      <c r="AI72" s="254">
        <v>3787.589140127262</v>
      </c>
      <c r="AJ72" s="254">
        <v>2695.3573511228678</v>
      </c>
      <c r="AK72" s="254">
        <v>2280.4605171107014</v>
      </c>
      <c r="AL72" s="254">
        <v>-288.60459411470401</v>
      </c>
      <c r="AM72" s="254">
        <v>842.90065699326715</v>
      </c>
      <c r="AN72" s="254">
        <v>332.57371484426039</v>
      </c>
      <c r="AO72" s="254">
        <v>1849.5330159666246</v>
      </c>
      <c r="AP72" s="254">
        <v>-3302.485442382942</v>
      </c>
      <c r="AQ72" s="254">
        <v>1517.1851502536074</v>
      </c>
      <c r="AR72" s="254">
        <v>-5401.0544613403708</v>
      </c>
      <c r="AS72" s="254">
        <v>1081.0283738876487</v>
      </c>
      <c r="AT72" s="254">
        <v>-3235.1480657258089</v>
      </c>
      <c r="AU72" s="254">
        <v>2085.0114131773571</v>
      </c>
      <c r="AV72" s="254">
        <v>-2367.0734786787143</v>
      </c>
      <c r="AW72" s="254">
        <v>1437.8554593891768</v>
      </c>
      <c r="AX72" s="254">
        <v>-2991.8798519651573</v>
      </c>
      <c r="AY72" s="254">
        <v>314.02500220255024</v>
      </c>
      <c r="BA72" s="92"/>
      <c r="BB72" s="92"/>
    </row>
    <row r="73" spans="2:54">
      <c r="B73" s="230">
        <v>10209</v>
      </c>
      <c r="C73" s="230" t="s">
        <v>76</v>
      </c>
      <c r="D73" s="254">
        <v>-1585.2857991457786</v>
      </c>
      <c r="E73" s="254">
        <v>1524.4523775529415</v>
      </c>
      <c r="F73" s="254">
        <v>-7550.1726182608472</v>
      </c>
      <c r="G73" s="254">
        <v>-793.65749366011732</v>
      </c>
      <c r="H73" s="254">
        <v>14673.264256967246</v>
      </c>
      <c r="I73" s="254">
        <v>9489.8345513881868</v>
      </c>
      <c r="J73" s="254">
        <v>21981.950341567273</v>
      </c>
      <c r="K73" s="254">
        <v>13919.685833282263</v>
      </c>
      <c r="L73" s="254">
        <v>15112.131622939465</v>
      </c>
      <c r="M73" s="254">
        <v>8569.4460438165916</v>
      </c>
      <c r="N73" s="254">
        <v>1858.5686002702932</v>
      </c>
      <c r="O73" s="254">
        <v>4099.3487999995923</v>
      </c>
      <c r="P73" s="254">
        <v>5856.8236163066977</v>
      </c>
      <c r="Q73" s="254">
        <v>5560.2863266206296</v>
      </c>
      <c r="R73" s="254">
        <v>-14303.028789845463</v>
      </c>
      <c r="S73" s="254">
        <v>320.69650632263074</v>
      </c>
      <c r="T73" s="254">
        <v>-17559.907555615609</v>
      </c>
      <c r="U73" s="254">
        <v>2087.0212304640954</v>
      </c>
      <c r="V73" s="254">
        <v>-8390.362772655375</v>
      </c>
      <c r="W73" s="254">
        <v>1422.5916092937077</v>
      </c>
      <c r="X73" s="254">
        <v>-5063.732209824404</v>
      </c>
      <c r="Y73" s="254">
        <v>1693.4249888595368</v>
      </c>
      <c r="Z73" s="254">
        <v>-7450.0822126217681</v>
      </c>
      <c r="AA73" s="254">
        <v>471.62619335529962</v>
      </c>
      <c r="AB73" s="254">
        <v>-1440.3897991457852</v>
      </c>
      <c r="AC73" s="254">
        <v>1564.6063775529401</v>
      </c>
      <c r="AD73" s="254">
        <v>-7361.7006182608457</v>
      </c>
      <c r="AE73" s="254">
        <v>-681.92349366011331</v>
      </c>
      <c r="AF73" s="254">
        <v>15019.125256967243</v>
      </c>
      <c r="AG73" s="254">
        <v>9727.3915513881875</v>
      </c>
      <c r="AH73" s="254">
        <v>22329.716341567262</v>
      </c>
      <c r="AI73" s="254">
        <v>14123.130833282263</v>
      </c>
      <c r="AJ73" s="254">
        <v>15380.052622939467</v>
      </c>
      <c r="AK73" s="254">
        <v>8730.1020438165942</v>
      </c>
      <c r="AL73" s="254">
        <v>2084.2006002702983</v>
      </c>
      <c r="AM73" s="254">
        <v>4250.1997999995911</v>
      </c>
      <c r="AN73" s="254">
        <v>6227.1866163066952</v>
      </c>
      <c r="AO73" s="254">
        <v>5297.1353266206315</v>
      </c>
      <c r="AP73" s="254">
        <v>-14582.952789845462</v>
      </c>
      <c r="AQ73" s="254">
        <v>577.50950632262902</v>
      </c>
      <c r="AR73" s="254">
        <v>-17524.667555615619</v>
      </c>
      <c r="AS73" s="254">
        <v>2077.1772304640945</v>
      </c>
      <c r="AT73" s="254">
        <v>-8243.3587726553742</v>
      </c>
      <c r="AU73" s="254">
        <v>1447.0796092937017</v>
      </c>
      <c r="AV73" s="254">
        <v>-4920.4482098244116</v>
      </c>
      <c r="AW73" s="254">
        <v>1734.4239888595366</v>
      </c>
      <c r="AX73" s="254">
        <v>-7351.1722126217719</v>
      </c>
      <c r="AY73" s="254">
        <v>504.67219335530172</v>
      </c>
      <c r="BA73" s="92"/>
      <c r="BB73" s="92"/>
    </row>
    <row r="74" spans="2:54">
      <c r="B74" s="230">
        <v>10230</v>
      </c>
      <c r="C74" s="230" t="s">
        <v>77</v>
      </c>
      <c r="D74" s="254">
        <v>-581.90674444532306</v>
      </c>
      <c r="E74" s="254">
        <v>-493.40101724096212</v>
      </c>
      <c r="F74" s="254">
        <v>-711.60086982620214</v>
      </c>
      <c r="G74" s="254">
        <v>-452.15333944251188</v>
      </c>
      <c r="H74" s="254">
        <v>1313.8932484513098</v>
      </c>
      <c r="I74" s="254">
        <v>727.10176434068717</v>
      </c>
      <c r="J74" s="254">
        <v>2335.5386155442852</v>
      </c>
      <c r="K74" s="254">
        <v>999.80242075314754</v>
      </c>
      <c r="L74" s="254">
        <v>1030.5514418472048</v>
      </c>
      <c r="M74" s="254">
        <v>422.664909412214</v>
      </c>
      <c r="N74" s="254">
        <v>220.63405262313063</v>
      </c>
      <c r="O74" s="254">
        <v>174.03256376620448</v>
      </c>
      <c r="P74" s="254">
        <v>503.81980029245051</v>
      </c>
      <c r="Q74" s="254">
        <v>216.01130497839381</v>
      </c>
      <c r="R74" s="254">
        <v>-1461.6135212865202</v>
      </c>
      <c r="S74" s="254">
        <v>-514.85612082834041</v>
      </c>
      <c r="T74" s="254">
        <v>-2489.310529062162</v>
      </c>
      <c r="U74" s="254">
        <v>-735.93772074768572</v>
      </c>
      <c r="V74" s="254">
        <v>-1085.4296781223466</v>
      </c>
      <c r="W74" s="254">
        <v>-514.87017216665845</v>
      </c>
      <c r="X74" s="254">
        <v>-946.5815512608724</v>
      </c>
      <c r="Y74" s="254">
        <v>-513.80775864174802</v>
      </c>
      <c r="Z74" s="254">
        <v>-1298.8502129550288</v>
      </c>
      <c r="AA74" s="254">
        <v>-804.14533834573172</v>
      </c>
      <c r="AB74" s="254">
        <v>-582.74574444532345</v>
      </c>
      <c r="AC74" s="254">
        <v>-498.58601724096252</v>
      </c>
      <c r="AD74" s="254">
        <v>-707.99386982620217</v>
      </c>
      <c r="AE74" s="254">
        <v>-452.58233944251151</v>
      </c>
      <c r="AF74" s="254">
        <v>1325.5302484513095</v>
      </c>
      <c r="AG74" s="254">
        <v>734.14876434068674</v>
      </c>
      <c r="AH74" s="254">
        <v>2348.6326155442853</v>
      </c>
      <c r="AI74" s="254">
        <v>1004.420420753147</v>
      </c>
      <c r="AJ74" s="254">
        <v>1035.2514418472056</v>
      </c>
      <c r="AK74" s="254">
        <v>424.20690941221437</v>
      </c>
      <c r="AL74" s="254">
        <v>222.87105262313071</v>
      </c>
      <c r="AM74" s="254">
        <v>174.17956376620441</v>
      </c>
      <c r="AN74" s="254">
        <v>558.71080029245059</v>
      </c>
      <c r="AO74" s="254">
        <v>155.79130497839446</v>
      </c>
      <c r="AP74" s="254">
        <v>-1525.94752128652</v>
      </c>
      <c r="AQ74" s="254">
        <v>-454.89112082834026</v>
      </c>
      <c r="AR74" s="254">
        <v>-2491.7115290621623</v>
      </c>
      <c r="AS74" s="254">
        <v>-741.0387207476856</v>
      </c>
      <c r="AT74" s="254">
        <v>-1083.7686781223456</v>
      </c>
      <c r="AU74" s="254">
        <v>-519.77517216665865</v>
      </c>
      <c r="AV74" s="254">
        <v>-945.98355126087336</v>
      </c>
      <c r="AW74" s="254">
        <v>-517.88375864174805</v>
      </c>
      <c r="AX74" s="254">
        <v>-1302.1062129550292</v>
      </c>
      <c r="AY74" s="254">
        <v>-810.15233834573178</v>
      </c>
      <c r="BA74" s="92"/>
      <c r="BB74" s="92"/>
    </row>
    <row r="75" spans="2:54">
      <c r="B75" s="230">
        <v>10231</v>
      </c>
      <c r="C75" s="230" t="s">
        <v>78</v>
      </c>
      <c r="D75" s="254">
        <v>3766.0976577697675</v>
      </c>
      <c r="E75" s="254">
        <v>3406.7252816074251</v>
      </c>
      <c r="F75" s="254">
        <v>42.801825129343342</v>
      </c>
      <c r="G75" s="254">
        <v>404.80486594364629</v>
      </c>
      <c r="H75" s="254">
        <v>6715.8132418193381</v>
      </c>
      <c r="I75" s="254">
        <v>2678.3815380806045</v>
      </c>
      <c r="J75" s="254">
        <v>9964.9754885013044</v>
      </c>
      <c r="K75" s="254">
        <v>7061.4082417728096</v>
      </c>
      <c r="L75" s="254">
        <v>6059.3819094352039</v>
      </c>
      <c r="M75" s="254">
        <v>2616.2738856901833</v>
      </c>
      <c r="N75" s="254">
        <v>3951.672262516875</v>
      </c>
      <c r="O75" s="254">
        <v>1731.5882834025342</v>
      </c>
      <c r="P75" s="254">
        <v>5712.7402022695514</v>
      </c>
      <c r="Q75" s="254">
        <v>2668.2702169541762</v>
      </c>
      <c r="R75" s="254">
        <v>-2947.6154893736493</v>
      </c>
      <c r="S75" s="254">
        <v>1014.3996409258307</v>
      </c>
      <c r="T75" s="254">
        <v>-2937.8030442642048</v>
      </c>
      <c r="U75" s="254">
        <v>1111.8210251304226</v>
      </c>
      <c r="V75" s="254">
        <v>2893.4971074307359</v>
      </c>
      <c r="W75" s="254">
        <v>4533.2243048006858</v>
      </c>
      <c r="X75" s="254">
        <v>5150.1092072564825</v>
      </c>
      <c r="Y75" s="254">
        <v>3883.1839145606082</v>
      </c>
      <c r="Z75" s="254">
        <v>3082.6902287860485</v>
      </c>
      <c r="AA75" s="254">
        <v>2548.2821990053635</v>
      </c>
      <c r="AB75" s="254">
        <v>3856.6266577697661</v>
      </c>
      <c r="AC75" s="254">
        <v>3450.1952816074227</v>
      </c>
      <c r="AD75" s="254">
        <v>135.49582512934285</v>
      </c>
      <c r="AE75" s="254">
        <v>452.90986594364949</v>
      </c>
      <c r="AF75" s="254">
        <v>6803.6192418193386</v>
      </c>
      <c r="AG75" s="254">
        <v>2722.5795380806048</v>
      </c>
      <c r="AH75" s="254">
        <v>10047.256488501303</v>
      </c>
      <c r="AI75" s="254">
        <v>7110.2742417728114</v>
      </c>
      <c r="AJ75" s="254">
        <v>6159.8999094352039</v>
      </c>
      <c r="AK75" s="254">
        <v>2669.8028856901838</v>
      </c>
      <c r="AL75" s="254">
        <v>4040.3682625168749</v>
      </c>
      <c r="AM75" s="254">
        <v>1772.4202834025364</v>
      </c>
      <c r="AN75" s="254">
        <v>5080.0772022695546</v>
      </c>
      <c r="AO75" s="254">
        <v>3437.2062169541759</v>
      </c>
      <c r="AP75" s="254">
        <v>-2224.2004893736448</v>
      </c>
      <c r="AQ75" s="254">
        <v>418.59964092583323</v>
      </c>
      <c r="AR75" s="254">
        <v>-2600.3210442642048</v>
      </c>
      <c r="AS75" s="254">
        <v>1320.1190251304233</v>
      </c>
      <c r="AT75" s="254">
        <v>3533.6181074307351</v>
      </c>
      <c r="AU75" s="254">
        <v>4994.0743048006843</v>
      </c>
      <c r="AV75" s="254">
        <v>6111.5752072564828</v>
      </c>
      <c r="AW75" s="254">
        <v>4589.1339145606089</v>
      </c>
      <c r="AX75" s="254">
        <v>4332.6312287860437</v>
      </c>
      <c r="AY75" s="254">
        <v>3502.7731990053635</v>
      </c>
      <c r="BA75" s="92"/>
      <c r="BB75" s="92"/>
    </row>
    <row r="76" spans="2:54">
      <c r="B76" s="230">
        <v>10234</v>
      </c>
      <c r="C76" s="230" t="s">
        <v>79</v>
      </c>
      <c r="D76" s="254">
        <v>-228.91905339601726</v>
      </c>
      <c r="E76" s="254">
        <v>162.73006397185964</v>
      </c>
      <c r="F76" s="254">
        <v>-2790.2786382006561</v>
      </c>
      <c r="G76" s="254">
        <v>-1359.5871185326341</v>
      </c>
      <c r="H76" s="254">
        <v>7451.7812647505743</v>
      </c>
      <c r="I76" s="254">
        <v>3136.4590656810105</v>
      </c>
      <c r="J76" s="254">
        <v>10995.003698505105</v>
      </c>
      <c r="K76" s="254">
        <v>6888.8438348154923</v>
      </c>
      <c r="L76" s="254">
        <v>9298.3479483863193</v>
      </c>
      <c r="M76" s="254">
        <v>4387.5333458782916</v>
      </c>
      <c r="N76" s="254">
        <v>4316.0434788037383</v>
      </c>
      <c r="O76" s="254">
        <v>1657.2305505862114</v>
      </c>
      <c r="P76" s="254">
        <v>4213.5601400917003</v>
      </c>
      <c r="Q76" s="254">
        <v>2242.2810928469808</v>
      </c>
      <c r="R76" s="254">
        <v>-7568.6295536610123</v>
      </c>
      <c r="S76" s="254">
        <v>-759.33401483807029</v>
      </c>
      <c r="T76" s="254">
        <v>-8174.282617241588</v>
      </c>
      <c r="U76" s="254">
        <v>-648.70079992980936</v>
      </c>
      <c r="V76" s="254">
        <v>-1791.0228956227875</v>
      </c>
      <c r="W76" s="254">
        <v>1309.7091280035256</v>
      </c>
      <c r="X76" s="254">
        <v>-477.92203023557158</v>
      </c>
      <c r="Y76" s="254">
        <v>673.00668041115568</v>
      </c>
      <c r="Z76" s="254">
        <v>-3339.1951195846377</v>
      </c>
      <c r="AA76" s="254">
        <v>-1071.4004547866462</v>
      </c>
      <c r="AB76" s="254">
        <v>153.9359466039823</v>
      </c>
      <c r="AC76" s="254">
        <v>336.49806397186148</v>
      </c>
      <c r="AD76" s="254">
        <v>-2420.7866382006541</v>
      </c>
      <c r="AE76" s="254">
        <v>-1153.9501185326353</v>
      </c>
      <c r="AF76" s="254">
        <v>7802.7152647505754</v>
      </c>
      <c r="AG76" s="254">
        <v>3342.3360656810146</v>
      </c>
      <c r="AH76" s="254">
        <v>11341.749698505108</v>
      </c>
      <c r="AI76" s="254">
        <v>7098.9588348154939</v>
      </c>
      <c r="AJ76" s="254">
        <v>9689.925948386317</v>
      </c>
      <c r="AK76" s="254">
        <v>4610.1273458782889</v>
      </c>
      <c r="AL76" s="254">
        <v>4687.4144788037411</v>
      </c>
      <c r="AM76" s="254">
        <v>1843.4195505862099</v>
      </c>
      <c r="AN76" s="254">
        <v>4764.1391400917018</v>
      </c>
      <c r="AO76" s="254">
        <v>2267.6900928469804</v>
      </c>
      <c r="AP76" s="254">
        <v>-7381.1295536610123</v>
      </c>
      <c r="AQ76" s="254">
        <v>-390.31001483807268</v>
      </c>
      <c r="AR76" s="254">
        <v>-7771.8516172415912</v>
      </c>
      <c r="AS76" s="254">
        <v>-475.67279992980912</v>
      </c>
      <c r="AT76" s="254">
        <v>-1406.6508956227881</v>
      </c>
      <c r="AU76" s="254">
        <v>1481.3711280035241</v>
      </c>
      <c r="AV76" s="254">
        <v>-82.136030235567887</v>
      </c>
      <c r="AW76" s="254">
        <v>833.37368041115587</v>
      </c>
      <c r="AX76" s="254">
        <v>-2959.6181195846366</v>
      </c>
      <c r="AY76" s="254">
        <v>-875.47545478664506</v>
      </c>
      <c r="BA76" s="92"/>
      <c r="BB76" s="92"/>
    </row>
    <row r="77" spans="2:54">
      <c r="B77" s="230">
        <v>10235</v>
      </c>
      <c r="C77" s="230" t="s">
        <v>80</v>
      </c>
      <c r="D77" s="254">
        <v>-95.897706641759214</v>
      </c>
      <c r="E77" s="254">
        <v>674.78067937120977</v>
      </c>
      <c r="F77" s="254">
        <v>-1266.5637176756372</v>
      </c>
      <c r="G77" s="254">
        <v>-676.0697643593503</v>
      </c>
      <c r="H77" s="254">
        <v>2276.3703362672441</v>
      </c>
      <c r="I77" s="254">
        <v>-196.95232247280001</v>
      </c>
      <c r="J77" s="254">
        <v>4840.5542473728547</v>
      </c>
      <c r="K77" s="254">
        <v>2743.6153550663676</v>
      </c>
      <c r="L77" s="254">
        <v>4539.3795239710307</v>
      </c>
      <c r="M77" s="254">
        <v>1575.6373476827566</v>
      </c>
      <c r="N77" s="254">
        <v>1511.6564173776933</v>
      </c>
      <c r="O77" s="254">
        <v>219.53599394318371</v>
      </c>
      <c r="P77" s="254">
        <v>2368.9431802691306</v>
      </c>
      <c r="Q77" s="254">
        <v>1006.6866619918555</v>
      </c>
      <c r="R77" s="254">
        <v>-4765.7397140509183</v>
      </c>
      <c r="S77" s="254">
        <v>-232.25735783397431</v>
      </c>
      <c r="T77" s="254">
        <v>-6481.6538988596512</v>
      </c>
      <c r="U77" s="254">
        <v>-805.07024138642737</v>
      </c>
      <c r="V77" s="254">
        <v>-4405.9171502536883</v>
      </c>
      <c r="W77" s="254">
        <v>-463.71892627740726</v>
      </c>
      <c r="X77" s="254">
        <v>-3113.3851340940146</v>
      </c>
      <c r="Y77" s="254">
        <v>-801.01314659203217</v>
      </c>
      <c r="Z77" s="254">
        <v>-2528.519524677642</v>
      </c>
      <c r="AA77" s="254">
        <v>-1019.4723322358204</v>
      </c>
      <c r="AB77" s="254">
        <v>-135.7676456467143</v>
      </c>
      <c r="AC77" s="254">
        <v>653.94653402484528</v>
      </c>
      <c r="AD77" s="254">
        <v>-1317.1590730472471</v>
      </c>
      <c r="AE77" s="254">
        <v>-707.681751480206</v>
      </c>
      <c r="AF77" s="254">
        <v>2237.1324251673468</v>
      </c>
      <c r="AG77" s="254">
        <v>-230.21122497623219</v>
      </c>
      <c r="AH77" s="254">
        <v>4814.2233876107603</v>
      </c>
      <c r="AI77" s="254">
        <v>2721.8093902589553</v>
      </c>
      <c r="AJ77" s="254">
        <v>4516.5906582092848</v>
      </c>
      <c r="AK77" s="254">
        <v>1555.7939863345209</v>
      </c>
      <c r="AL77" s="254">
        <v>1474.4466663729218</v>
      </c>
      <c r="AM77" s="254">
        <v>194.69741646119473</v>
      </c>
      <c r="AN77" s="254">
        <v>1879.3181608111208</v>
      </c>
      <c r="AO77" s="254">
        <v>1452.2088868430164</v>
      </c>
      <c r="AP77" s="254">
        <v>-4414.1763236536553</v>
      </c>
      <c r="AQ77" s="254">
        <v>-664.29327612701127</v>
      </c>
      <c r="AR77" s="254">
        <v>-6548.3264759829581</v>
      </c>
      <c r="AS77" s="254">
        <v>-828.28418560432692</v>
      </c>
      <c r="AT77" s="254">
        <v>-4462.3563525925601</v>
      </c>
      <c r="AU77" s="254">
        <v>-488.52220723539722</v>
      </c>
      <c r="AV77" s="254">
        <v>-3166.1465168828781</v>
      </c>
      <c r="AW77" s="254">
        <v>-825.17983639563317</v>
      </c>
      <c r="AX77" s="254">
        <v>-2574.3293740364588</v>
      </c>
      <c r="AY77" s="254">
        <v>-1044.6138538752757</v>
      </c>
      <c r="BA77" s="92"/>
      <c r="BB77" s="92"/>
    </row>
    <row r="78" spans="2:54">
      <c r="B78" s="230">
        <v>10236</v>
      </c>
      <c r="C78" s="230" t="s">
        <v>81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4">
        <v>0</v>
      </c>
      <c r="P78" s="254">
        <v>0</v>
      </c>
      <c r="Q78" s="254">
        <v>0</v>
      </c>
      <c r="R78" s="254">
        <v>0</v>
      </c>
      <c r="S78" s="254">
        <v>0</v>
      </c>
      <c r="T78" s="254">
        <v>0</v>
      </c>
      <c r="U78" s="254">
        <v>0</v>
      </c>
      <c r="V78" s="254">
        <v>0</v>
      </c>
      <c r="W78" s="254">
        <v>0</v>
      </c>
      <c r="X78" s="254">
        <v>0</v>
      </c>
      <c r="Y78" s="254">
        <v>0</v>
      </c>
      <c r="Z78" s="254">
        <v>0</v>
      </c>
      <c r="AA78" s="254">
        <v>0</v>
      </c>
      <c r="AB78" s="254">
        <v>0</v>
      </c>
      <c r="AC78" s="254">
        <v>0</v>
      </c>
      <c r="AD78" s="254">
        <v>0</v>
      </c>
      <c r="AE78" s="254">
        <v>0</v>
      </c>
      <c r="AF78" s="254">
        <v>0</v>
      </c>
      <c r="AG78" s="254">
        <v>0</v>
      </c>
      <c r="AH78" s="254">
        <v>0</v>
      </c>
      <c r="AI78" s="254">
        <v>0</v>
      </c>
      <c r="AJ78" s="254">
        <v>0</v>
      </c>
      <c r="AK78" s="254">
        <v>0</v>
      </c>
      <c r="AL78" s="254">
        <v>0</v>
      </c>
      <c r="AM78" s="254">
        <v>0</v>
      </c>
      <c r="AN78" s="254">
        <v>0</v>
      </c>
      <c r="AO78" s="254">
        <v>0</v>
      </c>
      <c r="AP78" s="254">
        <v>0</v>
      </c>
      <c r="AQ78" s="254">
        <v>0</v>
      </c>
      <c r="AR78" s="254">
        <v>0</v>
      </c>
      <c r="AS78" s="254">
        <v>0</v>
      </c>
      <c r="AT78" s="254">
        <v>0</v>
      </c>
      <c r="AU78" s="254">
        <v>0</v>
      </c>
      <c r="AV78" s="254">
        <v>0</v>
      </c>
      <c r="AW78" s="254">
        <v>0</v>
      </c>
      <c r="AX78" s="254">
        <v>0</v>
      </c>
      <c r="AY78" s="254">
        <v>0</v>
      </c>
      <c r="BA78" s="92"/>
      <c r="BB78" s="92"/>
    </row>
    <row r="79" spans="2:54">
      <c r="B79" s="230">
        <v>10237</v>
      </c>
      <c r="C79" s="230" t="s">
        <v>82</v>
      </c>
      <c r="D79" s="254">
        <v>-1927.2012533700563</v>
      </c>
      <c r="E79" s="254">
        <v>2480.0995268755341</v>
      </c>
      <c r="F79" s="254">
        <v>-2847.0874338495923</v>
      </c>
      <c r="G79" s="254">
        <v>1367.9928342478725</v>
      </c>
      <c r="H79" s="254">
        <v>3050.3495863179232</v>
      </c>
      <c r="I79" s="254">
        <v>3136.966445559372</v>
      </c>
      <c r="J79" s="254">
        <v>2999.4647491180731</v>
      </c>
      <c r="K79" s="254">
        <v>4197.1247562560693</v>
      </c>
      <c r="L79" s="254">
        <v>3625.6319489931229</v>
      </c>
      <c r="M79" s="254">
        <v>3118.5548847591035</v>
      </c>
      <c r="N79" s="254">
        <v>260.94759023346342</v>
      </c>
      <c r="O79" s="254">
        <v>1808.1587958855707</v>
      </c>
      <c r="P79" s="254">
        <v>3054.8035943416016</v>
      </c>
      <c r="Q79" s="254">
        <v>3720.47362565408</v>
      </c>
      <c r="R79" s="254">
        <v>-6889.2996192412156</v>
      </c>
      <c r="S79" s="254">
        <v>1923.8647446026571</v>
      </c>
      <c r="T79" s="254">
        <v>-9978.0752280329507</v>
      </c>
      <c r="U79" s="254">
        <v>462.24025233076281</v>
      </c>
      <c r="V79" s="254">
        <v>-8438.5333477822387</v>
      </c>
      <c r="W79" s="254">
        <v>248.92507700031274</v>
      </c>
      <c r="X79" s="254">
        <v>-6759.4989889958706</v>
      </c>
      <c r="Y79" s="254">
        <v>-28.051006167732339</v>
      </c>
      <c r="Z79" s="254">
        <v>-4617.2635786954361</v>
      </c>
      <c r="AA79" s="254">
        <v>481.63346352594635</v>
      </c>
      <c r="AB79" s="254">
        <v>-1430.781733797683</v>
      </c>
      <c r="AC79" s="254">
        <v>2871.5072249999066</v>
      </c>
      <c r="AD79" s="254">
        <v>-2262.1804596387956</v>
      </c>
      <c r="AE79" s="254">
        <v>1837.3806810520382</v>
      </c>
      <c r="AF79" s="254">
        <v>3763.9526457032262</v>
      </c>
      <c r="AG79" s="254">
        <v>3699.6150116131666</v>
      </c>
      <c r="AH79" s="254">
        <v>3602.0894062913103</v>
      </c>
      <c r="AI79" s="254">
        <v>4715.3819614250569</v>
      </c>
      <c r="AJ79" s="254">
        <v>4190.0363945289209</v>
      </c>
      <c r="AK79" s="254">
        <v>3541.8582189109511</v>
      </c>
      <c r="AL79" s="254">
        <v>835.22721449332312</v>
      </c>
      <c r="AM79" s="254">
        <v>2221.5869513133857</v>
      </c>
      <c r="AN79" s="254">
        <v>2925.2914116062693</v>
      </c>
      <c r="AO79" s="254">
        <v>4782.2043869710669</v>
      </c>
      <c r="AP79" s="254">
        <v>-5864.5070744878758</v>
      </c>
      <c r="AQ79" s="254">
        <v>1731.4102164400392</v>
      </c>
      <c r="AR79" s="254">
        <v>-9542.0534166752277</v>
      </c>
      <c r="AS79" s="254">
        <v>780.87157601525359</v>
      </c>
      <c r="AT79" s="254">
        <v>-8038.7724365881204</v>
      </c>
      <c r="AU79" s="254">
        <v>592.7194606272551</v>
      </c>
      <c r="AV79" s="254">
        <v>-6321.3132976810157</v>
      </c>
      <c r="AW79" s="254">
        <v>288.41643755966288</v>
      </c>
      <c r="AX79" s="254">
        <v>-4191.8463702157187</v>
      </c>
      <c r="AY79" s="254">
        <v>821.96723030971953</v>
      </c>
      <c r="BA79" s="92"/>
      <c r="BB79" s="92"/>
    </row>
    <row r="80" spans="2:54">
      <c r="B80" s="230">
        <v>10239</v>
      </c>
      <c r="C80" s="230" t="s">
        <v>83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0</v>
      </c>
      <c r="P80" s="254">
        <v>0</v>
      </c>
      <c r="Q80" s="254">
        <v>0</v>
      </c>
      <c r="R80" s="254">
        <v>0</v>
      </c>
      <c r="S80" s="254">
        <v>0</v>
      </c>
      <c r="T80" s="254">
        <v>0</v>
      </c>
      <c r="U80" s="254">
        <v>0</v>
      </c>
      <c r="V80" s="254">
        <v>0</v>
      </c>
      <c r="W80" s="254">
        <v>0</v>
      </c>
      <c r="X80" s="254">
        <v>0</v>
      </c>
      <c r="Y80" s="254">
        <v>0</v>
      </c>
      <c r="Z80" s="254">
        <v>0</v>
      </c>
      <c r="AA80" s="254">
        <v>0</v>
      </c>
      <c r="AB80" s="254">
        <v>0</v>
      </c>
      <c r="AC80" s="254">
        <v>0</v>
      </c>
      <c r="AD80" s="254">
        <v>0</v>
      </c>
      <c r="AE80" s="254">
        <v>0</v>
      </c>
      <c r="AF80" s="254">
        <v>0</v>
      </c>
      <c r="AG80" s="254">
        <v>0</v>
      </c>
      <c r="AH80" s="254">
        <v>0</v>
      </c>
      <c r="AI80" s="254">
        <v>0</v>
      </c>
      <c r="AJ80" s="254">
        <v>0</v>
      </c>
      <c r="AK80" s="254">
        <v>0</v>
      </c>
      <c r="AL80" s="254">
        <v>0</v>
      </c>
      <c r="AM80" s="254">
        <v>0</v>
      </c>
      <c r="AN80" s="254">
        <v>0</v>
      </c>
      <c r="AO80" s="254">
        <v>0</v>
      </c>
      <c r="AP80" s="254">
        <v>0</v>
      </c>
      <c r="AQ80" s="254">
        <v>0</v>
      </c>
      <c r="AR80" s="254">
        <v>0</v>
      </c>
      <c r="AS80" s="254">
        <v>0</v>
      </c>
      <c r="AT80" s="254">
        <v>0</v>
      </c>
      <c r="AU80" s="254">
        <v>0</v>
      </c>
      <c r="AV80" s="254">
        <v>0</v>
      </c>
      <c r="AW80" s="254">
        <v>0</v>
      </c>
      <c r="AX80" s="254">
        <v>0</v>
      </c>
      <c r="AY80" s="254">
        <v>0</v>
      </c>
      <c r="BA80" s="92"/>
      <c r="BB80" s="92"/>
    </row>
    <row r="81" spans="2:54">
      <c r="B81" s="230">
        <v>10242</v>
      </c>
      <c r="C81" s="230" t="s">
        <v>84</v>
      </c>
      <c r="D81" s="254">
        <v>-1816.7839878319355</v>
      </c>
      <c r="E81" s="254">
        <v>-775.71066333527529</v>
      </c>
      <c r="F81" s="254">
        <v>-2598.7172405623141</v>
      </c>
      <c r="G81" s="254">
        <v>-1279.2671289569869</v>
      </c>
      <c r="H81" s="254">
        <v>-1495.4569331567295</v>
      </c>
      <c r="I81" s="254">
        <v>-1000.9008628581755</v>
      </c>
      <c r="J81" s="254">
        <v>-725.8188913256522</v>
      </c>
      <c r="K81" s="254">
        <v>-415.41383386424059</v>
      </c>
      <c r="L81" s="254">
        <v>-753.61730511122005</v>
      </c>
      <c r="M81" s="254">
        <v>-428.23249879457398</v>
      </c>
      <c r="N81" s="254">
        <v>-1805.282966094082</v>
      </c>
      <c r="O81" s="254">
        <v>-862.91777380869598</v>
      </c>
      <c r="P81" s="254">
        <v>-1028.5893588947624</v>
      </c>
      <c r="Q81" s="254">
        <v>-469.94303516605623</v>
      </c>
      <c r="R81" s="254">
        <v>343.34422056671701</v>
      </c>
      <c r="S81" s="254">
        <v>1636.664247335797</v>
      </c>
      <c r="T81" s="254">
        <v>2090.3497937608627</v>
      </c>
      <c r="U81" s="254">
        <v>3129.0536231046262</v>
      </c>
      <c r="V81" s="254">
        <v>4206.5388046297148</v>
      </c>
      <c r="W81" s="254">
        <v>4648.5955645712165</v>
      </c>
      <c r="X81" s="254">
        <v>3001.1619275814883</v>
      </c>
      <c r="Y81" s="254">
        <v>3209.7871288071515</v>
      </c>
      <c r="Z81" s="254">
        <v>241.88291188948324</v>
      </c>
      <c r="AA81" s="254">
        <v>1070.2293506845053</v>
      </c>
      <c r="AB81" s="254">
        <v>-1808.8109878319356</v>
      </c>
      <c r="AC81" s="254">
        <v>-770.35166333527513</v>
      </c>
      <c r="AD81" s="254">
        <v>-2591.3032405623144</v>
      </c>
      <c r="AE81" s="254">
        <v>-1273.3821289569869</v>
      </c>
      <c r="AF81" s="254">
        <v>-1488.0579331567296</v>
      </c>
      <c r="AG81" s="254">
        <v>-995.03486285817553</v>
      </c>
      <c r="AH81" s="254">
        <v>-718.48789132565207</v>
      </c>
      <c r="AI81" s="254">
        <v>-409.51183386424054</v>
      </c>
      <c r="AJ81" s="254">
        <v>-746.15730511122001</v>
      </c>
      <c r="AK81" s="254">
        <v>-422.49249879457398</v>
      </c>
      <c r="AL81" s="254">
        <v>-1797.7689660940819</v>
      </c>
      <c r="AM81" s="254">
        <v>-857.26477380869596</v>
      </c>
      <c r="AN81" s="254">
        <v>-1020.8833588947623</v>
      </c>
      <c r="AO81" s="254">
        <v>-464.51403516605615</v>
      </c>
      <c r="AP81" s="254">
        <v>392.11622056671695</v>
      </c>
      <c r="AQ81" s="254">
        <v>1674.4712473357972</v>
      </c>
      <c r="AR81" s="254">
        <v>2140.8427937608622</v>
      </c>
      <c r="AS81" s="254">
        <v>3164.927623104626</v>
      </c>
      <c r="AT81" s="254">
        <v>4254.7708046297148</v>
      </c>
      <c r="AU81" s="254">
        <v>4686.5175645712161</v>
      </c>
      <c r="AV81" s="254">
        <v>3051.2109275814882</v>
      </c>
      <c r="AW81" s="254">
        <v>3245.6831288071512</v>
      </c>
      <c r="AX81" s="254">
        <v>289.97391188948268</v>
      </c>
      <c r="AY81" s="254">
        <v>1107.8733506845056</v>
      </c>
      <c r="BA81" s="92"/>
      <c r="BB81" s="92"/>
    </row>
    <row r="82" spans="2:54">
      <c r="B82" s="230">
        <v>10244</v>
      </c>
      <c r="C82" s="230" t="s">
        <v>85</v>
      </c>
      <c r="D82" s="254">
        <v>-4797.3840299153489</v>
      </c>
      <c r="E82" s="254">
        <v>-740.51536556650171</v>
      </c>
      <c r="F82" s="254">
        <v>-3057.4283964288334</v>
      </c>
      <c r="G82" s="254">
        <v>3140.8173396681304</v>
      </c>
      <c r="H82" s="254">
        <v>17058.356299408129</v>
      </c>
      <c r="I82" s="254">
        <v>12765.634966076053</v>
      </c>
      <c r="J82" s="254">
        <v>19698.325733940379</v>
      </c>
      <c r="K82" s="254">
        <v>13782.669399200684</v>
      </c>
      <c r="L82" s="254">
        <v>21813.955240743173</v>
      </c>
      <c r="M82" s="254">
        <v>16244.345704230163</v>
      </c>
      <c r="N82" s="254">
        <v>6630.4858494966102</v>
      </c>
      <c r="O82" s="254">
        <v>7143.1768750511692</v>
      </c>
      <c r="P82" s="254">
        <v>3835.9068210226433</v>
      </c>
      <c r="Q82" s="254">
        <v>4587.3623272751029</v>
      </c>
      <c r="R82" s="254">
        <v>-19191.71467282193</v>
      </c>
      <c r="S82" s="254">
        <v>-4903.4213541654572</v>
      </c>
      <c r="T82" s="254">
        <v>-22677.705557990415</v>
      </c>
      <c r="U82" s="254">
        <v>-5345.5798982351571</v>
      </c>
      <c r="V82" s="254">
        <v>-18139.279416528119</v>
      </c>
      <c r="W82" s="254">
        <v>-7030.389783942097</v>
      </c>
      <c r="X82" s="254">
        <v>-16642.9308472062</v>
      </c>
      <c r="Y82" s="254">
        <v>-6747.1121182473307</v>
      </c>
      <c r="Z82" s="254">
        <v>-12185.897184725967</v>
      </c>
      <c r="AA82" s="254">
        <v>-5237.9527704837001</v>
      </c>
      <c r="AB82" s="254">
        <v>-4547.8950299153439</v>
      </c>
      <c r="AC82" s="254">
        <v>-653.45436556650384</v>
      </c>
      <c r="AD82" s="254">
        <v>-2836.8063964288303</v>
      </c>
      <c r="AE82" s="254">
        <v>3287.4283396681349</v>
      </c>
      <c r="AF82" s="254">
        <v>17261.045299408128</v>
      </c>
      <c r="AG82" s="254">
        <v>12899.496966076062</v>
      </c>
      <c r="AH82" s="254">
        <v>19924.143733940386</v>
      </c>
      <c r="AI82" s="254">
        <v>13893.402399200691</v>
      </c>
      <c r="AJ82" s="254">
        <v>22068.414240743175</v>
      </c>
      <c r="AK82" s="254">
        <v>16422.48570423017</v>
      </c>
      <c r="AL82" s="254">
        <v>6835.6508494966038</v>
      </c>
      <c r="AM82" s="254">
        <v>7275.8968750511667</v>
      </c>
      <c r="AN82" s="254">
        <v>4362.471821022642</v>
      </c>
      <c r="AO82" s="254">
        <v>4429.3633272751067</v>
      </c>
      <c r="AP82" s="254">
        <v>-19766.454672821932</v>
      </c>
      <c r="AQ82" s="254">
        <v>-4845.4663541654591</v>
      </c>
      <c r="AR82" s="254">
        <v>-22932.599557990419</v>
      </c>
      <c r="AS82" s="254">
        <v>-5574.4518982351547</v>
      </c>
      <c r="AT82" s="254">
        <v>-18383.029416528116</v>
      </c>
      <c r="AU82" s="254">
        <v>-7302.4277839420974</v>
      </c>
      <c r="AV82" s="254">
        <v>-16917.003847206197</v>
      </c>
      <c r="AW82" s="254">
        <v>-6988.8261182473288</v>
      </c>
      <c r="AX82" s="254">
        <v>-12434.030184725969</v>
      </c>
      <c r="AY82" s="254">
        <v>-5473.5927704836977</v>
      </c>
      <c r="BA82" s="92"/>
      <c r="BB82" s="92"/>
    </row>
    <row r="83" spans="2:54">
      <c r="B83" s="230">
        <v>10246</v>
      </c>
      <c r="C83" s="230" t="s">
        <v>86</v>
      </c>
      <c r="D83" s="254">
        <v>-436.83769064787657</v>
      </c>
      <c r="E83" s="254">
        <v>75.627472784883139</v>
      </c>
      <c r="F83" s="254">
        <v>-429.36602404892983</v>
      </c>
      <c r="G83" s="254">
        <v>-45.945762555164947</v>
      </c>
      <c r="H83" s="254">
        <v>1037.7645565755411</v>
      </c>
      <c r="I83" s="254">
        <v>337.91339093089618</v>
      </c>
      <c r="J83" s="254">
        <v>1408.035641707299</v>
      </c>
      <c r="K83" s="254">
        <v>1113.0357130434932</v>
      </c>
      <c r="L83" s="254">
        <v>1120.8661511716668</v>
      </c>
      <c r="M83" s="254">
        <v>535.37536335831101</v>
      </c>
      <c r="N83" s="254">
        <v>48.230368780985827</v>
      </c>
      <c r="O83" s="254">
        <v>34.709391912709634</v>
      </c>
      <c r="P83" s="254">
        <v>383.02967126586509</v>
      </c>
      <c r="Q83" s="254">
        <v>267.83192271308235</v>
      </c>
      <c r="R83" s="254">
        <v>-2238.852131297202</v>
      </c>
      <c r="S83" s="254">
        <v>-511.15413302725506</v>
      </c>
      <c r="T83" s="254">
        <v>-2616.0614249832647</v>
      </c>
      <c r="U83" s="254">
        <v>-583.26311945811563</v>
      </c>
      <c r="V83" s="254">
        <v>-2051.0428060109894</v>
      </c>
      <c r="W83" s="254">
        <v>-535.51535890478885</v>
      </c>
      <c r="X83" s="254">
        <v>-1717.1497989916206</v>
      </c>
      <c r="Y83" s="254">
        <v>-634.99496669880546</v>
      </c>
      <c r="Z83" s="254">
        <v>-1416.4481230850647</v>
      </c>
      <c r="AA83" s="254">
        <v>-584.22792239520936</v>
      </c>
      <c r="AB83" s="254">
        <v>-436.75469064787694</v>
      </c>
      <c r="AC83" s="254">
        <v>73.905472784883386</v>
      </c>
      <c r="AD83" s="254">
        <v>-427.67402404892982</v>
      </c>
      <c r="AE83" s="254">
        <v>-46.294762555164652</v>
      </c>
      <c r="AF83" s="254">
        <v>1038.2675565755408</v>
      </c>
      <c r="AG83" s="254">
        <v>336.57539093089599</v>
      </c>
      <c r="AH83" s="254">
        <v>1408.2836417072986</v>
      </c>
      <c r="AI83" s="254">
        <v>1111.9467130434932</v>
      </c>
      <c r="AJ83" s="254">
        <v>1122.621151171667</v>
      </c>
      <c r="AK83" s="254">
        <v>535.44036335831106</v>
      </c>
      <c r="AL83" s="254">
        <v>48.436368780985049</v>
      </c>
      <c r="AM83" s="254">
        <v>33.699391912709416</v>
      </c>
      <c r="AN83" s="254">
        <v>234.73367126586527</v>
      </c>
      <c r="AO83" s="254">
        <v>416.17392271308245</v>
      </c>
      <c r="AP83" s="254">
        <v>-2132.5501312972019</v>
      </c>
      <c r="AQ83" s="254">
        <v>-618.30013302725547</v>
      </c>
      <c r="AR83" s="254">
        <v>-2614.9994249832653</v>
      </c>
      <c r="AS83" s="254">
        <v>-584.28111945811565</v>
      </c>
      <c r="AT83" s="254">
        <v>-2050.4158060109899</v>
      </c>
      <c r="AU83" s="254">
        <v>-536.97835890478859</v>
      </c>
      <c r="AV83" s="254">
        <v>-1716.3037989916206</v>
      </c>
      <c r="AW83" s="254">
        <v>-636.6769666988057</v>
      </c>
      <c r="AX83" s="254">
        <v>-1415.3591230850648</v>
      </c>
      <c r="AY83" s="254">
        <v>-585.26792239520933</v>
      </c>
      <c r="BA83" s="92"/>
      <c r="BB83" s="92"/>
    </row>
    <row r="84" spans="2:54">
      <c r="B84" s="230">
        <v>10247</v>
      </c>
      <c r="C84" s="230" t="s">
        <v>87</v>
      </c>
      <c r="D84" s="254">
        <v>-243.46045109214901</v>
      </c>
      <c r="E84" s="254">
        <v>2826.5756795702873</v>
      </c>
      <c r="F84" s="254">
        <v>86.459176101678167</v>
      </c>
      <c r="G84" s="254">
        <v>864.6948224672924</v>
      </c>
      <c r="H84" s="254">
        <v>10146.900215770031</v>
      </c>
      <c r="I84" s="254">
        <v>2928.2976649954144</v>
      </c>
      <c r="J84" s="254">
        <v>18296.816196240543</v>
      </c>
      <c r="K84" s="254">
        <v>8611.5177894390799</v>
      </c>
      <c r="L84" s="254">
        <v>14769.189195981675</v>
      </c>
      <c r="M84" s="254">
        <v>7743.1689802753208</v>
      </c>
      <c r="N84" s="254">
        <v>4880.4488018810443</v>
      </c>
      <c r="O84" s="254">
        <v>3954.0909949596244</v>
      </c>
      <c r="P84" s="254">
        <v>7707.0991131450901</v>
      </c>
      <c r="Q84" s="254">
        <v>5747.7923582771364</v>
      </c>
      <c r="R84" s="254">
        <v>-11872.40680469992</v>
      </c>
      <c r="S84" s="254">
        <v>-2243.9328156862975</v>
      </c>
      <c r="T84" s="254">
        <v>-19229.038588313761</v>
      </c>
      <c r="U84" s="254">
        <v>-2302.7726009451453</v>
      </c>
      <c r="V84" s="254">
        <v>-12576.067913306757</v>
      </c>
      <c r="W84" s="254">
        <v>-3314.0618928116237</v>
      </c>
      <c r="X84" s="254">
        <v>-11669.709679260453</v>
      </c>
      <c r="Y84" s="254">
        <v>-2086.3446125153896</v>
      </c>
      <c r="Z84" s="254">
        <v>-8127.1806651058396</v>
      </c>
      <c r="AA84" s="254">
        <v>-3376.6577300374811</v>
      </c>
      <c r="AB84" s="254">
        <v>-293.76345109214162</v>
      </c>
      <c r="AC84" s="254">
        <v>2761.5986795702884</v>
      </c>
      <c r="AD84" s="254">
        <v>55.967176101679797</v>
      </c>
      <c r="AE84" s="254">
        <v>810.68882246729481</v>
      </c>
      <c r="AF84" s="254">
        <v>10095.616215770031</v>
      </c>
      <c r="AG84" s="254">
        <v>2862.6866649954136</v>
      </c>
      <c r="AH84" s="254">
        <v>18254.188196240546</v>
      </c>
      <c r="AI84" s="254">
        <v>8536.475789439075</v>
      </c>
      <c r="AJ84" s="254">
        <v>14739.938195981671</v>
      </c>
      <c r="AK84" s="254">
        <v>7702.820980275319</v>
      </c>
      <c r="AL84" s="254">
        <v>4818.7518018810515</v>
      </c>
      <c r="AM84" s="254">
        <v>3897.3189949596235</v>
      </c>
      <c r="AN84" s="254">
        <v>7698.5661131450943</v>
      </c>
      <c r="AO84" s="254">
        <v>5650.1823582771322</v>
      </c>
      <c r="AP84" s="254">
        <v>-11967.60280469992</v>
      </c>
      <c r="AQ84" s="254">
        <v>-2269.2988156862957</v>
      </c>
      <c r="AR84" s="254">
        <v>-19281.150588313762</v>
      </c>
      <c r="AS84" s="254">
        <v>-2361.2986009451452</v>
      </c>
      <c r="AT84" s="254">
        <v>-12612.989913306759</v>
      </c>
      <c r="AU84" s="254">
        <v>-3391.6188928116244</v>
      </c>
      <c r="AV84" s="254">
        <v>-11727.209679260457</v>
      </c>
      <c r="AW84" s="254">
        <v>-2147.109612515389</v>
      </c>
      <c r="AX84" s="254">
        <v>-8167.828665105837</v>
      </c>
      <c r="AY84" s="254">
        <v>-3442.8467300374814</v>
      </c>
      <c r="BA84" s="92"/>
      <c r="BB84" s="92"/>
    </row>
    <row r="85" spans="2:54">
      <c r="B85" s="230">
        <v>10256</v>
      </c>
      <c r="C85" s="230" t="s">
        <v>88</v>
      </c>
      <c r="D85" s="254">
        <v>-3661.7750770662878</v>
      </c>
      <c r="E85" s="254">
        <v>-83.912233732316963</v>
      </c>
      <c r="F85" s="254">
        <v>-4052.7602619750796</v>
      </c>
      <c r="G85" s="254">
        <v>-920.90484351536725</v>
      </c>
      <c r="H85" s="254">
        <v>2870.8618134497374</v>
      </c>
      <c r="I85" s="254">
        <v>2592.5104832060151</v>
      </c>
      <c r="J85" s="254">
        <v>5389.1291669945713</v>
      </c>
      <c r="K85" s="254">
        <v>2970.5505045733917</v>
      </c>
      <c r="L85" s="254">
        <v>4867.906408663941</v>
      </c>
      <c r="M85" s="254">
        <v>2546.5377793603675</v>
      </c>
      <c r="N85" s="254">
        <v>-696.46874013133856</v>
      </c>
      <c r="O85" s="254">
        <v>891.31153373172128</v>
      </c>
      <c r="P85" s="254">
        <v>2044.6651409533788</v>
      </c>
      <c r="Q85" s="254">
        <v>2150.65981408689</v>
      </c>
      <c r="R85" s="254">
        <v>-3613.8776169328121</v>
      </c>
      <c r="S85" s="254">
        <v>1469.3142709723306</v>
      </c>
      <c r="T85" s="254">
        <v>-8455.7391237892698</v>
      </c>
      <c r="U85" s="254">
        <v>633.52785216010489</v>
      </c>
      <c r="V85" s="254">
        <v>-4087.3020291601024</v>
      </c>
      <c r="W85" s="254">
        <v>2699.3352654924074</v>
      </c>
      <c r="X85" s="254">
        <v>-2843.0074419653683</v>
      </c>
      <c r="Y85" s="254">
        <v>2105.186176830055</v>
      </c>
      <c r="Z85" s="254">
        <v>-4896.8848478306409</v>
      </c>
      <c r="AA85" s="254">
        <v>86.641249329835773</v>
      </c>
      <c r="AB85" s="254">
        <v>-3651.093077066289</v>
      </c>
      <c r="AC85" s="254">
        <v>-96.707233732315217</v>
      </c>
      <c r="AD85" s="254">
        <v>-4037.1832619750785</v>
      </c>
      <c r="AE85" s="254">
        <v>-926.84384351536755</v>
      </c>
      <c r="AF85" s="254">
        <v>2870.8258134497373</v>
      </c>
      <c r="AG85" s="254">
        <v>2588.3704832060157</v>
      </c>
      <c r="AH85" s="254">
        <v>5403.4301669945708</v>
      </c>
      <c r="AI85" s="254">
        <v>2951.0695045733919</v>
      </c>
      <c r="AJ85" s="254">
        <v>4896.4964086639411</v>
      </c>
      <c r="AK85" s="254">
        <v>2551.7777793603691</v>
      </c>
      <c r="AL85" s="254">
        <v>-697.78274013134069</v>
      </c>
      <c r="AM85" s="254">
        <v>885.96553373172173</v>
      </c>
      <c r="AN85" s="254">
        <v>2175.5071409533793</v>
      </c>
      <c r="AO85" s="254">
        <v>2024.9578140868925</v>
      </c>
      <c r="AP85" s="254">
        <v>-3715.9156169328126</v>
      </c>
      <c r="AQ85" s="254">
        <v>1562.1312709723297</v>
      </c>
      <c r="AR85" s="254">
        <v>-8441.6781237892719</v>
      </c>
      <c r="AS85" s="254">
        <v>622.61185216010563</v>
      </c>
      <c r="AT85" s="254">
        <v>-4081.5360291601028</v>
      </c>
      <c r="AU85" s="254">
        <v>2682.3742654924063</v>
      </c>
      <c r="AV85" s="254">
        <v>-2842.6074419653705</v>
      </c>
      <c r="AW85" s="254">
        <v>2092.6011768300541</v>
      </c>
      <c r="AX85" s="254">
        <v>-4892.350847830643</v>
      </c>
      <c r="AY85" s="254">
        <v>82.291249329837228</v>
      </c>
      <c r="BA85" s="92"/>
      <c r="BB85" s="92"/>
    </row>
    <row r="86" spans="2:54">
      <c r="B86" s="230">
        <v>10258</v>
      </c>
      <c r="C86" s="230" t="s">
        <v>89</v>
      </c>
      <c r="D86" s="254">
        <v>-2205.4059606402279</v>
      </c>
      <c r="E86" s="254">
        <v>-986.02426898220801</v>
      </c>
      <c r="F86" s="254">
        <v>-3237.2231410823115</v>
      </c>
      <c r="G86" s="254">
        <v>-346.70751481039406</v>
      </c>
      <c r="H86" s="254">
        <v>7115.6575311901724</v>
      </c>
      <c r="I86" s="254">
        <v>5229.3802491762781</v>
      </c>
      <c r="J86" s="254">
        <v>11165.938398789247</v>
      </c>
      <c r="K86" s="254">
        <v>7531.8932655720873</v>
      </c>
      <c r="L86" s="254">
        <v>5572.5446171708754</v>
      </c>
      <c r="M86" s="254">
        <v>3801.5465937638692</v>
      </c>
      <c r="N86" s="254">
        <v>1305.6296795268736</v>
      </c>
      <c r="O86" s="254">
        <v>2131.1583944508038</v>
      </c>
      <c r="P86" s="254">
        <v>418.43380751995028</v>
      </c>
      <c r="Q86" s="254">
        <v>754.35434681155039</v>
      </c>
      <c r="R86" s="254">
        <v>-8580.8253597393468</v>
      </c>
      <c r="S86" s="254">
        <v>-2802.6384140356531</v>
      </c>
      <c r="T86" s="254">
        <v>-10883.180767328744</v>
      </c>
      <c r="U86" s="254">
        <v>-2777.2797718685033</v>
      </c>
      <c r="V86" s="254">
        <v>-4157.7529863143609</v>
      </c>
      <c r="W86" s="254">
        <v>-784.23656812056106</v>
      </c>
      <c r="X86" s="254">
        <v>-3156.2672178696084</v>
      </c>
      <c r="Y86" s="254">
        <v>-247.22994156533787</v>
      </c>
      <c r="Z86" s="254">
        <v>-5623.1231250757846</v>
      </c>
      <c r="AA86" s="254">
        <v>-2063.044684695973</v>
      </c>
      <c r="AB86" s="254">
        <v>-2152.235960640226</v>
      </c>
      <c r="AC86" s="254">
        <v>-961.82726898220972</v>
      </c>
      <c r="AD86" s="254">
        <v>-3190.3951410823138</v>
      </c>
      <c r="AE86" s="254">
        <v>-315.76651481039517</v>
      </c>
      <c r="AF86" s="254">
        <v>7150.9355311901709</v>
      </c>
      <c r="AG86" s="254">
        <v>5252.9712491762748</v>
      </c>
      <c r="AH86" s="254">
        <v>11203.650398789247</v>
      </c>
      <c r="AI86" s="254">
        <v>7551.9122655720876</v>
      </c>
      <c r="AJ86" s="254">
        <v>5622.9446171708769</v>
      </c>
      <c r="AK86" s="254">
        <v>3833.1915937638678</v>
      </c>
      <c r="AL86" s="254">
        <v>1348.902679526871</v>
      </c>
      <c r="AM86" s="254">
        <v>2160.0333944508038</v>
      </c>
      <c r="AN86" s="254">
        <v>695.07680751995031</v>
      </c>
      <c r="AO86" s="254">
        <v>558.9413468115481</v>
      </c>
      <c r="AP86" s="254">
        <v>-8753.9213597393464</v>
      </c>
      <c r="AQ86" s="254">
        <v>-2547.5854140356514</v>
      </c>
      <c r="AR86" s="254">
        <v>-10825.113767328745</v>
      </c>
      <c r="AS86" s="254">
        <v>-2749.0187718685047</v>
      </c>
      <c r="AT86" s="254">
        <v>-4105.1289863143611</v>
      </c>
      <c r="AU86" s="254">
        <v>-761.70856812056081</v>
      </c>
      <c r="AV86" s="254">
        <v>-3105.2712178696092</v>
      </c>
      <c r="AW86" s="254">
        <v>-223.70694156533864</v>
      </c>
      <c r="AX86" s="254">
        <v>-5570.4801250757846</v>
      </c>
      <c r="AY86" s="254">
        <v>-2030.888684695974</v>
      </c>
      <c r="BA86" s="92"/>
      <c r="BB86" s="92"/>
    </row>
    <row r="87" spans="2:54">
      <c r="B87" s="230">
        <v>10259</v>
      </c>
      <c r="C87" s="230" t="s">
        <v>90</v>
      </c>
      <c r="D87" s="254">
        <v>-184.68175884305128</v>
      </c>
      <c r="E87" s="254">
        <v>123.91876222347673</v>
      </c>
      <c r="F87" s="254">
        <v>-1911.7740857266763</v>
      </c>
      <c r="G87" s="254">
        <v>-518.87374829152486</v>
      </c>
      <c r="H87" s="254">
        <v>3134.8945024253171</v>
      </c>
      <c r="I87" s="254">
        <v>1597.3204340917346</v>
      </c>
      <c r="J87" s="254">
        <v>5280.7865540562088</v>
      </c>
      <c r="K87" s="254">
        <v>3117.8689417584446</v>
      </c>
      <c r="L87" s="254">
        <v>3048.4287071013478</v>
      </c>
      <c r="M87" s="254">
        <v>1419.6184015910567</v>
      </c>
      <c r="N87" s="254">
        <v>1084.0158528884986</v>
      </c>
      <c r="O87" s="254">
        <v>827.43809364831577</v>
      </c>
      <c r="P87" s="254">
        <v>1781.3751474470573</v>
      </c>
      <c r="Q87" s="254">
        <v>1244.7642863988931</v>
      </c>
      <c r="R87" s="254">
        <v>-3697.7958067836444</v>
      </c>
      <c r="S87" s="254">
        <v>-232.9829771520881</v>
      </c>
      <c r="T87" s="254">
        <v>-4644.4222468537264</v>
      </c>
      <c r="U87" s="254">
        <v>-7.1869491382612978</v>
      </c>
      <c r="V87" s="254">
        <v>-1957.3805716872466</v>
      </c>
      <c r="W87" s="254">
        <v>315.16011908928249</v>
      </c>
      <c r="X87" s="254">
        <v>-1150.9692780974201</v>
      </c>
      <c r="Y87" s="254">
        <v>299.10785121053414</v>
      </c>
      <c r="Z87" s="254">
        <v>-2078.9672982340471</v>
      </c>
      <c r="AA87" s="254">
        <v>-358.71749289374111</v>
      </c>
      <c r="AB87" s="254">
        <v>-75.742758843050979</v>
      </c>
      <c r="AC87" s="254">
        <v>176.84176222347651</v>
      </c>
      <c r="AD87" s="254">
        <v>-1809.5230857266761</v>
      </c>
      <c r="AE87" s="254">
        <v>-454.04474829152514</v>
      </c>
      <c r="AF87" s="254">
        <v>3237.7235024253187</v>
      </c>
      <c r="AG87" s="254">
        <v>1664.6994340917336</v>
      </c>
      <c r="AH87" s="254">
        <v>5385.751554056209</v>
      </c>
      <c r="AI87" s="254">
        <v>3182.9939417584465</v>
      </c>
      <c r="AJ87" s="254">
        <v>3156.9547071013458</v>
      </c>
      <c r="AK87" s="254">
        <v>1486.4734015910572</v>
      </c>
      <c r="AL87" s="254">
        <v>1186.8358528884983</v>
      </c>
      <c r="AM87" s="254">
        <v>888.98309364831402</v>
      </c>
      <c r="AN87" s="254">
        <v>1939.7421474470575</v>
      </c>
      <c r="AO87" s="254">
        <v>1251.0572863988937</v>
      </c>
      <c r="AP87" s="254">
        <v>-3649.5058067836435</v>
      </c>
      <c r="AQ87" s="254">
        <v>-121.4749771520892</v>
      </c>
      <c r="AR87" s="254">
        <v>-4535.4932468537263</v>
      </c>
      <c r="AS87" s="254">
        <v>48.748050861739102</v>
      </c>
      <c r="AT87" s="254">
        <v>-1848.9345716872467</v>
      </c>
      <c r="AU87" s="254">
        <v>370.02611908928156</v>
      </c>
      <c r="AV87" s="254">
        <v>-1040.4862780974217</v>
      </c>
      <c r="AW87" s="254">
        <v>351.99485121053385</v>
      </c>
      <c r="AX87" s="254">
        <v>-1976.2212982340461</v>
      </c>
      <c r="AY87" s="254">
        <v>-298.11249289374155</v>
      </c>
      <c r="BA87" s="92"/>
      <c r="BB87" s="92"/>
    </row>
    <row r="88" spans="2:54">
      <c r="B88" s="230">
        <v>10260</v>
      </c>
      <c r="C88" s="230" t="s">
        <v>91</v>
      </c>
      <c r="D88" s="254">
        <v>-646.31336460113016</v>
      </c>
      <c r="E88" s="254">
        <v>-347.51832947875482</v>
      </c>
      <c r="F88" s="254">
        <v>-2910.8029248075727</v>
      </c>
      <c r="G88" s="254">
        <v>-1523.9638970849628</v>
      </c>
      <c r="H88" s="254">
        <v>1170.5266778046225</v>
      </c>
      <c r="I88" s="254">
        <v>-89.465542633353834</v>
      </c>
      <c r="J88" s="254">
        <v>4045.3112627962946</v>
      </c>
      <c r="K88" s="254">
        <v>1829.7283474366513</v>
      </c>
      <c r="L88" s="254">
        <v>2936.1473671703152</v>
      </c>
      <c r="M88" s="254">
        <v>1004.7792538265239</v>
      </c>
      <c r="N88" s="254">
        <v>495.54630661859846</v>
      </c>
      <c r="O88" s="254">
        <v>47.137018151111988</v>
      </c>
      <c r="P88" s="254">
        <v>1166.9696597921975</v>
      </c>
      <c r="Q88" s="254">
        <v>519.77340070571609</v>
      </c>
      <c r="R88" s="254">
        <v>-4022.3374071100006</v>
      </c>
      <c r="S88" s="254">
        <v>-891.85605227679116</v>
      </c>
      <c r="T88" s="254">
        <v>-4599.9153018919642</v>
      </c>
      <c r="U88" s="254">
        <v>-328.52371273228528</v>
      </c>
      <c r="V88" s="254">
        <v>-1193.5359121270649</v>
      </c>
      <c r="W88" s="254">
        <v>394.95999446516907</v>
      </c>
      <c r="X88" s="254">
        <v>-750.87257005092761</v>
      </c>
      <c r="Y88" s="254">
        <v>121.15863660776904</v>
      </c>
      <c r="Z88" s="254">
        <v>-2150.3825468510222</v>
      </c>
      <c r="AA88" s="254">
        <v>-729.784142821758</v>
      </c>
      <c r="AB88" s="254">
        <v>-647.22636460113063</v>
      </c>
      <c r="AC88" s="254">
        <v>-357.91832947875537</v>
      </c>
      <c r="AD88" s="254">
        <v>-2905.1399248075722</v>
      </c>
      <c r="AE88" s="254">
        <v>-1526.1288970849628</v>
      </c>
      <c r="AF88" s="254">
        <v>1183.6256778046245</v>
      </c>
      <c r="AG88" s="254">
        <v>-85.421542633353965</v>
      </c>
      <c r="AH88" s="254">
        <v>4061.2032627962963</v>
      </c>
      <c r="AI88" s="254">
        <v>1832.39134743665</v>
      </c>
      <c r="AJ88" s="254">
        <v>2945.9873671703153</v>
      </c>
      <c r="AK88" s="254">
        <v>1005.9912538265235</v>
      </c>
      <c r="AL88" s="254">
        <v>499.30830661859909</v>
      </c>
      <c r="AM88" s="254">
        <v>44.266018151110984</v>
      </c>
      <c r="AN88" s="254">
        <v>1204.5246597921996</v>
      </c>
      <c r="AO88" s="254">
        <v>473.81140070571564</v>
      </c>
      <c r="AP88" s="254">
        <v>-4062.9014071099991</v>
      </c>
      <c r="AQ88" s="254">
        <v>-864.00705227679009</v>
      </c>
      <c r="AR88" s="254">
        <v>-4599.0693018919628</v>
      </c>
      <c r="AS88" s="254">
        <v>-335.74171273228512</v>
      </c>
      <c r="AT88" s="254">
        <v>-1184.3189121270643</v>
      </c>
      <c r="AU88" s="254">
        <v>388.92699446516963</v>
      </c>
      <c r="AV88" s="254">
        <v>-744.09857005092817</v>
      </c>
      <c r="AW88" s="254">
        <v>115.881636607769</v>
      </c>
      <c r="AX88" s="254">
        <v>-2152.0265468510206</v>
      </c>
      <c r="AY88" s="254">
        <v>-738.22014282175769</v>
      </c>
      <c r="BA88" s="92"/>
      <c r="BB88" s="92"/>
    </row>
    <row r="89" spans="2:54">
      <c r="B89" s="230">
        <v>10273</v>
      </c>
      <c r="C89" s="230" t="s">
        <v>92</v>
      </c>
      <c r="D89" s="254">
        <v>-478.22013230516404</v>
      </c>
      <c r="E89" s="254">
        <v>-316.88412530626215</v>
      </c>
      <c r="F89" s="254">
        <v>-1751.4067380386207</v>
      </c>
      <c r="G89" s="254">
        <v>-907.94535569380889</v>
      </c>
      <c r="H89" s="254">
        <v>-888.05121427305494</v>
      </c>
      <c r="I89" s="254">
        <v>-696.61111475149278</v>
      </c>
      <c r="J89" s="254">
        <v>-288.49059514864234</v>
      </c>
      <c r="K89" s="254">
        <v>-396.59146218558749</v>
      </c>
      <c r="L89" s="254">
        <v>-604.8275333209458</v>
      </c>
      <c r="M89" s="254">
        <v>-449.27604981549473</v>
      </c>
      <c r="N89" s="254">
        <v>-1419.3867284922167</v>
      </c>
      <c r="O89" s="254">
        <v>-686.62493070493144</v>
      </c>
      <c r="P89" s="254">
        <v>-318.57679315557721</v>
      </c>
      <c r="Q89" s="254">
        <v>-191.24364510808164</v>
      </c>
      <c r="R89" s="254">
        <v>-236.45701661504791</v>
      </c>
      <c r="S89" s="254">
        <v>179.74775971625172</v>
      </c>
      <c r="T89" s="254">
        <v>131.42347011939046</v>
      </c>
      <c r="U89" s="254">
        <v>1015.538297591766</v>
      </c>
      <c r="V89" s="254">
        <v>1433.550422563294</v>
      </c>
      <c r="W89" s="254">
        <v>1477.4594897879078</v>
      </c>
      <c r="X89" s="254">
        <v>1428.6311768032206</v>
      </c>
      <c r="Y89" s="254">
        <v>1248.3062613022437</v>
      </c>
      <c r="Z89" s="254">
        <v>191.58633717959947</v>
      </c>
      <c r="AA89" s="254">
        <v>707.64930302472885</v>
      </c>
      <c r="AB89" s="254">
        <v>-351.58813230516444</v>
      </c>
      <c r="AC89" s="254">
        <v>-239.43412530626233</v>
      </c>
      <c r="AD89" s="254">
        <v>-1750.0987380386207</v>
      </c>
      <c r="AE89" s="254">
        <v>-906.9203556938088</v>
      </c>
      <c r="AF89" s="254">
        <v>-886.76921427305501</v>
      </c>
      <c r="AG89" s="254">
        <v>-695.76611475149252</v>
      </c>
      <c r="AH89" s="254">
        <v>-287.01459514864223</v>
      </c>
      <c r="AI89" s="254">
        <v>-395.9424621855876</v>
      </c>
      <c r="AJ89" s="254">
        <v>-603.1805333209461</v>
      </c>
      <c r="AK89" s="254">
        <v>-448.14904981549466</v>
      </c>
      <c r="AL89" s="254">
        <v>-1418.2837284922166</v>
      </c>
      <c r="AM89" s="254">
        <v>-685.59193070493131</v>
      </c>
      <c r="AN89" s="254">
        <v>-128.4357931555769</v>
      </c>
      <c r="AO89" s="254">
        <v>-144.19064510808153</v>
      </c>
      <c r="AP89" s="254">
        <v>-6.2280166150476362</v>
      </c>
      <c r="AQ89" s="254">
        <v>402.18175971625146</v>
      </c>
      <c r="AR89" s="254">
        <v>420.02547011939123</v>
      </c>
      <c r="AS89" s="254">
        <v>1232.1662975917661</v>
      </c>
      <c r="AT89" s="254">
        <v>1771.006422563295</v>
      </c>
      <c r="AU89" s="254">
        <v>1730.8964897879082</v>
      </c>
      <c r="AV89" s="254">
        <v>1722.209176803221</v>
      </c>
      <c r="AW89" s="254">
        <v>1441.8132613022437</v>
      </c>
      <c r="AX89" s="254">
        <v>388.39333717959926</v>
      </c>
      <c r="AY89" s="254">
        <v>915.56430302472836</v>
      </c>
      <c r="BA89" s="92"/>
      <c r="BB89" s="92"/>
    </row>
    <row r="90" spans="2:54">
      <c r="B90" s="230">
        <v>10278</v>
      </c>
      <c r="C90" s="230" t="s">
        <v>93</v>
      </c>
      <c r="D90" s="254">
        <v>0</v>
      </c>
      <c r="E90" s="254">
        <v>0</v>
      </c>
      <c r="F90" s="254">
        <v>0</v>
      </c>
      <c r="G90" s="254">
        <v>0</v>
      </c>
      <c r="H90" s="254">
        <v>0</v>
      </c>
      <c r="I90" s="254">
        <v>0</v>
      </c>
      <c r="J90" s="254">
        <v>0</v>
      </c>
      <c r="K90" s="254">
        <v>0</v>
      </c>
      <c r="L90" s="254">
        <v>0</v>
      </c>
      <c r="M90" s="254">
        <v>0</v>
      </c>
      <c r="N90" s="254">
        <v>0</v>
      </c>
      <c r="O90" s="254">
        <v>0</v>
      </c>
      <c r="P90" s="254">
        <v>0</v>
      </c>
      <c r="Q90" s="254">
        <v>0</v>
      </c>
      <c r="R90" s="254">
        <v>0</v>
      </c>
      <c r="S90" s="254">
        <v>0</v>
      </c>
      <c r="T90" s="254">
        <v>0</v>
      </c>
      <c r="U90" s="254">
        <v>0</v>
      </c>
      <c r="V90" s="254">
        <v>0</v>
      </c>
      <c r="W90" s="254">
        <v>0</v>
      </c>
      <c r="X90" s="254">
        <v>0</v>
      </c>
      <c r="Y90" s="254">
        <v>0</v>
      </c>
      <c r="Z90" s="254">
        <v>0</v>
      </c>
      <c r="AA90" s="254">
        <v>0</v>
      </c>
      <c r="AB90" s="254">
        <v>0</v>
      </c>
      <c r="AC90" s="254">
        <v>0</v>
      </c>
      <c r="AD90" s="254">
        <v>0</v>
      </c>
      <c r="AE90" s="254">
        <v>0</v>
      </c>
      <c r="AF90" s="254">
        <v>0</v>
      </c>
      <c r="AG90" s="254">
        <v>0</v>
      </c>
      <c r="AH90" s="254">
        <v>0</v>
      </c>
      <c r="AI90" s="254">
        <v>0</v>
      </c>
      <c r="AJ90" s="254">
        <v>0</v>
      </c>
      <c r="AK90" s="254">
        <v>0</v>
      </c>
      <c r="AL90" s="254">
        <v>0</v>
      </c>
      <c r="AM90" s="254">
        <v>0</v>
      </c>
      <c r="AN90" s="254">
        <v>0</v>
      </c>
      <c r="AO90" s="254">
        <v>0</v>
      </c>
      <c r="AP90" s="254">
        <v>0</v>
      </c>
      <c r="AQ90" s="254">
        <v>0</v>
      </c>
      <c r="AR90" s="254">
        <v>0</v>
      </c>
      <c r="AS90" s="254">
        <v>0</v>
      </c>
      <c r="AT90" s="254">
        <v>0</v>
      </c>
      <c r="AU90" s="254">
        <v>0</v>
      </c>
      <c r="AV90" s="254">
        <v>0</v>
      </c>
      <c r="AW90" s="254">
        <v>0</v>
      </c>
      <c r="AX90" s="254">
        <v>0</v>
      </c>
      <c r="AY90" s="254">
        <v>0</v>
      </c>
      <c r="BA90" s="92"/>
      <c r="BB90" s="92"/>
    </row>
    <row r="91" spans="2:54">
      <c r="B91" s="230">
        <v>10279</v>
      </c>
      <c r="C91" s="230" t="s">
        <v>94</v>
      </c>
      <c r="D91" s="254">
        <v>-2824.6005160550667</v>
      </c>
      <c r="E91" s="254">
        <v>3095.6796532376011</v>
      </c>
      <c r="F91" s="254">
        <v>-6514.3491591644924</v>
      </c>
      <c r="G91" s="254">
        <v>-1349.5862945099871</v>
      </c>
      <c r="H91" s="254">
        <v>1843.4201410924798</v>
      </c>
      <c r="I91" s="254">
        <v>-828.71847836928282</v>
      </c>
      <c r="J91" s="254">
        <v>6163.1963401678804</v>
      </c>
      <c r="K91" s="254">
        <v>6682.1273238424292</v>
      </c>
      <c r="L91" s="254">
        <v>6985.4198942286275</v>
      </c>
      <c r="M91" s="254">
        <v>4056.0653865779259</v>
      </c>
      <c r="N91" s="254">
        <v>1012.2122262222329</v>
      </c>
      <c r="O91" s="254">
        <v>1023.8695159763192</v>
      </c>
      <c r="P91" s="254">
        <v>3811.9696762370368</v>
      </c>
      <c r="Q91" s="254">
        <v>2860.1144585900402</v>
      </c>
      <c r="R91" s="254">
        <v>-9121.617421441646</v>
      </c>
      <c r="S91" s="254">
        <v>3162.4246226677988</v>
      </c>
      <c r="T91" s="254">
        <v>-10650.541744398492</v>
      </c>
      <c r="U91" s="254">
        <v>1544.4775012176833</v>
      </c>
      <c r="V91" s="254">
        <v>-5891.8448127666052</v>
      </c>
      <c r="W91" s="254">
        <v>4168.6759750779365</v>
      </c>
      <c r="X91" s="254">
        <v>-2938.4266985322538</v>
      </c>
      <c r="Y91" s="254">
        <v>2136.7511282455289</v>
      </c>
      <c r="Z91" s="254">
        <v>-3336.1310779609666</v>
      </c>
      <c r="AA91" s="254">
        <v>1026.2201561476741</v>
      </c>
      <c r="AB91" s="254">
        <v>-2804.1715160550702</v>
      </c>
      <c r="AC91" s="254">
        <v>3099.4666532376013</v>
      </c>
      <c r="AD91" s="254">
        <v>-6491.1581591644936</v>
      </c>
      <c r="AE91" s="254">
        <v>-1349.8352945099905</v>
      </c>
      <c r="AF91" s="254">
        <v>1880.9281410924705</v>
      </c>
      <c r="AG91" s="254">
        <v>-842.25647836927601</v>
      </c>
      <c r="AH91" s="254">
        <v>6183.9293401678697</v>
      </c>
      <c r="AI91" s="254">
        <v>6688.6213238424316</v>
      </c>
      <c r="AJ91" s="254">
        <v>6933.1518942286384</v>
      </c>
      <c r="AK91" s="254">
        <v>4129.9353865779285</v>
      </c>
      <c r="AL91" s="254">
        <v>1022.8052262222336</v>
      </c>
      <c r="AM91" s="254">
        <v>1038.1775159763201</v>
      </c>
      <c r="AN91" s="254">
        <v>2035.4666762370325</v>
      </c>
      <c r="AO91" s="254">
        <v>4660.2774585900333</v>
      </c>
      <c r="AP91" s="254">
        <v>-7399.7244214416423</v>
      </c>
      <c r="AQ91" s="254">
        <v>1465.919622667805</v>
      </c>
      <c r="AR91" s="254">
        <v>-10650.204744398499</v>
      </c>
      <c r="AS91" s="254">
        <v>1567.5795012176823</v>
      </c>
      <c r="AT91" s="254">
        <v>-5869.7518127666044</v>
      </c>
      <c r="AU91" s="254">
        <v>4173.2809750779397</v>
      </c>
      <c r="AV91" s="254">
        <v>-2926.9486985322692</v>
      </c>
      <c r="AW91" s="254">
        <v>2151.0081282455194</v>
      </c>
      <c r="AX91" s="254">
        <v>-3320.9050779609715</v>
      </c>
      <c r="AY91" s="254">
        <v>1036.1701561476712</v>
      </c>
      <c r="BA91" s="92"/>
      <c r="BB91" s="92"/>
    </row>
    <row r="92" spans="2:54">
      <c r="B92" s="230">
        <v>10284</v>
      </c>
      <c r="C92" s="230" t="s">
        <v>95</v>
      </c>
      <c r="D92" s="254">
        <v>227.75120446568326</v>
      </c>
      <c r="E92" s="254">
        <v>815.46251626674075</v>
      </c>
      <c r="F92" s="254">
        <v>128.22587215591284</v>
      </c>
      <c r="G92" s="254">
        <v>523.65590866289131</v>
      </c>
      <c r="H92" s="254">
        <v>2163.7020697264779</v>
      </c>
      <c r="I92" s="254">
        <v>1227.078729022548</v>
      </c>
      <c r="J92" s="254">
        <v>2881.4825652962036</v>
      </c>
      <c r="K92" s="254">
        <v>2288.5106706844763</v>
      </c>
      <c r="L92" s="254">
        <v>2193.1512599877747</v>
      </c>
      <c r="M92" s="254">
        <v>1401.0498282185526</v>
      </c>
      <c r="N92" s="254">
        <v>1096.1802369884072</v>
      </c>
      <c r="O92" s="254">
        <v>883.76500405974593</v>
      </c>
      <c r="P92" s="254">
        <v>1295.4163396322074</v>
      </c>
      <c r="Q92" s="254">
        <v>1026.2471519116525</v>
      </c>
      <c r="R92" s="254">
        <v>-1891.743366235286</v>
      </c>
      <c r="S92" s="254">
        <v>-86.565104164471904</v>
      </c>
      <c r="T92" s="254">
        <v>-2311.4959952368599</v>
      </c>
      <c r="U92" s="254">
        <v>-209.29194526206174</v>
      </c>
      <c r="V92" s="254">
        <v>-1852.0465975536763</v>
      </c>
      <c r="W92" s="254">
        <v>-285.94445189732778</v>
      </c>
      <c r="X92" s="254">
        <v>-1395.4862925895386</v>
      </c>
      <c r="Y92" s="254">
        <v>-397.46948380970571</v>
      </c>
      <c r="Z92" s="254">
        <v>-1230.93186355325</v>
      </c>
      <c r="AA92" s="254">
        <v>-390.2561267998658</v>
      </c>
      <c r="AB92" s="254">
        <v>260.20020446568287</v>
      </c>
      <c r="AC92" s="254">
        <v>838.64751626674069</v>
      </c>
      <c r="AD92" s="254">
        <v>160.5798721559122</v>
      </c>
      <c r="AE92" s="254">
        <v>546.77290866289104</v>
      </c>
      <c r="AF92" s="254">
        <v>2196.403069726478</v>
      </c>
      <c r="AG92" s="254">
        <v>1249.712729022548</v>
      </c>
      <c r="AH92" s="254">
        <v>2910.0475652962041</v>
      </c>
      <c r="AI92" s="254">
        <v>2310.6056706844765</v>
      </c>
      <c r="AJ92" s="254">
        <v>2220.3842599877748</v>
      </c>
      <c r="AK92" s="254">
        <v>1419.8108282185526</v>
      </c>
      <c r="AL92" s="254">
        <v>1121.0152369884072</v>
      </c>
      <c r="AM92" s="254">
        <v>900.27400405974595</v>
      </c>
      <c r="AN92" s="254">
        <v>1117.9603396322073</v>
      </c>
      <c r="AO92" s="254">
        <v>1240.4081519116526</v>
      </c>
      <c r="AP92" s="254">
        <v>-1735.9273662352862</v>
      </c>
      <c r="AQ92" s="254">
        <v>-210.30310416447173</v>
      </c>
      <c r="AR92" s="254">
        <v>-2294.5009952368596</v>
      </c>
      <c r="AS92" s="254">
        <v>-198.8259452620614</v>
      </c>
      <c r="AT92" s="254">
        <v>-1838.6245975536763</v>
      </c>
      <c r="AU92" s="254">
        <v>-276.51045189732758</v>
      </c>
      <c r="AV92" s="254">
        <v>-1383.7972925895383</v>
      </c>
      <c r="AW92" s="254">
        <v>-390.87748380970584</v>
      </c>
      <c r="AX92" s="254">
        <v>-1222.7248635532496</v>
      </c>
      <c r="AY92" s="254">
        <v>-384.78512679986579</v>
      </c>
      <c r="BA92" s="92"/>
      <c r="BB92" s="92"/>
    </row>
    <row r="93" spans="2:54">
      <c r="B93" s="230">
        <v>10285</v>
      </c>
      <c r="C93" s="230" t="s">
        <v>96</v>
      </c>
      <c r="D93" s="254">
        <v>0</v>
      </c>
      <c r="E93" s="254">
        <v>0</v>
      </c>
      <c r="F93" s="254">
        <v>0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0</v>
      </c>
      <c r="P93" s="254">
        <v>0</v>
      </c>
      <c r="Q93" s="254">
        <v>0</v>
      </c>
      <c r="R93" s="254">
        <v>0</v>
      </c>
      <c r="S93" s="254">
        <v>0</v>
      </c>
      <c r="T93" s="254">
        <v>0</v>
      </c>
      <c r="U93" s="254">
        <v>0</v>
      </c>
      <c r="V93" s="254">
        <v>0</v>
      </c>
      <c r="W93" s="254">
        <v>0</v>
      </c>
      <c r="X93" s="254">
        <v>0</v>
      </c>
      <c r="Y93" s="254">
        <v>0</v>
      </c>
      <c r="Z93" s="254">
        <v>0</v>
      </c>
      <c r="AA93" s="254">
        <v>0</v>
      </c>
      <c r="AB93" s="254">
        <v>0</v>
      </c>
      <c r="AC93" s="254">
        <v>0</v>
      </c>
      <c r="AD93" s="254">
        <v>0</v>
      </c>
      <c r="AE93" s="254">
        <v>0</v>
      </c>
      <c r="AF93" s="254">
        <v>0</v>
      </c>
      <c r="AG93" s="254">
        <v>0</v>
      </c>
      <c r="AH93" s="254">
        <v>0</v>
      </c>
      <c r="AI93" s="254">
        <v>0</v>
      </c>
      <c r="AJ93" s="254">
        <v>0</v>
      </c>
      <c r="AK93" s="254">
        <v>0</v>
      </c>
      <c r="AL93" s="254">
        <v>0</v>
      </c>
      <c r="AM93" s="254">
        <v>0</v>
      </c>
      <c r="AN93" s="254">
        <v>0</v>
      </c>
      <c r="AO93" s="254">
        <v>0</v>
      </c>
      <c r="AP93" s="254">
        <v>0</v>
      </c>
      <c r="AQ93" s="254">
        <v>0</v>
      </c>
      <c r="AR93" s="254">
        <v>0</v>
      </c>
      <c r="AS93" s="254">
        <v>0</v>
      </c>
      <c r="AT93" s="254">
        <v>0</v>
      </c>
      <c r="AU93" s="254">
        <v>0</v>
      </c>
      <c r="AV93" s="254">
        <v>0</v>
      </c>
      <c r="AW93" s="254">
        <v>0</v>
      </c>
      <c r="AX93" s="254">
        <v>0</v>
      </c>
      <c r="AY93" s="254">
        <v>0</v>
      </c>
      <c r="BA93" s="92"/>
      <c r="BB93" s="92"/>
    </row>
    <row r="94" spans="2:54">
      <c r="B94" s="230">
        <v>10286</v>
      </c>
      <c r="C94" s="230" t="s">
        <v>97</v>
      </c>
      <c r="D94" s="254">
        <v>-1264.571706824634</v>
      </c>
      <c r="E94" s="254">
        <v>1198.7462701181612</v>
      </c>
      <c r="F94" s="254">
        <v>-3205.2022173324731</v>
      </c>
      <c r="G94" s="254">
        <v>-1284.2099811817425</v>
      </c>
      <c r="H94" s="254">
        <v>6432.8320635333839</v>
      </c>
      <c r="I94" s="254">
        <v>2532.6418563185962</v>
      </c>
      <c r="J94" s="254">
        <v>12915.718852540991</v>
      </c>
      <c r="K94" s="254">
        <v>7038.7899697608573</v>
      </c>
      <c r="L94" s="254">
        <v>9603.6076720323417</v>
      </c>
      <c r="M94" s="254">
        <v>5565.7944869915045</v>
      </c>
      <c r="N94" s="254">
        <v>5374.1521154485345</v>
      </c>
      <c r="O94" s="254">
        <v>4321.6603510278946</v>
      </c>
      <c r="P94" s="254">
        <v>1342.7048009529935</v>
      </c>
      <c r="Q94" s="254">
        <v>1553.7357392445119</v>
      </c>
      <c r="R94" s="254">
        <v>-10066.398704418116</v>
      </c>
      <c r="S94" s="254">
        <v>-2559.6028378202955</v>
      </c>
      <c r="T94" s="254">
        <v>-16952.114986773286</v>
      </c>
      <c r="U94" s="254">
        <v>-4506.8047874815693</v>
      </c>
      <c r="V94" s="254">
        <v>-4374.3408566393591</v>
      </c>
      <c r="W94" s="254">
        <v>849.99798184211795</v>
      </c>
      <c r="X94" s="254">
        <v>-8227.2596159140339</v>
      </c>
      <c r="Y94" s="254">
        <v>-1437.4514988613555</v>
      </c>
      <c r="Z94" s="254">
        <v>-4079.355210065165</v>
      </c>
      <c r="AA94" s="254">
        <v>-773.84524769132076</v>
      </c>
      <c r="AB94" s="254">
        <v>-1264.571706824634</v>
      </c>
      <c r="AC94" s="254">
        <v>1198.7462701181612</v>
      </c>
      <c r="AD94" s="254">
        <v>-3205.2022173324731</v>
      </c>
      <c r="AE94" s="254">
        <v>-1284.2099811817425</v>
      </c>
      <c r="AF94" s="254">
        <v>6432.8320635333839</v>
      </c>
      <c r="AG94" s="254">
        <v>2532.6418563185962</v>
      </c>
      <c r="AH94" s="254">
        <v>12915.718852540991</v>
      </c>
      <c r="AI94" s="254">
        <v>7038.7899697608573</v>
      </c>
      <c r="AJ94" s="254">
        <v>9603.6076720323417</v>
      </c>
      <c r="AK94" s="254">
        <v>5565.7944869915045</v>
      </c>
      <c r="AL94" s="254">
        <v>5374.1521154485345</v>
      </c>
      <c r="AM94" s="254">
        <v>4321.6603510278946</v>
      </c>
      <c r="AN94" s="254">
        <v>1342.7048009529881</v>
      </c>
      <c r="AO94" s="254">
        <v>1553.7357392445101</v>
      </c>
      <c r="AP94" s="254">
        <v>-10066.398704418114</v>
      </c>
      <c r="AQ94" s="254">
        <v>-2559.6028378202755</v>
      </c>
      <c r="AR94" s="254">
        <v>-16952.114986773286</v>
      </c>
      <c r="AS94" s="254">
        <v>-4506.8047874815693</v>
      </c>
      <c r="AT94" s="254">
        <v>-4374.3408566393591</v>
      </c>
      <c r="AU94" s="254">
        <v>849.99798184211795</v>
      </c>
      <c r="AV94" s="254">
        <v>-8227.2596159140339</v>
      </c>
      <c r="AW94" s="254">
        <v>-1437.4514988613555</v>
      </c>
      <c r="AX94" s="254">
        <v>-4079.355210065165</v>
      </c>
      <c r="AY94" s="254">
        <v>-773.84524769132076</v>
      </c>
      <c r="BA94" s="92"/>
      <c r="BB94" s="92"/>
    </row>
    <row r="95" spans="2:54">
      <c r="B95" s="230">
        <v>10288</v>
      </c>
      <c r="C95" s="230" t="s">
        <v>98</v>
      </c>
      <c r="D95" s="254">
        <v>0</v>
      </c>
      <c r="E95" s="254">
        <v>0</v>
      </c>
      <c r="F95" s="254">
        <v>0</v>
      </c>
      <c r="G95" s="254">
        <v>0</v>
      </c>
      <c r="H95" s="254">
        <v>0</v>
      </c>
      <c r="I95" s="254">
        <v>0</v>
      </c>
      <c r="J95" s="254">
        <v>0</v>
      </c>
      <c r="K95" s="254">
        <v>0</v>
      </c>
      <c r="L95" s="254">
        <v>0</v>
      </c>
      <c r="M95" s="254">
        <v>0</v>
      </c>
      <c r="N95" s="254">
        <v>0</v>
      </c>
      <c r="O95" s="254">
        <v>0</v>
      </c>
      <c r="P95" s="254">
        <v>0</v>
      </c>
      <c r="Q95" s="254">
        <v>0</v>
      </c>
      <c r="R95" s="254">
        <v>0</v>
      </c>
      <c r="S95" s="254">
        <v>0</v>
      </c>
      <c r="T95" s="254">
        <v>0</v>
      </c>
      <c r="U95" s="254">
        <v>0</v>
      </c>
      <c r="V95" s="254">
        <v>0</v>
      </c>
      <c r="W95" s="254">
        <v>0</v>
      </c>
      <c r="X95" s="254">
        <v>0</v>
      </c>
      <c r="Y95" s="254">
        <v>0</v>
      </c>
      <c r="Z95" s="254">
        <v>0</v>
      </c>
      <c r="AA95" s="254">
        <v>0</v>
      </c>
      <c r="AB95" s="254">
        <v>0</v>
      </c>
      <c r="AC95" s="254">
        <v>0</v>
      </c>
      <c r="AD95" s="254">
        <v>0</v>
      </c>
      <c r="AE95" s="254">
        <v>0</v>
      </c>
      <c r="AF95" s="254">
        <v>0</v>
      </c>
      <c r="AG95" s="254">
        <v>0</v>
      </c>
      <c r="AH95" s="254">
        <v>0</v>
      </c>
      <c r="AI95" s="254">
        <v>0</v>
      </c>
      <c r="AJ95" s="254">
        <v>0</v>
      </c>
      <c r="AK95" s="254">
        <v>0</v>
      </c>
      <c r="AL95" s="254">
        <v>0</v>
      </c>
      <c r="AM95" s="254">
        <v>0</v>
      </c>
      <c r="AN95" s="254">
        <v>0</v>
      </c>
      <c r="AO95" s="254">
        <v>0</v>
      </c>
      <c r="AP95" s="254">
        <v>0</v>
      </c>
      <c r="AQ95" s="254">
        <v>0</v>
      </c>
      <c r="AR95" s="254">
        <v>0</v>
      </c>
      <c r="AS95" s="254">
        <v>0</v>
      </c>
      <c r="AT95" s="254">
        <v>0</v>
      </c>
      <c r="AU95" s="254">
        <v>0</v>
      </c>
      <c r="AV95" s="254">
        <v>0</v>
      </c>
      <c r="AW95" s="254">
        <v>0</v>
      </c>
      <c r="AX95" s="254">
        <v>0</v>
      </c>
      <c r="AY95" s="254">
        <v>0</v>
      </c>
      <c r="BA95" s="92"/>
      <c r="BB95" s="92"/>
    </row>
    <row r="96" spans="2:54">
      <c r="B96" s="230">
        <v>10291</v>
      </c>
      <c r="C96" s="230" t="s">
        <v>99</v>
      </c>
      <c r="D96" s="254">
        <v>-4345.4029201307421</v>
      </c>
      <c r="E96" s="254">
        <v>-230.98204011646885</v>
      </c>
      <c r="F96" s="254">
        <v>-10340.564019370599</v>
      </c>
      <c r="G96" s="254">
        <v>-4818.4926515999032</v>
      </c>
      <c r="H96" s="254">
        <v>2782.3115639312527</v>
      </c>
      <c r="I96" s="254">
        <v>-1710.6196348013727</v>
      </c>
      <c r="J96" s="254">
        <v>7177.5811731944523</v>
      </c>
      <c r="K96" s="254">
        <v>4374.8177489167647</v>
      </c>
      <c r="L96" s="254">
        <v>6328.1443418414528</v>
      </c>
      <c r="M96" s="254">
        <v>1653.6462663770217</v>
      </c>
      <c r="N96" s="254">
        <v>-1360.6597892553145</v>
      </c>
      <c r="O96" s="254">
        <v>-1691.4591883070498</v>
      </c>
      <c r="P96" s="254">
        <v>3913.1741641015578</v>
      </c>
      <c r="Q96" s="254">
        <v>1706.5133641464035</v>
      </c>
      <c r="R96" s="254">
        <v>-10575.121292144431</v>
      </c>
      <c r="S96" s="254">
        <v>713.66668491167729</v>
      </c>
      <c r="T96" s="254">
        <v>-12235.98157941801</v>
      </c>
      <c r="U96" s="254">
        <v>194.20076486243488</v>
      </c>
      <c r="V96" s="254">
        <v>-5252.1435482310335</v>
      </c>
      <c r="W96" s="254">
        <v>2649.5453141161161</v>
      </c>
      <c r="X96" s="254">
        <v>-2612.2237867149452</v>
      </c>
      <c r="Y96" s="254">
        <v>555.30638361855745</v>
      </c>
      <c r="Z96" s="254">
        <v>-6126.3479612632364</v>
      </c>
      <c r="AA96" s="254">
        <v>-2067.3060808176378</v>
      </c>
      <c r="AB96" s="254">
        <v>-3492.2299201307396</v>
      </c>
      <c r="AC96" s="254">
        <v>414.16495988353199</v>
      </c>
      <c r="AD96" s="254">
        <v>-9525.3760193706003</v>
      </c>
      <c r="AE96" s="254">
        <v>-4189.4946515999</v>
      </c>
      <c r="AF96" s="254">
        <v>3521.20856393125</v>
      </c>
      <c r="AG96" s="254">
        <v>-1138.1756348013732</v>
      </c>
      <c r="AH96" s="254">
        <v>7805.4621731944462</v>
      </c>
      <c r="AI96" s="254">
        <v>4932.6947489167651</v>
      </c>
      <c r="AJ96" s="254">
        <v>6979.5573418414533</v>
      </c>
      <c r="AK96" s="254">
        <v>2140.964266377021</v>
      </c>
      <c r="AL96" s="254">
        <v>-638.70078925531197</v>
      </c>
      <c r="AM96" s="254">
        <v>-1181.3971883070517</v>
      </c>
      <c r="AN96" s="254">
        <v>3386.1561641015578</v>
      </c>
      <c r="AO96" s="254">
        <v>3459.8963641464052</v>
      </c>
      <c r="AP96" s="254">
        <v>-8685.8952921444288</v>
      </c>
      <c r="AQ96" s="254">
        <v>68.396684911676857</v>
      </c>
      <c r="AR96" s="254">
        <v>-11544.42457941801</v>
      </c>
      <c r="AS96" s="254">
        <v>697.86876486243273</v>
      </c>
      <c r="AT96" s="254">
        <v>-4624.9615482310328</v>
      </c>
      <c r="AU96" s="254">
        <v>3202.7683141161142</v>
      </c>
      <c r="AV96" s="254">
        <v>-1960.0227867149442</v>
      </c>
      <c r="AW96" s="254">
        <v>1026.7033836185547</v>
      </c>
      <c r="AX96" s="254">
        <v>-5516.6799612632349</v>
      </c>
      <c r="AY96" s="254">
        <v>-1570.7070808176359</v>
      </c>
      <c r="BA96" s="92"/>
      <c r="BB96" s="92"/>
    </row>
    <row r="97" spans="2:54">
      <c r="B97" s="230">
        <v>10294</v>
      </c>
      <c r="C97" s="230" t="s">
        <v>100</v>
      </c>
      <c r="D97" s="254">
        <v>-1030.94766581968</v>
      </c>
      <c r="E97" s="254">
        <v>746.49094994179723</v>
      </c>
      <c r="F97" s="254">
        <v>-855.72509314374111</v>
      </c>
      <c r="G97" s="254">
        <v>737.40867013325169</v>
      </c>
      <c r="H97" s="254">
        <v>1299.7324273467548</v>
      </c>
      <c r="I97" s="254">
        <v>1310.1320119298462</v>
      </c>
      <c r="J97" s="254">
        <v>2366.412725540421</v>
      </c>
      <c r="K97" s="254">
        <v>2665.7710390441434</v>
      </c>
      <c r="L97" s="254">
        <v>1828.7629416018372</v>
      </c>
      <c r="M97" s="254">
        <v>1527.261378232979</v>
      </c>
      <c r="N97" s="254">
        <v>524.22133063294314</v>
      </c>
      <c r="O97" s="254">
        <v>1009.1056669432683</v>
      </c>
      <c r="P97" s="254">
        <v>903.33501356781107</v>
      </c>
      <c r="Q97" s="254">
        <v>1240.3092138786401</v>
      </c>
      <c r="R97" s="254">
        <v>-2956.2382791042091</v>
      </c>
      <c r="S97" s="254">
        <v>517.63289846640373</v>
      </c>
      <c r="T97" s="254">
        <v>-4261.2670079548188</v>
      </c>
      <c r="U97" s="254">
        <v>-90.946362067568771</v>
      </c>
      <c r="V97" s="254">
        <v>-3562.5582642268691</v>
      </c>
      <c r="W97" s="254">
        <v>-137.37296610233989</v>
      </c>
      <c r="X97" s="254">
        <v>-2929.4392114497041</v>
      </c>
      <c r="Y97" s="254">
        <v>-223.32682171003034</v>
      </c>
      <c r="Z97" s="254">
        <v>-2156.6498021605021</v>
      </c>
      <c r="AA97" s="254">
        <v>-97.41818776393211</v>
      </c>
      <c r="AB97" s="254">
        <v>-892.68613628176627</v>
      </c>
      <c r="AC97" s="254">
        <v>855.50484823130682</v>
      </c>
      <c r="AD97" s="254">
        <v>-678.82902826978079</v>
      </c>
      <c r="AE97" s="254">
        <v>879.36776219460535</v>
      </c>
      <c r="AF97" s="254">
        <v>1510.7631829572347</v>
      </c>
      <c r="AG97" s="254">
        <v>1476.5216461611863</v>
      </c>
      <c r="AH97" s="254">
        <v>2571.076173869581</v>
      </c>
      <c r="AI97" s="254">
        <v>2841.7816046072212</v>
      </c>
      <c r="AJ97" s="254">
        <v>2003.5290334497722</v>
      </c>
      <c r="AK97" s="254">
        <v>1658.3359471189306</v>
      </c>
      <c r="AL97" s="254">
        <v>702.04524104619577</v>
      </c>
      <c r="AM97" s="254">
        <v>1137.1224172639204</v>
      </c>
      <c r="AN97" s="254">
        <v>806.59468532417759</v>
      </c>
      <c r="AO97" s="254">
        <v>1597.3394661511215</v>
      </c>
      <c r="AP97" s="254">
        <v>-2619.7879662959358</v>
      </c>
      <c r="AQ97" s="254">
        <v>412.1898932336876</v>
      </c>
      <c r="AR97" s="254">
        <v>-4142.8350925217146</v>
      </c>
      <c r="AS97" s="254">
        <v>-4.3999623279923981</v>
      </c>
      <c r="AT97" s="254">
        <v>-3452.3548689727086</v>
      </c>
      <c r="AU97" s="254">
        <v>-42.598046183761653</v>
      </c>
      <c r="AV97" s="254">
        <v>-2808.5303435137221</v>
      </c>
      <c r="AW97" s="254">
        <v>-136.00375042293217</v>
      </c>
      <c r="AX97" s="254">
        <v>-2040.9653914810224</v>
      </c>
      <c r="AY97" s="254">
        <v>-4.8706592203484433</v>
      </c>
      <c r="BA97" s="92"/>
      <c r="BB97" s="92"/>
    </row>
    <row r="98" spans="2:54">
      <c r="B98" s="230">
        <v>10304</v>
      </c>
      <c r="C98" s="230" t="s">
        <v>101</v>
      </c>
      <c r="D98" s="254">
        <v>-51.2923346584912</v>
      </c>
      <c r="E98" s="254">
        <v>297.38611816033472</v>
      </c>
      <c r="F98" s="254">
        <v>-228.44484841083431</v>
      </c>
      <c r="G98" s="254">
        <v>218.02776176853149</v>
      </c>
      <c r="H98" s="254">
        <v>1300.1734869332531</v>
      </c>
      <c r="I98" s="254">
        <v>579.35459627438649</v>
      </c>
      <c r="J98" s="254">
        <v>2705.4769280501123</v>
      </c>
      <c r="K98" s="254">
        <v>1460.415530008428</v>
      </c>
      <c r="L98" s="254">
        <v>2325.2520592434539</v>
      </c>
      <c r="M98" s="254">
        <v>1231.0382099082985</v>
      </c>
      <c r="N98" s="254">
        <v>1009.4512237189192</v>
      </c>
      <c r="O98" s="254">
        <v>642.32269980335195</v>
      </c>
      <c r="P98" s="254">
        <v>1119.1840808363986</v>
      </c>
      <c r="Q98" s="254">
        <v>789.63130404146341</v>
      </c>
      <c r="R98" s="254">
        <v>-2271.5836934627296</v>
      </c>
      <c r="S98" s="254">
        <v>-236.70049515830488</v>
      </c>
      <c r="T98" s="254">
        <v>-3293.4429912653186</v>
      </c>
      <c r="U98" s="254">
        <v>-384.94426675720706</v>
      </c>
      <c r="V98" s="254">
        <v>-2556.2447430649354</v>
      </c>
      <c r="W98" s="254">
        <v>-513.59003487325617</v>
      </c>
      <c r="X98" s="254">
        <v>-2191.59746430634</v>
      </c>
      <c r="Y98" s="254">
        <v>-509.15266998836705</v>
      </c>
      <c r="Z98" s="254">
        <v>-1365.3020511412315</v>
      </c>
      <c r="AA98" s="254">
        <v>-389.15657487939689</v>
      </c>
      <c r="AB98" s="254">
        <v>-50.522127928262307</v>
      </c>
      <c r="AC98" s="254">
        <v>298.65507421044276</v>
      </c>
      <c r="AD98" s="254">
        <v>-230.20198522950159</v>
      </c>
      <c r="AE98" s="254">
        <v>217.73181735531034</v>
      </c>
      <c r="AF98" s="254">
        <v>1298.6918978019958</v>
      </c>
      <c r="AG98" s="254">
        <v>577.52378869656786</v>
      </c>
      <c r="AH98" s="254">
        <v>2706.8333453691412</v>
      </c>
      <c r="AI98" s="254">
        <v>1460.4010748949668</v>
      </c>
      <c r="AJ98" s="254">
        <v>2328.9719466594715</v>
      </c>
      <c r="AK98" s="254">
        <v>1232.7661202840009</v>
      </c>
      <c r="AL98" s="254">
        <v>1010.4403953126239</v>
      </c>
      <c r="AM98" s="254">
        <v>642.96334861773266</v>
      </c>
      <c r="AN98" s="254">
        <v>1122.4729754003438</v>
      </c>
      <c r="AO98" s="254">
        <v>791.91315334919773</v>
      </c>
      <c r="AP98" s="254">
        <v>-2275.1330998985513</v>
      </c>
      <c r="AQ98" s="254">
        <v>-235.97678184581946</v>
      </c>
      <c r="AR98" s="254">
        <v>-3297.8500692473399</v>
      </c>
      <c r="AS98" s="254">
        <v>-383.71510077685116</v>
      </c>
      <c r="AT98" s="254">
        <v>-2559.1213717533319</v>
      </c>
      <c r="AU98" s="254">
        <v>-512.60346432692859</v>
      </c>
      <c r="AV98" s="254">
        <v>-2193.5117082440747</v>
      </c>
      <c r="AW98" s="254">
        <v>-508.3382563785558</v>
      </c>
      <c r="AX98" s="254">
        <v>-1365.6115391113781</v>
      </c>
      <c r="AY98" s="254">
        <v>-388.15201117320294</v>
      </c>
      <c r="BA98" s="92"/>
      <c r="BB98" s="92"/>
    </row>
    <row r="99" spans="2:54">
      <c r="B99" s="230">
        <v>10306</v>
      </c>
      <c r="C99" s="230" t="s">
        <v>102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4">
        <v>0</v>
      </c>
      <c r="P99" s="254">
        <v>0</v>
      </c>
      <c r="Q99" s="254">
        <v>0</v>
      </c>
      <c r="R99" s="254">
        <v>0</v>
      </c>
      <c r="S99" s="254">
        <v>0</v>
      </c>
      <c r="T99" s="254">
        <v>0</v>
      </c>
      <c r="U99" s="254">
        <v>0</v>
      </c>
      <c r="V99" s="254">
        <v>0</v>
      </c>
      <c r="W99" s="254">
        <v>0</v>
      </c>
      <c r="X99" s="254">
        <v>0</v>
      </c>
      <c r="Y99" s="254">
        <v>0</v>
      </c>
      <c r="Z99" s="254">
        <v>0</v>
      </c>
      <c r="AA99" s="254">
        <v>0</v>
      </c>
      <c r="AB99" s="254">
        <v>0</v>
      </c>
      <c r="AC99" s="254">
        <v>0</v>
      </c>
      <c r="AD99" s="254">
        <v>0</v>
      </c>
      <c r="AE99" s="254">
        <v>0</v>
      </c>
      <c r="AF99" s="254">
        <v>0</v>
      </c>
      <c r="AG99" s="254">
        <v>0</v>
      </c>
      <c r="AH99" s="254">
        <v>0</v>
      </c>
      <c r="AI99" s="254">
        <v>0</v>
      </c>
      <c r="AJ99" s="254">
        <v>0</v>
      </c>
      <c r="AK99" s="254">
        <v>0</v>
      </c>
      <c r="AL99" s="254">
        <v>0</v>
      </c>
      <c r="AM99" s="254">
        <v>0</v>
      </c>
      <c r="AN99" s="254">
        <v>0</v>
      </c>
      <c r="AO99" s="254">
        <v>0</v>
      </c>
      <c r="AP99" s="254">
        <v>0</v>
      </c>
      <c r="AQ99" s="254">
        <v>0</v>
      </c>
      <c r="AR99" s="254">
        <v>0</v>
      </c>
      <c r="AS99" s="254">
        <v>0</v>
      </c>
      <c r="AT99" s="254">
        <v>0</v>
      </c>
      <c r="AU99" s="254">
        <v>0</v>
      </c>
      <c r="AV99" s="254">
        <v>0</v>
      </c>
      <c r="AW99" s="254">
        <v>0</v>
      </c>
      <c r="AX99" s="254">
        <v>0</v>
      </c>
      <c r="AY99" s="254">
        <v>0</v>
      </c>
      <c r="BA99" s="92"/>
      <c r="BB99" s="92"/>
    </row>
    <row r="100" spans="2:54">
      <c r="B100" s="230">
        <v>10307</v>
      </c>
      <c r="C100" s="230" t="s">
        <v>103</v>
      </c>
      <c r="D100" s="254">
        <v>-108.45365648559164</v>
      </c>
      <c r="E100" s="254">
        <v>1487.4884573306881</v>
      </c>
      <c r="F100" s="254">
        <v>-218.81866048127267</v>
      </c>
      <c r="G100" s="254">
        <v>163.45787481794832</v>
      </c>
      <c r="H100" s="254">
        <v>9185.827538621219</v>
      </c>
      <c r="I100" s="254">
        <v>1729.4246330630122</v>
      </c>
      <c r="J100" s="254">
        <v>13524.679817274435</v>
      </c>
      <c r="K100" s="254">
        <v>7770.0132349918167</v>
      </c>
      <c r="L100" s="254">
        <v>13618.86177851259</v>
      </c>
      <c r="M100" s="254">
        <v>5452.4912185051217</v>
      </c>
      <c r="N100" s="254">
        <v>4510.6329961606243</v>
      </c>
      <c r="O100" s="254">
        <v>1375.4857799512465</v>
      </c>
      <c r="P100" s="254">
        <v>5837.9626521419414</v>
      </c>
      <c r="Q100" s="254">
        <v>2747.9604194781114</v>
      </c>
      <c r="R100" s="254">
        <v>-12560.863073178352</v>
      </c>
      <c r="S100" s="254">
        <v>-1303.1856310108124</v>
      </c>
      <c r="T100" s="254">
        <v>-16357.898187991705</v>
      </c>
      <c r="U100" s="254">
        <v>-2465.5773315161368</v>
      </c>
      <c r="V100" s="254">
        <v>-11776.555248243396</v>
      </c>
      <c r="W100" s="254">
        <v>-1395.1911357277604</v>
      </c>
      <c r="X100" s="254">
        <v>-8554.0915545508069</v>
      </c>
      <c r="Y100" s="254">
        <v>-2092.4968107771874</v>
      </c>
      <c r="Z100" s="254">
        <v>-7044.5390585966052</v>
      </c>
      <c r="AA100" s="254">
        <v>-2809.6934233167594</v>
      </c>
      <c r="AB100" s="254">
        <v>-106.83987523676115</v>
      </c>
      <c r="AC100" s="254">
        <v>1490.0738621059209</v>
      </c>
      <c r="AD100" s="254">
        <v>-221.86329025504529</v>
      </c>
      <c r="AE100" s="254">
        <v>161.83099525597208</v>
      </c>
      <c r="AF100" s="254">
        <v>9183.8302621701696</v>
      </c>
      <c r="AG100" s="254">
        <v>1724.0315499777425</v>
      </c>
      <c r="AH100" s="254">
        <v>13527.27938813233</v>
      </c>
      <c r="AI100" s="254">
        <v>7770.1247489126508</v>
      </c>
      <c r="AJ100" s="254">
        <v>13628.651201247296</v>
      </c>
      <c r="AK100" s="254">
        <v>5455.5545243191482</v>
      </c>
      <c r="AL100" s="254">
        <v>4511.934867946984</v>
      </c>
      <c r="AM100" s="254">
        <v>1374.9443523824048</v>
      </c>
      <c r="AN100" s="254">
        <v>4744.2935903638245</v>
      </c>
      <c r="AO100" s="254">
        <v>3853.4785929782065</v>
      </c>
      <c r="AP100" s="254">
        <v>-11682.023453789294</v>
      </c>
      <c r="AQ100" s="254">
        <v>-2186.5817521670906</v>
      </c>
      <c r="AR100" s="254">
        <v>-16366.949690286077</v>
      </c>
      <c r="AS100" s="254">
        <v>-2463.6331385586964</v>
      </c>
      <c r="AT100" s="254">
        <v>-11781.723777068248</v>
      </c>
      <c r="AU100" s="254">
        <v>-1391.8220662107124</v>
      </c>
      <c r="AV100" s="254">
        <v>-8555.9432497492198</v>
      </c>
      <c r="AW100" s="254">
        <v>-2090.7367479559271</v>
      </c>
      <c r="AX100" s="254">
        <v>-7044.7207825319165</v>
      </c>
      <c r="AY100" s="254">
        <v>-2808.220701953338</v>
      </c>
      <c r="BA100" s="92"/>
      <c r="BB100" s="92"/>
    </row>
    <row r="101" spans="2:54">
      <c r="B101" s="230">
        <v>10326</v>
      </c>
      <c r="C101" s="230" t="s">
        <v>104</v>
      </c>
      <c r="D101" s="254">
        <v>-1638.8515689945161</v>
      </c>
      <c r="E101" s="254">
        <v>714.96575735954684</v>
      </c>
      <c r="F101" s="254">
        <v>-5015.1351096399812</v>
      </c>
      <c r="G101" s="254">
        <v>-2263.6140506466554</v>
      </c>
      <c r="H101" s="254">
        <v>-2325.7468835285035</v>
      </c>
      <c r="I101" s="254">
        <v>-2175.0343426346517</v>
      </c>
      <c r="J101" s="254">
        <v>172.29732925657845</v>
      </c>
      <c r="K101" s="254">
        <v>387.26579262863197</v>
      </c>
      <c r="L101" s="254">
        <v>736.38316724315155</v>
      </c>
      <c r="M101" s="254">
        <v>153.35471510063508</v>
      </c>
      <c r="N101" s="254">
        <v>-468.18505875675692</v>
      </c>
      <c r="O101" s="254">
        <v>58.956097122347273</v>
      </c>
      <c r="P101" s="254">
        <v>1059.6248402514011</v>
      </c>
      <c r="Q101" s="254">
        <v>1075.0733404416696</v>
      </c>
      <c r="R101" s="254">
        <v>-4321.2449664553569</v>
      </c>
      <c r="S101" s="254">
        <v>990.60013737768622</v>
      </c>
      <c r="T101" s="254">
        <v>-7330.0642400108572</v>
      </c>
      <c r="U101" s="254">
        <v>-618.16443615177013</v>
      </c>
      <c r="V101" s="254">
        <v>-5682.0705122478357</v>
      </c>
      <c r="W101" s="254">
        <v>-306.75489991209724</v>
      </c>
      <c r="X101" s="254">
        <v>-4765.0717817151144</v>
      </c>
      <c r="Y101" s="254">
        <v>-926.5342537838178</v>
      </c>
      <c r="Z101" s="254">
        <v>-3865.1823151740518</v>
      </c>
      <c r="AA101" s="254">
        <v>-1076.0692130088137</v>
      </c>
      <c r="AB101" s="254">
        <v>-2831.7105689945165</v>
      </c>
      <c r="AC101" s="254">
        <v>-109.17724264045319</v>
      </c>
      <c r="AD101" s="254">
        <v>-5869.6491096399823</v>
      </c>
      <c r="AE101" s="254">
        <v>-2961.5870506466563</v>
      </c>
      <c r="AF101" s="254">
        <v>-3464.2418835285043</v>
      </c>
      <c r="AG101" s="254">
        <v>-2831.7303426346516</v>
      </c>
      <c r="AH101" s="254">
        <v>-82.868670743422626</v>
      </c>
      <c r="AI101" s="254">
        <v>232.21779262863129</v>
      </c>
      <c r="AJ101" s="254">
        <v>539.65016724315137</v>
      </c>
      <c r="AK101" s="254">
        <v>13.977715100633759</v>
      </c>
      <c r="AL101" s="254">
        <v>-760.42705875675892</v>
      </c>
      <c r="AM101" s="254">
        <v>-195.66990287765202</v>
      </c>
      <c r="AN101" s="254">
        <v>647.39784025140034</v>
      </c>
      <c r="AO101" s="254">
        <v>1545.2703404416688</v>
      </c>
      <c r="AP101" s="254">
        <v>-4087.2379664553573</v>
      </c>
      <c r="AQ101" s="254">
        <v>320.35413737768522</v>
      </c>
      <c r="AR101" s="254">
        <v>-6653.5732400108573</v>
      </c>
      <c r="AS101" s="254">
        <v>-180.18143615177087</v>
      </c>
      <c r="AT101" s="254">
        <v>-4975.0355122478377</v>
      </c>
      <c r="AU101" s="254">
        <v>237.81010008790236</v>
      </c>
      <c r="AV101" s="254">
        <v>-3883.6817817151168</v>
      </c>
      <c r="AW101" s="254">
        <v>-367.18925378381755</v>
      </c>
      <c r="AX101" s="254">
        <v>-2810.0293151740534</v>
      </c>
      <c r="AY101" s="254">
        <v>-338.71521300881341</v>
      </c>
      <c r="BA101" s="92"/>
      <c r="BB101" s="92"/>
    </row>
    <row r="102" spans="2:54">
      <c r="B102" s="230">
        <v>10331</v>
      </c>
      <c r="C102" s="230" t="s">
        <v>105</v>
      </c>
      <c r="D102" s="254">
        <v>0</v>
      </c>
      <c r="E102" s="254">
        <v>0</v>
      </c>
      <c r="F102" s="254">
        <v>0</v>
      </c>
      <c r="G102" s="254">
        <v>0</v>
      </c>
      <c r="H102" s="254">
        <v>0</v>
      </c>
      <c r="I102" s="254">
        <v>0</v>
      </c>
      <c r="J102" s="254">
        <v>0</v>
      </c>
      <c r="K102" s="254">
        <v>0</v>
      </c>
      <c r="L102" s="254">
        <v>0</v>
      </c>
      <c r="M102" s="254">
        <v>0</v>
      </c>
      <c r="N102" s="254">
        <v>0</v>
      </c>
      <c r="O102" s="254">
        <v>0</v>
      </c>
      <c r="P102" s="254">
        <v>0</v>
      </c>
      <c r="Q102" s="254">
        <v>0</v>
      </c>
      <c r="R102" s="254">
        <v>0</v>
      </c>
      <c r="S102" s="254">
        <v>0</v>
      </c>
      <c r="T102" s="254">
        <v>0</v>
      </c>
      <c r="U102" s="254">
        <v>0</v>
      </c>
      <c r="V102" s="254">
        <v>0</v>
      </c>
      <c r="W102" s="254">
        <v>0</v>
      </c>
      <c r="X102" s="254">
        <v>0</v>
      </c>
      <c r="Y102" s="254">
        <v>0</v>
      </c>
      <c r="Z102" s="254">
        <v>0</v>
      </c>
      <c r="AA102" s="254">
        <v>0</v>
      </c>
      <c r="AB102" s="254">
        <v>0</v>
      </c>
      <c r="AC102" s="254">
        <v>0</v>
      </c>
      <c r="AD102" s="254">
        <v>0</v>
      </c>
      <c r="AE102" s="254">
        <v>0</v>
      </c>
      <c r="AF102" s="254">
        <v>0</v>
      </c>
      <c r="AG102" s="254">
        <v>0</v>
      </c>
      <c r="AH102" s="254">
        <v>0</v>
      </c>
      <c r="AI102" s="254">
        <v>0</v>
      </c>
      <c r="AJ102" s="254">
        <v>0</v>
      </c>
      <c r="AK102" s="254">
        <v>0</v>
      </c>
      <c r="AL102" s="254">
        <v>0</v>
      </c>
      <c r="AM102" s="254">
        <v>0</v>
      </c>
      <c r="AN102" s="254">
        <v>0</v>
      </c>
      <c r="AO102" s="254">
        <v>0</v>
      </c>
      <c r="AP102" s="254">
        <v>0</v>
      </c>
      <c r="AQ102" s="254">
        <v>0</v>
      </c>
      <c r="AR102" s="254">
        <v>0</v>
      </c>
      <c r="AS102" s="254">
        <v>0</v>
      </c>
      <c r="AT102" s="254">
        <v>0</v>
      </c>
      <c r="AU102" s="254">
        <v>0</v>
      </c>
      <c r="AV102" s="254">
        <v>0</v>
      </c>
      <c r="AW102" s="254">
        <v>0</v>
      </c>
      <c r="AX102" s="254">
        <v>0</v>
      </c>
      <c r="AY102" s="254">
        <v>0</v>
      </c>
      <c r="BA102" s="92"/>
      <c r="BB102" s="92"/>
    </row>
    <row r="103" spans="2:54">
      <c r="B103" s="230">
        <v>10333</v>
      </c>
      <c r="C103" s="230" t="s">
        <v>106</v>
      </c>
      <c r="D103" s="254">
        <v>0</v>
      </c>
      <c r="E103" s="254">
        <v>0</v>
      </c>
      <c r="F103" s="254">
        <v>0</v>
      </c>
      <c r="G103" s="254">
        <v>0</v>
      </c>
      <c r="H103" s="254">
        <v>0</v>
      </c>
      <c r="I103" s="254">
        <v>0</v>
      </c>
      <c r="J103" s="254">
        <v>0</v>
      </c>
      <c r="K103" s="254">
        <v>0</v>
      </c>
      <c r="L103" s="254">
        <v>0</v>
      </c>
      <c r="M103" s="254">
        <v>0</v>
      </c>
      <c r="N103" s="254">
        <v>0</v>
      </c>
      <c r="O103" s="254">
        <v>0</v>
      </c>
      <c r="P103" s="254">
        <v>0</v>
      </c>
      <c r="Q103" s="254">
        <v>0</v>
      </c>
      <c r="R103" s="254">
        <v>0</v>
      </c>
      <c r="S103" s="254">
        <v>0</v>
      </c>
      <c r="T103" s="254">
        <v>0</v>
      </c>
      <c r="U103" s="254">
        <v>0</v>
      </c>
      <c r="V103" s="254">
        <v>0</v>
      </c>
      <c r="W103" s="254">
        <v>0</v>
      </c>
      <c r="X103" s="254">
        <v>0</v>
      </c>
      <c r="Y103" s="254">
        <v>0</v>
      </c>
      <c r="Z103" s="254">
        <v>0</v>
      </c>
      <c r="AA103" s="254">
        <v>0</v>
      </c>
      <c r="AB103" s="254">
        <v>0</v>
      </c>
      <c r="AC103" s="254">
        <v>0</v>
      </c>
      <c r="AD103" s="254">
        <v>0</v>
      </c>
      <c r="AE103" s="254">
        <v>0</v>
      </c>
      <c r="AF103" s="254">
        <v>0</v>
      </c>
      <c r="AG103" s="254">
        <v>0</v>
      </c>
      <c r="AH103" s="254">
        <v>0</v>
      </c>
      <c r="AI103" s="254">
        <v>0</v>
      </c>
      <c r="AJ103" s="254">
        <v>0</v>
      </c>
      <c r="AK103" s="254">
        <v>0</v>
      </c>
      <c r="AL103" s="254">
        <v>0</v>
      </c>
      <c r="AM103" s="254">
        <v>0</v>
      </c>
      <c r="AN103" s="254">
        <v>0</v>
      </c>
      <c r="AO103" s="254">
        <v>0</v>
      </c>
      <c r="AP103" s="254">
        <v>0</v>
      </c>
      <c r="AQ103" s="254">
        <v>0</v>
      </c>
      <c r="AR103" s="254">
        <v>0</v>
      </c>
      <c r="AS103" s="254">
        <v>0</v>
      </c>
      <c r="AT103" s="254">
        <v>0</v>
      </c>
      <c r="AU103" s="254">
        <v>0</v>
      </c>
      <c r="AV103" s="254">
        <v>0</v>
      </c>
      <c r="AW103" s="254">
        <v>0</v>
      </c>
      <c r="AX103" s="254">
        <v>0</v>
      </c>
      <c r="AY103" s="254">
        <v>0</v>
      </c>
      <c r="BA103" s="92"/>
      <c r="BB103" s="92"/>
    </row>
    <row r="104" spans="2:54">
      <c r="B104" s="230">
        <v>10338</v>
      </c>
      <c r="C104" s="230" t="s">
        <v>107</v>
      </c>
      <c r="D104" s="254">
        <v>-241.54444985747432</v>
      </c>
      <c r="E104" s="254">
        <v>-14.621763076817274</v>
      </c>
      <c r="F104" s="254">
        <v>-414.76278278959239</v>
      </c>
      <c r="G104" s="254">
        <v>-150.24436008351381</v>
      </c>
      <c r="H104" s="254">
        <v>139.28914808559193</v>
      </c>
      <c r="I104" s="254">
        <v>119.5654030439166</v>
      </c>
      <c r="J104" s="254">
        <v>280.35237030448036</v>
      </c>
      <c r="K104" s="254">
        <v>327.04608903921849</v>
      </c>
      <c r="L104" s="254">
        <v>162.75778813339844</v>
      </c>
      <c r="M104" s="254">
        <v>130.05804066639689</v>
      </c>
      <c r="N104" s="254">
        <v>-137.80180451553258</v>
      </c>
      <c r="O104" s="254">
        <v>-16.106492343643595</v>
      </c>
      <c r="P104" s="254">
        <v>171.88635083938732</v>
      </c>
      <c r="Q104" s="254">
        <v>159.92214218083012</v>
      </c>
      <c r="R104" s="254">
        <v>9.1541204599011508</v>
      </c>
      <c r="S104" s="254">
        <v>312.06612534664851</v>
      </c>
      <c r="T104" s="254">
        <v>216.02183454983606</v>
      </c>
      <c r="U104" s="254">
        <v>407.13363600032926</v>
      </c>
      <c r="V104" s="254">
        <v>317.5695257432883</v>
      </c>
      <c r="W104" s="254">
        <v>494.83069718991146</v>
      </c>
      <c r="X104" s="254">
        <v>317.16845027401746</v>
      </c>
      <c r="Y104" s="254">
        <v>309.32904823657975</v>
      </c>
      <c r="Z104" s="254">
        <v>-120.35218941086998</v>
      </c>
      <c r="AA104" s="254">
        <v>38.571510189729111</v>
      </c>
      <c r="AB104" s="254">
        <v>-237.54144985747428</v>
      </c>
      <c r="AC104" s="254">
        <v>-11.730763076817198</v>
      </c>
      <c r="AD104" s="254">
        <v>-412.50978278959246</v>
      </c>
      <c r="AE104" s="254">
        <v>-148.50236008351385</v>
      </c>
      <c r="AF104" s="254">
        <v>142.88714808559189</v>
      </c>
      <c r="AG104" s="254">
        <v>122.30940304391663</v>
      </c>
      <c r="AH104" s="254">
        <v>283.80037030448023</v>
      </c>
      <c r="AI104" s="254">
        <v>329.99608903921842</v>
      </c>
      <c r="AJ104" s="254">
        <v>165.54078813339845</v>
      </c>
      <c r="AK104" s="254">
        <v>132.10304066639696</v>
      </c>
      <c r="AL104" s="254">
        <v>-135.3008045155326</v>
      </c>
      <c r="AM104" s="254">
        <v>-14.329492343643551</v>
      </c>
      <c r="AN104" s="254">
        <v>138.52635083938731</v>
      </c>
      <c r="AO104" s="254">
        <v>197.93014218083016</v>
      </c>
      <c r="AP104" s="254">
        <v>58.03212045990108</v>
      </c>
      <c r="AQ104" s="254">
        <v>269.26012534664858</v>
      </c>
      <c r="AR104" s="254">
        <v>220.57883454983607</v>
      </c>
      <c r="AS104" s="254">
        <v>409.91263600032926</v>
      </c>
      <c r="AT104" s="254">
        <v>321.98452574328849</v>
      </c>
      <c r="AU104" s="254">
        <v>498.03569718991162</v>
      </c>
      <c r="AV104" s="254">
        <v>321.49645027401743</v>
      </c>
      <c r="AW104" s="254">
        <v>311.88604823657977</v>
      </c>
      <c r="AX104" s="254">
        <v>-117.76218941086995</v>
      </c>
      <c r="AY104" s="254">
        <v>40.35251018972906</v>
      </c>
      <c r="BA104" s="92"/>
      <c r="BB104" s="92"/>
    </row>
    <row r="105" spans="2:54">
      <c r="B105" s="230">
        <v>10342</v>
      </c>
      <c r="C105" s="230" t="s">
        <v>108</v>
      </c>
      <c r="D105" s="254">
        <v>-464.84170133709631</v>
      </c>
      <c r="E105" s="254">
        <v>-53.206415139227829</v>
      </c>
      <c r="F105" s="254">
        <v>-1389.423000439474</v>
      </c>
      <c r="G105" s="254">
        <v>-1309.7555523237734</v>
      </c>
      <c r="H105" s="254">
        <v>3352.4890557646359</v>
      </c>
      <c r="I105" s="254">
        <v>-654.07211611488674</v>
      </c>
      <c r="J105" s="254">
        <v>4595.3340015605445</v>
      </c>
      <c r="K105" s="254">
        <v>1775.8087759097052</v>
      </c>
      <c r="L105" s="254">
        <v>5389.2491614327573</v>
      </c>
      <c r="M105" s="254">
        <v>1167.5064513338948</v>
      </c>
      <c r="N105" s="254">
        <v>1701.4991099145573</v>
      </c>
      <c r="O105" s="254">
        <v>-389.61651578551391</v>
      </c>
      <c r="P105" s="254">
        <v>3255.4580701959949</v>
      </c>
      <c r="Q105" s="254">
        <v>805.26624733650442</v>
      </c>
      <c r="R105" s="254">
        <v>-4812.1481626207024</v>
      </c>
      <c r="S105" s="254">
        <v>-191.14397990706129</v>
      </c>
      <c r="T105" s="254">
        <v>-6811.6878433115744</v>
      </c>
      <c r="U105" s="254">
        <v>-843.98496392198831</v>
      </c>
      <c r="V105" s="254">
        <v>-2866.8130120799979</v>
      </c>
      <c r="W105" s="254">
        <v>428.13781442121945</v>
      </c>
      <c r="X105" s="254">
        <v>-1174.4468512614221</v>
      </c>
      <c r="Y105" s="254">
        <v>-293.97898220133175</v>
      </c>
      <c r="Z105" s="254">
        <v>-1834.5011439246027</v>
      </c>
      <c r="AA105" s="254">
        <v>-980.46282635460921</v>
      </c>
      <c r="AB105" s="254">
        <v>-388.61770133709433</v>
      </c>
      <c r="AC105" s="254">
        <v>-2.1034151392268541</v>
      </c>
      <c r="AD105" s="254">
        <v>-1312.0510004394746</v>
      </c>
      <c r="AE105" s="254">
        <v>-1256.3985523237734</v>
      </c>
      <c r="AF105" s="254">
        <v>3437.3590557646348</v>
      </c>
      <c r="AG105" s="254">
        <v>-596.69911611488715</v>
      </c>
      <c r="AH105" s="254">
        <v>4661.4100015605418</v>
      </c>
      <c r="AI105" s="254">
        <v>1826.2657759097056</v>
      </c>
      <c r="AJ105" s="254">
        <v>5451.7411614327593</v>
      </c>
      <c r="AK105" s="254">
        <v>1208.855451333895</v>
      </c>
      <c r="AL105" s="254">
        <v>1769.5351099145573</v>
      </c>
      <c r="AM105" s="254">
        <v>-346.2845157855154</v>
      </c>
      <c r="AN105" s="254">
        <v>2716.5530701959942</v>
      </c>
      <c r="AO105" s="254">
        <v>1447.6422473365046</v>
      </c>
      <c r="AP105" s="254">
        <v>-4195.1921626207022</v>
      </c>
      <c r="AQ105" s="254">
        <v>-699.58497990706201</v>
      </c>
      <c r="AR105" s="254">
        <v>-6747.6998433115732</v>
      </c>
      <c r="AS105" s="254">
        <v>-803.21396392198858</v>
      </c>
      <c r="AT105" s="254">
        <v>-2787.7230120799977</v>
      </c>
      <c r="AU105" s="254">
        <v>484.96381442121856</v>
      </c>
      <c r="AV105" s="254">
        <v>-1089.9378512614239</v>
      </c>
      <c r="AW105" s="254">
        <v>-243.73598220133317</v>
      </c>
      <c r="AX105" s="254">
        <v>-1771.1981439246028</v>
      </c>
      <c r="AY105" s="254">
        <v>-936.7788263546081</v>
      </c>
      <c r="BA105" s="92"/>
      <c r="BB105" s="92"/>
    </row>
    <row r="106" spans="2:54">
      <c r="B106" s="230">
        <v>10343</v>
      </c>
      <c r="C106" s="230" t="s">
        <v>109</v>
      </c>
      <c r="D106" s="254">
        <v>-1160.1016738784247</v>
      </c>
      <c r="E106" s="254">
        <v>-53.254707878615136</v>
      </c>
      <c r="F106" s="254">
        <v>-1749.5955952369022</v>
      </c>
      <c r="G106" s="254">
        <v>-457.30884256317995</v>
      </c>
      <c r="H106" s="254">
        <v>130.43381409669109</v>
      </c>
      <c r="I106" s="254">
        <v>267.20338389323661</v>
      </c>
      <c r="J106" s="254">
        <v>1079.5430861837804</v>
      </c>
      <c r="K106" s="254">
        <v>1086.4727434598326</v>
      </c>
      <c r="L106" s="254">
        <v>840.46416097754081</v>
      </c>
      <c r="M106" s="254">
        <v>791.61731837070192</v>
      </c>
      <c r="N106" s="254">
        <v>-363.3528564894541</v>
      </c>
      <c r="O106" s="254">
        <v>347.49299064426486</v>
      </c>
      <c r="P106" s="254">
        <v>214.53494232598678</v>
      </c>
      <c r="Q106" s="254">
        <v>634.31737398679616</v>
      </c>
      <c r="R106" s="254">
        <v>-1065.9889167122019</v>
      </c>
      <c r="S106" s="254">
        <v>1048.918834752461</v>
      </c>
      <c r="T106" s="254">
        <v>-1817.0217300684808</v>
      </c>
      <c r="U106" s="254">
        <v>923.07805744979851</v>
      </c>
      <c r="V106" s="254">
        <v>-852.17726132516327</v>
      </c>
      <c r="W106" s="254">
        <v>988.77990427914256</v>
      </c>
      <c r="X106" s="254">
        <v>-940.90527836024921</v>
      </c>
      <c r="Y106" s="254">
        <v>669.77258274608721</v>
      </c>
      <c r="Z106" s="254">
        <v>-1259.2780919056559</v>
      </c>
      <c r="AA106" s="254">
        <v>138.45861231449408</v>
      </c>
      <c r="AB106" s="254">
        <v>-1160.1016738784247</v>
      </c>
      <c r="AC106" s="254">
        <v>-53.254707878615136</v>
      </c>
      <c r="AD106" s="254">
        <v>-1749.5955952369022</v>
      </c>
      <c r="AE106" s="254">
        <v>-457.30884256317995</v>
      </c>
      <c r="AF106" s="254">
        <v>130.43381409669109</v>
      </c>
      <c r="AG106" s="254">
        <v>267.20338389323661</v>
      </c>
      <c r="AH106" s="254">
        <v>1079.5430861837804</v>
      </c>
      <c r="AI106" s="254">
        <v>1086.4727434598326</v>
      </c>
      <c r="AJ106" s="254">
        <v>840.46416097754081</v>
      </c>
      <c r="AK106" s="254">
        <v>791.61731837070192</v>
      </c>
      <c r="AL106" s="254">
        <v>-363.3528564894541</v>
      </c>
      <c r="AM106" s="254">
        <v>347.49299064426486</v>
      </c>
      <c r="AN106" s="254">
        <v>215.53494232598678</v>
      </c>
      <c r="AO106" s="254">
        <v>633.31737398679616</v>
      </c>
      <c r="AP106" s="254">
        <v>-1067.9889167122019</v>
      </c>
      <c r="AQ106" s="254">
        <v>1050.918834752461</v>
      </c>
      <c r="AR106" s="254">
        <v>-1817.0217300684808</v>
      </c>
      <c r="AS106" s="254">
        <v>923.07805744979851</v>
      </c>
      <c r="AT106" s="254">
        <v>-852.17726132516327</v>
      </c>
      <c r="AU106" s="254">
        <v>988.77990427914256</v>
      </c>
      <c r="AV106" s="254">
        <v>-940.90527836024921</v>
      </c>
      <c r="AW106" s="254">
        <v>669.77258274608721</v>
      </c>
      <c r="AX106" s="254">
        <v>-1259.2780919056559</v>
      </c>
      <c r="AY106" s="254">
        <v>138.45861231449408</v>
      </c>
      <c r="BA106" s="92"/>
      <c r="BB106" s="92"/>
    </row>
    <row r="107" spans="2:54">
      <c r="B107" s="230">
        <v>10349</v>
      </c>
      <c r="C107" s="230" t="s">
        <v>110</v>
      </c>
      <c r="D107" s="254">
        <v>-5643.8133326432726</v>
      </c>
      <c r="E107" s="254">
        <v>16313.953195831942</v>
      </c>
      <c r="F107" s="254">
        <v>61282.714640103193</v>
      </c>
      <c r="G107" s="254">
        <v>49238.480813777162</v>
      </c>
      <c r="H107" s="254">
        <v>85886.797321563208</v>
      </c>
      <c r="I107" s="254">
        <v>39992.374311561784</v>
      </c>
      <c r="J107" s="254">
        <v>147368.21648265002</v>
      </c>
      <c r="K107" s="254">
        <v>82791.415600807668</v>
      </c>
      <c r="L107" s="254">
        <v>119327.64254859544</v>
      </c>
      <c r="M107" s="254">
        <v>71325.56022181813</v>
      </c>
      <c r="N107" s="254">
        <v>95847.370900511334</v>
      </c>
      <c r="O107" s="254">
        <v>71163.606461821604</v>
      </c>
      <c r="P107" s="254">
        <v>-9430.9635772035981</v>
      </c>
      <c r="Q107" s="254">
        <v>188.54671224333288</v>
      </c>
      <c r="R107" s="254">
        <v>-178198.52724646759</v>
      </c>
      <c r="S107" s="254">
        <v>-77979.940783480852</v>
      </c>
      <c r="T107" s="254">
        <v>-252694.3988048053</v>
      </c>
      <c r="U107" s="254">
        <v>-101653.12936936635</v>
      </c>
      <c r="V107" s="254">
        <v>-115439.59509247189</v>
      </c>
      <c r="W107" s="254">
        <v>-39927.296526321981</v>
      </c>
      <c r="X107" s="254">
        <v>-89950.027423243882</v>
      </c>
      <c r="Y107" s="254">
        <v>-20169.639515235758</v>
      </c>
      <c r="Z107" s="254">
        <v>18736.659640586469</v>
      </c>
      <c r="AA107" s="254">
        <v>31622.975487633754</v>
      </c>
      <c r="AB107" s="254">
        <v>-5626.4298876094399</v>
      </c>
      <c r="AC107" s="254">
        <v>16263.766684362054</v>
      </c>
      <c r="AD107" s="254">
        <v>61094.175055151427</v>
      </c>
      <c r="AE107" s="254">
        <v>49086.992185877112</v>
      </c>
      <c r="AF107" s="254">
        <v>85622.551288671413</v>
      </c>
      <c r="AG107" s="254">
        <v>39869.336288761056</v>
      </c>
      <c r="AH107" s="254">
        <v>146914.79421459735</v>
      </c>
      <c r="AI107" s="254">
        <v>82536.686313478116</v>
      </c>
      <c r="AJ107" s="254">
        <v>118960.49669552653</v>
      </c>
      <c r="AK107" s="254">
        <v>71106.108382047343</v>
      </c>
      <c r="AL107" s="254">
        <v>95552.475481244328</v>
      </c>
      <c r="AM107" s="254">
        <v>70944.653969782448</v>
      </c>
      <c r="AN107" s="254">
        <v>-9401.9311856886197</v>
      </c>
      <c r="AO107" s="254">
        <v>187.97539998672437</v>
      </c>
      <c r="AP107" s="254">
        <v>-177650.20515356635</v>
      </c>
      <c r="AQ107" s="254">
        <v>-77739.993222765406</v>
      </c>
      <c r="AR107" s="254">
        <v>-251916.85690083369</v>
      </c>
      <c r="AS107" s="254">
        <v>-101340.34219193635</v>
      </c>
      <c r="AT107" s="254">
        <v>-115084.37645017862</v>
      </c>
      <c r="AU107" s="254">
        <v>-39804.433077668524</v>
      </c>
      <c r="AV107" s="254">
        <v>-89673.238347712148</v>
      </c>
      <c r="AW107" s="254">
        <v>-20107.569168787828</v>
      </c>
      <c r="AX107" s="254">
        <v>18679.027078863146</v>
      </c>
      <c r="AY107" s="254">
        <v>31525.684924923655</v>
      </c>
      <c r="BA107" s="92"/>
      <c r="BB107" s="92"/>
    </row>
    <row r="108" spans="2:54">
      <c r="B108" s="230">
        <v>10352</v>
      </c>
      <c r="C108" s="230" t="s">
        <v>111</v>
      </c>
      <c r="D108" s="254">
        <v>478.23100816024089</v>
      </c>
      <c r="E108" s="254">
        <v>412.65062651317885</v>
      </c>
      <c r="F108" s="254">
        <v>159.25729784079158</v>
      </c>
      <c r="G108" s="254">
        <v>69.450084096140017</v>
      </c>
      <c r="H108" s="254">
        <v>2800.9030501577463</v>
      </c>
      <c r="I108" s="254">
        <v>883.97904410871524</v>
      </c>
      <c r="J108" s="254">
        <v>3882.9268269538888</v>
      </c>
      <c r="K108" s="254">
        <v>2361.1831880081445</v>
      </c>
      <c r="L108" s="254">
        <v>3714.8171699662607</v>
      </c>
      <c r="M108" s="254">
        <v>1547.680193798727</v>
      </c>
      <c r="N108" s="254">
        <v>2856.703270345979</v>
      </c>
      <c r="O108" s="254">
        <v>1182.902206148191</v>
      </c>
      <c r="P108" s="254">
        <v>2109.2237741310973</v>
      </c>
      <c r="Q108" s="254">
        <v>851.86703765436687</v>
      </c>
      <c r="R108" s="254">
        <v>-1934.353470009286</v>
      </c>
      <c r="S108" s="254">
        <v>-61.465778116132242</v>
      </c>
      <c r="T108" s="254">
        <v>-2765.458093063261</v>
      </c>
      <c r="U108" s="254">
        <v>-419.57436371794711</v>
      </c>
      <c r="V108" s="254">
        <v>-1617.4262620298223</v>
      </c>
      <c r="W108" s="254">
        <v>-68.41952113558591</v>
      </c>
      <c r="X108" s="254">
        <v>-1022.2747177814908</v>
      </c>
      <c r="Y108" s="254">
        <v>-393.82316359609376</v>
      </c>
      <c r="Z108" s="254">
        <v>-822.41547999119848</v>
      </c>
      <c r="AA108" s="254">
        <v>-456.34323086827726</v>
      </c>
      <c r="AB108" s="254">
        <v>504.21500816024036</v>
      </c>
      <c r="AC108" s="254">
        <v>427.7146265131787</v>
      </c>
      <c r="AD108" s="254">
        <v>189.38329784079178</v>
      </c>
      <c r="AE108" s="254">
        <v>88.303084096139173</v>
      </c>
      <c r="AF108" s="254">
        <v>2838.5710501577478</v>
      </c>
      <c r="AG108" s="254">
        <v>907.68904410871528</v>
      </c>
      <c r="AH108" s="254">
        <v>3919.9228269538899</v>
      </c>
      <c r="AI108" s="254">
        <v>2387.0371880081448</v>
      </c>
      <c r="AJ108" s="254">
        <v>3748.2891699662605</v>
      </c>
      <c r="AK108" s="254">
        <v>1567.6171937987269</v>
      </c>
      <c r="AL108" s="254">
        <v>2892.0502703459788</v>
      </c>
      <c r="AM108" s="254">
        <v>1202.8392061481909</v>
      </c>
      <c r="AN108" s="254">
        <v>1848.1257741310974</v>
      </c>
      <c r="AO108" s="254">
        <v>1155.0890376543671</v>
      </c>
      <c r="AP108" s="254">
        <v>-1675.4694700092859</v>
      </c>
      <c r="AQ108" s="254">
        <v>-284.76577811613197</v>
      </c>
      <c r="AR108" s="254">
        <v>-2743.0090930632605</v>
      </c>
      <c r="AS108" s="254">
        <v>-408.00936371794705</v>
      </c>
      <c r="AT108" s="254">
        <v>-1594.4052620298226</v>
      </c>
      <c r="AU108" s="254">
        <v>-54.153521135585834</v>
      </c>
      <c r="AV108" s="254">
        <v>-997.68271778149119</v>
      </c>
      <c r="AW108" s="254">
        <v>-381.52316359609404</v>
      </c>
      <c r="AX108" s="254">
        <v>-800.69447999119802</v>
      </c>
      <c r="AY108" s="254">
        <v>-443.99423086827755</v>
      </c>
      <c r="BA108" s="92"/>
      <c r="BB108" s="92"/>
    </row>
    <row r="109" spans="2:54">
      <c r="B109" s="230">
        <v>10354</v>
      </c>
      <c r="C109" s="230" t="s">
        <v>112</v>
      </c>
      <c r="D109" s="254">
        <v>-12287.296630770899</v>
      </c>
      <c r="E109" s="254">
        <v>24075.248622282903</v>
      </c>
      <c r="F109" s="254">
        <v>-28119.510589316837</v>
      </c>
      <c r="G109" s="254">
        <v>8269.4839959561941</v>
      </c>
      <c r="H109" s="254">
        <v>13576.531013810687</v>
      </c>
      <c r="I109" s="254">
        <v>16882.852962064513</v>
      </c>
      <c r="J109" s="254">
        <v>32487.545905130013</v>
      </c>
      <c r="K109" s="254">
        <v>41594.330772853617</v>
      </c>
      <c r="L109" s="254">
        <v>29708.953947269401</v>
      </c>
      <c r="M109" s="254">
        <v>25652.716057729049</v>
      </c>
      <c r="N109" s="254">
        <v>3001.1253251395829</v>
      </c>
      <c r="O109" s="254">
        <v>15838.497889422302</v>
      </c>
      <c r="P109" s="254">
        <v>16333.082291901272</v>
      </c>
      <c r="Q109" s="254">
        <v>24497.836077330823</v>
      </c>
      <c r="R109" s="254">
        <v>-59117.174915354917</v>
      </c>
      <c r="S109" s="254">
        <v>15414.668786786089</v>
      </c>
      <c r="T109" s="254">
        <v>-78523.453215578047</v>
      </c>
      <c r="U109" s="254">
        <v>8073.0568068688299</v>
      </c>
      <c r="V109" s="254">
        <v>-64349.707698137296</v>
      </c>
      <c r="W109" s="254">
        <v>8022.6022916601942</v>
      </c>
      <c r="X109" s="254">
        <v>-51325.124123180503</v>
      </c>
      <c r="Y109" s="254">
        <v>3905.8774924941972</v>
      </c>
      <c r="Z109" s="254">
        <v>-33480.464793615189</v>
      </c>
      <c r="AA109" s="254">
        <v>8463.149724979492</v>
      </c>
      <c r="AB109" s="254">
        <v>-9256.9504378540441</v>
      </c>
      <c r="AC109" s="254">
        <v>25996.640118412019</v>
      </c>
      <c r="AD109" s="254">
        <v>-24545.952361016331</v>
      </c>
      <c r="AE109" s="254">
        <v>10709.922065814404</v>
      </c>
      <c r="AF109" s="254">
        <v>17120.403948541265</v>
      </c>
      <c r="AG109" s="254">
        <v>19591.436737485084</v>
      </c>
      <c r="AH109" s="254">
        <v>35558.720246721292</v>
      </c>
      <c r="AI109" s="254">
        <v>44046.297827011091</v>
      </c>
      <c r="AJ109" s="254">
        <v>32434.011706720921</v>
      </c>
      <c r="AK109" s="254">
        <v>27649.791257141595</v>
      </c>
      <c r="AL109" s="254">
        <v>6187.4745670174598</v>
      </c>
      <c r="AM109" s="254">
        <v>17942.813728468958</v>
      </c>
      <c r="AN109" s="254">
        <v>13778.960138678318</v>
      </c>
      <c r="AO109" s="254">
        <v>31351.677108530814</v>
      </c>
      <c r="AP109" s="254">
        <v>-51097.939605644438</v>
      </c>
      <c r="AQ109" s="254">
        <v>12617.169301301983</v>
      </c>
      <c r="AR109" s="254">
        <v>-74876.271464253179</v>
      </c>
      <c r="AS109" s="254">
        <v>9831.1673279704119</v>
      </c>
      <c r="AT109" s="254">
        <v>-61076.749723398039</v>
      </c>
      <c r="AU109" s="254">
        <v>9959.2043171988189</v>
      </c>
      <c r="AV109" s="254">
        <v>-48042.179911076659</v>
      </c>
      <c r="AW109" s="254">
        <v>5709.0407908844354</v>
      </c>
      <c r="AX109" s="254">
        <v>-30521.291642959739</v>
      </c>
      <c r="AY109" s="254">
        <v>10341.998878440776</v>
      </c>
      <c r="BA109" s="92"/>
      <c r="BB109" s="92"/>
    </row>
    <row r="110" spans="2:54">
      <c r="B110" s="230">
        <v>10360</v>
      </c>
      <c r="C110" s="230" t="s">
        <v>113</v>
      </c>
      <c r="D110" s="254">
        <v>-1082.7799943985551</v>
      </c>
      <c r="E110" s="254">
        <v>-303.59720825032264</v>
      </c>
      <c r="F110" s="254">
        <v>-1786.7346788751138</v>
      </c>
      <c r="G110" s="254">
        <v>-869.9051569633757</v>
      </c>
      <c r="H110" s="254">
        <v>-770.91669350643497</v>
      </c>
      <c r="I110" s="254">
        <v>-540.32591224838484</v>
      </c>
      <c r="J110" s="254">
        <v>-336.59221877147456</v>
      </c>
      <c r="K110" s="254">
        <v>-40.73213608018068</v>
      </c>
      <c r="L110" s="254">
        <v>-422.38946754098697</v>
      </c>
      <c r="M110" s="254">
        <v>-265.82632314873013</v>
      </c>
      <c r="N110" s="254">
        <v>-1148.3448188312855</v>
      </c>
      <c r="O110" s="254">
        <v>-566.15833348013166</v>
      </c>
      <c r="P110" s="254">
        <v>-81.14072858276586</v>
      </c>
      <c r="Q110" s="254">
        <v>79.732364974745906</v>
      </c>
      <c r="R110" s="254">
        <v>72.41370315135191</v>
      </c>
      <c r="S110" s="254">
        <v>1044.0077254229075</v>
      </c>
      <c r="T110" s="254">
        <v>1782.607562712974</v>
      </c>
      <c r="U110" s="254">
        <v>2251.8895609547944</v>
      </c>
      <c r="V110" s="254">
        <v>2056.1834748719734</v>
      </c>
      <c r="W110" s="254">
        <v>2702.3780471515811</v>
      </c>
      <c r="X110" s="254">
        <v>2066.1692566760389</v>
      </c>
      <c r="Y110" s="254">
        <v>1966.4017285079478</v>
      </c>
      <c r="Z110" s="254">
        <v>-22.283255542341522</v>
      </c>
      <c r="AA110" s="254">
        <v>532.89680711742017</v>
      </c>
      <c r="AB110" s="254">
        <v>-1077.4269943985553</v>
      </c>
      <c r="AC110" s="254">
        <v>-299.67620825032259</v>
      </c>
      <c r="AD110" s="254">
        <v>-1781.9266788751138</v>
      </c>
      <c r="AE110" s="254">
        <v>-866.11315696337579</v>
      </c>
      <c r="AF110" s="254">
        <v>-763.96669350643515</v>
      </c>
      <c r="AG110" s="254">
        <v>-534.99591224838491</v>
      </c>
      <c r="AH110" s="254">
        <v>-329.98321877147464</v>
      </c>
      <c r="AI110" s="254">
        <v>-35.081136080180613</v>
      </c>
      <c r="AJ110" s="254">
        <v>-416.91346754098709</v>
      </c>
      <c r="AK110" s="254">
        <v>-261.75832314873014</v>
      </c>
      <c r="AL110" s="254">
        <v>-1143.2778188312855</v>
      </c>
      <c r="AM110" s="254">
        <v>-562.50933348013155</v>
      </c>
      <c r="AN110" s="254">
        <v>-156.55572858276582</v>
      </c>
      <c r="AO110" s="254">
        <v>166.37236497474601</v>
      </c>
      <c r="AP110" s="254">
        <v>216.43170315135194</v>
      </c>
      <c r="AQ110" s="254">
        <v>918.84272542290751</v>
      </c>
      <c r="AR110" s="254">
        <v>1799.835562712974</v>
      </c>
      <c r="AS110" s="254">
        <v>2263.5835609547939</v>
      </c>
      <c r="AT110" s="254">
        <v>2072.9294748719735</v>
      </c>
      <c r="AU110" s="254">
        <v>2715.9050471515811</v>
      </c>
      <c r="AV110" s="254">
        <v>2082.6362566760386</v>
      </c>
      <c r="AW110" s="254">
        <v>1977.3837285079478</v>
      </c>
      <c r="AX110" s="254">
        <v>-13.392255542341445</v>
      </c>
      <c r="AY110" s="254">
        <v>539.62980711741989</v>
      </c>
      <c r="BA110" s="92"/>
      <c r="BB110" s="92"/>
    </row>
    <row r="111" spans="2:54">
      <c r="B111" s="230">
        <v>10363</v>
      </c>
      <c r="C111" s="230" t="s">
        <v>114</v>
      </c>
      <c r="D111" s="254">
        <v>-490.91719713362545</v>
      </c>
      <c r="E111" s="254">
        <v>2172.3100894512099</v>
      </c>
      <c r="F111" s="254">
        <v>-8110.5841714507478</v>
      </c>
      <c r="G111" s="254">
        <v>-4017.5011099303847</v>
      </c>
      <c r="H111" s="254">
        <v>9612.6179899390409</v>
      </c>
      <c r="I111" s="254">
        <v>1856.174046181357</v>
      </c>
      <c r="J111" s="254">
        <v>14438.447478938469</v>
      </c>
      <c r="K111" s="254">
        <v>9267.4803312098011</v>
      </c>
      <c r="L111" s="254">
        <v>10869.969745374106</v>
      </c>
      <c r="M111" s="254">
        <v>3739.264381833138</v>
      </c>
      <c r="N111" s="254">
        <v>4857.3701028355281</v>
      </c>
      <c r="O111" s="254">
        <v>1431.0856308741968</v>
      </c>
      <c r="P111" s="254">
        <v>8207.0220752862042</v>
      </c>
      <c r="Q111" s="254">
        <v>3566.791421113805</v>
      </c>
      <c r="R111" s="254">
        <v>-13620.408623243027</v>
      </c>
      <c r="S111" s="254">
        <v>-312.38330499760923</v>
      </c>
      <c r="T111" s="254">
        <v>-17627.527873460742</v>
      </c>
      <c r="U111" s="254">
        <v>-1668.017215230564</v>
      </c>
      <c r="V111" s="254">
        <v>-10721.093042106899</v>
      </c>
      <c r="W111" s="254">
        <v>54.347076393158204</v>
      </c>
      <c r="X111" s="254">
        <v>-6458.1788387871711</v>
      </c>
      <c r="Y111" s="254">
        <v>-1232.0531609026475</v>
      </c>
      <c r="Z111" s="254">
        <v>-6966.9571943744231</v>
      </c>
      <c r="AA111" s="254">
        <v>-2599.005323675814</v>
      </c>
      <c r="AB111" s="254">
        <v>-491.78759196911415</v>
      </c>
      <c r="AC111" s="254">
        <v>2177.8844086332101</v>
      </c>
      <c r="AD111" s="254">
        <v>-8130.2875401473066</v>
      </c>
      <c r="AE111" s="254">
        <v>-4027.2112231390493</v>
      </c>
      <c r="AF111" s="254">
        <v>9636.752640567378</v>
      </c>
      <c r="AG111" s="254">
        <v>1861.0122601190378</v>
      </c>
      <c r="AH111" s="254">
        <v>14474.451716116702</v>
      </c>
      <c r="AI111" s="254">
        <v>9290.6210393786314</v>
      </c>
      <c r="AJ111" s="254">
        <v>10897.090295310561</v>
      </c>
      <c r="AK111" s="254">
        <v>3748.677383197406</v>
      </c>
      <c r="AL111" s="254">
        <v>4869.6396718417236</v>
      </c>
      <c r="AM111" s="254">
        <v>1434.776353874262</v>
      </c>
      <c r="AN111" s="254">
        <v>6658.9067999603176</v>
      </c>
      <c r="AO111" s="254">
        <v>5144.3287475467914</v>
      </c>
      <c r="AP111" s="254">
        <v>-12286.239326358955</v>
      </c>
      <c r="AQ111" s="254">
        <v>-1680.6799248648967</v>
      </c>
      <c r="AR111" s="254">
        <v>-17670.895832752307</v>
      </c>
      <c r="AS111" s="254">
        <v>-1672.0450186172529</v>
      </c>
      <c r="AT111" s="254">
        <v>-10747.386375063659</v>
      </c>
      <c r="AU111" s="254">
        <v>54.598588111359277</v>
      </c>
      <c r="AV111" s="254">
        <v>-6473.9464945205691</v>
      </c>
      <c r="AW111" s="254">
        <v>-1235.0010745343825</v>
      </c>
      <c r="AX111" s="254">
        <v>-6984.0566731666986</v>
      </c>
      <c r="AY111" s="254">
        <v>-2605.3642762202107</v>
      </c>
      <c r="BA111" s="92"/>
      <c r="BB111" s="92"/>
    </row>
    <row r="112" spans="2:54">
      <c r="B112" s="230">
        <v>10369</v>
      </c>
      <c r="C112" s="230" t="s">
        <v>115</v>
      </c>
      <c r="D112" s="254">
        <v>-2906.6487875212001</v>
      </c>
      <c r="E112" s="254">
        <v>-1101.2165547101476</v>
      </c>
      <c r="F112" s="254">
        <v>-4391.4648228485385</v>
      </c>
      <c r="G112" s="254">
        <v>-2370.9340543087828</v>
      </c>
      <c r="H112" s="254">
        <v>-2726.7040813767335</v>
      </c>
      <c r="I112" s="254">
        <v>-2151.5324733474699</v>
      </c>
      <c r="J112" s="254">
        <v>-1198.4337046011769</v>
      </c>
      <c r="K112" s="254">
        <v>-715.36536625051076</v>
      </c>
      <c r="L112" s="254">
        <v>-1338.1465750854677</v>
      </c>
      <c r="M112" s="254">
        <v>-1004.6616953778739</v>
      </c>
      <c r="N112" s="254">
        <v>-2695.157569951597</v>
      </c>
      <c r="O112" s="254">
        <v>-1501.4472372289065</v>
      </c>
      <c r="P112" s="254">
        <v>-866.89136012775816</v>
      </c>
      <c r="Q112" s="254">
        <v>-416.67579807575021</v>
      </c>
      <c r="R112" s="254">
        <v>-526.37426976452116</v>
      </c>
      <c r="S112" s="254">
        <v>1907.2732782273947</v>
      </c>
      <c r="T112" s="254">
        <v>9.575698215416196</v>
      </c>
      <c r="U112" s="254">
        <v>2160.5297089775713</v>
      </c>
      <c r="V112" s="254">
        <v>4331.6724933000405</v>
      </c>
      <c r="W112" s="254">
        <v>5778.6928223324985</v>
      </c>
      <c r="X112" s="254">
        <v>5294.3320011836367</v>
      </c>
      <c r="Y112" s="254">
        <v>4906.0387473559804</v>
      </c>
      <c r="Z112" s="254">
        <v>985.27995647153239</v>
      </c>
      <c r="AA112" s="254">
        <v>1953.9720065777356</v>
      </c>
      <c r="AB112" s="254">
        <v>-2906.6487875212001</v>
      </c>
      <c r="AC112" s="254">
        <v>-1101.2165547101476</v>
      </c>
      <c r="AD112" s="254">
        <v>-4391.4648228485385</v>
      </c>
      <c r="AE112" s="254">
        <v>-2370.9340543087828</v>
      </c>
      <c r="AF112" s="254">
        <v>-2726.7040813767335</v>
      </c>
      <c r="AG112" s="254">
        <v>-2151.5324733474699</v>
      </c>
      <c r="AH112" s="254">
        <v>-1198.4337046011769</v>
      </c>
      <c r="AI112" s="254">
        <v>-715.36536625051076</v>
      </c>
      <c r="AJ112" s="254">
        <v>-1338.1465750854677</v>
      </c>
      <c r="AK112" s="254">
        <v>-1004.6616953778739</v>
      </c>
      <c r="AL112" s="254">
        <v>-2695.157569951597</v>
      </c>
      <c r="AM112" s="254">
        <v>-1501.4472372289065</v>
      </c>
      <c r="AN112" s="254">
        <v>-1037.7093601277575</v>
      </c>
      <c r="AO112" s="254">
        <v>-245.85779807575</v>
      </c>
      <c r="AP112" s="254">
        <v>-227.57426976452007</v>
      </c>
      <c r="AQ112" s="254">
        <v>1608.4732782273945</v>
      </c>
      <c r="AR112" s="254">
        <v>9.575698215416196</v>
      </c>
      <c r="AS112" s="254">
        <v>2160.5297089775713</v>
      </c>
      <c r="AT112" s="254">
        <v>4331.6724933000405</v>
      </c>
      <c r="AU112" s="254">
        <v>5778.6928223324985</v>
      </c>
      <c r="AV112" s="254">
        <v>5294.3320011836367</v>
      </c>
      <c r="AW112" s="254">
        <v>4906.0387473559804</v>
      </c>
      <c r="AX112" s="254">
        <v>985.27995647153239</v>
      </c>
      <c r="AY112" s="254">
        <v>1953.9720065777356</v>
      </c>
      <c r="BA112" s="92"/>
      <c r="BB112" s="92"/>
    </row>
    <row r="113" spans="2:54">
      <c r="B113" s="230">
        <v>10370</v>
      </c>
      <c r="C113" s="230" t="s">
        <v>116</v>
      </c>
      <c r="D113" s="254">
        <v>-17001.860714179333</v>
      </c>
      <c r="E113" s="254">
        <v>2769.3376262185848</v>
      </c>
      <c r="F113" s="254">
        <v>-16700.377189860548</v>
      </c>
      <c r="G113" s="254">
        <v>1369.9497133123805</v>
      </c>
      <c r="H113" s="254">
        <v>7955.2474788726395</v>
      </c>
      <c r="I113" s="254">
        <v>9232.1736654937413</v>
      </c>
      <c r="J113" s="254">
        <v>13933.374517689706</v>
      </c>
      <c r="K113" s="254">
        <v>18524.286114092487</v>
      </c>
      <c r="L113" s="254">
        <v>14128.845850499521</v>
      </c>
      <c r="M113" s="254">
        <v>12211.545920765115</v>
      </c>
      <c r="N113" s="254">
        <v>11154.392844169008</v>
      </c>
      <c r="O113" s="254">
        <v>14582.696150220632</v>
      </c>
      <c r="P113" s="254">
        <v>13425.988810077244</v>
      </c>
      <c r="Q113" s="254">
        <v>15829.309676442317</v>
      </c>
      <c r="R113" s="254">
        <v>-26888.69111339884</v>
      </c>
      <c r="S113" s="254">
        <v>8616.0560920852877</v>
      </c>
      <c r="T113" s="254">
        <v>-40142.289504048669</v>
      </c>
      <c r="U113" s="254">
        <v>2022.4000242831025</v>
      </c>
      <c r="V113" s="254">
        <v>-29392.067689777054</v>
      </c>
      <c r="W113" s="254">
        <v>5077.6684258359091</v>
      </c>
      <c r="X113" s="254">
        <v>-26307.68795476004</v>
      </c>
      <c r="Y113" s="254">
        <v>629.01829394364904</v>
      </c>
      <c r="Z113" s="254">
        <v>-16121.501170644988</v>
      </c>
      <c r="AA113" s="254">
        <v>3988.4766035065113</v>
      </c>
      <c r="AB113" s="254">
        <v>-15816.791780456333</v>
      </c>
      <c r="AC113" s="254">
        <v>3818.1871448273305</v>
      </c>
      <c r="AD113" s="254">
        <v>-15142.393075607688</v>
      </c>
      <c r="AE113" s="254">
        <v>2724.7736449137228</v>
      </c>
      <c r="AF113" s="254">
        <v>10104.012435735815</v>
      </c>
      <c r="AG113" s="254">
        <v>10947.338504083156</v>
      </c>
      <c r="AH113" s="254">
        <v>15933.215794957418</v>
      </c>
      <c r="AI113" s="254">
        <v>20290.444499639067</v>
      </c>
      <c r="AJ113" s="254">
        <v>15955.294020924906</v>
      </c>
      <c r="AK113" s="254">
        <v>13592.810801429907</v>
      </c>
      <c r="AL113" s="254">
        <v>13249.505352454318</v>
      </c>
      <c r="AM113" s="254">
        <v>16137.355771780822</v>
      </c>
      <c r="AN113" s="254">
        <v>12464.064110745378</v>
      </c>
      <c r="AO113" s="254">
        <v>19916.577343005105</v>
      </c>
      <c r="AP113" s="254">
        <v>-23302.618825852413</v>
      </c>
      <c r="AQ113" s="254">
        <v>7509.9741165160667</v>
      </c>
      <c r="AR113" s="254">
        <v>-39077.472682603577</v>
      </c>
      <c r="AS113" s="254">
        <v>3022.4504092857096</v>
      </c>
      <c r="AT113" s="254">
        <v>-28252.598853420954</v>
      </c>
      <c r="AU113" s="254">
        <v>6272.4333245220987</v>
      </c>
      <c r="AV113" s="254">
        <v>-25118.333863332584</v>
      </c>
      <c r="AW113" s="254">
        <v>1626.91107991631</v>
      </c>
      <c r="AX113" s="254">
        <v>-14862.274314999682</v>
      </c>
      <c r="AY113" s="254">
        <v>5115.3582781617224</v>
      </c>
      <c r="BA113" s="92"/>
      <c r="BB113" s="92"/>
    </row>
    <row r="114" spans="2:54">
      <c r="B114" s="230">
        <v>10371</v>
      </c>
      <c r="C114" s="230" t="s">
        <v>117</v>
      </c>
      <c r="D114" s="254">
        <v>187.21836971618814</v>
      </c>
      <c r="E114" s="254">
        <v>267.52650772577681</v>
      </c>
      <c r="F114" s="254">
        <v>-9.4247399588575718</v>
      </c>
      <c r="G114" s="254">
        <v>213.12084233857195</v>
      </c>
      <c r="H114" s="254">
        <v>1375.1206250494797</v>
      </c>
      <c r="I114" s="254">
        <v>377.43406691131531</v>
      </c>
      <c r="J114" s="254">
        <v>2104.8849953161352</v>
      </c>
      <c r="K114" s="254">
        <v>1107.7273075497801</v>
      </c>
      <c r="L114" s="254">
        <v>2032.3250229258961</v>
      </c>
      <c r="M114" s="254">
        <v>964.5986416585647</v>
      </c>
      <c r="N114" s="254">
        <v>1017.2815376760445</v>
      </c>
      <c r="O114" s="254">
        <v>565.37177973065081</v>
      </c>
      <c r="P114" s="254">
        <v>957.60091192728396</v>
      </c>
      <c r="Q114" s="254">
        <v>582.55814030696911</v>
      </c>
      <c r="R114" s="254">
        <v>-1399.848223892518</v>
      </c>
      <c r="S114" s="254">
        <v>140.5053766867195</v>
      </c>
      <c r="T114" s="254">
        <v>-1932.9100898564793</v>
      </c>
      <c r="U114" s="254">
        <v>128.40654398128709</v>
      </c>
      <c r="V114" s="254">
        <v>-1121.3086041418901</v>
      </c>
      <c r="W114" s="254">
        <v>135.69097177671529</v>
      </c>
      <c r="X114" s="254">
        <v>-892.93637581691746</v>
      </c>
      <c r="Y114" s="254">
        <v>94.973225543341414</v>
      </c>
      <c r="Z114" s="254">
        <v>-611.64986578327535</v>
      </c>
      <c r="AA114" s="254">
        <v>36.436037122398375</v>
      </c>
      <c r="AB114" s="254">
        <v>198.01736971618811</v>
      </c>
      <c r="AC114" s="254">
        <v>273.93450772577671</v>
      </c>
      <c r="AD114" s="254">
        <v>4.4752600411420644</v>
      </c>
      <c r="AE114" s="254">
        <v>222.42284233857163</v>
      </c>
      <c r="AF114" s="254">
        <v>1390.0036250494795</v>
      </c>
      <c r="AG114" s="254">
        <v>387.08306691131565</v>
      </c>
      <c r="AH114" s="254">
        <v>2120.4599953161351</v>
      </c>
      <c r="AI114" s="254">
        <v>1118.3153075497798</v>
      </c>
      <c r="AJ114" s="254">
        <v>2050.0130229258962</v>
      </c>
      <c r="AK114" s="254">
        <v>975.80264165856488</v>
      </c>
      <c r="AL114" s="254">
        <v>1031.5725376760447</v>
      </c>
      <c r="AM114" s="254">
        <v>574.16377973065073</v>
      </c>
      <c r="AN114" s="254">
        <v>968.97891192728366</v>
      </c>
      <c r="AO114" s="254">
        <v>589.60914030696904</v>
      </c>
      <c r="AP114" s="254">
        <v>-1391.2762238925179</v>
      </c>
      <c r="AQ114" s="254">
        <v>146.38137668671925</v>
      </c>
      <c r="AR114" s="254">
        <v>-1925.3400898564787</v>
      </c>
      <c r="AS114" s="254">
        <v>133.06754398128714</v>
      </c>
      <c r="AT114" s="254">
        <v>-1112.4186041418898</v>
      </c>
      <c r="AU114" s="254">
        <v>141.57297177671535</v>
      </c>
      <c r="AV114" s="254">
        <v>-884.86437581691735</v>
      </c>
      <c r="AW114" s="254">
        <v>99.843225543341305</v>
      </c>
      <c r="AX114" s="254">
        <v>-605.38686578327497</v>
      </c>
      <c r="AY114" s="254">
        <v>40.576037122398247</v>
      </c>
      <c r="BA114" s="92"/>
      <c r="BB114" s="92"/>
    </row>
    <row r="115" spans="2:54">
      <c r="B115" s="230">
        <v>10376</v>
      </c>
      <c r="C115" s="230" t="s">
        <v>118</v>
      </c>
      <c r="D115" s="254">
        <v>-1597.7339588246577</v>
      </c>
      <c r="E115" s="254">
        <v>751.95660449101342</v>
      </c>
      <c r="F115" s="254">
        <v>-5325.8929831873393</v>
      </c>
      <c r="G115" s="254">
        <v>-2677.621119686215</v>
      </c>
      <c r="H115" s="254">
        <v>5620.9697151267792</v>
      </c>
      <c r="I115" s="254">
        <v>1564.5348078310017</v>
      </c>
      <c r="J115" s="254">
        <v>7520.0284602433676</v>
      </c>
      <c r="K115" s="254">
        <v>5326.1164853740956</v>
      </c>
      <c r="L115" s="254">
        <v>9852.2915747257612</v>
      </c>
      <c r="M115" s="254">
        <v>4695.8631085060806</v>
      </c>
      <c r="N115" s="254">
        <v>4795.8803800945643</v>
      </c>
      <c r="O115" s="254">
        <v>2437.6718527702633</v>
      </c>
      <c r="P115" s="254">
        <v>6272.5916396537614</v>
      </c>
      <c r="Q115" s="254">
        <v>3632.406668242651</v>
      </c>
      <c r="R115" s="254">
        <v>-8365.1605545434504</v>
      </c>
      <c r="S115" s="254">
        <v>482.42487942932348</v>
      </c>
      <c r="T115" s="254">
        <v>-12072.18673111522</v>
      </c>
      <c r="U115" s="254">
        <v>-1175.3395649698959</v>
      </c>
      <c r="V115" s="254">
        <v>-9476.6710861945503</v>
      </c>
      <c r="W115" s="254">
        <v>-1142.5678511320093</v>
      </c>
      <c r="X115" s="254">
        <v>-6785.2711254121605</v>
      </c>
      <c r="Y115" s="254">
        <v>-1604.270920782903</v>
      </c>
      <c r="Z115" s="254">
        <v>-5135.4207406544883</v>
      </c>
      <c r="AA115" s="254">
        <v>-1621.4009906361716</v>
      </c>
      <c r="AB115" s="254">
        <v>-1600.7139588246537</v>
      </c>
      <c r="AC115" s="254">
        <v>741.58460449101403</v>
      </c>
      <c r="AD115" s="254">
        <v>-5323.8499831873378</v>
      </c>
      <c r="AE115" s="254">
        <v>-2683.8991196862135</v>
      </c>
      <c r="AF115" s="254">
        <v>5641.8197151267814</v>
      </c>
      <c r="AG115" s="254">
        <v>1571.5898078309983</v>
      </c>
      <c r="AH115" s="254">
        <v>7536.4954602433681</v>
      </c>
      <c r="AI115" s="254">
        <v>5332.2474853740932</v>
      </c>
      <c r="AJ115" s="254">
        <v>9870.5905747257639</v>
      </c>
      <c r="AK115" s="254">
        <v>4701.7231085060812</v>
      </c>
      <c r="AL115" s="254">
        <v>4807.3283800945646</v>
      </c>
      <c r="AM115" s="254">
        <v>2438.1948527702643</v>
      </c>
      <c r="AN115" s="254">
        <v>5217.2716396537653</v>
      </c>
      <c r="AO115" s="254">
        <v>4688.165668242651</v>
      </c>
      <c r="AP115" s="254">
        <v>-7508.7535545434512</v>
      </c>
      <c r="AQ115" s="254">
        <v>-392.43812057067589</v>
      </c>
      <c r="AR115" s="254">
        <v>-12080.942731115218</v>
      </c>
      <c r="AS115" s="254">
        <v>-1188.1595649698975</v>
      </c>
      <c r="AT115" s="254">
        <v>-9485.5830861945506</v>
      </c>
      <c r="AU115" s="254">
        <v>-1157.4068511320093</v>
      </c>
      <c r="AV115" s="254">
        <v>-6793.4551254121616</v>
      </c>
      <c r="AW115" s="254">
        <v>-1617.8099207829036</v>
      </c>
      <c r="AX115" s="254">
        <v>-5143.5947406544874</v>
      </c>
      <c r="AY115" s="254">
        <v>-1635.3399906361701</v>
      </c>
      <c r="BA115" s="92"/>
      <c r="BB115" s="92"/>
    </row>
    <row r="116" spans="2:54">
      <c r="B116" s="230">
        <v>10378</v>
      </c>
      <c r="C116" s="230" t="s">
        <v>119</v>
      </c>
      <c r="D116" s="254">
        <v>-83.088404778950917</v>
      </c>
      <c r="E116" s="254">
        <v>-21.862116171849777</v>
      </c>
      <c r="F116" s="254">
        <v>-17.610908067929131</v>
      </c>
      <c r="G116" s="254">
        <v>69.611479823483023</v>
      </c>
      <c r="H116" s="254">
        <v>517.87389401926623</v>
      </c>
      <c r="I116" s="254">
        <v>353.04649303050996</v>
      </c>
      <c r="J116" s="254">
        <v>742.28141464102282</v>
      </c>
      <c r="K116" s="254">
        <v>523.28786851157497</v>
      </c>
      <c r="L116" s="254">
        <v>465.28012506818936</v>
      </c>
      <c r="M116" s="254">
        <v>298.22522995492136</v>
      </c>
      <c r="N116" s="254">
        <v>173.93003280922267</v>
      </c>
      <c r="O116" s="254">
        <v>149.22617798558429</v>
      </c>
      <c r="P116" s="254">
        <v>122.74622789254272</v>
      </c>
      <c r="Q116" s="254">
        <v>98.541806651484194</v>
      </c>
      <c r="R116" s="254">
        <v>-393.43342811471757</v>
      </c>
      <c r="S116" s="254">
        <v>-107.81659523911793</v>
      </c>
      <c r="T116" s="254">
        <v>-481.83698941366697</v>
      </c>
      <c r="U116" s="254">
        <v>-91.251460016398312</v>
      </c>
      <c r="V116" s="254">
        <v>-285.71813358200916</v>
      </c>
      <c r="W116" s="254">
        <v>-56.714703047733508</v>
      </c>
      <c r="X116" s="254">
        <v>-249.35677796539596</v>
      </c>
      <c r="Y116" s="254">
        <v>-72.155488379928386</v>
      </c>
      <c r="Z116" s="254">
        <v>-284.98514476538162</v>
      </c>
      <c r="AA116" s="254">
        <v>-126.18655882132953</v>
      </c>
      <c r="AB116" s="254">
        <v>-81.672878937672294</v>
      </c>
      <c r="AC116" s="254">
        <v>-20.963996665586308</v>
      </c>
      <c r="AD116" s="254">
        <v>-16.787675170262446</v>
      </c>
      <c r="AE116" s="254">
        <v>70.374986771830436</v>
      </c>
      <c r="AF116" s="254">
        <v>518.86357037785911</v>
      </c>
      <c r="AG116" s="254">
        <v>353.71589208328271</v>
      </c>
      <c r="AH116" s="254">
        <v>743.60446680590121</v>
      </c>
      <c r="AI116" s="254">
        <v>524.21418662239228</v>
      </c>
      <c r="AJ116" s="254">
        <v>466.86011099519158</v>
      </c>
      <c r="AK116" s="254">
        <v>299.26534375188425</v>
      </c>
      <c r="AL116" s="254">
        <v>175.17692925843573</v>
      </c>
      <c r="AM116" s="254">
        <v>150.13063408738196</v>
      </c>
      <c r="AN116" s="254">
        <v>124.41683971303576</v>
      </c>
      <c r="AO116" s="254">
        <v>99.670662814950958</v>
      </c>
      <c r="AP116" s="254">
        <v>-392.42785391919529</v>
      </c>
      <c r="AQ116" s="254">
        <v>-106.8887560750573</v>
      </c>
      <c r="AR116" s="254">
        <v>-480.99074916141967</v>
      </c>
      <c r="AS116" s="254">
        <v>-90.379564268853812</v>
      </c>
      <c r="AT116" s="254">
        <v>-284.7193371680587</v>
      </c>
      <c r="AU116" s="254">
        <v>-55.826256729442491</v>
      </c>
      <c r="AV116" s="254">
        <v>-248.16493345761273</v>
      </c>
      <c r="AW116" s="254">
        <v>-71.35406167870201</v>
      </c>
      <c r="AX116" s="254">
        <v>-283.69195576164987</v>
      </c>
      <c r="AY116" s="254">
        <v>-125.25486335805527</v>
      </c>
      <c r="BA116" s="92"/>
      <c r="BB116" s="92"/>
    </row>
    <row r="117" spans="2:54">
      <c r="B117" s="230">
        <v>10379</v>
      </c>
      <c r="C117" s="230" t="s">
        <v>120</v>
      </c>
      <c r="D117" s="254">
        <v>-12.632428561462348</v>
      </c>
      <c r="E117" s="254">
        <v>69.400444546437484</v>
      </c>
      <c r="F117" s="254">
        <v>-67.926990124962686</v>
      </c>
      <c r="G117" s="254">
        <v>93.383316890824972</v>
      </c>
      <c r="H117" s="254">
        <v>492.19790341701218</v>
      </c>
      <c r="I117" s="254">
        <v>105.97693436928716</v>
      </c>
      <c r="J117" s="254">
        <v>910.56968548831242</v>
      </c>
      <c r="K117" s="254">
        <v>501.25087466946252</v>
      </c>
      <c r="L117" s="254">
        <v>731.66716787747532</v>
      </c>
      <c r="M117" s="254">
        <v>340.58402158326248</v>
      </c>
      <c r="N117" s="254">
        <v>238.10350536473743</v>
      </c>
      <c r="O117" s="254">
        <v>144.64611452229997</v>
      </c>
      <c r="P117" s="254">
        <v>382.92029805473749</v>
      </c>
      <c r="Q117" s="254">
        <v>255.57918390014981</v>
      </c>
      <c r="R117" s="254">
        <v>-769.29203003741259</v>
      </c>
      <c r="S117" s="254">
        <v>-43.94194043171251</v>
      </c>
      <c r="T117" s="254">
        <v>-1177.4187162216756</v>
      </c>
      <c r="U117" s="254">
        <v>-161.49628401243774</v>
      </c>
      <c r="V117" s="254">
        <v>-861.91503430568741</v>
      </c>
      <c r="W117" s="254">
        <v>-147.70389192262496</v>
      </c>
      <c r="X117" s="254">
        <v>-736.2479287437875</v>
      </c>
      <c r="Y117" s="254">
        <v>-138.34996112030001</v>
      </c>
      <c r="Z117" s="254">
        <v>-532.14537080183777</v>
      </c>
      <c r="AA117" s="254">
        <v>-181.85460381641246</v>
      </c>
      <c r="AB117" s="254">
        <v>-12.043036434429496</v>
      </c>
      <c r="AC117" s="254">
        <v>70.128101830886635</v>
      </c>
      <c r="AD117" s="254">
        <v>-69.194209187795423</v>
      </c>
      <c r="AE117" s="254">
        <v>93.196605106735888</v>
      </c>
      <c r="AF117" s="254">
        <v>490.96112338927333</v>
      </c>
      <c r="AG117" s="254">
        <v>104.1211291595373</v>
      </c>
      <c r="AH117" s="254">
        <v>911.21447239514441</v>
      </c>
      <c r="AI117" s="254">
        <v>501.08262427895761</v>
      </c>
      <c r="AJ117" s="254">
        <v>733.88609047598766</v>
      </c>
      <c r="AK117" s="254">
        <v>341.37964746655848</v>
      </c>
      <c r="AL117" s="254">
        <v>238.38143583540977</v>
      </c>
      <c r="AM117" s="254">
        <v>144.79912308218672</v>
      </c>
      <c r="AN117" s="254">
        <v>385.32516306744969</v>
      </c>
      <c r="AO117" s="254">
        <v>257.16539279921733</v>
      </c>
      <c r="AP117" s="254">
        <v>-771.64287196203964</v>
      </c>
      <c r="AQ117" s="254">
        <v>-43.182325029378489</v>
      </c>
      <c r="AR117" s="254">
        <v>-1180.8283948343142</v>
      </c>
      <c r="AS117" s="254">
        <v>-160.8508574009428</v>
      </c>
      <c r="AT117" s="254">
        <v>-863.81365402895949</v>
      </c>
      <c r="AU117" s="254">
        <v>-146.82693717202437</v>
      </c>
      <c r="AV117" s="254">
        <v>-737.48428395097903</v>
      </c>
      <c r="AW117" s="254">
        <v>-137.55311426355468</v>
      </c>
      <c r="AX117" s="254">
        <v>-532.61733128131323</v>
      </c>
      <c r="AY117" s="254">
        <v>-181.36527876840353</v>
      </c>
      <c r="BA117" s="92"/>
      <c r="BB117" s="92"/>
    </row>
    <row r="118" spans="2:54">
      <c r="B118" s="230">
        <v>10388</v>
      </c>
      <c r="C118" s="230" t="s">
        <v>121</v>
      </c>
      <c r="D118" s="254">
        <v>-11906.927311297659</v>
      </c>
      <c r="E118" s="254">
        <v>776.95607320449199</v>
      </c>
      <c r="F118" s="254">
        <v>-26751.648919516338</v>
      </c>
      <c r="G118" s="254">
        <v>-12325.880828576912</v>
      </c>
      <c r="H118" s="254">
        <v>-29893.512571133353</v>
      </c>
      <c r="I118" s="254">
        <v>-5743.675644825511</v>
      </c>
      <c r="J118" s="254">
        <v>-11370.933734171696</v>
      </c>
      <c r="K118" s="254">
        <v>-12779.706548777056</v>
      </c>
      <c r="L118" s="254">
        <v>-11354.937720622853</v>
      </c>
      <c r="M118" s="254">
        <v>-7315.723488823045</v>
      </c>
      <c r="N118" s="254">
        <v>-23106.146716277246</v>
      </c>
      <c r="O118" s="254">
        <v>-6096.8668664651523</v>
      </c>
      <c r="P118" s="254">
        <v>-4579.0584700568797</v>
      </c>
      <c r="Q118" s="254">
        <v>12203.405781438662</v>
      </c>
      <c r="R118" s="254">
        <v>1340.5537946817203</v>
      </c>
      <c r="S118" s="254">
        <v>12196.560528975348</v>
      </c>
      <c r="T118" s="254">
        <v>10772.212607137619</v>
      </c>
      <c r="U118" s="254">
        <v>23122.663200634943</v>
      </c>
      <c r="V118" s="254">
        <v>13791.835841447275</v>
      </c>
      <c r="W118" s="254">
        <v>34310.817035266002</v>
      </c>
      <c r="X118" s="254">
        <v>21248.923988816081</v>
      </c>
      <c r="Y118" s="254">
        <v>23075.412501271432</v>
      </c>
      <c r="Z118" s="254">
        <v>-3164.9765052827279</v>
      </c>
      <c r="AA118" s="254">
        <v>13543.684271128099</v>
      </c>
      <c r="AB118" s="254">
        <v>-10555.286311297627</v>
      </c>
      <c r="AC118" s="254">
        <v>-603.59192679550324</v>
      </c>
      <c r="AD118" s="254">
        <v>-27798.068919516321</v>
      </c>
      <c r="AE118" s="254">
        <v>-11288.385828576902</v>
      </c>
      <c r="AF118" s="254">
        <v>-31748.442571133404</v>
      </c>
      <c r="AG118" s="254">
        <v>-3921.7736448254946</v>
      </c>
      <c r="AH118" s="254">
        <v>-10092.351734171643</v>
      </c>
      <c r="AI118" s="254">
        <v>-14094.605548777061</v>
      </c>
      <c r="AJ118" s="254">
        <v>-10744.937720622853</v>
      </c>
      <c r="AK118" s="254">
        <v>-7874.8864888230455</v>
      </c>
      <c r="AL118" s="254">
        <v>-23967.953716277218</v>
      </c>
      <c r="AM118" s="254">
        <v>-5253.8448664651114</v>
      </c>
      <c r="AN118" s="254">
        <v>-872.73647005683597</v>
      </c>
      <c r="AO118" s="254">
        <v>8500.8187814387056</v>
      </c>
      <c r="AP118" s="254">
        <v>-2143.4452053182613</v>
      </c>
      <c r="AQ118" s="254">
        <v>15660.124528975331</v>
      </c>
      <c r="AR118" s="254">
        <v>12407.167607137664</v>
      </c>
      <c r="AS118" s="254">
        <v>21493.072200634957</v>
      </c>
      <c r="AT118" s="254">
        <v>15101.281841447329</v>
      </c>
      <c r="AU118" s="254">
        <v>32974.518035266017</v>
      </c>
      <c r="AV118" s="254">
        <v>21353.089988816166</v>
      </c>
      <c r="AW118" s="254">
        <v>22959.780501271493</v>
      </c>
      <c r="AX118" s="254">
        <v>-3320.8295052826725</v>
      </c>
      <c r="AY118" s="254">
        <v>13715.164271128095</v>
      </c>
      <c r="BA118" s="92"/>
      <c r="BB118" s="92"/>
    </row>
    <row r="119" spans="2:54">
      <c r="B119" s="230">
        <v>10391</v>
      </c>
      <c r="C119" s="230" t="s">
        <v>122</v>
      </c>
      <c r="D119" s="254">
        <v>-2829.6055939267444</v>
      </c>
      <c r="E119" s="254">
        <v>-1071.5011797701154</v>
      </c>
      <c r="F119" s="254">
        <v>-5430.771454491045</v>
      </c>
      <c r="G119" s="254">
        <v>-2350.6055916002033</v>
      </c>
      <c r="H119" s="254">
        <v>-1507.0933756816648</v>
      </c>
      <c r="I119" s="254">
        <v>-1367.2967681419432</v>
      </c>
      <c r="J119" s="254">
        <v>1158.8052244879073</v>
      </c>
      <c r="K119" s="254">
        <v>490.25958101392644</v>
      </c>
      <c r="L119" s="254">
        <v>651.2971025527313</v>
      </c>
      <c r="M119" s="254">
        <v>151.69042787969101</v>
      </c>
      <c r="N119" s="254">
        <v>-2819.3444378921849</v>
      </c>
      <c r="O119" s="254">
        <v>-1426.7629891322795</v>
      </c>
      <c r="P119" s="254">
        <v>638.21636135193512</v>
      </c>
      <c r="Q119" s="254">
        <v>526.56404716703128</v>
      </c>
      <c r="R119" s="254">
        <v>-1854.1289957123172</v>
      </c>
      <c r="S119" s="254">
        <v>1692.9742792021079</v>
      </c>
      <c r="T119" s="254">
        <v>1171.7840779416438</v>
      </c>
      <c r="U119" s="254">
        <v>4995.7474312527447</v>
      </c>
      <c r="V119" s="254">
        <v>2051.9451626307946</v>
      </c>
      <c r="W119" s="254">
        <v>4520.4124608557759</v>
      </c>
      <c r="X119" s="254">
        <v>1052.8264184822183</v>
      </c>
      <c r="Y119" s="254">
        <v>2628.7490067265762</v>
      </c>
      <c r="Z119" s="254">
        <v>-1435.6428300988464</v>
      </c>
      <c r="AA119" s="254">
        <v>364.09645342179374</v>
      </c>
      <c r="AB119" s="254">
        <v>-2816.0785939267444</v>
      </c>
      <c r="AC119" s="254">
        <v>-1092.0951797701164</v>
      </c>
      <c r="AD119" s="254">
        <v>-5422.7394544910439</v>
      </c>
      <c r="AE119" s="254">
        <v>-2354.2725916002018</v>
      </c>
      <c r="AF119" s="254">
        <v>-1506.2463756816651</v>
      </c>
      <c r="AG119" s="254">
        <v>-1375.197768141943</v>
      </c>
      <c r="AH119" s="254">
        <v>1167.8962244879094</v>
      </c>
      <c r="AI119" s="254">
        <v>474.11958101392702</v>
      </c>
      <c r="AJ119" s="254">
        <v>673.4211025527311</v>
      </c>
      <c r="AK119" s="254">
        <v>158.30142787968998</v>
      </c>
      <c r="AL119" s="254">
        <v>-2818.7174378921845</v>
      </c>
      <c r="AM119" s="254">
        <v>-1433.9159891322797</v>
      </c>
      <c r="AN119" s="254">
        <v>721.54236135193423</v>
      </c>
      <c r="AO119" s="254">
        <v>448.10504716703144</v>
      </c>
      <c r="AP119" s="254">
        <v>-1911.3579957123166</v>
      </c>
      <c r="AQ119" s="254">
        <v>1743.1172792021098</v>
      </c>
      <c r="AR119" s="254">
        <v>1184.6250779416441</v>
      </c>
      <c r="AS119" s="254">
        <v>4987.7424312527455</v>
      </c>
      <c r="AT119" s="254">
        <v>2063.6991626307954</v>
      </c>
      <c r="AU119" s="254">
        <v>4501.5614608557771</v>
      </c>
      <c r="AV119" s="254">
        <v>1059.9544184822171</v>
      </c>
      <c r="AW119" s="254">
        <v>2614.5230067265757</v>
      </c>
      <c r="AX119" s="254">
        <v>-1421.4408300988453</v>
      </c>
      <c r="AY119" s="254">
        <v>354.72845342179426</v>
      </c>
      <c r="BA119" s="92"/>
      <c r="BB119" s="92"/>
    </row>
    <row r="120" spans="2:54">
      <c r="B120" s="230">
        <v>10406</v>
      </c>
      <c r="C120" s="230" t="s">
        <v>123</v>
      </c>
      <c r="D120" s="254">
        <v>68.675711831646055</v>
      </c>
      <c r="E120" s="254">
        <v>88.529593260835242</v>
      </c>
      <c r="F120" s="254">
        <v>81.164358430947999</v>
      </c>
      <c r="G120" s="254">
        <v>103.11900157957709</v>
      </c>
      <c r="H120" s="254">
        <v>199.3626594544653</v>
      </c>
      <c r="I120" s="254">
        <v>159.58316420824704</v>
      </c>
      <c r="J120" s="254">
        <v>235.44447583435772</v>
      </c>
      <c r="K120" s="254">
        <v>218.83240898673796</v>
      </c>
      <c r="L120" s="254">
        <v>203.35581110407134</v>
      </c>
      <c r="M120" s="254">
        <v>160.5989757048203</v>
      </c>
      <c r="N120" s="254">
        <v>144.55163258988364</v>
      </c>
      <c r="O120" s="254">
        <v>125.77016834444039</v>
      </c>
      <c r="P120" s="254">
        <v>148.45234525000365</v>
      </c>
      <c r="Q120" s="254">
        <v>127.44477501499217</v>
      </c>
      <c r="R120" s="254">
        <v>-0.94055785100457001</v>
      </c>
      <c r="S120" s="254">
        <v>76.798436245899026</v>
      </c>
      <c r="T120" s="254">
        <v>-30.102346048572912</v>
      </c>
      <c r="U120" s="254">
        <v>49.673723359396746</v>
      </c>
      <c r="V120" s="254">
        <v>-9.1955212243542803</v>
      </c>
      <c r="W120" s="254">
        <v>51.697443428476475</v>
      </c>
      <c r="X120" s="254">
        <v>15.505680925226955</v>
      </c>
      <c r="Y120" s="254">
        <v>42.471988182655608</v>
      </c>
      <c r="Z120" s="254">
        <v>22.451443903645526</v>
      </c>
      <c r="AA120" s="254">
        <v>48.773059277503449</v>
      </c>
      <c r="AB120" s="254">
        <v>74.688711831646032</v>
      </c>
      <c r="AC120" s="254">
        <v>93.059593260835243</v>
      </c>
      <c r="AD120" s="254">
        <v>87.032358430947994</v>
      </c>
      <c r="AE120" s="254">
        <v>107.7950015795771</v>
      </c>
      <c r="AF120" s="254">
        <v>205.30365945446533</v>
      </c>
      <c r="AG120" s="254">
        <v>164.18616420824705</v>
      </c>
      <c r="AH120" s="254">
        <v>241.12247583435772</v>
      </c>
      <c r="AI120" s="254">
        <v>223.69740898673797</v>
      </c>
      <c r="AJ120" s="254">
        <v>209.34481110407131</v>
      </c>
      <c r="AK120" s="254">
        <v>165.15397570482031</v>
      </c>
      <c r="AL120" s="254">
        <v>150.63963258988366</v>
      </c>
      <c r="AM120" s="254">
        <v>130.22716834444037</v>
      </c>
      <c r="AN120" s="254">
        <v>142.58834525000367</v>
      </c>
      <c r="AO120" s="254">
        <v>143.85277501499218</v>
      </c>
      <c r="AP120" s="254">
        <v>14.05344214899543</v>
      </c>
      <c r="AQ120" s="254">
        <v>72.347436245899033</v>
      </c>
      <c r="AR120" s="254">
        <v>-23.808346048572929</v>
      </c>
      <c r="AS120" s="254">
        <v>53.923723359396746</v>
      </c>
      <c r="AT120" s="254">
        <v>-3.2025212243542569</v>
      </c>
      <c r="AU120" s="254">
        <v>56.248443428476492</v>
      </c>
      <c r="AV120" s="254">
        <v>21.966680925226939</v>
      </c>
      <c r="AW120" s="254">
        <v>46.554988182655606</v>
      </c>
      <c r="AX120" s="254">
        <v>28.536443903645534</v>
      </c>
      <c r="AY120" s="254">
        <v>53.232059277503453</v>
      </c>
      <c r="BA120" s="92"/>
      <c r="BB120" s="92"/>
    </row>
    <row r="121" spans="2:54">
      <c r="B121" s="230">
        <v>10408</v>
      </c>
      <c r="C121" s="230" t="s">
        <v>124</v>
      </c>
      <c r="D121" s="254">
        <v>90.381065780971426</v>
      </c>
      <c r="E121" s="254">
        <v>248.8890820079917</v>
      </c>
      <c r="F121" s="254">
        <v>-57.803540391154797</v>
      </c>
      <c r="G121" s="254">
        <v>98.890254879237716</v>
      </c>
      <c r="H121" s="254">
        <v>100.18332727274037</v>
      </c>
      <c r="I121" s="254">
        <v>116.78185852455829</v>
      </c>
      <c r="J121" s="254">
        <v>170.62030543869935</v>
      </c>
      <c r="K121" s="254">
        <v>245.15467894963666</v>
      </c>
      <c r="L121" s="254">
        <v>192.0599266842932</v>
      </c>
      <c r="M121" s="254">
        <v>180.4120238051255</v>
      </c>
      <c r="N121" s="254">
        <v>133.40716994132265</v>
      </c>
      <c r="O121" s="254">
        <v>178.73392469803485</v>
      </c>
      <c r="P121" s="254">
        <v>221.46406128776255</v>
      </c>
      <c r="Q121" s="254">
        <v>235.14114692978131</v>
      </c>
      <c r="R121" s="254">
        <v>-157.28900251421089</v>
      </c>
      <c r="S121" s="254">
        <v>186.45951864388229</v>
      </c>
      <c r="T121" s="254">
        <v>-235.72238906481232</v>
      </c>
      <c r="U121" s="254">
        <v>134.96841698979222</v>
      </c>
      <c r="V121" s="254">
        <v>-179.56489277084472</v>
      </c>
      <c r="W121" s="254">
        <v>155.45939774390547</v>
      </c>
      <c r="X121" s="254">
        <v>-61.238554944120324</v>
      </c>
      <c r="Y121" s="254">
        <v>118.09132579211723</v>
      </c>
      <c r="Z121" s="254">
        <v>-377.38486415472221</v>
      </c>
      <c r="AA121" s="254">
        <v>-131.30778548961479</v>
      </c>
      <c r="AB121" s="254">
        <v>90.381065780971426</v>
      </c>
      <c r="AC121" s="254">
        <v>248.8890820079917</v>
      </c>
      <c r="AD121" s="254">
        <v>-57.803540391154797</v>
      </c>
      <c r="AE121" s="254">
        <v>98.890254879237716</v>
      </c>
      <c r="AF121" s="254">
        <v>100.18332727274037</v>
      </c>
      <c r="AG121" s="254">
        <v>116.78185852455829</v>
      </c>
      <c r="AH121" s="254">
        <v>170.62030543869935</v>
      </c>
      <c r="AI121" s="254">
        <v>245.15467894963666</v>
      </c>
      <c r="AJ121" s="254">
        <v>192.0599266842932</v>
      </c>
      <c r="AK121" s="254">
        <v>180.4120238051255</v>
      </c>
      <c r="AL121" s="254">
        <v>133.40716994132265</v>
      </c>
      <c r="AM121" s="254">
        <v>178.73392469803485</v>
      </c>
      <c r="AN121" s="254">
        <v>184.92406128776258</v>
      </c>
      <c r="AO121" s="254">
        <v>271.68114692978139</v>
      </c>
      <c r="AP121" s="254">
        <v>-125.14500251421089</v>
      </c>
      <c r="AQ121" s="254">
        <v>154.31551864388229</v>
      </c>
      <c r="AR121" s="254">
        <v>-235.72238906481232</v>
      </c>
      <c r="AS121" s="254">
        <v>134.96841698979222</v>
      </c>
      <c r="AT121" s="254">
        <v>-179.56489277084472</v>
      </c>
      <c r="AU121" s="254">
        <v>155.45939774390547</v>
      </c>
      <c r="AV121" s="254">
        <v>-61.238554944120324</v>
      </c>
      <c r="AW121" s="254">
        <v>118.09132579211723</v>
      </c>
      <c r="AX121" s="254">
        <v>-377.38486415472221</v>
      </c>
      <c r="AY121" s="254">
        <v>-131.30778548961479</v>
      </c>
      <c r="BA121" s="92"/>
      <c r="BB121" s="92"/>
    </row>
    <row r="122" spans="2:54">
      <c r="B122" s="230">
        <v>10409</v>
      </c>
      <c r="C122" s="230" t="s">
        <v>125</v>
      </c>
      <c r="D122" s="254">
        <v>-2463.9872869837582</v>
      </c>
      <c r="E122" s="254">
        <v>-484.27835297868478</v>
      </c>
      <c r="F122" s="254">
        <v>-4227.2508442123954</v>
      </c>
      <c r="G122" s="254">
        <v>-2071.8830112816486</v>
      </c>
      <c r="H122" s="254">
        <v>-2119.7591770350864</v>
      </c>
      <c r="I122" s="254">
        <v>-1862.3796986531779</v>
      </c>
      <c r="J122" s="254">
        <v>-321.16624934058927</v>
      </c>
      <c r="K122" s="254">
        <v>-128.77981189755337</v>
      </c>
      <c r="L122" s="254">
        <v>-797.47649382506188</v>
      </c>
      <c r="M122" s="254">
        <v>-812.29886990447585</v>
      </c>
      <c r="N122" s="254">
        <v>-2193.877746942595</v>
      </c>
      <c r="O122" s="254">
        <v>-1178.3514080361674</v>
      </c>
      <c r="P122" s="254">
        <v>-678.77756249675622</v>
      </c>
      <c r="Q122" s="254">
        <v>-100.67991081117907</v>
      </c>
      <c r="R122" s="254">
        <v>-5027.2462356476872</v>
      </c>
      <c r="S122" s="254">
        <v>-919.05184228211237</v>
      </c>
      <c r="T122" s="254">
        <v>-3509.2923975849499</v>
      </c>
      <c r="U122" s="254">
        <v>713.79753791530857</v>
      </c>
      <c r="V122" s="254">
        <v>-2138.607216896572</v>
      </c>
      <c r="W122" s="254">
        <v>952.95477205652332</v>
      </c>
      <c r="X122" s="254">
        <v>-1824.5634206537543</v>
      </c>
      <c r="Y122" s="254">
        <v>517.54989101084084</v>
      </c>
      <c r="Z122" s="254">
        <v>-1126.2070650144497</v>
      </c>
      <c r="AA122" s="254">
        <v>394.68723449436857</v>
      </c>
      <c r="AB122" s="254">
        <v>258.52771301624125</v>
      </c>
      <c r="AC122" s="254">
        <v>1358.3826470213153</v>
      </c>
      <c r="AD122" s="254">
        <v>-1679.6048442123956</v>
      </c>
      <c r="AE122" s="254">
        <v>0.66298871835169848</v>
      </c>
      <c r="AF122" s="254">
        <v>1363.3198229649133</v>
      </c>
      <c r="AG122" s="254">
        <v>-108.15369865317734</v>
      </c>
      <c r="AH122" s="254">
        <v>2296.1227506594105</v>
      </c>
      <c r="AI122" s="254">
        <v>1777.8881881024472</v>
      </c>
      <c r="AJ122" s="254">
        <v>1652.5345061749376</v>
      </c>
      <c r="AK122" s="254">
        <v>884.06913009552409</v>
      </c>
      <c r="AL122" s="254">
        <v>496.75025305740564</v>
      </c>
      <c r="AM122" s="254">
        <v>780.02559196383299</v>
      </c>
      <c r="AN122" s="254">
        <v>1748.361437503243</v>
      </c>
      <c r="AO122" s="254">
        <v>1972.3050891888206</v>
      </c>
      <c r="AP122" s="254">
        <v>-2244.0612356476868</v>
      </c>
      <c r="AQ122" s="254">
        <v>1005.9251577178875</v>
      </c>
      <c r="AR122" s="254">
        <v>-3509.2923975849499</v>
      </c>
      <c r="AS122" s="254">
        <v>713.79753791530857</v>
      </c>
      <c r="AT122" s="254">
        <v>-2138.607216896572</v>
      </c>
      <c r="AU122" s="254">
        <v>952.95477205652332</v>
      </c>
      <c r="AV122" s="254">
        <v>-1824.5634206537543</v>
      </c>
      <c r="AW122" s="254">
        <v>517.54989101084084</v>
      </c>
      <c r="AX122" s="254">
        <v>-1126.2070650144497</v>
      </c>
      <c r="AY122" s="254">
        <v>394.68723449436857</v>
      </c>
      <c r="BA122" s="92"/>
      <c r="BB122" s="92"/>
    </row>
    <row r="123" spans="2:54">
      <c r="B123" s="230">
        <v>10426</v>
      </c>
      <c r="C123" s="230" t="s">
        <v>126</v>
      </c>
      <c r="D123" s="254">
        <v>-1526.1998443238817</v>
      </c>
      <c r="E123" s="254">
        <v>203.71904547034228</v>
      </c>
      <c r="F123" s="254">
        <v>-1905.5908602739219</v>
      </c>
      <c r="G123" s="254">
        <v>149.49091281007077</v>
      </c>
      <c r="H123" s="254">
        <v>993.23389410345681</v>
      </c>
      <c r="I123" s="254">
        <v>1832.0044273965486</v>
      </c>
      <c r="J123" s="254">
        <v>2810.9732662800416</v>
      </c>
      <c r="K123" s="254">
        <v>2552.9673561609861</v>
      </c>
      <c r="L123" s="254">
        <v>1286.6262931277524</v>
      </c>
      <c r="M123" s="254">
        <v>1492.9819047234605</v>
      </c>
      <c r="N123" s="254">
        <v>-387.13287526443582</v>
      </c>
      <c r="O123" s="254">
        <v>1103.581489935973</v>
      </c>
      <c r="P123" s="254">
        <v>-192.574022904716</v>
      </c>
      <c r="Q123" s="254">
        <v>855.67633989151818</v>
      </c>
      <c r="R123" s="254">
        <v>-3467.3983565155313</v>
      </c>
      <c r="S123" s="254">
        <v>-130.40906153463902</v>
      </c>
      <c r="T123" s="254">
        <v>-4133.6715509325804</v>
      </c>
      <c r="U123" s="254">
        <v>-43.106552577550701</v>
      </c>
      <c r="V123" s="254">
        <v>-2446.0656681896298</v>
      </c>
      <c r="W123" s="254">
        <v>61.150169086471578</v>
      </c>
      <c r="X123" s="254">
        <v>-1825.3817358696533</v>
      </c>
      <c r="Y123" s="254">
        <v>199.64132452080412</v>
      </c>
      <c r="Z123" s="254">
        <v>-2286.9099363747982</v>
      </c>
      <c r="AA123" s="254">
        <v>-136.34933810538223</v>
      </c>
      <c r="AB123" s="254">
        <v>-1526.1998443238817</v>
      </c>
      <c r="AC123" s="254">
        <v>203.71904547034228</v>
      </c>
      <c r="AD123" s="254">
        <v>-1905.5908602739219</v>
      </c>
      <c r="AE123" s="254">
        <v>149.49091281007077</v>
      </c>
      <c r="AF123" s="254">
        <v>993.23389410345681</v>
      </c>
      <c r="AG123" s="254">
        <v>1832.0044273965486</v>
      </c>
      <c r="AH123" s="254">
        <v>2810.9732662800416</v>
      </c>
      <c r="AI123" s="254">
        <v>2552.9673561609861</v>
      </c>
      <c r="AJ123" s="254">
        <v>1286.6262931277524</v>
      </c>
      <c r="AK123" s="254">
        <v>1492.9819047234605</v>
      </c>
      <c r="AL123" s="254">
        <v>-387.13287526443582</v>
      </c>
      <c r="AM123" s="254">
        <v>1103.581489935973</v>
      </c>
      <c r="AN123" s="254">
        <v>-192.574022904716</v>
      </c>
      <c r="AO123" s="254">
        <v>855.67633989151818</v>
      </c>
      <c r="AP123" s="254">
        <v>-3467.3983565155313</v>
      </c>
      <c r="AQ123" s="254">
        <v>-130.40906153463902</v>
      </c>
      <c r="AR123" s="254">
        <v>-4133.6715509325804</v>
      </c>
      <c r="AS123" s="254">
        <v>-43.106552577550701</v>
      </c>
      <c r="AT123" s="254">
        <v>-2446.0656681896298</v>
      </c>
      <c r="AU123" s="254">
        <v>61.150169086471578</v>
      </c>
      <c r="AV123" s="254">
        <v>-1825.3817358696533</v>
      </c>
      <c r="AW123" s="254">
        <v>199.64132452080412</v>
      </c>
      <c r="AX123" s="254">
        <v>-2286.9099363747982</v>
      </c>
      <c r="AY123" s="254">
        <v>-136.34933810538223</v>
      </c>
      <c r="BA123" s="92"/>
      <c r="BB123" s="92"/>
    </row>
    <row r="124" spans="2:54">
      <c r="B124" s="230">
        <v>10434</v>
      </c>
      <c r="C124" s="230" t="s">
        <v>127</v>
      </c>
      <c r="D124" s="254">
        <v>-1089.8399622712623</v>
      </c>
      <c r="E124" s="254">
        <v>-467.71439777285195</v>
      </c>
      <c r="F124" s="254">
        <v>-2422.1501533711762</v>
      </c>
      <c r="G124" s="254">
        <v>-1066.4727168834552</v>
      </c>
      <c r="H124" s="254">
        <v>2008.4633949483286</v>
      </c>
      <c r="I124" s="254">
        <v>389.0405957290277</v>
      </c>
      <c r="J124" s="254">
        <v>4039.0801667337855</v>
      </c>
      <c r="K124" s="254">
        <v>1712.1898252465453</v>
      </c>
      <c r="L124" s="254">
        <v>2938.5511371449356</v>
      </c>
      <c r="M124" s="254">
        <v>887.26401036805328</v>
      </c>
      <c r="N124" s="254">
        <v>327.80315908162629</v>
      </c>
      <c r="O124" s="254">
        <v>218.8770657711184</v>
      </c>
      <c r="P124" s="254">
        <v>1073.0474261770269</v>
      </c>
      <c r="Q124" s="254">
        <v>468.85646101929888</v>
      </c>
      <c r="R124" s="254">
        <v>-4330.320551864992</v>
      </c>
      <c r="S124" s="254">
        <v>-802.37099100763044</v>
      </c>
      <c r="T124" s="254">
        <v>-5239.7895166377057</v>
      </c>
      <c r="U124" s="254">
        <v>-561.92617136270837</v>
      </c>
      <c r="V124" s="254">
        <v>-1617.1093169222531</v>
      </c>
      <c r="W124" s="254">
        <v>120.76869498006727</v>
      </c>
      <c r="X124" s="254">
        <v>-1441.5090755321999</v>
      </c>
      <c r="Y124" s="254">
        <v>-167.27236738979627</v>
      </c>
      <c r="Z124" s="254">
        <v>-2648.8646435829123</v>
      </c>
      <c r="AA124" s="254">
        <v>-931.01482663113165</v>
      </c>
      <c r="AB124" s="254">
        <v>-1065.2909622712632</v>
      </c>
      <c r="AC124" s="254">
        <v>-459.19739777285213</v>
      </c>
      <c r="AD124" s="254">
        <v>-2390.2991533711775</v>
      </c>
      <c r="AE124" s="254">
        <v>-1048.3757168834545</v>
      </c>
      <c r="AF124" s="254">
        <v>2055.6003949483293</v>
      </c>
      <c r="AG124" s="254">
        <v>417.78159572902769</v>
      </c>
      <c r="AH124" s="254">
        <v>4084.8451667337849</v>
      </c>
      <c r="AI124" s="254">
        <v>1737.6518252465467</v>
      </c>
      <c r="AJ124" s="254">
        <v>2974.017137144936</v>
      </c>
      <c r="AK124" s="254">
        <v>906.06501036805366</v>
      </c>
      <c r="AL124" s="254">
        <v>360.27515908162786</v>
      </c>
      <c r="AM124" s="254">
        <v>236.89506577111752</v>
      </c>
      <c r="AN124" s="254">
        <v>1121.2794261770268</v>
      </c>
      <c r="AO124" s="254">
        <v>456.57846101929863</v>
      </c>
      <c r="AP124" s="254">
        <v>-4332.815551864991</v>
      </c>
      <c r="AQ124" s="254">
        <v>-771.11599100763124</v>
      </c>
      <c r="AR124" s="254">
        <v>-5216.3135166377069</v>
      </c>
      <c r="AS124" s="254">
        <v>-553.3101713627093</v>
      </c>
      <c r="AT124" s="254">
        <v>-1583.2593169222546</v>
      </c>
      <c r="AU124" s="254">
        <v>133.45169498006726</v>
      </c>
      <c r="AV124" s="254">
        <v>-1409.103075532199</v>
      </c>
      <c r="AW124" s="254">
        <v>-155.21936738979639</v>
      </c>
      <c r="AX124" s="254">
        <v>-2628.8336435829133</v>
      </c>
      <c r="AY124" s="254">
        <v>-922.55282663113212</v>
      </c>
      <c r="BA124" s="92"/>
      <c r="BB124" s="92"/>
    </row>
    <row r="125" spans="2:54">
      <c r="B125" s="230">
        <v>10436</v>
      </c>
      <c r="C125" s="230" t="s">
        <v>128</v>
      </c>
      <c r="D125" s="254">
        <v>-1591.5071974202747</v>
      </c>
      <c r="E125" s="254">
        <v>-273.34083168898087</v>
      </c>
      <c r="F125" s="254">
        <v>-3137.1013025465172</v>
      </c>
      <c r="G125" s="254">
        <v>-1065.3945934697522</v>
      </c>
      <c r="H125" s="254">
        <v>49.3531408399067</v>
      </c>
      <c r="I125" s="254">
        <v>273.64071853260248</v>
      </c>
      <c r="J125" s="254">
        <v>1526.4797852508191</v>
      </c>
      <c r="K125" s="254">
        <v>1240.3818608941965</v>
      </c>
      <c r="L125" s="254">
        <v>826.15739004994521</v>
      </c>
      <c r="M125" s="254">
        <v>597.33636227230818</v>
      </c>
      <c r="N125" s="254">
        <v>-982.28504955678636</v>
      </c>
      <c r="O125" s="254">
        <v>154.96158012515207</v>
      </c>
      <c r="P125" s="254">
        <v>183.17442862881308</v>
      </c>
      <c r="Q125" s="254">
        <v>620.48285886993517</v>
      </c>
      <c r="R125" s="254">
        <v>-486.51763623920306</v>
      </c>
      <c r="S125" s="254">
        <v>2228.6160215543641</v>
      </c>
      <c r="T125" s="254">
        <v>1002.9809401582461</v>
      </c>
      <c r="U125" s="254">
        <v>3715.4067789011406</v>
      </c>
      <c r="V125" s="254">
        <v>3706.5737910562602</v>
      </c>
      <c r="W125" s="254">
        <v>4917.6073586753209</v>
      </c>
      <c r="X125" s="254">
        <v>2351.9411751805146</v>
      </c>
      <c r="Y125" s="254">
        <v>3373.8766895433273</v>
      </c>
      <c r="Z125" s="254">
        <v>-305.38370313271662</v>
      </c>
      <c r="AA125" s="254">
        <v>1330.5464939998355</v>
      </c>
      <c r="AB125" s="254">
        <v>-1588.3561974202748</v>
      </c>
      <c r="AC125" s="254">
        <v>-280.20683168898177</v>
      </c>
      <c r="AD125" s="254">
        <v>-3135.3693025465163</v>
      </c>
      <c r="AE125" s="254">
        <v>-1066.1735934697517</v>
      </c>
      <c r="AF125" s="254">
        <v>47.765140839906962</v>
      </c>
      <c r="AG125" s="254">
        <v>271.60771853260212</v>
      </c>
      <c r="AH125" s="254">
        <v>1528.0747852508202</v>
      </c>
      <c r="AI125" s="254">
        <v>1235.2338608941964</v>
      </c>
      <c r="AJ125" s="254">
        <v>833.36539004994484</v>
      </c>
      <c r="AK125" s="254">
        <v>600.72636227230851</v>
      </c>
      <c r="AL125" s="254">
        <v>-984.95304955678694</v>
      </c>
      <c r="AM125" s="254">
        <v>154.28558012515259</v>
      </c>
      <c r="AN125" s="254">
        <v>235.59242862881274</v>
      </c>
      <c r="AO125" s="254">
        <v>569.27885886993545</v>
      </c>
      <c r="AP125" s="254">
        <v>-535.26863623920326</v>
      </c>
      <c r="AQ125" s="254">
        <v>2273.4460215543641</v>
      </c>
      <c r="AR125" s="254">
        <v>1005.3499401582485</v>
      </c>
      <c r="AS125" s="254">
        <v>3713.6457789011392</v>
      </c>
      <c r="AT125" s="254">
        <v>3709.3647910562595</v>
      </c>
      <c r="AU125" s="254">
        <v>4910.5413586753202</v>
      </c>
      <c r="AV125" s="254">
        <v>2351.5291751805162</v>
      </c>
      <c r="AW125" s="254">
        <v>3370.1266895433273</v>
      </c>
      <c r="AX125" s="254">
        <v>-303.39770313271583</v>
      </c>
      <c r="AY125" s="254">
        <v>1329.267493999836</v>
      </c>
      <c r="BA125" s="92"/>
      <c r="BB125" s="92"/>
    </row>
    <row r="126" spans="2:54">
      <c r="B126" s="230">
        <v>10440</v>
      </c>
      <c r="C126" s="230" t="s">
        <v>129</v>
      </c>
      <c r="D126" s="254">
        <v>-14.455139502762449</v>
      </c>
      <c r="E126" s="254">
        <v>155.96351006594796</v>
      </c>
      <c r="F126" s="254">
        <v>11.075463110261808</v>
      </c>
      <c r="G126" s="254">
        <v>127.86020831439532</v>
      </c>
      <c r="H126" s="254">
        <v>1011.6440049510793</v>
      </c>
      <c r="I126" s="254">
        <v>476.79941434214925</v>
      </c>
      <c r="J126" s="254">
        <v>1293.1232907764681</v>
      </c>
      <c r="K126" s="254">
        <v>964.66679491217019</v>
      </c>
      <c r="L126" s="254">
        <v>1342.4920417652661</v>
      </c>
      <c r="M126" s="254">
        <v>748.53776547883922</v>
      </c>
      <c r="N126" s="254">
        <v>809.33733867040883</v>
      </c>
      <c r="O126" s="254">
        <v>470.77447492356487</v>
      </c>
      <c r="P126" s="254">
        <v>700.9190972758488</v>
      </c>
      <c r="Q126" s="254">
        <v>436.24674777544647</v>
      </c>
      <c r="R126" s="254">
        <v>-793.77901702298959</v>
      </c>
      <c r="S126" s="254">
        <v>0.11266581037352807</v>
      </c>
      <c r="T126" s="254">
        <v>-1156.4038486784052</v>
      </c>
      <c r="U126" s="254">
        <v>-166.28915690076406</v>
      </c>
      <c r="V126" s="254">
        <v>-976.62650298647577</v>
      </c>
      <c r="W126" s="254">
        <v>-212.19341599223208</v>
      </c>
      <c r="X126" s="254">
        <v>-768.50968813866143</v>
      </c>
      <c r="Y126" s="254">
        <v>-269.1872569512127</v>
      </c>
      <c r="Z126" s="254">
        <v>-535.48772359161853</v>
      </c>
      <c r="AA126" s="254">
        <v>-212.11075938529359</v>
      </c>
      <c r="AB126" s="254">
        <v>-4.0871395027625113</v>
      </c>
      <c r="AC126" s="254">
        <v>162.58951006594793</v>
      </c>
      <c r="AD126" s="254">
        <v>23.777463110261579</v>
      </c>
      <c r="AE126" s="254">
        <v>136.46720831439529</v>
      </c>
      <c r="AF126" s="254">
        <v>1028.2680049510795</v>
      </c>
      <c r="AG126" s="254">
        <v>487.85041434214963</v>
      </c>
      <c r="AH126" s="254">
        <v>1309.1212907764682</v>
      </c>
      <c r="AI126" s="254">
        <v>976.71379491217021</v>
      </c>
      <c r="AJ126" s="254">
        <v>1357.6370417652661</v>
      </c>
      <c r="AK126" s="254">
        <v>758.3557654788392</v>
      </c>
      <c r="AL126" s="254">
        <v>823.99133867040882</v>
      </c>
      <c r="AM126" s="254">
        <v>479.79147492356469</v>
      </c>
      <c r="AN126" s="254">
        <v>619.2330972758491</v>
      </c>
      <c r="AO126" s="254">
        <v>537.04874777544637</v>
      </c>
      <c r="AP126" s="254">
        <v>-716.49201702298956</v>
      </c>
      <c r="AQ126" s="254">
        <v>-62.632334189626363</v>
      </c>
      <c r="AR126" s="254">
        <v>-1148.1058486784052</v>
      </c>
      <c r="AS126" s="254">
        <v>-161.44315690076405</v>
      </c>
      <c r="AT126" s="254">
        <v>-969.02150298647575</v>
      </c>
      <c r="AU126" s="254">
        <v>-206.98041599223211</v>
      </c>
      <c r="AV126" s="254">
        <v>-760.14068813866152</v>
      </c>
      <c r="AW126" s="254">
        <v>-264.60725695121266</v>
      </c>
      <c r="AX126" s="254">
        <v>-527.4657235916186</v>
      </c>
      <c r="AY126" s="254">
        <v>-207.10275938529355</v>
      </c>
      <c r="BA126" s="92"/>
      <c r="BB126" s="92"/>
    </row>
    <row r="127" spans="2:54">
      <c r="B127" s="230">
        <v>10442</v>
      </c>
      <c r="C127" s="230" t="s">
        <v>130</v>
      </c>
      <c r="D127" s="254">
        <v>-1721.797335548838</v>
      </c>
      <c r="E127" s="254">
        <v>-357.86154062001151</v>
      </c>
      <c r="F127" s="254">
        <v>-2153.6206600770065</v>
      </c>
      <c r="G127" s="254">
        <v>-867.76813123461579</v>
      </c>
      <c r="H127" s="254">
        <v>423.92072594472029</v>
      </c>
      <c r="I127" s="254">
        <v>256.99395209327758</v>
      </c>
      <c r="J127" s="254">
        <v>1452.8918469275995</v>
      </c>
      <c r="K127" s="254">
        <v>1370.7302007789817</v>
      </c>
      <c r="L127" s="254">
        <v>-148.2456257484082</v>
      </c>
      <c r="M127" s="254">
        <v>-240.39650969209879</v>
      </c>
      <c r="N127" s="254">
        <v>-894.2112421766351</v>
      </c>
      <c r="O127" s="254">
        <v>-298.5548289423532</v>
      </c>
      <c r="P127" s="254">
        <v>-97.273063634715982</v>
      </c>
      <c r="Q127" s="254">
        <v>95.369965151175165</v>
      </c>
      <c r="R127" s="254">
        <v>-2252.4271486261478</v>
      </c>
      <c r="S127" s="254">
        <v>18.240462353709972</v>
      </c>
      <c r="T127" s="254">
        <v>-2213.9895127600166</v>
      </c>
      <c r="U127" s="254">
        <v>101.44888277172322</v>
      </c>
      <c r="V127" s="254">
        <v>-842.8667531597921</v>
      </c>
      <c r="W127" s="254">
        <v>675.24804576787437</v>
      </c>
      <c r="X127" s="254">
        <v>-711.90638583669261</v>
      </c>
      <c r="Y127" s="254">
        <v>133.89363765988992</v>
      </c>
      <c r="Z127" s="254">
        <v>-1425.8961422550965</v>
      </c>
      <c r="AA127" s="254">
        <v>-259.07447858801925</v>
      </c>
      <c r="AB127" s="254">
        <v>-1799.007335548838</v>
      </c>
      <c r="AC127" s="254">
        <v>-413.34354062001148</v>
      </c>
      <c r="AD127" s="254">
        <v>-2229.9906600770073</v>
      </c>
      <c r="AE127" s="254">
        <v>-924.0851312346158</v>
      </c>
      <c r="AF127" s="254">
        <v>347.68272594472091</v>
      </c>
      <c r="AG127" s="254">
        <v>200.49795209327749</v>
      </c>
      <c r="AH127" s="254">
        <v>1385.2858469275998</v>
      </c>
      <c r="AI127" s="254">
        <v>1316.6742007789821</v>
      </c>
      <c r="AJ127" s="254">
        <v>-213.66362574840787</v>
      </c>
      <c r="AK127" s="254">
        <v>-285.55850969209905</v>
      </c>
      <c r="AL127" s="254">
        <v>-953.30224217663545</v>
      </c>
      <c r="AM127" s="254">
        <v>-338.99082894235335</v>
      </c>
      <c r="AN127" s="254">
        <v>-314.532063634716</v>
      </c>
      <c r="AO127" s="254">
        <v>224.13896515117494</v>
      </c>
      <c r="AP127" s="254">
        <v>-2126.8661486261481</v>
      </c>
      <c r="AQ127" s="254">
        <v>-184.78553764628987</v>
      </c>
      <c r="AR127" s="254">
        <v>-2255.7255127600165</v>
      </c>
      <c r="AS127" s="254">
        <v>76.773882771723038</v>
      </c>
      <c r="AT127" s="254">
        <v>-875.59375315979196</v>
      </c>
      <c r="AU127" s="254">
        <v>652.61804576787426</v>
      </c>
      <c r="AV127" s="254">
        <v>-740.13638583669308</v>
      </c>
      <c r="AW127" s="254">
        <v>117.85563765988991</v>
      </c>
      <c r="AX127" s="254">
        <v>-1445.4611422550961</v>
      </c>
      <c r="AY127" s="254">
        <v>-272.70147858801965</v>
      </c>
      <c r="BA127" s="92"/>
      <c r="BB127" s="92"/>
    </row>
    <row r="128" spans="2:54">
      <c r="B128" s="230">
        <v>10446</v>
      </c>
      <c r="C128" s="230" t="s">
        <v>131</v>
      </c>
      <c r="D128" s="254">
        <v>-4208.054251524627</v>
      </c>
      <c r="E128" s="254">
        <v>6048.994826905131</v>
      </c>
      <c r="F128" s="254">
        <v>-12672.034225005475</v>
      </c>
      <c r="G128" s="254">
        <v>-912.52194881983814</v>
      </c>
      <c r="H128" s="254">
        <v>-4033.0634921775418</v>
      </c>
      <c r="I128" s="254">
        <v>-1046.4133431962618</v>
      </c>
      <c r="J128" s="254">
        <v>2974.9293986937773</v>
      </c>
      <c r="K128" s="254">
        <v>6791.2801527664888</v>
      </c>
      <c r="L128" s="254">
        <v>4988.0982460550695</v>
      </c>
      <c r="M128" s="254">
        <v>5287.9207814867732</v>
      </c>
      <c r="N128" s="254">
        <v>-1181.0431905860314</v>
      </c>
      <c r="O128" s="254">
        <v>3610.0794502305507</v>
      </c>
      <c r="P128" s="254">
        <v>4017.4244413320484</v>
      </c>
      <c r="Q128" s="254">
        <v>6645.7332441189246</v>
      </c>
      <c r="R128" s="254">
        <v>-19376.61431667463</v>
      </c>
      <c r="S128" s="254">
        <v>1990.0950122093163</v>
      </c>
      <c r="T128" s="254">
        <v>-15509.99299186944</v>
      </c>
      <c r="U128" s="254">
        <v>6351.4076164991493</v>
      </c>
      <c r="V128" s="254">
        <v>-10498.342587614832</v>
      </c>
      <c r="W128" s="254">
        <v>7685.6296502253754</v>
      </c>
      <c r="X128" s="254">
        <v>-5760.0405387433202</v>
      </c>
      <c r="Y128" s="254">
        <v>6981.0389189199086</v>
      </c>
      <c r="Z128" s="254">
        <v>-5011.7120116536244</v>
      </c>
      <c r="AA128" s="254">
        <v>5603.4526579012454</v>
      </c>
      <c r="AB128" s="254">
        <v>-5273.2432515246328</v>
      </c>
      <c r="AC128" s="254">
        <v>5176.1408269051317</v>
      </c>
      <c r="AD128" s="254">
        <v>-13734.94222500547</v>
      </c>
      <c r="AE128" s="254">
        <v>-1726.1539488198323</v>
      </c>
      <c r="AF128" s="254">
        <v>-5149.905492177546</v>
      </c>
      <c r="AG128" s="254">
        <v>-1876.5873431962536</v>
      </c>
      <c r="AH128" s="254">
        <v>2057.5023986937813</v>
      </c>
      <c r="AI128" s="254">
        <v>5967.6441527664902</v>
      </c>
      <c r="AJ128" s="254">
        <v>4151.8902460550635</v>
      </c>
      <c r="AK128" s="254">
        <v>4645.0017814867751</v>
      </c>
      <c r="AL128" s="254">
        <v>-2150.2141905860335</v>
      </c>
      <c r="AM128" s="254">
        <v>3005.373450230556</v>
      </c>
      <c r="AN128" s="254">
        <v>2030.9104413320456</v>
      </c>
      <c r="AO128" s="254">
        <v>7350.4722441189224</v>
      </c>
      <c r="AP128" s="254">
        <v>-19061.141316674632</v>
      </c>
      <c r="AQ128" s="254">
        <v>445.48201220931514</v>
      </c>
      <c r="AR128" s="254">
        <v>-16151.944991869444</v>
      </c>
      <c r="AS128" s="254">
        <v>5827.474616499152</v>
      </c>
      <c r="AT128" s="254">
        <v>-11792.964587614835</v>
      </c>
      <c r="AU128" s="254">
        <v>6559.7946502253762</v>
      </c>
      <c r="AV128" s="254">
        <v>-6182.8595387433234</v>
      </c>
      <c r="AW128" s="254">
        <v>6579.7659189199076</v>
      </c>
      <c r="AX128" s="254">
        <v>-5353.9760116536272</v>
      </c>
      <c r="AY128" s="254">
        <v>5231.4866579012487</v>
      </c>
      <c r="BA128" s="92"/>
      <c r="BB128" s="92"/>
    </row>
    <row r="129" spans="2:54">
      <c r="B129" s="230">
        <v>10448</v>
      </c>
      <c r="C129" s="230" t="s">
        <v>132</v>
      </c>
      <c r="D129" s="254">
        <v>0</v>
      </c>
      <c r="E129" s="254">
        <v>0</v>
      </c>
      <c r="F129" s="254">
        <v>0</v>
      </c>
      <c r="G129" s="254">
        <v>0</v>
      </c>
      <c r="H129" s="254">
        <v>0</v>
      </c>
      <c r="I129" s="254">
        <v>0</v>
      </c>
      <c r="J129" s="254">
        <v>0</v>
      </c>
      <c r="K129" s="254">
        <v>0</v>
      </c>
      <c r="L129" s="254">
        <v>0</v>
      </c>
      <c r="M129" s="254">
        <v>0</v>
      </c>
      <c r="N129" s="254">
        <v>0</v>
      </c>
      <c r="O129" s="254">
        <v>0</v>
      </c>
      <c r="P129" s="254">
        <v>0</v>
      </c>
      <c r="Q129" s="254">
        <v>0</v>
      </c>
      <c r="R129" s="254">
        <v>0</v>
      </c>
      <c r="S129" s="254">
        <v>0</v>
      </c>
      <c r="T129" s="254">
        <v>0</v>
      </c>
      <c r="U129" s="254">
        <v>0</v>
      </c>
      <c r="V129" s="254">
        <v>0</v>
      </c>
      <c r="W129" s="254">
        <v>0</v>
      </c>
      <c r="X129" s="254">
        <v>0</v>
      </c>
      <c r="Y129" s="254">
        <v>0</v>
      </c>
      <c r="Z129" s="254">
        <v>0</v>
      </c>
      <c r="AA129" s="254">
        <v>0</v>
      </c>
      <c r="AB129" s="254">
        <v>0</v>
      </c>
      <c r="AC129" s="254">
        <v>0</v>
      </c>
      <c r="AD129" s="254">
        <v>0</v>
      </c>
      <c r="AE129" s="254">
        <v>0</v>
      </c>
      <c r="AF129" s="254">
        <v>0</v>
      </c>
      <c r="AG129" s="254">
        <v>0</v>
      </c>
      <c r="AH129" s="254">
        <v>0</v>
      </c>
      <c r="AI129" s="254">
        <v>0</v>
      </c>
      <c r="AJ129" s="254">
        <v>0</v>
      </c>
      <c r="AK129" s="254">
        <v>0</v>
      </c>
      <c r="AL129" s="254">
        <v>0</v>
      </c>
      <c r="AM129" s="254">
        <v>0</v>
      </c>
      <c r="AN129" s="254">
        <v>0</v>
      </c>
      <c r="AO129" s="254">
        <v>0</v>
      </c>
      <c r="AP129" s="254">
        <v>0</v>
      </c>
      <c r="AQ129" s="254">
        <v>0</v>
      </c>
      <c r="AR129" s="254">
        <v>0</v>
      </c>
      <c r="AS129" s="254">
        <v>0</v>
      </c>
      <c r="AT129" s="254">
        <v>0</v>
      </c>
      <c r="AU129" s="254">
        <v>0</v>
      </c>
      <c r="AV129" s="254">
        <v>0</v>
      </c>
      <c r="AW129" s="254">
        <v>0</v>
      </c>
      <c r="AX129" s="254">
        <v>0</v>
      </c>
      <c r="AY129" s="254">
        <v>0</v>
      </c>
      <c r="BA129" s="92"/>
      <c r="BB129" s="92"/>
    </row>
    <row r="130" spans="2:54">
      <c r="B130" s="230">
        <v>10451</v>
      </c>
      <c r="C130" s="230" t="s">
        <v>133</v>
      </c>
      <c r="D130" s="254">
        <v>-208.61876815553842</v>
      </c>
      <c r="E130" s="254">
        <v>2322.7831465823692</v>
      </c>
      <c r="F130" s="254">
        <v>-3012.3962645597348</v>
      </c>
      <c r="G130" s="254">
        <v>-126.45774727397293</v>
      </c>
      <c r="H130" s="254">
        <v>-1460.3642337575966</v>
      </c>
      <c r="I130" s="254">
        <v>-722.89786529928824</v>
      </c>
      <c r="J130" s="254">
        <v>349.19251814806194</v>
      </c>
      <c r="K130" s="254">
        <v>1269.5995427874914</v>
      </c>
      <c r="L130" s="254">
        <v>1183.198544717101</v>
      </c>
      <c r="M130" s="254">
        <v>1075.7249905332183</v>
      </c>
      <c r="N130" s="254">
        <v>63.31439679169489</v>
      </c>
      <c r="O130" s="254">
        <v>987.54958333390186</v>
      </c>
      <c r="P130" s="254">
        <v>2020.3493905460546</v>
      </c>
      <c r="Q130" s="254">
        <v>2398.3817738746657</v>
      </c>
      <c r="R130" s="254">
        <v>-3015.0390487898603</v>
      </c>
      <c r="S130" s="254">
        <v>2376.752619469069</v>
      </c>
      <c r="T130" s="254">
        <v>-4228.4251892259254</v>
      </c>
      <c r="U130" s="254">
        <v>1797.2197865747276</v>
      </c>
      <c r="V130" s="254">
        <v>-2883.5637765204738</v>
      </c>
      <c r="W130" s="254">
        <v>2207.0382926838547</v>
      </c>
      <c r="X130" s="254">
        <v>-1695.7372062929899</v>
      </c>
      <c r="Y130" s="254">
        <v>1781.2333944165875</v>
      </c>
      <c r="Z130" s="254">
        <v>-7114.9750708677675</v>
      </c>
      <c r="AA130" s="254">
        <v>-3055.1035803277368</v>
      </c>
      <c r="AB130" s="254">
        <v>-7593.4337681555389</v>
      </c>
      <c r="AC130" s="254">
        <v>-3499.8988534176319</v>
      </c>
      <c r="AD130" s="254">
        <v>-2352.254264559735</v>
      </c>
      <c r="AE130" s="254">
        <v>473.75025272602761</v>
      </c>
      <c r="AF130" s="254">
        <v>-108.41023375759687</v>
      </c>
      <c r="AG130" s="254">
        <v>443.97213470071256</v>
      </c>
      <c r="AH130" s="254">
        <v>2666.8335181480616</v>
      </c>
      <c r="AI130" s="254">
        <v>3064.5065427874906</v>
      </c>
      <c r="AJ130" s="254">
        <v>3341.4885447171018</v>
      </c>
      <c r="AK130" s="254">
        <v>2641.6849905332201</v>
      </c>
      <c r="AL130" s="254">
        <v>2306.5783967916941</v>
      </c>
      <c r="AM130" s="254">
        <v>2759.8335833339006</v>
      </c>
      <c r="AN130" s="254">
        <v>3942.0623905460543</v>
      </c>
      <c r="AO130" s="254">
        <v>4509.3957738746667</v>
      </c>
      <c r="AP130" s="254">
        <v>-383.38904878986068</v>
      </c>
      <c r="AQ130" s="254">
        <v>3887.1496194690681</v>
      </c>
      <c r="AR130" s="254">
        <v>-2011.4081892259255</v>
      </c>
      <c r="AS130" s="254">
        <v>3416.7907865747275</v>
      </c>
      <c r="AT130" s="254">
        <v>-584.91877652047333</v>
      </c>
      <c r="AU130" s="254">
        <v>3982.9292926838543</v>
      </c>
      <c r="AV130" s="254">
        <v>616.13079370700871</v>
      </c>
      <c r="AW130" s="254">
        <v>3593.4153944165882</v>
      </c>
      <c r="AX130" s="254">
        <v>1142.6509291322327</v>
      </c>
      <c r="AY130" s="254">
        <v>3534.3534196722621</v>
      </c>
      <c r="BA130" s="92"/>
      <c r="BB130" s="92"/>
    </row>
    <row r="131" spans="2:54">
      <c r="B131" s="230">
        <v>10482</v>
      </c>
      <c r="C131" s="230" t="s">
        <v>134</v>
      </c>
      <c r="D131" s="254">
        <v>-80.35714517903557</v>
      </c>
      <c r="E131" s="254">
        <v>185.27562393124617</v>
      </c>
      <c r="F131" s="254">
        <v>-319.35516353636581</v>
      </c>
      <c r="G131" s="254">
        <v>-43.428926688846445</v>
      </c>
      <c r="H131" s="254">
        <v>-92.246994410095112</v>
      </c>
      <c r="I131" s="254">
        <v>-74.066990866950846</v>
      </c>
      <c r="J131" s="254">
        <v>92.331044453158711</v>
      </c>
      <c r="K131" s="254">
        <v>169.89282192567578</v>
      </c>
      <c r="L131" s="254">
        <v>160.03256432736077</v>
      </c>
      <c r="M131" s="254">
        <v>122.91466072507978</v>
      </c>
      <c r="N131" s="254">
        <v>21.858951828760382</v>
      </c>
      <c r="O131" s="254">
        <v>102.79544399783413</v>
      </c>
      <c r="P131" s="254">
        <v>217.50387205896038</v>
      </c>
      <c r="Q131" s="254">
        <v>236.316486806537</v>
      </c>
      <c r="R131" s="254">
        <v>-354.94507927493669</v>
      </c>
      <c r="S131" s="254">
        <v>207.14018638546929</v>
      </c>
      <c r="T131" s="254">
        <v>-448.62955823159655</v>
      </c>
      <c r="U131" s="254">
        <v>136.34563142047375</v>
      </c>
      <c r="V131" s="254">
        <v>-269.61082264936113</v>
      </c>
      <c r="W131" s="254">
        <v>170.77298594700244</v>
      </c>
      <c r="X131" s="254">
        <v>-163.85243751375901</v>
      </c>
      <c r="Y131" s="254">
        <v>89.081035101326165</v>
      </c>
      <c r="Z131" s="254">
        <v>-139.24479990957821</v>
      </c>
      <c r="AA131" s="254">
        <v>108.29060075624341</v>
      </c>
      <c r="AB131" s="254">
        <v>-80.35714517903557</v>
      </c>
      <c r="AC131" s="254">
        <v>185.27562393124617</v>
      </c>
      <c r="AD131" s="254">
        <v>-319.35516353636581</v>
      </c>
      <c r="AE131" s="254">
        <v>-43.428926688846445</v>
      </c>
      <c r="AF131" s="254">
        <v>-92.246994410095112</v>
      </c>
      <c r="AG131" s="254">
        <v>-74.066990866950846</v>
      </c>
      <c r="AH131" s="254">
        <v>92.331044453158711</v>
      </c>
      <c r="AI131" s="254">
        <v>169.89282192567578</v>
      </c>
      <c r="AJ131" s="254">
        <v>160.03256432736077</v>
      </c>
      <c r="AK131" s="254">
        <v>122.91466072507978</v>
      </c>
      <c r="AL131" s="254">
        <v>21.858951828760382</v>
      </c>
      <c r="AM131" s="254">
        <v>102.79544399783413</v>
      </c>
      <c r="AN131" s="254">
        <v>167.04487205896032</v>
      </c>
      <c r="AO131" s="254">
        <v>286.77548680653695</v>
      </c>
      <c r="AP131" s="254">
        <v>-306.12407927493678</v>
      </c>
      <c r="AQ131" s="254">
        <v>158.32018638546924</v>
      </c>
      <c r="AR131" s="254">
        <v>-448.62955823159655</v>
      </c>
      <c r="AS131" s="254">
        <v>136.34563142047375</v>
      </c>
      <c r="AT131" s="254">
        <v>-269.61082264936113</v>
      </c>
      <c r="AU131" s="254">
        <v>170.77298594700244</v>
      </c>
      <c r="AV131" s="254">
        <v>-163.85243751375901</v>
      </c>
      <c r="AW131" s="254">
        <v>89.081035101326165</v>
      </c>
      <c r="AX131" s="254">
        <v>-139.24479990957821</v>
      </c>
      <c r="AY131" s="254">
        <v>108.29060075624341</v>
      </c>
      <c r="BA131" s="92"/>
      <c r="BB131" s="92"/>
    </row>
    <row r="132" spans="2:54">
      <c r="B132" s="230">
        <v>10502</v>
      </c>
      <c r="C132" s="230" t="s">
        <v>135</v>
      </c>
      <c r="D132" s="254">
        <v>-1396.8954897809926</v>
      </c>
      <c r="E132" s="254">
        <v>-373.82569326227076</v>
      </c>
      <c r="F132" s="254">
        <v>-4355.687551318576</v>
      </c>
      <c r="G132" s="254">
        <v>-2375.3905718881711</v>
      </c>
      <c r="H132" s="254">
        <v>-2449.1682640859153</v>
      </c>
      <c r="I132" s="254">
        <v>-2011.6581154997348</v>
      </c>
      <c r="J132" s="254">
        <v>-1137.4018500339425</v>
      </c>
      <c r="K132" s="254">
        <v>-1161.6494877231517</v>
      </c>
      <c r="L132" s="254">
        <v>-720.01780129745202</v>
      </c>
      <c r="M132" s="254">
        <v>-849.64090077596938</v>
      </c>
      <c r="N132" s="254">
        <v>-2599.4463606492945</v>
      </c>
      <c r="O132" s="254">
        <v>-1494.2264012132964</v>
      </c>
      <c r="P132" s="254">
        <v>434.24945611378553</v>
      </c>
      <c r="Q132" s="254">
        <v>345.46727106649905</v>
      </c>
      <c r="R132" s="254">
        <v>-515.52549773645842</v>
      </c>
      <c r="S132" s="254">
        <v>1505.6987158553338</v>
      </c>
      <c r="T132" s="254">
        <v>466.43042038097883</v>
      </c>
      <c r="U132" s="254">
        <v>2634.1067080335579</v>
      </c>
      <c r="V132" s="254">
        <v>3887.3316336604476</v>
      </c>
      <c r="W132" s="254">
        <v>4456.9847363078125</v>
      </c>
      <c r="X132" s="254">
        <v>4888.5199759479001</v>
      </c>
      <c r="Y132" s="254">
        <v>4269.303790364761</v>
      </c>
      <c r="Z132" s="254">
        <v>995.25048297607646</v>
      </c>
      <c r="AA132" s="254">
        <v>1759.0504195999138</v>
      </c>
      <c r="AB132" s="254">
        <v>-1037.780489780992</v>
      </c>
      <c r="AC132" s="254">
        <v>-175.39569326227138</v>
      </c>
      <c r="AD132" s="254">
        <v>-3983.3495513185762</v>
      </c>
      <c r="AE132" s="254">
        <v>-2137.2505718881712</v>
      </c>
      <c r="AF132" s="254">
        <v>-2090.3922640859155</v>
      </c>
      <c r="AG132" s="254">
        <v>-1766.5971154997351</v>
      </c>
      <c r="AH132" s="254">
        <v>-839.67285003394227</v>
      </c>
      <c r="AI132" s="254">
        <v>-977.51248772315103</v>
      </c>
      <c r="AJ132" s="254">
        <v>-462.46080129745224</v>
      </c>
      <c r="AK132" s="254">
        <v>-692.96690077596941</v>
      </c>
      <c r="AL132" s="254">
        <v>-2352.8653606492944</v>
      </c>
      <c r="AM132" s="254">
        <v>-1335.6804012132966</v>
      </c>
      <c r="AN132" s="254">
        <v>673.53045611378548</v>
      </c>
      <c r="AO132" s="254">
        <v>491.33727106649894</v>
      </c>
      <c r="AP132" s="254">
        <v>-332.86649773645877</v>
      </c>
      <c r="AQ132" s="254">
        <v>1630.5677158553335</v>
      </c>
      <c r="AR132" s="254">
        <v>633.70042038097927</v>
      </c>
      <c r="AS132" s="254">
        <v>2726.5207080335576</v>
      </c>
      <c r="AT132" s="254">
        <v>4038.0756336604481</v>
      </c>
      <c r="AU132" s="254">
        <v>4542.6207363078129</v>
      </c>
      <c r="AV132" s="254">
        <v>5007.2869759478999</v>
      </c>
      <c r="AW132" s="254">
        <v>4336.8027903647608</v>
      </c>
      <c r="AX132" s="254">
        <v>1064.9304829760767</v>
      </c>
      <c r="AY132" s="254">
        <v>1801.7424195999138</v>
      </c>
      <c r="BA132" s="92"/>
      <c r="BB132" s="92"/>
    </row>
    <row r="133" spans="2:54">
      <c r="B133" s="230">
        <v>13927</v>
      </c>
      <c r="C133" s="230" t="s">
        <v>238</v>
      </c>
      <c r="D133" s="254">
        <v>-227.35257548377604</v>
      </c>
      <c r="E133" s="254">
        <v>86.566798109504134</v>
      </c>
      <c r="F133" s="254">
        <v>-628.33262423280235</v>
      </c>
      <c r="G133" s="254">
        <v>-182.66224982100744</v>
      </c>
      <c r="H133" s="254">
        <v>-315.78776653634236</v>
      </c>
      <c r="I133" s="254">
        <v>-164.9736861311394</v>
      </c>
      <c r="J133" s="254">
        <v>-46.497699756163229</v>
      </c>
      <c r="K133" s="254">
        <v>8.0365926695840244</v>
      </c>
      <c r="L133" s="254">
        <v>77.695834710558302</v>
      </c>
      <c r="M133" s="254">
        <v>90.148457058792928</v>
      </c>
      <c r="N133" s="254">
        <v>-272.67837176114494</v>
      </c>
      <c r="O133" s="254">
        <v>-35.348816768345273</v>
      </c>
      <c r="P133" s="254">
        <v>18.380858071295279</v>
      </c>
      <c r="Q133" s="254">
        <v>143.20844092319135</v>
      </c>
      <c r="R133" s="254">
        <v>-593.78684008888854</v>
      </c>
      <c r="S133" s="254">
        <v>104.1210379787849</v>
      </c>
      <c r="T133" s="254">
        <v>-740.52724402255762</v>
      </c>
      <c r="U133" s="254">
        <v>110.94247182787956</v>
      </c>
      <c r="V133" s="254">
        <v>-387.22895474930738</v>
      </c>
      <c r="W133" s="254">
        <v>173.18403076123047</v>
      </c>
      <c r="X133" s="254">
        <v>-243.46896296872296</v>
      </c>
      <c r="Y133" s="254">
        <v>171.65867899729722</v>
      </c>
      <c r="Z133" s="254">
        <v>-332.07818700899497</v>
      </c>
      <c r="AA133" s="254">
        <v>76.284105893107721</v>
      </c>
      <c r="AB133" s="254">
        <v>-228.61218636197805</v>
      </c>
      <c r="AC133" s="254">
        <v>88.809545600288743</v>
      </c>
      <c r="AD133" s="254">
        <v>-634.73403494374656</v>
      </c>
      <c r="AE133" s="254">
        <v>-183.75641759889641</v>
      </c>
      <c r="AF133" s="254">
        <v>-318.26826295965952</v>
      </c>
      <c r="AG133" s="254">
        <v>-165.85096400666248</v>
      </c>
      <c r="AH133" s="254">
        <v>-45.552915805101065</v>
      </c>
      <c r="AI133" s="254">
        <v>9.3463569809221099</v>
      </c>
      <c r="AJ133" s="254">
        <v>80.260334846750993</v>
      </c>
      <c r="AK133" s="254">
        <v>92.469136989520621</v>
      </c>
      <c r="AL133" s="254">
        <v>-274.52543044545655</v>
      </c>
      <c r="AM133" s="254">
        <v>-34.631252897073637</v>
      </c>
      <c r="AN133" s="254">
        <v>20.230931280463437</v>
      </c>
      <c r="AO133" s="254">
        <v>146.18940552421509</v>
      </c>
      <c r="AP133" s="254">
        <v>-599.7363787752081</v>
      </c>
      <c r="AQ133" s="254">
        <v>106.63930142016977</v>
      </c>
      <c r="AR133" s="254">
        <v>-748.25306770429688</v>
      </c>
      <c r="AS133" s="254">
        <v>113.45923817382288</v>
      </c>
      <c r="AT133" s="254">
        <v>-390.56086385089316</v>
      </c>
      <c r="AU133" s="254">
        <v>176.52414552767391</v>
      </c>
      <c r="AV133" s="254">
        <v>-244.91330295995385</v>
      </c>
      <c r="AW133" s="254">
        <v>174.90389496180967</v>
      </c>
      <c r="AX133" s="254">
        <v>-334.70795046483636</v>
      </c>
      <c r="AY133" s="254">
        <v>78.447502208520291</v>
      </c>
      <c r="BA133" s="92"/>
      <c r="BB133" s="92"/>
    </row>
    <row r="134" spans="2:54">
      <c r="B134" s="230">
        <v>10597</v>
      </c>
      <c r="C134" s="230" t="s">
        <v>136</v>
      </c>
      <c r="D134" s="254">
        <v>-425.11281330635757</v>
      </c>
      <c r="E134" s="254">
        <v>-139.99410342764259</v>
      </c>
      <c r="F134" s="254">
        <v>-1085.0698266048994</v>
      </c>
      <c r="G134" s="254">
        <v>-389.87434228216716</v>
      </c>
      <c r="H134" s="254">
        <v>446.14251191538096</v>
      </c>
      <c r="I134" s="254">
        <v>29.169115692870946</v>
      </c>
      <c r="J134" s="254">
        <v>1692.4448420550325</v>
      </c>
      <c r="K134" s="254">
        <v>757.26164743867821</v>
      </c>
      <c r="L134" s="254">
        <v>1248.6661477217003</v>
      </c>
      <c r="M134" s="254">
        <v>490.04751175203046</v>
      </c>
      <c r="N134" s="254">
        <v>-362.1003121461099</v>
      </c>
      <c r="O134" s="254">
        <v>-279.61517002630808</v>
      </c>
      <c r="P134" s="254">
        <v>484.94299340148973</v>
      </c>
      <c r="Q134" s="254">
        <v>112.13101775640553</v>
      </c>
      <c r="R134" s="254">
        <v>-1493.3195746345973</v>
      </c>
      <c r="S134" s="254">
        <v>-100.2317454351687</v>
      </c>
      <c r="T134" s="254">
        <v>-1839.2364319066683</v>
      </c>
      <c r="U134" s="254">
        <v>32.165551273002166</v>
      </c>
      <c r="V134" s="254">
        <v>111.16608047927275</v>
      </c>
      <c r="W134" s="254">
        <v>603.08103919609493</v>
      </c>
      <c r="X134" s="254">
        <v>296.88452620014868</v>
      </c>
      <c r="Y134" s="254">
        <v>423.74330523438857</v>
      </c>
      <c r="Z134" s="254">
        <v>-514.84148363697477</v>
      </c>
      <c r="AA134" s="254">
        <v>-104.5983143297567</v>
      </c>
      <c r="AB134" s="254">
        <v>-427.67160357089324</v>
      </c>
      <c r="AC134" s="254">
        <v>-141.41823758387045</v>
      </c>
      <c r="AD134" s="254">
        <v>-1086.2097717754541</v>
      </c>
      <c r="AE134" s="254">
        <v>-390.46183070158759</v>
      </c>
      <c r="AF134" s="254">
        <v>447.19163917970127</v>
      </c>
      <c r="AG134" s="254">
        <v>29.750780780826062</v>
      </c>
      <c r="AH134" s="254">
        <v>1697.2402623298303</v>
      </c>
      <c r="AI134" s="254">
        <v>760.29717762337395</v>
      </c>
      <c r="AJ134" s="254">
        <v>1252.2644576000375</v>
      </c>
      <c r="AK134" s="254">
        <v>492.20436808030217</v>
      </c>
      <c r="AL134" s="254">
        <v>-360.58215139742151</v>
      </c>
      <c r="AM134" s="254">
        <v>-278.70707652331157</v>
      </c>
      <c r="AN134" s="254">
        <v>486.05867976897844</v>
      </c>
      <c r="AO134" s="254">
        <v>112.68811136218392</v>
      </c>
      <c r="AP134" s="254">
        <v>-1493.9232843087257</v>
      </c>
      <c r="AQ134" s="254">
        <v>-100.15668016173413</v>
      </c>
      <c r="AR134" s="254">
        <v>-1840.4753648195883</v>
      </c>
      <c r="AS134" s="254">
        <v>32.055377518910063</v>
      </c>
      <c r="AT134" s="254">
        <v>108.82274116918961</v>
      </c>
      <c r="AU134" s="254">
        <v>602.00344972658013</v>
      </c>
      <c r="AV134" s="254">
        <v>294.89826704645475</v>
      </c>
      <c r="AW134" s="254">
        <v>422.84134973643268</v>
      </c>
      <c r="AX134" s="254">
        <v>-515.0881686307539</v>
      </c>
      <c r="AY134" s="254">
        <v>-104.63282189096572</v>
      </c>
      <c r="BA134" s="92"/>
      <c r="BB134" s="92"/>
    </row>
    <row r="135" spans="2:54">
      <c r="B135" s="230">
        <v>10706</v>
      </c>
      <c r="C135" s="230" t="s">
        <v>137</v>
      </c>
      <c r="D135" s="254">
        <v>-491.49954023900773</v>
      </c>
      <c r="E135" s="254">
        <v>752.38065995817533</v>
      </c>
      <c r="F135" s="254">
        <v>-2545.8794487981431</v>
      </c>
      <c r="G135" s="254">
        <v>-573.83891579736064</v>
      </c>
      <c r="H135" s="254">
        <v>-1508.3914223845868</v>
      </c>
      <c r="I135" s="254">
        <v>-907.32072930172581</v>
      </c>
      <c r="J135" s="254">
        <v>-59.130113652956425</v>
      </c>
      <c r="K135" s="254">
        <v>114.68920289447942</v>
      </c>
      <c r="L135" s="254">
        <v>165.21727932713839</v>
      </c>
      <c r="M135" s="254">
        <v>187.72837838187934</v>
      </c>
      <c r="N135" s="254">
        <v>-761.67909618384601</v>
      </c>
      <c r="O135" s="254">
        <v>149.16207378031322</v>
      </c>
      <c r="P135" s="254">
        <v>665.02173533411315</v>
      </c>
      <c r="Q135" s="254">
        <v>1044.8481252570323</v>
      </c>
      <c r="R135" s="254">
        <v>-2210.798859692648</v>
      </c>
      <c r="S135" s="254">
        <v>893.51830451219121</v>
      </c>
      <c r="T135" s="254">
        <v>-2851.8179580438118</v>
      </c>
      <c r="U135" s="254">
        <v>1008.8518758618798</v>
      </c>
      <c r="V135" s="254">
        <v>-1417.8956899788518</v>
      </c>
      <c r="W135" s="254">
        <v>1299.2868449376492</v>
      </c>
      <c r="X135" s="254">
        <v>-803.30657134433204</v>
      </c>
      <c r="Y135" s="254">
        <v>1378.2631831510548</v>
      </c>
      <c r="Z135" s="254">
        <v>-671.30027428274934</v>
      </c>
      <c r="AA135" s="254">
        <v>1141.4321499887174</v>
      </c>
      <c r="AB135" s="254">
        <v>-316.44454023900744</v>
      </c>
      <c r="AC135" s="254">
        <v>877.27065995817566</v>
      </c>
      <c r="AD135" s="254">
        <v>-2385.1164487981432</v>
      </c>
      <c r="AE135" s="254">
        <v>-445.65791579736106</v>
      </c>
      <c r="AF135" s="254">
        <v>-1340.4974223845866</v>
      </c>
      <c r="AG135" s="254">
        <v>-775.57972930172582</v>
      </c>
      <c r="AH135" s="254">
        <v>109.97588634704334</v>
      </c>
      <c r="AI135" s="254">
        <v>247.06220289447901</v>
      </c>
      <c r="AJ135" s="254">
        <v>320.53127932713869</v>
      </c>
      <c r="AK135" s="254">
        <v>301.64937838187961</v>
      </c>
      <c r="AL135" s="254">
        <v>-591.49409618384561</v>
      </c>
      <c r="AM135" s="254">
        <v>272.49307378031335</v>
      </c>
      <c r="AN135" s="254">
        <v>830.95873533411304</v>
      </c>
      <c r="AO135" s="254">
        <v>1164.7391252570319</v>
      </c>
      <c r="AP135" s="254">
        <v>-2044.0378596926485</v>
      </c>
      <c r="AQ135" s="254">
        <v>1025.9543045121909</v>
      </c>
      <c r="AR135" s="254">
        <v>-2676.7619580438122</v>
      </c>
      <c r="AS135" s="254">
        <v>1134.4308758618804</v>
      </c>
      <c r="AT135" s="254">
        <v>-1233.9586899788519</v>
      </c>
      <c r="AU135" s="254">
        <v>1443.0638449376493</v>
      </c>
      <c r="AV135" s="254">
        <v>-608.57457134433207</v>
      </c>
      <c r="AW135" s="254">
        <v>1518.1201831510548</v>
      </c>
      <c r="AX135" s="254">
        <v>-500.01027428274938</v>
      </c>
      <c r="AY135" s="254">
        <v>1277.3761499887169</v>
      </c>
      <c r="BA135" s="92"/>
      <c r="BB135" s="92"/>
    </row>
    <row r="136" spans="2:54">
      <c r="B136" s="230">
        <v>11680</v>
      </c>
      <c r="C136" s="230" t="s">
        <v>138</v>
      </c>
      <c r="D136" s="254">
        <v>1.4317649232848453</v>
      </c>
      <c r="E136" s="254">
        <v>88.886169188914437</v>
      </c>
      <c r="F136" s="254">
        <v>-321.15246185183923</v>
      </c>
      <c r="G136" s="254">
        <v>-178.89612148510014</v>
      </c>
      <c r="H136" s="254">
        <v>513.69325428492812</v>
      </c>
      <c r="I136" s="254">
        <v>-2.8019481751771309</v>
      </c>
      <c r="J136" s="254">
        <v>1016.2682502735197</v>
      </c>
      <c r="K136" s="254">
        <v>580.67315152410697</v>
      </c>
      <c r="L136" s="254">
        <v>798.56431296562005</v>
      </c>
      <c r="M136" s="254">
        <v>231.66164139691841</v>
      </c>
      <c r="N136" s="254">
        <v>197.63266297463406</v>
      </c>
      <c r="O136" s="254">
        <v>-60.90840261498488</v>
      </c>
      <c r="P136" s="254">
        <v>477.86052254319429</v>
      </c>
      <c r="Q136" s="254">
        <v>109.87648949824347</v>
      </c>
      <c r="R136" s="254">
        <v>-712.1340099548579</v>
      </c>
      <c r="S136" s="254">
        <v>-2.7269019480011139</v>
      </c>
      <c r="T136" s="254">
        <v>-723.66147655980058</v>
      </c>
      <c r="U136" s="254">
        <v>26.247281582301639</v>
      </c>
      <c r="V136" s="254">
        <v>306.70791030406372</v>
      </c>
      <c r="W136" s="254">
        <v>499.75631742065684</v>
      </c>
      <c r="X136" s="254">
        <v>439.69374645898961</v>
      </c>
      <c r="Y136" s="254">
        <v>251.537682731833</v>
      </c>
      <c r="Z136" s="254">
        <v>-176.06369142608446</v>
      </c>
      <c r="AA136" s="254">
        <v>-98.399876355953666</v>
      </c>
      <c r="AB136" s="254">
        <v>6.4717649232848089</v>
      </c>
      <c r="AC136" s="254">
        <v>91.883169188914508</v>
      </c>
      <c r="AD136" s="254">
        <v>-315.63646185183916</v>
      </c>
      <c r="AE136" s="254">
        <v>-175.37912148510009</v>
      </c>
      <c r="AF136" s="254">
        <v>520.34525428492816</v>
      </c>
      <c r="AG136" s="254">
        <v>1.4220518248230292</v>
      </c>
      <c r="AH136" s="254">
        <v>1022.8932502735197</v>
      </c>
      <c r="AI136" s="254">
        <v>585.33415152410703</v>
      </c>
      <c r="AJ136" s="254">
        <v>804.18831296561984</v>
      </c>
      <c r="AK136" s="254">
        <v>235.05264139691849</v>
      </c>
      <c r="AL136" s="254">
        <v>203.14366297463403</v>
      </c>
      <c r="AM136" s="254">
        <v>-57.816402614984781</v>
      </c>
      <c r="AN136" s="254">
        <v>393.80952254319391</v>
      </c>
      <c r="AO136" s="254">
        <v>201.5484894982435</v>
      </c>
      <c r="AP136" s="254">
        <v>-621.68100995485793</v>
      </c>
      <c r="AQ136" s="254">
        <v>-85.587901948001218</v>
      </c>
      <c r="AR136" s="254">
        <v>-718.19447655980048</v>
      </c>
      <c r="AS136" s="254">
        <v>29.053281582301452</v>
      </c>
      <c r="AT136" s="254">
        <v>313.39791030406332</v>
      </c>
      <c r="AU136" s="254">
        <v>503.78431742065709</v>
      </c>
      <c r="AV136" s="254">
        <v>446.49174645898938</v>
      </c>
      <c r="AW136" s="254">
        <v>254.90968273183307</v>
      </c>
      <c r="AX136" s="254">
        <v>-171.20669142608449</v>
      </c>
      <c r="AY136" s="254">
        <v>-95.653876355953798</v>
      </c>
      <c r="BA136" s="92"/>
      <c r="BB136" s="92"/>
    </row>
    <row r="137" spans="2:54">
      <c r="B137" s="230">
        <v>12026</v>
      </c>
      <c r="C137" s="230" t="s">
        <v>139</v>
      </c>
      <c r="D137" s="254">
        <v>-675.46616418068515</v>
      </c>
      <c r="E137" s="254">
        <v>1012.5144294439287</v>
      </c>
      <c r="F137" s="254">
        <v>-1614.820667009426</v>
      </c>
      <c r="G137" s="254">
        <v>-411.1419213522513</v>
      </c>
      <c r="H137" s="254">
        <v>5590.8818844117704</v>
      </c>
      <c r="I137" s="254">
        <v>1334.497434627343</v>
      </c>
      <c r="J137" s="254">
        <v>9201.0428138246498</v>
      </c>
      <c r="K137" s="254">
        <v>5911.2904854601711</v>
      </c>
      <c r="L137" s="254">
        <v>8784.7776297461241</v>
      </c>
      <c r="M137" s="254">
        <v>4213.5545606871328</v>
      </c>
      <c r="N137" s="254">
        <v>4202.2266772105977</v>
      </c>
      <c r="O137" s="254">
        <v>2261.5723199648128</v>
      </c>
      <c r="P137" s="254">
        <v>4376.3781555504374</v>
      </c>
      <c r="Q137" s="254">
        <v>2669.4421774407092</v>
      </c>
      <c r="R137" s="254">
        <v>-7462.1996434715857</v>
      </c>
      <c r="S137" s="254">
        <v>-360.05005889419044</v>
      </c>
      <c r="T137" s="254">
        <v>-10660.261257373057</v>
      </c>
      <c r="U137" s="254">
        <v>-1791.907470178905</v>
      </c>
      <c r="V137" s="254">
        <v>-8698.1554987357358</v>
      </c>
      <c r="W137" s="254">
        <v>-2342.0103185935532</v>
      </c>
      <c r="X137" s="254">
        <v>-7235.5107543529757</v>
      </c>
      <c r="Y137" s="254">
        <v>-2657.9911293249406</v>
      </c>
      <c r="Z137" s="254">
        <v>-4870.2479682151043</v>
      </c>
      <c r="AA137" s="254">
        <v>-1918.2727675449296</v>
      </c>
      <c r="AB137" s="254">
        <v>-606.22416418068315</v>
      </c>
      <c r="AC137" s="254">
        <v>1046.425429443927</v>
      </c>
      <c r="AD137" s="254">
        <v>-1566.1956670094223</v>
      </c>
      <c r="AE137" s="254">
        <v>-388.66892135225316</v>
      </c>
      <c r="AF137" s="254">
        <v>5537.3928844117727</v>
      </c>
      <c r="AG137" s="254">
        <v>1289.3494346273419</v>
      </c>
      <c r="AH137" s="254">
        <v>9131.31181382465</v>
      </c>
      <c r="AI137" s="254">
        <v>5851.0684854601768</v>
      </c>
      <c r="AJ137" s="254">
        <v>8752.1016297461247</v>
      </c>
      <c r="AK137" s="254">
        <v>4184.9615606871321</v>
      </c>
      <c r="AL137" s="254">
        <v>4200.7366772105997</v>
      </c>
      <c r="AM137" s="254">
        <v>2252.6703199648127</v>
      </c>
      <c r="AN137" s="254">
        <v>3723.345155550438</v>
      </c>
      <c r="AO137" s="254">
        <v>3323.0321774407093</v>
      </c>
      <c r="AP137" s="254">
        <v>-6909.4376434715887</v>
      </c>
      <c r="AQ137" s="254">
        <v>-870.18305889419025</v>
      </c>
      <c r="AR137" s="254">
        <v>-10628.536257373056</v>
      </c>
      <c r="AS137" s="254">
        <v>-1784.3854701789041</v>
      </c>
      <c r="AT137" s="254">
        <v>-8665.6044987357363</v>
      </c>
      <c r="AU137" s="254">
        <v>-2334.5683185935541</v>
      </c>
      <c r="AV137" s="254">
        <v>-7197.1127543529765</v>
      </c>
      <c r="AW137" s="254">
        <v>-2649.61312932494</v>
      </c>
      <c r="AX137" s="254">
        <v>-4825.7149682151048</v>
      </c>
      <c r="AY137" s="254">
        <v>-1901.5797675449285</v>
      </c>
      <c r="BA137" s="92"/>
      <c r="BB137" s="92"/>
    </row>
    <row r="138" spans="2:54">
      <c r="B138" s="230">
        <v>10298</v>
      </c>
      <c r="C138" s="230" t="s">
        <v>140</v>
      </c>
      <c r="D138" s="254">
        <v>-19309.350158667308</v>
      </c>
      <c r="E138" s="254">
        <v>-5120.9026515985315</v>
      </c>
      <c r="F138" s="254">
        <v>-32156.153862610226</v>
      </c>
      <c r="G138" s="254">
        <v>-13832.830961607338</v>
      </c>
      <c r="H138" s="254">
        <v>40815.129654986289</v>
      </c>
      <c r="I138" s="254">
        <v>10557.296094925492</v>
      </c>
      <c r="J138" s="254">
        <v>66844.321195739816</v>
      </c>
      <c r="K138" s="254">
        <v>37007.425931042293</v>
      </c>
      <c r="L138" s="254">
        <v>54073.184991350048</v>
      </c>
      <c r="M138" s="254">
        <v>21808.602255390637</v>
      </c>
      <c r="N138" s="254">
        <v>8419.8400743451493</v>
      </c>
      <c r="O138" s="254">
        <v>2626.7456767841068</v>
      </c>
      <c r="P138" s="254">
        <v>25880.994775902916</v>
      </c>
      <c r="Q138" s="254">
        <v>13037.695007487215</v>
      </c>
      <c r="R138" s="254">
        <v>-59397.846813495387</v>
      </c>
      <c r="S138" s="254">
        <v>466.66341928787006</v>
      </c>
      <c r="T138" s="254">
        <v>-70360.191371999623</v>
      </c>
      <c r="U138" s="254">
        <v>4383.3198773035983</v>
      </c>
      <c r="V138" s="254">
        <v>-27936.34479556646</v>
      </c>
      <c r="W138" s="254">
        <v>15029.993009427853</v>
      </c>
      <c r="X138" s="254">
        <v>-24477.344683082192</v>
      </c>
      <c r="Y138" s="254">
        <v>3745.6135366471281</v>
      </c>
      <c r="Z138" s="254">
        <v>-30145.919664419227</v>
      </c>
      <c r="AA138" s="254">
        <v>-6204.4294713573327</v>
      </c>
      <c r="AB138" s="254">
        <v>-19281.716158667317</v>
      </c>
      <c r="AC138" s="254">
        <v>-5390.7486515985365</v>
      </c>
      <c r="AD138" s="254">
        <v>-32105.087862610235</v>
      </c>
      <c r="AE138" s="254">
        <v>-13972.263961607357</v>
      </c>
      <c r="AF138" s="254">
        <v>40902.295654986316</v>
      </c>
      <c r="AG138" s="254">
        <v>10455.200094925473</v>
      </c>
      <c r="AH138" s="254">
        <v>66978.371195739805</v>
      </c>
      <c r="AI138" s="254">
        <v>36864.663931042276</v>
      </c>
      <c r="AJ138" s="254">
        <v>54231.853991350043</v>
      </c>
      <c r="AK138" s="254">
        <v>21768.217255390642</v>
      </c>
      <c r="AL138" s="254">
        <v>8401.3560743451526</v>
      </c>
      <c r="AM138" s="254">
        <v>2481.2206767841271</v>
      </c>
      <c r="AN138" s="254">
        <v>23507.408775902906</v>
      </c>
      <c r="AO138" s="254">
        <v>15258.028007487228</v>
      </c>
      <c r="AP138" s="254">
        <v>-57647.061813495413</v>
      </c>
      <c r="AQ138" s="254">
        <v>-1585.6925807121297</v>
      </c>
      <c r="AR138" s="254">
        <v>-70367.822371999617</v>
      </c>
      <c r="AS138" s="254">
        <v>4171.3548773035873</v>
      </c>
      <c r="AT138" s="254">
        <v>-27905.435795566475</v>
      </c>
      <c r="AU138" s="254">
        <v>14736.231009427836</v>
      </c>
      <c r="AV138" s="254">
        <v>-24495.172683082172</v>
      </c>
      <c r="AW138" s="254">
        <v>3498.2385366471135</v>
      </c>
      <c r="AX138" s="254">
        <v>-30152.291664419259</v>
      </c>
      <c r="AY138" s="254">
        <v>-6433.6064713573287</v>
      </c>
      <c r="BA138" s="92"/>
      <c r="BB138" s="92"/>
    </row>
    <row r="139" spans="2:54">
      <c r="B139" s="24"/>
      <c r="C139" s="25"/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  <c r="Z139" s="26"/>
      <c r="AA139" s="27"/>
      <c r="AB139" s="26"/>
      <c r="AC139" s="27"/>
      <c r="AD139" s="26"/>
      <c r="AE139" s="27"/>
      <c r="AF139" s="26"/>
      <c r="AG139" s="27"/>
      <c r="AH139" s="26"/>
      <c r="AI139" s="27"/>
      <c r="AJ139" s="26"/>
      <c r="AK139" s="27"/>
      <c r="AL139" s="26"/>
      <c r="AM139" s="27"/>
      <c r="AN139" s="26"/>
      <c r="AO139" s="27"/>
      <c r="AP139" s="26"/>
      <c r="AQ139" s="27"/>
      <c r="AR139" s="26"/>
      <c r="AS139" s="27"/>
      <c r="AT139" s="26"/>
      <c r="AU139" s="27"/>
      <c r="AV139" s="26"/>
      <c r="AW139" s="27"/>
      <c r="AX139" s="26"/>
      <c r="AY139" s="27"/>
    </row>
    <row r="140" spans="2:54">
      <c r="B140" s="24"/>
      <c r="C140" s="25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  <c r="Z140" s="26"/>
      <c r="AA140" s="27"/>
      <c r="AB140" s="26"/>
      <c r="AC140" s="27"/>
      <c r="AD140" s="26"/>
      <c r="AE140" s="27"/>
      <c r="AF140" s="26"/>
      <c r="AG140" s="27"/>
      <c r="AH140" s="26"/>
      <c r="AI140" s="27"/>
      <c r="AJ140" s="26"/>
      <c r="AK140" s="27"/>
      <c r="AL140" s="26"/>
      <c r="AM140" s="27"/>
      <c r="AN140" s="26"/>
      <c r="AO140" s="27"/>
      <c r="AP140" s="26"/>
      <c r="AQ140" s="27"/>
      <c r="AR140" s="26"/>
      <c r="AS140" s="27"/>
      <c r="AT140" s="26"/>
      <c r="AU140" s="27"/>
      <c r="AV140" s="26"/>
      <c r="AW140" s="27"/>
      <c r="AX140" s="26"/>
      <c r="AY140" s="27"/>
    </row>
    <row r="141" spans="2:54">
      <c r="B141" s="24"/>
      <c r="C141" s="25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  <c r="Z141" s="26"/>
      <c r="AA141" s="27"/>
      <c r="AB141" s="26"/>
      <c r="AC141" s="27"/>
      <c r="AD141" s="26"/>
      <c r="AE141" s="27"/>
      <c r="AF141" s="26"/>
      <c r="AG141" s="27"/>
      <c r="AH141" s="26"/>
      <c r="AI141" s="27"/>
      <c r="AJ141" s="26"/>
      <c r="AK141" s="27"/>
      <c r="AL141" s="26"/>
      <c r="AM141" s="27"/>
      <c r="AN141" s="26"/>
      <c r="AO141" s="27"/>
      <c r="AP141" s="26"/>
      <c r="AQ141" s="27"/>
      <c r="AR141" s="26"/>
      <c r="AS141" s="27"/>
      <c r="AT141" s="26"/>
      <c r="AU141" s="27"/>
      <c r="AV141" s="26"/>
      <c r="AW141" s="27"/>
      <c r="AX141" s="26"/>
      <c r="AY141" s="27"/>
    </row>
    <row r="142" spans="2:54">
      <c r="B142" s="24"/>
      <c r="C142" s="25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  <c r="Z142" s="26"/>
      <c r="AA142" s="27"/>
      <c r="AB142" s="26"/>
      <c r="AC142" s="27"/>
      <c r="AD142" s="26"/>
      <c r="AE142" s="27"/>
      <c r="AF142" s="26"/>
      <c r="AG142" s="27"/>
      <c r="AH142" s="26"/>
      <c r="AI142" s="27"/>
      <c r="AJ142" s="26"/>
      <c r="AK142" s="27"/>
      <c r="AL142" s="26"/>
      <c r="AM142" s="27"/>
      <c r="AN142" s="26"/>
      <c r="AO142" s="27"/>
      <c r="AP142" s="26"/>
      <c r="AQ142" s="27"/>
      <c r="AR142" s="26"/>
      <c r="AS142" s="27"/>
      <c r="AT142" s="26"/>
      <c r="AU142" s="27"/>
      <c r="AV142" s="26"/>
      <c r="AW142" s="27"/>
      <c r="AX142" s="26"/>
      <c r="AY142" s="27"/>
    </row>
    <row r="143" spans="2:54">
      <c r="B143" s="24"/>
      <c r="C143" s="25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6"/>
      <c r="AC143" s="27"/>
      <c r="AD143" s="26"/>
      <c r="AE143" s="27"/>
      <c r="AF143" s="26"/>
      <c r="AG143" s="27"/>
      <c r="AH143" s="26"/>
      <c r="AI143" s="27"/>
      <c r="AJ143" s="26"/>
      <c r="AK143" s="27"/>
      <c r="AL143" s="26"/>
      <c r="AM143" s="27"/>
      <c r="AN143" s="26"/>
      <c r="AO143" s="27"/>
      <c r="AP143" s="26"/>
      <c r="AQ143" s="27"/>
      <c r="AR143" s="26"/>
      <c r="AS143" s="27"/>
      <c r="AT143" s="26"/>
      <c r="AU143" s="27"/>
      <c r="AV143" s="26"/>
      <c r="AW143" s="27"/>
      <c r="AX143" s="26"/>
      <c r="AY143" s="27"/>
    </row>
    <row r="144" spans="2:54">
      <c r="B144" s="24"/>
      <c r="C144" s="25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  <c r="Z144" s="26"/>
      <c r="AA144" s="27"/>
      <c r="AB144" s="26"/>
      <c r="AC144" s="27"/>
      <c r="AD144" s="26"/>
      <c r="AE144" s="27"/>
      <c r="AF144" s="26"/>
      <c r="AG144" s="27"/>
      <c r="AH144" s="26"/>
      <c r="AI144" s="27"/>
      <c r="AJ144" s="26"/>
      <c r="AK144" s="27"/>
      <c r="AL144" s="26"/>
      <c r="AM144" s="27"/>
      <c r="AN144" s="26"/>
      <c r="AO144" s="27"/>
      <c r="AP144" s="26"/>
      <c r="AQ144" s="27"/>
      <c r="AR144" s="26"/>
      <c r="AS144" s="27"/>
      <c r="AT144" s="26"/>
      <c r="AU144" s="27"/>
      <c r="AV144" s="26"/>
      <c r="AW144" s="27"/>
      <c r="AX144" s="26"/>
      <c r="AY144" s="27"/>
    </row>
    <row r="145" spans="2:51">
      <c r="B145" s="24"/>
      <c r="C145" s="25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  <c r="Z145" s="26"/>
      <c r="AA145" s="27"/>
      <c r="AB145" s="26"/>
      <c r="AC145" s="27"/>
      <c r="AD145" s="26"/>
      <c r="AE145" s="27"/>
      <c r="AF145" s="26"/>
      <c r="AG145" s="27"/>
      <c r="AH145" s="26"/>
      <c r="AI145" s="27"/>
      <c r="AJ145" s="26"/>
      <c r="AK145" s="27"/>
      <c r="AL145" s="26"/>
      <c r="AM145" s="27"/>
      <c r="AN145" s="26"/>
      <c r="AO145" s="27"/>
      <c r="AP145" s="26"/>
      <c r="AQ145" s="27"/>
      <c r="AR145" s="26"/>
      <c r="AS145" s="27"/>
      <c r="AT145" s="26"/>
      <c r="AU145" s="27"/>
      <c r="AV145" s="26"/>
      <c r="AW145" s="27"/>
      <c r="AX145" s="26"/>
      <c r="AY145" s="27"/>
    </row>
    <row r="146" spans="2:51">
      <c r="B146" s="24"/>
      <c r="C146" s="25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6"/>
      <c r="AC146" s="27"/>
      <c r="AD146" s="26"/>
      <c r="AE146" s="27"/>
      <c r="AF146" s="26"/>
      <c r="AG146" s="27"/>
      <c r="AH146" s="26"/>
      <c r="AI146" s="27"/>
      <c r="AJ146" s="26"/>
      <c r="AK146" s="27"/>
      <c r="AL146" s="26"/>
      <c r="AM146" s="27"/>
      <c r="AN146" s="26"/>
      <c r="AO146" s="27"/>
      <c r="AP146" s="26"/>
      <c r="AQ146" s="27"/>
      <c r="AR146" s="26"/>
      <c r="AS146" s="27"/>
      <c r="AT146" s="26"/>
      <c r="AU146" s="27"/>
      <c r="AV146" s="26"/>
      <c r="AW146" s="27"/>
      <c r="AX146" s="26"/>
      <c r="AY146" s="27"/>
    </row>
    <row r="147" spans="2:51">
      <c r="B147" s="24"/>
      <c r="C147" s="25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  <c r="Z147" s="26"/>
      <c r="AA147" s="27"/>
      <c r="AB147" s="26"/>
      <c r="AC147" s="27"/>
      <c r="AD147" s="26"/>
      <c r="AE147" s="27"/>
      <c r="AF147" s="26"/>
      <c r="AG147" s="27"/>
      <c r="AH147" s="26"/>
      <c r="AI147" s="27"/>
      <c r="AJ147" s="26"/>
      <c r="AK147" s="27"/>
      <c r="AL147" s="26"/>
      <c r="AM147" s="27"/>
      <c r="AN147" s="26"/>
      <c r="AO147" s="27"/>
      <c r="AP147" s="26"/>
      <c r="AQ147" s="27"/>
      <c r="AR147" s="26"/>
      <c r="AS147" s="27"/>
      <c r="AT147" s="26"/>
      <c r="AU147" s="27"/>
      <c r="AV147" s="26"/>
      <c r="AW147" s="27"/>
      <c r="AX147" s="26"/>
      <c r="AY147" s="27"/>
    </row>
    <row r="148" spans="2:51" s="173" customFormat="1">
      <c r="B148" s="155">
        <v>1</v>
      </c>
      <c r="C148" s="156">
        <v>2</v>
      </c>
      <c r="D148" s="157">
        <v>3</v>
      </c>
      <c r="E148" s="158">
        <v>4</v>
      </c>
      <c r="F148" s="157">
        <v>5</v>
      </c>
      <c r="G148" s="158">
        <v>6</v>
      </c>
      <c r="H148" s="157">
        <v>7</v>
      </c>
      <c r="I148" s="158">
        <v>8</v>
      </c>
      <c r="J148" s="157">
        <v>9</v>
      </c>
      <c r="K148" s="158">
        <v>10</v>
      </c>
      <c r="L148" s="157">
        <v>11</v>
      </c>
      <c r="M148" s="158">
        <v>12</v>
      </c>
      <c r="N148" s="157">
        <v>13</v>
      </c>
      <c r="O148" s="158">
        <v>14</v>
      </c>
      <c r="P148" s="157">
        <v>15</v>
      </c>
      <c r="Q148" s="158">
        <v>16</v>
      </c>
      <c r="R148" s="157">
        <v>17</v>
      </c>
      <c r="S148" s="158">
        <v>18</v>
      </c>
      <c r="T148" s="157">
        <v>19</v>
      </c>
      <c r="U148" s="158">
        <v>20</v>
      </c>
      <c r="V148" s="157">
        <v>21</v>
      </c>
      <c r="W148" s="158">
        <v>22</v>
      </c>
      <c r="X148" s="157">
        <v>23</v>
      </c>
      <c r="Y148" s="158">
        <v>24</v>
      </c>
      <c r="Z148" s="157">
        <v>25</v>
      </c>
      <c r="AA148" s="158">
        <v>26</v>
      </c>
      <c r="AB148" s="157">
        <v>27</v>
      </c>
      <c r="AC148" s="158">
        <v>28</v>
      </c>
      <c r="AD148" s="157">
        <v>29</v>
      </c>
      <c r="AE148" s="158">
        <v>30</v>
      </c>
      <c r="AF148" s="157">
        <v>31</v>
      </c>
      <c r="AG148" s="158">
        <v>32</v>
      </c>
      <c r="AH148" s="157">
        <v>33</v>
      </c>
      <c r="AI148" s="158">
        <v>34</v>
      </c>
      <c r="AJ148" s="157">
        <v>35</v>
      </c>
      <c r="AK148" s="158">
        <v>36</v>
      </c>
      <c r="AL148" s="157">
        <v>37</v>
      </c>
      <c r="AM148" s="158">
        <v>38</v>
      </c>
      <c r="AN148" s="157">
        <v>39</v>
      </c>
      <c r="AO148" s="158">
        <v>40</v>
      </c>
      <c r="AP148" s="157">
        <v>41</v>
      </c>
      <c r="AQ148" s="158">
        <v>42</v>
      </c>
      <c r="AR148" s="157">
        <v>43</v>
      </c>
      <c r="AS148" s="158">
        <v>44</v>
      </c>
      <c r="AT148" s="157">
        <v>45</v>
      </c>
      <c r="AU148" s="158">
        <v>46</v>
      </c>
      <c r="AV148" s="157">
        <v>47</v>
      </c>
      <c r="AW148" s="158">
        <v>48</v>
      </c>
      <c r="AX148" s="157">
        <v>49</v>
      </c>
      <c r="AY148" s="158">
        <v>50</v>
      </c>
    </row>
    <row r="149" spans="2:51">
      <c r="B149" s="24"/>
      <c r="C149" s="25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  <c r="Z149" s="26"/>
      <c r="AA149" s="27"/>
      <c r="AB149" s="26"/>
      <c r="AC149" s="27"/>
      <c r="AD149" s="26"/>
      <c r="AE149" s="27"/>
      <c r="AF149" s="26"/>
      <c r="AG149" s="27"/>
      <c r="AH149" s="26"/>
      <c r="AI149" s="27"/>
      <c r="AJ149" s="26"/>
      <c r="AK149" s="27"/>
      <c r="AL149" s="26"/>
      <c r="AM149" s="27"/>
      <c r="AN149" s="26"/>
      <c r="AO149" s="27"/>
      <c r="AP149" s="26"/>
      <c r="AQ149" s="27"/>
      <c r="AR149" s="26"/>
      <c r="AS149" s="27"/>
      <c r="AT149" s="26"/>
      <c r="AU149" s="27"/>
      <c r="AV149" s="26"/>
      <c r="AW149" s="27"/>
      <c r="AX149" s="26"/>
      <c r="AY149" s="27"/>
    </row>
    <row r="150" spans="2:51">
      <c r="B150" s="24"/>
      <c r="C150" s="25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6"/>
      <c r="AC150" s="27"/>
      <c r="AD150" s="26"/>
      <c r="AE150" s="27"/>
      <c r="AF150" s="26"/>
      <c r="AG150" s="27"/>
      <c r="AH150" s="26"/>
      <c r="AI150" s="27"/>
      <c r="AJ150" s="26"/>
      <c r="AK150" s="27"/>
      <c r="AL150" s="26"/>
      <c r="AM150" s="27"/>
      <c r="AN150" s="26"/>
      <c r="AO150" s="27"/>
      <c r="AP150" s="26"/>
      <c r="AQ150" s="27"/>
      <c r="AR150" s="26"/>
      <c r="AS150" s="27"/>
      <c r="AT150" s="26"/>
      <c r="AU150" s="27"/>
      <c r="AV150" s="26"/>
      <c r="AW150" s="27"/>
      <c r="AX150" s="26"/>
      <c r="AY150" s="27"/>
    </row>
    <row r="151" spans="2:51">
      <c r="B151" s="24"/>
      <c r="C151" s="25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  <c r="Z151" s="26"/>
      <c r="AA151" s="27"/>
      <c r="AB151" s="26"/>
      <c r="AC151" s="27"/>
      <c r="AD151" s="26"/>
      <c r="AE151" s="27"/>
      <c r="AF151" s="26"/>
      <c r="AG151" s="27"/>
      <c r="AH151" s="26"/>
      <c r="AI151" s="27"/>
      <c r="AJ151" s="26"/>
      <c r="AK151" s="27"/>
      <c r="AL151" s="26"/>
      <c r="AM151" s="27"/>
      <c r="AN151" s="26"/>
      <c r="AO151" s="27"/>
      <c r="AP151" s="26"/>
      <c r="AQ151" s="27"/>
      <c r="AR151" s="26"/>
      <c r="AS151" s="27"/>
      <c r="AT151" s="26"/>
      <c r="AU151" s="27"/>
      <c r="AV151" s="26"/>
      <c r="AW151" s="27"/>
      <c r="AX151" s="26"/>
      <c r="AY151" s="27"/>
    </row>
    <row r="152" spans="2:51">
      <c r="B152" s="24"/>
      <c r="C152" s="25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  <c r="Z152" s="26"/>
      <c r="AA152" s="27"/>
      <c r="AB152" s="26"/>
      <c r="AC152" s="27"/>
      <c r="AD152" s="26"/>
      <c r="AE152" s="27"/>
      <c r="AF152" s="26"/>
      <c r="AG152" s="27"/>
      <c r="AH152" s="26"/>
      <c r="AI152" s="27"/>
      <c r="AJ152" s="26"/>
      <c r="AK152" s="27"/>
      <c r="AL152" s="26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7"/>
    </row>
    <row r="153" spans="2:51">
      <c r="B153" s="24"/>
      <c r="C153" s="25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  <c r="Z153" s="26"/>
      <c r="AA153" s="27"/>
      <c r="AB153" s="26"/>
      <c r="AC153" s="27"/>
      <c r="AD153" s="26"/>
      <c r="AE153" s="27"/>
      <c r="AF153" s="26"/>
      <c r="AG153" s="27"/>
      <c r="AH153" s="26"/>
      <c r="AI153" s="27"/>
      <c r="AJ153" s="26"/>
      <c r="AK153" s="27"/>
      <c r="AL153" s="26"/>
      <c r="AM153" s="27"/>
      <c r="AN153" s="26"/>
      <c r="AO153" s="27"/>
      <c r="AP153" s="26"/>
      <c r="AQ153" s="27"/>
      <c r="AR153" s="26"/>
      <c r="AS153" s="27"/>
      <c r="AT153" s="26"/>
      <c r="AU153" s="27"/>
      <c r="AV153" s="26"/>
      <c r="AW153" s="27"/>
      <c r="AX153" s="26"/>
      <c r="AY153" s="27"/>
    </row>
    <row r="154" spans="2:51">
      <c r="B154" s="24"/>
      <c r="C154" s="25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6"/>
      <c r="S154" s="27"/>
      <c r="T154" s="26"/>
      <c r="U154" s="27"/>
      <c r="V154" s="26"/>
      <c r="W154" s="27"/>
      <c r="X154" s="26"/>
      <c r="Y154" s="27"/>
      <c r="Z154" s="26"/>
      <c r="AA154" s="27"/>
      <c r="AB154" s="26"/>
      <c r="AC154" s="27"/>
      <c r="AD154" s="26"/>
      <c r="AE154" s="27"/>
      <c r="AF154" s="26"/>
      <c r="AG154" s="27"/>
      <c r="AH154" s="26"/>
      <c r="AI154" s="27"/>
      <c r="AJ154" s="26"/>
      <c r="AK154" s="27"/>
      <c r="AL154" s="26"/>
      <c r="AM154" s="27"/>
      <c r="AN154" s="26"/>
      <c r="AO154" s="27"/>
      <c r="AP154" s="26"/>
      <c r="AQ154" s="27"/>
      <c r="AR154" s="26"/>
      <c r="AS154" s="27"/>
      <c r="AT154" s="26"/>
      <c r="AU154" s="27"/>
      <c r="AV154" s="26"/>
      <c r="AW154" s="27"/>
      <c r="AX154" s="26"/>
      <c r="AY154" s="27"/>
    </row>
    <row r="155" spans="2:51">
      <c r="B155" s="24"/>
      <c r="C155" s="25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6"/>
      <c r="S155" s="27"/>
      <c r="T155" s="26"/>
      <c r="U155" s="27"/>
      <c r="V155" s="26"/>
      <c r="W155" s="27"/>
      <c r="X155" s="26"/>
      <c r="Y155" s="27"/>
      <c r="Z155" s="26"/>
      <c r="AA155" s="27"/>
      <c r="AB155" s="26"/>
      <c r="AC155" s="27"/>
      <c r="AD155" s="26"/>
      <c r="AE155" s="27"/>
      <c r="AF155" s="26"/>
      <c r="AG155" s="27"/>
      <c r="AH155" s="26"/>
      <c r="AI155" s="27"/>
      <c r="AJ155" s="26"/>
      <c r="AK155" s="27"/>
      <c r="AL155" s="26"/>
      <c r="AM155" s="27"/>
      <c r="AN155" s="26"/>
      <c r="AO155" s="27"/>
      <c r="AP155" s="26"/>
      <c r="AQ155" s="27"/>
      <c r="AR155" s="26"/>
      <c r="AS155" s="27"/>
      <c r="AT155" s="26"/>
      <c r="AU155" s="27"/>
      <c r="AV155" s="26"/>
      <c r="AW155" s="27"/>
      <c r="AX155" s="26"/>
      <c r="AY155" s="27"/>
    </row>
    <row r="156" spans="2:51">
      <c r="B156" s="24"/>
      <c r="C156" s="25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6"/>
      <c r="S156" s="27"/>
      <c r="T156" s="26"/>
      <c r="U156" s="27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26"/>
      <c r="AK156" s="27"/>
      <c r="AL156" s="26"/>
      <c r="AM156" s="27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</row>
    <row r="157" spans="2:51">
      <c r="B157" s="24"/>
      <c r="C157" s="25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6"/>
      <c r="S157" s="27"/>
      <c r="T157" s="26"/>
      <c r="U157" s="27"/>
      <c r="V157" s="26"/>
      <c r="W157" s="27"/>
      <c r="X157" s="26"/>
      <c r="Y157" s="27"/>
      <c r="Z157" s="26"/>
      <c r="AA157" s="27"/>
      <c r="AB157" s="26"/>
      <c r="AC157" s="27"/>
      <c r="AD157" s="26"/>
      <c r="AE157" s="27"/>
      <c r="AF157" s="26"/>
      <c r="AG157" s="27"/>
      <c r="AH157" s="26"/>
      <c r="AI157" s="27"/>
      <c r="AJ157" s="26"/>
      <c r="AK157" s="27"/>
      <c r="AL157" s="26"/>
      <c r="AM157" s="27"/>
      <c r="AN157" s="26"/>
      <c r="AO157" s="27"/>
      <c r="AP157" s="26"/>
      <c r="AQ157" s="27"/>
      <c r="AR157" s="26"/>
      <c r="AS157" s="27"/>
      <c r="AT157" s="26"/>
      <c r="AU157" s="27"/>
      <c r="AV157" s="26"/>
      <c r="AW157" s="27"/>
      <c r="AX157" s="26"/>
      <c r="AY157" s="27"/>
    </row>
    <row r="158" spans="2:51">
      <c r="B158" s="24"/>
      <c r="C158" s="25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7"/>
      <c r="AD158" s="26"/>
      <c r="AE158" s="27"/>
      <c r="AF158" s="26"/>
      <c r="AG158" s="27"/>
      <c r="AH158" s="26"/>
      <c r="AI158" s="27"/>
      <c r="AJ158" s="26"/>
      <c r="AK158" s="27"/>
      <c r="AL158" s="26"/>
      <c r="AM158" s="27"/>
      <c r="AN158" s="26"/>
      <c r="AO158" s="27"/>
      <c r="AP158" s="26"/>
      <c r="AQ158" s="27"/>
      <c r="AR158" s="26"/>
      <c r="AS158" s="27"/>
      <c r="AT158" s="26"/>
      <c r="AU158" s="27"/>
      <c r="AV158" s="26"/>
      <c r="AW158" s="27"/>
      <c r="AX158" s="26"/>
      <c r="AY158" s="27"/>
    </row>
    <row r="159" spans="2:51">
      <c r="B159" s="24"/>
      <c r="C159" s="25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6"/>
      <c r="S159" s="27"/>
      <c r="T159" s="26"/>
      <c r="U159" s="27"/>
      <c r="V159" s="26"/>
      <c r="W159" s="27"/>
      <c r="X159" s="26"/>
      <c r="Y159" s="27"/>
      <c r="Z159" s="26"/>
      <c r="AA159" s="27"/>
      <c r="AB159" s="26"/>
      <c r="AC159" s="27"/>
      <c r="AD159" s="26"/>
      <c r="AE159" s="27"/>
      <c r="AF159" s="26"/>
      <c r="AG159" s="27"/>
      <c r="AH159" s="26"/>
      <c r="AI159" s="27"/>
      <c r="AJ159" s="26"/>
      <c r="AK159" s="27"/>
      <c r="AL159" s="26"/>
      <c r="AM159" s="27"/>
      <c r="AN159" s="26"/>
      <c r="AO159" s="27"/>
      <c r="AP159" s="26"/>
      <c r="AQ159" s="27"/>
      <c r="AR159" s="26"/>
      <c r="AS159" s="27"/>
      <c r="AT159" s="26"/>
      <c r="AU159" s="27"/>
      <c r="AV159" s="26"/>
      <c r="AW159" s="27"/>
      <c r="AX159" s="26"/>
      <c r="AY159" s="27"/>
    </row>
    <row r="160" spans="2:51">
      <c r="B160" s="24"/>
      <c r="C160" s="25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6"/>
      <c r="S160" s="27"/>
      <c r="T160" s="26"/>
      <c r="U160" s="27"/>
      <c r="V160" s="26"/>
      <c r="W160" s="27"/>
      <c r="X160" s="26"/>
      <c r="Y160" s="27"/>
      <c r="Z160" s="26"/>
      <c r="AA160" s="27"/>
      <c r="AB160" s="26"/>
      <c r="AC160" s="27"/>
      <c r="AD160" s="26"/>
      <c r="AE160" s="27"/>
      <c r="AF160" s="26"/>
      <c r="AG160" s="27"/>
      <c r="AH160" s="26"/>
      <c r="AI160" s="27"/>
      <c r="AJ160" s="26"/>
      <c r="AK160" s="27"/>
      <c r="AL160" s="26"/>
      <c r="AM160" s="27"/>
      <c r="AN160" s="26"/>
      <c r="AO160" s="27"/>
      <c r="AP160" s="26"/>
      <c r="AQ160" s="27"/>
      <c r="AR160" s="26"/>
      <c r="AS160" s="27"/>
      <c r="AT160" s="26"/>
      <c r="AU160" s="27"/>
      <c r="AV160" s="26"/>
      <c r="AW160" s="27"/>
      <c r="AX160" s="26"/>
      <c r="AY160" s="27"/>
    </row>
    <row r="161" spans="2:51">
      <c r="B161" s="24"/>
      <c r="C161" s="25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6"/>
      <c r="S161" s="27"/>
      <c r="T161" s="26"/>
      <c r="U161" s="27"/>
      <c r="V161" s="26"/>
      <c r="W161" s="27"/>
      <c r="X161" s="26"/>
      <c r="Y161" s="27"/>
      <c r="Z161" s="26"/>
      <c r="AA161" s="27"/>
      <c r="AB161" s="26"/>
      <c r="AC161" s="27"/>
      <c r="AD161" s="26"/>
      <c r="AE161" s="27"/>
      <c r="AF161" s="26"/>
      <c r="AG161" s="27"/>
      <c r="AH161" s="26"/>
      <c r="AI161" s="27"/>
      <c r="AJ161" s="26"/>
      <c r="AK161" s="27"/>
      <c r="AL161" s="26"/>
      <c r="AM161" s="27"/>
      <c r="AN161" s="26"/>
      <c r="AO161" s="27"/>
      <c r="AP161" s="26"/>
      <c r="AQ161" s="27"/>
      <c r="AR161" s="26"/>
      <c r="AS161" s="27"/>
      <c r="AT161" s="26"/>
      <c r="AU161" s="27"/>
      <c r="AV161" s="26"/>
      <c r="AW161" s="27"/>
      <c r="AX161" s="26"/>
      <c r="AY161" s="27"/>
    </row>
    <row r="162" spans="2:51">
      <c r="B162" s="24"/>
      <c r="C162" s="25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6"/>
      <c r="S162" s="27"/>
      <c r="T162" s="26"/>
      <c r="U162" s="27"/>
      <c r="V162" s="26"/>
      <c r="W162" s="27"/>
      <c r="X162" s="26"/>
      <c r="Y162" s="27"/>
      <c r="Z162" s="26"/>
      <c r="AA162" s="27"/>
      <c r="AB162" s="26"/>
      <c r="AC162" s="27"/>
      <c r="AD162" s="26"/>
      <c r="AE162" s="27"/>
      <c r="AF162" s="26"/>
      <c r="AG162" s="27"/>
      <c r="AH162" s="26"/>
      <c r="AI162" s="27"/>
      <c r="AJ162" s="26"/>
      <c r="AK162" s="27"/>
      <c r="AL162" s="26"/>
      <c r="AM162" s="27"/>
      <c r="AN162" s="26"/>
      <c r="AO162" s="27"/>
      <c r="AP162" s="26"/>
      <c r="AQ162" s="27"/>
      <c r="AR162" s="26"/>
      <c r="AS162" s="27"/>
      <c r="AT162" s="26"/>
      <c r="AU162" s="27"/>
      <c r="AV162" s="26"/>
      <c r="AW162" s="27"/>
      <c r="AX162" s="26"/>
      <c r="AY162" s="27"/>
    </row>
    <row r="163" spans="2:51">
      <c r="B163" s="24"/>
      <c r="C163" s="25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6"/>
      <c r="S163" s="27"/>
      <c r="T163" s="26"/>
      <c r="U163" s="27"/>
      <c r="V163" s="26"/>
      <c r="W163" s="27"/>
      <c r="X163" s="26"/>
      <c r="Y163" s="27"/>
      <c r="Z163" s="26"/>
      <c r="AA163" s="27"/>
      <c r="AB163" s="26"/>
      <c r="AC163" s="27"/>
      <c r="AD163" s="26"/>
      <c r="AE163" s="27"/>
      <c r="AF163" s="26"/>
      <c r="AG163" s="27"/>
      <c r="AH163" s="26"/>
      <c r="AI163" s="27"/>
      <c r="AJ163" s="26"/>
      <c r="AK163" s="27"/>
      <c r="AL163" s="26"/>
      <c r="AM163" s="27"/>
      <c r="AN163" s="26"/>
      <c r="AO163" s="27"/>
      <c r="AP163" s="26"/>
      <c r="AQ163" s="27"/>
      <c r="AR163" s="26"/>
      <c r="AS163" s="27"/>
      <c r="AT163" s="26"/>
      <c r="AU163" s="27"/>
      <c r="AV163" s="26"/>
      <c r="AW163" s="27"/>
      <c r="AX163" s="26"/>
      <c r="AY163" s="27"/>
    </row>
    <row r="164" spans="2:51">
      <c r="B164" s="24"/>
      <c r="C164" s="25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6"/>
      <c r="AC164" s="27"/>
      <c r="AD164" s="26"/>
      <c r="AE164" s="27"/>
      <c r="AF164" s="26"/>
      <c r="AG164" s="27"/>
      <c r="AH164" s="26"/>
      <c r="AI164" s="27"/>
      <c r="AJ164" s="26"/>
      <c r="AK164" s="27"/>
      <c r="AL164" s="26"/>
      <c r="AM164" s="27"/>
      <c r="AN164" s="26"/>
      <c r="AO164" s="27"/>
      <c r="AP164" s="26"/>
      <c r="AQ164" s="27"/>
      <c r="AR164" s="26"/>
      <c r="AS164" s="27"/>
      <c r="AT164" s="26"/>
      <c r="AU164" s="27"/>
      <c r="AV164" s="26"/>
      <c r="AW164" s="27"/>
      <c r="AX164" s="26"/>
      <c r="AY164" s="27"/>
    </row>
    <row r="165" spans="2:51">
      <c r="B165" s="24"/>
      <c r="C165" s="25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6"/>
      <c r="S165" s="27"/>
      <c r="T165" s="26"/>
      <c r="U165" s="27"/>
      <c r="V165" s="26"/>
      <c r="W165" s="27"/>
      <c r="X165" s="26"/>
      <c r="Y165" s="27"/>
      <c r="Z165" s="26"/>
      <c r="AA165" s="27"/>
      <c r="AB165" s="26"/>
      <c r="AC165" s="27"/>
      <c r="AD165" s="26"/>
      <c r="AE165" s="27"/>
      <c r="AF165" s="26"/>
      <c r="AG165" s="27"/>
      <c r="AH165" s="26"/>
      <c r="AI165" s="27"/>
      <c r="AJ165" s="26"/>
      <c r="AK165" s="27"/>
      <c r="AL165" s="26"/>
      <c r="AM165" s="27"/>
      <c r="AN165" s="26"/>
      <c r="AO165" s="27"/>
      <c r="AP165" s="26"/>
      <c r="AQ165" s="27"/>
      <c r="AR165" s="26"/>
      <c r="AS165" s="27"/>
      <c r="AT165" s="26"/>
      <c r="AU165" s="27"/>
      <c r="AV165" s="26"/>
      <c r="AW165" s="27"/>
      <c r="AX165" s="26"/>
      <c r="AY165" s="27"/>
    </row>
    <row r="166" spans="2:51">
      <c r="B166" s="24"/>
      <c r="C166" s="25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6"/>
      <c r="S166" s="27"/>
      <c r="T166" s="26"/>
      <c r="U166" s="27"/>
      <c r="V166" s="26"/>
      <c r="W166" s="27"/>
      <c r="X166" s="26"/>
      <c r="Y166" s="27"/>
      <c r="Z166" s="26"/>
      <c r="AA166" s="27"/>
      <c r="AB166" s="26"/>
      <c r="AC166" s="27"/>
      <c r="AD166" s="26"/>
      <c r="AE166" s="27"/>
      <c r="AF166" s="26"/>
      <c r="AG166" s="27"/>
      <c r="AH166" s="26"/>
      <c r="AI166" s="27"/>
      <c r="AJ166" s="26"/>
      <c r="AK166" s="27"/>
      <c r="AL166" s="26"/>
      <c r="AM166" s="27"/>
      <c r="AN166" s="26"/>
      <c r="AO166" s="27"/>
      <c r="AP166" s="26"/>
      <c r="AQ166" s="27"/>
      <c r="AR166" s="26"/>
      <c r="AS166" s="27"/>
      <c r="AT166" s="26"/>
      <c r="AU166" s="27"/>
      <c r="AV166" s="26"/>
      <c r="AW166" s="27"/>
      <c r="AX166" s="26"/>
      <c r="AY166" s="27"/>
    </row>
  </sheetData>
  <conditionalFormatting sqref="B2:M2">
    <cfRule type="expression" dxfId="8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Y167"/>
  <sheetViews>
    <sheetView workbookViewId="0"/>
  </sheetViews>
  <sheetFormatPr defaultRowHeight="14.4"/>
  <cols>
    <col min="1" max="2" width="9.109375" style="121"/>
    <col min="3" max="3" width="29.44140625" style="121" bestFit="1" customWidth="1"/>
    <col min="4" max="4" width="11.5546875" style="121" bestFit="1" customWidth="1"/>
    <col min="5" max="5" width="9.33203125" style="121" bestFit="1" customWidth="1"/>
    <col min="6" max="6" width="11.5546875" style="121" bestFit="1" customWidth="1"/>
    <col min="7" max="7" width="9.33203125" style="121" bestFit="1" customWidth="1"/>
    <col min="8" max="8" width="11.5546875" style="121" bestFit="1" customWidth="1"/>
    <col min="9" max="9" width="9.33203125" style="121" bestFit="1" customWidth="1"/>
    <col min="10" max="10" width="11.5546875" style="121" bestFit="1" customWidth="1"/>
    <col min="11" max="11" width="9.33203125" style="121" bestFit="1" customWidth="1"/>
    <col min="12" max="12" width="11.5546875" style="121" bestFit="1" customWidth="1"/>
    <col min="13" max="13" width="9.33203125" style="121" bestFit="1" customWidth="1"/>
    <col min="14" max="14" width="11.5546875" style="121" bestFit="1" customWidth="1"/>
    <col min="15" max="15" width="9.33203125" style="121" bestFit="1" customWidth="1"/>
    <col min="16" max="16" width="11.5546875" style="121" bestFit="1" customWidth="1"/>
    <col min="17" max="17" width="9.33203125" style="121" bestFit="1" customWidth="1"/>
    <col min="18" max="18" width="11.5546875" style="121" bestFit="1" customWidth="1"/>
    <col min="19" max="19" width="9.33203125" style="121" bestFit="1" customWidth="1"/>
    <col min="20" max="20" width="11.5546875" style="121" bestFit="1" customWidth="1"/>
    <col min="21" max="21" width="9.33203125" style="121" bestFit="1" customWidth="1"/>
    <col min="22" max="22" width="11.5546875" style="121" bestFit="1" customWidth="1"/>
    <col min="23" max="23" width="9.33203125" style="121" bestFit="1" customWidth="1"/>
    <col min="24" max="24" width="11.5546875" style="121" bestFit="1" customWidth="1"/>
    <col min="25" max="25" width="9.33203125" style="121" bestFit="1" customWidth="1"/>
    <col min="26" max="26" width="11.5546875" style="121" bestFit="1" customWidth="1"/>
    <col min="27" max="27" width="9.33203125" style="121" bestFit="1" customWidth="1"/>
    <col min="28" max="28" width="11.5546875" style="121" bestFit="1" customWidth="1"/>
    <col min="29" max="29" width="9.33203125" style="121" bestFit="1" customWidth="1"/>
    <col min="30" max="30" width="11.5546875" style="121" bestFit="1" customWidth="1"/>
    <col min="31" max="31" width="9.33203125" style="121" bestFit="1" customWidth="1"/>
    <col min="32" max="32" width="11.5546875" style="121" bestFit="1" customWidth="1"/>
    <col min="33" max="33" width="9.33203125" style="121" bestFit="1" customWidth="1"/>
    <col min="34" max="34" width="11.5546875" style="121" bestFit="1" customWidth="1"/>
    <col min="35" max="35" width="9.33203125" style="121" bestFit="1" customWidth="1"/>
    <col min="36" max="36" width="11.5546875" style="121" bestFit="1" customWidth="1"/>
    <col min="37" max="37" width="9.33203125" style="121" bestFit="1" customWidth="1"/>
    <col min="38" max="38" width="11.5546875" style="121" bestFit="1" customWidth="1"/>
    <col min="39" max="39" width="9.33203125" style="121" bestFit="1" customWidth="1"/>
    <col min="40" max="40" width="11.5546875" style="121" bestFit="1" customWidth="1"/>
    <col min="41" max="41" width="9.33203125" style="121" bestFit="1" customWidth="1"/>
    <col min="42" max="42" width="11.5546875" style="121" bestFit="1" customWidth="1"/>
    <col min="43" max="43" width="9.33203125" style="121" bestFit="1" customWidth="1"/>
    <col min="44" max="44" width="11.5546875" style="121" bestFit="1" customWidth="1"/>
    <col min="45" max="45" width="9.33203125" style="121" bestFit="1" customWidth="1"/>
    <col min="46" max="46" width="11.5546875" style="121" bestFit="1" customWidth="1"/>
    <col min="47" max="47" width="9.33203125" style="121" bestFit="1" customWidth="1"/>
    <col min="48" max="48" width="11.5546875" style="121" bestFit="1" customWidth="1"/>
    <col min="49" max="49" width="9.33203125" style="121" bestFit="1" customWidth="1"/>
    <col min="50" max="50" width="11.5546875" style="121" bestFit="1" customWidth="1"/>
    <col min="51" max="51" width="9.33203125" style="121" bestFit="1" customWidth="1"/>
    <col min="52" max="258" width="9.109375" style="121"/>
    <col min="259" max="259" width="29.44140625" style="121" bestFit="1" customWidth="1"/>
    <col min="260" max="260" width="11.5546875" style="121" bestFit="1" customWidth="1"/>
    <col min="261" max="261" width="9.33203125" style="121" bestFit="1" customWidth="1"/>
    <col min="262" max="262" width="11.5546875" style="121" bestFit="1" customWidth="1"/>
    <col min="263" max="263" width="9.33203125" style="121" bestFit="1" customWidth="1"/>
    <col min="264" max="264" width="11.5546875" style="121" bestFit="1" customWidth="1"/>
    <col min="265" max="265" width="9.33203125" style="121" bestFit="1" customWidth="1"/>
    <col min="266" max="266" width="11.5546875" style="121" bestFit="1" customWidth="1"/>
    <col min="267" max="267" width="9.33203125" style="121" bestFit="1" customWidth="1"/>
    <col min="268" max="268" width="11.5546875" style="121" bestFit="1" customWidth="1"/>
    <col min="269" max="269" width="9.33203125" style="121" bestFit="1" customWidth="1"/>
    <col min="270" max="270" width="11.5546875" style="121" bestFit="1" customWidth="1"/>
    <col min="271" max="271" width="9.33203125" style="121" bestFit="1" customWidth="1"/>
    <col min="272" max="272" width="11.5546875" style="121" bestFit="1" customWidth="1"/>
    <col min="273" max="273" width="9.33203125" style="121" bestFit="1" customWidth="1"/>
    <col min="274" max="274" width="11.5546875" style="121" bestFit="1" customWidth="1"/>
    <col min="275" max="275" width="9.33203125" style="121" bestFit="1" customWidth="1"/>
    <col min="276" max="276" width="11.5546875" style="121" bestFit="1" customWidth="1"/>
    <col min="277" max="277" width="9.33203125" style="121" bestFit="1" customWidth="1"/>
    <col min="278" max="278" width="11.5546875" style="121" bestFit="1" customWidth="1"/>
    <col min="279" max="279" width="9.33203125" style="121" bestFit="1" customWidth="1"/>
    <col min="280" max="280" width="11.5546875" style="121" bestFit="1" customWidth="1"/>
    <col min="281" max="281" width="9.33203125" style="121" bestFit="1" customWidth="1"/>
    <col min="282" max="282" width="11.5546875" style="121" bestFit="1" customWidth="1"/>
    <col min="283" max="283" width="9.33203125" style="121" bestFit="1" customWidth="1"/>
    <col min="284" max="284" width="11.5546875" style="121" bestFit="1" customWidth="1"/>
    <col min="285" max="285" width="9.33203125" style="121" bestFit="1" customWidth="1"/>
    <col min="286" max="286" width="11.5546875" style="121" bestFit="1" customWidth="1"/>
    <col min="287" max="287" width="9.33203125" style="121" bestFit="1" customWidth="1"/>
    <col min="288" max="288" width="11.5546875" style="121" bestFit="1" customWidth="1"/>
    <col min="289" max="289" width="9.33203125" style="121" bestFit="1" customWidth="1"/>
    <col min="290" max="290" width="11.5546875" style="121" bestFit="1" customWidth="1"/>
    <col min="291" max="291" width="9.33203125" style="121" bestFit="1" customWidth="1"/>
    <col min="292" max="292" width="11.5546875" style="121" bestFit="1" customWidth="1"/>
    <col min="293" max="293" width="9.33203125" style="121" bestFit="1" customWidth="1"/>
    <col min="294" max="294" width="11.5546875" style="121" bestFit="1" customWidth="1"/>
    <col min="295" max="295" width="9.33203125" style="121" bestFit="1" customWidth="1"/>
    <col min="296" max="296" width="11.5546875" style="121" bestFit="1" customWidth="1"/>
    <col min="297" max="297" width="9.33203125" style="121" bestFit="1" customWidth="1"/>
    <col min="298" max="298" width="11.5546875" style="121" bestFit="1" customWidth="1"/>
    <col min="299" max="299" width="9.33203125" style="121" bestFit="1" customWidth="1"/>
    <col min="300" max="300" width="11.5546875" style="121" bestFit="1" customWidth="1"/>
    <col min="301" max="301" width="9.33203125" style="121" bestFit="1" customWidth="1"/>
    <col min="302" max="302" width="11.5546875" style="121" bestFit="1" customWidth="1"/>
    <col min="303" max="303" width="9.33203125" style="121" bestFit="1" customWidth="1"/>
    <col min="304" max="304" width="11.5546875" style="121" bestFit="1" customWidth="1"/>
    <col min="305" max="305" width="9.33203125" style="121" bestFit="1" customWidth="1"/>
    <col min="306" max="306" width="11.5546875" style="121" bestFit="1" customWidth="1"/>
    <col min="307" max="307" width="9.33203125" style="121" bestFit="1" customWidth="1"/>
    <col min="308" max="514" width="9.109375" style="121"/>
    <col min="515" max="515" width="29.44140625" style="121" bestFit="1" customWidth="1"/>
    <col min="516" max="516" width="11.5546875" style="121" bestFit="1" customWidth="1"/>
    <col min="517" max="517" width="9.33203125" style="121" bestFit="1" customWidth="1"/>
    <col min="518" max="518" width="11.5546875" style="121" bestFit="1" customWidth="1"/>
    <col min="519" max="519" width="9.33203125" style="121" bestFit="1" customWidth="1"/>
    <col min="520" max="520" width="11.5546875" style="121" bestFit="1" customWidth="1"/>
    <col min="521" max="521" width="9.33203125" style="121" bestFit="1" customWidth="1"/>
    <col min="522" max="522" width="11.5546875" style="121" bestFit="1" customWidth="1"/>
    <col min="523" max="523" width="9.33203125" style="121" bestFit="1" customWidth="1"/>
    <col min="524" max="524" width="11.5546875" style="121" bestFit="1" customWidth="1"/>
    <col min="525" max="525" width="9.33203125" style="121" bestFit="1" customWidth="1"/>
    <col min="526" max="526" width="11.5546875" style="121" bestFit="1" customWidth="1"/>
    <col min="527" max="527" width="9.33203125" style="121" bestFit="1" customWidth="1"/>
    <col min="528" max="528" width="11.5546875" style="121" bestFit="1" customWidth="1"/>
    <col min="529" max="529" width="9.33203125" style="121" bestFit="1" customWidth="1"/>
    <col min="530" max="530" width="11.5546875" style="121" bestFit="1" customWidth="1"/>
    <col min="531" max="531" width="9.33203125" style="121" bestFit="1" customWidth="1"/>
    <col min="532" max="532" width="11.5546875" style="121" bestFit="1" customWidth="1"/>
    <col min="533" max="533" width="9.33203125" style="121" bestFit="1" customWidth="1"/>
    <col min="534" max="534" width="11.5546875" style="121" bestFit="1" customWidth="1"/>
    <col min="535" max="535" width="9.33203125" style="121" bestFit="1" customWidth="1"/>
    <col min="536" max="536" width="11.5546875" style="121" bestFit="1" customWidth="1"/>
    <col min="537" max="537" width="9.33203125" style="121" bestFit="1" customWidth="1"/>
    <col min="538" max="538" width="11.5546875" style="121" bestFit="1" customWidth="1"/>
    <col min="539" max="539" width="9.33203125" style="121" bestFit="1" customWidth="1"/>
    <col min="540" max="540" width="11.5546875" style="121" bestFit="1" customWidth="1"/>
    <col min="541" max="541" width="9.33203125" style="121" bestFit="1" customWidth="1"/>
    <col min="542" max="542" width="11.5546875" style="121" bestFit="1" customWidth="1"/>
    <col min="543" max="543" width="9.33203125" style="121" bestFit="1" customWidth="1"/>
    <col min="544" max="544" width="11.5546875" style="121" bestFit="1" customWidth="1"/>
    <col min="545" max="545" width="9.33203125" style="121" bestFit="1" customWidth="1"/>
    <col min="546" max="546" width="11.5546875" style="121" bestFit="1" customWidth="1"/>
    <col min="547" max="547" width="9.33203125" style="121" bestFit="1" customWidth="1"/>
    <col min="548" max="548" width="11.5546875" style="121" bestFit="1" customWidth="1"/>
    <col min="549" max="549" width="9.33203125" style="121" bestFit="1" customWidth="1"/>
    <col min="550" max="550" width="11.5546875" style="121" bestFit="1" customWidth="1"/>
    <col min="551" max="551" width="9.33203125" style="121" bestFit="1" customWidth="1"/>
    <col min="552" max="552" width="11.5546875" style="121" bestFit="1" customWidth="1"/>
    <col min="553" max="553" width="9.33203125" style="121" bestFit="1" customWidth="1"/>
    <col min="554" max="554" width="11.5546875" style="121" bestFit="1" customWidth="1"/>
    <col min="555" max="555" width="9.33203125" style="121" bestFit="1" customWidth="1"/>
    <col min="556" max="556" width="11.5546875" style="121" bestFit="1" customWidth="1"/>
    <col min="557" max="557" width="9.33203125" style="121" bestFit="1" customWidth="1"/>
    <col min="558" max="558" width="11.5546875" style="121" bestFit="1" customWidth="1"/>
    <col min="559" max="559" width="9.33203125" style="121" bestFit="1" customWidth="1"/>
    <col min="560" max="560" width="11.5546875" style="121" bestFit="1" customWidth="1"/>
    <col min="561" max="561" width="9.33203125" style="121" bestFit="1" customWidth="1"/>
    <col min="562" max="562" width="11.5546875" style="121" bestFit="1" customWidth="1"/>
    <col min="563" max="563" width="9.33203125" style="121" bestFit="1" customWidth="1"/>
    <col min="564" max="770" width="9.109375" style="121"/>
    <col min="771" max="771" width="29.44140625" style="121" bestFit="1" customWidth="1"/>
    <col min="772" max="772" width="11.5546875" style="121" bestFit="1" customWidth="1"/>
    <col min="773" max="773" width="9.33203125" style="121" bestFit="1" customWidth="1"/>
    <col min="774" max="774" width="11.5546875" style="121" bestFit="1" customWidth="1"/>
    <col min="775" max="775" width="9.33203125" style="121" bestFit="1" customWidth="1"/>
    <col min="776" max="776" width="11.5546875" style="121" bestFit="1" customWidth="1"/>
    <col min="777" max="777" width="9.33203125" style="121" bestFit="1" customWidth="1"/>
    <col min="778" max="778" width="11.5546875" style="121" bestFit="1" customWidth="1"/>
    <col min="779" max="779" width="9.33203125" style="121" bestFit="1" customWidth="1"/>
    <col min="780" max="780" width="11.5546875" style="121" bestFit="1" customWidth="1"/>
    <col min="781" max="781" width="9.33203125" style="121" bestFit="1" customWidth="1"/>
    <col min="782" max="782" width="11.5546875" style="121" bestFit="1" customWidth="1"/>
    <col min="783" max="783" width="9.33203125" style="121" bestFit="1" customWidth="1"/>
    <col min="784" max="784" width="11.5546875" style="121" bestFit="1" customWidth="1"/>
    <col min="785" max="785" width="9.33203125" style="121" bestFit="1" customWidth="1"/>
    <col min="786" max="786" width="11.5546875" style="121" bestFit="1" customWidth="1"/>
    <col min="787" max="787" width="9.33203125" style="121" bestFit="1" customWidth="1"/>
    <col min="788" max="788" width="11.5546875" style="121" bestFit="1" customWidth="1"/>
    <col min="789" max="789" width="9.33203125" style="121" bestFit="1" customWidth="1"/>
    <col min="790" max="790" width="11.5546875" style="121" bestFit="1" customWidth="1"/>
    <col min="791" max="791" width="9.33203125" style="121" bestFit="1" customWidth="1"/>
    <col min="792" max="792" width="11.5546875" style="121" bestFit="1" customWidth="1"/>
    <col min="793" max="793" width="9.33203125" style="121" bestFit="1" customWidth="1"/>
    <col min="794" max="794" width="11.5546875" style="121" bestFit="1" customWidth="1"/>
    <col min="795" max="795" width="9.33203125" style="121" bestFit="1" customWidth="1"/>
    <col min="796" max="796" width="11.5546875" style="121" bestFit="1" customWidth="1"/>
    <col min="797" max="797" width="9.33203125" style="121" bestFit="1" customWidth="1"/>
    <col min="798" max="798" width="11.5546875" style="121" bestFit="1" customWidth="1"/>
    <col min="799" max="799" width="9.33203125" style="121" bestFit="1" customWidth="1"/>
    <col min="800" max="800" width="11.5546875" style="121" bestFit="1" customWidth="1"/>
    <col min="801" max="801" width="9.33203125" style="121" bestFit="1" customWidth="1"/>
    <col min="802" max="802" width="11.5546875" style="121" bestFit="1" customWidth="1"/>
    <col min="803" max="803" width="9.33203125" style="121" bestFit="1" customWidth="1"/>
    <col min="804" max="804" width="11.5546875" style="121" bestFit="1" customWidth="1"/>
    <col min="805" max="805" width="9.33203125" style="121" bestFit="1" customWidth="1"/>
    <col min="806" max="806" width="11.5546875" style="121" bestFit="1" customWidth="1"/>
    <col min="807" max="807" width="9.33203125" style="121" bestFit="1" customWidth="1"/>
    <col min="808" max="808" width="11.5546875" style="121" bestFit="1" customWidth="1"/>
    <col min="809" max="809" width="9.33203125" style="121" bestFit="1" customWidth="1"/>
    <col min="810" max="810" width="11.5546875" style="121" bestFit="1" customWidth="1"/>
    <col min="811" max="811" width="9.33203125" style="121" bestFit="1" customWidth="1"/>
    <col min="812" max="812" width="11.5546875" style="121" bestFit="1" customWidth="1"/>
    <col min="813" max="813" width="9.33203125" style="121" bestFit="1" customWidth="1"/>
    <col min="814" max="814" width="11.5546875" style="121" bestFit="1" customWidth="1"/>
    <col min="815" max="815" width="9.33203125" style="121" bestFit="1" customWidth="1"/>
    <col min="816" max="816" width="11.5546875" style="121" bestFit="1" customWidth="1"/>
    <col min="817" max="817" width="9.33203125" style="121" bestFit="1" customWidth="1"/>
    <col min="818" max="818" width="11.5546875" style="121" bestFit="1" customWidth="1"/>
    <col min="819" max="819" width="9.33203125" style="121" bestFit="1" customWidth="1"/>
    <col min="820" max="1026" width="9.109375" style="121"/>
    <col min="1027" max="1027" width="29.44140625" style="121" bestFit="1" customWidth="1"/>
    <col min="1028" max="1028" width="11.5546875" style="121" bestFit="1" customWidth="1"/>
    <col min="1029" max="1029" width="9.33203125" style="121" bestFit="1" customWidth="1"/>
    <col min="1030" max="1030" width="11.5546875" style="121" bestFit="1" customWidth="1"/>
    <col min="1031" max="1031" width="9.33203125" style="121" bestFit="1" customWidth="1"/>
    <col min="1032" max="1032" width="11.5546875" style="121" bestFit="1" customWidth="1"/>
    <col min="1033" max="1033" width="9.33203125" style="121" bestFit="1" customWidth="1"/>
    <col min="1034" max="1034" width="11.5546875" style="121" bestFit="1" customWidth="1"/>
    <col min="1035" max="1035" width="9.33203125" style="121" bestFit="1" customWidth="1"/>
    <col min="1036" max="1036" width="11.5546875" style="121" bestFit="1" customWidth="1"/>
    <col min="1037" max="1037" width="9.33203125" style="121" bestFit="1" customWidth="1"/>
    <col min="1038" max="1038" width="11.5546875" style="121" bestFit="1" customWidth="1"/>
    <col min="1039" max="1039" width="9.33203125" style="121" bestFit="1" customWidth="1"/>
    <col min="1040" max="1040" width="11.5546875" style="121" bestFit="1" customWidth="1"/>
    <col min="1041" max="1041" width="9.33203125" style="121" bestFit="1" customWidth="1"/>
    <col min="1042" max="1042" width="11.5546875" style="121" bestFit="1" customWidth="1"/>
    <col min="1043" max="1043" width="9.33203125" style="121" bestFit="1" customWidth="1"/>
    <col min="1044" max="1044" width="11.5546875" style="121" bestFit="1" customWidth="1"/>
    <col min="1045" max="1045" width="9.33203125" style="121" bestFit="1" customWidth="1"/>
    <col min="1046" max="1046" width="11.5546875" style="121" bestFit="1" customWidth="1"/>
    <col min="1047" max="1047" width="9.33203125" style="121" bestFit="1" customWidth="1"/>
    <col min="1048" max="1048" width="11.5546875" style="121" bestFit="1" customWidth="1"/>
    <col min="1049" max="1049" width="9.33203125" style="121" bestFit="1" customWidth="1"/>
    <col min="1050" max="1050" width="11.5546875" style="121" bestFit="1" customWidth="1"/>
    <col min="1051" max="1051" width="9.33203125" style="121" bestFit="1" customWidth="1"/>
    <col min="1052" max="1052" width="11.5546875" style="121" bestFit="1" customWidth="1"/>
    <col min="1053" max="1053" width="9.33203125" style="121" bestFit="1" customWidth="1"/>
    <col min="1054" max="1054" width="11.5546875" style="121" bestFit="1" customWidth="1"/>
    <col min="1055" max="1055" width="9.33203125" style="121" bestFit="1" customWidth="1"/>
    <col min="1056" max="1056" width="11.5546875" style="121" bestFit="1" customWidth="1"/>
    <col min="1057" max="1057" width="9.33203125" style="121" bestFit="1" customWidth="1"/>
    <col min="1058" max="1058" width="11.5546875" style="121" bestFit="1" customWidth="1"/>
    <col min="1059" max="1059" width="9.33203125" style="121" bestFit="1" customWidth="1"/>
    <col min="1060" max="1060" width="11.5546875" style="121" bestFit="1" customWidth="1"/>
    <col min="1061" max="1061" width="9.33203125" style="121" bestFit="1" customWidth="1"/>
    <col min="1062" max="1062" width="11.5546875" style="121" bestFit="1" customWidth="1"/>
    <col min="1063" max="1063" width="9.33203125" style="121" bestFit="1" customWidth="1"/>
    <col min="1064" max="1064" width="11.5546875" style="121" bestFit="1" customWidth="1"/>
    <col min="1065" max="1065" width="9.33203125" style="121" bestFit="1" customWidth="1"/>
    <col min="1066" max="1066" width="11.5546875" style="121" bestFit="1" customWidth="1"/>
    <col min="1067" max="1067" width="9.33203125" style="121" bestFit="1" customWidth="1"/>
    <col min="1068" max="1068" width="11.5546875" style="121" bestFit="1" customWidth="1"/>
    <col min="1069" max="1069" width="9.33203125" style="121" bestFit="1" customWidth="1"/>
    <col min="1070" max="1070" width="11.5546875" style="121" bestFit="1" customWidth="1"/>
    <col min="1071" max="1071" width="9.33203125" style="121" bestFit="1" customWidth="1"/>
    <col min="1072" max="1072" width="11.5546875" style="121" bestFit="1" customWidth="1"/>
    <col min="1073" max="1073" width="9.33203125" style="121" bestFit="1" customWidth="1"/>
    <col min="1074" max="1074" width="11.5546875" style="121" bestFit="1" customWidth="1"/>
    <col min="1075" max="1075" width="9.33203125" style="121" bestFit="1" customWidth="1"/>
    <col min="1076" max="1282" width="9.109375" style="121"/>
    <col min="1283" max="1283" width="29.44140625" style="121" bestFit="1" customWidth="1"/>
    <col min="1284" max="1284" width="11.5546875" style="121" bestFit="1" customWidth="1"/>
    <col min="1285" max="1285" width="9.33203125" style="121" bestFit="1" customWidth="1"/>
    <col min="1286" max="1286" width="11.5546875" style="121" bestFit="1" customWidth="1"/>
    <col min="1287" max="1287" width="9.33203125" style="121" bestFit="1" customWidth="1"/>
    <col min="1288" max="1288" width="11.5546875" style="121" bestFit="1" customWidth="1"/>
    <col min="1289" max="1289" width="9.33203125" style="121" bestFit="1" customWidth="1"/>
    <col min="1290" max="1290" width="11.5546875" style="121" bestFit="1" customWidth="1"/>
    <col min="1291" max="1291" width="9.33203125" style="121" bestFit="1" customWidth="1"/>
    <col min="1292" max="1292" width="11.5546875" style="121" bestFit="1" customWidth="1"/>
    <col min="1293" max="1293" width="9.33203125" style="121" bestFit="1" customWidth="1"/>
    <col min="1294" max="1294" width="11.5546875" style="121" bestFit="1" customWidth="1"/>
    <col min="1295" max="1295" width="9.33203125" style="121" bestFit="1" customWidth="1"/>
    <col min="1296" max="1296" width="11.5546875" style="121" bestFit="1" customWidth="1"/>
    <col min="1297" max="1297" width="9.33203125" style="121" bestFit="1" customWidth="1"/>
    <col min="1298" max="1298" width="11.5546875" style="121" bestFit="1" customWidth="1"/>
    <col min="1299" max="1299" width="9.33203125" style="121" bestFit="1" customWidth="1"/>
    <col min="1300" max="1300" width="11.5546875" style="121" bestFit="1" customWidth="1"/>
    <col min="1301" max="1301" width="9.33203125" style="121" bestFit="1" customWidth="1"/>
    <col min="1302" max="1302" width="11.5546875" style="121" bestFit="1" customWidth="1"/>
    <col min="1303" max="1303" width="9.33203125" style="121" bestFit="1" customWidth="1"/>
    <col min="1304" max="1304" width="11.5546875" style="121" bestFit="1" customWidth="1"/>
    <col min="1305" max="1305" width="9.33203125" style="121" bestFit="1" customWidth="1"/>
    <col min="1306" max="1306" width="11.5546875" style="121" bestFit="1" customWidth="1"/>
    <col min="1307" max="1307" width="9.33203125" style="121" bestFit="1" customWidth="1"/>
    <col min="1308" max="1308" width="11.5546875" style="121" bestFit="1" customWidth="1"/>
    <col min="1309" max="1309" width="9.33203125" style="121" bestFit="1" customWidth="1"/>
    <col min="1310" max="1310" width="11.5546875" style="121" bestFit="1" customWidth="1"/>
    <col min="1311" max="1311" width="9.33203125" style="121" bestFit="1" customWidth="1"/>
    <col min="1312" max="1312" width="11.5546875" style="121" bestFit="1" customWidth="1"/>
    <col min="1313" max="1313" width="9.33203125" style="121" bestFit="1" customWidth="1"/>
    <col min="1314" max="1314" width="11.5546875" style="121" bestFit="1" customWidth="1"/>
    <col min="1315" max="1315" width="9.33203125" style="121" bestFit="1" customWidth="1"/>
    <col min="1316" max="1316" width="11.5546875" style="121" bestFit="1" customWidth="1"/>
    <col min="1317" max="1317" width="9.33203125" style="121" bestFit="1" customWidth="1"/>
    <col min="1318" max="1318" width="11.5546875" style="121" bestFit="1" customWidth="1"/>
    <col min="1319" max="1319" width="9.33203125" style="121" bestFit="1" customWidth="1"/>
    <col min="1320" max="1320" width="11.5546875" style="121" bestFit="1" customWidth="1"/>
    <col min="1321" max="1321" width="9.33203125" style="121" bestFit="1" customWidth="1"/>
    <col min="1322" max="1322" width="11.5546875" style="121" bestFit="1" customWidth="1"/>
    <col min="1323" max="1323" width="9.33203125" style="121" bestFit="1" customWidth="1"/>
    <col min="1324" max="1324" width="11.5546875" style="121" bestFit="1" customWidth="1"/>
    <col min="1325" max="1325" width="9.33203125" style="121" bestFit="1" customWidth="1"/>
    <col min="1326" max="1326" width="11.5546875" style="121" bestFit="1" customWidth="1"/>
    <col min="1327" max="1327" width="9.33203125" style="121" bestFit="1" customWidth="1"/>
    <col min="1328" max="1328" width="11.5546875" style="121" bestFit="1" customWidth="1"/>
    <col min="1329" max="1329" width="9.33203125" style="121" bestFit="1" customWidth="1"/>
    <col min="1330" max="1330" width="11.5546875" style="121" bestFit="1" customWidth="1"/>
    <col min="1331" max="1331" width="9.33203125" style="121" bestFit="1" customWidth="1"/>
    <col min="1332" max="1538" width="9.109375" style="121"/>
    <col min="1539" max="1539" width="29.44140625" style="121" bestFit="1" customWidth="1"/>
    <col min="1540" max="1540" width="11.5546875" style="121" bestFit="1" customWidth="1"/>
    <col min="1541" max="1541" width="9.33203125" style="121" bestFit="1" customWidth="1"/>
    <col min="1542" max="1542" width="11.5546875" style="121" bestFit="1" customWidth="1"/>
    <col min="1543" max="1543" width="9.33203125" style="121" bestFit="1" customWidth="1"/>
    <col min="1544" max="1544" width="11.5546875" style="121" bestFit="1" customWidth="1"/>
    <col min="1545" max="1545" width="9.33203125" style="121" bestFit="1" customWidth="1"/>
    <col min="1546" max="1546" width="11.5546875" style="121" bestFit="1" customWidth="1"/>
    <col min="1547" max="1547" width="9.33203125" style="121" bestFit="1" customWidth="1"/>
    <col min="1548" max="1548" width="11.5546875" style="121" bestFit="1" customWidth="1"/>
    <col min="1549" max="1549" width="9.33203125" style="121" bestFit="1" customWidth="1"/>
    <col min="1550" max="1550" width="11.5546875" style="121" bestFit="1" customWidth="1"/>
    <col min="1551" max="1551" width="9.33203125" style="121" bestFit="1" customWidth="1"/>
    <col min="1552" max="1552" width="11.5546875" style="121" bestFit="1" customWidth="1"/>
    <col min="1553" max="1553" width="9.33203125" style="121" bestFit="1" customWidth="1"/>
    <col min="1554" max="1554" width="11.5546875" style="121" bestFit="1" customWidth="1"/>
    <col min="1555" max="1555" width="9.33203125" style="121" bestFit="1" customWidth="1"/>
    <col min="1556" max="1556" width="11.5546875" style="121" bestFit="1" customWidth="1"/>
    <col min="1557" max="1557" width="9.33203125" style="121" bestFit="1" customWidth="1"/>
    <col min="1558" max="1558" width="11.5546875" style="121" bestFit="1" customWidth="1"/>
    <col min="1559" max="1559" width="9.33203125" style="121" bestFit="1" customWidth="1"/>
    <col min="1560" max="1560" width="11.5546875" style="121" bestFit="1" customWidth="1"/>
    <col min="1561" max="1561" width="9.33203125" style="121" bestFit="1" customWidth="1"/>
    <col min="1562" max="1562" width="11.5546875" style="121" bestFit="1" customWidth="1"/>
    <col min="1563" max="1563" width="9.33203125" style="121" bestFit="1" customWidth="1"/>
    <col min="1564" max="1564" width="11.5546875" style="121" bestFit="1" customWidth="1"/>
    <col min="1565" max="1565" width="9.33203125" style="121" bestFit="1" customWidth="1"/>
    <col min="1566" max="1566" width="11.5546875" style="121" bestFit="1" customWidth="1"/>
    <col min="1567" max="1567" width="9.33203125" style="121" bestFit="1" customWidth="1"/>
    <col min="1568" max="1568" width="11.5546875" style="121" bestFit="1" customWidth="1"/>
    <col min="1569" max="1569" width="9.33203125" style="121" bestFit="1" customWidth="1"/>
    <col min="1570" max="1570" width="11.5546875" style="121" bestFit="1" customWidth="1"/>
    <col min="1571" max="1571" width="9.33203125" style="121" bestFit="1" customWidth="1"/>
    <col min="1572" max="1572" width="11.5546875" style="121" bestFit="1" customWidth="1"/>
    <col min="1573" max="1573" width="9.33203125" style="121" bestFit="1" customWidth="1"/>
    <col min="1574" max="1574" width="11.5546875" style="121" bestFit="1" customWidth="1"/>
    <col min="1575" max="1575" width="9.33203125" style="121" bestFit="1" customWidth="1"/>
    <col min="1576" max="1576" width="11.5546875" style="121" bestFit="1" customWidth="1"/>
    <col min="1577" max="1577" width="9.33203125" style="121" bestFit="1" customWidth="1"/>
    <col min="1578" max="1578" width="11.5546875" style="121" bestFit="1" customWidth="1"/>
    <col min="1579" max="1579" width="9.33203125" style="121" bestFit="1" customWidth="1"/>
    <col min="1580" max="1580" width="11.5546875" style="121" bestFit="1" customWidth="1"/>
    <col min="1581" max="1581" width="9.33203125" style="121" bestFit="1" customWidth="1"/>
    <col min="1582" max="1582" width="11.5546875" style="121" bestFit="1" customWidth="1"/>
    <col min="1583" max="1583" width="9.33203125" style="121" bestFit="1" customWidth="1"/>
    <col min="1584" max="1584" width="11.5546875" style="121" bestFit="1" customWidth="1"/>
    <col min="1585" max="1585" width="9.33203125" style="121" bestFit="1" customWidth="1"/>
    <col min="1586" max="1586" width="11.5546875" style="121" bestFit="1" customWidth="1"/>
    <col min="1587" max="1587" width="9.33203125" style="121" bestFit="1" customWidth="1"/>
    <col min="1588" max="1794" width="9.109375" style="121"/>
    <col min="1795" max="1795" width="29.44140625" style="121" bestFit="1" customWidth="1"/>
    <col min="1796" max="1796" width="11.5546875" style="121" bestFit="1" customWidth="1"/>
    <col min="1797" max="1797" width="9.33203125" style="121" bestFit="1" customWidth="1"/>
    <col min="1798" max="1798" width="11.5546875" style="121" bestFit="1" customWidth="1"/>
    <col min="1799" max="1799" width="9.33203125" style="121" bestFit="1" customWidth="1"/>
    <col min="1800" max="1800" width="11.5546875" style="121" bestFit="1" customWidth="1"/>
    <col min="1801" max="1801" width="9.33203125" style="121" bestFit="1" customWidth="1"/>
    <col min="1802" max="1802" width="11.5546875" style="121" bestFit="1" customWidth="1"/>
    <col min="1803" max="1803" width="9.33203125" style="121" bestFit="1" customWidth="1"/>
    <col min="1804" max="1804" width="11.5546875" style="121" bestFit="1" customWidth="1"/>
    <col min="1805" max="1805" width="9.33203125" style="121" bestFit="1" customWidth="1"/>
    <col min="1806" max="1806" width="11.5546875" style="121" bestFit="1" customWidth="1"/>
    <col min="1807" max="1807" width="9.33203125" style="121" bestFit="1" customWidth="1"/>
    <col min="1808" max="1808" width="11.5546875" style="121" bestFit="1" customWidth="1"/>
    <col min="1809" max="1809" width="9.33203125" style="121" bestFit="1" customWidth="1"/>
    <col min="1810" max="1810" width="11.5546875" style="121" bestFit="1" customWidth="1"/>
    <col min="1811" max="1811" width="9.33203125" style="121" bestFit="1" customWidth="1"/>
    <col min="1812" max="1812" width="11.5546875" style="121" bestFit="1" customWidth="1"/>
    <col min="1813" max="1813" width="9.33203125" style="121" bestFit="1" customWidth="1"/>
    <col min="1814" max="1814" width="11.5546875" style="121" bestFit="1" customWidth="1"/>
    <col min="1815" max="1815" width="9.33203125" style="121" bestFit="1" customWidth="1"/>
    <col min="1816" max="1816" width="11.5546875" style="121" bestFit="1" customWidth="1"/>
    <col min="1817" max="1817" width="9.33203125" style="121" bestFit="1" customWidth="1"/>
    <col min="1818" max="1818" width="11.5546875" style="121" bestFit="1" customWidth="1"/>
    <col min="1819" max="1819" width="9.33203125" style="121" bestFit="1" customWidth="1"/>
    <col min="1820" max="1820" width="11.5546875" style="121" bestFit="1" customWidth="1"/>
    <col min="1821" max="1821" width="9.33203125" style="121" bestFit="1" customWidth="1"/>
    <col min="1822" max="1822" width="11.5546875" style="121" bestFit="1" customWidth="1"/>
    <col min="1823" max="1823" width="9.33203125" style="121" bestFit="1" customWidth="1"/>
    <col min="1824" max="1824" width="11.5546875" style="121" bestFit="1" customWidth="1"/>
    <col min="1825" max="1825" width="9.33203125" style="121" bestFit="1" customWidth="1"/>
    <col min="1826" max="1826" width="11.5546875" style="121" bestFit="1" customWidth="1"/>
    <col min="1827" max="1827" width="9.33203125" style="121" bestFit="1" customWidth="1"/>
    <col min="1828" max="1828" width="11.5546875" style="121" bestFit="1" customWidth="1"/>
    <col min="1829" max="1829" width="9.33203125" style="121" bestFit="1" customWidth="1"/>
    <col min="1830" max="1830" width="11.5546875" style="121" bestFit="1" customWidth="1"/>
    <col min="1831" max="1831" width="9.33203125" style="121" bestFit="1" customWidth="1"/>
    <col min="1832" max="1832" width="11.5546875" style="121" bestFit="1" customWidth="1"/>
    <col min="1833" max="1833" width="9.33203125" style="121" bestFit="1" customWidth="1"/>
    <col min="1834" max="1834" width="11.5546875" style="121" bestFit="1" customWidth="1"/>
    <col min="1835" max="1835" width="9.33203125" style="121" bestFit="1" customWidth="1"/>
    <col min="1836" max="1836" width="11.5546875" style="121" bestFit="1" customWidth="1"/>
    <col min="1837" max="1837" width="9.33203125" style="121" bestFit="1" customWidth="1"/>
    <col min="1838" max="1838" width="11.5546875" style="121" bestFit="1" customWidth="1"/>
    <col min="1839" max="1839" width="9.33203125" style="121" bestFit="1" customWidth="1"/>
    <col min="1840" max="1840" width="11.5546875" style="121" bestFit="1" customWidth="1"/>
    <col min="1841" max="1841" width="9.33203125" style="121" bestFit="1" customWidth="1"/>
    <col min="1842" max="1842" width="11.5546875" style="121" bestFit="1" customWidth="1"/>
    <col min="1843" max="1843" width="9.33203125" style="121" bestFit="1" customWidth="1"/>
    <col min="1844" max="2050" width="9.109375" style="121"/>
    <col min="2051" max="2051" width="29.44140625" style="121" bestFit="1" customWidth="1"/>
    <col min="2052" max="2052" width="11.5546875" style="121" bestFit="1" customWidth="1"/>
    <col min="2053" max="2053" width="9.33203125" style="121" bestFit="1" customWidth="1"/>
    <col min="2054" max="2054" width="11.5546875" style="121" bestFit="1" customWidth="1"/>
    <col min="2055" max="2055" width="9.33203125" style="121" bestFit="1" customWidth="1"/>
    <col min="2056" max="2056" width="11.5546875" style="121" bestFit="1" customWidth="1"/>
    <col min="2057" max="2057" width="9.33203125" style="121" bestFit="1" customWidth="1"/>
    <col min="2058" max="2058" width="11.5546875" style="121" bestFit="1" customWidth="1"/>
    <col min="2059" max="2059" width="9.33203125" style="121" bestFit="1" customWidth="1"/>
    <col min="2060" max="2060" width="11.5546875" style="121" bestFit="1" customWidth="1"/>
    <col min="2061" max="2061" width="9.33203125" style="121" bestFit="1" customWidth="1"/>
    <col min="2062" max="2062" width="11.5546875" style="121" bestFit="1" customWidth="1"/>
    <col min="2063" max="2063" width="9.33203125" style="121" bestFit="1" customWidth="1"/>
    <col min="2064" max="2064" width="11.5546875" style="121" bestFit="1" customWidth="1"/>
    <col min="2065" max="2065" width="9.33203125" style="121" bestFit="1" customWidth="1"/>
    <col min="2066" max="2066" width="11.5546875" style="121" bestFit="1" customWidth="1"/>
    <col min="2067" max="2067" width="9.33203125" style="121" bestFit="1" customWidth="1"/>
    <col min="2068" max="2068" width="11.5546875" style="121" bestFit="1" customWidth="1"/>
    <col min="2069" max="2069" width="9.33203125" style="121" bestFit="1" customWidth="1"/>
    <col min="2070" max="2070" width="11.5546875" style="121" bestFit="1" customWidth="1"/>
    <col min="2071" max="2071" width="9.33203125" style="121" bestFit="1" customWidth="1"/>
    <col min="2072" max="2072" width="11.5546875" style="121" bestFit="1" customWidth="1"/>
    <col min="2073" max="2073" width="9.33203125" style="121" bestFit="1" customWidth="1"/>
    <col min="2074" max="2074" width="11.5546875" style="121" bestFit="1" customWidth="1"/>
    <col min="2075" max="2075" width="9.33203125" style="121" bestFit="1" customWidth="1"/>
    <col min="2076" max="2076" width="11.5546875" style="121" bestFit="1" customWidth="1"/>
    <col min="2077" max="2077" width="9.33203125" style="121" bestFit="1" customWidth="1"/>
    <col min="2078" max="2078" width="11.5546875" style="121" bestFit="1" customWidth="1"/>
    <col min="2079" max="2079" width="9.33203125" style="121" bestFit="1" customWidth="1"/>
    <col min="2080" max="2080" width="11.5546875" style="121" bestFit="1" customWidth="1"/>
    <col min="2081" max="2081" width="9.33203125" style="121" bestFit="1" customWidth="1"/>
    <col min="2082" max="2082" width="11.5546875" style="121" bestFit="1" customWidth="1"/>
    <col min="2083" max="2083" width="9.33203125" style="121" bestFit="1" customWidth="1"/>
    <col min="2084" max="2084" width="11.5546875" style="121" bestFit="1" customWidth="1"/>
    <col min="2085" max="2085" width="9.33203125" style="121" bestFit="1" customWidth="1"/>
    <col min="2086" max="2086" width="11.5546875" style="121" bestFit="1" customWidth="1"/>
    <col min="2087" max="2087" width="9.33203125" style="121" bestFit="1" customWidth="1"/>
    <col min="2088" max="2088" width="11.5546875" style="121" bestFit="1" customWidth="1"/>
    <col min="2089" max="2089" width="9.33203125" style="121" bestFit="1" customWidth="1"/>
    <col min="2090" max="2090" width="11.5546875" style="121" bestFit="1" customWidth="1"/>
    <col min="2091" max="2091" width="9.33203125" style="121" bestFit="1" customWidth="1"/>
    <col min="2092" max="2092" width="11.5546875" style="121" bestFit="1" customWidth="1"/>
    <col min="2093" max="2093" width="9.33203125" style="121" bestFit="1" customWidth="1"/>
    <col min="2094" max="2094" width="11.5546875" style="121" bestFit="1" customWidth="1"/>
    <col min="2095" max="2095" width="9.33203125" style="121" bestFit="1" customWidth="1"/>
    <col min="2096" max="2096" width="11.5546875" style="121" bestFit="1" customWidth="1"/>
    <col min="2097" max="2097" width="9.33203125" style="121" bestFit="1" customWidth="1"/>
    <col min="2098" max="2098" width="11.5546875" style="121" bestFit="1" customWidth="1"/>
    <col min="2099" max="2099" width="9.33203125" style="121" bestFit="1" customWidth="1"/>
    <col min="2100" max="2306" width="9.109375" style="121"/>
    <col min="2307" max="2307" width="29.44140625" style="121" bestFit="1" customWidth="1"/>
    <col min="2308" max="2308" width="11.5546875" style="121" bestFit="1" customWidth="1"/>
    <col min="2309" max="2309" width="9.33203125" style="121" bestFit="1" customWidth="1"/>
    <col min="2310" max="2310" width="11.5546875" style="121" bestFit="1" customWidth="1"/>
    <col min="2311" max="2311" width="9.33203125" style="121" bestFit="1" customWidth="1"/>
    <col min="2312" max="2312" width="11.5546875" style="121" bestFit="1" customWidth="1"/>
    <col min="2313" max="2313" width="9.33203125" style="121" bestFit="1" customWidth="1"/>
    <col min="2314" max="2314" width="11.5546875" style="121" bestFit="1" customWidth="1"/>
    <col min="2315" max="2315" width="9.33203125" style="121" bestFit="1" customWidth="1"/>
    <col min="2316" max="2316" width="11.5546875" style="121" bestFit="1" customWidth="1"/>
    <col min="2317" max="2317" width="9.33203125" style="121" bestFit="1" customWidth="1"/>
    <col min="2318" max="2318" width="11.5546875" style="121" bestFit="1" customWidth="1"/>
    <col min="2319" max="2319" width="9.33203125" style="121" bestFit="1" customWidth="1"/>
    <col min="2320" max="2320" width="11.5546875" style="121" bestFit="1" customWidth="1"/>
    <col min="2321" max="2321" width="9.33203125" style="121" bestFit="1" customWidth="1"/>
    <col min="2322" max="2322" width="11.5546875" style="121" bestFit="1" customWidth="1"/>
    <col min="2323" max="2323" width="9.33203125" style="121" bestFit="1" customWidth="1"/>
    <col min="2324" max="2324" width="11.5546875" style="121" bestFit="1" customWidth="1"/>
    <col min="2325" max="2325" width="9.33203125" style="121" bestFit="1" customWidth="1"/>
    <col min="2326" max="2326" width="11.5546875" style="121" bestFit="1" customWidth="1"/>
    <col min="2327" max="2327" width="9.33203125" style="121" bestFit="1" customWidth="1"/>
    <col min="2328" max="2328" width="11.5546875" style="121" bestFit="1" customWidth="1"/>
    <col min="2329" max="2329" width="9.33203125" style="121" bestFit="1" customWidth="1"/>
    <col min="2330" max="2330" width="11.5546875" style="121" bestFit="1" customWidth="1"/>
    <col min="2331" max="2331" width="9.33203125" style="121" bestFit="1" customWidth="1"/>
    <col min="2332" max="2332" width="11.5546875" style="121" bestFit="1" customWidth="1"/>
    <col min="2333" max="2333" width="9.33203125" style="121" bestFit="1" customWidth="1"/>
    <col min="2334" max="2334" width="11.5546875" style="121" bestFit="1" customWidth="1"/>
    <col min="2335" max="2335" width="9.33203125" style="121" bestFit="1" customWidth="1"/>
    <col min="2336" max="2336" width="11.5546875" style="121" bestFit="1" customWidth="1"/>
    <col min="2337" max="2337" width="9.33203125" style="121" bestFit="1" customWidth="1"/>
    <col min="2338" max="2338" width="11.5546875" style="121" bestFit="1" customWidth="1"/>
    <col min="2339" max="2339" width="9.33203125" style="121" bestFit="1" customWidth="1"/>
    <col min="2340" max="2340" width="11.5546875" style="121" bestFit="1" customWidth="1"/>
    <col min="2341" max="2341" width="9.33203125" style="121" bestFit="1" customWidth="1"/>
    <col min="2342" max="2342" width="11.5546875" style="121" bestFit="1" customWidth="1"/>
    <col min="2343" max="2343" width="9.33203125" style="121" bestFit="1" customWidth="1"/>
    <col min="2344" max="2344" width="11.5546875" style="121" bestFit="1" customWidth="1"/>
    <col min="2345" max="2345" width="9.33203125" style="121" bestFit="1" customWidth="1"/>
    <col min="2346" max="2346" width="11.5546875" style="121" bestFit="1" customWidth="1"/>
    <col min="2347" max="2347" width="9.33203125" style="121" bestFit="1" customWidth="1"/>
    <col min="2348" max="2348" width="11.5546875" style="121" bestFit="1" customWidth="1"/>
    <col min="2349" max="2349" width="9.33203125" style="121" bestFit="1" customWidth="1"/>
    <col min="2350" max="2350" width="11.5546875" style="121" bestFit="1" customWidth="1"/>
    <col min="2351" max="2351" width="9.33203125" style="121" bestFit="1" customWidth="1"/>
    <col min="2352" max="2352" width="11.5546875" style="121" bestFit="1" customWidth="1"/>
    <col min="2353" max="2353" width="9.33203125" style="121" bestFit="1" customWidth="1"/>
    <col min="2354" max="2354" width="11.5546875" style="121" bestFit="1" customWidth="1"/>
    <col min="2355" max="2355" width="9.33203125" style="121" bestFit="1" customWidth="1"/>
    <col min="2356" max="2562" width="9.109375" style="121"/>
    <col min="2563" max="2563" width="29.44140625" style="121" bestFit="1" customWidth="1"/>
    <col min="2564" max="2564" width="11.5546875" style="121" bestFit="1" customWidth="1"/>
    <col min="2565" max="2565" width="9.33203125" style="121" bestFit="1" customWidth="1"/>
    <col min="2566" max="2566" width="11.5546875" style="121" bestFit="1" customWidth="1"/>
    <col min="2567" max="2567" width="9.33203125" style="121" bestFit="1" customWidth="1"/>
    <col min="2568" max="2568" width="11.5546875" style="121" bestFit="1" customWidth="1"/>
    <col min="2569" max="2569" width="9.33203125" style="121" bestFit="1" customWidth="1"/>
    <col min="2570" max="2570" width="11.5546875" style="121" bestFit="1" customWidth="1"/>
    <col min="2571" max="2571" width="9.33203125" style="121" bestFit="1" customWidth="1"/>
    <col min="2572" max="2572" width="11.5546875" style="121" bestFit="1" customWidth="1"/>
    <col min="2573" max="2573" width="9.33203125" style="121" bestFit="1" customWidth="1"/>
    <col min="2574" max="2574" width="11.5546875" style="121" bestFit="1" customWidth="1"/>
    <col min="2575" max="2575" width="9.33203125" style="121" bestFit="1" customWidth="1"/>
    <col min="2576" max="2576" width="11.5546875" style="121" bestFit="1" customWidth="1"/>
    <col min="2577" max="2577" width="9.33203125" style="121" bestFit="1" customWidth="1"/>
    <col min="2578" max="2578" width="11.5546875" style="121" bestFit="1" customWidth="1"/>
    <col min="2579" max="2579" width="9.33203125" style="121" bestFit="1" customWidth="1"/>
    <col min="2580" max="2580" width="11.5546875" style="121" bestFit="1" customWidth="1"/>
    <col min="2581" max="2581" width="9.33203125" style="121" bestFit="1" customWidth="1"/>
    <col min="2582" max="2582" width="11.5546875" style="121" bestFit="1" customWidth="1"/>
    <col min="2583" max="2583" width="9.33203125" style="121" bestFit="1" customWidth="1"/>
    <col min="2584" max="2584" width="11.5546875" style="121" bestFit="1" customWidth="1"/>
    <col min="2585" max="2585" width="9.33203125" style="121" bestFit="1" customWidth="1"/>
    <col min="2586" max="2586" width="11.5546875" style="121" bestFit="1" customWidth="1"/>
    <col min="2587" max="2587" width="9.33203125" style="121" bestFit="1" customWidth="1"/>
    <col min="2588" max="2588" width="11.5546875" style="121" bestFit="1" customWidth="1"/>
    <col min="2589" max="2589" width="9.33203125" style="121" bestFit="1" customWidth="1"/>
    <col min="2590" max="2590" width="11.5546875" style="121" bestFit="1" customWidth="1"/>
    <col min="2591" max="2591" width="9.33203125" style="121" bestFit="1" customWidth="1"/>
    <col min="2592" max="2592" width="11.5546875" style="121" bestFit="1" customWidth="1"/>
    <col min="2593" max="2593" width="9.33203125" style="121" bestFit="1" customWidth="1"/>
    <col min="2594" max="2594" width="11.5546875" style="121" bestFit="1" customWidth="1"/>
    <col min="2595" max="2595" width="9.33203125" style="121" bestFit="1" customWidth="1"/>
    <col min="2596" max="2596" width="11.5546875" style="121" bestFit="1" customWidth="1"/>
    <col min="2597" max="2597" width="9.33203125" style="121" bestFit="1" customWidth="1"/>
    <col min="2598" max="2598" width="11.5546875" style="121" bestFit="1" customWidth="1"/>
    <col min="2599" max="2599" width="9.33203125" style="121" bestFit="1" customWidth="1"/>
    <col min="2600" max="2600" width="11.5546875" style="121" bestFit="1" customWidth="1"/>
    <col min="2601" max="2601" width="9.33203125" style="121" bestFit="1" customWidth="1"/>
    <col min="2602" max="2602" width="11.5546875" style="121" bestFit="1" customWidth="1"/>
    <col min="2603" max="2603" width="9.33203125" style="121" bestFit="1" customWidth="1"/>
    <col min="2604" max="2604" width="11.5546875" style="121" bestFit="1" customWidth="1"/>
    <col min="2605" max="2605" width="9.33203125" style="121" bestFit="1" customWidth="1"/>
    <col min="2606" max="2606" width="11.5546875" style="121" bestFit="1" customWidth="1"/>
    <col min="2607" max="2607" width="9.33203125" style="121" bestFit="1" customWidth="1"/>
    <col min="2608" max="2608" width="11.5546875" style="121" bestFit="1" customWidth="1"/>
    <col min="2609" max="2609" width="9.33203125" style="121" bestFit="1" customWidth="1"/>
    <col min="2610" max="2610" width="11.5546875" style="121" bestFit="1" customWidth="1"/>
    <col min="2611" max="2611" width="9.33203125" style="121" bestFit="1" customWidth="1"/>
    <col min="2612" max="2818" width="9.109375" style="121"/>
    <col min="2819" max="2819" width="29.44140625" style="121" bestFit="1" customWidth="1"/>
    <col min="2820" max="2820" width="11.5546875" style="121" bestFit="1" customWidth="1"/>
    <col min="2821" max="2821" width="9.33203125" style="121" bestFit="1" customWidth="1"/>
    <col min="2822" max="2822" width="11.5546875" style="121" bestFit="1" customWidth="1"/>
    <col min="2823" max="2823" width="9.33203125" style="121" bestFit="1" customWidth="1"/>
    <col min="2824" max="2824" width="11.5546875" style="121" bestFit="1" customWidth="1"/>
    <col min="2825" max="2825" width="9.33203125" style="121" bestFit="1" customWidth="1"/>
    <col min="2826" max="2826" width="11.5546875" style="121" bestFit="1" customWidth="1"/>
    <col min="2827" max="2827" width="9.33203125" style="121" bestFit="1" customWidth="1"/>
    <col min="2828" max="2828" width="11.5546875" style="121" bestFit="1" customWidth="1"/>
    <col min="2829" max="2829" width="9.33203125" style="121" bestFit="1" customWidth="1"/>
    <col min="2830" max="2830" width="11.5546875" style="121" bestFit="1" customWidth="1"/>
    <col min="2831" max="2831" width="9.33203125" style="121" bestFit="1" customWidth="1"/>
    <col min="2832" max="2832" width="11.5546875" style="121" bestFit="1" customWidth="1"/>
    <col min="2833" max="2833" width="9.33203125" style="121" bestFit="1" customWidth="1"/>
    <col min="2834" max="2834" width="11.5546875" style="121" bestFit="1" customWidth="1"/>
    <col min="2835" max="2835" width="9.33203125" style="121" bestFit="1" customWidth="1"/>
    <col min="2836" max="2836" width="11.5546875" style="121" bestFit="1" customWidth="1"/>
    <col min="2837" max="2837" width="9.33203125" style="121" bestFit="1" customWidth="1"/>
    <col min="2838" max="2838" width="11.5546875" style="121" bestFit="1" customWidth="1"/>
    <col min="2839" max="2839" width="9.33203125" style="121" bestFit="1" customWidth="1"/>
    <col min="2840" max="2840" width="11.5546875" style="121" bestFit="1" customWidth="1"/>
    <col min="2841" max="2841" width="9.33203125" style="121" bestFit="1" customWidth="1"/>
    <col min="2842" max="2842" width="11.5546875" style="121" bestFit="1" customWidth="1"/>
    <col min="2843" max="2843" width="9.33203125" style="121" bestFit="1" customWidth="1"/>
    <col min="2844" max="2844" width="11.5546875" style="121" bestFit="1" customWidth="1"/>
    <col min="2845" max="2845" width="9.33203125" style="121" bestFit="1" customWidth="1"/>
    <col min="2846" max="2846" width="11.5546875" style="121" bestFit="1" customWidth="1"/>
    <col min="2847" max="2847" width="9.33203125" style="121" bestFit="1" customWidth="1"/>
    <col min="2848" max="2848" width="11.5546875" style="121" bestFit="1" customWidth="1"/>
    <col min="2849" max="2849" width="9.33203125" style="121" bestFit="1" customWidth="1"/>
    <col min="2850" max="2850" width="11.5546875" style="121" bestFit="1" customWidth="1"/>
    <col min="2851" max="2851" width="9.33203125" style="121" bestFit="1" customWidth="1"/>
    <col min="2852" max="2852" width="11.5546875" style="121" bestFit="1" customWidth="1"/>
    <col min="2853" max="2853" width="9.33203125" style="121" bestFit="1" customWidth="1"/>
    <col min="2854" max="2854" width="11.5546875" style="121" bestFit="1" customWidth="1"/>
    <col min="2855" max="2855" width="9.33203125" style="121" bestFit="1" customWidth="1"/>
    <col min="2856" max="2856" width="11.5546875" style="121" bestFit="1" customWidth="1"/>
    <col min="2857" max="2857" width="9.33203125" style="121" bestFit="1" customWidth="1"/>
    <col min="2858" max="2858" width="11.5546875" style="121" bestFit="1" customWidth="1"/>
    <col min="2859" max="2859" width="9.33203125" style="121" bestFit="1" customWidth="1"/>
    <col min="2860" max="2860" width="11.5546875" style="121" bestFit="1" customWidth="1"/>
    <col min="2861" max="2861" width="9.33203125" style="121" bestFit="1" customWidth="1"/>
    <col min="2862" max="2862" width="11.5546875" style="121" bestFit="1" customWidth="1"/>
    <col min="2863" max="2863" width="9.33203125" style="121" bestFit="1" customWidth="1"/>
    <col min="2864" max="2864" width="11.5546875" style="121" bestFit="1" customWidth="1"/>
    <col min="2865" max="2865" width="9.33203125" style="121" bestFit="1" customWidth="1"/>
    <col min="2866" max="2866" width="11.5546875" style="121" bestFit="1" customWidth="1"/>
    <col min="2867" max="2867" width="9.33203125" style="121" bestFit="1" customWidth="1"/>
    <col min="2868" max="3074" width="9.109375" style="121"/>
    <col min="3075" max="3075" width="29.44140625" style="121" bestFit="1" customWidth="1"/>
    <col min="3076" max="3076" width="11.5546875" style="121" bestFit="1" customWidth="1"/>
    <col min="3077" max="3077" width="9.33203125" style="121" bestFit="1" customWidth="1"/>
    <col min="3078" max="3078" width="11.5546875" style="121" bestFit="1" customWidth="1"/>
    <col min="3079" max="3079" width="9.33203125" style="121" bestFit="1" customWidth="1"/>
    <col min="3080" max="3080" width="11.5546875" style="121" bestFit="1" customWidth="1"/>
    <col min="3081" max="3081" width="9.33203125" style="121" bestFit="1" customWidth="1"/>
    <col min="3082" max="3082" width="11.5546875" style="121" bestFit="1" customWidth="1"/>
    <col min="3083" max="3083" width="9.33203125" style="121" bestFit="1" customWidth="1"/>
    <col min="3084" max="3084" width="11.5546875" style="121" bestFit="1" customWidth="1"/>
    <col min="3085" max="3085" width="9.33203125" style="121" bestFit="1" customWidth="1"/>
    <col min="3086" max="3086" width="11.5546875" style="121" bestFit="1" customWidth="1"/>
    <col min="3087" max="3087" width="9.33203125" style="121" bestFit="1" customWidth="1"/>
    <col min="3088" max="3088" width="11.5546875" style="121" bestFit="1" customWidth="1"/>
    <col min="3089" max="3089" width="9.33203125" style="121" bestFit="1" customWidth="1"/>
    <col min="3090" max="3090" width="11.5546875" style="121" bestFit="1" customWidth="1"/>
    <col min="3091" max="3091" width="9.33203125" style="121" bestFit="1" customWidth="1"/>
    <col min="3092" max="3092" width="11.5546875" style="121" bestFit="1" customWidth="1"/>
    <col min="3093" max="3093" width="9.33203125" style="121" bestFit="1" customWidth="1"/>
    <col min="3094" max="3094" width="11.5546875" style="121" bestFit="1" customWidth="1"/>
    <col min="3095" max="3095" width="9.33203125" style="121" bestFit="1" customWidth="1"/>
    <col min="3096" max="3096" width="11.5546875" style="121" bestFit="1" customWidth="1"/>
    <col min="3097" max="3097" width="9.33203125" style="121" bestFit="1" customWidth="1"/>
    <col min="3098" max="3098" width="11.5546875" style="121" bestFit="1" customWidth="1"/>
    <col min="3099" max="3099" width="9.33203125" style="121" bestFit="1" customWidth="1"/>
    <col min="3100" max="3100" width="11.5546875" style="121" bestFit="1" customWidth="1"/>
    <col min="3101" max="3101" width="9.33203125" style="121" bestFit="1" customWidth="1"/>
    <col min="3102" max="3102" width="11.5546875" style="121" bestFit="1" customWidth="1"/>
    <col min="3103" max="3103" width="9.33203125" style="121" bestFit="1" customWidth="1"/>
    <col min="3104" max="3104" width="11.5546875" style="121" bestFit="1" customWidth="1"/>
    <col min="3105" max="3105" width="9.33203125" style="121" bestFit="1" customWidth="1"/>
    <col min="3106" max="3106" width="11.5546875" style="121" bestFit="1" customWidth="1"/>
    <col min="3107" max="3107" width="9.33203125" style="121" bestFit="1" customWidth="1"/>
    <col min="3108" max="3108" width="11.5546875" style="121" bestFit="1" customWidth="1"/>
    <col min="3109" max="3109" width="9.33203125" style="121" bestFit="1" customWidth="1"/>
    <col min="3110" max="3110" width="11.5546875" style="121" bestFit="1" customWidth="1"/>
    <col min="3111" max="3111" width="9.33203125" style="121" bestFit="1" customWidth="1"/>
    <col min="3112" max="3112" width="11.5546875" style="121" bestFit="1" customWidth="1"/>
    <col min="3113" max="3113" width="9.33203125" style="121" bestFit="1" customWidth="1"/>
    <col min="3114" max="3114" width="11.5546875" style="121" bestFit="1" customWidth="1"/>
    <col min="3115" max="3115" width="9.33203125" style="121" bestFit="1" customWidth="1"/>
    <col min="3116" max="3116" width="11.5546875" style="121" bestFit="1" customWidth="1"/>
    <col min="3117" max="3117" width="9.33203125" style="121" bestFit="1" customWidth="1"/>
    <col min="3118" max="3118" width="11.5546875" style="121" bestFit="1" customWidth="1"/>
    <col min="3119" max="3119" width="9.33203125" style="121" bestFit="1" customWidth="1"/>
    <col min="3120" max="3120" width="11.5546875" style="121" bestFit="1" customWidth="1"/>
    <col min="3121" max="3121" width="9.33203125" style="121" bestFit="1" customWidth="1"/>
    <col min="3122" max="3122" width="11.5546875" style="121" bestFit="1" customWidth="1"/>
    <col min="3123" max="3123" width="9.33203125" style="121" bestFit="1" customWidth="1"/>
    <col min="3124" max="3330" width="9.109375" style="121"/>
    <col min="3331" max="3331" width="29.44140625" style="121" bestFit="1" customWidth="1"/>
    <col min="3332" max="3332" width="11.5546875" style="121" bestFit="1" customWidth="1"/>
    <col min="3333" max="3333" width="9.33203125" style="121" bestFit="1" customWidth="1"/>
    <col min="3334" max="3334" width="11.5546875" style="121" bestFit="1" customWidth="1"/>
    <col min="3335" max="3335" width="9.33203125" style="121" bestFit="1" customWidth="1"/>
    <col min="3336" max="3336" width="11.5546875" style="121" bestFit="1" customWidth="1"/>
    <col min="3337" max="3337" width="9.33203125" style="121" bestFit="1" customWidth="1"/>
    <col min="3338" max="3338" width="11.5546875" style="121" bestFit="1" customWidth="1"/>
    <col min="3339" max="3339" width="9.33203125" style="121" bestFit="1" customWidth="1"/>
    <col min="3340" max="3340" width="11.5546875" style="121" bestFit="1" customWidth="1"/>
    <col min="3341" max="3341" width="9.33203125" style="121" bestFit="1" customWidth="1"/>
    <col min="3342" max="3342" width="11.5546875" style="121" bestFit="1" customWidth="1"/>
    <col min="3343" max="3343" width="9.33203125" style="121" bestFit="1" customWidth="1"/>
    <col min="3344" max="3344" width="11.5546875" style="121" bestFit="1" customWidth="1"/>
    <col min="3345" max="3345" width="9.33203125" style="121" bestFit="1" customWidth="1"/>
    <col min="3346" max="3346" width="11.5546875" style="121" bestFit="1" customWidth="1"/>
    <col min="3347" max="3347" width="9.33203125" style="121" bestFit="1" customWidth="1"/>
    <col min="3348" max="3348" width="11.5546875" style="121" bestFit="1" customWidth="1"/>
    <col min="3349" max="3349" width="9.33203125" style="121" bestFit="1" customWidth="1"/>
    <col min="3350" max="3350" width="11.5546875" style="121" bestFit="1" customWidth="1"/>
    <col min="3351" max="3351" width="9.33203125" style="121" bestFit="1" customWidth="1"/>
    <col min="3352" max="3352" width="11.5546875" style="121" bestFit="1" customWidth="1"/>
    <col min="3353" max="3353" width="9.33203125" style="121" bestFit="1" customWidth="1"/>
    <col min="3354" max="3354" width="11.5546875" style="121" bestFit="1" customWidth="1"/>
    <col min="3355" max="3355" width="9.33203125" style="121" bestFit="1" customWidth="1"/>
    <col min="3356" max="3356" width="11.5546875" style="121" bestFit="1" customWidth="1"/>
    <col min="3357" max="3357" width="9.33203125" style="121" bestFit="1" customWidth="1"/>
    <col min="3358" max="3358" width="11.5546875" style="121" bestFit="1" customWidth="1"/>
    <col min="3359" max="3359" width="9.33203125" style="121" bestFit="1" customWidth="1"/>
    <col min="3360" max="3360" width="11.5546875" style="121" bestFit="1" customWidth="1"/>
    <col min="3361" max="3361" width="9.33203125" style="121" bestFit="1" customWidth="1"/>
    <col min="3362" max="3362" width="11.5546875" style="121" bestFit="1" customWidth="1"/>
    <col min="3363" max="3363" width="9.33203125" style="121" bestFit="1" customWidth="1"/>
    <col min="3364" max="3364" width="11.5546875" style="121" bestFit="1" customWidth="1"/>
    <col min="3365" max="3365" width="9.33203125" style="121" bestFit="1" customWidth="1"/>
    <col min="3366" max="3366" width="11.5546875" style="121" bestFit="1" customWidth="1"/>
    <col min="3367" max="3367" width="9.33203125" style="121" bestFit="1" customWidth="1"/>
    <col min="3368" max="3368" width="11.5546875" style="121" bestFit="1" customWidth="1"/>
    <col min="3369" max="3369" width="9.33203125" style="121" bestFit="1" customWidth="1"/>
    <col min="3370" max="3370" width="11.5546875" style="121" bestFit="1" customWidth="1"/>
    <col min="3371" max="3371" width="9.33203125" style="121" bestFit="1" customWidth="1"/>
    <col min="3372" max="3372" width="11.5546875" style="121" bestFit="1" customWidth="1"/>
    <col min="3373" max="3373" width="9.33203125" style="121" bestFit="1" customWidth="1"/>
    <col min="3374" max="3374" width="11.5546875" style="121" bestFit="1" customWidth="1"/>
    <col min="3375" max="3375" width="9.33203125" style="121" bestFit="1" customWidth="1"/>
    <col min="3376" max="3376" width="11.5546875" style="121" bestFit="1" customWidth="1"/>
    <col min="3377" max="3377" width="9.33203125" style="121" bestFit="1" customWidth="1"/>
    <col min="3378" max="3378" width="11.5546875" style="121" bestFit="1" customWidth="1"/>
    <col min="3379" max="3379" width="9.33203125" style="121" bestFit="1" customWidth="1"/>
    <col min="3380" max="3586" width="9.109375" style="121"/>
    <col min="3587" max="3587" width="29.44140625" style="121" bestFit="1" customWidth="1"/>
    <col min="3588" max="3588" width="11.5546875" style="121" bestFit="1" customWidth="1"/>
    <col min="3589" max="3589" width="9.33203125" style="121" bestFit="1" customWidth="1"/>
    <col min="3590" max="3590" width="11.5546875" style="121" bestFit="1" customWidth="1"/>
    <col min="3591" max="3591" width="9.33203125" style="121" bestFit="1" customWidth="1"/>
    <col min="3592" max="3592" width="11.5546875" style="121" bestFit="1" customWidth="1"/>
    <col min="3593" max="3593" width="9.33203125" style="121" bestFit="1" customWidth="1"/>
    <col min="3594" max="3594" width="11.5546875" style="121" bestFit="1" customWidth="1"/>
    <col min="3595" max="3595" width="9.33203125" style="121" bestFit="1" customWidth="1"/>
    <col min="3596" max="3596" width="11.5546875" style="121" bestFit="1" customWidth="1"/>
    <col min="3597" max="3597" width="9.33203125" style="121" bestFit="1" customWidth="1"/>
    <col min="3598" max="3598" width="11.5546875" style="121" bestFit="1" customWidth="1"/>
    <col min="3599" max="3599" width="9.33203125" style="121" bestFit="1" customWidth="1"/>
    <col min="3600" max="3600" width="11.5546875" style="121" bestFit="1" customWidth="1"/>
    <col min="3601" max="3601" width="9.33203125" style="121" bestFit="1" customWidth="1"/>
    <col min="3602" max="3602" width="11.5546875" style="121" bestFit="1" customWidth="1"/>
    <col min="3603" max="3603" width="9.33203125" style="121" bestFit="1" customWidth="1"/>
    <col min="3604" max="3604" width="11.5546875" style="121" bestFit="1" customWidth="1"/>
    <col min="3605" max="3605" width="9.33203125" style="121" bestFit="1" customWidth="1"/>
    <col min="3606" max="3606" width="11.5546875" style="121" bestFit="1" customWidth="1"/>
    <col min="3607" max="3607" width="9.33203125" style="121" bestFit="1" customWidth="1"/>
    <col min="3608" max="3608" width="11.5546875" style="121" bestFit="1" customWidth="1"/>
    <col min="3609" max="3609" width="9.33203125" style="121" bestFit="1" customWidth="1"/>
    <col min="3610" max="3610" width="11.5546875" style="121" bestFit="1" customWidth="1"/>
    <col min="3611" max="3611" width="9.33203125" style="121" bestFit="1" customWidth="1"/>
    <col min="3612" max="3612" width="11.5546875" style="121" bestFit="1" customWidth="1"/>
    <col min="3613" max="3613" width="9.33203125" style="121" bestFit="1" customWidth="1"/>
    <col min="3614" max="3614" width="11.5546875" style="121" bestFit="1" customWidth="1"/>
    <col min="3615" max="3615" width="9.33203125" style="121" bestFit="1" customWidth="1"/>
    <col min="3616" max="3616" width="11.5546875" style="121" bestFit="1" customWidth="1"/>
    <col min="3617" max="3617" width="9.33203125" style="121" bestFit="1" customWidth="1"/>
    <col min="3618" max="3618" width="11.5546875" style="121" bestFit="1" customWidth="1"/>
    <col min="3619" max="3619" width="9.33203125" style="121" bestFit="1" customWidth="1"/>
    <col min="3620" max="3620" width="11.5546875" style="121" bestFit="1" customWidth="1"/>
    <col min="3621" max="3621" width="9.33203125" style="121" bestFit="1" customWidth="1"/>
    <col min="3622" max="3622" width="11.5546875" style="121" bestFit="1" customWidth="1"/>
    <col min="3623" max="3623" width="9.33203125" style="121" bestFit="1" customWidth="1"/>
    <col min="3624" max="3624" width="11.5546875" style="121" bestFit="1" customWidth="1"/>
    <col min="3625" max="3625" width="9.33203125" style="121" bestFit="1" customWidth="1"/>
    <col min="3626" max="3626" width="11.5546875" style="121" bestFit="1" customWidth="1"/>
    <col min="3627" max="3627" width="9.33203125" style="121" bestFit="1" customWidth="1"/>
    <col min="3628" max="3628" width="11.5546875" style="121" bestFit="1" customWidth="1"/>
    <col min="3629" max="3629" width="9.33203125" style="121" bestFit="1" customWidth="1"/>
    <col min="3630" max="3630" width="11.5546875" style="121" bestFit="1" customWidth="1"/>
    <col min="3631" max="3631" width="9.33203125" style="121" bestFit="1" customWidth="1"/>
    <col min="3632" max="3632" width="11.5546875" style="121" bestFit="1" customWidth="1"/>
    <col min="3633" max="3633" width="9.33203125" style="121" bestFit="1" customWidth="1"/>
    <col min="3634" max="3634" width="11.5546875" style="121" bestFit="1" customWidth="1"/>
    <col min="3635" max="3635" width="9.33203125" style="121" bestFit="1" customWidth="1"/>
    <col min="3636" max="3842" width="9.109375" style="121"/>
    <col min="3843" max="3843" width="29.44140625" style="121" bestFit="1" customWidth="1"/>
    <col min="3844" max="3844" width="11.5546875" style="121" bestFit="1" customWidth="1"/>
    <col min="3845" max="3845" width="9.33203125" style="121" bestFit="1" customWidth="1"/>
    <col min="3846" max="3846" width="11.5546875" style="121" bestFit="1" customWidth="1"/>
    <col min="3847" max="3847" width="9.33203125" style="121" bestFit="1" customWidth="1"/>
    <col min="3848" max="3848" width="11.5546875" style="121" bestFit="1" customWidth="1"/>
    <col min="3849" max="3849" width="9.33203125" style="121" bestFit="1" customWidth="1"/>
    <col min="3850" max="3850" width="11.5546875" style="121" bestFit="1" customWidth="1"/>
    <col min="3851" max="3851" width="9.33203125" style="121" bestFit="1" customWidth="1"/>
    <col min="3852" max="3852" width="11.5546875" style="121" bestFit="1" customWidth="1"/>
    <col min="3853" max="3853" width="9.33203125" style="121" bestFit="1" customWidth="1"/>
    <col min="3854" max="3854" width="11.5546875" style="121" bestFit="1" customWidth="1"/>
    <col min="3855" max="3855" width="9.33203125" style="121" bestFit="1" customWidth="1"/>
    <col min="3856" max="3856" width="11.5546875" style="121" bestFit="1" customWidth="1"/>
    <col min="3857" max="3857" width="9.33203125" style="121" bestFit="1" customWidth="1"/>
    <col min="3858" max="3858" width="11.5546875" style="121" bestFit="1" customWidth="1"/>
    <col min="3859" max="3859" width="9.33203125" style="121" bestFit="1" customWidth="1"/>
    <col min="3860" max="3860" width="11.5546875" style="121" bestFit="1" customWidth="1"/>
    <col min="3861" max="3861" width="9.33203125" style="121" bestFit="1" customWidth="1"/>
    <col min="3862" max="3862" width="11.5546875" style="121" bestFit="1" customWidth="1"/>
    <col min="3863" max="3863" width="9.33203125" style="121" bestFit="1" customWidth="1"/>
    <col min="3864" max="3864" width="11.5546875" style="121" bestFit="1" customWidth="1"/>
    <col min="3865" max="3865" width="9.33203125" style="121" bestFit="1" customWidth="1"/>
    <col min="3866" max="3866" width="11.5546875" style="121" bestFit="1" customWidth="1"/>
    <col min="3867" max="3867" width="9.33203125" style="121" bestFit="1" customWidth="1"/>
    <col min="3868" max="3868" width="11.5546875" style="121" bestFit="1" customWidth="1"/>
    <col min="3869" max="3869" width="9.33203125" style="121" bestFit="1" customWidth="1"/>
    <col min="3870" max="3870" width="11.5546875" style="121" bestFit="1" customWidth="1"/>
    <col min="3871" max="3871" width="9.33203125" style="121" bestFit="1" customWidth="1"/>
    <col min="3872" max="3872" width="11.5546875" style="121" bestFit="1" customWidth="1"/>
    <col min="3873" max="3873" width="9.33203125" style="121" bestFit="1" customWidth="1"/>
    <col min="3874" max="3874" width="11.5546875" style="121" bestFit="1" customWidth="1"/>
    <col min="3875" max="3875" width="9.33203125" style="121" bestFit="1" customWidth="1"/>
    <col min="3876" max="3876" width="11.5546875" style="121" bestFit="1" customWidth="1"/>
    <col min="3877" max="3877" width="9.33203125" style="121" bestFit="1" customWidth="1"/>
    <col min="3878" max="3878" width="11.5546875" style="121" bestFit="1" customWidth="1"/>
    <col min="3879" max="3879" width="9.33203125" style="121" bestFit="1" customWidth="1"/>
    <col min="3880" max="3880" width="11.5546875" style="121" bestFit="1" customWidth="1"/>
    <col min="3881" max="3881" width="9.33203125" style="121" bestFit="1" customWidth="1"/>
    <col min="3882" max="3882" width="11.5546875" style="121" bestFit="1" customWidth="1"/>
    <col min="3883" max="3883" width="9.33203125" style="121" bestFit="1" customWidth="1"/>
    <col min="3884" max="3884" width="11.5546875" style="121" bestFit="1" customWidth="1"/>
    <col min="3885" max="3885" width="9.33203125" style="121" bestFit="1" customWidth="1"/>
    <col min="3886" max="3886" width="11.5546875" style="121" bestFit="1" customWidth="1"/>
    <col min="3887" max="3887" width="9.33203125" style="121" bestFit="1" customWidth="1"/>
    <col min="3888" max="3888" width="11.5546875" style="121" bestFit="1" customWidth="1"/>
    <col min="3889" max="3889" width="9.33203125" style="121" bestFit="1" customWidth="1"/>
    <col min="3890" max="3890" width="11.5546875" style="121" bestFit="1" customWidth="1"/>
    <col min="3891" max="3891" width="9.33203125" style="121" bestFit="1" customWidth="1"/>
    <col min="3892" max="4098" width="9.109375" style="121"/>
    <col min="4099" max="4099" width="29.44140625" style="121" bestFit="1" customWidth="1"/>
    <col min="4100" max="4100" width="11.5546875" style="121" bestFit="1" customWidth="1"/>
    <col min="4101" max="4101" width="9.33203125" style="121" bestFit="1" customWidth="1"/>
    <col min="4102" max="4102" width="11.5546875" style="121" bestFit="1" customWidth="1"/>
    <col min="4103" max="4103" width="9.33203125" style="121" bestFit="1" customWidth="1"/>
    <col min="4104" max="4104" width="11.5546875" style="121" bestFit="1" customWidth="1"/>
    <col min="4105" max="4105" width="9.33203125" style="121" bestFit="1" customWidth="1"/>
    <col min="4106" max="4106" width="11.5546875" style="121" bestFit="1" customWidth="1"/>
    <col min="4107" max="4107" width="9.33203125" style="121" bestFit="1" customWidth="1"/>
    <col min="4108" max="4108" width="11.5546875" style="121" bestFit="1" customWidth="1"/>
    <col min="4109" max="4109" width="9.33203125" style="121" bestFit="1" customWidth="1"/>
    <col min="4110" max="4110" width="11.5546875" style="121" bestFit="1" customWidth="1"/>
    <col min="4111" max="4111" width="9.33203125" style="121" bestFit="1" customWidth="1"/>
    <col min="4112" max="4112" width="11.5546875" style="121" bestFit="1" customWidth="1"/>
    <col min="4113" max="4113" width="9.33203125" style="121" bestFit="1" customWidth="1"/>
    <col min="4114" max="4114" width="11.5546875" style="121" bestFit="1" customWidth="1"/>
    <col min="4115" max="4115" width="9.33203125" style="121" bestFit="1" customWidth="1"/>
    <col min="4116" max="4116" width="11.5546875" style="121" bestFit="1" customWidth="1"/>
    <col min="4117" max="4117" width="9.33203125" style="121" bestFit="1" customWidth="1"/>
    <col min="4118" max="4118" width="11.5546875" style="121" bestFit="1" customWidth="1"/>
    <col min="4119" max="4119" width="9.33203125" style="121" bestFit="1" customWidth="1"/>
    <col min="4120" max="4120" width="11.5546875" style="121" bestFit="1" customWidth="1"/>
    <col min="4121" max="4121" width="9.33203125" style="121" bestFit="1" customWidth="1"/>
    <col min="4122" max="4122" width="11.5546875" style="121" bestFit="1" customWidth="1"/>
    <col min="4123" max="4123" width="9.33203125" style="121" bestFit="1" customWidth="1"/>
    <col min="4124" max="4124" width="11.5546875" style="121" bestFit="1" customWidth="1"/>
    <col min="4125" max="4125" width="9.33203125" style="121" bestFit="1" customWidth="1"/>
    <col min="4126" max="4126" width="11.5546875" style="121" bestFit="1" customWidth="1"/>
    <col min="4127" max="4127" width="9.33203125" style="121" bestFit="1" customWidth="1"/>
    <col min="4128" max="4128" width="11.5546875" style="121" bestFit="1" customWidth="1"/>
    <col min="4129" max="4129" width="9.33203125" style="121" bestFit="1" customWidth="1"/>
    <col min="4130" max="4130" width="11.5546875" style="121" bestFit="1" customWidth="1"/>
    <col min="4131" max="4131" width="9.33203125" style="121" bestFit="1" customWidth="1"/>
    <col min="4132" max="4132" width="11.5546875" style="121" bestFit="1" customWidth="1"/>
    <col min="4133" max="4133" width="9.33203125" style="121" bestFit="1" customWidth="1"/>
    <col min="4134" max="4134" width="11.5546875" style="121" bestFit="1" customWidth="1"/>
    <col min="4135" max="4135" width="9.33203125" style="121" bestFit="1" customWidth="1"/>
    <col min="4136" max="4136" width="11.5546875" style="121" bestFit="1" customWidth="1"/>
    <col min="4137" max="4137" width="9.33203125" style="121" bestFit="1" customWidth="1"/>
    <col min="4138" max="4138" width="11.5546875" style="121" bestFit="1" customWidth="1"/>
    <col min="4139" max="4139" width="9.33203125" style="121" bestFit="1" customWidth="1"/>
    <col min="4140" max="4140" width="11.5546875" style="121" bestFit="1" customWidth="1"/>
    <col min="4141" max="4141" width="9.33203125" style="121" bestFit="1" customWidth="1"/>
    <col min="4142" max="4142" width="11.5546875" style="121" bestFit="1" customWidth="1"/>
    <col min="4143" max="4143" width="9.33203125" style="121" bestFit="1" customWidth="1"/>
    <col min="4144" max="4144" width="11.5546875" style="121" bestFit="1" customWidth="1"/>
    <col min="4145" max="4145" width="9.33203125" style="121" bestFit="1" customWidth="1"/>
    <col min="4146" max="4146" width="11.5546875" style="121" bestFit="1" customWidth="1"/>
    <col min="4147" max="4147" width="9.33203125" style="121" bestFit="1" customWidth="1"/>
    <col min="4148" max="4354" width="9.109375" style="121"/>
    <col min="4355" max="4355" width="29.44140625" style="121" bestFit="1" customWidth="1"/>
    <col min="4356" max="4356" width="11.5546875" style="121" bestFit="1" customWidth="1"/>
    <col min="4357" max="4357" width="9.33203125" style="121" bestFit="1" customWidth="1"/>
    <col min="4358" max="4358" width="11.5546875" style="121" bestFit="1" customWidth="1"/>
    <col min="4359" max="4359" width="9.33203125" style="121" bestFit="1" customWidth="1"/>
    <col min="4360" max="4360" width="11.5546875" style="121" bestFit="1" customWidth="1"/>
    <col min="4361" max="4361" width="9.33203125" style="121" bestFit="1" customWidth="1"/>
    <col min="4362" max="4362" width="11.5546875" style="121" bestFit="1" customWidth="1"/>
    <col min="4363" max="4363" width="9.33203125" style="121" bestFit="1" customWidth="1"/>
    <col min="4364" max="4364" width="11.5546875" style="121" bestFit="1" customWidth="1"/>
    <col min="4365" max="4365" width="9.33203125" style="121" bestFit="1" customWidth="1"/>
    <col min="4366" max="4366" width="11.5546875" style="121" bestFit="1" customWidth="1"/>
    <col min="4367" max="4367" width="9.33203125" style="121" bestFit="1" customWidth="1"/>
    <col min="4368" max="4368" width="11.5546875" style="121" bestFit="1" customWidth="1"/>
    <col min="4369" max="4369" width="9.33203125" style="121" bestFit="1" customWidth="1"/>
    <col min="4370" max="4370" width="11.5546875" style="121" bestFit="1" customWidth="1"/>
    <col min="4371" max="4371" width="9.33203125" style="121" bestFit="1" customWidth="1"/>
    <col min="4372" max="4372" width="11.5546875" style="121" bestFit="1" customWidth="1"/>
    <col min="4373" max="4373" width="9.33203125" style="121" bestFit="1" customWidth="1"/>
    <col min="4374" max="4374" width="11.5546875" style="121" bestFit="1" customWidth="1"/>
    <col min="4375" max="4375" width="9.33203125" style="121" bestFit="1" customWidth="1"/>
    <col min="4376" max="4376" width="11.5546875" style="121" bestFit="1" customWidth="1"/>
    <col min="4377" max="4377" width="9.33203125" style="121" bestFit="1" customWidth="1"/>
    <col min="4378" max="4378" width="11.5546875" style="121" bestFit="1" customWidth="1"/>
    <col min="4379" max="4379" width="9.33203125" style="121" bestFit="1" customWidth="1"/>
    <col min="4380" max="4380" width="11.5546875" style="121" bestFit="1" customWidth="1"/>
    <col min="4381" max="4381" width="9.33203125" style="121" bestFit="1" customWidth="1"/>
    <col min="4382" max="4382" width="11.5546875" style="121" bestFit="1" customWidth="1"/>
    <col min="4383" max="4383" width="9.33203125" style="121" bestFit="1" customWidth="1"/>
    <col min="4384" max="4384" width="11.5546875" style="121" bestFit="1" customWidth="1"/>
    <col min="4385" max="4385" width="9.33203125" style="121" bestFit="1" customWidth="1"/>
    <col min="4386" max="4386" width="11.5546875" style="121" bestFit="1" customWidth="1"/>
    <col min="4387" max="4387" width="9.33203125" style="121" bestFit="1" customWidth="1"/>
    <col min="4388" max="4388" width="11.5546875" style="121" bestFit="1" customWidth="1"/>
    <col min="4389" max="4389" width="9.33203125" style="121" bestFit="1" customWidth="1"/>
    <col min="4390" max="4390" width="11.5546875" style="121" bestFit="1" customWidth="1"/>
    <col min="4391" max="4391" width="9.33203125" style="121" bestFit="1" customWidth="1"/>
    <col min="4392" max="4392" width="11.5546875" style="121" bestFit="1" customWidth="1"/>
    <col min="4393" max="4393" width="9.33203125" style="121" bestFit="1" customWidth="1"/>
    <col min="4394" max="4394" width="11.5546875" style="121" bestFit="1" customWidth="1"/>
    <col min="4395" max="4395" width="9.33203125" style="121" bestFit="1" customWidth="1"/>
    <col min="4396" max="4396" width="11.5546875" style="121" bestFit="1" customWidth="1"/>
    <col min="4397" max="4397" width="9.33203125" style="121" bestFit="1" customWidth="1"/>
    <col min="4398" max="4398" width="11.5546875" style="121" bestFit="1" customWidth="1"/>
    <col min="4399" max="4399" width="9.33203125" style="121" bestFit="1" customWidth="1"/>
    <col min="4400" max="4400" width="11.5546875" style="121" bestFit="1" customWidth="1"/>
    <col min="4401" max="4401" width="9.33203125" style="121" bestFit="1" customWidth="1"/>
    <col min="4402" max="4402" width="11.5546875" style="121" bestFit="1" customWidth="1"/>
    <col min="4403" max="4403" width="9.33203125" style="121" bestFit="1" customWidth="1"/>
    <col min="4404" max="4610" width="9.109375" style="121"/>
    <col min="4611" max="4611" width="29.44140625" style="121" bestFit="1" customWidth="1"/>
    <col min="4612" max="4612" width="11.5546875" style="121" bestFit="1" customWidth="1"/>
    <col min="4613" max="4613" width="9.33203125" style="121" bestFit="1" customWidth="1"/>
    <col min="4614" max="4614" width="11.5546875" style="121" bestFit="1" customWidth="1"/>
    <col min="4615" max="4615" width="9.33203125" style="121" bestFit="1" customWidth="1"/>
    <col min="4616" max="4616" width="11.5546875" style="121" bestFit="1" customWidth="1"/>
    <col min="4617" max="4617" width="9.33203125" style="121" bestFit="1" customWidth="1"/>
    <col min="4618" max="4618" width="11.5546875" style="121" bestFit="1" customWidth="1"/>
    <col min="4619" max="4619" width="9.33203125" style="121" bestFit="1" customWidth="1"/>
    <col min="4620" max="4620" width="11.5546875" style="121" bestFit="1" customWidth="1"/>
    <col min="4621" max="4621" width="9.33203125" style="121" bestFit="1" customWidth="1"/>
    <col min="4622" max="4622" width="11.5546875" style="121" bestFit="1" customWidth="1"/>
    <col min="4623" max="4623" width="9.33203125" style="121" bestFit="1" customWidth="1"/>
    <col min="4624" max="4624" width="11.5546875" style="121" bestFit="1" customWidth="1"/>
    <col min="4625" max="4625" width="9.33203125" style="121" bestFit="1" customWidth="1"/>
    <col min="4626" max="4626" width="11.5546875" style="121" bestFit="1" customWidth="1"/>
    <col min="4627" max="4627" width="9.33203125" style="121" bestFit="1" customWidth="1"/>
    <col min="4628" max="4628" width="11.5546875" style="121" bestFit="1" customWidth="1"/>
    <col min="4629" max="4629" width="9.33203125" style="121" bestFit="1" customWidth="1"/>
    <col min="4630" max="4630" width="11.5546875" style="121" bestFit="1" customWidth="1"/>
    <col min="4631" max="4631" width="9.33203125" style="121" bestFit="1" customWidth="1"/>
    <col min="4632" max="4632" width="11.5546875" style="121" bestFit="1" customWidth="1"/>
    <col min="4633" max="4633" width="9.33203125" style="121" bestFit="1" customWidth="1"/>
    <col min="4634" max="4634" width="11.5546875" style="121" bestFit="1" customWidth="1"/>
    <col min="4635" max="4635" width="9.33203125" style="121" bestFit="1" customWidth="1"/>
    <col min="4636" max="4636" width="11.5546875" style="121" bestFit="1" customWidth="1"/>
    <col min="4637" max="4637" width="9.33203125" style="121" bestFit="1" customWidth="1"/>
    <col min="4638" max="4638" width="11.5546875" style="121" bestFit="1" customWidth="1"/>
    <col min="4639" max="4639" width="9.33203125" style="121" bestFit="1" customWidth="1"/>
    <col min="4640" max="4640" width="11.5546875" style="121" bestFit="1" customWidth="1"/>
    <col min="4641" max="4641" width="9.33203125" style="121" bestFit="1" customWidth="1"/>
    <col min="4642" max="4642" width="11.5546875" style="121" bestFit="1" customWidth="1"/>
    <col min="4643" max="4643" width="9.33203125" style="121" bestFit="1" customWidth="1"/>
    <col min="4644" max="4644" width="11.5546875" style="121" bestFit="1" customWidth="1"/>
    <col min="4645" max="4645" width="9.33203125" style="121" bestFit="1" customWidth="1"/>
    <col min="4646" max="4646" width="11.5546875" style="121" bestFit="1" customWidth="1"/>
    <col min="4647" max="4647" width="9.33203125" style="121" bestFit="1" customWidth="1"/>
    <col min="4648" max="4648" width="11.5546875" style="121" bestFit="1" customWidth="1"/>
    <col min="4649" max="4649" width="9.33203125" style="121" bestFit="1" customWidth="1"/>
    <col min="4650" max="4650" width="11.5546875" style="121" bestFit="1" customWidth="1"/>
    <col min="4651" max="4651" width="9.33203125" style="121" bestFit="1" customWidth="1"/>
    <col min="4652" max="4652" width="11.5546875" style="121" bestFit="1" customWidth="1"/>
    <col min="4653" max="4653" width="9.33203125" style="121" bestFit="1" customWidth="1"/>
    <col min="4654" max="4654" width="11.5546875" style="121" bestFit="1" customWidth="1"/>
    <col min="4655" max="4655" width="9.33203125" style="121" bestFit="1" customWidth="1"/>
    <col min="4656" max="4656" width="11.5546875" style="121" bestFit="1" customWidth="1"/>
    <col min="4657" max="4657" width="9.33203125" style="121" bestFit="1" customWidth="1"/>
    <col min="4658" max="4658" width="11.5546875" style="121" bestFit="1" customWidth="1"/>
    <col min="4659" max="4659" width="9.33203125" style="121" bestFit="1" customWidth="1"/>
    <col min="4660" max="4866" width="9.109375" style="121"/>
    <col min="4867" max="4867" width="29.44140625" style="121" bestFit="1" customWidth="1"/>
    <col min="4868" max="4868" width="11.5546875" style="121" bestFit="1" customWidth="1"/>
    <col min="4869" max="4869" width="9.33203125" style="121" bestFit="1" customWidth="1"/>
    <col min="4870" max="4870" width="11.5546875" style="121" bestFit="1" customWidth="1"/>
    <col min="4871" max="4871" width="9.33203125" style="121" bestFit="1" customWidth="1"/>
    <col min="4872" max="4872" width="11.5546875" style="121" bestFit="1" customWidth="1"/>
    <col min="4873" max="4873" width="9.33203125" style="121" bestFit="1" customWidth="1"/>
    <col min="4874" max="4874" width="11.5546875" style="121" bestFit="1" customWidth="1"/>
    <col min="4875" max="4875" width="9.33203125" style="121" bestFit="1" customWidth="1"/>
    <col min="4876" max="4876" width="11.5546875" style="121" bestFit="1" customWidth="1"/>
    <col min="4877" max="4877" width="9.33203125" style="121" bestFit="1" customWidth="1"/>
    <col min="4878" max="4878" width="11.5546875" style="121" bestFit="1" customWidth="1"/>
    <col min="4879" max="4879" width="9.33203125" style="121" bestFit="1" customWidth="1"/>
    <col min="4880" max="4880" width="11.5546875" style="121" bestFit="1" customWidth="1"/>
    <col min="4881" max="4881" width="9.33203125" style="121" bestFit="1" customWidth="1"/>
    <col min="4882" max="4882" width="11.5546875" style="121" bestFit="1" customWidth="1"/>
    <col min="4883" max="4883" width="9.33203125" style="121" bestFit="1" customWidth="1"/>
    <col min="4884" max="4884" width="11.5546875" style="121" bestFit="1" customWidth="1"/>
    <col min="4885" max="4885" width="9.33203125" style="121" bestFit="1" customWidth="1"/>
    <col min="4886" max="4886" width="11.5546875" style="121" bestFit="1" customWidth="1"/>
    <col min="4887" max="4887" width="9.33203125" style="121" bestFit="1" customWidth="1"/>
    <col min="4888" max="4888" width="11.5546875" style="121" bestFit="1" customWidth="1"/>
    <col min="4889" max="4889" width="9.33203125" style="121" bestFit="1" customWidth="1"/>
    <col min="4890" max="4890" width="11.5546875" style="121" bestFit="1" customWidth="1"/>
    <col min="4891" max="4891" width="9.33203125" style="121" bestFit="1" customWidth="1"/>
    <col min="4892" max="4892" width="11.5546875" style="121" bestFit="1" customWidth="1"/>
    <col min="4893" max="4893" width="9.33203125" style="121" bestFit="1" customWidth="1"/>
    <col min="4894" max="4894" width="11.5546875" style="121" bestFit="1" customWidth="1"/>
    <col min="4895" max="4895" width="9.33203125" style="121" bestFit="1" customWidth="1"/>
    <col min="4896" max="4896" width="11.5546875" style="121" bestFit="1" customWidth="1"/>
    <col min="4897" max="4897" width="9.33203125" style="121" bestFit="1" customWidth="1"/>
    <col min="4898" max="4898" width="11.5546875" style="121" bestFit="1" customWidth="1"/>
    <col min="4899" max="4899" width="9.33203125" style="121" bestFit="1" customWidth="1"/>
    <col min="4900" max="4900" width="11.5546875" style="121" bestFit="1" customWidth="1"/>
    <col min="4901" max="4901" width="9.33203125" style="121" bestFit="1" customWidth="1"/>
    <col min="4902" max="4902" width="11.5546875" style="121" bestFit="1" customWidth="1"/>
    <col min="4903" max="4903" width="9.33203125" style="121" bestFit="1" customWidth="1"/>
    <col min="4904" max="4904" width="11.5546875" style="121" bestFit="1" customWidth="1"/>
    <col min="4905" max="4905" width="9.33203125" style="121" bestFit="1" customWidth="1"/>
    <col min="4906" max="4906" width="11.5546875" style="121" bestFit="1" customWidth="1"/>
    <col min="4907" max="4907" width="9.33203125" style="121" bestFit="1" customWidth="1"/>
    <col min="4908" max="4908" width="11.5546875" style="121" bestFit="1" customWidth="1"/>
    <col min="4909" max="4909" width="9.33203125" style="121" bestFit="1" customWidth="1"/>
    <col min="4910" max="4910" width="11.5546875" style="121" bestFit="1" customWidth="1"/>
    <col min="4911" max="4911" width="9.33203125" style="121" bestFit="1" customWidth="1"/>
    <col min="4912" max="4912" width="11.5546875" style="121" bestFit="1" customWidth="1"/>
    <col min="4913" max="4913" width="9.33203125" style="121" bestFit="1" customWidth="1"/>
    <col min="4914" max="4914" width="11.5546875" style="121" bestFit="1" customWidth="1"/>
    <col min="4915" max="4915" width="9.33203125" style="121" bestFit="1" customWidth="1"/>
    <col min="4916" max="5122" width="9.109375" style="121"/>
    <col min="5123" max="5123" width="29.44140625" style="121" bestFit="1" customWidth="1"/>
    <col min="5124" max="5124" width="11.5546875" style="121" bestFit="1" customWidth="1"/>
    <col min="5125" max="5125" width="9.33203125" style="121" bestFit="1" customWidth="1"/>
    <col min="5126" max="5126" width="11.5546875" style="121" bestFit="1" customWidth="1"/>
    <col min="5127" max="5127" width="9.33203125" style="121" bestFit="1" customWidth="1"/>
    <col min="5128" max="5128" width="11.5546875" style="121" bestFit="1" customWidth="1"/>
    <col min="5129" max="5129" width="9.33203125" style="121" bestFit="1" customWidth="1"/>
    <col min="5130" max="5130" width="11.5546875" style="121" bestFit="1" customWidth="1"/>
    <col min="5131" max="5131" width="9.33203125" style="121" bestFit="1" customWidth="1"/>
    <col min="5132" max="5132" width="11.5546875" style="121" bestFit="1" customWidth="1"/>
    <col min="5133" max="5133" width="9.33203125" style="121" bestFit="1" customWidth="1"/>
    <col min="5134" max="5134" width="11.5546875" style="121" bestFit="1" customWidth="1"/>
    <col min="5135" max="5135" width="9.33203125" style="121" bestFit="1" customWidth="1"/>
    <col min="5136" max="5136" width="11.5546875" style="121" bestFit="1" customWidth="1"/>
    <col min="5137" max="5137" width="9.33203125" style="121" bestFit="1" customWidth="1"/>
    <col min="5138" max="5138" width="11.5546875" style="121" bestFit="1" customWidth="1"/>
    <col min="5139" max="5139" width="9.33203125" style="121" bestFit="1" customWidth="1"/>
    <col min="5140" max="5140" width="11.5546875" style="121" bestFit="1" customWidth="1"/>
    <col min="5141" max="5141" width="9.33203125" style="121" bestFit="1" customWidth="1"/>
    <col min="5142" max="5142" width="11.5546875" style="121" bestFit="1" customWidth="1"/>
    <col min="5143" max="5143" width="9.33203125" style="121" bestFit="1" customWidth="1"/>
    <col min="5144" max="5144" width="11.5546875" style="121" bestFit="1" customWidth="1"/>
    <col min="5145" max="5145" width="9.33203125" style="121" bestFit="1" customWidth="1"/>
    <col min="5146" max="5146" width="11.5546875" style="121" bestFit="1" customWidth="1"/>
    <col min="5147" max="5147" width="9.33203125" style="121" bestFit="1" customWidth="1"/>
    <col min="5148" max="5148" width="11.5546875" style="121" bestFit="1" customWidth="1"/>
    <col min="5149" max="5149" width="9.33203125" style="121" bestFit="1" customWidth="1"/>
    <col min="5150" max="5150" width="11.5546875" style="121" bestFit="1" customWidth="1"/>
    <col min="5151" max="5151" width="9.33203125" style="121" bestFit="1" customWidth="1"/>
    <col min="5152" max="5152" width="11.5546875" style="121" bestFit="1" customWidth="1"/>
    <col min="5153" max="5153" width="9.33203125" style="121" bestFit="1" customWidth="1"/>
    <col min="5154" max="5154" width="11.5546875" style="121" bestFit="1" customWidth="1"/>
    <col min="5155" max="5155" width="9.33203125" style="121" bestFit="1" customWidth="1"/>
    <col min="5156" max="5156" width="11.5546875" style="121" bestFit="1" customWidth="1"/>
    <col min="5157" max="5157" width="9.33203125" style="121" bestFit="1" customWidth="1"/>
    <col min="5158" max="5158" width="11.5546875" style="121" bestFit="1" customWidth="1"/>
    <col min="5159" max="5159" width="9.33203125" style="121" bestFit="1" customWidth="1"/>
    <col min="5160" max="5160" width="11.5546875" style="121" bestFit="1" customWidth="1"/>
    <col min="5161" max="5161" width="9.33203125" style="121" bestFit="1" customWidth="1"/>
    <col min="5162" max="5162" width="11.5546875" style="121" bestFit="1" customWidth="1"/>
    <col min="5163" max="5163" width="9.33203125" style="121" bestFit="1" customWidth="1"/>
    <col min="5164" max="5164" width="11.5546875" style="121" bestFit="1" customWidth="1"/>
    <col min="5165" max="5165" width="9.33203125" style="121" bestFit="1" customWidth="1"/>
    <col min="5166" max="5166" width="11.5546875" style="121" bestFit="1" customWidth="1"/>
    <col min="5167" max="5167" width="9.33203125" style="121" bestFit="1" customWidth="1"/>
    <col min="5168" max="5168" width="11.5546875" style="121" bestFit="1" customWidth="1"/>
    <col min="5169" max="5169" width="9.33203125" style="121" bestFit="1" customWidth="1"/>
    <col min="5170" max="5170" width="11.5546875" style="121" bestFit="1" customWidth="1"/>
    <col min="5171" max="5171" width="9.33203125" style="121" bestFit="1" customWidth="1"/>
    <col min="5172" max="5378" width="9.109375" style="121"/>
    <col min="5379" max="5379" width="29.44140625" style="121" bestFit="1" customWidth="1"/>
    <col min="5380" max="5380" width="11.5546875" style="121" bestFit="1" customWidth="1"/>
    <col min="5381" max="5381" width="9.33203125" style="121" bestFit="1" customWidth="1"/>
    <col min="5382" max="5382" width="11.5546875" style="121" bestFit="1" customWidth="1"/>
    <col min="5383" max="5383" width="9.33203125" style="121" bestFit="1" customWidth="1"/>
    <col min="5384" max="5384" width="11.5546875" style="121" bestFit="1" customWidth="1"/>
    <col min="5385" max="5385" width="9.33203125" style="121" bestFit="1" customWidth="1"/>
    <col min="5386" max="5386" width="11.5546875" style="121" bestFit="1" customWidth="1"/>
    <col min="5387" max="5387" width="9.33203125" style="121" bestFit="1" customWidth="1"/>
    <col min="5388" max="5388" width="11.5546875" style="121" bestFit="1" customWidth="1"/>
    <col min="5389" max="5389" width="9.33203125" style="121" bestFit="1" customWidth="1"/>
    <col min="5390" max="5390" width="11.5546875" style="121" bestFit="1" customWidth="1"/>
    <col min="5391" max="5391" width="9.33203125" style="121" bestFit="1" customWidth="1"/>
    <col min="5392" max="5392" width="11.5546875" style="121" bestFit="1" customWidth="1"/>
    <col min="5393" max="5393" width="9.33203125" style="121" bestFit="1" customWidth="1"/>
    <col min="5394" max="5394" width="11.5546875" style="121" bestFit="1" customWidth="1"/>
    <col min="5395" max="5395" width="9.33203125" style="121" bestFit="1" customWidth="1"/>
    <col min="5396" max="5396" width="11.5546875" style="121" bestFit="1" customWidth="1"/>
    <col min="5397" max="5397" width="9.33203125" style="121" bestFit="1" customWidth="1"/>
    <col min="5398" max="5398" width="11.5546875" style="121" bestFit="1" customWidth="1"/>
    <col min="5399" max="5399" width="9.33203125" style="121" bestFit="1" customWidth="1"/>
    <col min="5400" max="5400" width="11.5546875" style="121" bestFit="1" customWidth="1"/>
    <col min="5401" max="5401" width="9.33203125" style="121" bestFit="1" customWidth="1"/>
    <col min="5402" max="5402" width="11.5546875" style="121" bestFit="1" customWidth="1"/>
    <col min="5403" max="5403" width="9.33203125" style="121" bestFit="1" customWidth="1"/>
    <col min="5404" max="5404" width="11.5546875" style="121" bestFit="1" customWidth="1"/>
    <col min="5405" max="5405" width="9.33203125" style="121" bestFit="1" customWidth="1"/>
    <col min="5406" max="5406" width="11.5546875" style="121" bestFit="1" customWidth="1"/>
    <col min="5407" max="5407" width="9.33203125" style="121" bestFit="1" customWidth="1"/>
    <col min="5408" max="5408" width="11.5546875" style="121" bestFit="1" customWidth="1"/>
    <col min="5409" max="5409" width="9.33203125" style="121" bestFit="1" customWidth="1"/>
    <col min="5410" max="5410" width="11.5546875" style="121" bestFit="1" customWidth="1"/>
    <col min="5411" max="5411" width="9.33203125" style="121" bestFit="1" customWidth="1"/>
    <col min="5412" max="5412" width="11.5546875" style="121" bestFit="1" customWidth="1"/>
    <col min="5413" max="5413" width="9.33203125" style="121" bestFit="1" customWidth="1"/>
    <col min="5414" max="5414" width="11.5546875" style="121" bestFit="1" customWidth="1"/>
    <col min="5415" max="5415" width="9.33203125" style="121" bestFit="1" customWidth="1"/>
    <col min="5416" max="5416" width="11.5546875" style="121" bestFit="1" customWidth="1"/>
    <col min="5417" max="5417" width="9.33203125" style="121" bestFit="1" customWidth="1"/>
    <col min="5418" max="5418" width="11.5546875" style="121" bestFit="1" customWidth="1"/>
    <col min="5419" max="5419" width="9.33203125" style="121" bestFit="1" customWidth="1"/>
    <col min="5420" max="5420" width="11.5546875" style="121" bestFit="1" customWidth="1"/>
    <col min="5421" max="5421" width="9.33203125" style="121" bestFit="1" customWidth="1"/>
    <col min="5422" max="5422" width="11.5546875" style="121" bestFit="1" customWidth="1"/>
    <col min="5423" max="5423" width="9.33203125" style="121" bestFit="1" customWidth="1"/>
    <col min="5424" max="5424" width="11.5546875" style="121" bestFit="1" customWidth="1"/>
    <col min="5425" max="5425" width="9.33203125" style="121" bestFit="1" customWidth="1"/>
    <col min="5426" max="5426" width="11.5546875" style="121" bestFit="1" customWidth="1"/>
    <col min="5427" max="5427" width="9.33203125" style="121" bestFit="1" customWidth="1"/>
    <col min="5428" max="5634" width="9.109375" style="121"/>
    <col min="5635" max="5635" width="29.44140625" style="121" bestFit="1" customWidth="1"/>
    <col min="5636" max="5636" width="11.5546875" style="121" bestFit="1" customWidth="1"/>
    <col min="5637" max="5637" width="9.33203125" style="121" bestFit="1" customWidth="1"/>
    <col min="5638" max="5638" width="11.5546875" style="121" bestFit="1" customWidth="1"/>
    <col min="5639" max="5639" width="9.33203125" style="121" bestFit="1" customWidth="1"/>
    <col min="5640" max="5640" width="11.5546875" style="121" bestFit="1" customWidth="1"/>
    <col min="5641" max="5641" width="9.33203125" style="121" bestFit="1" customWidth="1"/>
    <col min="5642" max="5642" width="11.5546875" style="121" bestFit="1" customWidth="1"/>
    <col min="5643" max="5643" width="9.33203125" style="121" bestFit="1" customWidth="1"/>
    <col min="5644" max="5644" width="11.5546875" style="121" bestFit="1" customWidth="1"/>
    <col min="5645" max="5645" width="9.33203125" style="121" bestFit="1" customWidth="1"/>
    <col min="5646" max="5646" width="11.5546875" style="121" bestFit="1" customWidth="1"/>
    <col min="5647" max="5647" width="9.33203125" style="121" bestFit="1" customWidth="1"/>
    <col min="5648" max="5648" width="11.5546875" style="121" bestFit="1" customWidth="1"/>
    <col min="5649" max="5649" width="9.33203125" style="121" bestFit="1" customWidth="1"/>
    <col min="5650" max="5650" width="11.5546875" style="121" bestFit="1" customWidth="1"/>
    <col min="5651" max="5651" width="9.33203125" style="121" bestFit="1" customWidth="1"/>
    <col min="5652" max="5652" width="11.5546875" style="121" bestFit="1" customWidth="1"/>
    <col min="5653" max="5653" width="9.33203125" style="121" bestFit="1" customWidth="1"/>
    <col min="5654" max="5654" width="11.5546875" style="121" bestFit="1" customWidth="1"/>
    <col min="5655" max="5655" width="9.33203125" style="121" bestFit="1" customWidth="1"/>
    <col min="5656" max="5656" width="11.5546875" style="121" bestFit="1" customWidth="1"/>
    <col min="5657" max="5657" width="9.33203125" style="121" bestFit="1" customWidth="1"/>
    <col min="5658" max="5658" width="11.5546875" style="121" bestFit="1" customWidth="1"/>
    <col min="5659" max="5659" width="9.33203125" style="121" bestFit="1" customWidth="1"/>
    <col min="5660" max="5660" width="11.5546875" style="121" bestFit="1" customWidth="1"/>
    <col min="5661" max="5661" width="9.33203125" style="121" bestFit="1" customWidth="1"/>
    <col min="5662" max="5662" width="11.5546875" style="121" bestFit="1" customWidth="1"/>
    <col min="5663" max="5663" width="9.33203125" style="121" bestFit="1" customWidth="1"/>
    <col min="5664" max="5664" width="11.5546875" style="121" bestFit="1" customWidth="1"/>
    <col min="5665" max="5665" width="9.33203125" style="121" bestFit="1" customWidth="1"/>
    <col min="5666" max="5666" width="11.5546875" style="121" bestFit="1" customWidth="1"/>
    <col min="5667" max="5667" width="9.33203125" style="121" bestFit="1" customWidth="1"/>
    <col min="5668" max="5668" width="11.5546875" style="121" bestFit="1" customWidth="1"/>
    <col min="5669" max="5669" width="9.33203125" style="121" bestFit="1" customWidth="1"/>
    <col min="5670" max="5670" width="11.5546875" style="121" bestFit="1" customWidth="1"/>
    <col min="5671" max="5671" width="9.33203125" style="121" bestFit="1" customWidth="1"/>
    <col min="5672" max="5672" width="11.5546875" style="121" bestFit="1" customWidth="1"/>
    <col min="5673" max="5673" width="9.33203125" style="121" bestFit="1" customWidth="1"/>
    <col min="5674" max="5674" width="11.5546875" style="121" bestFit="1" customWidth="1"/>
    <col min="5675" max="5675" width="9.33203125" style="121" bestFit="1" customWidth="1"/>
    <col min="5676" max="5676" width="11.5546875" style="121" bestFit="1" customWidth="1"/>
    <col min="5677" max="5677" width="9.33203125" style="121" bestFit="1" customWidth="1"/>
    <col min="5678" max="5678" width="11.5546875" style="121" bestFit="1" customWidth="1"/>
    <col min="5679" max="5679" width="9.33203125" style="121" bestFit="1" customWidth="1"/>
    <col min="5680" max="5680" width="11.5546875" style="121" bestFit="1" customWidth="1"/>
    <col min="5681" max="5681" width="9.33203125" style="121" bestFit="1" customWidth="1"/>
    <col min="5682" max="5682" width="11.5546875" style="121" bestFit="1" customWidth="1"/>
    <col min="5683" max="5683" width="9.33203125" style="121" bestFit="1" customWidth="1"/>
    <col min="5684" max="5890" width="9.109375" style="121"/>
    <col min="5891" max="5891" width="29.44140625" style="121" bestFit="1" customWidth="1"/>
    <col min="5892" max="5892" width="11.5546875" style="121" bestFit="1" customWidth="1"/>
    <col min="5893" max="5893" width="9.33203125" style="121" bestFit="1" customWidth="1"/>
    <col min="5894" max="5894" width="11.5546875" style="121" bestFit="1" customWidth="1"/>
    <col min="5895" max="5895" width="9.33203125" style="121" bestFit="1" customWidth="1"/>
    <col min="5896" max="5896" width="11.5546875" style="121" bestFit="1" customWidth="1"/>
    <col min="5897" max="5897" width="9.33203125" style="121" bestFit="1" customWidth="1"/>
    <col min="5898" max="5898" width="11.5546875" style="121" bestFit="1" customWidth="1"/>
    <col min="5899" max="5899" width="9.33203125" style="121" bestFit="1" customWidth="1"/>
    <col min="5900" max="5900" width="11.5546875" style="121" bestFit="1" customWidth="1"/>
    <col min="5901" max="5901" width="9.33203125" style="121" bestFit="1" customWidth="1"/>
    <col min="5902" max="5902" width="11.5546875" style="121" bestFit="1" customWidth="1"/>
    <col min="5903" max="5903" width="9.33203125" style="121" bestFit="1" customWidth="1"/>
    <col min="5904" max="5904" width="11.5546875" style="121" bestFit="1" customWidth="1"/>
    <col min="5905" max="5905" width="9.33203125" style="121" bestFit="1" customWidth="1"/>
    <col min="5906" max="5906" width="11.5546875" style="121" bestFit="1" customWidth="1"/>
    <col min="5907" max="5907" width="9.33203125" style="121" bestFit="1" customWidth="1"/>
    <col min="5908" max="5908" width="11.5546875" style="121" bestFit="1" customWidth="1"/>
    <col min="5909" max="5909" width="9.33203125" style="121" bestFit="1" customWidth="1"/>
    <col min="5910" max="5910" width="11.5546875" style="121" bestFit="1" customWidth="1"/>
    <col min="5911" max="5911" width="9.33203125" style="121" bestFit="1" customWidth="1"/>
    <col min="5912" max="5912" width="11.5546875" style="121" bestFit="1" customWidth="1"/>
    <col min="5913" max="5913" width="9.33203125" style="121" bestFit="1" customWidth="1"/>
    <col min="5914" max="5914" width="11.5546875" style="121" bestFit="1" customWidth="1"/>
    <col min="5915" max="5915" width="9.33203125" style="121" bestFit="1" customWidth="1"/>
    <col min="5916" max="5916" width="11.5546875" style="121" bestFit="1" customWidth="1"/>
    <col min="5917" max="5917" width="9.33203125" style="121" bestFit="1" customWidth="1"/>
    <col min="5918" max="5918" width="11.5546875" style="121" bestFit="1" customWidth="1"/>
    <col min="5919" max="5919" width="9.33203125" style="121" bestFit="1" customWidth="1"/>
    <col min="5920" max="5920" width="11.5546875" style="121" bestFit="1" customWidth="1"/>
    <col min="5921" max="5921" width="9.33203125" style="121" bestFit="1" customWidth="1"/>
    <col min="5922" max="5922" width="11.5546875" style="121" bestFit="1" customWidth="1"/>
    <col min="5923" max="5923" width="9.33203125" style="121" bestFit="1" customWidth="1"/>
    <col min="5924" max="5924" width="11.5546875" style="121" bestFit="1" customWidth="1"/>
    <col min="5925" max="5925" width="9.33203125" style="121" bestFit="1" customWidth="1"/>
    <col min="5926" max="5926" width="11.5546875" style="121" bestFit="1" customWidth="1"/>
    <col min="5927" max="5927" width="9.33203125" style="121" bestFit="1" customWidth="1"/>
    <col min="5928" max="5928" width="11.5546875" style="121" bestFit="1" customWidth="1"/>
    <col min="5929" max="5929" width="9.33203125" style="121" bestFit="1" customWidth="1"/>
    <col min="5930" max="5930" width="11.5546875" style="121" bestFit="1" customWidth="1"/>
    <col min="5931" max="5931" width="9.33203125" style="121" bestFit="1" customWidth="1"/>
    <col min="5932" max="5932" width="11.5546875" style="121" bestFit="1" customWidth="1"/>
    <col min="5933" max="5933" width="9.33203125" style="121" bestFit="1" customWidth="1"/>
    <col min="5934" max="5934" width="11.5546875" style="121" bestFit="1" customWidth="1"/>
    <col min="5935" max="5935" width="9.33203125" style="121" bestFit="1" customWidth="1"/>
    <col min="5936" max="5936" width="11.5546875" style="121" bestFit="1" customWidth="1"/>
    <col min="5937" max="5937" width="9.33203125" style="121" bestFit="1" customWidth="1"/>
    <col min="5938" max="5938" width="11.5546875" style="121" bestFit="1" customWidth="1"/>
    <col min="5939" max="5939" width="9.33203125" style="121" bestFit="1" customWidth="1"/>
    <col min="5940" max="6146" width="9.109375" style="121"/>
    <col min="6147" max="6147" width="29.44140625" style="121" bestFit="1" customWidth="1"/>
    <col min="6148" max="6148" width="11.5546875" style="121" bestFit="1" customWidth="1"/>
    <col min="6149" max="6149" width="9.33203125" style="121" bestFit="1" customWidth="1"/>
    <col min="6150" max="6150" width="11.5546875" style="121" bestFit="1" customWidth="1"/>
    <col min="6151" max="6151" width="9.33203125" style="121" bestFit="1" customWidth="1"/>
    <col min="6152" max="6152" width="11.5546875" style="121" bestFit="1" customWidth="1"/>
    <col min="6153" max="6153" width="9.33203125" style="121" bestFit="1" customWidth="1"/>
    <col min="6154" max="6154" width="11.5546875" style="121" bestFit="1" customWidth="1"/>
    <col min="6155" max="6155" width="9.33203125" style="121" bestFit="1" customWidth="1"/>
    <col min="6156" max="6156" width="11.5546875" style="121" bestFit="1" customWidth="1"/>
    <col min="6157" max="6157" width="9.33203125" style="121" bestFit="1" customWidth="1"/>
    <col min="6158" max="6158" width="11.5546875" style="121" bestFit="1" customWidth="1"/>
    <col min="6159" max="6159" width="9.33203125" style="121" bestFit="1" customWidth="1"/>
    <col min="6160" max="6160" width="11.5546875" style="121" bestFit="1" customWidth="1"/>
    <col min="6161" max="6161" width="9.33203125" style="121" bestFit="1" customWidth="1"/>
    <col min="6162" max="6162" width="11.5546875" style="121" bestFit="1" customWidth="1"/>
    <col min="6163" max="6163" width="9.33203125" style="121" bestFit="1" customWidth="1"/>
    <col min="6164" max="6164" width="11.5546875" style="121" bestFit="1" customWidth="1"/>
    <col min="6165" max="6165" width="9.33203125" style="121" bestFit="1" customWidth="1"/>
    <col min="6166" max="6166" width="11.5546875" style="121" bestFit="1" customWidth="1"/>
    <col min="6167" max="6167" width="9.33203125" style="121" bestFit="1" customWidth="1"/>
    <col min="6168" max="6168" width="11.5546875" style="121" bestFit="1" customWidth="1"/>
    <col min="6169" max="6169" width="9.33203125" style="121" bestFit="1" customWidth="1"/>
    <col min="6170" max="6170" width="11.5546875" style="121" bestFit="1" customWidth="1"/>
    <col min="6171" max="6171" width="9.33203125" style="121" bestFit="1" customWidth="1"/>
    <col min="6172" max="6172" width="11.5546875" style="121" bestFit="1" customWidth="1"/>
    <col min="6173" max="6173" width="9.33203125" style="121" bestFit="1" customWidth="1"/>
    <col min="6174" max="6174" width="11.5546875" style="121" bestFit="1" customWidth="1"/>
    <col min="6175" max="6175" width="9.33203125" style="121" bestFit="1" customWidth="1"/>
    <col min="6176" max="6176" width="11.5546875" style="121" bestFit="1" customWidth="1"/>
    <col min="6177" max="6177" width="9.33203125" style="121" bestFit="1" customWidth="1"/>
    <col min="6178" max="6178" width="11.5546875" style="121" bestFit="1" customWidth="1"/>
    <col min="6179" max="6179" width="9.33203125" style="121" bestFit="1" customWidth="1"/>
    <col min="6180" max="6180" width="11.5546875" style="121" bestFit="1" customWidth="1"/>
    <col min="6181" max="6181" width="9.33203125" style="121" bestFit="1" customWidth="1"/>
    <col min="6182" max="6182" width="11.5546875" style="121" bestFit="1" customWidth="1"/>
    <col min="6183" max="6183" width="9.33203125" style="121" bestFit="1" customWidth="1"/>
    <col min="6184" max="6184" width="11.5546875" style="121" bestFit="1" customWidth="1"/>
    <col min="6185" max="6185" width="9.33203125" style="121" bestFit="1" customWidth="1"/>
    <col min="6186" max="6186" width="11.5546875" style="121" bestFit="1" customWidth="1"/>
    <col min="6187" max="6187" width="9.33203125" style="121" bestFit="1" customWidth="1"/>
    <col min="6188" max="6188" width="11.5546875" style="121" bestFit="1" customWidth="1"/>
    <col min="6189" max="6189" width="9.33203125" style="121" bestFit="1" customWidth="1"/>
    <col min="6190" max="6190" width="11.5546875" style="121" bestFit="1" customWidth="1"/>
    <col min="6191" max="6191" width="9.33203125" style="121" bestFit="1" customWidth="1"/>
    <col min="6192" max="6192" width="11.5546875" style="121" bestFit="1" customWidth="1"/>
    <col min="6193" max="6193" width="9.33203125" style="121" bestFit="1" customWidth="1"/>
    <col min="6194" max="6194" width="11.5546875" style="121" bestFit="1" customWidth="1"/>
    <col min="6195" max="6195" width="9.33203125" style="121" bestFit="1" customWidth="1"/>
    <col min="6196" max="6402" width="9.109375" style="121"/>
    <col min="6403" max="6403" width="29.44140625" style="121" bestFit="1" customWidth="1"/>
    <col min="6404" max="6404" width="11.5546875" style="121" bestFit="1" customWidth="1"/>
    <col min="6405" max="6405" width="9.33203125" style="121" bestFit="1" customWidth="1"/>
    <col min="6406" max="6406" width="11.5546875" style="121" bestFit="1" customWidth="1"/>
    <col min="6407" max="6407" width="9.33203125" style="121" bestFit="1" customWidth="1"/>
    <col min="6408" max="6408" width="11.5546875" style="121" bestFit="1" customWidth="1"/>
    <col min="6409" max="6409" width="9.33203125" style="121" bestFit="1" customWidth="1"/>
    <col min="6410" max="6410" width="11.5546875" style="121" bestFit="1" customWidth="1"/>
    <col min="6411" max="6411" width="9.33203125" style="121" bestFit="1" customWidth="1"/>
    <col min="6412" max="6412" width="11.5546875" style="121" bestFit="1" customWidth="1"/>
    <col min="6413" max="6413" width="9.33203125" style="121" bestFit="1" customWidth="1"/>
    <col min="6414" max="6414" width="11.5546875" style="121" bestFit="1" customWidth="1"/>
    <col min="6415" max="6415" width="9.33203125" style="121" bestFit="1" customWidth="1"/>
    <col min="6416" max="6416" width="11.5546875" style="121" bestFit="1" customWidth="1"/>
    <col min="6417" max="6417" width="9.33203125" style="121" bestFit="1" customWidth="1"/>
    <col min="6418" max="6418" width="11.5546875" style="121" bestFit="1" customWidth="1"/>
    <col min="6419" max="6419" width="9.33203125" style="121" bestFit="1" customWidth="1"/>
    <col min="6420" max="6420" width="11.5546875" style="121" bestFit="1" customWidth="1"/>
    <col min="6421" max="6421" width="9.33203125" style="121" bestFit="1" customWidth="1"/>
    <col min="6422" max="6422" width="11.5546875" style="121" bestFit="1" customWidth="1"/>
    <col min="6423" max="6423" width="9.33203125" style="121" bestFit="1" customWidth="1"/>
    <col min="6424" max="6424" width="11.5546875" style="121" bestFit="1" customWidth="1"/>
    <col min="6425" max="6425" width="9.33203125" style="121" bestFit="1" customWidth="1"/>
    <col min="6426" max="6426" width="11.5546875" style="121" bestFit="1" customWidth="1"/>
    <col min="6427" max="6427" width="9.33203125" style="121" bestFit="1" customWidth="1"/>
    <col min="6428" max="6428" width="11.5546875" style="121" bestFit="1" customWidth="1"/>
    <col min="6429" max="6429" width="9.33203125" style="121" bestFit="1" customWidth="1"/>
    <col min="6430" max="6430" width="11.5546875" style="121" bestFit="1" customWidth="1"/>
    <col min="6431" max="6431" width="9.33203125" style="121" bestFit="1" customWidth="1"/>
    <col min="6432" max="6432" width="11.5546875" style="121" bestFit="1" customWidth="1"/>
    <col min="6433" max="6433" width="9.33203125" style="121" bestFit="1" customWidth="1"/>
    <col min="6434" max="6434" width="11.5546875" style="121" bestFit="1" customWidth="1"/>
    <col min="6435" max="6435" width="9.33203125" style="121" bestFit="1" customWidth="1"/>
    <col min="6436" max="6436" width="11.5546875" style="121" bestFit="1" customWidth="1"/>
    <col min="6437" max="6437" width="9.33203125" style="121" bestFit="1" customWidth="1"/>
    <col min="6438" max="6438" width="11.5546875" style="121" bestFit="1" customWidth="1"/>
    <col min="6439" max="6439" width="9.33203125" style="121" bestFit="1" customWidth="1"/>
    <col min="6440" max="6440" width="11.5546875" style="121" bestFit="1" customWidth="1"/>
    <col min="6441" max="6441" width="9.33203125" style="121" bestFit="1" customWidth="1"/>
    <col min="6442" max="6442" width="11.5546875" style="121" bestFit="1" customWidth="1"/>
    <col min="6443" max="6443" width="9.33203125" style="121" bestFit="1" customWidth="1"/>
    <col min="6444" max="6444" width="11.5546875" style="121" bestFit="1" customWidth="1"/>
    <col min="6445" max="6445" width="9.33203125" style="121" bestFit="1" customWidth="1"/>
    <col min="6446" max="6446" width="11.5546875" style="121" bestFit="1" customWidth="1"/>
    <col min="6447" max="6447" width="9.33203125" style="121" bestFit="1" customWidth="1"/>
    <col min="6448" max="6448" width="11.5546875" style="121" bestFit="1" customWidth="1"/>
    <col min="6449" max="6449" width="9.33203125" style="121" bestFit="1" customWidth="1"/>
    <col min="6450" max="6450" width="11.5546875" style="121" bestFit="1" customWidth="1"/>
    <col min="6451" max="6451" width="9.33203125" style="121" bestFit="1" customWidth="1"/>
    <col min="6452" max="6658" width="9.109375" style="121"/>
    <col min="6659" max="6659" width="29.44140625" style="121" bestFit="1" customWidth="1"/>
    <col min="6660" max="6660" width="11.5546875" style="121" bestFit="1" customWidth="1"/>
    <col min="6661" max="6661" width="9.33203125" style="121" bestFit="1" customWidth="1"/>
    <col min="6662" max="6662" width="11.5546875" style="121" bestFit="1" customWidth="1"/>
    <col min="6663" max="6663" width="9.33203125" style="121" bestFit="1" customWidth="1"/>
    <col min="6664" max="6664" width="11.5546875" style="121" bestFit="1" customWidth="1"/>
    <col min="6665" max="6665" width="9.33203125" style="121" bestFit="1" customWidth="1"/>
    <col min="6666" max="6666" width="11.5546875" style="121" bestFit="1" customWidth="1"/>
    <col min="6667" max="6667" width="9.33203125" style="121" bestFit="1" customWidth="1"/>
    <col min="6668" max="6668" width="11.5546875" style="121" bestFit="1" customWidth="1"/>
    <col min="6669" max="6669" width="9.33203125" style="121" bestFit="1" customWidth="1"/>
    <col min="6670" max="6670" width="11.5546875" style="121" bestFit="1" customWidth="1"/>
    <col min="6671" max="6671" width="9.33203125" style="121" bestFit="1" customWidth="1"/>
    <col min="6672" max="6672" width="11.5546875" style="121" bestFit="1" customWidth="1"/>
    <col min="6673" max="6673" width="9.33203125" style="121" bestFit="1" customWidth="1"/>
    <col min="6674" max="6674" width="11.5546875" style="121" bestFit="1" customWidth="1"/>
    <col min="6675" max="6675" width="9.33203125" style="121" bestFit="1" customWidth="1"/>
    <col min="6676" max="6676" width="11.5546875" style="121" bestFit="1" customWidth="1"/>
    <col min="6677" max="6677" width="9.33203125" style="121" bestFit="1" customWidth="1"/>
    <col min="6678" max="6678" width="11.5546875" style="121" bestFit="1" customWidth="1"/>
    <col min="6679" max="6679" width="9.33203125" style="121" bestFit="1" customWidth="1"/>
    <col min="6680" max="6680" width="11.5546875" style="121" bestFit="1" customWidth="1"/>
    <col min="6681" max="6681" width="9.33203125" style="121" bestFit="1" customWidth="1"/>
    <col min="6682" max="6682" width="11.5546875" style="121" bestFit="1" customWidth="1"/>
    <col min="6683" max="6683" width="9.33203125" style="121" bestFit="1" customWidth="1"/>
    <col min="6684" max="6684" width="11.5546875" style="121" bestFit="1" customWidth="1"/>
    <col min="6685" max="6685" width="9.33203125" style="121" bestFit="1" customWidth="1"/>
    <col min="6686" max="6686" width="11.5546875" style="121" bestFit="1" customWidth="1"/>
    <col min="6687" max="6687" width="9.33203125" style="121" bestFit="1" customWidth="1"/>
    <col min="6688" max="6688" width="11.5546875" style="121" bestFit="1" customWidth="1"/>
    <col min="6689" max="6689" width="9.33203125" style="121" bestFit="1" customWidth="1"/>
    <col min="6690" max="6690" width="11.5546875" style="121" bestFit="1" customWidth="1"/>
    <col min="6691" max="6691" width="9.33203125" style="121" bestFit="1" customWidth="1"/>
    <col min="6692" max="6692" width="11.5546875" style="121" bestFit="1" customWidth="1"/>
    <col min="6693" max="6693" width="9.33203125" style="121" bestFit="1" customWidth="1"/>
    <col min="6694" max="6694" width="11.5546875" style="121" bestFit="1" customWidth="1"/>
    <col min="6695" max="6695" width="9.33203125" style="121" bestFit="1" customWidth="1"/>
    <col min="6696" max="6696" width="11.5546875" style="121" bestFit="1" customWidth="1"/>
    <col min="6697" max="6697" width="9.33203125" style="121" bestFit="1" customWidth="1"/>
    <col min="6698" max="6698" width="11.5546875" style="121" bestFit="1" customWidth="1"/>
    <col min="6699" max="6699" width="9.33203125" style="121" bestFit="1" customWidth="1"/>
    <col min="6700" max="6700" width="11.5546875" style="121" bestFit="1" customWidth="1"/>
    <col min="6701" max="6701" width="9.33203125" style="121" bestFit="1" customWidth="1"/>
    <col min="6702" max="6702" width="11.5546875" style="121" bestFit="1" customWidth="1"/>
    <col min="6703" max="6703" width="9.33203125" style="121" bestFit="1" customWidth="1"/>
    <col min="6704" max="6704" width="11.5546875" style="121" bestFit="1" customWidth="1"/>
    <col min="6705" max="6705" width="9.33203125" style="121" bestFit="1" customWidth="1"/>
    <col min="6706" max="6706" width="11.5546875" style="121" bestFit="1" customWidth="1"/>
    <col min="6707" max="6707" width="9.33203125" style="121" bestFit="1" customWidth="1"/>
    <col min="6708" max="6914" width="9.109375" style="121"/>
    <col min="6915" max="6915" width="29.44140625" style="121" bestFit="1" customWidth="1"/>
    <col min="6916" max="6916" width="11.5546875" style="121" bestFit="1" customWidth="1"/>
    <col min="6917" max="6917" width="9.33203125" style="121" bestFit="1" customWidth="1"/>
    <col min="6918" max="6918" width="11.5546875" style="121" bestFit="1" customWidth="1"/>
    <col min="6919" max="6919" width="9.33203125" style="121" bestFit="1" customWidth="1"/>
    <col min="6920" max="6920" width="11.5546875" style="121" bestFit="1" customWidth="1"/>
    <col min="6921" max="6921" width="9.33203125" style="121" bestFit="1" customWidth="1"/>
    <col min="6922" max="6922" width="11.5546875" style="121" bestFit="1" customWidth="1"/>
    <col min="6923" max="6923" width="9.33203125" style="121" bestFit="1" customWidth="1"/>
    <col min="6924" max="6924" width="11.5546875" style="121" bestFit="1" customWidth="1"/>
    <col min="6925" max="6925" width="9.33203125" style="121" bestFit="1" customWidth="1"/>
    <col min="6926" max="6926" width="11.5546875" style="121" bestFit="1" customWidth="1"/>
    <col min="6927" max="6927" width="9.33203125" style="121" bestFit="1" customWidth="1"/>
    <col min="6928" max="6928" width="11.5546875" style="121" bestFit="1" customWidth="1"/>
    <col min="6929" max="6929" width="9.33203125" style="121" bestFit="1" customWidth="1"/>
    <col min="6930" max="6930" width="11.5546875" style="121" bestFit="1" customWidth="1"/>
    <col min="6931" max="6931" width="9.33203125" style="121" bestFit="1" customWidth="1"/>
    <col min="6932" max="6932" width="11.5546875" style="121" bestFit="1" customWidth="1"/>
    <col min="6933" max="6933" width="9.33203125" style="121" bestFit="1" customWidth="1"/>
    <col min="6934" max="6934" width="11.5546875" style="121" bestFit="1" customWidth="1"/>
    <col min="6935" max="6935" width="9.33203125" style="121" bestFit="1" customWidth="1"/>
    <col min="6936" max="6936" width="11.5546875" style="121" bestFit="1" customWidth="1"/>
    <col min="6937" max="6937" width="9.33203125" style="121" bestFit="1" customWidth="1"/>
    <col min="6938" max="6938" width="11.5546875" style="121" bestFit="1" customWidth="1"/>
    <col min="6939" max="6939" width="9.33203125" style="121" bestFit="1" customWidth="1"/>
    <col min="6940" max="6940" width="11.5546875" style="121" bestFit="1" customWidth="1"/>
    <col min="6941" max="6941" width="9.33203125" style="121" bestFit="1" customWidth="1"/>
    <col min="6942" max="6942" width="11.5546875" style="121" bestFit="1" customWidth="1"/>
    <col min="6943" max="6943" width="9.33203125" style="121" bestFit="1" customWidth="1"/>
    <col min="6944" max="6944" width="11.5546875" style="121" bestFit="1" customWidth="1"/>
    <col min="6945" max="6945" width="9.33203125" style="121" bestFit="1" customWidth="1"/>
    <col min="6946" max="6946" width="11.5546875" style="121" bestFit="1" customWidth="1"/>
    <col min="6947" max="6947" width="9.33203125" style="121" bestFit="1" customWidth="1"/>
    <col min="6948" max="6948" width="11.5546875" style="121" bestFit="1" customWidth="1"/>
    <col min="6949" max="6949" width="9.33203125" style="121" bestFit="1" customWidth="1"/>
    <col min="6950" max="6950" width="11.5546875" style="121" bestFit="1" customWidth="1"/>
    <col min="6951" max="6951" width="9.33203125" style="121" bestFit="1" customWidth="1"/>
    <col min="6952" max="6952" width="11.5546875" style="121" bestFit="1" customWidth="1"/>
    <col min="6953" max="6953" width="9.33203125" style="121" bestFit="1" customWidth="1"/>
    <col min="6954" max="6954" width="11.5546875" style="121" bestFit="1" customWidth="1"/>
    <col min="6955" max="6955" width="9.33203125" style="121" bestFit="1" customWidth="1"/>
    <col min="6956" max="6956" width="11.5546875" style="121" bestFit="1" customWidth="1"/>
    <col min="6957" max="6957" width="9.33203125" style="121" bestFit="1" customWidth="1"/>
    <col min="6958" max="6958" width="11.5546875" style="121" bestFit="1" customWidth="1"/>
    <col min="6959" max="6959" width="9.33203125" style="121" bestFit="1" customWidth="1"/>
    <col min="6960" max="6960" width="11.5546875" style="121" bestFit="1" customWidth="1"/>
    <col min="6961" max="6961" width="9.33203125" style="121" bestFit="1" customWidth="1"/>
    <col min="6962" max="6962" width="11.5546875" style="121" bestFit="1" customWidth="1"/>
    <col min="6963" max="6963" width="9.33203125" style="121" bestFit="1" customWidth="1"/>
    <col min="6964" max="7170" width="9.109375" style="121"/>
    <col min="7171" max="7171" width="29.44140625" style="121" bestFit="1" customWidth="1"/>
    <col min="7172" max="7172" width="11.5546875" style="121" bestFit="1" customWidth="1"/>
    <col min="7173" max="7173" width="9.33203125" style="121" bestFit="1" customWidth="1"/>
    <col min="7174" max="7174" width="11.5546875" style="121" bestFit="1" customWidth="1"/>
    <col min="7175" max="7175" width="9.33203125" style="121" bestFit="1" customWidth="1"/>
    <col min="7176" max="7176" width="11.5546875" style="121" bestFit="1" customWidth="1"/>
    <col min="7177" max="7177" width="9.33203125" style="121" bestFit="1" customWidth="1"/>
    <col min="7178" max="7178" width="11.5546875" style="121" bestFit="1" customWidth="1"/>
    <col min="7179" max="7179" width="9.33203125" style="121" bestFit="1" customWidth="1"/>
    <col min="7180" max="7180" width="11.5546875" style="121" bestFit="1" customWidth="1"/>
    <col min="7181" max="7181" width="9.33203125" style="121" bestFit="1" customWidth="1"/>
    <col min="7182" max="7182" width="11.5546875" style="121" bestFit="1" customWidth="1"/>
    <col min="7183" max="7183" width="9.33203125" style="121" bestFit="1" customWidth="1"/>
    <col min="7184" max="7184" width="11.5546875" style="121" bestFit="1" customWidth="1"/>
    <col min="7185" max="7185" width="9.33203125" style="121" bestFit="1" customWidth="1"/>
    <col min="7186" max="7186" width="11.5546875" style="121" bestFit="1" customWidth="1"/>
    <col min="7187" max="7187" width="9.33203125" style="121" bestFit="1" customWidth="1"/>
    <col min="7188" max="7188" width="11.5546875" style="121" bestFit="1" customWidth="1"/>
    <col min="7189" max="7189" width="9.33203125" style="121" bestFit="1" customWidth="1"/>
    <col min="7190" max="7190" width="11.5546875" style="121" bestFit="1" customWidth="1"/>
    <col min="7191" max="7191" width="9.33203125" style="121" bestFit="1" customWidth="1"/>
    <col min="7192" max="7192" width="11.5546875" style="121" bestFit="1" customWidth="1"/>
    <col min="7193" max="7193" width="9.33203125" style="121" bestFit="1" customWidth="1"/>
    <col min="7194" max="7194" width="11.5546875" style="121" bestFit="1" customWidth="1"/>
    <col min="7195" max="7195" width="9.33203125" style="121" bestFit="1" customWidth="1"/>
    <col min="7196" max="7196" width="11.5546875" style="121" bestFit="1" customWidth="1"/>
    <col min="7197" max="7197" width="9.33203125" style="121" bestFit="1" customWidth="1"/>
    <col min="7198" max="7198" width="11.5546875" style="121" bestFit="1" customWidth="1"/>
    <col min="7199" max="7199" width="9.33203125" style="121" bestFit="1" customWidth="1"/>
    <col min="7200" max="7200" width="11.5546875" style="121" bestFit="1" customWidth="1"/>
    <col min="7201" max="7201" width="9.33203125" style="121" bestFit="1" customWidth="1"/>
    <col min="7202" max="7202" width="11.5546875" style="121" bestFit="1" customWidth="1"/>
    <col min="7203" max="7203" width="9.33203125" style="121" bestFit="1" customWidth="1"/>
    <col min="7204" max="7204" width="11.5546875" style="121" bestFit="1" customWidth="1"/>
    <col min="7205" max="7205" width="9.33203125" style="121" bestFit="1" customWidth="1"/>
    <col min="7206" max="7206" width="11.5546875" style="121" bestFit="1" customWidth="1"/>
    <col min="7207" max="7207" width="9.33203125" style="121" bestFit="1" customWidth="1"/>
    <col min="7208" max="7208" width="11.5546875" style="121" bestFit="1" customWidth="1"/>
    <col min="7209" max="7209" width="9.33203125" style="121" bestFit="1" customWidth="1"/>
    <col min="7210" max="7210" width="11.5546875" style="121" bestFit="1" customWidth="1"/>
    <col min="7211" max="7211" width="9.33203125" style="121" bestFit="1" customWidth="1"/>
    <col min="7212" max="7212" width="11.5546875" style="121" bestFit="1" customWidth="1"/>
    <col min="7213" max="7213" width="9.33203125" style="121" bestFit="1" customWidth="1"/>
    <col min="7214" max="7214" width="11.5546875" style="121" bestFit="1" customWidth="1"/>
    <col min="7215" max="7215" width="9.33203125" style="121" bestFit="1" customWidth="1"/>
    <col min="7216" max="7216" width="11.5546875" style="121" bestFit="1" customWidth="1"/>
    <col min="7217" max="7217" width="9.33203125" style="121" bestFit="1" customWidth="1"/>
    <col min="7218" max="7218" width="11.5546875" style="121" bestFit="1" customWidth="1"/>
    <col min="7219" max="7219" width="9.33203125" style="121" bestFit="1" customWidth="1"/>
    <col min="7220" max="7426" width="9.109375" style="121"/>
    <col min="7427" max="7427" width="29.44140625" style="121" bestFit="1" customWidth="1"/>
    <col min="7428" max="7428" width="11.5546875" style="121" bestFit="1" customWidth="1"/>
    <col min="7429" max="7429" width="9.33203125" style="121" bestFit="1" customWidth="1"/>
    <col min="7430" max="7430" width="11.5546875" style="121" bestFit="1" customWidth="1"/>
    <col min="7431" max="7431" width="9.33203125" style="121" bestFit="1" customWidth="1"/>
    <col min="7432" max="7432" width="11.5546875" style="121" bestFit="1" customWidth="1"/>
    <col min="7433" max="7433" width="9.33203125" style="121" bestFit="1" customWidth="1"/>
    <col min="7434" max="7434" width="11.5546875" style="121" bestFit="1" customWidth="1"/>
    <col min="7435" max="7435" width="9.33203125" style="121" bestFit="1" customWidth="1"/>
    <col min="7436" max="7436" width="11.5546875" style="121" bestFit="1" customWidth="1"/>
    <col min="7437" max="7437" width="9.33203125" style="121" bestFit="1" customWidth="1"/>
    <col min="7438" max="7438" width="11.5546875" style="121" bestFit="1" customWidth="1"/>
    <col min="7439" max="7439" width="9.33203125" style="121" bestFit="1" customWidth="1"/>
    <col min="7440" max="7440" width="11.5546875" style="121" bestFit="1" customWidth="1"/>
    <col min="7441" max="7441" width="9.33203125" style="121" bestFit="1" customWidth="1"/>
    <col min="7442" max="7442" width="11.5546875" style="121" bestFit="1" customWidth="1"/>
    <col min="7443" max="7443" width="9.33203125" style="121" bestFit="1" customWidth="1"/>
    <col min="7444" max="7444" width="11.5546875" style="121" bestFit="1" customWidth="1"/>
    <col min="7445" max="7445" width="9.33203125" style="121" bestFit="1" customWidth="1"/>
    <col min="7446" max="7446" width="11.5546875" style="121" bestFit="1" customWidth="1"/>
    <col min="7447" max="7447" width="9.33203125" style="121" bestFit="1" customWidth="1"/>
    <col min="7448" max="7448" width="11.5546875" style="121" bestFit="1" customWidth="1"/>
    <col min="7449" max="7449" width="9.33203125" style="121" bestFit="1" customWidth="1"/>
    <col min="7450" max="7450" width="11.5546875" style="121" bestFit="1" customWidth="1"/>
    <col min="7451" max="7451" width="9.33203125" style="121" bestFit="1" customWidth="1"/>
    <col min="7452" max="7452" width="11.5546875" style="121" bestFit="1" customWidth="1"/>
    <col min="7453" max="7453" width="9.33203125" style="121" bestFit="1" customWidth="1"/>
    <col min="7454" max="7454" width="11.5546875" style="121" bestFit="1" customWidth="1"/>
    <col min="7455" max="7455" width="9.33203125" style="121" bestFit="1" customWidth="1"/>
    <col min="7456" max="7456" width="11.5546875" style="121" bestFit="1" customWidth="1"/>
    <col min="7457" max="7457" width="9.33203125" style="121" bestFit="1" customWidth="1"/>
    <col min="7458" max="7458" width="11.5546875" style="121" bestFit="1" customWidth="1"/>
    <col min="7459" max="7459" width="9.33203125" style="121" bestFit="1" customWidth="1"/>
    <col min="7460" max="7460" width="11.5546875" style="121" bestFit="1" customWidth="1"/>
    <col min="7461" max="7461" width="9.33203125" style="121" bestFit="1" customWidth="1"/>
    <col min="7462" max="7462" width="11.5546875" style="121" bestFit="1" customWidth="1"/>
    <col min="7463" max="7463" width="9.33203125" style="121" bestFit="1" customWidth="1"/>
    <col min="7464" max="7464" width="11.5546875" style="121" bestFit="1" customWidth="1"/>
    <col min="7465" max="7465" width="9.33203125" style="121" bestFit="1" customWidth="1"/>
    <col min="7466" max="7466" width="11.5546875" style="121" bestFit="1" customWidth="1"/>
    <col min="7467" max="7467" width="9.33203125" style="121" bestFit="1" customWidth="1"/>
    <col min="7468" max="7468" width="11.5546875" style="121" bestFit="1" customWidth="1"/>
    <col min="7469" max="7469" width="9.33203125" style="121" bestFit="1" customWidth="1"/>
    <col min="7470" max="7470" width="11.5546875" style="121" bestFit="1" customWidth="1"/>
    <col min="7471" max="7471" width="9.33203125" style="121" bestFit="1" customWidth="1"/>
    <col min="7472" max="7472" width="11.5546875" style="121" bestFit="1" customWidth="1"/>
    <col min="7473" max="7473" width="9.33203125" style="121" bestFit="1" customWidth="1"/>
    <col min="7474" max="7474" width="11.5546875" style="121" bestFit="1" customWidth="1"/>
    <col min="7475" max="7475" width="9.33203125" style="121" bestFit="1" customWidth="1"/>
    <col min="7476" max="7682" width="9.109375" style="121"/>
    <col min="7683" max="7683" width="29.44140625" style="121" bestFit="1" customWidth="1"/>
    <col min="7684" max="7684" width="11.5546875" style="121" bestFit="1" customWidth="1"/>
    <col min="7685" max="7685" width="9.33203125" style="121" bestFit="1" customWidth="1"/>
    <col min="7686" max="7686" width="11.5546875" style="121" bestFit="1" customWidth="1"/>
    <col min="7687" max="7687" width="9.33203125" style="121" bestFit="1" customWidth="1"/>
    <col min="7688" max="7688" width="11.5546875" style="121" bestFit="1" customWidth="1"/>
    <col min="7689" max="7689" width="9.33203125" style="121" bestFit="1" customWidth="1"/>
    <col min="7690" max="7690" width="11.5546875" style="121" bestFit="1" customWidth="1"/>
    <col min="7691" max="7691" width="9.33203125" style="121" bestFit="1" customWidth="1"/>
    <col min="7692" max="7692" width="11.5546875" style="121" bestFit="1" customWidth="1"/>
    <col min="7693" max="7693" width="9.33203125" style="121" bestFit="1" customWidth="1"/>
    <col min="7694" max="7694" width="11.5546875" style="121" bestFit="1" customWidth="1"/>
    <col min="7695" max="7695" width="9.33203125" style="121" bestFit="1" customWidth="1"/>
    <col min="7696" max="7696" width="11.5546875" style="121" bestFit="1" customWidth="1"/>
    <col min="7697" max="7697" width="9.33203125" style="121" bestFit="1" customWidth="1"/>
    <col min="7698" max="7698" width="11.5546875" style="121" bestFit="1" customWidth="1"/>
    <col min="7699" max="7699" width="9.33203125" style="121" bestFit="1" customWidth="1"/>
    <col min="7700" max="7700" width="11.5546875" style="121" bestFit="1" customWidth="1"/>
    <col min="7701" max="7701" width="9.33203125" style="121" bestFit="1" customWidth="1"/>
    <col min="7702" max="7702" width="11.5546875" style="121" bestFit="1" customWidth="1"/>
    <col min="7703" max="7703" width="9.33203125" style="121" bestFit="1" customWidth="1"/>
    <col min="7704" max="7704" width="11.5546875" style="121" bestFit="1" customWidth="1"/>
    <col min="7705" max="7705" width="9.33203125" style="121" bestFit="1" customWidth="1"/>
    <col min="7706" max="7706" width="11.5546875" style="121" bestFit="1" customWidth="1"/>
    <col min="7707" max="7707" width="9.33203125" style="121" bestFit="1" customWidth="1"/>
    <col min="7708" max="7708" width="11.5546875" style="121" bestFit="1" customWidth="1"/>
    <col min="7709" max="7709" width="9.33203125" style="121" bestFit="1" customWidth="1"/>
    <col min="7710" max="7710" width="11.5546875" style="121" bestFit="1" customWidth="1"/>
    <col min="7711" max="7711" width="9.33203125" style="121" bestFit="1" customWidth="1"/>
    <col min="7712" max="7712" width="11.5546875" style="121" bestFit="1" customWidth="1"/>
    <col min="7713" max="7713" width="9.33203125" style="121" bestFit="1" customWidth="1"/>
    <col min="7714" max="7714" width="11.5546875" style="121" bestFit="1" customWidth="1"/>
    <col min="7715" max="7715" width="9.33203125" style="121" bestFit="1" customWidth="1"/>
    <col min="7716" max="7716" width="11.5546875" style="121" bestFit="1" customWidth="1"/>
    <col min="7717" max="7717" width="9.33203125" style="121" bestFit="1" customWidth="1"/>
    <col min="7718" max="7718" width="11.5546875" style="121" bestFit="1" customWidth="1"/>
    <col min="7719" max="7719" width="9.33203125" style="121" bestFit="1" customWidth="1"/>
    <col min="7720" max="7720" width="11.5546875" style="121" bestFit="1" customWidth="1"/>
    <col min="7721" max="7721" width="9.33203125" style="121" bestFit="1" customWidth="1"/>
    <col min="7722" max="7722" width="11.5546875" style="121" bestFit="1" customWidth="1"/>
    <col min="7723" max="7723" width="9.33203125" style="121" bestFit="1" customWidth="1"/>
    <col min="7724" max="7724" width="11.5546875" style="121" bestFit="1" customWidth="1"/>
    <col min="7725" max="7725" width="9.33203125" style="121" bestFit="1" customWidth="1"/>
    <col min="7726" max="7726" width="11.5546875" style="121" bestFit="1" customWidth="1"/>
    <col min="7727" max="7727" width="9.33203125" style="121" bestFit="1" customWidth="1"/>
    <col min="7728" max="7728" width="11.5546875" style="121" bestFit="1" customWidth="1"/>
    <col min="7729" max="7729" width="9.33203125" style="121" bestFit="1" customWidth="1"/>
    <col min="7730" max="7730" width="11.5546875" style="121" bestFit="1" customWidth="1"/>
    <col min="7731" max="7731" width="9.33203125" style="121" bestFit="1" customWidth="1"/>
    <col min="7732" max="7938" width="9.109375" style="121"/>
    <col min="7939" max="7939" width="29.44140625" style="121" bestFit="1" customWidth="1"/>
    <col min="7940" max="7940" width="11.5546875" style="121" bestFit="1" customWidth="1"/>
    <col min="7941" max="7941" width="9.33203125" style="121" bestFit="1" customWidth="1"/>
    <col min="7942" max="7942" width="11.5546875" style="121" bestFit="1" customWidth="1"/>
    <col min="7943" max="7943" width="9.33203125" style="121" bestFit="1" customWidth="1"/>
    <col min="7944" max="7944" width="11.5546875" style="121" bestFit="1" customWidth="1"/>
    <col min="7945" max="7945" width="9.33203125" style="121" bestFit="1" customWidth="1"/>
    <col min="7946" max="7946" width="11.5546875" style="121" bestFit="1" customWidth="1"/>
    <col min="7947" max="7947" width="9.33203125" style="121" bestFit="1" customWidth="1"/>
    <col min="7948" max="7948" width="11.5546875" style="121" bestFit="1" customWidth="1"/>
    <col min="7949" max="7949" width="9.33203125" style="121" bestFit="1" customWidth="1"/>
    <col min="7950" max="7950" width="11.5546875" style="121" bestFit="1" customWidth="1"/>
    <col min="7951" max="7951" width="9.33203125" style="121" bestFit="1" customWidth="1"/>
    <col min="7952" max="7952" width="11.5546875" style="121" bestFit="1" customWidth="1"/>
    <col min="7953" max="7953" width="9.33203125" style="121" bestFit="1" customWidth="1"/>
    <col min="7954" max="7954" width="11.5546875" style="121" bestFit="1" customWidth="1"/>
    <col min="7955" max="7955" width="9.33203125" style="121" bestFit="1" customWidth="1"/>
    <col min="7956" max="7956" width="11.5546875" style="121" bestFit="1" customWidth="1"/>
    <col min="7957" max="7957" width="9.33203125" style="121" bestFit="1" customWidth="1"/>
    <col min="7958" max="7958" width="11.5546875" style="121" bestFit="1" customWidth="1"/>
    <col min="7959" max="7959" width="9.33203125" style="121" bestFit="1" customWidth="1"/>
    <col min="7960" max="7960" width="11.5546875" style="121" bestFit="1" customWidth="1"/>
    <col min="7961" max="7961" width="9.33203125" style="121" bestFit="1" customWidth="1"/>
    <col min="7962" max="7962" width="11.5546875" style="121" bestFit="1" customWidth="1"/>
    <col min="7963" max="7963" width="9.33203125" style="121" bestFit="1" customWidth="1"/>
    <col min="7964" max="7964" width="11.5546875" style="121" bestFit="1" customWidth="1"/>
    <col min="7965" max="7965" width="9.33203125" style="121" bestFit="1" customWidth="1"/>
    <col min="7966" max="7966" width="11.5546875" style="121" bestFit="1" customWidth="1"/>
    <col min="7967" max="7967" width="9.33203125" style="121" bestFit="1" customWidth="1"/>
    <col min="7968" max="7968" width="11.5546875" style="121" bestFit="1" customWidth="1"/>
    <col min="7969" max="7969" width="9.33203125" style="121" bestFit="1" customWidth="1"/>
    <col min="7970" max="7970" width="11.5546875" style="121" bestFit="1" customWidth="1"/>
    <col min="7971" max="7971" width="9.33203125" style="121" bestFit="1" customWidth="1"/>
    <col min="7972" max="7972" width="11.5546875" style="121" bestFit="1" customWidth="1"/>
    <col min="7973" max="7973" width="9.33203125" style="121" bestFit="1" customWidth="1"/>
    <col min="7974" max="7974" width="11.5546875" style="121" bestFit="1" customWidth="1"/>
    <col min="7975" max="7975" width="9.33203125" style="121" bestFit="1" customWidth="1"/>
    <col min="7976" max="7976" width="11.5546875" style="121" bestFit="1" customWidth="1"/>
    <col min="7977" max="7977" width="9.33203125" style="121" bestFit="1" customWidth="1"/>
    <col min="7978" max="7978" width="11.5546875" style="121" bestFit="1" customWidth="1"/>
    <col min="7979" max="7979" width="9.33203125" style="121" bestFit="1" customWidth="1"/>
    <col min="7980" max="7980" width="11.5546875" style="121" bestFit="1" customWidth="1"/>
    <col min="7981" max="7981" width="9.33203125" style="121" bestFit="1" customWidth="1"/>
    <col min="7982" max="7982" width="11.5546875" style="121" bestFit="1" customWidth="1"/>
    <col min="7983" max="7983" width="9.33203125" style="121" bestFit="1" customWidth="1"/>
    <col min="7984" max="7984" width="11.5546875" style="121" bestFit="1" customWidth="1"/>
    <col min="7985" max="7985" width="9.33203125" style="121" bestFit="1" customWidth="1"/>
    <col min="7986" max="7986" width="11.5546875" style="121" bestFit="1" customWidth="1"/>
    <col min="7987" max="7987" width="9.33203125" style="121" bestFit="1" customWidth="1"/>
    <col min="7988" max="8194" width="9.109375" style="121"/>
    <col min="8195" max="8195" width="29.44140625" style="121" bestFit="1" customWidth="1"/>
    <col min="8196" max="8196" width="11.5546875" style="121" bestFit="1" customWidth="1"/>
    <col min="8197" max="8197" width="9.33203125" style="121" bestFit="1" customWidth="1"/>
    <col min="8198" max="8198" width="11.5546875" style="121" bestFit="1" customWidth="1"/>
    <col min="8199" max="8199" width="9.33203125" style="121" bestFit="1" customWidth="1"/>
    <col min="8200" max="8200" width="11.5546875" style="121" bestFit="1" customWidth="1"/>
    <col min="8201" max="8201" width="9.33203125" style="121" bestFit="1" customWidth="1"/>
    <col min="8202" max="8202" width="11.5546875" style="121" bestFit="1" customWidth="1"/>
    <col min="8203" max="8203" width="9.33203125" style="121" bestFit="1" customWidth="1"/>
    <col min="8204" max="8204" width="11.5546875" style="121" bestFit="1" customWidth="1"/>
    <col min="8205" max="8205" width="9.33203125" style="121" bestFit="1" customWidth="1"/>
    <col min="8206" max="8206" width="11.5546875" style="121" bestFit="1" customWidth="1"/>
    <col min="8207" max="8207" width="9.33203125" style="121" bestFit="1" customWidth="1"/>
    <col min="8208" max="8208" width="11.5546875" style="121" bestFit="1" customWidth="1"/>
    <col min="8209" max="8209" width="9.33203125" style="121" bestFit="1" customWidth="1"/>
    <col min="8210" max="8210" width="11.5546875" style="121" bestFit="1" customWidth="1"/>
    <col min="8211" max="8211" width="9.33203125" style="121" bestFit="1" customWidth="1"/>
    <col min="8212" max="8212" width="11.5546875" style="121" bestFit="1" customWidth="1"/>
    <col min="8213" max="8213" width="9.33203125" style="121" bestFit="1" customWidth="1"/>
    <col min="8214" max="8214" width="11.5546875" style="121" bestFit="1" customWidth="1"/>
    <col min="8215" max="8215" width="9.33203125" style="121" bestFit="1" customWidth="1"/>
    <col min="8216" max="8216" width="11.5546875" style="121" bestFit="1" customWidth="1"/>
    <col min="8217" max="8217" width="9.33203125" style="121" bestFit="1" customWidth="1"/>
    <col min="8218" max="8218" width="11.5546875" style="121" bestFit="1" customWidth="1"/>
    <col min="8219" max="8219" width="9.33203125" style="121" bestFit="1" customWidth="1"/>
    <col min="8220" max="8220" width="11.5546875" style="121" bestFit="1" customWidth="1"/>
    <col min="8221" max="8221" width="9.33203125" style="121" bestFit="1" customWidth="1"/>
    <col min="8222" max="8222" width="11.5546875" style="121" bestFit="1" customWidth="1"/>
    <col min="8223" max="8223" width="9.33203125" style="121" bestFit="1" customWidth="1"/>
    <col min="8224" max="8224" width="11.5546875" style="121" bestFit="1" customWidth="1"/>
    <col min="8225" max="8225" width="9.33203125" style="121" bestFit="1" customWidth="1"/>
    <col min="8226" max="8226" width="11.5546875" style="121" bestFit="1" customWidth="1"/>
    <col min="8227" max="8227" width="9.33203125" style="121" bestFit="1" customWidth="1"/>
    <col min="8228" max="8228" width="11.5546875" style="121" bestFit="1" customWidth="1"/>
    <col min="8229" max="8229" width="9.33203125" style="121" bestFit="1" customWidth="1"/>
    <col min="8230" max="8230" width="11.5546875" style="121" bestFit="1" customWidth="1"/>
    <col min="8231" max="8231" width="9.33203125" style="121" bestFit="1" customWidth="1"/>
    <col min="8232" max="8232" width="11.5546875" style="121" bestFit="1" customWidth="1"/>
    <col min="8233" max="8233" width="9.33203125" style="121" bestFit="1" customWidth="1"/>
    <col min="8234" max="8234" width="11.5546875" style="121" bestFit="1" customWidth="1"/>
    <col min="8235" max="8235" width="9.33203125" style="121" bestFit="1" customWidth="1"/>
    <col min="8236" max="8236" width="11.5546875" style="121" bestFit="1" customWidth="1"/>
    <col min="8237" max="8237" width="9.33203125" style="121" bestFit="1" customWidth="1"/>
    <col min="8238" max="8238" width="11.5546875" style="121" bestFit="1" customWidth="1"/>
    <col min="8239" max="8239" width="9.33203125" style="121" bestFit="1" customWidth="1"/>
    <col min="8240" max="8240" width="11.5546875" style="121" bestFit="1" customWidth="1"/>
    <col min="8241" max="8241" width="9.33203125" style="121" bestFit="1" customWidth="1"/>
    <col min="8242" max="8242" width="11.5546875" style="121" bestFit="1" customWidth="1"/>
    <col min="8243" max="8243" width="9.33203125" style="121" bestFit="1" customWidth="1"/>
    <col min="8244" max="8450" width="9.109375" style="121"/>
    <col min="8451" max="8451" width="29.44140625" style="121" bestFit="1" customWidth="1"/>
    <col min="8452" max="8452" width="11.5546875" style="121" bestFit="1" customWidth="1"/>
    <col min="8453" max="8453" width="9.33203125" style="121" bestFit="1" customWidth="1"/>
    <col min="8454" max="8454" width="11.5546875" style="121" bestFit="1" customWidth="1"/>
    <col min="8455" max="8455" width="9.33203125" style="121" bestFit="1" customWidth="1"/>
    <col min="8456" max="8456" width="11.5546875" style="121" bestFit="1" customWidth="1"/>
    <col min="8457" max="8457" width="9.33203125" style="121" bestFit="1" customWidth="1"/>
    <col min="8458" max="8458" width="11.5546875" style="121" bestFit="1" customWidth="1"/>
    <col min="8459" max="8459" width="9.33203125" style="121" bestFit="1" customWidth="1"/>
    <col min="8460" max="8460" width="11.5546875" style="121" bestFit="1" customWidth="1"/>
    <col min="8461" max="8461" width="9.33203125" style="121" bestFit="1" customWidth="1"/>
    <col min="8462" max="8462" width="11.5546875" style="121" bestFit="1" customWidth="1"/>
    <col min="8463" max="8463" width="9.33203125" style="121" bestFit="1" customWidth="1"/>
    <col min="8464" max="8464" width="11.5546875" style="121" bestFit="1" customWidth="1"/>
    <col min="8465" max="8465" width="9.33203125" style="121" bestFit="1" customWidth="1"/>
    <col min="8466" max="8466" width="11.5546875" style="121" bestFit="1" customWidth="1"/>
    <col min="8467" max="8467" width="9.33203125" style="121" bestFit="1" customWidth="1"/>
    <col min="8468" max="8468" width="11.5546875" style="121" bestFit="1" customWidth="1"/>
    <col min="8469" max="8469" width="9.33203125" style="121" bestFit="1" customWidth="1"/>
    <col min="8470" max="8470" width="11.5546875" style="121" bestFit="1" customWidth="1"/>
    <col min="8471" max="8471" width="9.33203125" style="121" bestFit="1" customWidth="1"/>
    <col min="8472" max="8472" width="11.5546875" style="121" bestFit="1" customWidth="1"/>
    <col min="8473" max="8473" width="9.33203125" style="121" bestFit="1" customWidth="1"/>
    <col min="8474" max="8474" width="11.5546875" style="121" bestFit="1" customWidth="1"/>
    <col min="8475" max="8475" width="9.33203125" style="121" bestFit="1" customWidth="1"/>
    <col min="8476" max="8476" width="11.5546875" style="121" bestFit="1" customWidth="1"/>
    <col min="8477" max="8477" width="9.33203125" style="121" bestFit="1" customWidth="1"/>
    <col min="8478" max="8478" width="11.5546875" style="121" bestFit="1" customWidth="1"/>
    <col min="8479" max="8479" width="9.33203125" style="121" bestFit="1" customWidth="1"/>
    <col min="8480" max="8480" width="11.5546875" style="121" bestFit="1" customWidth="1"/>
    <col min="8481" max="8481" width="9.33203125" style="121" bestFit="1" customWidth="1"/>
    <col min="8482" max="8482" width="11.5546875" style="121" bestFit="1" customWidth="1"/>
    <col min="8483" max="8483" width="9.33203125" style="121" bestFit="1" customWidth="1"/>
    <col min="8484" max="8484" width="11.5546875" style="121" bestFit="1" customWidth="1"/>
    <col min="8485" max="8485" width="9.33203125" style="121" bestFit="1" customWidth="1"/>
    <col min="8486" max="8486" width="11.5546875" style="121" bestFit="1" customWidth="1"/>
    <col min="8487" max="8487" width="9.33203125" style="121" bestFit="1" customWidth="1"/>
    <col min="8488" max="8488" width="11.5546875" style="121" bestFit="1" customWidth="1"/>
    <col min="8489" max="8489" width="9.33203125" style="121" bestFit="1" customWidth="1"/>
    <col min="8490" max="8490" width="11.5546875" style="121" bestFit="1" customWidth="1"/>
    <col min="8491" max="8491" width="9.33203125" style="121" bestFit="1" customWidth="1"/>
    <col min="8492" max="8492" width="11.5546875" style="121" bestFit="1" customWidth="1"/>
    <col min="8493" max="8493" width="9.33203125" style="121" bestFit="1" customWidth="1"/>
    <col min="8494" max="8494" width="11.5546875" style="121" bestFit="1" customWidth="1"/>
    <col min="8495" max="8495" width="9.33203125" style="121" bestFit="1" customWidth="1"/>
    <col min="8496" max="8496" width="11.5546875" style="121" bestFit="1" customWidth="1"/>
    <col min="8497" max="8497" width="9.33203125" style="121" bestFit="1" customWidth="1"/>
    <col min="8498" max="8498" width="11.5546875" style="121" bestFit="1" customWidth="1"/>
    <col min="8499" max="8499" width="9.33203125" style="121" bestFit="1" customWidth="1"/>
    <col min="8500" max="8706" width="9.109375" style="121"/>
    <col min="8707" max="8707" width="29.44140625" style="121" bestFit="1" customWidth="1"/>
    <col min="8708" max="8708" width="11.5546875" style="121" bestFit="1" customWidth="1"/>
    <col min="8709" max="8709" width="9.33203125" style="121" bestFit="1" customWidth="1"/>
    <col min="8710" max="8710" width="11.5546875" style="121" bestFit="1" customWidth="1"/>
    <col min="8711" max="8711" width="9.33203125" style="121" bestFit="1" customWidth="1"/>
    <col min="8712" max="8712" width="11.5546875" style="121" bestFit="1" customWidth="1"/>
    <col min="8713" max="8713" width="9.33203125" style="121" bestFit="1" customWidth="1"/>
    <col min="8714" max="8714" width="11.5546875" style="121" bestFit="1" customWidth="1"/>
    <col min="8715" max="8715" width="9.33203125" style="121" bestFit="1" customWidth="1"/>
    <col min="8716" max="8716" width="11.5546875" style="121" bestFit="1" customWidth="1"/>
    <col min="8717" max="8717" width="9.33203125" style="121" bestFit="1" customWidth="1"/>
    <col min="8718" max="8718" width="11.5546875" style="121" bestFit="1" customWidth="1"/>
    <col min="8719" max="8719" width="9.33203125" style="121" bestFit="1" customWidth="1"/>
    <col min="8720" max="8720" width="11.5546875" style="121" bestFit="1" customWidth="1"/>
    <col min="8721" max="8721" width="9.33203125" style="121" bestFit="1" customWidth="1"/>
    <col min="8722" max="8722" width="11.5546875" style="121" bestFit="1" customWidth="1"/>
    <col min="8723" max="8723" width="9.33203125" style="121" bestFit="1" customWidth="1"/>
    <col min="8724" max="8724" width="11.5546875" style="121" bestFit="1" customWidth="1"/>
    <col min="8725" max="8725" width="9.33203125" style="121" bestFit="1" customWidth="1"/>
    <col min="8726" max="8726" width="11.5546875" style="121" bestFit="1" customWidth="1"/>
    <col min="8727" max="8727" width="9.33203125" style="121" bestFit="1" customWidth="1"/>
    <col min="8728" max="8728" width="11.5546875" style="121" bestFit="1" customWidth="1"/>
    <col min="8729" max="8729" width="9.33203125" style="121" bestFit="1" customWidth="1"/>
    <col min="8730" max="8730" width="11.5546875" style="121" bestFit="1" customWidth="1"/>
    <col min="8731" max="8731" width="9.33203125" style="121" bestFit="1" customWidth="1"/>
    <col min="8732" max="8732" width="11.5546875" style="121" bestFit="1" customWidth="1"/>
    <col min="8733" max="8733" width="9.33203125" style="121" bestFit="1" customWidth="1"/>
    <col min="8734" max="8734" width="11.5546875" style="121" bestFit="1" customWidth="1"/>
    <col min="8735" max="8735" width="9.33203125" style="121" bestFit="1" customWidth="1"/>
    <col min="8736" max="8736" width="11.5546875" style="121" bestFit="1" customWidth="1"/>
    <col min="8737" max="8737" width="9.33203125" style="121" bestFit="1" customWidth="1"/>
    <col min="8738" max="8738" width="11.5546875" style="121" bestFit="1" customWidth="1"/>
    <col min="8739" max="8739" width="9.33203125" style="121" bestFit="1" customWidth="1"/>
    <col min="8740" max="8740" width="11.5546875" style="121" bestFit="1" customWidth="1"/>
    <col min="8741" max="8741" width="9.33203125" style="121" bestFit="1" customWidth="1"/>
    <col min="8742" max="8742" width="11.5546875" style="121" bestFit="1" customWidth="1"/>
    <col min="8743" max="8743" width="9.33203125" style="121" bestFit="1" customWidth="1"/>
    <col min="8744" max="8744" width="11.5546875" style="121" bestFit="1" customWidth="1"/>
    <col min="8745" max="8745" width="9.33203125" style="121" bestFit="1" customWidth="1"/>
    <col min="8746" max="8746" width="11.5546875" style="121" bestFit="1" customWidth="1"/>
    <col min="8747" max="8747" width="9.33203125" style="121" bestFit="1" customWidth="1"/>
    <col min="8748" max="8748" width="11.5546875" style="121" bestFit="1" customWidth="1"/>
    <col min="8749" max="8749" width="9.33203125" style="121" bestFit="1" customWidth="1"/>
    <col min="8750" max="8750" width="11.5546875" style="121" bestFit="1" customWidth="1"/>
    <col min="8751" max="8751" width="9.33203125" style="121" bestFit="1" customWidth="1"/>
    <col min="8752" max="8752" width="11.5546875" style="121" bestFit="1" customWidth="1"/>
    <col min="8753" max="8753" width="9.33203125" style="121" bestFit="1" customWidth="1"/>
    <col min="8754" max="8754" width="11.5546875" style="121" bestFit="1" customWidth="1"/>
    <col min="8755" max="8755" width="9.33203125" style="121" bestFit="1" customWidth="1"/>
    <col min="8756" max="8962" width="9.109375" style="121"/>
    <col min="8963" max="8963" width="29.44140625" style="121" bestFit="1" customWidth="1"/>
    <col min="8964" max="8964" width="11.5546875" style="121" bestFit="1" customWidth="1"/>
    <col min="8965" max="8965" width="9.33203125" style="121" bestFit="1" customWidth="1"/>
    <col min="8966" max="8966" width="11.5546875" style="121" bestFit="1" customWidth="1"/>
    <col min="8967" max="8967" width="9.33203125" style="121" bestFit="1" customWidth="1"/>
    <col min="8968" max="8968" width="11.5546875" style="121" bestFit="1" customWidth="1"/>
    <col min="8969" max="8969" width="9.33203125" style="121" bestFit="1" customWidth="1"/>
    <col min="8970" max="8970" width="11.5546875" style="121" bestFit="1" customWidth="1"/>
    <col min="8971" max="8971" width="9.33203125" style="121" bestFit="1" customWidth="1"/>
    <col min="8972" max="8972" width="11.5546875" style="121" bestFit="1" customWidth="1"/>
    <col min="8973" max="8973" width="9.33203125" style="121" bestFit="1" customWidth="1"/>
    <col min="8974" max="8974" width="11.5546875" style="121" bestFit="1" customWidth="1"/>
    <col min="8975" max="8975" width="9.33203125" style="121" bestFit="1" customWidth="1"/>
    <col min="8976" max="8976" width="11.5546875" style="121" bestFit="1" customWidth="1"/>
    <col min="8977" max="8977" width="9.33203125" style="121" bestFit="1" customWidth="1"/>
    <col min="8978" max="8978" width="11.5546875" style="121" bestFit="1" customWidth="1"/>
    <col min="8979" max="8979" width="9.33203125" style="121" bestFit="1" customWidth="1"/>
    <col min="8980" max="8980" width="11.5546875" style="121" bestFit="1" customWidth="1"/>
    <col min="8981" max="8981" width="9.33203125" style="121" bestFit="1" customWidth="1"/>
    <col min="8982" max="8982" width="11.5546875" style="121" bestFit="1" customWidth="1"/>
    <col min="8983" max="8983" width="9.33203125" style="121" bestFit="1" customWidth="1"/>
    <col min="8984" max="8984" width="11.5546875" style="121" bestFit="1" customWidth="1"/>
    <col min="8985" max="8985" width="9.33203125" style="121" bestFit="1" customWidth="1"/>
    <col min="8986" max="8986" width="11.5546875" style="121" bestFit="1" customWidth="1"/>
    <col min="8987" max="8987" width="9.33203125" style="121" bestFit="1" customWidth="1"/>
    <col min="8988" max="8988" width="11.5546875" style="121" bestFit="1" customWidth="1"/>
    <col min="8989" max="8989" width="9.33203125" style="121" bestFit="1" customWidth="1"/>
    <col min="8990" max="8990" width="11.5546875" style="121" bestFit="1" customWidth="1"/>
    <col min="8991" max="8991" width="9.33203125" style="121" bestFit="1" customWidth="1"/>
    <col min="8992" max="8992" width="11.5546875" style="121" bestFit="1" customWidth="1"/>
    <col min="8993" max="8993" width="9.33203125" style="121" bestFit="1" customWidth="1"/>
    <col min="8994" max="8994" width="11.5546875" style="121" bestFit="1" customWidth="1"/>
    <col min="8995" max="8995" width="9.33203125" style="121" bestFit="1" customWidth="1"/>
    <col min="8996" max="8996" width="11.5546875" style="121" bestFit="1" customWidth="1"/>
    <col min="8997" max="8997" width="9.33203125" style="121" bestFit="1" customWidth="1"/>
    <col min="8998" max="8998" width="11.5546875" style="121" bestFit="1" customWidth="1"/>
    <col min="8999" max="8999" width="9.33203125" style="121" bestFit="1" customWidth="1"/>
    <col min="9000" max="9000" width="11.5546875" style="121" bestFit="1" customWidth="1"/>
    <col min="9001" max="9001" width="9.33203125" style="121" bestFit="1" customWidth="1"/>
    <col min="9002" max="9002" width="11.5546875" style="121" bestFit="1" customWidth="1"/>
    <col min="9003" max="9003" width="9.33203125" style="121" bestFit="1" customWidth="1"/>
    <col min="9004" max="9004" width="11.5546875" style="121" bestFit="1" customWidth="1"/>
    <col min="9005" max="9005" width="9.33203125" style="121" bestFit="1" customWidth="1"/>
    <col min="9006" max="9006" width="11.5546875" style="121" bestFit="1" customWidth="1"/>
    <col min="9007" max="9007" width="9.33203125" style="121" bestFit="1" customWidth="1"/>
    <col min="9008" max="9008" width="11.5546875" style="121" bestFit="1" customWidth="1"/>
    <col min="9009" max="9009" width="9.33203125" style="121" bestFit="1" customWidth="1"/>
    <col min="9010" max="9010" width="11.5546875" style="121" bestFit="1" customWidth="1"/>
    <col min="9011" max="9011" width="9.33203125" style="121" bestFit="1" customWidth="1"/>
    <col min="9012" max="9218" width="9.109375" style="121"/>
    <col min="9219" max="9219" width="29.44140625" style="121" bestFit="1" customWidth="1"/>
    <col min="9220" max="9220" width="11.5546875" style="121" bestFit="1" customWidth="1"/>
    <col min="9221" max="9221" width="9.33203125" style="121" bestFit="1" customWidth="1"/>
    <col min="9222" max="9222" width="11.5546875" style="121" bestFit="1" customWidth="1"/>
    <col min="9223" max="9223" width="9.33203125" style="121" bestFit="1" customWidth="1"/>
    <col min="9224" max="9224" width="11.5546875" style="121" bestFit="1" customWidth="1"/>
    <col min="9225" max="9225" width="9.33203125" style="121" bestFit="1" customWidth="1"/>
    <col min="9226" max="9226" width="11.5546875" style="121" bestFit="1" customWidth="1"/>
    <col min="9227" max="9227" width="9.33203125" style="121" bestFit="1" customWidth="1"/>
    <col min="9228" max="9228" width="11.5546875" style="121" bestFit="1" customWidth="1"/>
    <col min="9229" max="9229" width="9.33203125" style="121" bestFit="1" customWidth="1"/>
    <col min="9230" max="9230" width="11.5546875" style="121" bestFit="1" customWidth="1"/>
    <col min="9231" max="9231" width="9.33203125" style="121" bestFit="1" customWidth="1"/>
    <col min="9232" max="9232" width="11.5546875" style="121" bestFit="1" customWidth="1"/>
    <col min="9233" max="9233" width="9.33203125" style="121" bestFit="1" customWidth="1"/>
    <col min="9234" max="9234" width="11.5546875" style="121" bestFit="1" customWidth="1"/>
    <col min="9235" max="9235" width="9.33203125" style="121" bestFit="1" customWidth="1"/>
    <col min="9236" max="9236" width="11.5546875" style="121" bestFit="1" customWidth="1"/>
    <col min="9237" max="9237" width="9.33203125" style="121" bestFit="1" customWidth="1"/>
    <col min="9238" max="9238" width="11.5546875" style="121" bestFit="1" customWidth="1"/>
    <col min="9239" max="9239" width="9.33203125" style="121" bestFit="1" customWidth="1"/>
    <col min="9240" max="9240" width="11.5546875" style="121" bestFit="1" customWidth="1"/>
    <col min="9241" max="9241" width="9.33203125" style="121" bestFit="1" customWidth="1"/>
    <col min="9242" max="9242" width="11.5546875" style="121" bestFit="1" customWidth="1"/>
    <col min="9243" max="9243" width="9.33203125" style="121" bestFit="1" customWidth="1"/>
    <col min="9244" max="9244" width="11.5546875" style="121" bestFit="1" customWidth="1"/>
    <col min="9245" max="9245" width="9.33203125" style="121" bestFit="1" customWidth="1"/>
    <col min="9246" max="9246" width="11.5546875" style="121" bestFit="1" customWidth="1"/>
    <col min="9247" max="9247" width="9.33203125" style="121" bestFit="1" customWidth="1"/>
    <col min="9248" max="9248" width="11.5546875" style="121" bestFit="1" customWidth="1"/>
    <col min="9249" max="9249" width="9.33203125" style="121" bestFit="1" customWidth="1"/>
    <col min="9250" max="9250" width="11.5546875" style="121" bestFit="1" customWidth="1"/>
    <col min="9251" max="9251" width="9.33203125" style="121" bestFit="1" customWidth="1"/>
    <col min="9252" max="9252" width="11.5546875" style="121" bestFit="1" customWidth="1"/>
    <col min="9253" max="9253" width="9.33203125" style="121" bestFit="1" customWidth="1"/>
    <col min="9254" max="9254" width="11.5546875" style="121" bestFit="1" customWidth="1"/>
    <col min="9255" max="9255" width="9.33203125" style="121" bestFit="1" customWidth="1"/>
    <col min="9256" max="9256" width="11.5546875" style="121" bestFit="1" customWidth="1"/>
    <col min="9257" max="9257" width="9.33203125" style="121" bestFit="1" customWidth="1"/>
    <col min="9258" max="9258" width="11.5546875" style="121" bestFit="1" customWidth="1"/>
    <col min="9259" max="9259" width="9.33203125" style="121" bestFit="1" customWidth="1"/>
    <col min="9260" max="9260" width="11.5546875" style="121" bestFit="1" customWidth="1"/>
    <col min="9261" max="9261" width="9.33203125" style="121" bestFit="1" customWidth="1"/>
    <col min="9262" max="9262" width="11.5546875" style="121" bestFit="1" customWidth="1"/>
    <col min="9263" max="9263" width="9.33203125" style="121" bestFit="1" customWidth="1"/>
    <col min="9264" max="9264" width="11.5546875" style="121" bestFit="1" customWidth="1"/>
    <col min="9265" max="9265" width="9.33203125" style="121" bestFit="1" customWidth="1"/>
    <col min="9266" max="9266" width="11.5546875" style="121" bestFit="1" customWidth="1"/>
    <col min="9267" max="9267" width="9.33203125" style="121" bestFit="1" customWidth="1"/>
    <col min="9268" max="9474" width="9.109375" style="121"/>
    <col min="9475" max="9475" width="29.44140625" style="121" bestFit="1" customWidth="1"/>
    <col min="9476" max="9476" width="11.5546875" style="121" bestFit="1" customWidth="1"/>
    <col min="9477" max="9477" width="9.33203125" style="121" bestFit="1" customWidth="1"/>
    <col min="9478" max="9478" width="11.5546875" style="121" bestFit="1" customWidth="1"/>
    <col min="9479" max="9479" width="9.33203125" style="121" bestFit="1" customWidth="1"/>
    <col min="9480" max="9480" width="11.5546875" style="121" bestFit="1" customWidth="1"/>
    <col min="9481" max="9481" width="9.33203125" style="121" bestFit="1" customWidth="1"/>
    <col min="9482" max="9482" width="11.5546875" style="121" bestFit="1" customWidth="1"/>
    <col min="9483" max="9483" width="9.33203125" style="121" bestFit="1" customWidth="1"/>
    <col min="9484" max="9484" width="11.5546875" style="121" bestFit="1" customWidth="1"/>
    <col min="9485" max="9485" width="9.33203125" style="121" bestFit="1" customWidth="1"/>
    <col min="9486" max="9486" width="11.5546875" style="121" bestFit="1" customWidth="1"/>
    <col min="9487" max="9487" width="9.33203125" style="121" bestFit="1" customWidth="1"/>
    <col min="9488" max="9488" width="11.5546875" style="121" bestFit="1" customWidth="1"/>
    <col min="9489" max="9489" width="9.33203125" style="121" bestFit="1" customWidth="1"/>
    <col min="9490" max="9490" width="11.5546875" style="121" bestFit="1" customWidth="1"/>
    <col min="9491" max="9491" width="9.33203125" style="121" bestFit="1" customWidth="1"/>
    <col min="9492" max="9492" width="11.5546875" style="121" bestFit="1" customWidth="1"/>
    <col min="9493" max="9493" width="9.33203125" style="121" bestFit="1" customWidth="1"/>
    <col min="9494" max="9494" width="11.5546875" style="121" bestFit="1" customWidth="1"/>
    <col min="9495" max="9495" width="9.33203125" style="121" bestFit="1" customWidth="1"/>
    <col min="9496" max="9496" width="11.5546875" style="121" bestFit="1" customWidth="1"/>
    <col min="9497" max="9497" width="9.33203125" style="121" bestFit="1" customWidth="1"/>
    <col min="9498" max="9498" width="11.5546875" style="121" bestFit="1" customWidth="1"/>
    <col min="9499" max="9499" width="9.33203125" style="121" bestFit="1" customWidth="1"/>
    <col min="9500" max="9500" width="11.5546875" style="121" bestFit="1" customWidth="1"/>
    <col min="9501" max="9501" width="9.33203125" style="121" bestFit="1" customWidth="1"/>
    <col min="9502" max="9502" width="11.5546875" style="121" bestFit="1" customWidth="1"/>
    <col min="9503" max="9503" width="9.33203125" style="121" bestFit="1" customWidth="1"/>
    <col min="9504" max="9504" width="11.5546875" style="121" bestFit="1" customWidth="1"/>
    <col min="9505" max="9505" width="9.33203125" style="121" bestFit="1" customWidth="1"/>
    <col min="9506" max="9506" width="11.5546875" style="121" bestFit="1" customWidth="1"/>
    <col min="9507" max="9507" width="9.33203125" style="121" bestFit="1" customWidth="1"/>
    <col min="9508" max="9508" width="11.5546875" style="121" bestFit="1" customWidth="1"/>
    <col min="9509" max="9509" width="9.33203125" style="121" bestFit="1" customWidth="1"/>
    <col min="9510" max="9510" width="11.5546875" style="121" bestFit="1" customWidth="1"/>
    <col min="9511" max="9511" width="9.33203125" style="121" bestFit="1" customWidth="1"/>
    <col min="9512" max="9512" width="11.5546875" style="121" bestFit="1" customWidth="1"/>
    <col min="9513" max="9513" width="9.33203125" style="121" bestFit="1" customWidth="1"/>
    <col min="9514" max="9514" width="11.5546875" style="121" bestFit="1" customWidth="1"/>
    <col min="9515" max="9515" width="9.33203125" style="121" bestFit="1" customWidth="1"/>
    <col min="9516" max="9516" width="11.5546875" style="121" bestFit="1" customWidth="1"/>
    <col min="9517" max="9517" width="9.33203125" style="121" bestFit="1" customWidth="1"/>
    <col min="9518" max="9518" width="11.5546875" style="121" bestFit="1" customWidth="1"/>
    <col min="9519" max="9519" width="9.33203125" style="121" bestFit="1" customWidth="1"/>
    <col min="9520" max="9520" width="11.5546875" style="121" bestFit="1" customWidth="1"/>
    <col min="9521" max="9521" width="9.33203125" style="121" bestFit="1" customWidth="1"/>
    <col min="9522" max="9522" width="11.5546875" style="121" bestFit="1" customWidth="1"/>
    <col min="9523" max="9523" width="9.33203125" style="121" bestFit="1" customWidth="1"/>
    <col min="9524" max="9730" width="9.109375" style="121"/>
    <col min="9731" max="9731" width="29.44140625" style="121" bestFit="1" customWidth="1"/>
    <col min="9732" max="9732" width="11.5546875" style="121" bestFit="1" customWidth="1"/>
    <col min="9733" max="9733" width="9.33203125" style="121" bestFit="1" customWidth="1"/>
    <col min="9734" max="9734" width="11.5546875" style="121" bestFit="1" customWidth="1"/>
    <col min="9735" max="9735" width="9.33203125" style="121" bestFit="1" customWidth="1"/>
    <col min="9736" max="9736" width="11.5546875" style="121" bestFit="1" customWidth="1"/>
    <col min="9737" max="9737" width="9.33203125" style="121" bestFit="1" customWidth="1"/>
    <col min="9738" max="9738" width="11.5546875" style="121" bestFit="1" customWidth="1"/>
    <col min="9739" max="9739" width="9.33203125" style="121" bestFit="1" customWidth="1"/>
    <col min="9740" max="9740" width="11.5546875" style="121" bestFit="1" customWidth="1"/>
    <col min="9741" max="9741" width="9.33203125" style="121" bestFit="1" customWidth="1"/>
    <col min="9742" max="9742" width="11.5546875" style="121" bestFit="1" customWidth="1"/>
    <col min="9743" max="9743" width="9.33203125" style="121" bestFit="1" customWidth="1"/>
    <col min="9744" max="9744" width="11.5546875" style="121" bestFit="1" customWidth="1"/>
    <col min="9745" max="9745" width="9.33203125" style="121" bestFit="1" customWidth="1"/>
    <col min="9746" max="9746" width="11.5546875" style="121" bestFit="1" customWidth="1"/>
    <col min="9747" max="9747" width="9.33203125" style="121" bestFit="1" customWidth="1"/>
    <col min="9748" max="9748" width="11.5546875" style="121" bestFit="1" customWidth="1"/>
    <col min="9749" max="9749" width="9.33203125" style="121" bestFit="1" customWidth="1"/>
    <col min="9750" max="9750" width="11.5546875" style="121" bestFit="1" customWidth="1"/>
    <col min="9751" max="9751" width="9.33203125" style="121" bestFit="1" customWidth="1"/>
    <col min="9752" max="9752" width="11.5546875" style="121" bestFit="1" customWidth="1"/>
    <col min="9753" max="9753" width="9.33203125" style="121" bestFit="1" customWidth="1"/>
    <col min="9754" max="9754" width="11.5546875" style="121" bestFit="1" customWidth="1"/>
    <col min="9755" max="9755" width="9.33203125" style="121" bestFit="1" customWidth="1"/>
    <col min="9756" max="9756" width="11.5546875" style="121" bestFit="1" customWidth="1"/>
    <col min="9757" max="9757" width="9.33203125" style="121" bestFit="1" customWidth="1"/>
    <col min="9758" max="9758" width="11.5546875" style="121" bestFit="1" customWidth="1"/>
    <col min="9759" max="9759" width="9.33203125" style="121" bestFit="1" customWidth="1"/>
    <col min="9760" max="9760" width="11.5546875" style="121" bestFit="1" customWidth="1"/>
    <col min="9761" max="9761" width="9.33203125" style="121" bestFit="1" customWidth="1"/>
    <col min="9762" max="9762" width="11.5546875" style="121" bestFit="1" customWidth="1"/>
    <col min="9763" max="9763" width="9.33203125" style="121" bestFit="1" customWidth="1"/>
    <col min="9764" max="9764" width="11.5546875" style="121" bestFit="1" customWidth="1"/>
    <col min="9765" max="9765" width="9.33203125" style="121" bestFit="1" customWidth="1"/>
    <col min="9766" max="9766" width="11.5546875" style="121" bestFit="1" customWidth="1"/>
    <col min="9767" max="9767" width="9.33203125" style="121" bestFit="1" customWidth="1"/>
    <col min="9768" max="9768" width="11.5546875" style="121" bestFit="1" customWidth="1"/>
    <col min="9769" max="9769" width="9.33203125" style="121" bestFit="1" customWidth="1"/>
    <col min="9770" max="9770" width="11.5546875" style="121" bestFit="1" customWidth="1"/>
    <col min="9771" max="9771" width="9.33203125" style="121" bestFit="1" customWidth="1"/>
    <col min="9772" max="9772" width="11.5546875" style="121" bestFit="1" customWidth="1"/>
    <col min="9773" max="9773" width="9.33203125" style="121" bestFit="1" customWidth="1"/>
    <col min="9774" max="9774" width="11.5546875" style="121" bestFit="1" customWidth="1"/>
    <col min="9775" max="9775" width="9.33203125" style="121" bestFit="1" customWidth="1"/>
    <col min="9776" max="9776" width="11.5546875" style="121" bestFit="1" customWidth="1"/>
    <col min="9777" max="9777" width="9.33203125" style="121" bestFit="1" customWidth="1"/>
    <col min="9778" max="9778" width="11.5546875" style="121" bestFit="1" customWidth="1"/>
    <col min="9779" max="9779" width="9.33203125" style="121" bestFit="1" customWidth="1"/>
    <col min="9780" max="9986" width="9.109375" style="121"/>
    <col min="9987" max="9987" width="29.44140625" style="121" bestFit="1" customWidth="1"/>
    <col min="9988" max="9988" width="11.5546875" style="121" bestFit="1" customWidth="1"/>
    <col min="9989" max="9989" width="9.33203125" style="121" bestFit="1" customWidth="1"/>
    <col min="9990" max="9990" width="11.5546875" style="121" bestFit="1" customWidth="1"/>
    <col min="9991" max="9991" width="9.33203125" style="121" bestFit="1" customWidth="1"/>
    <col min="9992" max="9992" width="11.5546875" style="121" bestFit="1" customWidth="1"/>
    <col min="9993" max="9993" width="9.33203125" style="121" bestFit="1" customWidth="1"/>
    <col min="9994" max="9994" width="11.5546875" style="121" bestFit="1" customWidth="1"/>
    <col min="9995" max="9995" width="9.33203125" style="121" bestFit="1" customWidth="1"/>
    <col min="9996" max="9996" width="11.5546875" style="121" bestFit="1" customWidth="1"/>
    <col min="9997" max="9997" width="9.33203125" style="121" bestFit="1" customWidth="1"/>
    <col min="9998" max="9998" width="11.5546875" style="121" bestFit="1" customWidth="1"/>
    <col min="9999" max="9999" width="9.33203125" style="121" bestFit="1" customWidth="1"/>
    <col min="10000" max="10000" width="11.5546875" style="121" bestFit="1" customWidth="1"/>
    <col min="10001" max="10001" width="9.33203125" style="121" bestFit="1" customWidth="1"/>
    <col min="10002" max="10002" width="11.5546875" style="121" bestFit="1" customWidth="1"/>
    <col min="10003" max="10003" width="9.33203125" style="121" bestFit="1" customWidth="1"/>
    <col min="10004" max="10004" width="11.5546875" style="121" bestFit="1" customWidth="1"/>
    <col min="10005" max="10005" width="9.33203125" style="121" bestFit="1" customWidth="1"/>
    <col min="10006" max="10006" width="11.5546875" style="121" bestFit="1" customWidth="1"/>
    <col min="10007" max="10007" width="9.33203125" style="121" bestFit="1" customWidth="1"/>
    <col min="10008" max="10008" width="11.5546875" style="121" bestFit="1" customWidth="1"/>
    <col min="10009" max="10009" width="9.33203125" style="121" bestFit="1" customWidth="1"/>
    <col min="10010" max="10010" width="11.5546875" style="121" bestFit="1" customWidth="1"/>
    <col min="10011" max="10011" width="9.33203125" style="121" bestFit="1" customWidth="1"/>
    <col min="10012" max="10012" width="11.5546875" style="121" bestFit="1" customWidth="1"/>
    <col min="10013" max="10013" width="9.33203125" style="121" bestFit="1" customWidth="1"/>
    <col min="10014" max="10014" width="11.5546875" style="121" bestFit="1" customWidth="1"/>
    <col min="10015" max="10015" width="9.33203125" style="121" bestFit="1" customWidth="1"/>
    <col min="10016" max="10016" width="11.5546875" style="121" bestFit="1" customWidth="1"/>
    <col min="10017" max="10017" width="9.33203125" style="121" bestFit="1" customWidth="1"/>
    <col min="10018" max="10018" width="11.5546875" style="121" bestFit="1" customWidth="1"/>
    <col min="10019" max="10019" width="9.33203125" style="121" bestFit="1" customWidth="1"/>
    <col min="10020" max="10020" width="11.5546875" style="121" bestFit="1" customWidth="1"/>
    <col min="10021" max="10021" width="9.33203125" style="121" bestFit="1" customWidth="1"/>
    <col min="10022" max="10022" width="11.5546875" style="121" bestFit="1" customWidth="1"/>
    <col min="10023" max="10023" width="9.33203125" style="121" bestFit="1" customWidth="1"/>
    <col min="10024" max="10024" width="11.5546875" style="121" bestFit="1" customWidth="1"/>
    <col min="10025" max="10025" width="9.33203125" style="121" bestFit="1" customWidth="1"/>
    <col min="10026" max="10026" width="11.5546875" style="121" bestFit="1" customWidth="1"/>
    <col min="10027" max="10027" width="9.33203125" style="121" bestFit="1" customWidth="1"/>
    <col min="10028" max="10028" width="11.5546875" style="121" bestFit="1" customWidth="1"/>
    <col min="10029" max="10029" width="9.33203125" style="121" bestFit="1" customWidth="1"/>
    <col min="10030" max="10030" width="11.5546875" style="121" bestFit="1" customWidth="1"/>
    <col min="10031" max="10031" width="9.33203125" style="121" bestFit="1" customWidth="1"/>
    <col min="10032" max="10032" width="11.5546875" style="121" bestFit="1" customWidth="1"/>
    <col min="10033" max="10033" width="9.33203125" style="121" bestFit="1" customWidth="1"/>
    <col min="10034" max="10034" width="11.5546875" style="121" bestFit="1" customWidth="1"/>
    <col min="10035" max="10035" width="9.33203125" style="121" bestFit="1" customWidth="1"/>
    <col min="10036" max="10242" width="9.109375" style="121"/>
    <col min="10243" max="10243" width="29.44140625" style="121" bestFit="1" customWidth="1"/>
    <col min="10244" max="10244" width="11.5546875" style="121" bestFit="1" customWidth="1"/>
    <col min="10245" max="10245" width="9.33203125" style="121" bestFit="1" customWidth="1"/>
    <col min="10246" max="10246" width="11.5546875" style="121" bestFit="1" customWidth="1"/>
    <col min="10247" max="10247" width="9.33203125" style="121" bestFit="1" customWidth="1"/>
    <col min="10248" max="10248" width="11.5546875" style="121" bestFit="1" customWidth="1"/>
    <col min="10249" max="10249" width="9.33203125" style="121" bestFit="1" customWidth="1"/>
    <col min="10250" max="10250" width="11.5546875" style="121" bestFit="1" customWidth="1"/>
    <col min="10251" max="10251" width="9.33203125" style="121" bestFit="1" customWidth="1"/>
    <col min="10252" max="10252" width="11.5546875" style="121" bestFit="1" customWidth="1"/>
    <col min="10253" max="10253" width="9.33203125" style="121" bestFit="1" customWidth="1"/>
    <col min="10254" max="10254" width="11.5546875" style="121" bestFit="1" customWidth="1"/>
    <col min="10255" max="10255" width="9.33203125" style="121" bestFit="1" customWidth="1"/>
    <col min="10256" max="10256" width="11.5546875" style="121" bestFit="1" customWidth="1"/>
    <col min="10257" max="10257" width="9.33203125" style="121" bestFit="1" customWidth="1"/>
    <col min="10258" max="10258" width="11.5546875" style="121" bestFit="1" customWidth="1"/>
    <col min="10259" max="10259" width="9.33203125" style="121" bestFit="1" customWidth="1"/>
    <col min="10260" max="10260" width="11.5546875" style="121" bestFit="1" customWidth="1"/>
    <col min="10261" max="10261" width="9.33203125" style="121" bestFit="1" customWidth="1"/>
    <col min="10262" max="10262" width="11.5546875" style="121" bestFit="1" customWidth="1"/>
    <col min="10263" max="10263" width="9.33203125" style="121" bestFit="1" customWidth="1"/>
    <col min="10264" max="10264" width="11.5546875" style="121" bestFit="1" customWidth="1"/>
    <col min="10265" max="10265" width="9.33203125" style="121" bestFit="1" customWidth="1"/>
    <col min="10266" max="10266" width="11.5546875" style="121" bestFit="1" customWidth="1"/>
    <col min="10267" max="10267" width="9.33203125" style="121" bestFit="1" customWidth="1"/>
    <col min="10268" max="10268" width="11.5546875" style="121" bestFit="1" customWidth="1"/>
    <col min="10269" max="10269" width="9.33203125" style="121" bestFit="1" customWidth="1"/>
    <col min="10270" max="10270" width="11.5546875" style="121" bestFit="1" customWidth="1"/>
    <col min="10271" max="10271" width="9.33203125" style="121" bestFit="1" customWidth="1"/>
    <col min="10272" max="10272" width="11.5546875" style="121" bestFit="1" customWidth="1"/>
    <col min="10273" max="10273" width="9.33203125" style="121" bestFit="1" customWidth="1"/>
    <col min="10274" max="10274" width="11.5546875" style="121" bestFit="1" customWidth="1"/>
    <col min="10275" max="10275" width="9.33203125" style="121" bestFit="1" customWidth="1"/>
    <col min="10276" max="10276" width="11.5546875" style="121" bestFit="1" customWidth="1"/>
    <col min="10277" max="10277" width="9.33203125" style="121" bestFit="1" customWidth="1"/>
    <col min="10278" max="10278" width="11.5546875" style="121" bestFit="1" customWidth="1"/>
    <col min="10279" max="10279" width="9.33203125" style="121" bestFit="1" customWidth="1"/>
    <col min="10280" max="10280" width="11.5546875" style="121" bestFit="1" customWidth="1"/>
    <col min="10281" max="10281" width="9.33203125" style="121" bestFit="1" customWidth="1"/>
    <col min="10282" max="10282" width="11.5546875" style="121" bestFit="1" customWidth="1"/>
    <col min="10283" max="10283" width="9.33203125" style="121" bestFit="1" customWidth="1"/>
    <col min="10284" max="10284" width="11.5546875" style="121" bestFit="1" customWidth="1"/>
    <col min="10285" max="10285" width="9.33203125" style="121" bestFit="1" customWidth="1"/>
    <col min="10286" max="10286" width="11.5546875" style="121" bestFit="1" customWidth="1"/>
    <col min="10287" max="10287" width="9.33203125" style="121" bestFit="1" customWidth="1"/>
    <col min="10288" max="10288" width="11.5546875" style="121" bestFit="1" customWidth="1"/>
    <col min="10289" max="10289" width="9.33203125" style="121" bestFit="1" customWidth="1"/>
    <col min="10290" max="10290" width="11.5546875" style="121" bestFit="1" customWidth="1"/>
    <col min="10291" max="10291" width="9.33203125" style="121" bestFit="1" customWidth="1"/>
    <col min="10292" max="10498" width="9.109375" style="121"/>
    <col min="10499" max="10499" width="29.44140625" style="121" bestFit="1" customWidth="1"/>
    <col min="10500" max="10500" width="11.5546875" style="121" bestFit="1" customWidth="1"/>
    <col min="10501" max="10501" width="9.33203125" style="121" bestFit="1" customWidth="1"/>
    <col min="10502" max="10502" width="11.5546875" style="121" bestFit="1" customWidth="1"/>
    <col min="10503" max="10503" width="9.33203125" style="121" bestFit="1" customWidth="1"/>
    <col min="10504" max="10504" width="11.5546875" style="121" bestFit="1" customWidth="1"/>
    <col min="10505" max="10505" width="9.33203125" style="121" bestFit="1" customWidth="1"/>
    <col min="10506" max="10506" width="11.5546875" style="121" bestFit="1" customWidth="1"/>
    <col min="10507" max="10507" width="9.33203125" style="121" bestFit="1" customWidth="1"/>
    <col min="10508" max="10508" width="11.5546875" style="121" bestFit="1" customWidth="1"/>
    <col min="10509" max="10509" width="9.33203125" style="121" bestFit="1" customWidth="1"/>
    <col min="10510" max="10510" width="11.5546875" style="121" bestFit="1" customWidth="1"/>
    <col min="10511" max="10511" width="9.33203125" style="121" bestFit="1" customWidth="1"/>
    <col min="10512" max="10512" width="11.5546875" style="121" bestFit="1" customWidth="1"/>
    <col min="10513" max="10513" width="9.33203125" style="121" bestFit="1" customWidth="1"/>
    <col min="10514" max="10514" width="11.5546875" style="121" bestFit="1" customWidth="1"/>
    <col min="10515" max="10515" width="9.33203125" style="121" bestFit="1" customWidth="1"/>
    <col min="10516" max="10516" width="11.5546875" style="121" bestFit="1" customWidth="1"/>
    <col min="10517" max="10517" width="9.33203125" style="121" bestFit="1" customWidth="1"/>
    <col min="10518" max="10518" width="11.5546875" style="121" bestFit="1" customWidth="1"/>
    <col min="10519" max="10519" width="9.33203125" style="121" bestFit="1" customWidth="1"/>
    <col min="10520" max="10520" width="11.5546875" style="121" bestFit="1" customWidth="1"/>
    <col min="10521" max="10521" width="9.33203125" style="121" bestFit="1" customWidth="1"/>
    <col min="10522" max="10522" width="11.5546875" style="121" bestFit="1" customWidth="1"/>
    <col min="10523" max="10523" width="9.33203125" style="121" bestFit="1" customWidth="1"/>
    <col min="10524" max="10524" width="11.5546875" style="121" bestFit="1" customWidth="1"/>
    <col min="10525" max="10525" width="9.33203125" style="121" bestFit="1" customWidth="1"/>
    <col min="10526" max="10526" width="11.5546875" style="121" bestFit="1" customWidth="1"/>
    <col min="10527" max="10527" width="9.33203125" style="121" bestFit="1" customWidth="1"/>
    <col min="10528" max="10528" width="11.5546875" style="121" bestFit="1" customWidth="1"/>
    <col min="10529" max="10529" width="9.33203125" style="121" bestFit="1" customWidth="1"/>
    <col min="10530" max="10530" width="11.5546875" style="121" bestFit="1" customWidth="1"/>
    <col min="10531" max="10531" width="9.33203125" style="121" bestFit="1" customWidth="1"/>
    <col min="10532" max="10532" width="11.5546875" style="121" bestFit="1" customWidth="1"/>
    <col min="10533" max="10533" width="9.33203125" style="121" bestFit="1" customWidth="1"/>
    <col min="10534" max="10534" width="11.5546875" style="121" bestFit="1" customWidth="1"/>
    <col min="10535" max="10535" width="9.33203125" style="121" bestFit="1" customWidth="1"/>
    <col min="10536" max="10536" width="11.5546875" style="121" bestFit="1" customWidth="1"/>
    <col min="10537" max="10537" width="9.33203125" style="121" bestFit="1" customWidth="1"/>
    <col min="10538" max="10538" width="11.5546875" style="121" bestFit="1" customWidth="1"/>
    <col min="10539" max="10539" width="9.33203125" style="121" bestFit="1" customWidth="1"/>
    <col min="10540" max="10540" width="11.5546875" style="121" bestFit="1" customWidth="1"/>
    <col min="10541" max="10541" width="9.33203125" style="121" bestFit="1" customWidth="1"/>
    <col min="10542" max="10542" width="11.5546875" style="121" bestFit="1" customWidth="1"/>
    <col min="10543" max="10543" width="9.33203125" style="121" bestFit="1" customWidth="1"/>
    <col min="10544" max="10544" width="11.5546875" style="121" bestFit="1" customWidth="1"/>
    <col min="10545" max="10545" width="9.33203125" style="121" bestFit="1" customWidth="1"/>
    <col min="10546" max="10546" width="11.5546875" style="121" bestFit="1" customWidth="1"/>
    <col min="10547" max="10547" width="9.33203125" style="121" bestFit="1" customWidth="1"/>
    <col min="10548" max="10754" width="9.109375" style="121"/>
    <col min="10755" max="10755" width="29.44140625" style="121" bestFit="1" customWidth="1"/>
    <col min="10756" max="10756" width="11.5546875" style="121" bestFit="1" customWidth="1"/>
    <col min="10757" max="10757" width="9.33203125" style="121" bestFit="1" customWidth="1"/>
    <col min="10758" max="10758" width="11.5546875" style="121" bestFit="1" customWidth="1"/>
    <col min="10759" max="10759" width="9.33203125" style="121" bestFit="1" customWidth="1"/>
    <col min="10760" max="10760" width="11.5546875" style="121" bestFit="1" customWidth="1"/>
    <col min="10761" max="10761" width="9.33203125" style="121" bestFit="1" customWidth="1"/>
    <col min="10762" max="10762" width="11.5546875" style="121" bestFit="1" customWidth="1"/>
    <col min="10763" max="10763" width="9.33203125" style="121" bestFit="1" customWidth="1"/>
    <col min="10764" max="10764" width="11.5546875" style="121" bestFit="1" customWidth="1"/>
    <col min="10765" max="10765" width="9.33203125" style="121" bestFit="1" customWidth="1"/>
    <col min="10766" max="10766" width="11.5546875" style="121" bestFit="1" customWidth="1"/>
    <col min="10767" max="10767" width="9.33203125" style="121" bestFit="1" customWidth="1"/>
    <col min="10768" max="10768" width="11.5546875" style="121" bestFit="1" customWidth="1"/>
    <col min="10769" max="10769" width="9.33203125" style="121" bestFit="1" customWidth="1"/>
    <col min="10770" max="10770" width="11.5546875" style="121" bestFit="1" customWidth="1"/>
    <col min="10771" max="10771" width="9.33203125" style="121" bestFit="1" customWidth="1"/>
    <col min="10772" max="10772" width="11.5546875" style="121" bestFit="1" customWidth="1"/>
    <col min="10773" max="10773" width="9.33203125" style="121" bestFit="1" customWidth="1"/>
    <col min="10774" max="10774" width="11.5546875" style="121" bestFit="1" customWidth="1"/>
    <col min="10775" max="10775" width="9.33203125" style="121" bestFit="1" customWidth="1"/>
    <col min="10776" max="10776" width="11.5546875" style="121" bestFit="1" customWidth="1"/>
    <col min="10777" max="10777" width="9.33203125" style="121" bestFit="1" customWidth="1"/>
    <col min="10778" max="10778" width="11.5546875" style="121" bestFit="1" customWidth="1"/>
    <col min="10779" max="10779" width="9.33203125" style="121" bestFit="1" customWidth="1"/>
    <col min="10780" max="10780" width="11.5546875" style="121" bestFit="1" customWidth="1"/>
    <col min="10781" max="10781" width="9.33203125" style="121" bestFit="1" customWidth="1"/>
    <col min="10782" max="10782" width="11.5546875" style="121" bestFit="1" customWidth="1"/>
    <col min="10783" max="10783" width="9.33203125" style="121" bestFit="1" customWidth="1"/>
    <col min="10784" max="10784" width="11.5546875" style="121" bestFit="1" customWidth="1"/>
    <col min="10785" max="10785" width="9.33203125" style="121" bestFit="1" customWidth="1"/>
    <col min="10786" max="10786" width="11.5546875" style="121" bestFit="1" customWidth="1"/>
    <col min="10787" max="10787" width="9.33203125" style="121" bestFit="1" customWidth="1"/>
    <col min="10788" max="10788" width="11.5546875" style="121" bestFit="1" customWidth="1"/>
    <col min="10789" max="10789" width="9.33203125" style="121" bestFit="1" customWidth="1"/>
    <col min="10790" max="10790" width="11.5546875" style="121" bestFit="1" customWidth="1"/>
    <col min="10791" max="10791" width="9.33203125" style="121" bestFit="1" customWidth="1"/>
    <col min="10792" max="10792" width="11.5546875" style="121" bestFit="1" customWidth="1"/>
    <col min="10793" max="10793" width="9.33203125" style="121" bestFit="1" customWidth="1"/>
    <col min="10794" max="10794" width="11.5546875" style="121" bestFit="1" customWidth="1"/>
    <col min="10795" max="10795" width="9.33203125" style="121" bestFit="1" customWidth="1"/>
    <col min="10796" max="10796" width="11.5546875" style="121" bestFit="1" customWidth="1"/>
    <col min="10797" max="10797" width="9.33203125" style="121" bestFit="1" customWidth="1"/>
    <col min="10798" max="10798" width="11.5546875" style="121" bestFit="1" customWidth="1"/>
    <col min="10799" max="10799" width="9.33203125" style="121" bestFit="1" customWidth="1"/>
    <col min="10800" max="10800" width="11.5546875" style="121" bestFit="1" customWidth="1"/>
    <col min="10801" max="10801" width="9.33203125" style="121" bestFit="1" customWidth="1"/>
    <col min="10802" max="10802" width="11.5546875" style="121" bestFit="1" customWidth="1"/>
    <col min="10803" max="10803" width="9.33203125" style="121" bestFit="1" customWidth="1"/>
    <col min="10804" max="11010" width="9.109375" style="121"/>
    <col min="11011" max="11011" width="29.44140625" style="121" bestFit="1" customWidth="1"/>
    <col min="11012" max="11012" width="11.5546875" style="121" bestFit="1" customWidth="1"/>
    <col min="11013" max="11013" width="9.33203125" style="121" bestFit="1" customWidth="1"/>
    <col min="11014" max="11014" width="11.5546875" style="121" bestFit="1" customWidth="1"/>
    <col min="11015" max="11015" width="9.33203125" style="121" bestFit="1" customWidth="1"/>
    <col min="11016" max="11016" width="11.5546875" style="121" bestFit="1" customWidth="1"/>
    <col min="11017" max="11017" width="9.33203125" style="121" bestFit="1" customWidth="1"/>
    <col min="11018" max="11018" width="11.5546875" style="121" bestFit="1" customWidth="1"/>
    <col min="11019" max="11019" width="9.33203125" style="121" bestFit="1" customWidth="1"/>
    <col min="11020" max="11020" width="11.5546875" style="121" bestFit="1" customWidth="1"/>
    <col min="11021" max="11021" width="9.33203125" style="121" bestFit="1" customWidth="1"/>
    <col min="11022" max="11022" width="11.5546875" style="121" bestFit="1" customWidth="1"/>
    <col min="11023" max="11023" width="9.33203125" style="121" bestFit="1" customWidth="1"/>
    <col min="11024" max="11024" width="11.5546875" style="121" bestFit="1" customWidth="1"/>
    <col min="11025" max="11025" width="9.33203125" style="121" bestFit="1" customWidth="1"/>
    <col min="11026" max="11026" width="11.5546875" style="121" bestFit="1" customWidth="1"/>
    <col min="11027" max="11027" width="9.33203125" style="121" bestFit="1" customWidth="1"/>
    <col min="11028" max="11028" width="11.5546875" style="121" bestFit="1" customWidth="1"/>
    <col min="11029" max="11029" width="9.33203125" style="121" bestFit="1" customWidth="1"/>
    <col min="11030" max="11030" width="11.5546875" style="121" bestFit="1" customWidth="1"/>
    <col min="11031" max="11031" width="9.33203125" style="121" bestFit="1" customWidth="1"/>
    <col min="11032" max="11032" width="11.5546875" style="121" bestFit="1" customWidth="1"/>
    <col min="11033" max="11033" width="9.33203125" style="121" bestFit="1" customWidth="1"/>
    <col min="11034" max="11034" width="11.5546875" style="121" bestFit="1" customWidth="1"/>
    <col min="11035" max="11035" width="9.33203125" style="121" bestFit="1" customWidth="1"/>
    <col min="11036" max="11036" width="11.5546875" style="121" bestFit="1" customWidth="1"/>
    <col min="11037" max="11037" width="9.33203125" style="121" bestFit="1" customWidth="1"/>
    <col min="11038" max="11038" width="11.5546875" style="121" bestFit="1" customWidth="1"/>
    <col min="11039" max="11039" width="9.33203125" style="121" bestFit="1" customWidth="1"/>
    <col min="11040" max="11040" width="11.5546875" style="121" bestFit="1" customWidth="1"/>
    <col min="11041" max="11041" width="9.33203125" style="121" bestFit="1" customWidth="1"/>
    <col min="11042" max="11042" width="11.5546875" style="121" bestFit="1" customWidth="1"/>
    <col min="11043" max="11043" width="9.33203125" style="121" bestFit="1" customWidth="1"/>
    <col min="11044" max="11044" width="11.5546875" style="121" bestFit="1" customWidth="1"/>
    <col min="11045" max="11045" width="9.33203125" style="121" bestFit="1" customWidth="1"/>
    <col min="11046" max="11046" width="11.5546875" style="121" bestFit="1" customWidth="1"/>
    <col min="11047" max="11047" width="9.33203125" style="121" bestFit="1" customWidth="1"/>
    <col min="11048" max="11048" width="11.5546875" style="121" bestFit="1" customWidth="1"/>
    <col min="11049" max="11049" width="9.33203125" style="121" bestFit="1" customWidth="1"/>
    <col min="11050" max="11050" width="11.5546875" style="121" bestFit="1" customWidth="1"/>
    <col min="11051" max="11051" width="9.33203125" style="121" bestFit="1" customWidth="1"/>
    <col min="11052" max="11052" width="11.5546875" style="121" bestFit="1" customWidth="1"/>
    <col min="11053" max="11053" width="9.33203125" style="121" bestFit="1" customWidth="1"/>
    <col min="11054" max="11054" width="11.5546875" style="121" bestFit="1" customWidth="1"/>
    <col min="11055" max="11055" width="9.33203125" style="121" bestFit="1" customWidth="1"/>
    <col min="11056" max="11056" width="11.5546875" style="121" bestFit="1" customWidth="1"/>
    <col min="11057" max="11057" width="9.33203125" style="121" bestFit="1" customWidth="1"/>
    <col min="11058" max="11058" width="11.5546875" style="121" bestFit="1" customWidth="1"/>
    <col min="11059" max="11059" width="9.33203125" style="121" bestFit="1" customWidth="1"/>
    <col min="11060" max="11266" width="9.109375" style="121"/>
    <col min="11267" max="11267" width="29.44140625" style="121" bestFit="1" customWidth="1"/>
    <col min="11268" max="11268" width="11.5546875" style="121" bestFit="1" customWidth="1"/>
    <col min="11269" max="11269" width="9.33203125" style="121" bestFit="1" customWidth="1"/>
    <col min="11270" max="11270" width="11.5546875" style="121" bestFit="1" customWidth="1"/>
    <col min="11271" max="11271" width="9.33203125" style="121" bestFit="1" customWidth="1"/>
    <col min="11272" max="11272" width="11.5546875" style="121" bestFit="1" customWidth="1"/>
    <col min="11273" max="11273" width="9.33203125" style="121" bestFit="1" customWidth="1"/>
    <col min="11274" max="11274" width="11.5546875" style="121" bestFit="1" customWidth="1"/>
    <col min="11275" max="11275" width="9.33203125" style="121" bestFit="1" customWidth="1"/>
    <col min="11276" max="11276" width="11.5546875" style="121" bestFit="1" customWidth="1"/>
    <col min="11277" max="11277" width="9.33203125" style="121" bestFit="1" customWidth="1"/>
    <col min="11278" max="11278" width="11.5546875" style="121" bestFit="1" customWidth="1"/>
    <col min="11279" max="11279" width="9.33203125" style="121" bestFit="1" customWidth="1"/>
    <col min="11280" max="11280" width="11.5546875" style="121" bestFit="1" customWidth="1"/>
    <col min="11281" max="11281" width="9.33203125" style="121" bestFit="1" customWidth="1"/>
    <col min="11282" max="11282" width="11.5546875" style="121" bestFit="1" customWidth="1"/>
    <col min="11283" max="11283" width="9.33203125" style="121" bestFit="1" customWidth="1"/>
    <col min="11284" max="11284" width="11.5546875" style="121" bestFit="1" customWidth="1"/>
    <col min="11285" max="11285" width="9.33203125" style="121" bestFit="1" customWidth="1"/>
    <col min="11286" max="11286" width="11.5546875" style="121" bestFit="1" customWidth="1"/>
    <col min="11287" max="11287" width="9.33203125" style="121" bestFit="1" customWidth="1"/>
    <col min="11288" max="11288" width="11.5546875" style="121" bestFit="1" customWidth="1"/>
    <col min="11289" max="11289" width="9.33203125" style="121" bestFit="1" customWidth="1"/>
    <col min="11290" max="11290" width="11.5546875" style="121" bestFit="1" customWidth="1"/>
    <col min="11291" max="11291" width="9.33203125" style="121" bestFit="1" customWidth="1"/>
    <col min="11292" max="11292" width="11.5546875" style="121" bestFit="1" customWidth="1"/>
    <col min="11293" max="11293" width="9.33203125" style="121" bestFit="1" customWidth="1"/>
    <col min="11294" max="11294" width="11.5546875" style="121" bestFit="1" customWidth="1"/>
    <col min="11295" max="11295" width="9.33203125" style="121" bestFit="1" customWidth="1"/>
    <col min="11296" max="11296" width="11.5546875" style="121" bestFit="1" customWidth="1"/>
    <col min="11297" max="11297" width="9.33203125" style="121" bestFit="1" customWidth="1"/>
    <col min="11298" max="11298" width="11.5546875" style="121" bestFit="1" customWidth="1"/>
    <col min="11299" max="11299" width="9.33203125" style="121" bestFit="1" customWidth="1"/>
    <col min="11300" max="11300" width="11.5546875" style="121" bestFit="1" customWidth="1"/>
    <col min="11301" max="11301" width="9.33203125" style="121" bestFit="1" customWidth="1"/>
    <col min="11302" max="11302" width="11.5546875" style="121" bestFit="1" customWidth="1"/>
    <col min="11303" max="11303" width="9.33203125" style="121" bestFit="1" customWidth="1"/>
    <col min="11304" max="11304" width="11.5546875" style="121" bestFit="1" customWidth="1"/>
    <col min="11305" max="11305" width="9.33203125" style="121" bestFit="1" customWidth="1"/>
    <col min="11306" max="11306" width="11.5546875" style="121" bestFit="1" customWidth="1"/>
    <col min="11307" max="11307" width="9.33203125" style="121" bestFit="1" customWidth="1"/>
    <col min="11308" max="11308" width="11.5546875" style="121" bestFit="1" customWidth="1"/>
    <col min="11309" max="11309" width="9.33203125" style="121" bestFit="1" customWidth="1"/>
    <col min="11310" max="11310" width="11.5546875" style="121" bestFit="1" customWidth="1"/>
    <col min="11311" max="11311" width="9.33203125" style="121" bestFit="1" customWidth="1"/>
    <col min="11312" max="11312" width="11.5546875" style="121" bestFit="1" customWidth="1"/>
    <col min="11313" max="11313" width="9.33203125" style="121" bestFit="1" customWidth="1"/>
    <col min="11314" max="11314" width="11.5546875" style="121" bestFit="1" customWidth="1"/>
    <col min="11315" max="11315" width="9.33203125" style="121" bestFit="1" customWidth="1"/>
    <col min="11316" max="11522" width="9.109375" style="121"/>
    <col min="11523" max="11523" width="29.44140625" style="121" bestFit="1" customWidth="1"/>
    <col min="11524" max="11524" width="11.5546875" style="121" bestFit="1" customWidth="1"/>
    <col min="11525" max="11525" width="9.33203125" style="121" bestFit="1" customWidth="1"/>
    <col min="11526" max="11526" width="11.5546875" style="121" bestFit="1" customWidth="1"/>
    <col min="11527" max="11527" width="9.33203125" style="121" bestFit="1" customWidth="1"/>
    <col min="11528" max="11528" width="11.5546875" style="121" bestFit="1" customWidth="1"/>
    <col min="11529" max="11529" width="9.33203125" style="121" bestFit="1" customWidth="1"/>
    <col min="11530" max="11530" width="11.5546875" style="121" bestFit="1" customWidth="1"/>
    <col min="11531" max="11531" width="9.33203125" style="121" bestFit="1" customWidth="1"/>
    <col min="11532" max="11532" width="11.5546875" style="121" bestFit="1" customWidth="1"/>
    <col min="11533" max="11533" width="9.33203125" style="121" bestFit="1" customWidth="1"/>
    <col min="11534" max="11534" width="11.5546875" style="121" bestFit="1" customWidth="1"/>
    <col min="11535" max="11535" width="9.33203125" style="121" bestFit="1" customWidth="1"/>
    <col min="11536" max="11536" width="11.5546875" style="121" bestFit="1" customWidth="1"/>
    <col min="11537" max="11537" width="9.33203125" style="121" bestFit="1" customWidth="1"/>
    <col min="11538" max="11538" width="11.5546875" style="121" bestFit="1" customWidth="1"/>
    <col min="11539" max="11539" width="9.33203125" style="121" bestFit="1" customWidth="1"/>
    <col min="11540" max="11540" width="11.5546875" style="121" bestFit="1" customWidth="1"/>
    <col min="11541" max="11541" width="9.33203125" style="121" bestFit="1" customWidth="1"/>
    <col min="11542" max="11542" width="11.5546875" style="121" bestFit="1" customWidth="1"/>
    <col min="11543" max="11543" width="9.33203125" style="121" bestFit="1" customWidth="1"/>
    <col min="11544" max="11544" width="11.5546875" style="121" bestFit="1" customWidth="1"/>
    <col min="11545" max="11545" width="9.33203125" style="121" bestFit="1" customWidth="1"/>
    <col min="11546" max="11546" width="11.5546875" style="121" bestFit="1" customWidth="1"/>
    <col min="11547" max="11547" width="9.33203125" style="121" bestFit="1" customWidth="1"/>
    <col min="11548" max="11548" width="11.5546875" style="121" bestFit="1" customWidth="1"/>
    <col min="11549" max="11549" width="9.33203125" style="121" bestFit="1" customWidth="1"/>
    <col min="11550" max="11550" width="11.5546875" style="121" bestFit="1" customWidth="1"/>
    <col min="11551" max="11551" width="9.33203125" style="121" bestFit="1" customWidth="1"/>
    <col min="11552" max="11552" width="11.5546875" style="121" bestFit="1" customWidth="1"/>
    <col min="11553" max="11553" width="9.33203125" style="121" bestFit="1" customWidth="1"/>
    <col min="11554" max="11554" width="11.5546875" style="121" bestFit="1" customWidth="1"/>
    <col min="11555" max="11555" width="9.33203125" style="121" bestFit="1" customWidth="1"/>
    <col min="11556" max="11556" width="11.5546875" style="121" bestFit="1" customWidth="1"/>
    <col min="11557" max="11557" width="9.33203125" style="121" bestFit="1" customWidth="1"/>
    <col min="11558" max="11558" width="11.5546875" style="121" bestFit="1" customWidth="1"/>
    <col min="11559" max="11559" width="9.33203125" style="121" bestFit="1" customWidth="1"/>
    <col min="11560" max="11560" width="11.5546875" style="121" bestFit="1" customWidth="1"/>
    <col min="11561" max="11561" width="9.33203125" style="121" bestFit="1" customWidth="1"/>
    <col min="11562" max="11562" width="11.5546875" style="121" bestFit="1" customWidth="1"/>
    <col min="11563" max="11563" width="9.33203125" style="121" bestFit="1" customWidth="1"/>
    <col min="11564" max="11564" width="11.5546875" style="121" bestFit="1" customWidth="1"/>
    <col min="11565" max="11565" width="9.33203125" style="121" bestFit="1" customWidth="1"/>
    <col min="11566" max="11566" width="11.5546875" style="121" bestFit="1" customWidth="1"/>
    <col min="11567" max="11567" width="9.33203125" style="121" bestFit="1" customWidth="1"/>
    <col min="11568" max="11568" width="11.5546875" style="121" bestFit="1" customWidth="1"/>
    <col min="11569" max="11569" width="9.33203125" style="121" bestFit="1" customWidth="1"/>
    <col min="11570" max="11570" width="11.5546875" style="121" bestFit="1" customWidth="1"/>
    <col min="11571" max="11571" width="9.33203125" style="121" bestFit="1" customWidth="1"/>
    <col min="11572" max="11778" width="9.109375" style="121"/>
    <col min="11779" max="11779" width="29.44140625" style="121" bestFit="1" customWidth="1"/>
    <col min="11780" max="11780" width="11.5546875" style="121" bestFit="1" customWidth="1"/>
    <col min="11781" max="11781" width="9.33203125" style="121" bestFit="1" customWidth="1"/>
    <col min="11782" max="11782" width="11.5546875" style="121" bestFit="1" customWidth="1"/>
    <col min="11783" max="11783" width="9.33203125" style="121" bestFit="1" customWidth="1"/>
    <col min="11784" max="11784" width="11.5546875" style="121" bestFit="1" customWidth="1"/>
    <col min="11785" max="11785" width="9.33203125" style="121" bestFit="1" customWidth="1"/>
    <col min="11786" max="11786" width="11.5546875" style="121" bestFit="1" customWidth="1"/>
    <col min="11787" max="11787" width="9.33203125" style="121" bestFit="1" customWidth="1"/>
    <col min="11788" max="11788" width="11.5546875" style="121" bestFit="1" customWidth="1"/>
    <col min="11789" max="11789" width="9.33203125" style="121" bestFit="1" customWidth="1"/>
    <col min="11790" max="11790" width="11.5546875" style="121" bestFit="1" customWidth="1"/>
    <col min="11791" max="11791" width="9.33203125" style="121" bestFit="1" customWidth="1"/>
    <col min="11792" max="11792" width="11.5546875" style="121" bestFit="1" customWidth="1"/>
    <col min="11793" max="11793" width="9.33203125" style="121" bestFit="1" customWidth="1"/>
    <col min="11794" max="11794" width="11.5546875" style="121" bestFit="1" customWidth="1"/>
    <col min="11795" max="11795" width="9.33203125" style="121" bestFit="1" customWidth="1"/>
    <col min="11796" max="11796" width="11.5546875" style="121" bestFit="1" customWidth="1"/>
    <col min="11797" max="11797" width="9.33203125" style="121" bestFit="1" customWidth="1"/>
    <col min="11798" max="11798" width="11.5546875" style="121" bestFit="1" customWidth="1"/>
    <col min="11799" max="11799" width="9.33203125" style="121" bestFit="1" customWidth="1"/>
    <col min="11800" max="11800" width="11.5546875" style="121" bestFit="1" customWidth="1"/>
    <col min="11801" max="11801" width="9.33203125" style="121" bestFit="1" customWidth="1"/>
    <col min="11802" max="11802" width="11.5546875" style="121" bestFit="1" customWidth="1"/>
    <col min="11803" max="11803" width="9.33203125" style="121" bestFit="1" customWidth="1"/>
    <col min="11804" max="11804" width="11.5546875" style="121" bestFit="1" customWidth="1"/>
    <col min="11805" max="11805" width="9.33203125" style="121" bestFit="1" customWidth="1"/>
    <col min="11806" max="11806" width="11.5546875" style="121" bestFit="1" customWidth="1"/>
    <col min="11807" max="11807" width="9.33203125" style="121" bestFit="1" customWidth="1"/>
    <col min="11808" max="11808" width="11.5546875" style="121" bestFit="1" customWidth="1"/>
    <col min="11809" max="11809" width="9.33203125" style="121" bestFit="1" customWidth="1"/>
    <col min="11810" max="11810" width="11.5546875" style="121" bestFit="1" customWidth="1"/>
    <col min="11811" max="11811" width="9.33203125" style="121" bestFit="1" customWidth="1"/>
    <col min="11812" max="11812" width="11.5546875" style="121" bestFit="1" customWidth="1"/>
    <col min="11813" max="11813" width="9.33203125" style="121" bestFit="1" customWidth="1"/>
    <col min="11814" max="11814" width="11.5546875" style="121" bestFit="1" customWidth="1"/>
    <col min="11815" max="11815" width="9.33203125" style="121" bestFit="1" customWidth="1"/>
    <col min="11816" max="11816" width="11.5546875" style="121" bestFit="1" customWidth="1"/>
    <col min="11817" max="11817" width="9.33203125" style="121" bestFit="1" customWidth="1"/>
    <col min="11818" max="11818" width="11.5546875" style="121" bestFit="1" customWidth="1"/>
    <col min="11819" max="11819" width="9.33203125" style="121" bestFit="1" customWidth="1"/>
    <col min="11820" max="11820" width="11.5546875" style="121" bestFit="1" customWidth="1"/>
    <col min="11821" max="11821" width="9.33203125" style="121" bestFit="1" customWidth="1"/>
    <col min="11822" max="11822" width="11.5546875" style="121" bestFit="1" customWidth="1"/>
    <col min="11823" max="11823" width="9.33203125" style="121" bestFit="1" customWidth="1"/>
    <col min="11824" max="11824" width="11.5546875" style="121" bestFit="1" customWidth="1"/>
    <col min="11825" max="11825" width="9.33203125" style="121" bestFit="1" customWidth="1"/>
    <col min="11826" max="11826" width="11.5546875" style="121" bestFit="1" customWidth="1"/>
    <col min="11827" max="11827" width="9.33203125" style="121" bestFit="1" customWidth="1"/>
    <col min="11828" max="12034" width="9.109375" style="121"/>
    <col min="12035" max="12035" width="29.44140625" style="121" bestFit="1" customWidth="1"/>
    <col min="12036" max="12036" width="11.5546875" style="121" bestFit="1" customWidth="1"/>
    <col min="12037" max="12037" width="9.33203125" style="121" bestFit="1" customWidth="1"/>
    <col min="12038" max="12038" width="11.5546875" style="121" bestFit="1" customWidth="1"/>
    <col min="12039" max="12039" width="9.33203125" style="121" bestFit="1" customWidth="1"/>
    <col min="12040" max="12040" width="11.5546875" style="121" bestFit="1" customWidth="1"/>
    <col min="12041" max="12041" width="9.33203125" style="121" bestFit="1" customWidth="1"/>
    <col min="12042" max="12042" width="11.5546875" style="121" bestFit="1" customWidth="1"/>
    <col min="12043" max="12043" width="9.33203125" style="121" bestFit="1" customWidth="1"/>
    <col min="12044" max="12044" width="11.5546875" style="121" bestFit="1" customWidth="1"/>
    <col min="12045" max="12045" width="9.33203125" style="121" bestFit="1" customWidth="1"/>
    <col min="12046" max="12046" width="11.5546875" style="121" bestFit="1" customWidth="1"/>
    <col min="12047" max="12047" width="9.33203125" style="121" bestFit="1" customWidth="1"/>
    <col min="12048" max="12048" width="11.5546875" style="121" bestFit="1" customWidth="1"/>
    <col min="12049" max="12049" width="9.33203125" style="121" bestFit="1" customWidth="1"/>
    <col min="12050" max="12050" width="11.5546875" style="121" bestFit="1" customWidth="1"/>
    <col min="12051" max="12051" width="9.33203125" style="121" bestFit="1" customWidth="1"/>
    <col min="12052" max="12052" width="11.5546875" style="121" bestFit="1" customWidth="1"/>
    <col min="12053" max="12053" width="9.33203125" style="121" bestFit="1" customWidth="1"/>
    <col min="12054" max="12054" width="11.5546875" style="121" bestFit="1" customWidth="1"/>
    <col min="12055" max="12055" width="9.33203125" style="121" bestFit="1" customWidth="1"/>
    <col min="12056" max="12056" width="11.5546875" style="121" bestFit="1" customWidth="1"/>
    <col min="12057" max="12057" width="9.33203125" style="121" bestFit="1" customWidth="1"/>
    <col min="12058" max="12058" width="11.5546875" style="121" bestFit="1" customWidth="1"/>
    <col min="12059" max="12059" width="9.33203125" style="121" bestFit="1" customWidth="1"/>
    <col min="12060" max="12060" width="11.5546875" style="121" bestFit="1" customWidth="1"/>
    <col min="12061" max="12061" width="9.33203125" style="121" bestFit="1" customWidth="1"/>
    <col min="12062" max="12062" width="11.5546875" style="121" bestFit="1" customWidth="1"/>
    <col min="12063" max="12063" width="9.33203125" style="121" bestFit="1" customWidth="1"/>
    <col min="12064" max="12064" width="11.5546875" style="121" bestFit="1" customWidth="1"/>
    <col min="12065" max="12065" width="9.33203125" style="121" bestFit="1" customWidth="1"/>
    <col min="12066" max="12066" width="11.5546875" style="121" bestFit="1" customWidth="1"/>
    <col min="12067" max="12067" width="9.33203125" style="121" bestFit="1" customWidth="1"/>
    <col min="12068" max="12068" width="11.5546875" style="121" bestFit="1" customWidth="1"/>
    <col min="12069" max="12069" width="9.33203125" style="121" bestFit="1" customWidth="1"/>
    <col min="12070" max="12070" width="11.5546875" style="121" bestFit="1" customWidth="1"/>
    <col min="12071" max="12071" width="9.33203125" style="121" bestFit="1" customWidth="1"/>
    <col min="12072" max="12072" width="11.5546875" style="121" bestFit="1" customWidth="1"/>
    <col min="12073" max="12073" width="9.33203125" style="121" bestFit="1" customWidth="1"/>
    <col min="12074" max="12074" width="11.5546875" style="121" bestFit="1" customWidth="1"/>
    <col min="12075" max="12075" width="9.33203125" style="121" bestFit="1" customWidth="1"/>
    <col min="12076" max="12076" width="11.5546875" style="121" bestFit="1" customWidth="1"/>
    <col min="12077" max="12077" width="9.33203125" style="121" bestFit="1" customWidth="1"/>
    <col min="12078" max="12078" width="11.5546875" style="121" bestFit="1" customWidth="1"/>
    <col min="12079" max="12079" width="9.33203125" style="121" bestFit="1" customWidth="1"/>
    <col min="12080" max="12080" width="11.5546875" style="121" bestFit="1" customWidth="1"/>
    <col min="12081" max="12081" width="9.33203125" style="121" bestFit="1" customWidth="1"/>
    <col min="12082" max="12082" width="11.5546875" style="121" bestFit="1" customWidth="1"/>
    <col min="12083" max="12083" width="9.33203125" style="121" bestFit="1" customWidth="1"/>
    <col min="12084" max="12290" width="9.109375" style="121"/>
    <col min="12291" max="12291" width="29.44140625" style="121" bestFit="1" customWidth="1"/>
    <col min="12292" max="12292" width="11.5546875" style="121" bestFit="1" customWidth="1"/>
    <col min="12293" max="12293" width="9.33203125" style="121" bestFit="1" customWidth="1"/>
    <col min="12294" max="12294" width="11.5546875" style="121" bestFit="1" customWidth="1"/>
    <col min="12295" max="12295" width="9.33203125" style="121" bestFit="1" customWidth="1"/>
    <col min="12296" max="12296" width="11.5546875" style="121" bestFit="1" customWidth="1"/>
    <col min="12297" max="12297" width="9.33203125" style="121" bestFit="1" customWidth="1"/>
    <col min="12298" max="12298" width="11.5546875" style="121" bestFit="1" customWidth="1"/>
    <col min="12299" max="12299" width="9.33203125" style="121" bestFit="1" customWidth="1"/>
    <col min="12300" max="12300" width="11.5546875" style="121" bestFit="1" customWidth="1"/>
    <col min="12301" max="12301" width="9.33203125" style="121" bestFit="1" customWidth="1"/>
    <col min="12302" max="12302" width="11.5546875" style="121" bestFit="1" customWidth="1"/>
    <col min="12303" max="12303" width="9.33203125" style="121" bestFit="1" customWidth="1"/>
    <col min="12304" max="12304" width="11.5546875" style="121" bestFit="1" customWidth="1"/>
    <col min="12305" max="12305" width="9.33203125" style="121" bestFit="1" customWidth="1"/>
    <col min="12306" max="12306" width="11.5546875" style="121" bestFit="1" customWidth="1"/>
    <col min="12307" max="12307" width="9.33203125" style="121" bestFit="1" customWidth="1"/>
    <col min="12308" max="12308" width="11.5546875" style="121" bestFit="1" customWidth="1"/>
    <col min="12309" max="12309" width="9.33203125" style="121" bestFit="1" customWidth="1"/>
    <col min="12310" max="12310" width="11.5546875" style="121" bestFit="1" customWidth="1"/>
    <col min="12311" max="12311" width="9.33203125" style="121" bestFit="1" customWidth="1"/>
    <col min="12312" max="12312" width="11.5546875" style="121" bestFit="1" customWidth="1"/>
    <col min="12313" max="12313" width="9.33203125" style="121" bestFit="1" customWidth="1"/>
    <col min="12314" max="12314" width="11.5546875" style="121" bestFit="1" customWidth="1"/>
    <col min="12315" max="12315" width="9.33203125" style="121" bestFit="1" customWidth="1"/>
    <col min="12316" max="12316" width="11.5546875" style="121" bestFit="1" customWidth="1"/>
    <col min="12317" max="12317" width="9.33203125" style="121" bestFit="1" customWidth="1"/>
    <col min="12318" max="12318" width="11.5546875" style="121" bestFit="1" customWidth="1"/>
    <col min="12319" max="12319" width="9.33203125" style="121" bestFit="1" customWidth="1"/>
    <col min="12320" max="12320" width="11.5546875" style="121" bestFit="1" customWidth="1"/>
    <col min="12321" max="12321" width="9.33203125" style="121" bestFit="1" customWidth="1"/>
    <col min="12322" max="12322" width="11.5546875" style="121" bestFit="1" customWidth="1"/>
    <col min="12323" max="12323" width="9.33203125" style="121" bestFit="1" customWidth="1"/>
    <col min="12324" max="12324" width="11.5546875" style="121" bestFit="1" customWidth="1"/>
    <col min="12325" max="12325" width="9.33203125" style="121" bestFit="1" customWidth="1"/>
    <col min="12326" max="12326" width="11.5546875" style="121" bestFit="1" customWidth="1"/>
    <col min="12327" max="12327" width="9.33203125" style="121" bestFit="1" customWidth="1"/>
    <col min="12328" max="12328" width="11.5546875" style="121" bestFit="1" customWidth="1"/>
    <col min="12329" max="12329" width="9.33203125" style="121" bestFit="1" customWidth="1"/>
    <col min="12330" max="12330" width="11.5546875" style="121" bestFit="1" customWidth="1"/>
    <col min="12331" max="12331" width="9.33203125" style="121" bestFit="1" customWidth="1"/>
    <col min="12332" max="12332" width="11.5546875" style="121" bestFit="1" customWidth="1"/>
    <col min="12333" max="12333" width="9.33203125" style="121" bestFit="1" customWidth="1"/>
    <col min="12334" max="12334" width="11.5546875" style="121" bestFit="1" customWidth="1"/>
    <col min="12335" max="12335" width="9.33203125" style="121" bestFit="1" customWidth="1"/>
    <col min="12336" max="12336" width="11.5546875" style="121" bestFit="1" customWidth="1"/>
    <col min="12337" max="12337" width="9.33203125" style="121" bestFit="1" customWidth="1"/>
    <col min="12338" max="12338" width="11.5546875" style="121" bestFit="1" customWidth="1"/>
    <col min="12339" max="12339" width="9.33203125" style="121" bestFit="1" customWidth="1"/>
    <col min="12340" max="12546" width="9.109375" style="121"/>
    <col min="12547" max="12547" width="29.44140625" style="121" bestFit="1" customWidth="1"/>
    <col min="12548" max="12548" width="11.5546875" style="121" bestFit="1" customWidth="1"/>
    <col min="12549" max="12549" width="9.33203125" style="121" bestFit="1" customWidth="1"/>
    <col min="12550" max="12550" width="11.5546875" style="121" bestFit="1" customWidth="1"/>
    <col min="12551" max="12551" width="9.33203125" style="121" bestFit="1" customWidth="1"/>
    <col min="12552" max="12552" width="11.5546875" style="121" bestFit="1" customWidth="1"/>
    <col min="12553" max="12553" width="9.33203125" style="121" bestFit="1" customWidth="1"/>
    <col min="12554" max="12554" width="11.5546875" style="121" bestFit="1" customWidth="1"/>
    <col min="12555" max="12555" width="9.33203125" style="121" bestFit="1" customWidth="1"/>
    <col min="12556" max="12556" width="11.5546875" style="121" bestFit="1" customWidth="1"/>
    <col min="12557" max="12557" width="9.33203125" style="121" bestFit="1" customWidth="1"/>
    <col min="12558" max="12558" width="11.5546875" style="121" bestFit="1" customWidth="1"/>
    <col min="12559" max="12559" width="9.33203125" style="121" bestFit="1" customWidth="1"/>
    <col min="12560" max="12560" width="11.5546875" style="121" bestFit="1" customWidth="1"/>
    <col min="12561" max="12561" width="9.33203125" style="121" bestFit="1" customWidth="1"/>
    <col min="12562" max="12562" width="11.5546875" style="121" bestFit="1" customWidth="1"/>
    <col min="12563" max="12563" width="9.33203125" style="121" bestFit="1" customWidth="1"/>
    <col min="12564" max="12564" width="11.5546875" style="121" bestFit="1" customWidth="1"/>
    <col min="12565" max="12565" width="9.33203125" style="121" bestFit="1" customWidth="1"/>
    <col min="12566" max="12566" width="11.5546875" style="121" bestFit="1" customWidth="1"/>
    <col min="12567" max="12567" width="9.33203125" style="121" bestFit="1" customWidth="1"/>
    <col min="12568" max="12568" width="11.5546875" style="121" bestFit="1" customWidth="1"/>
    <col min="12569" max="12569" width="9.33203125" style="121" bestFit="1" customWidth="1"/>
    <col min="12570" max="12570" width="11.5546875" style="121" bestFit="1" customWidth="1"/>
    <col min="12571" max="12571" width="9.33203125" style="121" bestFit="1" customWidth="1"/>
    <col min="12572" max="12572" width="11.5546875" style="121" bestFit="1" customWidth="1"/>
    <col min="12573" max="12573" width="9.33203125" style="121" bestFit="1" customWidth="1"/>
    <col min="12574" max="12574" width="11.5546875" style="121" bestFit="1" customWidth="1"/>
    <col min="12575" max="12575" width="9.33203125" style="121" bestFit="1" customWidth="1"/>
    <col min="12576" max="12576" width="11.5546875" style="121" bestFit="1" customWidth="1"/>
    <col min="12577" max="12577" width="9.33203125" style="121" bestFit="1" customWidth="1"/>
    <col min="12578" max="12578" width="11.5546875" style="121" bestFit="1" customWidth="1"/>
    <col min="12579" max="12579" width="9.33203125" style="121" bestFit="1" customWidth="1"/>
    <col min="12580" max="12580" width="11.5546875" style="121" bestFit="1" customWidth="1"/>
    <col min="12581" max="12581" width="9.33203125" style="121" bestFit="1" customWidth="1"/>
    <col min="12582" max="12582" width="11.5546875" style="121" bestFit="1" customWidth="1"/>
    <col min="12583" max="12583" width="9.33203125" style="121" bestFit="1" customWidth="1"/>
    <col min="12584" max="12584" width="11.5546875" style="121" bestFit="1" customWidth="1"/>
    <col min="12585" max="12585" width="9.33203125" style="121" bestFit="1" customWidth="1"/>
    <col min="12586" max="12586" width="11.5546875" style="121" bestFit="1" customWidth="1"/>
    <col min="12587" max="12587" width="9.33203125" style="121" bestFit="1" customWidth="1"/>
    <col min="12588" max="12588" width="11.5546875" style="121" bestFit="1" customWidth="1"/>
    <col min="12589" max="12589" width="9.33203125" style="121" bestFit="1" customWidth="1"/>
    <col min="12590" max="12590" width="11.5546875" style="121" bestFit="1" customWidth="1"/>
    <col min="12591" max="12591" width="9.33203125" style="121" bestFit="1" customWidth="1"/>
    <col min="12592" max="12592" width="11.5546875" style="121" bestFit="1" customWidth="1"/>
    <col min="12593" max="12593" width="9.33203125" style="121" bestFit="1" customWidth="1"/>
    <col min="12594" max="12594" width="11.5546875" style="121" bestFit="1" customWidth="1"/>
    <col min="12595" max="12595" width="9.33203125" style="121" bestFit="1" customWidth="1"/>
    <col min="12596" max="12802" width="9.109375" style="121"/>
    <col min="12803" max="12803" width="29.44140625" style="121" bestFit="1" customWidth="1"/>
    <col min="12804" max="12804" width="11.5546875" style="121" bestFit="1" customWidth="1"/>
    <col min="12805" max="12805" width="9.33203125" style="121" bestFit="1" customWidth="1"/>
    <col min="12806" max="12806" width="11.5546875" style="121" bestFit="1" customWidth="1"/>
    <col min="12807" max="12807" width="9.33203125" style="121" bestFit="1" customWidth="1"/>
    <col min="12808" max="12808" width="11.5546875" style="121" bestFit="1" customWidth="1"/>
    <col min="12809" max="12809" width="9.33203125" style="121" bestFit="1" customWidth="1"/>
    <col min="12810" max="12810" width="11.5546875" style="121" bestFit="1" customWidth="1"/>
    <col min="12811" max="12811" width="9.33203125" style="121" bestFit="1" customWidth="1"/>
    <col min="12812" max="12812" width="11.5546875" style="121" bestFit="1" customWidth="1"/>
    <col min="12813" max="12813" width="9.33203125" style="121" bestFit="1" customWidth="1"/>
    <col min="12814" max="12814" width="11.5546875" style="121" bestFit="1" customWidth="1"/>
    <col min="12815" max="12815" width="9.33203125" style="121" bestFit="1" customWidth="1"/>
    <col min="12816" max="12816" width="11.5546875" style="121" bestFit="1" customWidth="1"/>
    <col min="12817" max="12817" width="9.33203125" style="121" bestFit="1" customWidth="1"/>
    <col min="12818" max="12818" width="11.5546875" style="121" bestFit="1" customWidth="1"/>
    <col min="12819" max="12819" width="9.33203125" style="121" bestFit="1" customWidth="1"/>
    <col min="12820" max="12820" width="11.5546875" style="121" bestFit="1" customWidth="1"/>
    <col min="12821" max="12821" width="9.33203125" style="121" bestFit="1" customWidth="1"/>
    <col min="12822" max="12822" width="11.5546875" style="121" bestFit="1" customWidth="1"/>
    <col min="12823" max="12823" width="9.33203125" style="121" bestFit="1" customWidth="1"/>
    <col min="12824" max="12824" width="11.5546875" style="121" bestFit="1" customWidth="1"/>
    <col min="12825" max="12825" width="9.33203125" style="121" bestFit="1" customWidth="1"/>
    <col min="12826" max="12826" width="11.5546875" style="121" bestFit="1" customWidth="1"/>
    <col min="12827" max="12827" width="9.33203125" style="121" bestFit="1" customWidth="1"/>
    <col min="12828" max="12828" width="11.5546875" style="121" bestFit="1" customWidth="1"/>
    <col min="12829" max="12829" width="9.33203125" style="121" bestFit="1" customWidth="1"/>
    <col min="12830" max="12830" width="11.5546875" style="121" bestFit="1" customWidth="1"/>
    <col min="12831" max="12831" width="9.33203125" style="121" bestFit="1" customWidth="1"/>
    <col min="12832" max="12832" width="11.5546875" style="121" bestFit="1" customWidth="1"/>
    <col min="12833" max="12833" width="9.33203125" style="121" bestFit="1" customWidth="1"/>
    <col min="12834" max="12834" width="11.5546875" style="121" bestFit="1" customWidth="1"/>
    <col min="12835" max="12835" width="9.33203125" style="121" bestFit="1" customWidth="1"/>
    <col min="12836" max="12836" width="11.5546875" style="121" bestFit="1" customWidth="1"/>
    <col min="12837" max="12837" width="9.33203125" style="121" bestFit="1" customWidth="1"/>
    <col min="12838" max="12838" width="11.5546875" style="121" bestFit="1" customWidth="1"/>
    <col min="12839" max="12839" width="9.33203125" style="121" bestFit="1" customWidth="1"/>
    <col min="12840" max="12840" width="11.5546875" style="121" bestFit="1" customWidth="1"/>
    <col min="12841" max="12841" width="9.33203125" style="121" bestFit="1" customWidth="1"/>
    <col min="12842" max="12842" width="11.5546875" style="121" bestFit="1" customWidth="1"/>
    <col min="12843" max="12843" width="9.33203125" style="121" bestFit="1" customWidth="1"/>
    <col min="12844" max="12844" width="11.5546875" style="121" bestFit="1" customWidth="1"/>
    <col min="12845" max="12845" width="9.33203125" style="121" bestFit="1" customWidth="1"/>
    <col min="12846" max="12846" width="11.5546875" style="121" bestFit="1" customWidth="1"/>
    <col min="12847" max="12847" width="9.33203125" style="121" bestFit="1" customWidth="1"/>
    <col min="12848" max="12848" width="11.5546875" style="121" bestFit="1" customWidth="1"/>
    <col min="12849" max="12849" width="9.33203125" style="121" bestFit="1" customWidth="1"/>
    <col min="12850" max="12850" width="11.5546875" style="121" bestFit="1" customWidth="1"/>
    <col min="12851" max="12851" width="9.33203125" style="121" bestFit="1" customWidth="1"/>
    <col min="12852" max="13058" width="9.109375" style="121"/>
    <col min="13059" max="13059" width="29.44140625" style="121" bestFit="1" customWidth="1"/>
    <col min="13060" max="13060" width="11.5546875" style="121" bestFit="1" customWidth="1"/>
    <col min="13061" max="13061" width="9.33203125" style="121" bestFit="1" customWidth="1"/>
    <col min="13062" max="13062" width="11.5546875" style="121" bestFit="1" customWidth="1"/>
    <col min="13063" max="13063" width="9.33203125" style="121" bestFit="1" customWidth="1"/>
    <col min="13064" max="13064" width="11.5546875" style="121" bestFit="1" customWidth="1"/>
    <col min="13065" max="13065" width="9.33203125" style="121" bestFit="1" customWidth="1"/>
    <col min="13066" max="13066" width="11.5546875" style="121" bestFit="1" customWidth="1"/>
    <col min="13067" max="13067" width="9.33203125" style="121" bestFit="1" customWidth="1"/>
    <col min="13068" max="13068" width="11.5546875" style="121" bestFit="1" customWidth="1"/>
    <col min="13069" max="13069" width="9.33203125" style="121" bestFit="1" customWidth="1"/>
    <col min="13070" max="13070" width="11.5546875" style="121" bestFit="1" customWidth="1"/>
    <col min="13071" max="13071" width="9.33203125" style="121" bestFit="1" customWidth="1"/>
    <col min="13072" max="13072" width="11.5546875" style="121" bestFit="1" customWidth="1"/>
    <col min="13073" max="13073" width="9.33203125" style="121" bestFit="1" customWidth="1"/>
    <col min="13074" max="13074" width="11.5546875" style="121" bestFit="1" customWidth="1"/>
    <col min="13075" max="13075" width="9.33203125" style="121" bestFit="1" customWidth="1"/>
    <col min="13076" max="13076" width="11.5546875" style="121" bestFit="1" customWidth="1"/>
    <col min="13077" max="13077" width="9.33203125" style="121" bestFit="1" customWidth="1"/>
    <col min="13078" max="13078" width="11.5546875" style="121" bestFit="1" customWidth="1"/>
    <col min="13079" max="13079" width="9.33203125" style="121" bestFit="1" customWidth="1"/>
    <col min="13080" max="13080" width="11.5546875" style="121" bestFit="1" customWidth="1"/>
    <col min="13081" max="13081" width="9.33203125" style="121" bestFit="1" customWidth="1"/>
    <col min="13082" max="13082" width="11.5546875" style="121" bestFit="1" customWidth="1"/>
    <col min="13083" max="13083" width="9.33203125" style="121" bestFit="1" customWidth="1"/>
    <col min="13084" max="13084" width="11.5546875" style="121" bestFit="1" customWidth="1"/>
    <col min="13085" max="13085" width="9.33203125" style="121" bestFit="1" customWidth="1"/>
    <col min="13086" max="13086" width="11.5546875" style="121" bestFit="1" customWidth="1"/>
    <col min="13087" max="13087" width="9.33203125" style="121" bestFit="1" customWidth="1"/>
    <col min="13088" max="13088" width="11.5546875" style="121" bestFit="1" customWidth="1"/>
    <col min="13089" max="13089" width="9.33203125" style="121" bestFit="1" customWidth="1"/>
    <col min="13090" max="13090" width="11.5546875" style="121" bestFit="1" customWidth="1"/>
    <col min="13091" max="13091" width="9.33203125" style="121" bestFit="1" customWidth="1"/>
    <col min="13092" max="13092" width="11.5546875" style="121" bestFit="1" customWidth="1"/>
    <col min="13093" max="13093" width="9.33203125" style="121" bestFit="1" customWidth="1"/>
    <col min="13094" max="13094" width="11.5546875" style="121" bestFit="1" customWidth="1"/>
    <col min="13095" max="13095" width="9.33203125" style="121" bestFit="1" customWidth="1"/>
    <col min="13096" max="13096" width="11.5546875" style="121" bestFit="1" customWidth="1"/>
    <col min="13097" max="13097" width="9.33203125" style="121" bestFit="1" customWidth="1"/>
    <col min="13098" max="13098" width="11.5546875" style="121" bestFit="1" customWidth="1"/>
    <col min="13099" max="13099" width="9.33203125" style="121" bestFit="1" customWidth="1"/>
    <col min="13100" max="13100" width="11.5546875" style="121" bestFit="1" customWidth="1"/>
    <col min="13101" max="13101" width="9.33203125" style="121" bestFit="1" customWidth="1"/>
    <col min="13102" max="13102" width="11.5546875" style="121" bestFit="1" customWidth="1"/>
    <col min="13103" max="13103" width="9.33203125" style="121" bestFit="1" customWidth="1"/>
    <col min="13104" max="13104" width="11.5546875" style="121" bestFit="1" customWidth="1"/>
    <col min="13105" max="13105" width="9.33203125" style="121" bestFit="1" customWidth="1"/>
    <col min="13106" max="13106" width="11.5546875" style="121" bestFit="1" customWidth="1"/>
    <col min="13107" max="13107" width="9.33203125" style="121" bestFit="1" customWidth="1"/>
    <col min="13108" max="13314" width="9.109375" style="121"/>
    <col min="13315" max="13315" width="29.44140625" style="121" bestFit="1" customWidth="1"/>
    <col min="13316" max="13316" width="11.5546875" style="121" bestFit="1" customWidth="1"/>
    <col min="13317" max="13317" width="9.33203125" style="121" bestFit="1" customWidth="1"/>
    <col min="13318" max="13318" width="11.5546875" style="121" bestFit="1" customWidth="1"/>
    <col min="13319" max="13319" width="9.33203125" style="121" bestFit="1" customWidth="1"/>
    <col min="13320" max="13320" width="11.5546875" style="121" bestFit="1" customWidth="1"/>
    <col min="13321" max="13321" width="9.33203125" style="121" bestFit="1" customWidth="1"/>
    <col min="13322" max="13322" width="11.5546875" style="121" bestFit="1" customWidth="1"/>
    <col min="13323" max="13323" width="9.33203125" style="121" bestFit="1" customWidth="1"/>
    <col min="13324" max="13324" width="11.5546875" style="121" bestFit="1" customWidth="1"/>
    <col min="13325" max="13325" width="9.33203125" style="121" bestFit="1" customWidth="1"/>
    <col min="13326" max="13326" width="11.5546875" style="121" bestFit="1" customWidth="1"/>
    <col min="13327" max="13327" width="9.33203125" style="121" bestFit="1" customWidth="1"/>
    <col min="13328" max="13328" width="11.5546875" style="121" bestFit="1" customWidth="1"/>
    <col min="13329" max="13329" width="9.33203125" style="121" bestFit="1" customWidth="1"/>
    <col min="13330" max="13330" width="11.5546875" style="121" bestFit="1" customWidth="1"/>
    <col min="13331" max="13331" width="9.33203125" style="121" bestFit="1" customWidth="1"/>
    <col min="13332" max="13332" width="11.5546875" style="121" bestFit="1" customWidth="1"/>
    <col min="13333" max="13333" width="9.33203125" style="121" bestFit="1" customWidth="1"/>
    <col min="13334" max="13334" width="11.5546875" style="121" bestFit="1" customWidth="1"/>
    <col min="13335" max="13335" width="9.33203125" style="121" bestFit="1" customWidth="1"/>
    <col min="13336" max="13336" width="11.5546875" style="121" bestFit="1" customWidth="1"/>
    <col min="13337" max="13337" width="9.33203125" style="121" bestFit="1" customWidth="1"/>
    <col min="13338" max="13338" width="11.5546875" style="121" bestFit="1" customWidth="1"/>
    <col min="13339" max="13339" width="9.33203125" style="121" bestFit="1" customWidth="1"/>
    <col min="13340" max="13340" width="11.5546875" style="121" bestFit="1" customWidth="1"/>
    <col min="13341" max="13341" width="9.33203125" style="121" bestFit="1" customWidth="1"/>
    <col min="13342" max="13342" width="11.5546875" style="121" bestFit="1" customWidth="1"/>
    <col min="13343" max="13343" width="9.33203125" style="121" bestFit="1" customWidth="1"/>
    <col min="13344" max="13344" width="11.5546875" style="121" bestFit="1" customWidth="1"/>
    <col min="13345" max="13345" width="9.33203125" style="121" bestFit="1" customWidth="1"/>
    <col min="13346" max="13346" width="11.5546875" style="121" bestFit="1" customWidth="1"/>
    <col min="13347" max="13347" width="9.33203125" style="121" bestFit="1" customWidth="1"/>
    <col min="13348" max="13348" width="11.5546875" style="121" bestFit="1" customWidth="1"/>
    <col min="13349" max="13349" width="9.33203125" style="121" bestFit="1" customWidth="1"/>
    <col min="13350" max="13350" width="11.5546875" style="121" bestFit="1" customWidth="1"/>
    <col min="13351" max="13351" width="9.33203125" style="121" bestFit="1" customWidth="1"/>
    <col min="13352" max="13352" width="11.5546875" style="121" bestFit="1" customWidth="1"/>
    <col min="13353" max="13353" width="9.33203125" style="121" bestFit="1" customWidth="1"/>
    <col min="13354" max="13354" width="11.5546875" style="121" bestFit="1" customWidth="1"/>
    <col min="13355" max="13355" width="9.33203125" style="121" bestFit="1" customWidth="1"/>
    <col min="13356" max="13356" width="11.5546875" style="121" bestFit="1" customWidth="1"/>
    <col min="13357" max="13357" width="9.33203125" style="121" bestFit="1" customWidth="1"/>
    <col min="13358" max="13358" width="11.5546875" style="121" bestFit="1" customWidth="1"/>
    <col min="13359" max="13359" width="9.33203125" style="121" bestFit="1" customWidth="1"/>
    <col min="13360" max="13360" width="11.5546875" style="121" bestFit="1" customWidth="1"/>
    <col min="13361" max="13361" width="9.33203125" style="121" bestFit="1" customWidth="1"/>
    <col min="13362" max="13362" width="11.5546875" style="121" bestFit="1" customWidth="1"/>
    <col min="13363" max="13363" width="9.33203125" style="121" bestFit="1" customWidth="1"/>
    <col min="13364" max="13570" width="9.109375" style="121"/>
    <col min="13571" max="13571" width="29.44140625" style="121" bestFit="1" customWidth="1"/>
    <col min="13572" max="13572" width="11.5546875" style="121" bestFit="1" customWidth="1"/>
    <col min="13573" max="13573" width="9.33203125" style="121" bestFit="1" customWidth="1"/>
    <col min="13574" max="13574" width="11.5546875" style="121" bestFit="1" customWidth="1"/>
    <col min="13575" max="13575" width="9.33203125" style="121" bestFit="1" customWidth="1"/>
    <col min="13576" max="13576" width="11.5546875" style="121" bestFit="1" customWidth="1"/>
    <col min="13577" max="13577" width="9.33203125" style="121" bestFit="1" customWidth="1"/>
    <col min="13578" max="13578" width="11.5546875" style="121" bestFit="1" customWidth="1"/>
    <col min="13579" max="13579" width="9.33203125" style="121" bestFit="1" customWidth="1"/>
    <col min="13580" max="13580" width="11.5546875" style="121" bestFit="1" customWidth="1"/>
    <col min="13581" max="13581" width="9.33203125" style="121" bestFit="1" customWidth="1"/>
    <col min="13582" max="13582" width="11.5546875" style="121" bestFit="1" customWidth="1"/>
    <col min="13583" max="13583" width="9.33203125" style="121" bestFit="1" customWidth="1"/>
    <col min="13584" max="13584" width="11.5546875" style="121" bestFit="1" customWidth="1"/>
    <col min="13585" max="13585" width="9.33203125" style="121" bestFit="1" customWidth="1"/>
    <col min="13586" max="13586" width="11.5546875" style="121" bestFit="1" customWidth="1"/>
    <col min="13587" max="13587" width="9.33203125" style="121" bestFit="1" customWidth="1"/>
    <col min="13588" max="13588" width="11.5546875" style="121" bestFit="1" customWidth="1"/>
    <col min="13589" max="13589" width="9.33203125" style="121" bestFit="1" customWidth="1"/>
    <col min="13590" max="13590" width="11.5546875" style="121" bestFit="1" customWidth="1"/>
    <col min="13591" max="13591" width="9.33203125" style="121" bestFit="1" customWidth="1"/>
    <col min="13592" max="13592" width="11.5546875" style="121" bestFit="1" customWidth="1"/>
    <col min="13593" max="13593" width="9.33203125" style="121" bestFit="1" customWidth="1"/>
    <col min="13594" max="13594" width="11.5546875" style="121" bestFit="1" customWidth="1"/>
    <col min="13595" max="13595" width="9.33203125" style="121" bestFit="1" customWidth="1"/>
    <col min="13596" max="13596" width="11.5546875" style="121" bestFit="1" customWidth="1"/>
    <col min="13597" max="13597" width="9.33203125" style="121" bestFit="1" customWidth="1"/>
    <col min="13598" max="13598" width="11.5546875" style="121" bestFit="1" customWidth="1"/>
    <col min="13599" max="13599" width="9.33203125" style="121" bestFit="1" customWidth="1"/>
    <col min="13600" max="13600" width="11.5546875" style="121" bestFit="1" customWidth="1"/>
    <col min="13601" max="13601" width="9.33203125" style="121" bestFit="1" customWidth="1"/>
    <col min="13602" max="13602" width="11.5546875" style="121" bestFit="1" customWidth="1"/>
    <col min="13603" max="13603" width="9.33203125" style="121" bestFit="1" customWidth="1"/>
    <col min="13604" max="13604" width="11.5546875" style="121" bestFit="1" customWidth="1"/>
    <col min="13605" max="13605" width="9.33203125" style="121" bestFit="1" customWidth="1"/>
    <col min="13606" max="13606" width="11.5546875" style="121" bestFit="1" customWidth="1"/>
    <col min="13607" max="13607" width="9.33203125" style="121" bestFit="1" customWidth="1"/>
    <col min="13608" max="13608" width="11.5546875" style="121" bestFit="1" customWidth="1"/>
    <col min="13609" max="13609" width="9.33203125" style="121" bestFit="1" customWidth="1"/>
    <col min="13610" max="13610" width="11.5546875" style="121" bestFit="1" customWidth="1"/>
    <col min="13611" max="13611" width="9.33203125" style="121" bestFit="1" customWidth="1"/>
    <col min="13612" max="13612" width="11.5546875" style="121" bestFit="1" customWidth="1"/>
    <col min="13613" max="13613" width="9.33203125" style="121" bestFit="1" customWidth="1"/>
    <col min="13614" max="13614" width="11.5546875" style="121" bestFit="1" customWidth="1"/>
    <col min="13615" max="13615" width="9.33203125" style="121" bestFit="1" customWidth="1"/>
    <col min="13616" max="13616" width="11.5546875" style="121" bestFit="1" customWidth="1"/>
    <col min="13617" max="13617" width="9.33203125" style="121" bestFit="1" customWidth="1"/>
    <col min="13618" max="13618" width="11.5546875" style="121" bestFit="1" customWidth="1"/>
    <col min="13619" max="13619" width="9.33203125" style="121" bestFit="1" customWidth="1"/>
    <col min="13620" max="13826" width="9.109375" style="121"/>
    <col min="13827" max="13827" width="29.44140625" style="121" bestFit="1" customWidth="1"/>
    <col min="13828" max="13828" width="11.5546875" style="121" bestFit="1" customWidth="1"/>
    <col min="13829" max="13829" width="9.33203125" style="121" bestFit="1" customWidth="1"/>
    <col min="13830" max="13830" width="11.5546875" style="121" bestFit="1" customWidth="1"/>
    <col min="13831" max="13831" width="9.33203125" style="121" bestFit="1" customWidth="1"/>
    <col min="13832" max="13832" width="11.5546875" style="121" bestFit="1" customWidth="1"/>
    <col min="13833" max="13833" width="9.33203125" style="121" bestFit="1" customWidth="1"/>
    <col min="13834" max="13834" width="11.5546875" style="121" bestFit="1" customWidth="1"/>
    <col min="13835" max="13835" width="9.33203125" style="121" bestFit="1" customWidth="1"/>
    <col min="13836" max="13836" width="11.5546875" style="121" bestFit="1" customWidth="1"/>
    <col min="13837" max="13837" width="9.33203125" style="121" bestFit="1" customWidth="1"/>
    <col min="13838" max="13838" width="11.5546875" style="121" bestFit="1" customWidth="1"/>
    <col min="13839" max="13839" width="9.33203125" style="121" bestFit="1" customWidth="1"/>
    <col min="13840" max="13840" width="11.5546875" style="121" bestFit="1" customWidth="1"/>
    <col min="13841" max="13841" width="9.33203125" style="121" bestFit="1" customWidth="1"/>
    <col min="13842" max="13842" width="11.5546875" style="121" bestFit="1" customWidth="1"/>
    <col min="13843" max="13843" width="9.33203125" style="121" bestFit="1" customWidth="1"/>
    <col min="13844" max="13844" width="11.5546875" style="121" bestFit="1" customWidth="1"/>
    <col min="13845" max="13845" width="9.33203125" style="121" bestFit="1" customWidth="1"/>
    <col min="13846" max="13846" width="11.5546875" style="121" bestFit="1" customWidth="1"/>
    <col min="13847" max="13847" width="9.33203125" style="121" bestFit="1" customWidth="1"/>
    <col min="13848" max="13848" width="11.5546875" style="121" bestFit="1" customWidth="1"/>
    <col min="13849" max="13849" width="9.33203125" style="121" bestFit="1" customWidth="1"/>
    <col min="13850" max="13850" width="11.5546875" style="121" bestFit="1" customWidth="1"/>
    <col min="13851" max="13851" width="9.33203125" style="121" bestFit="1" customWidth="1"/>
    <col min="13852" max="13852" width="11.5546875" style="121" bestFit="1" customWidth="1"/>
    <col min="13853" max="13853" width="9.33203125" style="121" bestFit="1" customWidth="1"/>
    <col min="13854" max="13854" width="11.5546875" style="121" bestFit="1" customWidth="1"/>
    <col min="13855" max="13855" width="9.33203125" style="121" bestFit="1" customWidth="1"/>
    <col min="13856" max="13856" width="11.5546875" style="121" bestFit="1" customWidth="1"/>
    <col min="13857" max="13857" width="9.33203125" style="121" bestFit="1" customWidth="1"/>
    <col min="13858" max="13858" width="11.5546875" style="121" bestFit="1" customWidth="1"/>
    <col min="13859" max="13859" width="9.33203125" style="121" bestFit="1" customWidth="1"/>
    <col min="13860" max="13860" width="11.5546875" style="121" bestFit="1" customWidth="1"/>
    <col min="13861" max="13861" width="9.33203125" style="121" bestFit="1" customWidth="1"/>
    <col min="13862" max="13862" width="11.5546875" style="121" bestFit="1" customWidth="1"/>
    <col min="13863" max="13863" width="9.33203125" style="121" bestFit="1" customWidth="1"/>
    <col min="13864" max="13864" width="11.5546875" style="121" bestFit="1" customWidth="1"/>
    <col min="13865" max="13865" width="9.33203125" style="121" bestFit="1" customWidth="1"/>
    <col min="13866" max="13866" width="11.5546875" style="121" bestFit="1" customWidth="1"/>
    <col min="13867" max="13867" width="9.33203125" style="121" bestFit="1" customWidth="1"/>
    <col min="13868" max="13868" width="11.5546875" style="121" bestFit="1" customWidth="1"/>
    <col min="13869" max="13869" width="9.33203125" style="121" bestFit="1" customWidth="1"/>
    <col min="13870" max="13870" width="11.5546875" style="121" bestFit="1" customWidth="1"/>
    <col min="13871" max="13871" width="9.33203125" style="121" bestFit="1" customWidth="1"/>
    <col min="13872" max="13872" width="11.5546875" style="121" bestFit="1" customWidth="1"/>
    <col min="13873" max="13873" width="9.33203125" style="121" bestFit="1" customWidth="1"/>
    <col min="13874" max="13874" width="11.5546875" style="121" bestFit="1" customWidth="1"/>
    <col min="13875" max="13875" width="9.33203125" style="121" bestFit="1" customWidth="1"/>
    <col min="13876" max="14082" width="9.109375" style="121"/>
    <col min="14083" max="14083" width="29.44140625" style="121" bestFit="1" customWidth="1"/>
    <col min="14084" max="14084" width="11.5546875" style="121" bestFit="1" customWidth="1"/>
    <col min="14085" max="14085" width="9.33203125" style="121" bestFit="1" customWidth="1"/>
    <col min="14086" max="14086" width="11.5546875" style="121" bestFit="1" customWidth="1"/>
    <col min="14087" max="14087" width="9.33203125" style="121" bestFit="1" customWidth="1"/>
    <col min="14088" max="14088" width="11.5546875" style="121" bestFit="1" customWidth="1"/>
    <col min="14089" max="14089" width="9.33203125" style="121" bestFit="1" customWidth="1"/>
    <col min="14090" max="14090" width="11.5546875" style="121" bestFit="1" customWidth="1"/>
    <col min="14091" max="14091" width="9.33203125" style="121" bestFit="1" customWidth="1"/>
    <col min="14092" max="14092" width="11.5546875" style="121" bestFit="1" customWidth="1"/>
    <col min="14093" max="14093" width="9.33203125" style="121" bestFit="1" customWidth="1"/>
    <col min="14094" max="14094" width="11.5546875" style="121" bestFit="1" customWidth="1"/>
    <col min="14095" max="14095" width="9.33203125" style="121" bestFit="1" customWidth="1"/>
    <col min="14096" max="14096" width="11.5546875" style="121" bestFit="1" customWidth="1"/>
    <col min="14097" max="14097" width="9.33203125" style="121" bestFit="1" customWidth="1"/>
    <col min="14098" max="14098" width="11.5546875" style="121" bestFit="1" customWidth="1"/>
    <col min="14099" max="14099" width="9.33203125" style="121" bestFit="1" customWidth="1"/>
    <col min="14100" max="14100" width="11.5546875" style="121" bestFit="1" customWidth="1"/>
    <col min="14101" max="14101" width="9.33203125" style="121" bestFit="1" customWidth="1"/>
    <col min="14102" max="14102" width="11.5546875" style="121" bestFit="1" customWidth="1"/>
    <col min="14103" max="14103" width="9.33203125" style="121" bestFit="1" customWidth="1"/>
    <col min="14104" max="14104" width="11.5546875" style="121" bestFit="1" customWidth="1"/>
    <col min="14105" max="14105" width="9.33203125" style="121" bestFit="1" customWidth="1"/>
    <col min="14106" max="14106" width="11.5546875" style="121" bestFit="1" customWidth="1"/>
    <col min="14107" max="14107" width="9.33203125" style="121" bestFit="1" customWidth="1"/>
    <col min="14108" max="14108" width="11.5546875" style="121" bestFit="1" customWidth="1"/>
    <col min="14109" max="14109" width="9.33203125" style="121" bestFit="1" customWidth="1"/>
    <col min="14110" max="14110" width="11.5546875" style="121" bestFit="1" customWidth="1"/>
    <col min="14111" max="14111" width="9.33203125" style="121" bestFit="1" customWidth="1"/>
    <col min="14112" max="14112" width="11.5546875" style="121" bestFit="1" customWidth="1"/>
    <col min="14113" max="14113" width="9.33203125" style="121" bestFit="1" customWidth="1"/>
    <col min="14114" max="14114" width="11.5546875" style="121" bestFit="1" customWidth="1"/>
    <col min="14115" max="14115" width="9.33203125" style="121" bestFit="1" customWidth="1"/>
    <col min="14116" max="14116" width="11.5546875" style="121" bestFit="1" customWidth="1"/>
    <col min="14117" max="14117" width="9.33203125" style="121" bestFit="1" customWidth="1"/>
    <col min="14118" max="14118" width="11.5546875" style="121" bestFit="1" customWidth="1"/>
    <col min="14119" max="14119" width="9.33203125" style="121" bestFit="1" customWidth="1"/>
    <col min="14120" max="14120" width="11.5546875" style="121" bestFit="1" customWidth="1"/>
    <col min="14121" max="14121" width="9.33203125" style="121" bestFit="1" customWidth="1"/>
    <col min="14122" max="14122" width="11.5546875" style="121" bestFit="1" customWidth="1"/>
    <col min="14123" max="14123" width="9.33203125" style="121" bestFit="1" customWidth="1"/>
    <col min="14124" max="14124" width="11.5546875" style="121" bestFit="1" customWidth="1"/>
    <col min="14125" max="14125" width="9.33203125" style="121" bestFit="1" customWidth="1"/>
    <col min="14126" max="14126" width="11.5546875" style="121" bestFit="1" customWidth="1"/>
    <col min="14127" max="14127" width="9.33203125" style="121" bestFit="1" customWidth="1"/>
    <col min="14128" max="14128" width="11.5546875" style="121" bestFit="1" customWidth="1"/>
    <col min="14129" max="14129" width="9.33203125" style="121" bestFit="1" customWidth="1"/>
    <col min="14130" max="14130" width="11.5546875" style="121" bestFit="1" customWidth="1"/>
    <col min="14131" max="14131" width="9.33203125" style="121" bestFit="1" customWidth="1"/>
    <col min="14132" max="14338" width="9.109375" style="121"/>
    <col min="14339" max="14339" width="29.44140625" style="121" bestFit="1" customWidth="1"/>
    <col min="14340" max="14340" width="11.5546875" style="121" bestFit="1" customWidth="1"/>
    <col min="14341" max="14341" width="9.33203125" style="121" bestFit="1" customWidth="1"/>
    <col min="14342" max="14342" width="11.5546875" style="121" bestFit="1" customWidth="1"/>
    <col min="14343" max="14343" width="9.33203125" style="121" bestFit="1" customWidth="1"/>
    <col min="14344" max="14344" width="11.5546875" style="121" bestFit="1" customWidth="1"/>
    <col min="14345" max="14345" width="9.33203125" style="121" bestFit="1" customWidth="1"/>
    <col min="14346" max="14346" width="11.5546875" style="121" bestFit="1" customWidth="1"/>
    <col min="14347" max="14347" width="9.33203125" style="121" bestFit="1" customWidth="1"/>
    <col min="14348" max="14348" width="11.5546875" style="121" bestFit="1" customWidth="1"/>
    <col min="14349" max="14349" width="9.33203125" style="121" bestFit="1" customWidth="1"/>
    <col min="14350" max="14350" width="11.5546875" style="121" bestFit="1" customWidth="1"/>
    <col min="14351" max="14351" width="9.33203125" style="121" bestFit="1" customWidth="1"/>
    <col min="14352" max="14352" width="11.5546875" style="121" bestFit="1" customWidth="1"/>
    <col min="14353" max="14353" width="9.33203125" style="121" bestFit="1" customWidth="1"/>
    <col min="14354" max="14354" width="11.5546875" style="121" bestFit="1" customWidth="1"/>
    <col min="14355" max="14355" width="9.33203125" style="121" bestFit="1" customWidth="1"/>
    <col min="14356" max="14356" width="11.5546875" style="121" bestFit="1" customWidth="1"/>
    <col min="14357" max="14357" width="9.33203125" style="121" bestFit="1" customWidth="1"/>
    <col min="14358" max="14358" width="11.5546875" style="121" bestFit="1" customWidth="1"/>
    <col min="14359" max="14359" width="9.33203125" style="121" bestFit="1" customWidth="1"/>
    <col min="14360" max="14360" width="11.5546875" style="121" bestFit="1" customWidth="1"/>
    <col min="14361" max="14361" width="9.33203125" style="121" bestFit="1" customWidth="1"/>
    <col min="14362" max="14362" width="11.5546875" style="121" bestFit="1" customWidth="1"/>
    <col min="14363" max="14363" width="9.33203125" style="121" bestFit="1" customWidth="1"/>
    <col min="14364" max="14364" width="11.5546875" style="121" bestFit="1" customWidth="1"/>
    <col min="14365" max="14365" width="9.33203125" style="121" bestFit="1" customWidth="1"/>
    <col min="14366" max="14366" width="11.5546875" style="121" bestFit="1" customWidth="1"/>
    <col min="14367" max="14367" width="9.33203125" style="121" bestFit="1" customWidth="1"/>
    <col min="14368" max="14368" width="11.5546875" style="121" bestFit="1" customWidth="1"/>
    <col min="14369" max="14369" width="9.33203125" style="121" bestFit="1" customWidth="1"/>
    <col min="14370" max="14370" width="11.5546875" style="121" bestFit="1" customWidth="1"/>
    <col min="14371" max="14371" width="9.33203125" style="121" bestFit="1" customWidth="1"/>
    <col min="14372" max="14372" width="11.5546875" style="121" bestFit="1" customWidth="1"/>
    <col min="14373" max="14373" width="9.33203125" style="121" bestFit="1" customWidth="1"/>
    <col min="14374" max="14374" width="11.5546875" style="121" bestFit="1" customWidth="1"/>
    <col min="14375" max="14375" width="9.33203125" style="121" bestFit="1" customWidth="1"/>
    <col min="14376" max="14376" width="11.5546875" style="121" bestFit="1" customWidth="1"/>
    <col min="14377" max="14377" width="9.33203125" style="121" bestFit="1" customWidth="1"/>
    <col min="14378" max="14378" width="11.5546875" style="121" bestFit="1" customWidth="1"/>
    <col min="14379" max="14379" width="9.33203125" style="121" bestFit="1" customWidth="1"/>
    <col min="14380" max="14380" width="11.5546875" style="121" bestFit="1" customWidth="1"/>
    <col min="14381" max="14381" width="9.33203125" style="121" bestFit="1" customWidth="1"/>
    <col min="14382" max="14382" width="11.5546875" style="121" bestFit="1" customWidth="1"/>
    <col min="14383" max="14383" width="9.33203125" style="121" bestFit="1" customWidth="1"/>
    <col min="14384" max="14384" width="11.5546875" style="121" bestFit="1" customWidth="1"/>
    <col min="14385" max="14385" width="9.33203125" style="121" bestFit="1" customWidth="1"/>
    <col min="14386" max="14386" width="11.5546875" style="121" bestFit="1" customWidth="1"/>
    <col min="14387" max="14387" width="9.33203125" style="121" bestFit="1" customWidth="1"/>
    <col min="14388" max="14594" width="9.109375" style="121"/>
    <col min="14595" max="14595" width="29.44140625" style="121" bestFit="1" customWidth="1"/>
    <col min="14596" max="14596" width="11.5546875" style="121" bestFit="1" customWidth="1"/>
    <col min="14597" max="14597" width="9.33203125" style="121" bestFit="1" customWidth="1"/>
    <col min="14598" max="14598" width="11.5546875" style="121" bestFit="1" customWidth="1"/>
    <col min="14599" max="14599" width="9.33203125" style="121" bestFit="1" customWidth="1"/>
    <col min="14600" max="14600" width="11.5546875" style="121" bestFit="1" customWidth="1"/>
    <col min="14601" max="14601" width="9.33203125" style="121" bestFit="1" customWidth="1"/>
    <col min="14602" max="14602" width="11.5546875" style="121" bestFit="1" customWidth="1"/>
    <col min="14603" max="14603" width="9.33203125" style="121" bestFit="1" customWidth="1"/>
    <col min="14604" max="14604" width="11.5546875" style="121" bestFit="1" customWidth="1"/>
    <col min="14605" max="14605" width="9.33203125" style="121" bestFit="1" customWidth="1"/>
    <col min="14606" max="14606" width="11.5546875" style="121" bestFit="1" customWidth="1"/>
    <col min="14607" max="14607" width="9.33203125" style="121" bestFit="1" customWidth="1"/>
    <col min="14608" max="14608" width="11.5546875" style="121" bestFit="1" customWidth="1"/>
    <col min="14609" max="14609" width="9.33203125" style="121" bestFit="1" customWidth="1"/>
    <col min="14610" max="14610" width="11.5546875" style="121" bestFit="1" customWidth="1"/>
    <col min="14611" max="14611" width="9.33203125" style="121" bestFit="1" customWidth="1"/>
    <col min="14612" max="14612" width="11.5546875" style="121" bestFit="1" customWidth="1"/>
    <col min="14613" max="14613" width="9.33203125" style="121" bestFit="1" customWidth="1"/>
    <col min="14614" max="14614" width="11.5546875" style="121" bestFit="1" customWidth="1"/>
    <col min="14615" max="14615" width="9.33203125" style="121" bestFit="1" customWidth="1"/>
    <col min="14616" max="14616" width="11.5546875" style="121" bestFit="1" customWidth="1"/>
    <col min="14617" max="14617" width="9.33203125" style="121" bestFit="1" customWidth="1"/>
    <col min="14618" max="14618" width="11.5546875" style="121" bestFit="1" customWidth="1"/>
    <col min="14619" max="14619" width="9.33203125" style="121" bestFit="1" customWidth="1"/>
    <col min="14620" max="14620" width="11.5546875" style="121" bestFit="1" customWidth="1"/>
    <col min="14621" max="14621" width="9.33203125" style="121" bestFit="1" customWidth="1"/>
    <col min="14622" max="14622" width="11.5546875" style="121" bestFit="1" customWidth="1"/>
    <col min="14623" max="14623" width="9.33203125" style="121" bestFit="1" customWidth="1"/>
    <col min="14624" max="14624" width="11.5546875" style="121" bestFit="1" customWidth="1"/>
    <col min="14625" max="14625" width="9.33203125" style="121" bestFit="1" customWidth="1"/>
    <col min="14626" max="14626" width="11.5546875" style="121" bestFit="1" customWidth="1"/>
    <col min="14627" max="14627" width="9.33203125" style="121" bestFit="1" customWidth="1"/>
    <col min="14628" max="14628" width="11.5546875" style="121" bestFit="1" customWidth="1"/>
    <col min="14629" max="14629" width="9.33203125" style="121" bestFit="1" customWidth="1"/>
    <col min="14630" max="14630" width="11.5546875" style="121" bestFit="1" customWidth="1"/>
    <col min="14631" max="14631" width="9.33203125" style="121" bestFit="1" customWidth="1"/>
    <col min="14632" max="14632" width="11.5546875" style="121" bestFit="1" customWidth="1"/>
    <col min="14633" max="14633" width="9.33203125" style="121" bestFit="1" customWidth="1"/>
    <col min="14634" max="14634" width="11.5546875" style="121" bestFit="1" customWidth="1"/>
    <col min="14635" max="14635" width="9.33203125" style="121" bestFit="1" customWidth="1"/>
    <col min="14636" max="14636" width="11.5546875" style="121" bestFit="1" customWidth="1"/>
    <col min="14637" max="14637" width="9.33203125" style="121" bestFit="1" customWidth="1"/>
    <col min="14638" max="14638" width="11.5546875" style="121" bestFit="1" customWidth="1"/>
    <col min="14639" max="14639" width="9.33203125" style="121" bestFit="1" customWidth="1"/>
    <col min="14640" max="14640" width="11.5546875" style="121" bestFit="1" customWidth="1"/>
    <col min="14641" max="14641" width="9.33203125" style="121" bestFit="1" customWidth="1"/>
    <col min="14642" max="14642" width="11.5546875" style="121" bestFit="1" customWidth="1"/>
    <col min="14643" max="14643" width="9.33203125" style="121" bestFit="1" customWidth="1"/>
    <col min="14644" max="14850" width="9.109375" style="121"/>
    <col min="14851" max="14851" width="29.44140625" style="121" bestFit="1" customWidth="1"/>
    <col min="14852" max="14852" width="11.5546875" style="121" bestFit="1" customWidth="1"/>
    <col min="14853" max="14853" width="9.33203125" style="121" bestFit="1" customWidth="1"/>
    <col min="14854" max="14854" width="11.5546875" style="121" bestFit="1" customWidth="1"/>
    <col min="14855" max="14855" width="9.33203125" style="121" bestFit="1" customWidth="1"/>
    <col min="14856" max="14856" width="11.5546875" style="121" bestFit="1" customWidth="1"/>
    <col min="14857" max="14857" width="9.33203125" style="121" bestFit="1" customWidth="1"/>
    <col min="14858" max="14858" width="11.5546875" style="121" bestFit="1" customWidth="1"/>
    <col min="14859" max="14859" width="9.33203125" style="121" bestFit="1" customWidth="1"/>
    <col min="14860" max="14860" width="11.5546875" style="121" bestFit="1" customWidth="1"/>
    <col min="14861" max="14861" width="9.33203125" style="121" bestFit="1" customWidth="1"/>
    <col min="14862" max="14862" width="11.5546875" style="121" bestFit="1" customWidth="1"/>
    <col min="14863" max="14863" width="9.33203125" style="121" bestFit="1" customWidth="1"/>
    <col min="14864" max="14864" width="11.5546875" style="121" bestFit="1" customWidth="1"/>
    <col min="14865" max="14865" width="9.33203125" style="121" bestFit="1" customWidth="1"/>
    <col min="14866" max="14866" width="11.5546875" style="121" bestFit="1" customWidth="1"/>
    <col min="14867" max="14867" width="9.33203125" style="121" bestFit="1" customWidth="1"/>
    <col min="14868" max="14868" width="11.5546875" style="121" bestFit="1" customWidth="1"/>
    <col min="14869" max="14869" width="9.33203125" style="121" bestFit="1" customWidth="1"/>
    <col min="14870" max="14870" width="11.5546875" style="121" bestFit="1" customWidth="1"/>
    <col min="14871" max="14871" width="9.33203125" style="121" bestFit="1" customWidth="1"/>
    <col min="14872" max="14872" width="11.5546875" style="121" bestFit="1" customWidth="1"/>
    <col min="14873" max="14873" width="9.33203125" style="121" bestFit="1" customWidth="1"/>
    <col min="14874" max="14874" width="11.5546875" style="121" bestFit="1" customWidth="1"/>
    <col min="14875" max="14875" width="9.33203125" style="121" bestFit="1" customWidth="1"/>
    <col min="14876" max="14876" width="11.5546875" style="121" bestFit="1" customWidth="1"/>
    <col min="14877" max="14877" width="9.33203125" style="121" bestFit="1" customWidth="1"/>
    <col min="14878" max="14878" width="11.5546875" style="121" bestFit="1" customWidth="1"/>
    <col min="14879" max="14879" width="9.33203125" style="121" bestFit="1" customWidth="1"/>
    <col min="14880" max="14880" width="11.5546875" style="121" bestFit="1" customWidth="1"/>
    <col min="14881" max="14881" width="9.33203125" style="121" bestFit="1" customWidth="1"/>
    <col min="14882" max="14882" width="11.5546875" style="121" bestFit="1" customWidth="1"/>
    <col min="14883" max="14883" width="9.33203125" style="121" bestFit="1" customWidth="1"/>
    <col min="14884" max="14884" width="11.5546875" style="121" bestFit="1" customWidth="1"/>
    <col min="14885" max="14885" width="9.33203125" style="121" bestFit="1" customWidth="1"/>
    <col min="14886" max="14886" width="11.5546875" style="121" bestFit="1" customWidth="1"/>
    <col min="14887" max="14887" width="9.33203125" style="121" bestFit="1" customWidth="1"/>
    <col min="14888" max="14888" width="11.5546875" style="121" bestFit="1" customWidth="1"/>
    <col min="14889" max="14889" width="9.33203125" style="121" bestFit="1" customWidth="1"/>
    <col min="14890" max="14890" width="11.5546875" style="121" bestFit="1" customWidth="1"/>
    <col min="14891" max="14891" width="9.33203125" style="121" bestFit="1" customWidth="1"/>
    <col min="14892" max="14892" width="11.5546875" style="121" bestFit="1" customWidth="1"/>
    <col min="14893" max="14893" width="9.33203125" style="121" bestFit="1" customWidth="1"/>
    <col min="14894" max="14894" width="11.5546875" style="121" bestFit="1" customWidth="1"/>
    <col min="14895" max="14895" width="9.33203125" style="121" bestFit="1" customWidth="1"/>
    <col min="14896" max="14896" width="11.5546875" style="121" bestFit="1" customWidth="1"/>
    <col min="14897" max="14897" width="9.33203125" style="121" bestFit="1" customWidth="1"/>
    <col min="14898" max="14898" width="11.5546875" style="121" bestFit="1" customWidth="1"/>
    <col min="14899" max="14899" width="9.33203125" style="121" bestFit="1" customWidth="1"/>
    <col min="14900" max="15106" width="9.109375" style="121"/>
    <col min="15107" max="15107" width="29.44140625" style="121" bestFit="1" customWidth="1"/>
    <col min="15108" max="15108" width="11.5546875" style="121" bestFit="1" customWidth="1"/>
    <col min="15109" max="15109" width="9.33203125" style="121" bestFit="1" customWidth="1"/>
    <col min="15110" max="15110" width="11.5546875" style="121" bestFit="1" customWidth="1"/>
    <col min="15111" max="15111" width="9.33203125" style="121" bestFit="1" customWidth="1"/>
    <col min="15112" max="15112" width="11.5546875" style="121" bestFit="1" customWidth="1"/>
    <col min="15113" max="15113" width="9.33203125" style="121" bestFit="1" customWidth="1"/>
    <col min="15114" max="15114" width="11.5546875" style="121" bestFit="1" customWidth="1"/>
    <col min="15115" max="15115" width="9.33203125" style="121" bestFit="1" customWidth="1"/>
    <col min="15116" max="15116" width="11.5546875" style="121" bestFit="1" customWidth="1"/>
    <col min="15117" max="15117" width="9.33203125" style="121" bestFit="1" customWidth="1"/>
    <col min="15118" max="15118" width="11.5546875" style="121" bestFit="1" customWidth="1"/>
    <col min="15119" max="15119" width="9.33203125" style="121" bestFit="1" customWidth="1"/>
    <col min="15120" max="15120" width="11.5546875" style="121" bestFit="1" customWidth="1"/>
    <col min="15121" max="15121" width="9.33203125" style="121" bestFit="1" customWidth="1"/>
    <col min="15122" max="15122" width="11.5546875" style="121" bestFit="1" customWidth="1"/>
    <col min="15123" max="15123" width="9.33203125" style="121" bestFit="1" customWidth="1"/>
    <col min="15124" max="15124" width="11.5546875" style="121" bestFit="1" customWidth="1"/>
    <col min="15125" max="15125" width="9.33203125" style="121" bestFit="1" customWidth="1"/>
    <col min="15126" max="15126" width="11.5546875" style="121" bestFit="1" customWidth="1"/>
    <col min="15127" max="15127" width="9.33203125" style="121" bestFit="1" customWidth="1"/>
    <col min="15128" max="15128" width="11.5546875" style="121" bestFit="1" customWidth="1"/>
    <col min="15129" max="15129" width="9.33203125" style="121" bestFit="1" customWidth="1"/>
    <col min="15130" max="15130" width="11.5546875" style="121" bestFit="1" customWidth="1"/>
    <col min="15131" max="15131" width="9.33203125" style="121" bestFit="1" customWidth="1"/>
    <col min="15132" max="15132" width="11.5546875" style="121" bestFit="1" customWidth="1"/>
    <col min="15133" max="15133" width="9.33203125" style="121" bestFit="1" customWidth="1"/>
    <col min="15134" max="15134" width="11.5546875" style="121" bestFit="1" customWidth="1"/>
    <col min="15135" max="15135" width="9.33203125" style="121" bestFit="1" customWidth="1"/>
    <col min="15136" max="15136" width="11.5546875" style="121" bestFit="1" customWidth="1"/>
    <col min="15137" max="15137" width="9.33203125" style="121" bestFit="1" customWidth="1"/>
    <col min="15138" max="15138" width="11.5546875" style="121" bestFit="1" customWidth="1"/>
    <col min="15139" max="15139" width="9.33203125" style="121" bestFit="1" customWidth="1"/>
    <col min="15140" max="15140" width="11.5546875" style="121" bestFit="1" customWidth="1"/>
    <col min="15141" max="15141" width="9.33203125" style="121" bestFit="1" customWidth="1"/>
    <col min="15142" max="15142" width="11.5546875" style="121" bestFit="1" customWidth="1"/>
    <col min="15143" max="15143" width="9.33203125" style="121" bestFit="1" customWidth="1"/>
    <col min="15144" max="15144" width="11.5546875" style="121" bestFit="1" customWidth="1"/>
    <col min="15145" max="15145" width="9.33203125" style="121" bestFit="1" customWidth="1"/>
    <col min="15146" max="15146" width="11.5546875" style="121" bestFit="1" customWidth="1"/>
    <col min="15147" max="15147" width="9.33203125" style="121" bestFit="1" customWidth="1"/>
    <col min="15148" max="15148" width="11.5546875" style="121" bestFit="1" customWidth="1"/>
    <col min="15149" max="15149" width="9.33203125" style="121" bestFit="1" customWidth="1"/>
    <col min="15150" max="15150" width="11.5546875" style="121" bestFit="1" customWidth="1"/>
    <col min="15151" max="15151" width="9.33203125" style="121" bestFit="1" customWidth="1"/>
    <col min="15152" max="15152" width="11.5546875" style="121" bestFit="1" customWidth="1"/>
    <col min="15153" max="15153" width="9.33203125" style="121" bestFit="1" customWidth="1"/>
    <col min="15154" max="15154" width="11.5546875" style="121" bestFit="1" customWidth="1"/>
    <col min="15155" max="15155" width="9.33203125" style="121" bestFit="1" customWidth="1"/>
    <col min="15156" max="15362" width="9.109375" style="121"/>
    <col min="15363" max="15363" width="29.44140625" style="121" bestFit="1" customWidth="1"/>
    <col min="15364" max="15364" width="11.5546875" style="121" bestFit="1" customWidth="1"/>
    <col min="15365" max="15365" width="9.33203125" style="121" bestFit="1" customWidth="1"/>
    <col min="15366" max="15366" width="11.5546875" style="121" bestFit="1" customWidth="1"/>
    <col min="15367" max="15367" width="9.33203125" style="121" bestFit="1" customWidth="1"/>
    <col min="15368" max="15368" width="11.5546875" style="121" bestFit="1" customWidth="1"/>
    <col min="15369" max="15369" width="9.33203125" style="121" bestFit="1" customWidth="1"/>
    <col min="15370" max="15370" width="11.5546875" style="121" bestFit="1" customWidth="1"/>
    <col min="15371" max="15371" width="9.33203125" style="121" bestFit="1" customWidth="1"/>
    <col min="15372" max="15372" width="11.5546875" style="121" bestFit="1" customWidth="1"/>
    <col min="15373" max="15373" width="9.33203125" style="121" bestFit="1" customWidth="1"/>
    <col min="15374" max="15374" width="11.5546875" style="121" bestFit="1" customWidth="1"/>
    <col min="15375" max="15375" width="9.33203125" style="121" bestFit="1" customWidth="1"/>
    <col min="15376" max="15376" width="11.5546875" style="121" bestFit="1" customWidth="1"/>
    <col min="15377" max="15377" width="9.33203125" style="121" bestFit="1" customWidth="1"/>
    <col min="15378" max="15378" width="11.5546875" style="121" bestFit="1" customWidth="1"/>
    <col min="15379" max="15379" width="9.33203125" style="121" bestFit="1" customWidth="1"/>
    <col min="15380" max="15380" width="11.5546875" style="121" bestFit="1" customWidth="1"/>
    <col min="15381" max="15381" width="9.33203125" style="121" bestFit="1" customWidth="1"/>
    <col min="15382" max="15382" width="11.5546875" style="121" bestFit="1" customWidth="1"/>
    <col min="15383" max="15383" width="9.33203125" style="121" bestFit="1" customWidth="1"/>
    <col min="15384" max="15384" width="11.5546875" style="121" bestFit="1" customWidth="1"/>
    <col min="15385" max="15385" width="9.33203125" style="121" bestFit="1" customWidth="1"/>
    <col min="15386" max="15386" width="11.5546875" style="121" bestFit="1" customWidth="1"/>
    <col min="15387" max="15387" width="9.33203125" style="121" bestFit="1" customWidth="1"/>
    <col min="15388" max="15388" width="11.5546875" style="121" bestFit="1" customWidth="1"/>
    <col min="15389" max="15389" width="9.33203125" style="121" bestFit="1" customWidth="1"/>
    <col min="15390" max="15390" width="11.5546875" style="121" bestFit="1" customWidth="1"/>
    <col min="15391" max="15391" width="9.33203125" style="121" bestFit="1" customWidth="1"/>
    <col min="15392" max="15392" width="11.5546875" style="121" bestFit="1" customWidth="1"/>
    <col min="15393" max="15393" width="9.33203125" style="121" bestFit="1" customWidth="1"/>
    <col min="15394" max="15394" width="11.5546875" style="121" bestFit="1" customWidth="1"/>
    <col min="15395" max="15395" width="9.33203125" style="121" bestFit="1" customWidth="1"/>
    <col min="15396" max="15396" width="11.5546875" style="121" bestFit="1" customWidth="1"/>
    <col min="15397" max="15397" width="9.33203125" style="121" bestFit="1" customWidth="1"/>
    <col min="15398" max="15398" width="11.5546875" style="121" bestFit="1" customWidth="1"/>
    <col min="15399" max="15399" width="9.33203125" style="121" bestFit="1" customWidth="1"/>
    <col min="15400" max="15400" width="11.5546875" style="121" bestFit="1" customWidth="1"/>
    <col min="15401" max="15401" width="9.33203125" style="121" bestFit="1" customWidth="1"/>
    <col min="15402" max="15402" width="11.5546875" style="121" bestFit="1" customWidth="1"/>
    <col min="15403" max="15403" width="9.33203125" style="121" bestFit="1" customWidth="1"/>
    <col min="15404" max="15404" width="11.5546875" style="121" bestFit="1" customWidth="1"/>
    <col min="15405" max="15405" width="9.33203125" style="121" bestFit="1" customWidth="1"/>
    <col min="15406" max="15406" width="11.5546875" style="121" bestFit="1" customWidth="1"/>
    <col min="15407" max="15407" width="9.33203125" style="121" bestFit="1" customWidth="1"/>
    <col min="15408" max="15408" width="11.5546875" style="121" bestFit="1" customWidth="1"/>
    <col min="15409" max="15409" width="9.33203125" style="121" bestFit="1" customWidth="1"/>
    <col min="15410" max="15410" width="11.5546875" style="121" bestFit="1" customWidth="1"/>
    <col min="15411" max="15411" width="9.33203125" style="121" bestFit="1" customWidth="1"/>
    <col min="15412" max="15618" width="9.109375" style="121"/>
    <col min="15619" max="15619" width="29.44140625" style="121" bestFit="1" customWidth="1"/>
    <col min="15620" max="15620" width="11.5546875" style="121" bestFit="1" customWidth="1"/>
    <col min="15621" max="15621" width="9.33203125" style="121" bestFit="1" customWidth="1"/>
    <col min="15622" max="15622" width="11.5546875" style="121" bestFit="1" customWidth="1"/>
    <col min="15623" max="15623" width="9.33203125" style="121" bestFit="1" customWidth="1"/>
    <col min="15624" max="15624" width="11.5546875" style="121" bestFit="1" customWidth="1"/>
    <col min="15625" max="15625" width="9.33203125" style="121" bestFit="1" customWidth="1"/>
    <col min="15626" max="15626" width="11.5546875" style="121" bestFit="1" customWidth="1"/>
    <col min="15627" max="15627" width="9.33203125" style="121" bestFit="1" customWidth="1"/>
    <col min="15628" max="15628" width="11.5546875" style="121" bestFit="1" customWidth="1"/>
    <col min="15629" max="15629" width="9.33203125" style="121" bestFit="1" customWidth="1"/>
    <col min="15630" max="15630" width="11.5546875" style="121" bestFit="1" customWidth="1"/>
    <col min="15631" max="15631" width="9.33203125" style="121" bestFit="1" customWidth="1"/>
    <col min="15632" max="15632" width="11.5546875" style="121" bestFit="1" customWidth="1"/>
    <col min="15633" max="15633" width="9.33203125" style="121" bestFit="1" customWidth="1"/>
    <col min="15634" max="15634" width="11.5546875" style="121" bestFit="1" customWidth="1"/>
    <col min="15635" max="15635" width="9.33203125" style="121" bestFit="1" customWidth="1"/>
    <col min="15636" max="15636" width="11.5546875" style="121" bestFit="1" customWidth="1"/>
    <col min="15637" max="15637" width="9.33203125" style="121" bestFit="1" customWidth="1"/>
    <col min="15638" max="15638" width="11.5546875" style="121" bestFit="1" customWidth="1"/>
    <col min="15639" max="15639" width="9.33203125" style="121" bestFit="1" customWidth="1"/>
    <col min="15640" max="15640" width="11.5546875" style="121" bestFit="1" customWidth="1"/>
    <col min="15641" max="15641" width="9.33203125" style="121" bestFit="1" customWidth="1"/>
    <col min="15642" max="15642" width="11.5546875" style="121" bestFit="1" customWidth="1"/>
    <col min="15643" max="15643" width="9.33203125" style="121" bestFit="1" customWidth="1"/>
    <col min="15644" max="15644" width="11.5546875" style="121" bestFit="1" customWidth="1"/>
    <col min="15645" max="15645" width="9.33203125" style="121" bestFit="1" customWidth="1"/>
    <col min="15646" max="15646" width="11.5546875" style="121" bestFit="1" customWidth="1"/>
    <col min="15647" max="15647" width="9.33203125" style="121" bestFit="1" customWidth="1"/>
    <col min="15648" max="15648" width="11.5546875" style="121" bestFit="1" customWidth="1"/>
    <col min="15649" max="15649" width="9.33203125" style="121" bestFit="1" customWidth="1"/>
    <col min="15650" max="15650" width="11.5546875" style="121" bestFit="1" customWidth="1"/>
    <col min="15651" max="15651" width="9.33203125" style="121" bestFit="1" customWidth="1"/>
    <col min="15652" max="15652" width="11.5546875" style="121" bestFit="1" customWidth="1"/>
    <col min="15653" max="15653" width="9.33203125" style="121" bestFit="1" customWidth="1"/>
    <col min="15654" max="15654" width="11.5546875" style="121" bestFit="1" customWidth="1"/>
    <col min="15655" max="15655" width="9.33203125" style="121" bestFit="1" customWidth="1"/>
    <col min="15656" max="15656" width="11.5546875" style="121" bestFit="1" customWidth="1"/>
    <col min="15657" max="15657" width="9.33203125" style="121" bestFit="1" customWidth="1"/>
    <col min="15658" max="15658" width="11.5546875" style="121" bestFit="1" customWidth="1"/>
    <col min="15659" max="15659" width="9.33203125" style="121" bestFit="1" customWidth="1"/>
    <col min="15660" max="15660" width="11.5546875" style="121" bestFit="1" customWidth="1"/>
    <col min="15661" max="15661" width="9.33203125" style="121" bestFit="1" customWidth="1"/>
    <col min="15662" max="15662" width="11.5546875" style="121" bestFit="1" customWidth="1"/>
    <col min="15663" max="15663" width="9.33203125" style="121" bestFit="1" customWidth="1"/>
    <col min="15664" max="15664" width="11.5546875" style="121" bestFit="1" customWidth="1"/>
    <col min="15665" max="15665" width="9.33203125" style="121" bestFit="1" customWidth="1"/>
    <col min="15666" max="15666" width="11.5546875" style="121" bestFit="1" customWidth="1"/>
    <col min="15667" max="15667" width="9.33203125" style="121" bestFit="1" customWidth="1"/>
    <col min="15668" max="15874" width="9.109375" style="121"/>
    <col min="15875" max="15875" width="29.44140625" style="121" bestFit="1" customWidth="1"/>
    <col min="15876" max="15876" width="11.5546875" style="121" bestFit="1" customWidth="1"/>
    <col min="15877" max="15877" width="9.33203125" style="121" bestFit="1" customWidth="1"/>
    <col min="15878" max="15878" width="11.5546875" style="121" bestFit="1" customWidth="1"/>
    <col min="15879" max="15879" width="9.33203125" style="121" bestFit="1" customWidth="1"/>
    <col min="15880" max="15880" width="11.5546875" style="121" bestFit="1" customWidth="1"/>
    <col min="15881" max="15881" width="9.33203125" style="121" bestFit="1" customWidth="1"/>
    <col min="15882" max="15882" width="11.5546875" style="121" bestFit="1" customWidth="1"/>
    <col min="15883" max="15883" width="9.33203125" style="121" bestFit="1" customWidth="1"/>
    <col min="15884" max="15884" width="11.5546875" style="121" bestFit="1" customWidth="1"/>
    <col min="15885" max="15885" width="9.33203125" style="121" bestFit="1" customWidth="1"/>
    <col min="15886" max="15886" width="11.5546875" style="121" bestFit="1" customWidth="1"/>
    <col min="15887" max="15887" width="9.33203125" style="121" bestFit="1" customWidth="1"/>
    <col min="15888" max="15888" width="11.5546875" style="121" bestFit="1" customWidth="1"/>
    <col min="15889" max="15889" width="9.33203125" style="121" bestFit="1" customWidth="1"/>
    <col min="15890" max="15890" width="11.5546875" style="121" bestFit="1" customWidth="1"/>
    <col min="15891" max="15891" width="9.33203125" style="121" bestFit="1" customWidth="1"/>
    <col min="15892" max="15892" width="11.5546875" style="121" bestFit="1" customWidth="1"/>
    <col min="15893" max="15893" width="9.33203125" style="121" bestFit="1" customWidth="1"/>
    <col min="15894" max="15894" width="11.5546875" style="121" bestFit="1" customWidth="1"/>
    <col min="15895" max="15895" width="9.33203125" style="121" bestFit="1" customWidth="1"/>
    <col min="15896" max="15896" width="11.5546875" style="121" bestFit="1" customWidth="1"/>
    <col min="15897" max="15897" width="9.33203125" style="121" bestFit="1" customWidth="1"/>
    <col min="15898" max="15898" width="11.5546875" style="121" bestFit="1" customWidth="1"/>
    <col min="15899" max="15899" width="9.33203125" style="121" bestFit="1" customWidth="1"/>
    <col min="15900" max="15900" width="11.5546875" style="121" bestFit="1" customWidth="1"/>
    <col min="15901" max="15901" width="9.33203125" style="121" bestFit="1" customWidth="1"/>
    <col min="15902" max="15902" width="11.5546875" style="121" bestFit="1" customWidth="1"/>
    <col min="15903" max="15903" width="9.33203125" style="121" bestFit="1" customWidth="1"/>
    <col min="15904" max="15904" width="11.5546875" style="121" bestFit="1" customWidth="1"/>
    <col min="15905" max="15905" width="9.33203125" style="121" bestFit="1" customWidth="1"/>
    <col min="15906" max="15906" width="11.5546875" style="121" bestFit="1" customWidth="1"/>
    <col min="15907" max="15907" width="9.33203125" style="121" bestFit="1" customWidth="1"/>
    <col min="15908" max="15908" width="11.5546875" style="121" bestFit="1" customWidth="1"/>
    <col min="15909" max="15909" width="9.33203125" style="121" bestFit="1" customWidth="1"/>
    <col min="15910" max="15910" width="11.5546875" style="121" bestFit="1" customWidth="1"/>
    <col min="15911" max="15911" width="9.33203125" style="121" bestFit="1" customWidth="1"/>
    <col min="15912" max="15912" width="11.5546875" style="121" bestFit="1" customWidth="1"/>
    <col min="15913" max="15913" width="9.33203125" style="121" bestFit="1" customWidth="1"/>
    <col min="15914" max="15914" width="11.5546875" style="121" bestFit="1" customWidth="1"/>
    <col min="15915" max="15915" width="9.33203125" style="121" bestFit="1" customWidth="1"/>
    <col min="15916" max="15916" width="11.5546875" style="121" bestFit="1" customWidth="1"/>
    <col min="15917" max="15917" width="9.33203125" style="121" bestFit="1" customWidth="1"/>
    <col min="15918" max="15918" width="11.5546875" style="121" bestFit="1" customWidth="1"/>
    <col min="15919" max="15919" width="9.33203125" style="121" bestFit="1" customWidth="1"/>
    <col min="15920" max="15920" width="11.5546875" style="121" bestFit="1" customWidth="1"/>
    <col min="15921" max="15921" width="9.33203125" style="121" bestFit="1" customWidth="1"/>
    <col min="15922" max="15922" width="11.5546875" style="121" bestFit="1" customWidth="1"/>
    <col min="15923" max="15923" width="9.33203125" style="121" bestFit="1" customWidth="1"/>
    <col min="15924" max="16130" width="9.109375" style="121"/>
    <col min="16131" max="16131" width="29.44140625" style="121" bestFit="1" customWidth="1"/>
    <col min="16132" max="16132" width="11.5546875" style="121" bestFit="1" customWidth="1"/>
    <col min="16133" max="16133" width="9.33203125" style="121" bestFit="1" customWidth="1"/>
    <col min="16134" max="16134" width="11.5546875" style="121" bestFit="1" customWidth="1"/>
    <col min="16135" max="16135" width="9.33203125" style="121" bestFit="1" customWidth="1"/>
    <col min="16136" max="16136" width="11.5546875" style="121" bestFit="1" customWidth="1"/>
    <col min="16137" max="16137" width="9.33203125" style="121" bestFit="1" customWidth="1"/>
    <col min="16138" max="16138" width="11.5546875" style="121" bestFit="1" customWidth="1"/>
    <col min="16139" max="16139" width="9.33203125" style="121" bestFit="1" customWidth="1"/>
    <col min="16140" max="16140" width="11.5546875" style="121" bestFit="1" customWidth="1"/>
    <col min="16141" max="16141" width="9.33203125" style="121" bestFit="1" customWidth="1"/>
    <col min="16142" max="16142" width="11.5546875" style="121" bestFit="1" customWidth="1"/>
    <col min="16143" max="16143" width="9.33203125" style="121" bestFit="1" customWidth="1"/>
    <col min="16144" max="16144" width="11.5546875" style="121" bestFit="1" customWidth="1"/>
    <col min="16145" max="16145" width="9.33203125" style="121" bestFit="1" customWidth="1"/>
    <col min="16146" max="16146" width="11.5546875" style="121" bestFit="1" customWidth="1"/>
    <col min="16147" max="16147" width="9.33203125" style="121" bestFit="1" customWidth="1"/>
    <col min="16148" max="16148" width="11.5546875" style="121" bestFit="1" customWidth="1"/>
    <col min="16149" max="16149" width="9.33203125" style="121" bestFit="1" customWidth="1"/>
    <col min="16150" max="16150" width="11.5546875" style="121" bestFit="1" customWidth="1"/>
    <col min="16151" max="16151" width="9.33203125" style="121" bestFit="1" customWidth="1"/>
    <col min="16152" max="16152" width="11.5546875" style="121" bestFit="1" customWidth="1"/>
    <col min="16153" max="16153" width="9.33203125" style="121" bestFit="1" customWidth="1"/>
    <col min="16154" max="16154" width="11.5546875" style="121" bestFit="1" customWidth="1"/>
    <col min="16155" max="16155" width="9.33203125" style="121" bestFit="1" customWidth="1"/>
    <col min="16156" max="16156" width="11.5546875" style="121" bestFit="1" customWidth="1"/>
    <col min="16157" max="16157" width="9.33203125" style="121" bestFit="1" customWidth="1"/>
    <col min="16158" max="16158" width="11.5546875" style="121" bestFit="1" customWidth="1"/>
    <col min="16159" max="16159" width="9.33203125" style="121" bestFit="1" customWidth="1"/>
    <col min="16160" max="16160" width="11.5546875" style="121" bestFit="1" customWidth="1"/>
    <col min="16161" max="16161" width="9.33203125" style="121" bestFit="1" customWidth="1"/>
    <col min="16162" max="16162" width="11.5546875" style="121" bestFit="1" customWidth="1"/>
    <col min="16163" max="16163" width="9.33203125" style="121" bestFit="1" customWidth="1"/>
    <col min="16164" max="16164" width="11.5546875" style="121" bestFit="1" customWidth="1"/>
    <col min="16165" max="16165" width="9.33203125" style="121" bestFit="1" customWidth="1"/>
    <col min="16166" max="16166" width="11.5546875" style="121" bestFit="1" customWidth="1"/>
    <col min="16167" max="16167" width="9.33203125" style="121" bestFit="1" customWidth="1"/>
    <col min="16168" max="16168" width="11.5546875" style="121" bestFit="1" customWidth="1"/>
    <col min="16169" max="16169" width="9.33203125" style="121" bestFit="1" customWidth="1"/>
    <col min="16170" max="16170" width="11.5546875" style="121" bestFit="1" customWidth="1"/>
    <col min="16171" max="16171" width="9.33203125" style="121" bestFit="1" customWidth="1"/>
    <col min="16172" max="16172" width="11.5546875" style="121" bestFit="1" customWidth="1"/>
    <col min="16173" max="16173" width="9.33203125" style="121" bestFit="1" customWidth="1"/>
    <col min="16174" max="16174" width="11.5546875" style="121" bestFit="1" customWidth="1"/>
    <col min="16175" max="16175" width="9.33203125" style="121" bestFit="1" customWidth="1"/>
    <col min="16176" max="16176" width="11.5546875" style="121" bestFit="1" customWidth="1"/>
    <col min="16177" max="16177" width="9.33203125" style="121" bestFit="1" customWidth="1"/>
    <col min="16178" max="16178" width="11.5546875" style="121" bestFit="1" customWidth="1"/>
    <col min="16179" max="16179" width="9.33203125" style="121" bestFit="1" customWidth="1"/>
    <col min="16180" max="16384" width="9.109375" style="121"/>
  </cols>
  <sheetData>
    <row r="1" spans="1:51" s="23" customFormat="1">
      <c r="A1" s="121"/>
      <c r="B1" s="127" t="s">
        <v>145</v>
      </c>
      <c r="C1" s="121"/>
      <c r="D1" s="121"/>
      <c r="E1" s="121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</row>
    <row r="2" spans="1:51" s="23" customFormat="1">
      <c r="A2" s="121"/>
      <c r="B2" s="244"/>
      <c r="C2" s="244"/>
      <c r="D2" s="247">
        <v>43739</v>
      </c>
      <c r="E2" s="248">
        <v>43739</v>
      </c>
      <c r="F2" s="247">
        <v>43770</v>
      </c>
      <c r="G2" s="248">
        <v>43770</v>
      </c>
      <c r="H2" s="247">
        <v>43800</v>
      </c>
      <c r="I2" s="248">
        <v>43800</v>
      </c>
      <c r="J2" s="247">
        <v>43831</v>
      </c>
      <c r="K2" s="248">
        <v>43831</v>
      </c>
      <c r="L2" s="247">
        <v>43862</v>
      </c>
      <c r="M2" s="248">
        <v>43862</v>
      </c>
      <c r="N2" s="247">
        <v>43891</v>
      </c>
      <c r="O2" s="248">
        <v>43891</v>
      </c>
      <c r="P2" s="247">
        <v>43922</v>
      </c>
      <c r="Q2" s="248">
        <v>43922</v>
      </c>
      <c r="R2" s="247">
        <v>43952</v>
      </c>
      <c r="S2" s="248">
        <v>43952</v>
      </c>
      <c r="T2" s="247">
        <v>43983</v>
      </c>
      <c r="U2" s="248">
        <v>43983</v>
      </c>
      <c r="V2" s="247">
        <v>44013</v>
      </c>
      <c r="W2" s="248">
        <v>44013</v>
      </c>
      <c r="X2" s="247">
        <v>44044</v>
      </c>
      <c r="Y2" s="248">
        <v>44044</v>
      </c>
      <c r="Z2" s="247">
        <v>44075</v>
      </c>
      <c r="AA2" s="248">
        <v>44075</v>
      </c>
      <c r="AB2" s="247">
        <v>44105</v>
      </c>
      <c r="AC2" s="248">
        <v>44105</v>
      </c>
      <c r="AD2" s="247">
        <v>44136</v>
      </c>
      <c r="AE2" s="248">
        <v>44136</v>
      </c>
      <c r="AF2" s="247">
        <v>44166</v>
      </c>
      <c r="AG2" s="248">
        <v>44166</v>
      </c>
      <c r="AH2" s="247">
        <v>44197</v>
      </c>
      <c r="AI2" s="248">
        <v>44197</v>
      </c>
      <c r="AJ2" s="247">
        <v>44228</v>
      </c>
      <c r="AK2" s="248">
        <v>44228</v>
      </c>
      <c r="AL2" s="247">
        <v>44256</v>
      </c>
      <c r="AM2" s="248">
        <v>44256</v>
      </c>
      <c r="AN2" s="247">
        <v>44287</v>
      </c>
      <c r="AO2" s="248">
        <v>44287</v>
      </c>
      <c r="AP2" s="247">
        <v>44317</v>
      </c>
      <c r="AQ2" s="248">
        <v>44317</v>
      </c>
      <c r="AR2" s="247">
        <v>44348</v>
      </c>
      <c r="AS2" s="248">
        <v>44348</v>
      </c>
      <c r="AT2" s="247">
        <v>44378</v>
      </c>
      <c r="AU2" s="248">
        <v>44378</v>
      </c>
      <c r="AV2" s="247">
        <v>44409</v>
      </c>
      <c r="AW2" s="248">
        <v>44409</v>
      </c>
      <c r="AX2" s="247">
        <v>44440</v>
      </c>
      <c r="AY2" s="248">
        <v>44440</v>
      </c>
    </row>
    <row r="3" spans="1:51" s="23" customFormat="1">
      <c r="A3" s="121"/>
      <c r="B3" s="245" t="s">
        <v>2</v>
      </c>
      <c r="C3" s="245" t="s">
        <v>147</v>
      </c>
      <c r="D3" s="249" t="s">
        <v>143</v>
      </c>
      <c r="E3" s="250" t="s">
        <v>144</v>
      </c>
      <c r="F3" s="249" t="s">
        <v>143</v>
      </c>
      <c r="G3" s="250" t="s">
        <v>144</v>
      </c>
      <c r="H3" s="249" t="s">
        <v>143</v>
      </c>
      <c r="I3" s="250" t="s">
        <v>144</v>
      </c>
      <c r="J3" s="249" t="s">
        <v>143</v>
      </c>
      <c r="K3" s="250" t="s">
        <v>144</v>
      </c>
      <c r="L3" s="249" t="s">
        <v>143</v>
      </c>
      <c r="M3" s="250" t="s">
        <v>144</v>
      </c>
      <c r="N3" s="249" t="s">
        <v>143</v>
      </c>
      <c r="O3" s="250" t="s">
        <v>144</v>
      </c>
      <c r="P3" s="249" t="s">
        <v>143</v>
      </c>
      <c r="Q3" s="250" t="s">
        <v>144</v>
      </c>
      <c r="R3" s="249" t="s">
        <v>143</v>
      </c>
      <c r="S3" s="250" t="s">
        <v>144</v>
      </c>
      <c r="T3" s="249" t="s">
        <v>143</v>
      </c>
      <c r="U3" s="250" t="s">
        <v>144</v>
      </c>
      <c r="V3" s="249" t="s">
        <v>143</v>
      </c>
      <c r="W3" s="250" t="s">
        <v>144</v>
      </c>
      <c r="X3" s="249" t="s">
        <v>143</v>
      </c>
      <c r="Y3" s="250" t="s">
        <v>144</v>
      </c>
      <c r="Z3" s="249" t="s">
        <v>143</v>
      </c>
      <c r="AA3" s="250" t="s">
        <v>144</v>
      </c>
      <c r="AB3" s="249" t="s">
        <v>143</v>
      </c>
      <c r="AC3" s="250" t="s">
        <v>144</v>
      </c>
      <c r="AD3" s="249" t="s">
        <v>143</v>
      </c>
      <c r="AE3" s="250" t="s">
        <v>144</v>
      </c>
      <c r="AF3" s="249" t="s">
        <v>143</v>
      </c>
      <c r="AG3" s="250" t="s">
        <v>144</v>
      </c>
      <c r="AH3" s="249" t="s">
        <v>143</v>
      </c>
      <c r="AI3" s="250" t="s">
        <v>144</v>
      </c>
      <c r="AJ3" s="249" t="s">
        <v>143</v>
      </c>
      <c r="AK3" s="250" t="s">
        <v>144</v>
      </c>
      <c r="AL3" s="249" t="s">
        <v>143</v>
      </c>
      <c r="AM3" s="250" t="s">
        <v>144</v>
      </c>
      <c r="AN3" s="249" t="s">
        <v>143</v>
      </c>
      <c r="AO3" s="250" t="s">
        <v>144</v>
      </c>
      <c r="AP3" s="249" t="s">
        <v>143</v>
      </c>
      <c r="AQ3" s="250" t="s">
        <v>144</v>
      </c>
      <c r="AR3" s="249" t="s">
        <v>143</v>
      </c>
      <c r="AS3" s="250" t="s">
        <v>144</v>
      </c>
      <c r="AT3" s="249" t="s">
        <v>143</v>
      </c>
      <c r="AU3" s="250" t="s">
        <v>144</v>
      </c>
      <c r="AV3" s="249" t="s">
        <v>143</v>
      </c>
      <c r="AW3" s="250" t="s">
        <v>144</v>
      </c>
      <c r="AX3" s="249" t="s">
        <v>143</v>
      </c>
      <c r="AY3" s="250" t="s">
        <v>144</v>
      </c>
    </row>
    <row r="4" spans="1:51">
      <c r="B4" s="244">
        <v>10005</v>
      </c>
      <c r="C4" s="244" t="s">
        <v>7</v>
      </c>
      <c r="D4" s="253">
        <v>178.05092592592587</v>
      </c>
      <c r="E4" s="254">
        <v>0</v>
      </c>
      <c r="F4" s="254">
        <v>92.4375</v>
      </c>
      <c r="G4" s="254">
        <v>0</v>
      </c>
      <c r="H4" s="254">
        <v>38.110000000000142</v>
      </c>
      <c r="I4" s="254">
        <v>0</v>
      </c>
      <c r="J4" s="254">
        <v>118.50480769230775</v>
      </c>
      <c r="K4" s="254">
        <v>0</v>
      </c>
      <c r="L4" s="254">
        <v>140.77249999999998</v>
      </c>
      <c r="M4" s="254">
        <v>0</v>
      </c>
      <c r="N4" s="254">
        <v>130.65144230769243</v>
      </c>
      <c r="O4" s="254">
        <v>0</v>
      </c>
      <c r="P4" s="254">
        <v>118.02884615384629</v>
      </c>
      <c r="Q4" s="254">
        <v>0</v>
      </c>
      <c r="R4" s="254">
        <v>61.117499999999936</v>
      </c>
      <c r="S4" s="254">
        <v>0</v>
      </c>
      <c r="T4" s="254">
        <v>101.80288461538454</v>
      </c>
      <c r="U4" s="254">
        <v>0</v>
      </c>
      <c r="V4" s="254">
        <v>115.89663461538466</v>
      </c>
      <c r="W4" s="254">
        <v>0</v>
      </c>
      <c r="X4" s="254">
        <v>122.0865384615385</v>
      </c>
      <c r="Y4" s="254">
        <v>0</v>
      </c>
      <c r="Z4" s="254">
        <v>95.555000000000007</v>
      </c>
      <c r="AA4" s="254">
        <v>0</v>
      </c>
      <c r="AB4" s="254">
        <v>181.41666666666657</v>
      </c>
      <c r="AC4" s="254">
        <v>0</v>
      </c>
      <c r="AD4" s="254">
        <v>62.408854166666693</v>
      </c>
      <c r="AE4" s="254">
        <v>0</v>
      </c>
      <c r="AF4" s="254">
        <v>76.048076923077076</v>
      </c>
      <c r="AG4" s="254">
        <v>0</v>
      </c>
      <c r="AH4" s="254">
        <v>81.485000000000142</v>
      </c>
      <c r="AI4" s="254">
        <v>0</v>
      </c>
      <c r="AJ4" s="254">
        <v>105.42968750000003</v>
      </c>
      <c r="AK4" s="254">
        <v>0</v>
      </c>
      <c r="AL4" s="254">
        <v>161.84953703703718</v>
      </c>
      <c r="AM4" s="254">
        <v>0</v>
      </c>
      <c r="AN4" s="254">
        <v>146.70432692307705</v>
      </c>
      <c r="AO4" s="254">
        <v>0</v>
      </c>
      <c r="AP4" s="254">
        <v>39.029999999999902</v>
      </c>
      <c r="AQ4" s="254">
        <v>0</v>
      </c>
      <c r="AR4" s="254">
        <v>101.80288461538454</v>
      </c>
      <c r="AS4" s="254">
        <v>0</v>
      </c>
      <c r="AT4" s="254">
        <v>115.89663461538466</v>
      </c>
      <c r="AU4" s="254">
        <v>0</v>
      </c>
      <c r="AV4" s="254">
        <v>122.0865384615385</v>
      </c>
      <c r="AW4" s="254">
        <v>0</v>
      </c>
      <c r="AX4" s="254">
        <v>95.555000000000007</v>
      </c>
      <c r="AY4" s="254">
        <v>0</v>
      </c>
    </row>
    <row r="5" spans="1:51">
      <c r="B5" s="244">
        <v>10015</v>
      </c>
      <c r="C5" s="244" t="s">
        <v>8</v>
      </c>
      <c r="D5" s="254">
        <v>256.59027777777789</v>
      </c>
      <c r="E5" s="254">
        <v>0</v>
      </c>
      <c r="F5" s="254">
        <v>0</v>
      </c>
      <c r="G5" s="254">
        <v>0</v>
      </c>
      <c r="H5" s="254">
        <v>0</v>
      </c>
      <c r="I5" s="254">
        <v>0</v>
      </c>
      <c r="J5" s="254">
        <v>102.24519230769225</v>
      </c>
      <c r="K5" s="254">
        <v>0</v>
      </c>
      <c r="L5" s="254">
        <v>188.97249999999988</v>
      </c>
      <c r="M5" s="254">
        <v>0</v>
      </c>
      <c r="N5" s="254">
        <v>164.55048076923075</v>
      </c>
      <c r="O5" s="254">
        <v>0</v>
      </c>
      <c r="P5" s="254">
        <v>509.63701923076911</v>
      </c>
      <c r="Q5" s="254">
        <v>0</v>
      </c>
      <c r="R5" s="254">
        <v>404.8075</v>
      </c>
      <c r="S5" s="254">
        <v>0</v>
      </c>
      <c r="T5" s="254">
        <v>433.05288461538447</v>
      </c>
      <c r="U5" s="254">
        <v>0</v>
      </c>
      <c r="V5" s="254">
        <v>591.50961538461536</v>
      </c>
      <c r="W5" s="254">
        <v>0</v>
      </c>
      <c r="X5" s="254">
        <v>273.10576923076923</v>
      </c>
      <c r="Y5" s="254">
        <v>0</v>
      </c>
      <c r="Z5" s="254">
        <v>470.45000000000005</v>
      </c>
      <c r="AA5" s="254">
        <v>0</v>
      </c>
      <c r="AB5" s="254">
        <v>256.59027777777789</v>
      </c>
      <c r="AC5" s="254">
        <v>0</v>
      </c>
      <c r="AD5" s="254">
        <v>0</v>
      </c>
      <c r="AE5" s="254">
        <v>0</v>
      </c>
      <c r="AF5" s="254">
        <v>0</v>
      </c>
      <c r="AG5" s="254">
        <v>0</v>
      </c>
      <c r="AH5" s="254">
        <v>92.374999999999986</v>
      </c>
      <c r="AI5" s="254">
        <v>0</v>
      </c>
      <c r="AJ5" s="254">
        <v>180.67968749999997</v>
      </c>
      <c r="AK5" s="254">
        <v>0</v>
      </c>
      <c r="AL5" s="254">
        <v>173.90046296296291</v>
      </c>
      <c r="AM5" s="254">
        <v>0</v>
      </c>
      <c r="AN5" s="254">
        <v>509.63701923076911</v>
      </c>
      <c r="AO5" s="254">
        <v>0</v>
      </c>
      <c r="AP5" s="254">
        <v>404.8075</v>
      </c>
      <c r="AQ5" s="254">
        <v>0</v>
      </c>
      <c r="AR5" s="254">
        <v>433.05288461538447</v>
      </c>
      <c r="AS5" s="254">
        <v>0</v>
      </c>
      <c r="AT5" s="254">
        <v>591.50961538461536</v>
      </c>
      <c r="AU5" s="254">
        <v>0</v>
      </c>
      <c r="AV5" s="254">
        <v>273.10576923076923</v>
      </c>
      <c r="AW5" s="254">
        <v>0</v>
      </c>
      <c r="AX5" s="254">
        <v>470.45000000000005</v>
      </c>
      <c r="AY5" s="254">
        <v>0</v>
      </c>
    </row>
    <row r="6" spans="1:51">
      <c r="B6" s="244">
        <v>10024</v>
      </c>
      <c r="C6" s="244" t="s">
        <v>9</v>
      </c>
      <c r="D6" s="254">
        <v>0</v>
      </c>
      <c r="E6" s="254">
        <v>0</v>
      </c>
      <c r="F6" s="254">
        <v>0</v>
      </c>
      <c r="G6" s="254">
        <v>0</v>
      </c>
      <c r="H6" s="254">
        <v>0</v>
      </c>
      <c r="I6" s="254">
        <v>0</v>
      </c>
      <c r="J6" s="254">
        <v>0</v>
      </c>
      <c r="K6" s="254">
        <v>0</v>
      </c>
      <c r="L6" s="254">
        <v>0</v>
      </c>
      <c r="M6" s="254">
        <v>0</v>
      </c>
      <c r="N6" s="254">
        <v>0</v>
      </c>
      <c r="O6" s="254">
        <v>0</v>
      </c>
      <c r="P6" s="254">
        <v>0</v>
      </c>
      <c r="Q6" s="254">
        <v>0</v>
      </c>
      <c r="R6" s="254">
        <v>0</v>
      </c>
      <c r="S6" s="254">
        <v>0</v>
      </c>
      <c r="T6" s="254">
        <v>0</v>
      </c>
      <c r="U6" s="254">
        <v>0</v>
      </c>
      <c r="V6" s="254">
        <v>0</v>
      </c>
      <c r="W6" s="254">
        <v>0</v>
      </c>
      <c r="X6" s="254">
        <v>0</v>
      </c>
      <c r="Y6" s="254">
        <v>0</v>
      </c>
      <c r="Z6" s="254">
        <v>0</v>
      </c>
      <c r="AA6" s="254">
        <v>0</v>
      </c>
      <c r="AB6" s="254">
        <v>0</v>
      </c>
      <c r="AC6" s="254">
        <v>0</v>
      </c>
      <c r="AD6" s="254">
        <v>0</v>
      </c>
      <c r="AE6" s="254">
        <v>0</v>
      </c>
      <c r="AF6" s="254">
        <v>0</v>
      </c>
      <c r="AG6" s="254">
        <v>0</v>
      </c>
      <c r="AH6" s="254">
        <v>0</v>
      </c>
      <c r="AI6" s="254">
        <v>0</v>
      </c>
      <c r="AJ6" s="254">
        <v>0</v>
      </c>
      <c r="AK6" s="254">
        <v>0</v>
      </c>
      <c r="AL6" s="254">
        <v>0</v>
      </c>
      <c r="AM6" s="254">
        <v>0</v>
      </c>
      <c r="AN6" s="254">
        <v>0</v>
      </c>
      <c r="AO6" s="254">
        <v>0</v>
      </c>
      <c r="AP6" s="254">
        <v>0</v>
      </c>
      <c r="AQ6" s="254">
        <v>0</v>
      </c>
      <c r="AR6" s="254">
        <v>0</v>
      </c>
      <c r="AS6" s="254">
        <v>0</v>
      </c>
      <c r="AT6" s="254">
        <v>0</v>
      </c>
      <c r="AU6" s="254">
        <v>0</v>
      </c>
      <c r="AV6" s="254">
        <v>0</v>
      </c>
      <c r="AW6" s="254">
        <v>0</v>
      </c>
      <c r="AX6" s="254">
        <v>0</v>
      </c>
      <c r="AY6" s="254">
        <v>0</v>
      </c>
    </row>
    <row r="7" spans="1:51">
      <c r="B7" s="244">
        <v>10025</v>
      </c>
      <c r="C7" s="244" t="s">
        <v>10</v>
      </c>
      <c r="D7" s="254">
        <v>1727.9722222222276</v>
      </c>
      <c r="E7" s="254">
        <v>0</v>
      </c>
      <c r="F7" s="254">
        <v>722.51749999999151</v>
      </c>
      <c r="G7" s="254">
        <v>0</v>
      </c>
      <c r="H7" s="254">
        <v>17897.777500000004</v>
      </c>
      <c r="I7" s="254">
        <v>0</v>
      </c>
      <c r="J7" s="254">
        <v>9546.8413461538403</v>
      </c>
      <c r="K7" s="254">
        <v>0</v>
      </c>
      <c r="L7" s="254">
        <v>2377.0750000000121</v>
      </c>
      <c r="M7" s="254">
        <v>0</v>
      </c>
      <c r="N7" s="254">
        <v>3787.4302884615395</v>
      </c>
      <c r="O7" s="254">
        <v>0</v>
      </c>
      <c r="P7" s="254">
        <v>0</v>
      </c>
      <c r="Q7" s="254">
        <v>0</v>
      </c>
      <c r="R7" s="254">
        <v>959.92000000000394</v>
      </c>
      <c r="S7" s="254">
        <v>0</v>
      </c>
      <c r="T7" s="254">
        <v>14013.379807692309</v>
      </c>
      <c r="U7" s="254">
        <v>0</v>
      </c>
      <c r="V7" s="254">
        <v>17547.540865384613</v>
      </c>
      <c r="W7" s="254">
        <v>0</v>
      </c>
      <c r="X7" s="254">
        <v>18036.401442307691</v>
      </c>
      <c r="Y7" s="254">
        <v>0</v>
      </c>
      <c r="Z7" s="254">
        <v>11509.267499999998</v>
      </c>
      <c r="AA7" s="254">
        <v>0</v>
      </c>
      <c r="AB7" s="254">
        <v>2396.7523148148261</v>
      </c>
      <c r="AC7" s="254">
        <v>0</v>
      </c>
      <c r="AD7" s="254">
        <v>0</v>
      </c>
      <c r="AE7" s="254">
        <v>0</v>
      </c>
      <c r="AF7" s="254">
        <v>21799.956730769238</v>
      </c>
      <c r="AG7" s="254">
        <v>0</v>
      </c>
      <c r="AH7" s="254">
        <v>7208.4650000000038</v>
      </c>
      <c r="AI7" s="254">
        <v>0</v>
      </c>
      <c r="AJ7" s="254">
        <v>178.64843750000148</v>
      </c>
      <c r="AK7" s="254">
        <v>0</v>
      </c>
      <c r="AL7" s="254">
        <v>5884.3865740740821</v>
      </c>
      <c r="AM7" s="254">
        <v>0</v>
      </c>
      <c r="AN7" s="254">
        <v>0</v>
      </c>
      <c r="AO7" s="254">
        <v>0</v>
      </c>
      <c r="AP7" s="254">
        <v>877.53749999999536</v>
      </c>
      <c r="AQ7" s="254">
        <v>0</v>
      </c>
      <c r="AR7" s="254">
        <v>14050.262019230762</v>
      </c>
      <c r="AS7" s="254">
        <v>0</v>
      </c>
      <c r="AT7" s="254">
        <v>17598.228365384621</v>
      </c>
      <c r="AU7" s="254">
        <v>0</v>
      </c>
      <c r="AV7" s="254">
        <v>18108.069711538461</v>
      </c>
      <c r="AW7" s="254">
        <v>0</v>
      </c>
      <c r="AX7" s="254">
        <v>11464.302499999993</v>
      </c>
      <c r="AY7" s="254">
        <v>0</v>
      </c>
    </row>
    <row r="8" spans="1:51">
      <c r="B8" s="244">
        <v>10027</v>
      </c>
      <c r="C8" s="244" t="s">
        <v>11</v>
      </c>
      <c r="D8" s="254">
        <v>13569.185185185192</v>
      </c>
      <c r="E8" s="254">
        <v>0</v>
      </c>
      <c r="F8" s="254">
        <v>5535.6624999999976</v>
      </c>
      <c r="G8" s="254">
        <v>0</v>
      </c>
      <c r="H8" s="254">
        <v>8617.4174999999977</v>
      </c>
      <c r="I8" s="254">
        <v>0</v>
      </c>
      <c r="J8" s="254">
        <v>6058.8149038461515</v>
      </c>
      <c r="K8" s="254">
        <v>0</v>
      </c>
      <c r="L8" s="254">
        <v>4266.6625000000022</v>
      </c>
      <c r="M8" s="254">
        <v>0</v>
      </c>
      <c r="N8" s="254">
        <v>7712.2668269230771</v>
      </c>
      <c r="O8" s="254">
        <v>0</v>
      </c>
      <c r="P8" s="254">
        <v>28010.725961538457</v>
      </c>
      <c r="Q8" s="254">
        <v>0</v>
      </c>
      <c r="R8" s="254">
        <v>8850.79000000001</v>
      </c>
      <c r="S8" s="254">
        <v>0</v>
      </c>
      <c r="T8" s="254">
        <v>7060.6514423076769</v>
      </c>
      <c r="U8" s="254">
        <v>0</v>
      </c>
      <c r="V8" s="254">
        <v>14970.836538461534</v>
      </c>
      <c r="W8" s="254">
        <v>0</v>
      </c>
      <c r="X8" s="254">
        <v>19687.64423076922</v>
      </c>
      <c r="Y8" s="254">
        <v>0</v>
      </c>
      <c r="Z8" s="254">
        <v>13855.057500000014</v>
      </c>
      <c r="AA8" s="254">
        <v>0</v>
      </c>
      <c r="AB8" s="254">
        <v>14046.652777777779</v>
      </c>
      <c r="AC8" s="254">
        <v>0</v>
      </c>
      <c r="AD8" s="254">
        <v>4366.8124999999982</v>
      </c>
      <c r="AE8" s="254">
        <v>0</v>
      </c>
      <c r="AF8" s="254">
        <v>10882.749999999998</v>
      </c>
      <c r="AG8" s="254">
        <v>0</v>
      </c>
      <c r="AH8" s="254">
        <v>4747.1050000000014</v>
      </c>
      <c r="AI8" s="254">
        <v>0</v>
      </c>
      <c r="AJ8" s="254">
        <v>3096.6197916666688</v>
      </c>
      <c r="AK8" s="254">
        <v>0</v>
      </c>
      <c r="AL8" s="254">
        <v>9481.8356481481496</v>
      </c>
      <c r="AM8" s="254">
        <v>0</v>
      </c>
      <c r="AN8" s="254">
        <v>28473.685096153855</v>
      </c>
      <c r="AO8" s="254">
        <v>0</v>
      </c>
      <c r="AP8" s="254">
        <v>9317.635000000002</v>
      </c>
      <c r="AQ8" s="254">
        <v>0</v>
      </c>
      <c r="AR8" s="254">
        <v>7528.5024038461652</v>
      </c>
      <c r="AS8" s="254">
        <v>0</v>
      </c>
      <c r="AT8" s="254">
        <v>15450.247596153837</v>
      </c>
      <c r="AU8" s="254">
        <v>0</v>
      </c>
      <c r="AV8" s="254">
        <v>20152.509615384628</v>
      </c>
      <c r="AW8" s="254">
        <v>0</v>
      </c>
      <c r="AX8" s="254">
        <v>14322.050000000003</v>
      </c>
      <c r="AY8" s="254">
        <v>0</v>
      </c>
    </row>
    <row r="9" spans="1:51">
      <c r="B9" s="244">
        <v>10029</v>
      </c>
      <c r="C9" s="244" t="s">
        <v>12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v>0</v>
      </c>
      <c r="T9" s="254">
        <v>0</v>
      </c>
      <c r="U9" s="254">
        <v>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v>0</v>
      </c>
      <c r="AI9" s="254">
        <v>0</v>
      </c>
      <c r="AJ9" s="254">
        <v>0</v>
      </c>
      <c r="AK9" s="254">
        <v>0</v>
      </c>
      <c r="AL9" s="254">
        <v>0</v>
      </c>
      <c r="AM9" s="254">
        <v>0</v>
      </c>
      <c r="AN9" s="254">
        <v>0</v>
      </c>
      <c r="AO9" s="254">
        <v>0</v>
      </c>
      <c r="AP9" s="254">
        <v>0</v>
      </c>
      <c r="AQ9" s="254">
        <v>0</v>
      </c>
      <c r="AR9" s="254">
        <v>0</v>
      </c>
      <c r="AS9" s="254">
        <v>0</v>
      </c>
      <c r="AT9" s="254">
        <v>0</v>
      </c>
      <c r="AU9" s="254">
        <v>0</v>
      </c>
      <c r="AV9" s="254">
        <v>0</v>
      </c>
      <c r="AW9" s="254">
        <v>0</v>
      </c>
      <c r="AX9" s="254">
        <v>0</v>
      </c>
      <c r="AY9" s="254">
        <v>0</v>
      </c>
    </row>
    <row r="10" spans="1:51">
      <c r="B10" s="244">
        <v>10044</v>
      </c>
      <c r="C10" s="244" t="s">
        <v>13</v>
      </c>
      <c r="D10" s="254">
        <v>1061.2962962962995</v>
      </c>
      <c r="E10" s="254">
        <v>0</v>
      </c>
      <c r="F10" s="254">
        <v>3463.5499999999988</v>
      </c>
      <c r="G10" s="254">
        <v>0</v>
      </c>
      <c r="H10" s="254">
        <v>1050.18</v>
      </c>
      <c r="I10" s="254">
        <v>0</v>
      </c>
      <c r="J10" s="254">
        <v>3518.2259615384578</v>
      </c>
      <c r="K10" s="254">
        <v>0</v>
      </c>
      <c r="L10" s="254">
        <v>3060.7000000000035</v>
      </c>
      <c r="M10" s="254">
        <v>0</v>
      </c>
      <c r="N10" s="254">
        <v>2394.3990384615413</v>
      </c>
      <c r="O10" s="254">
        <v>0</v>
      </c>
      <c r="P10" s="254">
        <v>231.03605769230828</v>
      </c>
      <c r="Q10" s="254">
        <v>0</v>
      </c>
      <c r="R10" s="254">
        <v>2716.085</v>
      </c>
      <c r="S10" s="254">
        <v>0</v>
      </c>
      <c r="T10" s="254">
        <v>7109.3341346153866</v>
      </c>
      <c r="U10" s="254">
        <v>0</v>
      </c>
      <c r="V10" s="254">
        <v>3554.9375000000014</v>
      </c>
      <c r="W10" s="254">
        <v>0</v>
      </c>
      <c r="X10" s="254">
        <v>4664.4879807692332</v>
      </c>
      <c r="Y10" s="254">
        <v>0</v>
      </c>
      <c r="Z10" s="254">
        <v>3430.2749999999992</v>
      </c>
      <c r="AA10" s="254">
        <v>0</v>
      </c>
      <c r="AB10" s="254">
        <v>983.99537037037055</v>
      </c>
      <c r="AC10" s="254">
        <v>0</v>
      </c>
      <c r="AD10" s="254">
        <v>2222.2994791666624</v>
      </c>
      <c r="AE10" s="254">
        <v>0</v>
      </c>
      <c r="AF10" s="254">
        <v>2022.8653846153888</v>
      </c>
      <c r="AG10" s="254">
        <v>0</v>
      </c>
      <c r="AH10" s="254">
        <v>2237.3325</v>
      </c>
      <c r="AI10" s="254">
        <v>0</v>
      </c>
      <c r="AJ10" s="254">
        <v>1872.9583333333358</v>
      </c>
      <c r="AK10" s="254">
        <v>0</v>
      </c>
      <c r="AL10" s="254">
        <v>3185.7777777777815</v>
      </c>
      <c r="AM10" s="254">
        <v>0</v>
      </c>
      <c r="AN10" s="254">
        <v>899.31730769230796</v>
      </c>
      <c r="AO10" s="254">
        <v>0</v>
      </c>
      <c r="AP10" s="254">
        <v>1839.7725000000028</v>
      </c>
      <c r="AQ10" s="254">
        <v>0</v>
      </c>
      <c r="AR10" s="254">
        <v>7025.0552884615363</v>
      </c>
      <c r="AS10" s="254">
        <v>0</v>
      </c>
      <c r="AT10" s="254">
        <v>3461.3365384615377</v>
      </c>
      <c r="AU10" s="254">
        <v>0</v>
      </c>
      <c r="AV10" s="254">
        <v>4561.9639423076906</v>
      </c>
      <c r="AW10" s="254">
        <v>0</v>
      </c>
      <c r="AX10" s="254">
        <v>3339.755000000001</v>
      </c>
      <c r="AY10" s="254">
        <v>0</v>
      </c>
    </row>
    <row r="11" spans="1:51">
      <c r="B11" s="244">
        <v>10046</v>
      </c>
      <c r="C11" s="244" t="s">
        <v>14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v>0</v>
      </c>
      <c r="AI11" s="254">
        <v>0</v>
      </c>
      <c r="AJ11" s="254">
        <v>0</v>
      </c>
      <c r="AK11" s="254">
        <v>0</v>
      </c>
      <c r="AL11" s="254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0</v>
      </c>
      <c r="AY11" s="254">
        <v>0</v>
      </c>
    </row>
    <row r="12" spans="1:51">
      <c r="B12" s="244">
        <v>10047</v>
      </c>
      <c r="C12" s="244" t="s">
        <v>15</v>
      </c>
      <c r="D12" s="254">
        <v>7112.8495370370356</v>
      </c>
      <c r="E12" s="254">
        <v>0</v>
      </c>
      <c r="F12" s="254">
        <v>630.23750000001405</v>
      </c>
      <c r="G12" s="254">
        <v>0</v>
      </c>
      <c r="H12" s="254">
        <v>4499.4599999999709</v>
      </c>
      <c r="I12" s="254">
        <v>0</v>
      </c>
      <c r="J12" s="254">
        <v>18816.959134615372</v>
      </c>
      <c r="K12" s="254">
        <v>0</v>
      </c>
      <c r="L12" s="254">
        <v>0</v>
      </c>
      <c r="M12" s="254">
        <v>0</v>
      </c>
      <c r="N12" s="254">
        <v>15322.480769230766</v>
      </c>
      <c r="O12" s="254">
        <v>0</v>
      </c>
      <c r="P12" s="254">
        <v>24235.391826923056</v>
      </c>
      <c r="Q12" s="254">
        <v>0</v>
      </c>
      <c r="R12" s="254">
        <v>15289.212500000009</v>
      </c>
      <c r="S12" s="254">
        <v>0</v>
      </c>
      <c r="T12" s="254">
        <v>4912.456730769215</v>
      </c>
      <c r="U12" s="254">
        <v>0</v>
      </c>
      <c r="V12" s="254">
        <v>13949.968750000004</v>
      </c>
      <c r="W12" s="254">
        <v>0</v>
      </c>
      <c r="X12" s="254">
        <v>6479.9663461538439</v>
      </c>
      <c r="Y12" s="254">
        <v>0</v>
      </c>
      <c r="Z12" s="254">
        <v>9357.0925000000243</v>
      </c>
      <c r="AA12" s="254">
        <v>0</v>
      </c>
      <c r="AB12" s="254">
        <v>6871.8032407407318</v>
      </c>
      <c r="AC12" s="254">
        <v>0</v>
      </c>
      <c r="AD12" s="254">
        <v>0</v>
      </c>
      <c r="AE12" s="254">
        <v>0</v>
      </c>
      <c r="AF12" s="254">
        <v>11993.951923076907</v>
      </c>
      <c r="AG12" s="254">
        <v>0</v>
      </c>
      <c r="AH12" s="254">
        <v>11409.457500000017</v>
      </c>
      <c r="AI12" s="254">
        <v>0</v>
      </c>
      <c r="AJ12" s="254">
        <v>0</v>
      </c>
      <c r="AK12" s="254">
        <v>0</v>
      </c>
      <c r="AL12" s="254">
        <v>21522.275462962967</v>
      </c>
      <c r="AM12" s="254">
        <v>0</v>
      </c>
      <c r="AN12" s="254">
        <v>30168.930288461546</v>
      </c>
      <c r="AO12" s="254">
        <v>0</v>
      </c>
      <c r="AP12" s="254">
        <v>9737.612499999972</v>
      </c>
      <c r="AQ12" s="254">
        <v>0</v>
      </c>
      <c r="AR12" s="254">
        <v>4693.6033653846107</v>
      </c>
      <c r="AS12" s="254">
        <v>0</v>
      </c>
      <c r="AT12" s="254">
        <v>13736.430288461541</v>
      </c>
      <c r="AU12" s="254">
        <v>0</v>
      </c>
      <c r="AV12" s="254">
        <v>6244.9807692307786</v>
      </c>
      <c r="AW12" s="254">
        <v>0</v>
      </c>
      <c r="AX12" s="254">
        <v>9137.1500000000233</v>
      </c>
      <c r="AY12" s="254">
        <v>0</v>
      </c>
    </row>
    <row r="13" spans="1:51">
      <c r="B13" s="244">
        <v>10055</v>
      </c>
      <c r="C13" s="244" t="s">
        <v>16</v>
      </c>
      <c r="D13" s="254">
        <v>130.61574074074079</v>
      </c>
      <c r="E13" s="254">
        <v>0</v>
      </c>
      <c r="F13" s="254">
        <v>26.902499999999939</v>
      </c>
      <c r="G13" s="254">
        <v>0</v>
      </c>
      <c r="H13" s="254">
        <v>226.2</v>
      </c>
      <c r="I13" s="254">
        <v>0</v>
      </c>
      <c r="J13" s="254">
        <v>226.39423076923077</v>
      </c>
      <c r="K13" s="254">
        <v>0</v>
      </c>
      <c r="L13" s="254">
        <v>112.37750000000004</v>
      </c>
      <c r="M13" s="254">
        <v>0</v>
      </c>
      <c r="N13" s="254">
        <v>83.627403846153854</v>
      </c>
      <c r="O13" s="254">
        <v>0</v>
      </c>
      <c r="P13" s="254">
        <v>0</v>
      </c>
      <c r="Q13" s="254">
        <v>0</v>
      </c>
      <c r="R13" s="254">
        <v>31.947500000000019</v>
      </c>
      <c r="S13" s="254">
        <v>0</v>
      </c>
      <c r="T13" s="254">
        <v>30.978365384615376</v>
      </c>
      <c r="U13" s="254">
        <v>0</v>
      </c>
      <c r="V13" s="254">
        <v>71.072115384615444</v>
      </c>
      <c r="W13" s="254">
        <v>0</v>
      </c>
      <c r="X13" s="254">
        <v>56.526442307692328</v>
      </c>
      <c r="Y13" s="254">
        <v>0</v>
      </c>
      <c r="Z13" s="254">
        <v>0</v>
      </c>
      <c r="AA13" s="254">
        <v>0</v>
      </c>
      <c r="AB13" s="254">
        <v>130.61574074074079</v>
      </c>
      <c r="AC13" s="254">
        <v>0</v>
      </c>
      <c r="AD13" s="254">
        <v>9.7317708333332646</v>
      </c>
      <c r="AE13" s="254">
        <v>0</v>
      </c>
      <c r="AF13" s="254">
        <v>251.03846153846143</v>
      </c>
      <c r="AG13" s="254">
        <v>0</v>
      </c>
      <c r="AH13" s="254">
        <v>203.68999999999997</v>
      </c>
      <c r="AI13" s="254">
        <v>0</v>
      </c>
      <c r="AJ13" s="254">
        <v>92.059895833333371</v>
      </c>
      <c r="AK13" s="254">
        <v>0</v>
      </c>
      <c r="AL13" s="254">
        <v>99.97453703703701</v>
      </c>
      <c r="AM13" s="254">
        <v>0</v>
      </c>
      <c r="AN13" s="254">
        <v>0</v>
      </c>
      <c r="AO13" s="254">
        <v>0</v>
      </c>
      <c r="AP13" s="254">
        <v>20.280000000000019</v>
      </c>
      <c r="AQ13" s="254">
        <v>0</v>
      </c>
      <c r="AR13" s="254">
        <v>30.978365384615376</v>
      </c>
      <c r="AS13" s="254">
        <v>0</v>
      </c>
      <c r="AT13" s="254">
        <v>71.072115384615444</v>
      </c>
      <c r="AU13" s="254">
        <v>0</v>
      </c>
      <c r="AV13" s="254">
        <v>56.526442307692328</v>
      </c>
      <c r="AW13" s="254">
        <v>0</v>
      </c>
      <c r="AX13" s="254">
        <v>0</v>
      </c>
      <c r="AY13" s="254">
        <v>0</v>
      </c>
    </row>
    <row r="14" spans="1:51">
      <c r="B14" s="244">
        <v>10057</v>
      </c>
      <c r="C14" s="244" t="s">
        <v>17</v>
      </c>
      <c r="D14" s="254">
        <v>2007.4351851851836</v>
      </c>
      <c r="E14" s="254">
        <v>0</v>
      </c>
      <c r="F14" s="254">
        <v>0</v>
      </c>
      <c r="G14" s="254">
        <v>0</v>
      </c>
      <c r="H14" s="254">
        <v>1745.0500000000027</v>
      </c>
      <c r="I14" s="254">
        <v>0</v>
      </c>
      <c r="J14" s="254">
        <v>2712.5600961538448</v>
      </c>
      <c r="K14" s="254">
        <v>0</v>
      </c>
      <c r="L14" s="254">
        <v>3595.4075000000003</v>
      </c>
      <c r="M14" s="254">
        <v>0</v>
      </c>
      <c r="N14" s="254">
        <v>3233.4471153846166</v>
      </c>
      <c r="O14" s="254">
        <v>0</v>
      </c>
      <c r="P14" s="254">
        <v>2593.0384615384592</v>
      </c>
      <c r="Q14" s="254">
        <v>0</v>
      </c>
      <c r="R14" s="254">
        <v>0</v>
      </c>
      <c r="S14" s="254">
        <v>0</v>
      </c>
      <c r="T14" s="254">
        <v>3917.009615384613</v>
      </c>
      <c r="U14" s="254">
        <v>0</v>
      </c>
      <c r="V14" s="254">
        <v>5194.3533653846143</v>
      </c>
      <c r="W14" s="254">
        <v>0</v>
      </c>
      <c r="X14" s="254">
        <v>2711.5865384615408</v>
      </c>
      <c r="Y14" s="254">
        <v>0</v>
      </c>
      <c r="Z14" s="254">
        <v>5048.7</v>
      </c>
      <c r="AA14" s="254">
        <v>0</v>
      </c>
      <c r="AB14" s="254">
        <v>2007.4351851851836</v>
      </c>
      <c r="AC14" s="254">
        <v>0</v>
      </c>
      <c r="AD14" s="254">
        <v>0</v>
      </c>
      <c r="AE14" s="254">
        <v>0</v>
      </c>
      <c r="AF14" s="254">
        <v>2819.6634615384646</v>
      </c>
      <c r="AG14" s="254">
        <v>0</v>
      </c>
      <c r="AH14" s="254">
        <v>1660.5424999999991</v>
      </c>
      <c r="AI14" s="254">
        <v>0</v>
      </c>
      <c r="AJ14" s="254">
        <v>2602.2161458333348</v>
      </c>
      <c r="AK14" s="254">
        <v>0</v>
      </c>
      <c r="AL14" s="254">
        <v>4086.9490740740762</v>
      </c>
      <c r="AM14" s="254">
        <v>0</v>
      </c>
      <c r="AN14" s="254">
        <v>3397.9182692307681</v>
      </c>
      <c r="AO14" s="254">
        <v>0</v>
      </c>
      <c r="AP14" s="254">
        <v>0</v>
      </c>
      <c r="AQ14" s="254">
        <v>0</v>
      </c>
      <c r="AR14" s="254">
        <v>3917.009615384613</v>
      </c>
      <c r="AS14" s="254">
        <v>0</v>
      </c>
      <c r="AT14" s="254">
        <v>5194.3533653846143</v>
      </c>
      <c r="AU14" s="254">
        <v>0</v>
      </c>
      <c r="AV14" s="254">
        <v>2711.5865384615408</v>
      </c>
      <c r="AW14" s="254">
        <v>0</v>
      </c>
      <c r="AX14" s="254">
        <v>5048.7</v>
      </c>
      <c r="AY14" s="254">
        <v>0</v>
      </c>
    </row>
    <row r="15" spans="1:51">
      <c r="B15" s="244">
        <v>10059</v>
      </c>
      <c r="C15" s="244" t="s">
        <v>18</v>
      </c>
      <c r="D15" s="254">
        <v>360.83101851851842</v>
      </c>
      <c r="E15" s="254">
        <v>0</v>
      </c>
      <c r="F15" s="254">
        <v>202.24999999999937</v>
      </c>
      <c r="G15" s="254">
        <v>0</v>
      </c>
      <c r="H15" s="254">
        <v>1276.2424999999992</v>
      </c>
      <c r="I15" s="254">
        <v>0</v>
      </c>
      <c r="J15" s="254">
        <v>3300.8798076923085</v>
      </c>
      <c r="K15" s="254">
        <v>0</v>
      </c>
      <c r="L15" s="254">
        <v>1415.7950000000001</v>
      </c>
      <c r="M15" s="254">
        <v>0</v>
      </c>
      <c r="N15" s="254">
        <v>1832.2548076923067</v>
      </c>
      <c r="O15" s="254">
        <v>0</v>
      </c>
      <c r="P15" s="254">
        <v>1274.3437500000002</v>
      </c>
      <c r="Q15" s="254">
        <v>0</v>
      </c>
      <c r="R15" s="254">
        <v>24.934999999999707</v>
      </c>
      <c r="S15" s="254">
        <v>0</v>
      </c>
      <c r="T15" s="254">
        <v>757.54567307692344</v>
      </c>
      <c r="U15" s="254">
        <v>0</v>
      </c>
      <c r="V15" s="254">
        <v>773.24759615384596</v>
      </c>
      <c r="W15" s="254">
        <v>0</v>
      </c>
      <c r="X15" s="254">
        <v>312.01923076923197</v>
      </c>
      <c r="Y15" s="254">
        <v>0</v>
      </c>
      <c r="Z15" s="254">
        <v>363.9874999999999</v>
      </c>
      <c r="AA15" s="254">
        <v>0</v>
      </c>
      <c r="AB15" s="254">
        <v>388.83101851851887</v>
      </c>
      <c r="AC15" s="254">
        <v>0</v>
      </c>
      <c r="AD15" s="254">
        <v>0</v>
      </c>
      <c r="AE15" s="254">
        <v>0</v>
      </c>
      <c r="AF15" s="254">
        <v>1737.3870192307704</v>
      </c>
      <c r="AG15" s="254">
        <v>0</v>
      </c>
      <c r="AH15" s="254">
        <v>2923.875</v>
      </c>
      <c r="AI15" s="254">
        <v>0</v>
      </c>
      <c r="AJ15" s="254">
        <v>1030.0364583333339</v>
      </c>
      <c r="AK15" s="254">
        <v>0</v>
      </c>
      <c r="AL15" s="254">
        <v>2218.2453703703704</v>
      </c>
      <c r="AM15" s="254">
        <v>0</v>
      </c>
      <c r="AN15" s="254">
        <v>1655.9014423076915</v>
      </c>
      <c r="AO15" s="254">
        <v>0</v>
      </c>
      <c r="AP15" s="254">
        <v>0</v>
      </c>
      <c r="AQ15" s="254">
        <v>0</v>
      </c>
      <c r="AR15" s="254">
        <v>779.54567307692366</v>
      </c>
      <c r="AS15" s="254">
        <v>0</v>
      </c>
      <c r="AT15" s="254">
        <v>793.24759615384551</v>
      </c>
      <c r="AU15" s="254">
        <v>0</v>
      </c>
      <c r="AV15" s="254">
        <v>333.019230769231</v>
      </c>
      <c r="AW15" s="254">
        <v>0</v>
      </c>
      <c r="AX15" s="254">
        <v>385.98750000000013</v>
      </c>
      <c r="AY15" s="254">
        <v>0</v>
      </c>
    </row>
    <row r="16" spans="1:51">
      <c r="B16" s="244">
        <v>10061</v>
      </c>
      <c r="C16" s="244" t="s">
        <v>19</v>
      </c>
      <c r="D16" s="254">
        <v>1246.9421296296312</v>
      </c>
      <c r="E16" s="254">
        <v>0</v>
      </c>
      <c r="F16" s="254">
        <v>1093.4650000000011</v>
      </c>
      <c r="G16" s="254">
        <v>0</v>
      </c>
      <c r="H16" s="254">
        <v>1400.0725000000011</v>
      </c>
      <c r="I16" s="254">
        <v>0</v>
      </c>
      <c r="J16" s="254">
        <v>1963.0192307692305</v>
      </c>
      <c r="K16" s="254">
        <v>0</v>
      </c>
      <c r="L16" s="254">
        <v>1995.6524999999997</v>
      </c>
      <c r="M16" s="254">
        <v>0</v>
      </c>
      <c r="N16" s="254">
        <v>1337.1995192307681</v>
      </c>
      <c r="O16" s="254">
        <v>0</v>
      </c>
      <c r="P16" s="254">
        <v>1135.2331730769231</v>
      </c>
      <c r="Q16" s="254">
        <v>0</v>
      </c>
      <c r="R16" s="254">
        <v>1248.8799999999997</v>
      </c>
      <c r="S16" s="254">
        <v>0</v>
      </c>
      <c r="T16" s="254">
        <v>1348.2572115384614</v>
      </c>
      <c r="U16" s="254">
        <v>0</v>
      </c>
      <c r="V16" s="254">
        <v>1546.165865384615</v>
      </c>
      <c r="W16" s="254">
        <v>0</v>
      </c>
      <c r="X16" s="254">
        <v>1161.685096153846</v>
      </c>
      <c r="Y16" s="254">
        <v>0</v>
      </c>
      <c r="Z16" s="254">
        <v>1281.5224999999989</v>
      </c>
      <c r="AA16" s="254">
        <v>0</v>
      </c>
      <c r="AB16" s="254">
        <v>1273.0995370370381</v>
      </c>
      <c r="AC16" s="254">
        <v>0</v>
      </c>
      <c r="AD16" s="254">
        <v>654.77343750000205</v>
      </c>
      <c r="AE16" s="254">
        <v>0</v>
      </c>
      <c r="AF16" s="254">
        <v>1891.9807692307691</v>
      </c>
      <c r="AG16" s="254">
        <v>0</v>
      </c>
      <c r="AH16" s="254">
        <v>1497.0024999999989</v>
      </c>
      <c r="AI16" s="254">
        <v>0</v>
      </c>
      <c r="AJ16" s="254">
        <v>1546.6875000000002</v>
      </c>
      <c r="AK16" s="254">
        <v>0</v>
      </c>
      <c r="AL16" s="254">
        <v>1750.5972222222215</v>
      </c>
      <c r="AM16" s="254">
        <v>0</v>
      </c>
      <c r="AN16" s="254">
        <v>1527.6442307692303</v>
      </c>
      <c r="AO16" s="254">
        <v>0</v>
      </c>
      <c r="AP16" s="254">
        <v>891.54500000000075</v>
      </c>
      <c r="AQ16" s="254">
        <v>0</v>
      </c>
      <c r="AR16" s="254">
        <v>1350.0576923076915</v>
      </c>
      <c r="AS16" s="254">
        <v>0</v>
      </c>
      <c r="AT16" s="254">
        <v>1548.3701923076912</v>
      </c>
      <c r="AU16" s="254">
        <v>0</v>
      </c>
      <c r="AV16" s="254">
        <v>1160.7572115384614</v>
      </c>
      <c r="AW16" s="254">
        <v>0</v>
      </c>
      <c r="AX16" s="254">
        <v>1279.6099999999992</v>
      </c>
      <c r="AY16" s="254">
        <v>0</v>
      </c>
    </row>
    <row r="17" spans="2:51">
      <c r="B17" s="244">
        <v>10062</v>
      </c>
      <c r="C17" s="244" t="s">
        <v>20</v>
      </c>
      <c r="D17" s="254">
        <v>289.86805555555463</v>
      </c>
      <c r="E17" s="254">
        <v>0</v>
      </c>
      <c r="F17" s="254">
        <v>490.06250000000074</v>
      </c>
      <c r="G17" s="254">
        <v>0</v>
      </c>
      <c r="H17" s="254">
        <v>1505.1249999999998</v>
      </c>
      <c r="I17" s="254">
        <v>0</v>
      </c>
      <c r="J17" s="254">
        <v>1185.9326923076935</v>
      </c>
      <c r="K17" s="254">
        <v>0</v>
      </c>
      <c r="L17" s="254">
        <v>1531.4200000000017</v>
      </c>
      <c r="M17" s="254">
        <v>0</v>
      </c>
      <c r="N17" s="254">
        <v>135.92788461538484</v>
      </c>
      <c r="O17" s="254">
        <v>0</v>
      </c>
      <c r="P17" s="254">
        <v>950.05048076923072</v>
      </c>
      <c r="Q17" s="254">
        <v>0</v>
      </c>
      <c r="R17" s="254">
        <v>184.32499999999962</v>
      </c>
      <c r="S17" s="254">
        <v>0</v>
      </c>
      <c r="T17" s="254">
        <v>918.84375000000171</v>
      </c>
      <c r="U17" s="254">
        <v>0</v>
      </c>
      <c r="V17" s="254">
        <v>478.37740384615478</v>
      </c>
      <c r="W17" s="254">
        <v>0</v>
      </c>
      <c r="X17" s="254">
        <v>33.653846153845592</v>
      </c>
      <c r="Y17" s="254">
        <v>0</v>
      </c>
      <c r="Z17" s="254">
        <v>778.5349999999986</v>
      </c>
      <c r="AA17" s="254">
        <v>0</v>
      </c>
      <c r="AB17" s="254">
        <v>268.95833333333343</v>
      </c>
      <c r="AC17" s="254">
        <v>0</v>
      </c>
      <c r="AD17" s="254">
        <v>0</v>
      </c>
      <c r="AE17" s="254">
        <v>0</v>
      </c>
      <c r="AF17" s="254">
        <v>1975.14423076923</v>
      </c>
      <c r="AG17" s="254">
        <v>0</v>
      </c>
      <c r="AH17" s="254">
        <v>692.17750000000012</v>
      </c>
      <c r="AI17" s="254">
        <v>0</v>
      </c>
      <c r="AJ17" s="254">
        <v>1037.6328124999991</v>
      </c>
      <c r="AK17" s="254">
        <v>0</v>
      </c>
      <c r="AL17" s="254">
        <v>533.75694444444366</v>
      </c>
      <c r="AM17" s="254">
        <v>0</v>
      </c>
      <c r="AN17" s="254">
        <v>936.75480769230739</v>
      </c>
      <c r="AO17" s="254">
        <v>0</v>
      </c>
      <c r="AP17" s="254">
        <v>164.31249999999963</v>
      </c>
      <c r="AQ17" s="254">
        <v>0</v>
      </c>
      <c r="AR17" s="254">
        <v>895.10817307692321</v>
      </c>
      <c r="AS17" s="254">
        <v>0</v>
      </c>
      <c r="AT17" s="254">
        <v>461.46153846153834</v>
      </c>
      <c r="AU17" s="254">
        <v>0</v>
      </c>
      <c r="AV17" s="254">
        <v>9.0024038461542499</v>
      </c>
      <c r="AW17" s="254">
        <v>0</v>
      </c>
      <c r="AX17" s="254">
        <v>756.44250000000102</v>
      </c>
      <c r="AY17" s="254">
        <v>0</v>
      </c>
    </row>
    <row r="18" spans="2:51">
      <c r="B18" s="244">
        <v>10064</v>
      </c>
      <c r="C18" s="244" t="s">
        <v>21</v>
      </c>
      <c r="D18" s="254">
        <v>2515.6388888888869</v>
      </c>
      <c r="E18" s="254">
        <v>0</v>
      </c>
      <c r="F18" s="254">
        <v>0</v>
      </c>
      <c r="G18" s="254">
        <v>0</v>
      </c>
      <c r="H18" s="254">
        <v>641.16249999999968</v>
      </c>
      <c r="I18" s="254">
        <v>0</v>
      </c>
      <c r="J18" s="254">
        <v>2346.6057692307672</v>
      </c>
      <c r="K18" s="254">
        <v>0</v>
      </c>
      <c r="L18" s="254">
        <v>1160.4474999999995</v>
      </c>
      <c r="M18" s="254">
        <v>0</v>
      </c>
      <c r="N18" s="254">
        <v>1113.3677884615395</v>
      </c>
      <c r="O18" s="254">
        <v>0</v>
      </c>
      <c r="P18" s="254">
        <v>1062.1850961538485</v>
      </c>
      <c r="Q18" s="254">
        <v>0</v>
      </c>
      <c r="R18" s="254">
        <v>328.18500000000131</v>
      </c>
      <c r="S18" s="254">
        <v>0</v>
      </c>
      <c r="T18" s="254">
        <v>2370.088942307691</v>
      </c>
      <c r="U18" s="254">
        <v>0</v>
      </c>
      <c r="V18" s="254">
        <v>2967.1850961538471</v>
      </c>
      <c r="W18" s="254">
        <v>0</v>
      </c>
      <c r="X18" s="254">
        <v>1419.4495192307697</v>
      </c>
      <c r="Y18" s="254">
        <v>0</v>
      </c>
      <c r="Z18" s="254">
        <v>1043.3175000000006</v>
      </c>
      <c r="AA18" s="254">
        <v>0</v>
      </c>
      <c r="AB18" s="254">
        <v>2542.3564814814822</v>
      </c>
      <c r="AC18" s="254">
        <v>0</v>
      </c>
      <c r="AD18" s="254">
        <v>0</v>
      </c>
      <c r="AE18" s="254">
        <v>0</v>
      </c>
      <c r="AF18" s="254">
        <v>1414.5432692307688</v>
      </c>
      <c r="AG18" s="254">
        <v>0</v>
      </c>
      <c r="AH18" s="254">
        <v>1662.3774999999991</v>
      </c>
      <c r="AI18" s="254">
        <v>0</v>
      </c>
      <c r="AJ18" s="254">
        <v>518.36979166666765</v>
      </c>
      <c r="AK18" s="254">
        <v>0</v>
      </c>
      <c r="AL18" s="254">
        <v>1717.6967592592614</v>
      </c>
      <c r="AM18" s="254">
        <v>0</v>
      </c>
      <c r="AN18" s="254">
        <v>1576.0697115384637</v>
      </c>
      <c r="AO18" s="254">
        <v>0</v>
      </c>
      <c r="AP18" s="254">
        <v>0</v>
      </c>
      <c r="AQ18" s="254">
        <v>0</v>
      </c>
      <c r="AR18" s="254">
        <v>2399.3942307692309</v>
      </c>
      <c r="AS18" s="254">
        <v>0</v>
      </c>
      <c r="AT18" s="254">
        <v>2998.9278846153848</v>
      </c>
      <c r="AU18" s="254">
        <v>0</v>
      </c>
      <c r="AV18" s="254">
        <v>1447.6634615384603</v>
      </c>
      <c r="AW18" s="254">
        <v>0</v>
      </c>
      <c r="AX18" s="254">
        <v>1067.4349999999997</v>
      </c>
      <c r="AY18" s="254">
        <v>0</v>
      </c>
    </row>
    <row r="19" spans="2:51">
      <c r="B19" s="244">
        <v>10065</v>
      </c>
      <c r="C19" s="244" t="s">
        <v>22</v>
      </c>
      <c r="D19" s="254">
        <v>0</v>
      </c>
      <c r="E19" s="254">
        <v>0</v>
      </c>
      <c r="F19" s="254">
        <v>0</v>
      </c>
      <c r="G19" s="254">
        <v>0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54">
        <v>0</v>
      </c>
      <c r="T19" s="254">
        <v>0</v>
      </c>
      <c r="U19" s="254">
        <v>0</v>
      </c>
      <c r="V19" s="254">
        <v>0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0</v>
      </c>
      <c r="AD19" s="254">
        <v>0</v>
      </c>
      <c r="AE19" s="254">
        <v>0</v>
      </c>
      <c r="AF19" s="254">
        <v>0</v>
      </c>
      <c r="AG19" s="254">
        <v>0</v>
      </c>
      <c r="AH19" s="254">
        <v>0</v>
      </c>
      <c r="AI19" s="254">
        <v>0</v>
      </c>
      <c r="AJ19" s="254">
        <v>0</v>
      </c>
      <c r="AK19" s="254">
        <v>0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0</v>
      </c>
      <c r="AU19" s="254">
        <v>0</v>
      </c>
      <c r="AV19" s="254">
        <v>0</v>
      </c>
      <c r="AW19" s="254">
        <v>0</v>
      </c>
      <c r="AX19" s="254">
        <v>0</v>
      </c>
      <c r="AY19" s="254">
        <v>0</v>
      </c>
    </row>
    <row r="20" spans="2:51">
      <c r="B20" s="244">
        <v>10066</v>
      </c>
      <c r="C20" s="244" t="s">
        <v>23</v>
      </c>
      <c r="D20" s="254">
        <v>0</v>
      </c>
      <c r="E20" s="254">
        <v>0</v>
      </c>
      <c r="F20" s="254">
        <v>0</v>
      </c>
      <c r="G20" s="254">
        <v>0</v>
      </c>
      <c r="H20" s="254">
        <v>5168.5950000000039</v>
      </c>
      <c r="I20" s="254">
        <v>0</v>
      </c>
      <c r="J20" s="254">
        <v>4280.5336538461543</v>
      </c>
      <c r="K20" s="254">
        <v>0</v>
      </c>
      <c r="L20" s="254">
        <v>2124.1875000000032</v>
      </c>
      <c r="M20" s="254">
        <v>0</v>
      </c>
      <c r="N20" s="254">
        <v>0</v>
      </c>
      <c r="O20" s="254">
        <v>0</v>
      </c>
      <c r="P20" s="254">
        <v>997.32932692307588</v>
      </c>
      <c r="Q20" s="254">
        <v>0</v>
      </c>
      <c r="R20" s="254">
        <v>0</v>
      </c>
      <c r="S20" s="254">
        <v>0</v>
      </c>
      <c r="T20" s="254">
        <v>1668.8557692307677</v>
      </c>
      <c r="U20" s="254">
        <v>0</v>
      </c>
      <c r="V20" s="254">
        <v>0</v>
      </c>
      <c r="W20" s="254">
        <v>0</v>
      </c>
      <c r="X20" s="254">
        <v>0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7179.817307692304</v>
      </c>
      <c r="AG20" s="254">
        <v>0</v>
      </c>
      <c r="AH20" s="254">
        <v>2779.3325000000077</v>
      </c>
      <c r="AI20" s="254">
        <v>0</v>
      </c>
      <c r="AJ20" s="254">
        <v>735.63281249999159</v>
      </c>
      <c r="AK20" s="254">
        <v>0</v>
      </c>
      <c r="AL20" s="254">
        <v>316.71990740740875</v>
      </c>
      <c r="AM20" s="254">
        <v>0</v>
      </c>
      <c r="AN20" s="254">
        <v>2426.3461538461506</v>
      </c>
      <c r="AO20" s="254">
        <v>0</v>
      </c>
      <c r="AP20" s="254">
        <v>0</v>
      </c>
      <c r="AQ20" s="254">
        <v>0</v>
      </c>
      <c r="AR20" s="254">
        <v>1913.7932692307631</v>
      </c>
      <c r="AS20" s="254">
        <v>0</v>
      </c>
      <c r="AT20" s="254">
        <v>0</v>
      </c>
      <c r="AU20" s="254">
        <v>0</v>
      </c>
      <c r="AV20" s="254">
        <v>0</v>
      </c>
      <c r="AW20" s="254">
        <v>0</v>
      </c>
      <c r="AX20" s="254">
        <v>0</v>
      </c>
      <c r="AY20" s="254">
        <v>0</v>
      </c>
    </row>
    <row r="21" spans="2:51">
      <c r="B21" s="244">
        <v>10067</v>
      </c>
      <c r="C21" s="244" t="s">
        <v>24</v>
      </c>
      <c r="D21" s="254">
        <v>3609.9305555555557</v>
      </c>
      <c r="E21" s="254">
        <v>0</v>
      </c>
      <c r="F21" s="254">
        <v>5866.8149999999969</v>
      </c>
      <c r="G21" s="254">
        <v>0</v>
      </c>
      <c r="H21" s="254">
        <v>4007.7849999999985</v>
      </c>
      <c r="I21" s="254">
        <v>0</v>
      </c>
      <c r="J21" s="254">
        <v>6919.1057692307713</v>
      </c>
      <c r="K21" s="254">
        <v>0</v>
      </c>
      <c r="L21" s="254">
        <v>3694.5324999999984</v>
      </c>
      <c r="M21" s="254">
        <v>0</v>
      </c>
      <c r="N21" s="254">
        <v>4393.8653846153838</v>
      </c>
      <c r="O21" s="254">
        <v>0</v>
      </c>
      <c r="P21" s="254">
        <v>5385.2524038461543</v>
      </c>
      <c r="Q21" s="254">
        <v>0</v>
      </c>
      <c r="R21" s="254">
        <v>5038.7575000000006</v>
      </c>
      <c r="S21" s="254">
        <v>0</v>
      </c>
      <c r="T21" s="254">
        <v>3682.7019230769206</v>
      </c>
      <c r="U21" s="254">
        <v>0</v>
      </c>
      <c r="V21" s="254">
        <v>6461.3389423076915</v>
      </c>
      <c r="W21" s="254">
        <v>0</v>
      </c>
      <c r="X21" s="254">
        <v>3707.4182692307709</v>
      </c>
      <c r="Y21" s="254">
        <v>0</v>
      </c>
      <c r="Z21" s="254">
        <v>6012.4775000000018</v>
      </c>
      <c r="AA21" s="254">
        <v>0</v>
      </c>
      <c r="AB21" s="254">
        <v>3757.0439814814822</v>
      </c>
      <c r="AC21" s="254">
        <v>0</v>
      </c>
      <c r="AD21" s="254">
        <v>5289.8984375000018</v>
      </c>
      <c r="AE21" s="254">
        <v>0</v>
      </c>
      <c r="AF21" s="254">
        <v>5016.2668269230753</v>
      </c>
      <c r="AG21" s="254">
        <v>0</v>
      </c>
      <c r="AH21" s="254">
        <v>6255.4724999999999</v>
      </c>
      <c r="AI21" s="254">
        <v>0</v>
      </c>
      <c r="AJ21" s="254">
        <v>4003.0963541666661</v>
      </c>
      <c r="AK21" s="254">
        <v>0</v>
      </c>
      <c r="AL21" s="254">
        <v>5281.3819444444471</v>
      </c>
      <c r="AM21" s="254">
        <v>0</v>
      </c>
      <c r="AN21" s="254">
        <v>5559.4158653846171</v>
      </c>
      <c r="AO21" s="254">
        <v>0</v>
      </c>
      <c r="AP21" s="254">
        <v>5177.8449999999975</v>
      </c>
      <c r="AQ21" s="254">
        <v>0</v>
      </c>
      <c r="AR21" s="254">
        <v>3830.6201923076956</v>
      </c>
      <c r="AS21" s="254">
        <v>0</v>
      </c>
      <c r="AT21" s="254">
        <v>6636.9254807692305</v>
      </c>
      <c r="AU21" s="254">
        <v>0</v>
      </c>
      <c r="AV21" s="254">
        <v>3858.024038461539</v>
      </c>
      <c r="AW21" s="254">
        <v>0</v>
      </c>
      <c r="AX21" s="254">
        <v>6164.717499999997</v>
      </c>
      <c r="AY21" s="254">
        <v>0</v>
      </c>
    </row>
    <row r="22" spans="2:51">
      <c r="B22" s="244">
        <v>10068</v>
      </c>
      <c r="C22" s="244" t="s">
        <v>25</v>
      </c>
      <c r="D22" s="254">
        <v>0</v>
      </c>
      <c r="E22" s="254">
        <v>0</v>
      </c>
      <c r="F22" s="254">
        <v>159.73250000000004</v>
      </c>
      <c r="G22" s="254">
        <v>0</v>
      </c>
      <c r="H22" s="254">
        <v>220.10000000000031</v>
      </c>
      <c r="I22" s="254">
        <v>0</v>
      </c>
      <c r="J22" s="254">
        <v>540.93509615384619</v>
      </c>
      <c r="K22" s="254">
        <v>0</v>
      </c>
      <c r="L22" s="254">
        <v>312.77</v>
      </c>
      <c r="M22" s="254">
        <v>0</v>
      </c>
      <c r="N22" s="254">
        <v>187.6466346153849</v>
      </c>
      <c r="O22" s="254">
        <v>0</v>
      </c>
      <c r="P22" s="254">
        <v>345.49519230769209</v>
      </c>
      <c r="Q22" s="254">
        <v>0</v>
      </c>
      <c r="R22" s="254">
        <v>143.11999999999975</v>
      </c>
      <c r="S22" s="254">
        <v>0</v>
      </c>
      <c r="T22" s="254">
        <v>56.103365384615579</v>
      </c>
      <c r="U22" s="254">
        <v>0</v>
      </c>
      <c r="V22" s="254">
        <v>725.43990384615347</v>
      </c>
      <c r="W22" s="254">
        <v>0</v>
      </c>
      <c r="X22" s="254">
        <v>485.13701923076906</v>
      </c>
      <c r="Y22" s="254">
        <v>0</v>
      </c>
      <c r="Z22" s="254">
        <v>245.78500000000008</v>
      </c>
      <c r="AA22" s="254">
        <v>0</v>
      </c>
      <c r="AB22" s="254">
        <v>0</v>
      </c>
      <c r="AC22" s="254">
        <v>0</v>
      </c>
      <c r="AD22" s="254">
        <v>37.388020833333258</v>
      </c>
      <c r="AE22" s="254">
        <v>0</v>
      </c>
      <c r="AF22" s="254">
        <v>361.21153846153874</v>
      </c>
      <c r="AG22" s="254">
        <v>0</v>
      </c>
      <c r="AH22" s="254">
        <v>398.97249999999997</v>
      </c>
      <c r="AI22" s="254">
        <v>0</v>
      </c>
      <c r="AJ22" s="254">
        <v>183.17708333333326</v>
      </c>
      <c r="AK22" s="254">
        <v>0</v>
      </c>
      <c r="AL22" s="254">
        <v>296.62268518518545</v>
      </c>
      <c r="AM22" s="254">
        <v>0</v>
      </c>
      <c r="AN22" s="254">
        <v>345.49519230769209</v>
      </c>
      <c r="AO22" s="254">
        <v>0</v>
      </c>
      <c r="AP22" s="254">
        <v>143.11999999999975</v>
      </c>
      <c r="AQ22" s="254">
        <v>0</v>
      </c>
      <c r="AR22" s="254">
        <v>56.103365384615579</v>
      </c>
      <c r="AS22" s="254">
        <v>0</v>
      </c>
      <c r="AT22" s="254">
        <v>725.43990384615347</v>
      </c>
      <c r="AU22" s="254">
        <v>0</v>
      </c>
      <c r="AV22" s="254">
        <v>485.13701923076906</v>
      </c>
      <c r="AW22" s="254">
        <v>0</v>
      </c>
      <c r="AX22" s="254">
        <v>245.78500000000008</v>
      </c>
      <c r="AY22" s="254">
        <v>0</v>
      </c>
    </row>
    <row r="23" spans="2:51">
      <c r="B23" s="244">
        <v>10070</v>
      </c>
      <c r="C23" s="244" t="s">
        <v>26</v>
      </c>
      <c r="D23" s="254">
        <v>81.886574074074076</v>
      </c>
      <c r="E23" s="254">
        <v>0</v>
      </c>
      <c r="F23" s="254">
        <v>26.124999999999982</v>
      </c>
      <c r="G23" s="254">
        <v>0</v>
      </c>
      <c r="H23" s="254">
        <v>87.385000000000048</v>
      </c>
      <c r="I23" s="254">
        <v>0</v>
      </c>
      <c r="J23" s="254">
        <v>93.411057692307736</v>
      </c>
      <c r="K23" s="254">
        <v>0</v>
      </c>
      <c r="L23" s="254">
        <v>68.232500000000002</v>
      </c>
      <c r="M23" s="254">
        <v>0</v>
      </c>
      <c r="N23" s="254">
        <v>59.012019230769205</v>
      </c>
      <c r="O23" s="254">
        <v>0</v>
      </c>
      <c r="P23" s="254">
        <v>38.528846153846139</v>
      </c>
      <c r="Q23" s="254">
        <v>0</v>
      </c>
      <c r="R23" s="254">
        <v>24.915000000000049</v>
      </c>
      <c r="S23" s="254">
        <v>0</v>
      </c>
      <c r="T23" s="254">
        <v>58.237980769230788</v>
      </c>
      <c r="U23" s="254">
        <v>0</v>
      </c>
      <c r="V23" s="254">
        <v>77.30048076923083</v>
      </c>
      <c r="W23" s="254">
        <v>0</v>
      </c>
      <c r="X23" s="254">
        <v>62.822115384615337</v>
      </c>
      <c r="Y23" s="254">
        <v>0</v>
      </c>
      <c r="Z23" s="254">
        <v>63.265000000000001</v>
      </c>
      <c r="AA23" s="254">
        <v>0</v>
      </c>
      <c r="AB23" s="254">
        <v>82.527777777777757</v>
      </c>
      <c r="AC23" s="254">
        <v>0</v>
      </c>
      <c r="AD23" s="254">
        <v>8.1067708333333037</v>
      </c>
      <c r="AE23" s="254">
        <v>0</v>
      </c>
      <c r="AF23" s="254">
        <v>108.80769230769238</v>
      </c>
      <c r="AG23" s="254">
        <v>0</v>
      </c>
      <c r="AH23" s="254">
        <v>73.334999999999923</v>
      </c>
      <c r="AI23" s="254">
        <v>0</v>
      </c>
      <c r="AJ23" s="254">
        <v>49.812500000000064</v>
      </c>
      <c r="AK23" s="254">
        <v>0</v>
      </c>
      <c r="AL23" s="254">
        <v>74.199074074074062</v>
      </c>
      <c r="AM23" s="254">
        <v>0</v>
      </c>
      <c r="AN23" s="254">
        <v>52.814903846153754</v>
      </c>
      <c r="AO23" s="254">
        <v>0</v>
      </c>
      <c r="AP23" s="254">
        <v>12.752499999999973</v>
      </c>
      <c r="AQ23" s="254">
        <v>0</v>
      </c>
      <c r="AR23" s="254">
        <v>58.903846153846111</v>
      </c>
      <c r="AS23" s="254">
        <v>0</v>
      </c>
      <c r="AT23" s="254">
        <v>76.942307692307736</v>
      </c>
      <c r="AU23" s="254">
        <v>0</v>
      </c>
      <c r="AV23" s="254">
        <v>62.435096153846111</v>
      </c>
      <c r="AW23" s="254">
        <v>0</v>
      </c>
      <c r="AX23" s="254">
        <v>63.910000000000011</v>
      </c>
      <c r="AY23" s="254">
        <v>0</v>
      </c>
    </row>
    <row r="24" spans="2:51">
      <c r="B24" s="244">
        <v>10071</v>
      </c>
      <c r="C24" s="244" t="s">
        <v>27</v>
      </c>
      <c r="D24" s="254">
        <v>79.729166666666742</v>
      </c>
      <c r="E24" s="254">
        <v>0</v>
      </c>
      <c r="F24" s="254">
        <v>133.43499999999986</v>
      </c>
      <c r="G24" s="254">
        <v>0</v>
      </c>
      <c r="H24" s="254">
        <v>242.96249999999952</v>
      </c>
      <c r="I24" s="254">
        <v>0</v>
      </c>
      <c r="J24" s="254">
        <v>326.61538461538476</v>
      </c>
      <c r="K24" s="254">
        <v>0</v>
      </c>
      <c r="L24" s="254">
        <v>246.94500000000031</v>
      </c>
      <c r="M24" s="254">
        <v>0</v>
      </c>
      <c r="N24" s="254">
        <v>289.30528846153811</v>
      </c>
      <c r="O24" s="254">
        <v>0</v>
      </c>
      <c r="P24" s="254">
        <v>318.78846153846155</v>
      </c>
      <c r="Q24" s="254">
        <v>0</v>
      </c>
      <c r="R24" s="254">
        <v>0</v>
      </c>
      <c r="S24" s="254">
        <v>0</v>
      </c>
      <c r="T24" s="254">
        <v>101.96875000000027</v>
      </c>
      <c r="U24" s="254">
        <v>0</v>
      </c>
      <c r="V24" s="254">
        <v>140.49278846153845</v>
      </c>
      <c r="W24" s="254">
        <v>0</v>
      </c>
      <c r="X24" s="254">
        <v>150.22596153846152</v>
      </c>
      <c r="Y24" s="254">
        <v>0</v>
      </c>
      <c r="Z24" s="254">
        <v>0</v>
      </c>
      <c r="AA24" s="254">
        <v>0</v>
      </c>
      <c r="AB24" s="254">
        <v>79.729166666666742</v>
      </c>
      <c r="AC24" s="254">
        <v>0</v>
      </c>
      <c r="AD24" s="254">
        <v>46.411458333332931</v>
      </c>
      <c r="AE24" s="254">
        <v>0</v>
      </c>
      <c r="AF24" s="254">
        <v>353.34855769230745</v>
      </c>
      <c r="AG24" s="254">
        <v>0</v>
      </c>
      <c r="AH24" s="254">
        <v>219.68000000000032</v>
      </c>
      <c r="AI24" s="254">
        <v>0</v>
      </c>
      <c r="AJ24" s="254">
        <v>150.23437500000026</v>
      </c>
      <c r="AK24" s="254">
        <v>0</v>
      </c>
      <c r="AL24" s="254">
        <v>377.29398148148152</v>
      </c>
      <c r="AM24" s="254">
        <v>0</v>
      </c>
      <c r="AN24" s="254">
        <v>388.37259615384602</v>
      </c>
      <c r="AO24" s="254">
        <v>0</v>
      </c>
      <c r="AP24" s="254">
        <v>0</v>
      </c>
      <c r="AQ24" s="254">
        <v>0</v>
      </c>
      <c r="AR24" s="254">
        <v>101.96875000000027</v>
      </c>
      <c r="AS24" s="254">
        <v>0</v>
      </c>
      <c r="AT24" s="254">
        <v>140.49278846153845</v>
      </c>
      <c r="AU24" s="254">
        <v>0</v>
      </c>
      <c r="AV24" s="254">
        <v>150.22596153846152</v>
      </c>
      <c r="AW24" s="254">
        <v>0</v>
      </c>
      <c r="AX24" s="254">
        <v>0</v>
      </c>
      <c r="AY24" s="254">
        <v>0</v>
      </c>
    </row>
    <row r="25" spans="2:51">
      <c r="B25" s="244">
        <v>10072</v>
      </c>
      <c r="C25" s="244" t="s">
        <v>28</v>
      </c>
      <c r="D25" s="254">
        <v>1507.0601851851864</v>
      </c>
      <c r="E25" s="254">
        <v>0</v>
      </c>
      <c r="F25" s="254">
        <v>1785.0925000000011</v>
      </c>
      <c r="G25" s="254">
        <v>0</v>
      </c>
      <c r="H25" s="254">
        <v>2608.4300000000062</v>
      </c>
      <c r="I25" s="254">
        <v>0</v>
      </c>
      <c r="J25" s="254">
        <v>5314.4519230769247</v>
      </c>
      <c r="K25" s="254">
        <v>0</v>
      </c>
      <c r="L25" s="254">
        <v>4726.8375000000005</v>
      </c>
      <c r="M25" s="254">
        <v>0</v>
      </c>
      <c r="N25" s="254">
        <v>2558.052884615387</v>
      </c>
      <c r="O25" s="254">
        <v>0</v>
      </c>
      <c r="P25" s="254">
        <v>3231.3485576923067</v>
      </c>
      <c r="Q25" s="254">
        <v>0</v>
      </c>
      <c r="R25" s="254">
        <v>2519.8575000000019</v>
      </c>
      <c r="S25" s="254">
        <v>0</v>
      </c>
      <c r="T25" s="254">
        <v>3753.2716346153866</v>
      </c>
      <c r="U25" s="254">
        <v>0</v>
      </c>
      <c r="V25" s="254">
        <v>3339.9903846153861</v>
      </c>
      <c r="W25" s="254">
        <v>0</v>
      </c>
      <c r="X25" s="254">
        <v>4359.8269230769229</v>
      </c>
      <c r="Y25" s="254">
        <v>0</v>
      </c>
      <c r="Z25" s="254">
        <v>5945.279999999997</v>
      </c>
      <c r="AA25" s="254">
        <v>0</v>
      </c>
      <c r="AB25" s="254">
        <v>1525.1921296296312</v>
      </c>
      <c r="AC25" s="254">
        <v>0</v>
      </c>
      <c r="AD25" s="254">
        <v>686.89322916666742</v>
      </c>
      <c r="AE25" s="254">
        <v>0</v>
      </c>
      <c r="AF25" s="254">
        <v>3891.5072115384642</v>
      </c>
      <c r="AG25" s="254">
        <v>0</v>
      </c>
      <c r="AH25" s="254">
        <v>4001.5599999999986</v>
      </c>
      <c r="AI25" s="254">
        <v>0</v>
      </c>
      <c r="AJ25" s="254">
        <v>3589.6302083333308</v>
      </c>
      <c r="AK25" s="254">
        <v>0</v>
      </c>
      <c r="AL25" s="254">
        <v>3575.7662037037062</v>
      </c>
      <c r="AM25" s="254">
        <v>0</v>
      </c>
      <c r="AN25" s="254">
        <v>3250.278846153843</v>
      </c>
      <c r="AO25" s="254">
        <v>0</v>
      </c>
      <c r="AP25" s="254">
        <v>2535.0625</v>
      </c>
      <c r="AQ25" s="254">
        <v>0</v>
      </c>
      <c r="AR25" s="254">
        <v>3779.0240384615349</v>
      </c>
      <c r="AS25" s="254">
        <v>0</v>
      </c>
      <c r="AT25" s="254">
        <v>3371.5817307692282</v>
      </c>
      <c r="AU25" s="254">
        <v>0</v>
      </c>
      <c r="AV25" s="254">
        <v>4385.6610576923058</v>
      </c>
      <c r="AW25" s="254">
        <v>0</v>
      </c>
      <c r="AX25" s="254">
        <v>5972.9974999999986</v>
      </c>
      <c r="AY25" s="254">
        <v>0</v>
      </c>
    </row>
    <row r="26" spans="2:51">
      <c r="B26" s="244">
        <v>10074</v>
      </c>
      <c r="C26" s="244" t="s">
        <v>29</v>
      </c>
      <c r="D26" s="254">
        <v>0</v>
      </c>
      <c r="E26" s="254">
        <v>0</v>
      </c>
      <c r="F26" s="254">
        <v>3421.0799999999981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4">
        <v>8285.2474999999995</v>
      </c>
      <c r="M26" s="254">
        <v>0</v>
      </c>
      <c r="N26" s="254">
        <v>8031.0913461538503</v>
      </c>
      <c r="O26" s="254">
        <v>0</v>
      </c>
      <c r="P26" s="254">
        <v>0</v>
      </c>
      <c r="Q26" s="254">
        <v>0</v>
      </c>
      <c r="R26" s="254">
        <v>1292.9574999999991</v>
      </c>
      <c r="S26" s="254">
        <v>0</v>
      </c>
      <c r="T26" s="254">
        <v>10981.141826923078</v>
      </c>
      <c r="U26" s="254">
        <v>0</v>
      </c>
      <c r="V26" s="254">
        <v>4688.1249999999991</v>
      </c>
      <c r="W26" s="254">
        <v>0</v>
      </c>
      <c r="X26" s="254">
        <v>6990.4495192307713</v>
      </c>
      <c r="Y26" s="254">
        <v>0</v>
      </c>
      <c r="Z26" s="254">
        <v>8370.9699999999975</v>
      </c>
      <c r="AA26" s="254">
        <v>0</v>
      </c>
      <c r="AB26" s="254">
        <v>0</v>
      </c>
      <c r="AC26" s="254">
        <v>0</v>
      </c>
      <c r="AD26" s="254">
        <v>1777.1848958333383</v>
      </c>
      <c r="AE26" s="254">
        <v>0</v>
      </c>
      <c r="AF26" s="254">
        <v>0</v>
      </c>
      <c r="AG26" s="254">
        <v>0</v>
      </c>
      <c r="AH26" s="254">
        <v>0</v>
      </c>
      <c r="AI26" s="254">
        <v>0</v>
      </c>
      <c r="AJ26" s="254">
        <v>4858.6276041666797</v>
      </c>
      <c r="AK26" s="254">
        <v>0</v>
      </c>
      <c r="AL26" s="254">
        <v>7685.050925925927</v>
      </c>
      <c r="AM26" s="254">
        <v>0</v>
      </c>
      <c r="AN26" s="254">
        <v>0</v>
      </c>
      <c r="AO26" s="254">
        <v>0</v>
      </c>
      <c r="AP26" s="254">
        <v>584.79000000000076</v>
      </c>
      <c r="AQ26" s="254">
        <v>0</v>
      </c>
      <c r="AR26" s="254">
        <v>10717.137019230762</v>
      </c>
      <c r="AS26" s="254">
        <v>0</v>
      </c>
      <c r="AT26" s="254">
        <v>4444.1394230769229</v>
      </c>
      <c r="AU26" s="254">
        <v>0</v>
      </c>
      <c r="AV26" s="254">
        <v>6730.8124999999982</v>
      </c>
      <c r="AW26" s="254">
        <v>0</v>
      </c>
      <c r="AX26" s="254">
        <v>8111.6575000000048</v>
      </c>
      <c r="AY26" s="254">
        <v>0</v>
      </c>
    </row>
    <row r="27" spans="2:51">
      <c r="B27" s="244">
        <v>10076</v>
      </c>
      <c r="C27" s="244" t="s">
        <v>30</v>
      </c>
      <c r="D27" s="254">
        <v>865.88194444444355</v>
      </c>
      <c r="E27" s="254"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745.44230769230705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262.31009615384562</v>
      </c>
      <c r="Q27" s="254">
        <v>0</v>
      </c>
      <c r="R27" s="254">
        <v>224.48749999999933</v>
      </c>
      <c r="S27" s="254">
        <v>0</v>
      </c>
      <c r="T27" s="254">
        <v>809.20432692307679</v>
      </c>
      <c r="U27" s="254">
        <v>0</v>
      </c>
      <c r="V27" s="254">
        <v>1065.0985576923083</v>
      </c>
      <c r="W27" s="254">
        <v>0</v>
      </c>
      <c r="X27" s="254">
        <v>378.98557692307566</v>
      </c>
      <c r="Y27" s="254">
        <v>0</v>
      </c>
      <c r="Z27" s="254">
        <v>625.08749999999998</v>
      </c>
      <c r="AA27" s="254">
        <v>0</v>
      </c>
      <c r="AB27" s="254">
        <v>872.33564814814918</v>
      </c>
      <c r="AC27" s="254">
        <v>0</v>
      </c>
      <c r="AD27" s="254">
        <v>0</v>
      </c>
      <c r="AE27" s="254">
        <v>0</v>
      </c>
      <c r="AF27" s="254">
        <v>334.22596153846263</v>
      </c>
      <c r="AG27" s="254">
        <v>0</v>
      </c>
      <c r="AH27" s="254">
        <v>385.53000000000026</v>
      </c>
      <c r="AI27" s="254">
        <v>0</v>
      </c>
      <c r="AJ27" s="254">
        <v>0</v>
      </c>
      <c r="AK27" s="254">
        <v>0</v>
      </c>
      <c r="AL27" s="254">
        <v>266.12037037037072</v>
      </c>
      <c r="AM27" s="254">
        <v>0</v>
      </c>
      <c r="AN27" s="254">
        <v>557.84855769230774</v>
      </c>
      <c r="AO27" s="254">
        <v>0</v>
      </c>
      <c r="AP27" s="254">
        <v>0</v>
      </c>
      <c r="AQ27" s="254">
        <v>0</v>
      </c>
      <c r="AR27" s="254">
        <v>812.64423076923129</v>
      </c>
      <c r="AS27" s="254">
        <v>0</v>
      </c>
      <c r="AT27" s="254">
        <v>1069.8990384615383</v>
      </c>
      <c r="AU27" s="254">
        <v>0</v>
      </c>
      <c r="AV27" s="254">
        <v>380.76442307692116</v>
      </c>
      <c r="AW27" s="254">
        <v>0</v>
      </c>
      <c r="AX27" s="254">
        <v>629.59000000000094</v>
      </c>
      <c r="AY27" s="254">
        <v>0</v>
      </c>
    </row>
    <row r="28" spans="2:51">
      <c r="B28" s="244">
        <v>10078</v>
      </c>
      <c r="C28" s="244" t="s">
        <v>31</v>
      </c>
      <c r="D28" s="254">
        <v>1107.3865740740741</v>
      </c>
      <c r="E28" s="254">
        <v>0</v>
      </c>
      <c r="F28" s="254">
        <v>1240.6425000000004</v>
      </c>
      <c r="G28" s="254">
        <v>0</v>
      </c>
      <c r="H28" s="254">
        <v>1190.1675000000007</v>
      </c>
      <c r="I28" s="254">
        <v>0</v>
      </c>
      <c r="J28" s="254">
        <v>1879.1586538461538</v>
      </c>
      <c r="K28" s="254">
        <v>0</v>
      </c>
      <c r="L28" s="254">
        <v>1178.9024999999999</v>
      </c>
      <c r="M28" s="254">
        <v>0</v>
      </c>
      <c r="N28" s="254">
        <v>749.93028846153845</v>
      </c>
      <c r="O28" s="254">
        <v>0</v>
      </c>
      <c r="P28" s="254">
        <v>1379.6418269230767</v>
      </c>
      <c r="Q28" s="254">
        <v>0</v>
      </c>
      <c r="R28" s="254">
        <v>839.4625000000002</v>
      </c>
      <c r="S28" s="254">
        <v>0</v>
      </c>
      <c r="T28" s="254">
        <v>544.80048076923015</v>
      </c>
      <c r="U28" s="254">
        <v>0</v>
      </c>
      <c r="V28" s="254">
        <v>208.01682692307688</v>
      </c>
      <c r="W28" s="254">
        <v>0</v>
      </c>
      <c r="X28" s="254">
        <v>552.74278846153834</v>
      </c>
      <c r="Y28" s="254">
        <v>0</v>
      </c>
      <c r="Z28" s="254">
        <v>564.64500000000032</v>
      </c>
      <c r="AA28" s="254">
        <v>0</v>
      </c>
      <c r="AB28" s="254">
        <v>1138.9467592592594</v>
      </c>
      <c r="AC28" s="254">
        <v>0</v>
      </c>
      <c r="AD28" s="254">
        <v>1068.0416666666663</v>
      </c>
      <c r="AE28" s="254">
        <v>0</v>
      </c>
      <c r="AF28" s="254">
        <v>1441.3725961538462</v>
      </c>
      <c r="AG28" s="254">
        <v>0</v>
      </c>
      <c r="AH28" s="254">
        <v>1684.6499999999999</v>
      </c>
      <c r="AI28" s="254">
        <v>0</v>
      </c>
      <c r="AJ28" s="254">
        <v>1003.3567708333328</v>
      </c>
      <c r="AK28" s="254">
        <v>0</v>
      </c>
      <c r="AL28" s="254">
        <v>963.18981481481478</v>
      </c>
      <c r="AM28" s="254">
        <v>0</v>
      </c>
      <c r="AN28" s="254">
        <v>1552.908653846154</v>
      </c>
      <c r="AO28" s="254">
        <v>0</v>
      </c>
      <c r="AP28" s="254">
        <v>755.80999999999983</v>
      </c>
      <c r="AQ28" s="254">
        <v>0</v>
      </c>
      <c r="AR28" s="254">
        <v>560.93269230769181</v>
      </c>
      <c r="AS28" s="254">
        <v>0</v>
      </c>
      <c r="AT28" s="254">
        <v>220.54567307692352</v>
      </c>
      <c r="AU28" s="254">
        <v>0</v>
      </c>
      <c r="AV28" s="254">
        <v>561.48076923076906</v>
      </c>
      <c r="AW28" s="254">
        <v>0</v>
      </c>
      <c r="AX28" s="254">
        <v>582.15250000000003</v>
      </c>
      <c r="AY28" s="254">
        <v>0</v>
      </c>
    </row>
    <row r="29" spans="2:51">
      <c r="B29" s="244">
        <v>10079</v>
      </c>
      <c r="C29" s="244" t="s">
        <v>32</v>
      </c>
      <c r="D29" s="254">
        <v>29190.613425925931</v>
      </c>
      <c r="E29" s="254">
        <v>0</v>
      </c>
      <c r="F29" s="254">
        <v>25632.317499999997</v>
      </c>
      <c r="G29" s="254">
        <v>0</v>
      </c>
      <c r="H29" s="254">
        <v>16602.222499999989</v>
      </c>
      <c r="I29" s="254">
        <v>0</v>
      </c>
      <c r="J29" s="254">
        <v>23177.860576923096</v>
      </c>
      <c r="K29" s="254">
        <v>0</v>
      </c>
      <c r="L29" s="254">
        <v>7135.1799999999985</v>
      </c>
      <c r="M29" s="254">
        <v>0</v>
      </c>
      <c r="N29" s="254">
        <v>21715.680288461557</v>
      </c>
      <c r="O29" s="254">
        <v>0</v>
      </c>
      <c r="P29" s="254">
        <v>20443.288461538472</v>
      </c>
      <c r="Q29" s="254">
        <v>0</v>
      </c>
      <c r="R29" s="254">
        <v>19974.004999999997</v>
      </c>
      <c r="S29" s="254">
        <v>0</v>
      </c>
      <c r="T29" s="254">
        <v>29785.942307692301</v>
      </c>
      <c r="U29" s="254">
        <v>0</v>
      </c>
      <c r="V29" s="254">
        <v>26714.944711538465</v>
      </c>
      <c r="W29" s="254">
        <v>0</v>
      </c>
      <c r="X29" s="254">
        <v>23283.86778846155</v>
      </c>
      <c r="Y29" s="254">
        <v>0</v>
      </c>
      <c r="Z29" s="254">
        <v>16515.602500000001</v>
      </c>
      <c r="AA29" s="254">
        <v>0</v>
      </c>
      <c r="AB29" s="254">
        <v>29327.819444444445</v>
      </c>
      <c r="AC29" s="254">
        <v>0</v>
      </c>
      <c r="AD29" s="254">
        <v>21634.578124999989</v>
      </c>
      <c r="AE29" s="254">
        <v>0</v>
      </c>
      <c r="AF29" s="254">
        <v>20917.550480769216</v>
      </c>
      <c r="AG29" s="254">
        <v>0</v>
      </c>
      <c r="AH29" s="254">
        <v>19137.047499999993</v>
      </c>
      <c r="AI29" s="254">
        <v>0</v>
      </c>
      <c r="AJ29" s="254">
        <v>3043.4453124999905</v>
      </c>
      <c r="AK29" s="254">
        <v>0</v>
      </c>
      <c r="AL29" s="254">
        <v>25519.467592592577</v>
      </c>
      <c r="AM29" s="254">
        <v>0</v>
      </c>
      <c r="AN29" s="254">
        <v>22936.733173076929</v>
      </c>
      <c r="AO29" s="254">
        <v>0</v>
      </c>
      <c r="AP29" s="254">
        <v>17772.17249999999</v>
      </c>
      <c r="AQ29" s="254">
        <v>0</v>
      </c>
      <c r="AR29" s="254">
        <v>29898.689903846167</v>
      </c>
      <c r="AS29" s="254">
        <v>0</v>
      </c>
      <c r="AT29" s="254">
        <v>26850.711538461524</v>
      </c>
      <c r="AU29" s="254">
        <v>0</v>
      </c>
      <c r="AV29" s="254">
        <v>23403.437500000011</v>
      </c>
      <c r="AW29" s="254">
        <v>0</v>
      </c>
      <c r="AX29" s="254">
        <v>16623.757499999996</v>
      </c>
      <c r="AY29" s="254">
        <v>0</v>
      </c>
    </row>
    <row r="30" spans="2:51">
      <c r="B30" s="244">
        <v>10080</v>
      </c>
      <c r="C30" s="244" t="s">
        <v>33</v>
      </c>
      <c r="D30" s="254">
        <v>0</v>
      </c>
      <c r="E30" s="254">
        <v>0</v>
      </c>
      <c r="F30" s="254">
        <v>0</v>
      </c>
      <c r="G30" s="254">
        <v>0</v>
      </c>
      <c r="H30" s="254">
        <v>1230.9624999999996</v>
      </c>
      <c r="I30" s="254">
        <v>0</v>
      </c>
      <c r="J30" s="254">
        <v>1766.5408653846141</v>
      </c>
      <c r="K30" s="254">
        <v>0</v>
      </c>
      <c r="L30" s="254">
        <v>903.86250000000064</v>
      </c>
      <c r="M30" s="254">
        <v>0</v>
      </c>
      <c r="N30" s="254">
        <v>0</v>
      </c>
      <c r="O30" s="254">
        <v>0</v>
      </c>
      <c r="P30" s="254">
        <v>571.30288461538487</v>
      </c>
      <c r="Q30" s="254">
        <v>0</v>
      </c>
      <c r="R30" s="254">
        <v>1084.6950000000004</v>
      </c>
      <c r="S30" s="254">
        <v>0</v>
      </c>
      <c r="T30" s="254">
        <v>1865.1490384615377</v>
      </c>
      <c r="U30" s="254">
        <v>0</v>
      </c>
      <c r="V30" s="254">
        <v>1801.0625000000002</v>
      </c>
      <c r="W30" s="254">
        <v>0</v>
      </c>
      <c r="X30" s="254">
        <v>1622.26201923077</v>
      </c>
      <c r="Y30" s="254">
        <v>0</v>
      </c>
      <c r="Z30" s="254">
        <v>1152.7974999999997</v>
      </c>
      <c r="AA30" s="254">
        <v>0</v>
      </c>
      <c r="AB30" s="254">
        <v>0</v>
      </c>
      <c r="AC30" s="254">
        <v>0</v>
      </c>
      <c r="AD30" s="254">
        <v>0</v>
      </c>
      <c r="AE30" s="254">
        <v>0</v>
      </c>
      <c r="AF30" s="254">
        <v>1589.3966346153843</v>
      </c>
      <c r="AG30" s="254">
        <v>0</v>
      </c>
      <c r="AH30" s="254">
        <v>1399.6650000000002</v>
      </c>
      <c r="AI30" s="254">
        <v>0</v>
      </c>
      <c r="AJ30" s="254">
        <v>544.30468750000034</v>
      </c>
      <c r="AK30" s="254">
        <v>0</v>
      </c>
      <c r="AL30" s="254">
        <v>191.89814814814653</v>
      </c>
      <c r="AM30" s="254">
        <v>0</v>
      </c>
      <c r="AN30" s="254">
        <v>816.46394230769135</v>
      </c>
      <c r="AO30" s="254">
        <v>0</v>
      </c>
      <c r="AP30" s="254">
        <v>879.25500000000022</v>
      </c>
      <c r="AQ30" s="254">
        <v>0</v>
      </c>
      <c r="AR30" s="254">
        <v>1874.6057692307695</v>
      </c>
      <c r="AS30" s="254">
        <v>0</v>
      </c>
      <c r="AT30" s="254">
        <v>1810.4062499999995</v>
      </c>
      <c r="AU30" s="254">
        <v>0</v>
      </c>
      <c r="AV30" s="254">
        <v>1632.0697115384614</v>
      </c>
      <c r="AW30" s="254">
        <v>0</v>
      </c>
      <c r="AX30" s="254">
        <v>1162.4874999999997</v>
      </c>
      <c r="AY30" s="254">
        <v>0</v>
      </c>
    </row>
    <row r="31" spans="2:51">
      <c r="B31" s="244">
        <v>10081</v>
      </c>
      <c r="C31" s="244" t="s">
        <v>34</v>
      </c>
      <c r="D31" s="254">
        <v>143.48611111110986</v>
      </c>
      <c r="E31" s="254">
        <v>0</v>
      </c>
      <c r="F31" s="254">
        <v>0</v>
      </c>
      <c r="G31" s="254">
        <v>0</v>
      </c>
      <c r="H31" s="254">
        <v>2690.0274999999997</v>
      </c>
      <c r="I31" s="254">
        <v>0</v>
      </c>
      <c r="J31" s="254">
        <v>1326.4735576923056</v>
      </c>
      <c r="K31" s="254">
        <v>0</v>
      </c>
      <c r="L31" s="254">
        <v>1429.8899999999994</v>
      </c>
      <c r="M31" s="254">
        <v>0</v>
      </c>
      <c r="N31" s="254">
        <v>1610.1995192307693</v>
      </c>
      <c r="O31" s="254">
        <v>0</v>
      </c>
      <c r="P31" s="254">
        <v>1470.1899038461538</v>
      </c>
      <c r="Q31" s="254">
        <v>0</v>
      </c>
      <c r="R31" s="254">
        <v>0</v>
      </c>
      <c r="S31" s="254">
        <v>0</v>
      </c>
      <c r="T31" s="254">
        <v>3234.51923076923</v>
      </c>
      <c r="U31" s="254">
        <v>0</v>
      </c>
      <c r="V31" s="254">
        <v>2659.0625</v>
      </c>
      <c r="W31" s="254">
        <v>0</v>
      </c>
      <c r="X31" s="254">
        <v>1477.963942307694</v>
      </c>
      <c r="Y31" s="254">
        <v>0</v>
      </c>
      <c r="Z31" s="254">
        <v>877.40249999999969</v>
      </c>
      <c r="AA31" s="254">
        <v>0</v>
      </c>
      <c r="AB31" s="254">
        <v>143.48611111110986</v>
      </c>
      <c r="AC31" s="254">
        <v>0</v>
      </c>
      <c r="AD31" s="254">
        <v>0</v>
      </c>
      <c r="AE31" s="254">
        <v>0</v>
      </c>
      <c r="AF31" s="254">
        <v>3409.4495192307695</v>
      </c>
      <c r="AG31" s="254">
        <v>0</v>
      </c>
      <c r="AH31" s="254">
        <v>671.81250000000057</v>
      </c>
      <c r="AI31" s="254">
        <v>0</v>
      </c>
      <c r="AJ31" s="254">
        <v>870.09374999999966</v>
      </c>
      <c r="AK31" s="254">
        <v>0</v>
      </c>
      <c r="AL31" s="254">
        <v>2077.5995370370374</v>
      </c>
      <c r="AM31" s="254">
        <v>0</v>
      </c>
      <c r="AN31" s="254">
        <v>1931.1514423076935</v>
      </c>
      <c r="AO31" s="254">
        <v>0</v>
      </c>
      <c r="AP31" s="254">
        <v>0</v>
      </c>
      <c r="AQ31" s="254">
        <v>0</v>
      </c>
      <c r="AR31" s="254">
        <v>3234.51923076923</v>
      </c>
      <c r="AS31" s="254">
        <v>0</v>
      </c>
      <c r="AT31" s="254">
        <v>2659.0625</v>
      </c>
      <c r="AU31" s="254">
        <v>0</v>
      </c>
      <c r="AV31" s="254">
        <v>1477.963942307694</v>
      </c>
      <c r="AW31" s="254">
        <v>0</v>
      </c>
      <c r="AX31" s="254">
        <v>877.40249999999969</v>
      </c>
      <c r="AY31" s="254">
        <v>0</v>
      </c>
    </row>
    <row r="32" spans="2:51">
      <c r="B32" s="244">
        <v>10082</v>
      </c>
      <c r="C32" s="244" t="s">
        <v>35</v>
      </c>
      <c r="D32" s="254">
        <v>19.280092592592599</v>
      </c>
      <c r="E32" s="254">
        <v>0</v>
      </c>
      <c r="F32" s="254">
        <v>2.0174999999999916</v>
      </c>
      <c r="G32" s="254">
        <v>0</v>
      </c>
      <c r="H32" s="254">
        <v>1.9949999999999899</v>
      </c>
      <c r="I32" s="254">
        <v>0</v>
      </c>
      <c r="J32" s="254">
        <v>39.060096153846132</v>
      </c>
      <c r="K32" s="254">
        <v>0</v>
      </c>
      <c r="L32" s="254">
        <v>14.592500000000008</v>
      </c>
      <c r="M32" s="254">
        <v>0</v>
      </c>
      <c r="N32" s="254">
        <v>0</v>
      </c>
      <c r="O32" s="254">
        <v>0</v>
      </c>
      <c r="P32" s="254">
        <v>0.53365384615385036</v>
      </c>
      <c r="Q32" s="254">
        <v>0</v>
      </c>
      <c r="R32" s="254">
        <v>0</v>
      </c>
      <c r="S32" s="254">
        <v>0</v>
      </c>
      <c r="T32" s="254">
        <v>0</v>
      </c>
      <c r="U32" s="254">
        <v>0</v>
      </c>
      <c r="V32" s="254">
        <v>15.68509615384615</v>
      </c>
      <c r="W32" s="254">
        <v>0</v>
      </c>
      <c r="X32" s="254">
        <v>9.7475961538461551</v>
      </c>
      <c r="Y32" s="254">
        <v>0</v>
      </c>
      <c r="Z32" s="254">
        <v>3.6225000000000005</v>
      </c>
      <c r="AA32" s="254">
        <v>0</v>
      </c>
      <c r="AB32" s="254">
        <v>19.280092592592599</v>
      </c>
      <c r="AC32" s="254">
        <v>0</v>
      </c>
      <c r="AD32" s="254">
        <v>0</v>
      </c>
      <c r="AE32" s="254">
        <v>0</v>
      </c>
      <c r="AF32" s="254">
        <v>8.1875000000000071</v>
      </c>
      <c r="AG32" s="254">
        <v>0</v>
      </c>
      <c r="AH32" s="254">
        <v>33.18249999999999</v>
      </c>
      <c r="AI32" s="254">
        <v>0</v>
      </c>
      <c r="AJ32" s="254">
        <v>9.158854166666675</v>
      </c>
      <c r="AK32" s="254">
        <v>0</v>
      </c>
      <c r="AL32" s="254">
        <v>0</v>
      </c>
      <c r="AM32" s="254">
        <v>0</v>
      </c>
      <c r="AN32" s="254">
        <v>3.9038461538461604</v>
      </c>
      <c r="AO32" s="254">
        <v>0</v>
      </c>
      <c r="AP32" s="254">
        <v>0</v>
      </c>
      <c r="AQ32" s="254">
        <v>0</v>
      </c>
      <c r="AR32" s="254">
        <v>0</v>
      </c>
      <c r="AS32" s="254">
        <v>0</v>
      </c>
      <c r="AT32" s="254">
        <v>15.68509615384615</v>
      </c>
      <c r="AU32" s="254">
        <v>0</v>
      </c>
      <c r="AV32" s="254">
        <v>9.7475961538461551</v>
      </c>
      <c r="AW32" s="254">
        <v>0</v>
      </c>
      <c r="AX32" s="254">
        <v>3.6225000000000005</v>
      </c>
      <c r="AY32" s="254">
        <v>0</v>
      </c>
    </row>
    <row r="33" spans="2:51">
      <c r="B33" s="244">
        <v>10083</v>
      </c>
      <c r="C33" s="244" t="s">
        <v>36</v>
      </c>
      <c r="D33" s="254">
        <v>418.41666666666731</v>
      </c>
      <c r="E33" s="254">
        <v>0</v>
      </c>
      <c r="F33" s="254">
        <v>0</v>
      </c>
      <c r="G33" s="254">
        <v>0</v>
      </c>
      <c r="H33" s="254">
        <v>848.67250000000058</v>
      </c>
      <c r="I33" s="254">
        <v>0</v>
      </c>
      <c r="J33" s="254">
        <v>795.99519230769158</v>
      </c>
      <c r="K33" s="254">
        <v>0</v>
      </c>
      <c r="L33" s="254">
        <v>1194.2975000000015</v>
      </c>
      <c r="M33" s="254">
        <v>0</v>
      </c>
      <c r="N33" s="254">
        <v>983.93749999999966</v>
      </c>
      <c r="O33" s="254">
        <v>0</v>
      </c>
      <c r="P33" s="254">
        <v>715.62740384615381</v>
      </c>
      <c r="Q33" s="254">
        <v>0</v>
      </c>
      <c r="R33" s="254">
        <v>1072.7600000000004</v>
      </c>
      <c r="S33" s="254">
        <v>0</v>
      </c>
      <c r="T33" s="254">
        <v>2707.7307692307686</v>
      </c>
      <c r="U33" s="254">
        <v>0</v>
      </c>
      <c r="V33" s="254">
        <v>3205.3798076923076</v>
      </c>
      <c r="W33" s="254">
        <v>0</v>
      </c>
      <c r="X33" s="254">
        <v>2687.471153846152</v>
      </c>
      <c r="Y33" s="254">
        <v>0</v>
      </c>
      <c r="Z33" s="254">
        <v>2544.7575000000002</v>
      </c>
      <c r="AA33" s="254">
        <v>0</v>
      </c>
      <c r="AB33" s="254">
        <v>389.08564814814815</v>
      </c>
      <c r="AC33" s="254">
        <v>0</v>
      </c>
      <c r="AD33" s="254">
        <v>0</v>
      </c>
      <c r="AE33" s="254">
        <v>0</v>
      </c>
      <c r="AF33" s="254">
        <v>1304.4375000000002</v>
      </c>
      <c r="AG33" s="254">
        <v>0</v>
      </c>
      <c r="AH33" s="254">
        <v>288.40750000000037</v>
      </c>
      <c r="AI33" s="254">
        <v>0</v>
      </c>
      <c r="AJ33" s="254">
        <v>709.10416666666663</v>
      </c>
      <c r="AK33" s="254">
        <v>0</v>
      </c>
      <c r="AL33" s="254">
        <v>1329.8217592592571</v>
      </c>
      <c r="AM33" s="254">
        <v>0</v>
      </c>
      <c r="AN33" s="254">
        <v>1047.0528846153857</v>
      </c>
      <c r="AO33" s="254">
        <v>0</v>
      </c>
      <c r="AP33" s="254">
        <v>720.03250000000094</v>
      </c>
      <c r="AQ33" s="254">
        <v>0</v>
      </c>
      <c r="AR33" s="254">
        <v>2716.8365384615372</v>
      </c>
      <c r="AS33" s="254">
        <v>0</v>
      </c>
      <c r="AT33" s="254">
        <v>3223.4831730769224</v>
      </c>
      <c r="AU33" s="254">
        <v>0</v>
      </c>
      <c r="AV33" s="254">
        <v>2698.7331730769224</v>
      </c>
      <c r="AW33" s="254">
        <v>0</v>
      </c>
      <c r="AX33" s="254">
        <v>2550.3824999999997</v>
      </c>
      <c r="AY33" s="254">
        <v>0</v>
      </c>
    </row>
    <row r="34" spans="2:51">
      <c r="B34" s="244">
        <v>10086</v>
      </c>
      <c r="C34" s="244" t="s">
        <v>37</v>
      </c>
      <c r="D34" s="254">
        <v>626.43750000000045</v>
      </c>
      <c r="E34" s="254">
        <v>0</v>
      </c>
      <c r="F34" s="254">
        <v>529.09999999999991</v>
      </c>
      <c r="G34" s="254">
        <v>0</v>
      </c>
      <c r="H34" s="254">
        <v>419.37249999999972</v>
      </c>
      <c r="I34" s="254">
        <v>0</v>
      </c>
      <c r="J34" s="254">
        <v>1043.9567307692307</v>
      </c>
      <c r="K34" s="254">
        <v>0</v>
      </c>
      <c r="L34" s="254">
        <v>841.18249999999989</v>
      </c>
      <c r="M34" s="254">
        <v>0</v>
      </c>
      <c r="N34" s="254">
        <v>561.23076923076962</v>
      </c>
      <c r="O34" s="254">
        <v>0</v>
      </c>
      <c r="P34" s="254">
        <v>1133.5673076923076</v>
      </c>
      <c r="Q34" s="254">
        <v>0</v>
      </c>
      <c r="R34" s="254">
        <v>527.0374999999998</v>
      </c>
      <c r="S34" s="254">
        <v>0</v>
      </c>
      <c r="T34" s="254">
        <v>453.57692307692309</v>
      </c>
      <c r="U34" s="254">
        <v>0</v>
      </c>
      <c r="V34" s="254">
        <v>604.7620192307694</v>
      </c>
      <c r="W34" s="254">
        <v>0</v>
      </c>
      <c r="X34" s="254">
        <v>475.18509615384596</v>
      </c>
      <c r="Y34" s="254">
        <v>0</v>
      </c>
      <c r="Z34" s="254">
        <v>589.15249999999969</v>
      </c>
      <c r="AA34" s="254">
        <v>0</v>
      </c>
      <c r="AB34" s="254">
        <v>630.73379629629551</v>
      </c>
      <c r="AC34" s="254">
        <v>0</v>
      </c>
      <c r="AD34" s="254">
        <v>347.26041666666617</v>
      </c>
      <c r="AE34" s="254">
        <v>0</v>
      </c>
      <c r="AF34" s="254">
        <v>636.49759615384573</v>
      </c>
      <c r="AG34" s="254">
        <v>0</v>
      </c>
      <c r="AH34" s="254">
        <v>840.7025000000001</v>
      </c>
      <c r="AI34" s="254">
        <v>0</v>
      </c>
      <c r="AJ34" s="254">
        <v>645.91666666666606</v>
      </c>
      <c r="AK34" s="254">
        <v>0</v>
      </c>
      <c r="AL34" s="254">
        <v>742.95601851851848</v>
      </c>
      <c r="AM34" s="254">
        <v>0</v>
      </c>
      <c r="AN34" s="254">
        <v>1277.3918269230767</v>
      </c>
      <c r="AO34" s="254">
        <v>0</v>
      </c>
      <c r="AP34" s="254">
        <v>404.6050000000003</v>
      </c>
      <c r="AQ34" s="254">
        <v>0</v>
      </c>
      <c r="AR34" s="254">
        <v>456.70192307692247</v>
      </c>
      <c r="AS34" s="254">
        <v>0</v>
      </c>
      <c r="AT34" s="254">
        <v>607.17067307692309</v>
      </c>
      <c r="AU34" s="254">
        <v>0</v>
      </c>
      <c r="AV34" s="254">
        <v>477.04086538461519</v>
      </c>
      <c r="AW34" s="254">
        <v>0</v>
      </c>
      <c r="AX34" s="254">
        <v>592.27749999999946</v>
      </c>
      <c r="AY34" s="254">
        <v>0</v>
      </c>
    </row>
    <row r="35" spans="2:51">
      <c r="B35" s="244">
        <v>10087</v>
      </c>
      <c r="C35" s="244" t="s">
        <v>38</v>
      </c>
      <c r="D35" s="254">
        <v>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0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  <c r="Q35" s="254">
        <v>0</v>
      </c>
      <c r="R35" s="254">
        <v>0</v>
      </c>
      <c r="S35" s="254">
        <v>0</v>
      </c>
      <c r="T35" s="254">
        <v>0</v>
      </c>
      <c r="U35" s="254">
        <v>0</v>
      </c>
      <c r="V35" s="254">
        <v>0</v>
      </c>
      <c r="W35" s="254">
        <v>0</v>
      </c>
      <c r="X35" s="254">
        <v>0</v>
      </c>
      <c r="Y35" s="254">
        <v>0</v>
      </c>
      <c r="Z35" s="254">
        <v>0</v>
      </c>
      <c r="AA35" s="254">
        <v>0</v>
      </c>
      <c r="AB35" s="254">
        <v>0</v>
      </c>
      <c r="AC35" s="254">
        <v>0</v>
      </c>
      <c r="AD35" s="254">
        <v>0</v>
      </c>
      <c r="AE35" s="254">
        <v>0</v>
      </c>
      <c r="AF35" s="254">
        <v>134.63221153846305</v>
      </c>
      <c r="AG35" s="254">
        <v>0</v>
      </c>
      <c r="AH35" s="254">
        <v>0</v>
      </c>
      <c r="AI35" s="254">
        <v>0</v>
      </c>
      <c r="AJ35" s="254">
        <v>0</v>
      </c>
      <c r="AK35" s="254">
        <v>0</v>
      </c>
      <c r="AL35" s="254">
        <v>0</v>
      </c>
      <c r="AM35" s="254">
        <v>0</v>
      </c>
      <c r="AN35" s="254">
        <v>0</v>
      </c>
      <c r="AO35" s="254">
        <v>0</v>
      </c>
      <c r="AP35" s="254">
        <v>0</v>
      </c>
      <c r="AQ35" s="254">
        <v>0</v>
      </c>
      <c r="AR35" s="254">
        <v>0</v>
      </c>
      <c r="AS35" s="254">
        <v>0</v>
      </c>
      <c r="AT35" s="254">
        <v>0</v>
      </c>
      <c r="AU35" s="254">
        <v>0</v>
      </c>
      <c r="AV35" s="254">
        <v>0</v>
      </c>
      <c r="AW35" s="254">
        <v>0</v>
      </c>
      <c r="AX35" s="254">
        <v>0</v>
      </c>
      <c r="AY35" s="254">
        <v>0</v>
      </c>
    </row>
    <row r="36" spans="2:51">
      <c r="B36" s="244">
        <v>10089</v>
      </c>
      <c r="C36" s="244" t="s">
        <v>39</v>
      </c>
      <c r="D36" s="254">
        <v>5874.2731481481487</v>
      </c>
      <c r="E36" s="254">
        <v>0</v>
      </c>
      <c r="F36" s="254">
        <v>3609.7999999999856</v>
      </c>
      <c r="G36" s="254">
        <v>0</v>
      </c>
      <c r="H36" s="254">
        <v>16115.854999999981</v>
      </c>
      <c r="I36" s="254">
        <v>0</v>
      </c>
      <c r="J36" s="254">
        <v>16807.413461538468</v>
      </c>
      <c r="K36" s="254">
        <v>0</v>
      </c>
      <c r="L36" s="254">
        <v>5798.5849999999955</v>
      </c>
      <c r="M36" s="254">
        <v>0</v>
      </c>
      <c r="N36" s="254">
        <v>12343.259615384624</v>
      </c>
      <c r="O36" s="254">
        <v>0</v>
      </c>
      <c r="P36" s="254">
        <v>16506.218749999996</v>
      </c>
      <c r="Q36" s="254">
        <v>0</v>
      </c>
      <c r="R36" s="254">
        <v>6112.4449999999906</v>
      </c>
      <c r="S36" s="254">
        <v>0</v>
      </c>
      <c r="T36" s="254">
        <v>27895.586538461543</v>
      </c>
      <c r="U36" s="254">
        <v>0</v>
      </c>
      <c r="V36" s="254">
        <v>27763.331730769245</v>
      </c>
      <c r="W36" s="254">
        <v>0</v>
      </c>
      <c r="X36" s="254">
        <v>21928.305288461539</v>
      </c>
      <c r="Y36" s="254">
        <v>0</v>
      </c>
      <c r="Z36" s="254">
        <v>16400.242500000004</v>
      </c>
      <c r="AA36" s="254">
        <v>0</v>
      </c>
      <c r="AB36" s="254">
        <v>6084.4305555555711</v>
      </c>
      <c r="AC36" s="254">
        <v>0</v>
      </c>
      <c r="AD36" s="254">
        <v>0</v>
      </c>
      <c r="AE36" s="254">
        <v>0</v>
      </c>
      <c r="AF36" s="254">
        <v>22187.591346153851</v>
      </c>
      <c r="AG36" s="254">
        <v>0</v>
      </c>
      <c r="AH36" s="254">
        <v>11649.622499999999</v>
      </c>
      <c r="AI36" s="254">
        <v>0</v>
      </c>
      <c r="AJ36" s="254">
        <v>1479.3203125000005</v>
      </c>
      <c r="AK36" s="254">
        <v>0</v>
      </c>
      <c r="AL36" s="254">
        <v>16747.402777777792</v>
      </c>
      <c r="AM36" s="254">
        <v>0</v>
      </c>
      <c r="AN36" s="254">
        <v>20720.451923076929</v>
      </c>
      <c r="AO36" s="254">
        <v>0</v>
      </c>
      <c r="AP36" s="254">
        <v>1975.0699999999988</v>
      </c>
      <c r="AQ36" s="254">
        <v>0</v>
      </c>
      <c r="AR36" s="254">
        <v>28306.48798076922</v>
      </c>
      <c r="AS36" s="254">
        <v>0</v>
      </c>
      <c r="AT36" s="254">
        <v>28138.209134615387</v>
      </c>
      <c r="AU36" s="254">
        <v>0</v>
      </c>
      <c r="AV36" s="254">
        <v>22257.213942307695</v>
      </c>
      <c r="AW36" s="254">
        <v>0</v>
      </c>
      <c r="AX36" s="254">
        <v>16666.120000000006</v>
      </c>
      <c r="AY36" s="254">
        <v>0</v>
      </c>
    </row>
    <row r="37" spans="2:51">
      <c r="B37" s="244">
        <v>10091</v>
      </c>
      <c r="C37" s="244" t="s">
        <v>40</v>
      </c>
      <c r="D37" s="254">
        <v>1071.0925925925922</v>
      </c>
      <c r="E37" s="254">
        <v>0</v>
      </c>
      <c r="F37" s="254">
        <v>618.51500000000124</v>
      </c>
      <c r="G37" s="254">
        <v>0</v>
      </c>
      <c r="H37" s="254">
        <v>1978.2975000000017</v>
      </c>
      <c r="I37" s="254">
        <v>0</v>
      </c>
      <c r="J37" s="254">
        <v>1745.8918269230801</v>
      </c>
      <c r="K37" s="254">
        <v>0</v>
      </c>
      <c r="L37" s="254">
        <v>1438.952500000001</v>
      </c>
      <c r="M37" s="254">
        <v>0</v>
      </c>
      <c r="N37" s="254">
        <v>406.03846153846268</v>
      </c>
      <c r="O37" s="254">
        <v>0</v>
      </c>
      <c r="P37" s="254">
        <v>1630.2259615384628</v>
      </c>
      <c r="Q37" s="254">
        <v>0</v>
      </c>
      <c r="R37" s="254">
        <v>961.92250000000024</v>
      </c>
      <c r="S37" s="254">
        <v>0</v>
      </c>
      <c r="T37" s="254">
        <v>2430.3389423076924</v>
      </c>
      <c r="U37" s="254">
        <v>0</v>
      </c>
      <c r="V37" s="254">
        <v>2732.8557692307695</v>
      </c>
      <c r="W37" s="254">
        <v>0</v>
      </c>
      <c r="X37" s="254">
        <v>2213.9951923076915</v>
      </c>
      <c r="Y37" s="254">
        <v>0</v>
      </c>
      <c r="Z37" s="254">
        <v>1710.4299999999994</v>
      </c>
      <c r="AA37" s="254">
        <v>0</v>
      </c>
      <c r="AB37" s="254">
        <v>996.5648148148141</v>
      </c>
      <c r="AC37" s="254">
        <v>0</v>
      </c>
      <c r="AD37" s="254">
        <v>112.41406250000009</v>
      </c>
      <c r="AE37" s="254">
        <v>0</v>
      </c>
      <c r="AF37" s="254">
        <v>2424.4014423076924</v>
      </c>
      <c r="AG37" s="254">
        <v>0</v>
      </c>
      <c r="AH37" s="254">
        <v>1187.717500000002</v>
      </c>
      <c r="AI37" s="254">
        <v>0</v>
      </c>
      <c r="AJ37" s="254">
        <v>895.79427083333303</v>
      </c>
      <c r="AK37" s="254">
        <v>0</v>
      </c>
      <c r="AL37" s="254">
        <v>722.62268518518761</v>
      </c>
      <c r="AM37" s="254">
        <v>0</v>
      </c>
      <c r="AN37" s="254">
        <v>1567.1442307692307</v>
      </c>
      <c r="AO37" s="254">
        <v>0</v>
      </c>
      <c r="AP37" s="254">
        <v>903.17750000000024</v>
      </c>
      <c r="AQ37" s="254">
        <v>0</v>
      </c>
      <c r="AR37" s="254">
        <v>2355.8725961538462</v>
      </c>
      <c r="AS37" s="254">
        <v>0</v>
      </c>
      <c r="AT37" s="254">
        <v>2664.0552884615377</v>
      </c>
      <c r="AU37" s="254">
        <v>0</v>
      </c>
      <c r="AV37" s="254">
        <v>2146.4230769230771</v>
      </c>
      <c r="AW37" s="254">
        <v>0</v>
      </c>
      <c r="AX37" s="254">
        <v>1644.3300000000008</v>
      </c>
      <c r="AY37" s="254">
        <v>0</v>
      </c>
    </row>
    <row r="38" spans="2:51">
      <c r="B38" s="244">
        <v>10094</v>
      </c>
      <c r="C38" s="244" t="s">
        <v>41</v>
      </c>
      <c r="D38" s="254">
        <v>583.19907407407436</v>
      </c>
      <c r="E38" s="254">
        <v>0</v>
      </c>
      <c r="F38" s="254">
        <v>248.78000000000034</v>
      </c>
      <c r="G38" s="254">
        <v>0</v>
      </c>
      <c r="H38" s="254">
        <v>312.25499999999982</v>
      </c>
      <c r="I38" s="254">
        <v>0</v>
      </c>
      <c r="J38" s="254">
        <v>632.08894230769181</v>
      </c>
      <c r="K38" s="254">
        <v>0</v>
      </c>
      <c r="L38" s="254">
        <v>608.82249999999965</v>
      </c>
      <c r="M38" s="254">
        <v>0</v>
      </c>
      <c r="N38" s="254">
        <v>479.65625</v>
      </c>
      <c r="O38" s="254">
        <v>0</v>
      </c>
      <c r="P38" s="254">
        <v>565.8413461538463</v>
      </c>
      <c r="Q38" s="254">
        <v>0</v>
      </c>
      <c r="R38" s="254">
        <v>379.88750000000067</v>
      </c>
      <c r="S38" s="254">
        <v>0</v>
      </c>
      <c r="T38" s="254">
        <v>468.41826923076968</v>
      </c>
      <c r="U38" s="254">
        <v>0</v>
      </c>
      <c r="V38" s="254">
        <v>619.31249999999943</v>
      </c>
      <c r="W38" s="254">
        <v>0</v>
      </c>
      <c r="X38" s="254">
        <v>420.09615384615387</v>
      </c>
      <c r="Y38" s="254">
        <v>0</v>
      </c>
      <c r="Z38" s="254">
        <v>455.31749999999994</v>
      </c>
      <c r="AA38" s="254">
        <v>0</v>
      </c>
      <c r="AB38" s="254">
        <v>583.19907407407436</v>
      </c>
      <c r="AC38" s="254">
        <v>0</v>
      </c>
      <c r="AD38" s="254">
        <v>95.854166666667126</v>
      </c>
      <c r="AE38" s="254">
        <v>0</v>
      </c>
      <c r="AF38" s="254">
        <v>478.16826923076883</v>
      </c>
      <c r="AG38" s="254">
        <v>0</v>
      </c>
      <c r="AH38" s="254">
        <v>465.49249999999984</v>
      </c>
      <c r="AI38" s="254">
        <v>0</v>
      </c>
      <c r="AJ38" s="254">
        <v>453.10677083333275</v>
      </c>
      <c r="AK38" s="254">
        <v>0</v>
      </c>
      <c r="AL38" s="254">
        <v>615.85416666666674</v>
      </c>
      <c r="AM38" s="254">
        <v>0</v>
      </c>
      <c r="AN38" s="254">
        <v>565.8413461538463</v>
      </c>
      <c r="AO38" s="254">
        <v>0</v>
      </c>
      <c r="AP38" s="254">
        <v>379.88750000000067</v>
      </c>
      <c r="AQ38" s="254">
        <v>0</v>
      </c>
      <c r="AR38" s="254">
        <v>468.41826923076968</v>
      </c>
      <c r="AS38" s="254">
        <v>0</v>
      </c>
      <c r="AT38" s="254">
        <v>619.31249999999943</v>
      </c>
      <c r="AU38" s="254">
        <v>0</v>
      </c>
      <c r="AV38" s="254">
        <v>420.09615384615387</v>
      </c>
      <c r="AW38" s="254">
        <v>0</v>
      </c>
      <c r="AX38" s="254">
        <v>455.31749999999994</v>
      </c>
      <c r="AY38" s="254">
        <v>0</v>
      </c>
    </row>
    <row r="39" spans="2:51">
      <c r="B39" s="244">
        <v>10095</v>
      </c>
      <c r="C39" s="244" t="s">
        <v>42</v>
      </c>
      <c r="D39" s="254">
        <v>578.11342592592632</v>
      </c>
      <c r="E39" s="254">
        <v>0</v>
      </c>
      <c r="F39" s="254">
        <v>242.96499999999986</v>
      </c>
      <c r="G39" s="254">
        <v>0</v>
      </c>
      <c r="H39" s="254">
        <v>440.34000000000083</v>
      </c>
      <c r="I39" s="254">
        <v>0</v>
      </c>
      <c r="J39" s="254">
        <v>563.83173076923049</v>
      </c>
      <c r="K39" s="254">
        <v>0</v>
      </c>
      <c r="L39" s="254">
        <v>422.55500000000023</v>
      </c>
      <c r="M39" s="254">
        <v>0</v>
      </c>
      <c r="N39" s="254">
        <v>0</v>
      </c>
      <c r="O39" s="254">
        <v>0</v>
      </c>
      <c r="P39" s="254">
        <v>474.68990384615415</v>
      </c>
      <c r="Q39" s="254">
        <v>0</v>
      </c>
      <c r="R39" s="254">
        <v>185.15000000000015</v>
      </c>
      <c r="S39" s="254">
        <v>0</v>
      </c>
      <c r="T39" s="254">
        <v>116.03125000000003</v>
      </c>
      <c r="U39" s="254">
        <v>0</v>
      </c>
      <c r="V39" s="254">
        <v>287.56971153846166</v>
      </c>
      <c r="W39" s="254">
        <v>0</v>
      </c>
      <c r="X39" s="254">
        <v>0</v>
      </c>
      <c r="Y39" s="254">
        <v>0</v>
      </c>
      <c r="Z39" s="254">
        <v>214.89500000000072</v>
      </c>
      <c r="AA39" s="254">
        <v>0</v>
      </c>
      <c r="AB39" s="254">
        <v>585.47916666666663</v>
      </c>
      <c r="AC39" s="254">
        <v>0</v>
      </c>
      <c r="AD39" s="254">
        <v>79.421875000000426</v>
      </c>
      <c r="AE39" s="254">
        <v>0</v>
      </c>
      <c r="AF39" s="254">
        <v>602.30528846153857</v>
      </c>
      <c r="AG39" s="254">
        <v>0</v>
      </c>
      <c r="AH39" s="254">
        <v>381.88999999999942</v>
      </c>
      <c r="AI39" s="254">
        <v>0</v>
      </c>
      <c r="AJ39" s="254">
        <v>237.94010416666666</v>
      </c>
      <c r="AK39" s="254">
        <v>0</v>
      </c>
      <c r="AL39" s="254">
        <v>160.0208333333326</v>
      </c>
      <c r="AM39" s="254">
        <v>0</v>
      </c>
      <c r="AN39" s="254">
        <v>605.33413461538476</v>
      </c>
      <c r="AO39" s="254">
        <v>0</v>
      </c>
      <c r="AP39" s="254">
        <v>57.940000000000325</v>
      </c>
      <c r="AQ39" s="254">
        <v>0</v>
      </c>
      <c r="AR39" s="254">
        <v>115.31009615384602</v>
      </c>
      <c r="AS39" s="254">
        <v>0</v>
      </c>
      <c r="AT39" s="254">
        <v>285.24759615384568</v>
      </c>
      <c r="AU39" s="254">
        <v>0</v>
      </c>
      <c r="AV39" s="254">
        <v>0</v>
      </c>
      <c r="AW39" s="254">
        <v>0</v>
      </c>
      <c r="AX39" s="254">
        <v>210.34250000000031</v>
      </c>
      <c r="AY39" s="254">
        <v>0</v>
      </c>
    </row>
    <row r="40" spans="2:51">
      <c r="B40" s="244">
        <v>10097</v>
      </c>
      <c r="C40" s="244" t="s">
        <v>43</v>
      </c>
      <c r="D40" s="254">
        <v>481.3981481481481</v>
      </c>
      <c r="E40" s="254">
        <v>0</v>
      </c>
      <c r="F40" s="254">
        <v>304.73250000000036</v>
      </c>
      <c r="G40" s="254">
        <v>0</v>
      </c>
      <c r="H40" s="254">
        <v>647.86000000000035</v>
      </c>
      <c r="I40" s="254">
        <v>0</v>
      </c>
      <c r="J40" s="254">
        <v>646.63942307692298</v>
      </c>
      <c r="K40" s="254">
        <v>0</v>
      </c>
      <c r="L40" s="254">
        <v>343.54499999999967</v>
      </c>
      <c r="M40" s="254">
        <v>0</v>
      </c>
      <c r="N40" s="254">
        <v>340.41826923076945</v>
      </c>
      <c r="O40" s="254">
        <v>0</v>
      </c>
      <c r="P40" s="254">
        <v>454.66586538461564</v>
      </c>
      <c r="Q40" s="254">
        <v>0</v>
      </c>
      <c r="R40" s="254">
        <v>249.02250000000015</v>
      </c>
      <c r="S40" s="254">
        <v>0</v>
      </c>
      <c r="T40" s="254">
        <v>263.57451923076906</v>
      </c>
      <c r="U40" s="254">
        <v>0</v>
      </c>
      <c r="V40" s="254">
        <v>240.94951923076914</v>
      </c>
      <c r="W40" s="254">
        <v>0</v>
      </c>
      <c r="X40" s="254">
        <v>199.76442307692321</v>
      </c>
      <c r="Y40" s="254">
        <v>0</v>
      </c>
      <c r="Z40" s="254">
        <v>299.93500000000006</v>
      </c>
      <c r="AA40" s="254">
        <v>0</v>
      </c>
      <c r="AB40" s="254">
        <v>484.39120370370358</v>
      </c>
      <c r="AC40" s="254">
        <v>0</v>
      </c>
      <c r="AD40" s="254">
        <v>207.79427083333317</v>
      </c>
      <c r="AE40" s="254">
        <v>0</v>
      </c>
      <c r="AF40" s="254">
        <v>771.49519230769204</v>
      </c>
      <c r="AG40" s="254">
        <v>0</v>
      </c>
      <c r="AH40" s="254">
        <v>523.19749999999954</v>
      </c>
      <c r="AI40" s="254">
        <v>0</v>
      </c>
      <c r="AJ40" s="254">
        <v>236.067708333333</v>
      </c>
      <c r="AK40" s="254">
        <v>0</v>
      </c>
      <c r="AL40" s="254">
        <v>433.37499999999994</v>
      </c>
      <c r="AM40" s="254">
        <v>0</v>
      </c>
      <c r="AN40" s="254">
        <v>456.61057692307708</v>
      </c>
      <c r="AO40" s="254">
        <v>0</v>
      </c>
      <c r="AP40" s="254">
        <v>250.83999999999995</v>
      </c>
      <c r="AQ40" s="254">
        <v>0</v>
      </c>
      <c r="AR40" s="254">
        <v>264.62980769230774</v>
      </c>
      <c r="AS40" s="254">
        <v>0</v>
      </c>
      <c r="AT40" s="254">
        <v>240.9663461538463</v>
      </c>
      <c r="AU40" s="254">
        <v>0</v>
      </c>
      <c r="AV40" s="254">
        <v>200.69471153846152</v>
      </c>
      <c r="AW40" s="254">
        <v>0</v>
      </c>
      <c r="AX40" s="254">
        <v>300.97499999999997</v>
      </c>
      <c r="AY40" s="254">
        <v>0</v>
      </c>
    </row>
    <row r="41" spans="2:51">
      <c r="B41" s="244">
        <v>10101</v>
      </c>
      <c r="C41" s="244" t="s">
        <v>44</v>
      </c>
      <c r="D41" s="254">
        <v>0</v>
      </c>
      <c r="E41" s="254">
        <v>0</v>
      </c>
      <c r="F41" s="254">
        <v>0</v>
      </c>
      <c r="G41" s="254">
        <v>0</v>
      </c>
      <c r="H41" s="254">
        <v>24485.104999999981</v>
      </c>
      <c r="I41" s="254">
        <v>0</v>
      </c>
      <c r="J41" s="254">
        <v>24170.774038461524</v>
      </c>
      <c r="K41" s="254">
        <v>0</v>
      </c>
      <c r="L41" s="254">
        <v>23910.3675</v>
      </c>
      <c r="M41" s="254">
        <v>0</v>
      </c>
      <c r="N41" s="254">
        <v>12115.670673076913</v>
      </c>
      <c r="O41" s="254">
        <v>0</v>
      </c>
      <c r="P41" s="254">
        <v>15881.78605769231</v>
      </c>
      <c r="Q41" s="254">
        <v>0</v>
      </c>
      <c r="R41" s="254">
        <v>13913.444999999989</v>
      </c>
      <c r="S41" s="254">
        <v>0</v>
      </c>
      <c r="T41" s="254">
        <v>9094.0913461538421</v>
      </c>
      <c r="U41" s="254">
        <v>0</v>
      </c>
      <c r="V41" s="254">
        <v>6595.5096153846052</v>
      </c>
      <c r="W41" s="254">
        <v>0</v>
      </c>
      <c r="X41" s="254">
        <v>6078.7235576923085</v>
      </c>
      <c r="Y41" s="254">
        <v>0</v>
      </c>
      <c r="Z41" s="254">
        <v>10957.242499999993</v>
      </c>
      <c r="AA41" s="254">
        <v>0</v>
      </c>
      <c r="AB41" s="254">
        <v>0</v>
      </c>
      <c r="AC41" s="254">
        <v>0</v>
      </c>
      <c r="AD41" s="254">
        <v>0</v>
      </c>
      <c r="AE41" s="254">
        <v>0</v>
      </c>
      <c r="AF41" s="254">
        <v>30155.716346153844</v>
      </c>
      <c r="AG41" s="254">
        <v>0</v>
      </c>
      <c r="AH41" s="254">
        <v>20545.40500000001</v>
      </c>
      <c r="AI41" s="254">
        <v>0</v>
      </c>
      <c r="AJ41" s="254">
        <v>20466.757812500015</v>
      </c>
      <c r="AK41" s="254">
        <v>0</v>
      </c>
      <c r="AL41" s="254">
        <v>16811.942129629635</v>
      </c>
      <c r="AM41" s="254">
        <v>0</v>
      </c>
      <c r="AN41" s="254">
        <v>16837.786057692327</v>
      </c>
      <c r="AO41" s="254">
        <v>0</v>
      </c>
      <c r="AP41" s="254">
        <v>14869.444999999992</v>
      </c>
      <c r="AQ41" s="254">
        <v>0</v>
      </c>
      <c r="AR41" s="254">
        <v>9955.0913461538457</v>
      </c>
      <c r="AS41" s="254">
        <v>0</v>
      </c>
      <c r="AT41" s="254">
        <v>7467.5096153846052</v>
      </c>
      <c r="AU41" s="254">
        <v>0</v>
      </c>
      <c r="AV41" s="254">
        <v>6951.7235576923058</v>
      </c>
      <c r="AW41" s="254">
        <v>0</v>
      </c>
      <c r="AX41" s="254">
        <v>11890.242499999986</v>
      </c>
      <c r="AY41" s="254">
        <v>0</v>
      </c>
    </row>
    <row r="42" spans="2:51">
      <c r="B42" s="244">
        <v>10103</v>
      </c>
      <c r="C42" s="244" t="s">
        <v>45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  <c r="Q42" s="254">
        <v>0</v>
      </c>
      <c r="R42" s="254">
        <v>0</v>
      </c>
      <c r="S42" s="254">
        <v>0</v>
      </c>
      <c r="T42" s="254">
        <v>0</v>
      </c>
      <c r="U42" s="254">
        <v>0</v>
      </c>
      <c r="V42" s="254">
        <v>0</v>
      </c>
      <c r="W42" s="254">
        <v>0</v>
      </c>
      <c r="X42" s="254">
        <v>0</v>
      </c>
      <c r="Y42" s="254">
        <v>0</v>
      </c>
      <c r="Z42" s="254">
        <v>0</v>
      </c>
      <c r="AA42" s="254">
        <v>0</v>
      </c>
      <c r="AB42" s="254">
        <v>0</v>
      </c>
      <c r="AC42" s="254">
        <v>0</v>
      </c>
      <c r="AD42" s="254">
        <v>0</v>
      </c>
      <c r="AE42" s="254">
        <v>0</v>
      </c>
      <c r="AF42" s="254">
        <v>0</v>
      </c>
      <c r="AG42" s="254">
        <v>0</v>
      </c>
      <c r="AH42" s="254">
        <v>0</v>
      </c>
      <c r="AI42" s="254">
        <v>0</v>
      </c>
      <c r="AJ42" s="254">
        <v>0</v>
      </c>
      <c r="AK42" s="254">
        <v>0</v>
      </c>
      <c r="AL42" s="254">
        <v>0</v>
      </c>
      <c r="AM42" s="254">
        <v>0</v>
      </c>
      <c r="AN42" s="254">
        <v>0</v>
      </c>
      <c r="AO42" s="254">
        <v>0</v>
      </c>
      <c r="AP42" s="254">
        <v>0</v>
      </c>
      <c r="AQ42" s="254">
        <v>0</v>
      </c>
      <c r="AR42" s="254">
        <v>0</v>
      </c>
      <c r="AS42" s="254">
        <v>0</v>
      </c>
      <c r="AT42" s="254">
        <v>0</v>
      </c>
      <c r="AU42" s="254">
        <v>0</v>
      </c>
      <c r="AV42" s="254">
        <v>0</v>
      </c>
      <c r="AW42" s="254">
        <v>0</v>
      </c>
      <c r="AX42" s="254">
        <v>0</v>
      </c>
      <c r="AY42" s="254">
        <v>0</v>
      </c>
    </row>
    <row r="43" spans="2:51">
      <c r="B43" s="244">
        <v>10105</v>
      </c>
      <c r="C43" s="244" t="s">
        <v>46</v>
      </c>
      <c r="D43" s="254">
        <v>0</v>
      </c>
      <c r="E43" s="254">
        <v>0</v>
      </c>
      <c r="F43" s="254">
        <v>0</v>
      </c>
      <c r="G43" s="254">
        <v>0</v>
      </c>
      <c r="H43" s="254">
        <v>0</v>
      </c>
      <c r="I43" s="254">
        <v>0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4">
        <v>0</v>
      </c>
      <c r="Q43" s="254">
        <v>0</v>
      </c>
      <c r="R43" s="254">
        <v>0</v>
      </c>
      <c r="S43" s="254">
        <v>0</v>
      </c>
      <c r="T43" s="254">
        <v>0</v>
      </c>
      <c r="U43" s="254">
        <v>0</v>
      </c>
      <c r="V43" s="254">
        <v>0</v>
      </c>
      <c r="W43" s="254">
        <v>0</v>
      </c>
      <c r="X43" s="254">
        <v>0</v>
      </c>
      <c r="Y43" s="254">
        <v>0</v>
      </c>
      <c r="Z43" s="254">
        <v>0</v>
      </c>
      <c r="AA43" s="254">
        <v>0</v>
      </c>
      <c r="AB43" s="254">
        <v>0</v>
      </c>
      <c r="AC43" s="254">
        <v>0</v>
      </c>
      <c r="AD43" s="254">
        <v>0</v>
      </c>
      <c r="AE43" s="254">
        <v>0</v>
      </c>
      <c r="AF43" s="254">
        <v>0</v>
      </c>
      <c r="AG43" s="254">
        <v>0</v>
      </c>
      <c r="AH43" s="254">
        <v>0</v>
      </c>
      <c r="AI43" s="254">
        <v>0</v>
      </c>
      <c r="AJ43" s="254">
        <v>0</v>
      </c>
      <c r="AK43" s="254">
        <v>0</v>
      </c>
      <c r="AL43" s="254">
        <v>0</v>
      </c>
      <c r="AM43" s="254">
        <v>0</v>
      </c>
      <c r="AN43" s="254">
        <v>0</v>
      </c>
      <c r="AO43" s="254">
        <v>0</v>
      </c>
      <c r="AP43" s="254">
        <v>0</v>
      </c>
      <c r="AQ43" s="254">
        <v>0</v>
      </c>
      <c r="AR43" s="254">
        <v>0</v>
      </c>
      <c r="AS43" s="254">
        <v>0</v>
      </c>
      <c r="AT43" s="254">
        <v>0</v>
      </c>
      <c r="AU43" s="254">
        <v>0</v>
      </c>
      <c r="AV43" s="254">
        <v>0</v>
      </c>
      <c r="AW43" s="254">
        <v>0</v>
      </c>
      <c r="AX43" s="254">
        <v>0</v>
      </c>
      <c r="AY43" s="254">
        <v>0</v>
      </c>
    </row>
    <row r="44" spans="2:51">
      <c r="B44" s="244">
        <v>10106</v>
      </c>
      <c r="C44" s="244" t="s">
        <v>47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254">
        <v>0</v>
      </c>
      <c r="T44" s="254">
        <v>0</v>
      </c>
      <c r="U44" s="254">
        <v>0</v>
      </c>
      <c r="V44" s="254">
        <v>0</v>
      </c>
      <c r="W44" s="254">
        <v>0</v>
      </c>
      <c r="X44" s="254">
        <v>0</v>
      </c>
      <c r="Y44" s="254">
        <v>0</v>
      </c>
      <c r="Z44" s="254">
        <v>0</v>
      </c>
      <c r="AA44" s="254">
        <v>0</v>
      </c>
      <c r="AB44" s="254">
        <v>0</v>
      </c>
      <c r="AC44" s="254">
        <v>0</v>
      </c>
      <c r="AD44" s="254">
        <v>0</v>
      </c>
      <c r="AE44" s="254">
        <v>0</v>
      </c>
      <c r="AF44" s="254">
        <v>0</v>
      </c>
      <c r="AG44" s="254">
        <v>0</v>
      </c>
      <c r="AH44" s="254">
        <v>0</v>
      </c>
      <c r="AI44" s="254">
        <v>0</v>
      </c>
      <c r="AJ44" s="254">
        <v>0</v>
      </c>
      <c r="AK44" s="254">
        <v>0</v>
      </c>
      <c r="AL44" s="254">
        <v>0</v>
      </c>
      <c r="AM44" s="254">
        <v>0</v>
      </c>
      <c r="AN44" s="254">
        <v>0</v>
      </c>
      <c r="AO44" s="254">
        <v>0</v>
      </c>
      <c r="AP44" s="254">
        <v>0</v>
      </c>
      <c r="AQ44" s="254">
        <v>0</v>
      </c>
      <c r="AR44" s="254">
        <v>0</v>
      </c>
      <c r="AS44" s="254">
        <v>0</v>
      </c>
      <c r="AT44" s="254">
        <v>0</v>
      </c>
      <c r="AU44" s="254">
        <v>0</v>
      </c>
      <c r="AV44" s="254">
        <v>0</v>
      </c>
      <c r="AW44" s="254">
        <v>0</v>
      </c>
      <c r="AX44" s="254">
        <v>0</v>
      </c>
      <c r="AY44" s="254">
        <v>0</v>
      </c>
    </row>
    <row r="45" spans="2:51">
      <c r="B45" s="244">
        <v>10109</v>
      </c>
      <c r="C45" s="244" t="s">
        <v>48</v>
      </c>
      <c r="D45" s="254">
        <v>6225.0671296296296</v>
      </c>
      <c r="E45" s="254">
        <v>0</v>
      </c>
      <c r="F45" s="254">
        <v>3071.0474999999997</v>
      </c>
      <c r="G45" s="254">
        <v>0</v>
      </c>
      <c r="H45" s="254">
        <v>3805.7024999999981</v>
      </c>
      <c r="I45" s="254">
        <v>0</v>
      </c>
      <c r="J45" s="254">
        <v>6875.9927884615381</v>
      </c>
      <c r="K45" s="254">
        <v>0</v>
      </c>
      <c r="L45" s="254">
        <v>5441.0724999999993</v>
      </c>
      <c r="M45" s="254">
        <v>0</v>
      </c>
      <c r="N45" s="254">
        <v>5087.5721153846162</v>
      </c>
      <c r="O45" s="254">
        <v>0</v>
      </c>
      <c r="P45" s="254">
        <v>5210.3653846153848</v>
      </c>
      <c r="Q45" s="254">
        <v>0</v>
      </c>
      <c r="R45" s="254">
        <v>3107.4400000000019</v>
      </c>
      <c r="S45" s="254">
        <v>0</v>
      </c>
      <c r="T45" s="254">
        <v>3568.372596153848</v>
      </c>
      <c r="U45" s="254">
        <v>0</v>
      </c>
      <c r="V45" s="254">
        <v>5271.0312500000027</v>
      </c>
      <c r="W45" s="254">
        <v>0</v>
      </c>
      <c r="X45" s="254">
        <v>3744.6394230769233</v>
      </c>
      <c r="Y45" s="254">
        <v>0</v>
      </c>
      <c r="Z45" s="254">
        <v>4854.505000000001</v>
      </c>
      <c r="AA45" s="254">
        <v>0</v>
      </c>
      <c r="AB45" s="254">
        <v>6179.5509259259243</v>
      </c>
      <c r="AC45" s="254">
        <v>0</v>
      </c>
      <c r="AD45" s="254">
        <v>2576.1041666666661</v>
      </c>
      <c r="AE45" s="254">
        <v>0</v>
      </c>
      <c r="AF45" s="254">
        <v>4408.1995192307677</v>
      </c>
      <c r="AG45" s="254">
        <v>0</v>
      </c>
      <c r="AH45" s="254">
        <v>6332.7500000000027</v>
      </c>
      <c r="AI45" s="254">
        <v>0</v>
      </c>
      <c r="AJ45" s="254">
        <v>4952.9375</v>
      </c>
      <c r="AK45" s="254">
        <v>0</v>
      </c>
      <c r="AL45" s="254">
        <v>5512.3518518518513</v>
      </c>
      <c r="AM45" s="254">
        <v>0</v>
      </c>
      <c r="AN45" s="254">
        <v>5723.4807692307704</v>
      </c>
      <c r="AO45" s="254">
        <v>0</v>
      </c>
      <c r="AP45" s="254">
        <v>2385.0425000000023</v>
      </c>
      <c r="AQ45" s="254">
        <v>0</v>
      </c>
      <c r="AR45" s="254">
        <v>3504.7331730769197</v>
      </c>
      <c r="AS45" s="254">
        <v>0</v>
      </c>
      <c r="AT45" s="254">
        <v>5226.9735576923067</v>
      </c>
      <c r="AU45" s="254">
        <v>0</v>
      </c>
      <c r="AV45" s="254">
        <v>3695.2908653846148</v>
      </c>
      <c r="AW45" s="254">
        <v>0</v>
      </c>
      <c r="AX45" s="254">
        <v>4795.1724999999979</v>
      </c>
      <c r="AY45" s="254">
        <v>0</v>
      </c>
    </row>
    <row r="46" spans="2:51">
      <c r="B46" s="244">
        <v>10111</v>
      </c>
      <c r="C46" s="244" t="s">
        <v>49</v>
      </c>
      <c r="D46" s="254">
        <v>474.27083333333331</v>
      </c>
      <c r="E46" s="254">
        <v>0</v>
      </c>
      <c r="F46" s="254">
        <v>0</v>
      </c>
      <c r="G46" s="254">
        <v>0</v>
      </c>
      <c r="H46" s="254">
        <v>717.6600000000002</v>
      </c>
      <c r="I46" s="254">
        <v>0</v>
      </c>
      <c r="J46" s="254">
        <v>1050.2716346153848</v>
      </c>
      <c r="K46" s="254">
        <v>0</v>
      </c>
      <c r="L46" s="254">
        <v>182.94749999999937</v>
      </c>
      <c r="M46" s="254">
        <v>0</v>
      </c>
      <c r="N46" s="254">
        <v>580.18990384615381</v>
      </c>
      <c r="O46" s="254">
        <v>0</v>
      </c>
      <c r="P46" s="254">
        <v>397.25480769230813</v>
      </c>
      <c r="Q46" s="254">
        <v>0</v>
      </c>
      <c r="R46" s="254">
        <v>172.33250000000055</v>
      </c>
      <c r="S46" s="254">
        <v>0</v>
      </c>
      <c r="T46" s="254">
        <v>439.18509615384596</v>
      </c>
      <c r="U46" s="254">
        <v>0</v>
      </c>
      <c r="V46" s="254">
        <v>749.1153846153843</v>
      </c>
      <c r="W46" s="254">
        <v>0</v>
      </c>
      <c r="X46" s="254">
        <v>546.4951923076917</v>
      </c>
      <c r="Y46" s="254">
        <v>0</v>
      </c>
      <c r="Z46" s="254">
        <v>492.19499999999954</v>
      </c>
      <c r="AA46" s="254">
        <v>0</v>
      </c>
      <c r="AB46" s="254">
        <v>477.92361111111126</v>
      </c>
      <c r="AC46" s="254">
        <v>0</v>
      </c>
      <c r="AD46" s="254">
        <v>0</v>
      </c>
      <c r="AE46" s="254">
        <v>0</v>
      </c>
      <c r="AF46" s="254">
        <v>846.87980769230739</v>
      </c>
      <c r="AG46" s="254">
        <v>0</v>
      </c>
      <c r="AH46" s="254">
        <v>900.50499999999965</v>
      </c>
      <c r="AI46" s="254">
        <v>0</v>
      </c>
      <c r="AJ46" s="254">
        <v>63.729166666667282</v>
      </c>
      <c r="AK46" s="254">
        <v>0</v>
      </c>
      <c r="AL46" s="254">
        <v>683.58101851851848</v>
      </c>
      <c r="AM46" s="254">
        <v>0</v>
      </c>
      <c r="AN46" s="254">
        <v>511.84855769230819</v>
      </c>
      <c r="AO46" s="254">
        <v>0</v>
      </c>
      <c r="AP46" s="254">
        <v>47.769999999999982</v>
      </c>
      <c r="AQ46" s="254">
        <v>0</v>
      </c>
      <c r="AR46" s="254">
        <v>443.35817307692338</v>
      </c>
      <c r="AS46" s="254">
        <v>0</v>
      </c>
      <c r="AT46" s="254">
        <v>751.68028846153868</v>
      </c>
      <c r="AU46" s="254">
        <v>0</v>
      </c>
      <c r="AV46" s="254">
        <v>548.2836538461537</v>
      </c>
      <c r="AW46" s="254">
        <v>0</v>
      </c>
      <c r="AX46" s="254">
        <v>494.59999999999957</v>
      </c>
      <c r="AY46" s="254">
        <v>0</v>
      </c>
    </row>
    <row r="47" spans="2:51">
      <c r="B47" s="244">
        <v>10112</v>
      </c>
      <c r="C47" s="244" t="s">
        <v>50</v>
      </c>
      <c r="D47" s="254">
        <v>5279.3310185185182</v>
      </c>
      <c r="E47" s="254">
        <v>0</v>
      </c>
      <c r="F47" s="254">
        <v>5070.5575000000017</v>
      </c>
      <c r="G47" s="254">
        <v>0</v>
      </c>
      <c r="H47" s="254">
        <v>9003.1349999999911</v>
      </c>
      <c r="I47" s="254">
        <v>0</v>
      </c>
      <c r="J47" s="254">
        <v>6706.8605769230753</v>
      </c>
      <c r="K47" s="254">
        <v>0</v>
      </c>
      <c r="L47" s="254">
        <v>8775.247499999994</v>
      </c>
      <c r="M47" s="254">
        <v>0</v>
      </c>
      <c r="N47" s="254">
        <v>0</v>
      </c>
      <c r="O47" s="254">
        <v>0</v>
      </c>
      <c r="P47" s="254">
        <v>10762.579326923087</v>
      </c>
      <c r="Q47" s="254">
        <v>0</v>
      </c>
      <c r="R47" s="254">
        <v>6200.0399999999909</v>
      </c>
      <c r="S47" s="254">
        <v>0</v>
      </c>
      <c r="T47" s="254">
        <v>9506.3990384615372</v>
      </c>
      <c r="U47" s="254">
        <v>0</v>
      </c>
      <c r="V47" s="254">
        <v>10140.158653846147</v>
      </c>
      <c r="W47" s="254">
        <v>0</v>
      </c>
      <c r="X47" s="254">
        <v>14726.408653846158</v>
      </c>
      <c r="Y47" s="254">
        <v>0</v>
      </c>
      <c r="Z47" s="254">
        <v>5130.3075000000017</v>
      </c>
      <c r="AA47" s="254">
        <v>0</v>
      </c>
      <c r="AB47" s="254">
        <v>4962.6064814814863</v>
      </c>
      <c r="AC47" s="254">
        <v>0</v>
      </c>
      <c r="AD47" s="254">
        <v>2021.5807291666667</v>
      </c>
      <c r="AE47" s="254">
        <v>0</v>
      </c>
      <c r="AF47" s="254">
        <v>11528.134615384606</v>
      </c>
      <c r="AG47" s="254">
        <v>0</v>
      </c>
      <c r="AH47" s="254">
        <v>3201.387500000008</v>
      </c>
      <c r="AI47" s="254">
        <v>0</v>
      </c>
      <c r="AJ47" s="254">
        <v>5678.442708333323</v>
      </c>
      <c r="AK47" s="254">
        <v>0</v>
      </c>
      <c r="AL47" s="254">
        <v>1842.19675925927</v>
      </c>
      <c r="AM47" s="254">
        <v>0</v>
      </c>
      <c r="AN47" s="254">
        <v>10461.276442307684</v>
      </c>
      <c r="AO47" s="254">
        <v>0</v>
      </c>
      <c r="AP47" s="254">
        <v>5909.6375000000126</v>
      </c>
      <c r="AQ47" s="254">
        <v>0</v>
      </c>
      <c r="AR47" s="254">
        <v>9209.2980769230835</v>
      </c>
      <c r="AS47" s="254">
        <v>0</v>
      </c>
      <c r="AT47" s="254">
        <v>10143.78125</v>
      </c>
      <c r="AU47" s="254">
        <v>0</v>
      </c>
      <c r="AV47" s="254">
        <v>14745.317307692305</v>
      </c>
      <c r="AW47" s="254">
        <v>0</v>
      </c>
      <c r="AX47" s="254">
        <v>4814.2325000000037</v>
      </c>
      <c r="AY47" s="254">
        <v>0</v>
      </c>
    </row>
    <row r="48" spans="2:51">
      <c r="B48" s="244">
        <v>10113</v>
      </c>
      <c r="C48" s="244" t="s">
        <v>51</v>
      </c>
      <c r="D48" s="254">
        <v>0</v>
      </c>
      <c r="E48" s="254">
        <v>0</v>
      </c>
      <c r="F48" s="254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>
        <v>0</v>
      </c>
      <c r="R48" s="254">
        <v>0</v>
      </c>
      <c r="S48" s="254">
        <v>0</v>
      </c>
      <c r="T48" s="254">
        <v>11862.317307692307</v>
      </c>
      <c r="U48" s="254">
        <v>0</v>
      </c>
      <c r="V48" s="254">
        <v>7122.9423076923094</v>
      </c>
      <c r="W48" s="254">
        <v>0</v>
      </c>
      <c r="X48" s="254">
        <v>7221.9711538461552</v>
      </c>
      <c r="Y48" s="254">
        <v>0</v>
      </c>
      <c r="Z48" s="254">
        <v>0</v>
      </c>
      <c r="AA48" s="254">
        <v>0</v>
      </c>
      <c r="AB48" s="254">
        <v>0</v>
      </c>
      <c r="AC48" s="254">
        <v>0</v>
      </c>
      <c r="AD48" s="254">
        <v>0</v>
      </c>
      <c r="AE48" s="254">
        <v>0</v>
      </c>
      <c r="AF48" s="254">
        <v>0</v>
      </c>
      <c r="AG48" s="254">
        <v>0</v>
      </c>
      <c r="AH48" s="254">
        <v>0</v>
      </c>
      <c r="AI48" s="254">
        <v>0</v>
      </c>
      <c r="AJ48" s="254">
        <v>0</v>
      </c>
      <c r="AK48" s="254">
        <v>0</v>
      </c>
      <c r="AL48" s="254">
        <v>0</v>
      </c>
      <c r="AM48" s="254">
        <v>0</v>
      </c>
      <c r="AN48" s="254">
        <v>1823.0600961538457</v>
      </c>
      <c r="AO48" s="254">
        <v>0</v>
      </c>
      <c r="AP48" s="254">
        <v>0</v>
      </c>
      <c r="AQ48" s="254">
        <v>0</v>
      </c>
      <c r="AR48" s="254">
        <v>12605.382211538466</v>
      </c>
      <c r="AS48" s="254">
        <v>0</v>
      </c>
      <c r="AT48" s="254">
        <v>8150.379807692314</v>
      </c>
      <c r="AU48" s="254">
        <v>0</v>
      </c>
      <c r="AV48" s="254">
        <v>8467.7235576923104</v>
      </c>
      <c r="AW48" s="254">
        <v>0</v>
      </c>
      <c r="AX48" s="254">
        <v>0</v>
      </c>
      <c r="AY48" s="254">
        <v>0</v>
      </c>
    </row>
    <row r="49" spans="2:51">
      <c r="B49" s="244">
        <v>10116</v>
      </c>
      <c r="C49" s="244" t="s">
        <v>52</v>
      </c>
      <c r="D49" s="254">
        <v>0</v>
      </c>
      <c r="E49" s="254">
        <v>0</v>
      </c>
      <c r="F49" s="254">
        <v>0</v>
      </c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0</v>
      </c>
      <c r="P49" s="254">
        <v>0</v>
      </c>
      <c r="Q49" s="254">
        <v>0</v>
      </c>
      <c r="R49" s="254">
        <v>0</v>
      </c>
      <c r="S49" s="254">
        <v>0</v>
      </c>
      <c r="T49" s="254">
        <v>0</v>
      </c>
      <c r="U49" s="254">
        <v>0</v>
      </c>
      <c r="V49" s="254">
        <v>0</v>
      </c>
      <c r="W49" s="254">
        <v>0</v>
      </c>
      <c r="X49" s="254">
        <v>0</v>
      </c>
      <c r="Y49" s="254">
        <v>0</v>
      </c>
      <c r="Z49" s="254">
        <v>0</v>
      </c>
      <c r="AA49" s="254">
        <v>0</v>
      </c>
      <c r="AB49" s="254">
        <v>0</v>
      </c>
      <c r="AC49" s="254">
        <v>0</v>
      </c>
      <c r="AD49" s="254">
        <v>0</v>
      </c>
      <c r="AE49" s="254">
        <v>0</v>
      </c>
      <c r="AF49" s="254">
        <v>0</v>
      </c>
      <c r="AG49" s="254">
        <v>0</v>
      </c>
      <c r="AH49" s="254">
        <v>0</v>
      </c>
      <c r="AI49" s="254">
        <v>0</v>
      </c>
      <c r="AJ49" s="254">
        <v>0</v>
      </c>
      <c r="AK49" s="254">
        <v>0</v>
      </c>
      <c r="AL49" s="254">
        <v>0</v>
      </c>
      <c r="AM49" s="254">
        <v>0</v>
      </c>
      <c r="AN49" s="254">
        <v>0</v>
      </c>
      <c r="AO49" s="254">
        <v>0</v>
      </c>
      <c r="AP49" s="254">
        <v>0</v>
      </c>
      <c r="AQ49" s="254">
        <v>0</v>
      </c>
      <c r="AR49" s="254">
        <v>0</v>
      </c>
      <c r="AS49" s="254">
        <v>0</v>
      </c>
      <c r="AT49" s="254">
        <v>0</v>
      </c>
      <c r="AU49" s="254">
        <v>0</v>
      </c>
      <c r="AV49" s="254">
        <v>0</v>
      </c>
      <c r="AW49" s="254">
        <v>0</v>
      </c>
      <c r="AX49" s="254">
        <v>0</v>
      </c>
      <c r="AY49" s="254">
        <v>0</v>
      </c>
    </row>
    <row r="50" spans="2:51">
      <c r="B50" s="244">
        <v>10118</v>
      </c>
      <c r="C50" s="244" t="s">
        <v>53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>
        <v>0</v>
      </c>
      <c r="R50" s="254">
        <v>0</v>
      </c>
      <c r="S50" s="254">
        <v>0</v>
      </c>
      <c r="T50" s="254">
        <v>0</v>
      </c>
      <c r="U50" s="254">
        <v>0</v>
      </c>
      <c r="V50" s="254">
        <v>0</v>
      </c>
      <c r="W50" s="254">
        <v>0</v>
      </c>
      <c r="X50" s="254">
        <v>0</v>
      </c>
      <c r="Y50" s="254">
        <v>0</v>
      </c>
      <c r="Z50" s="254">
        <v>0</v>
      </c>
      <c r="AA50" s="254">
        <v>0</v>
      </c>
      <c r="AB50" s="254">
        <v>0</v>
      </c>
      <c r="AC50" s="254">
        <v>0</v>
      </c>
      <c r="AD50" s="254">
        <v>0</v>
      </c>
      <c r="AE50" s="254">
        <v>0</v>
      </c>
      <c r="AF50" s="254">
        <v>0</v>
      </c>
      <c r="AG50" s="254">
        <v>0</v>
      </c>
      <c r="AH50" s="254">
        <v>0</v>
      </c>
      <c r="AI50" s="254">
        <v>0</v>
      </c>
      <c r="AJ50" s="254">
        <v>0</v>
      </c>
      <c r="AK50" s="254">
        <v>0</v>
      </c>
      <c r="AL50" s="254">
        <v>0</v>
      </c>
      <c r="AM50" s="254">
        <v>0</v>
      </c>
      <c r="AN50" s="254">
        <v>0</v>
      </c>
      <c r="AO50" s="254">
        <v>0</v>
      </c>
      <c r="AP50" s="254">
        <v>0</v>
      </c>
      <c r="AQ50" s="254">
        <v>0</v>
      </c>
      <c r="AR50" s="254">
        <v>0</v>
      </c>
      <c r="AS50" s="254">
        <v>0</v>
      </c>
      <c r="AT50" s="254">
        <v>0</v>
      </c>
      <c r="AU50" s="254">
        <v>0</v>
      </c>
      <c r="AV50" s="254">
        <v>0</v>
      </c>
      <c r="AW50" s="254">
        <v>0</v>
      </c>
      <c r="AX50" s="254">
        <v>0</v>
      </c>
      <c r="AY50" s="254">
        <v>0</v>
      </c>
    </row>
    <row r="51" spans="2:51">
      <c r="B51" s="244">
        <v>10121</v>
      </c>
      <c r="C51" s="244" t="s">
        <v>54</v>
      </c>
      <c r="D51" s="254">
        <v>0</v>
      </c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0</v>
      </c>
      <c r="Y51" s="254">
        <v>0</v>
      </c>
      <c r="Z51" s="254">
        <v>0</v>
      </c>
      <c r="AA51" s="254">
        <v>0</v>
      </c>
      <c r="AB51" s="254">
        <v>0</v>
      </c>
      <c r="AC51" s="254">
        <v>0</v>
      </c>
      <c r="AD51" s="254">
        <v>0</v>
      </c>
      <c r="AE51" s="254">
        <v>0</v>
      </c>
      <c r="AF51" s="254">
        <v>0</v>
      </c>
      <c r="AG51" s="254">
        <v>0</v>
      </c>
      <c r="AH51" s="254">
        <v>0</v>
      </c>
      <c r="AI51" s="254">
        <v>0</v>
      </c>
      <c r="AJ51" s="254">
        <v>0</v>
      </c>
      <c r="AK51" s="254">
        <v>0</v>
      </c>
      <c r="AL51" s="254">
        <v>0</v>
      </c>
      <c r="AM51" s="254">
        <v>0</v>
      </c>
      <c r="AN51" s="254">
        <v>0</v>
      </c>
      <c r="AO51" s="254">
        <v>0</v>
      </c>
      <c r="AP51" s="254">
        <v>0</v>
      </c>
      <c r="AQ51" s="254">
        <v>0</v>
      </c>
      <c r="AR51" s="254">
        <v>0</v>
      </c>
      <c r="AS51" s="254">
        <v>0</v>
      </c>
      <c r="AT51" s="254">
        <v>0</v>
      </c>
      <c r="AU51" s="254">
        <v>0</v>
      </c>
      <c r="AV51" s="254">
        <v>0</v>
      </c>
      <c r="AW51" s="254">
        <v>0</v>
      </c>
      <c r="AX51" s="254">
        <v>0</v>
      </c>
      <c r="AY51" s="254">
        <v>0</v>
      </c>
    </row>
    <row r="52" spans="2:51">
      <c r="B52" s="244">
        <v>10123</v>
      </c>
      <c r="C52" s="244" t="s">
        <v>55</v>
      </c>
      <c r="D52" s="254">
        <v>0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0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0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0</v>
      </c>
      <c r="AU52" s="254">
        <v>0</v>
      </c>
      <c r="AV52" s="254">
        <v>0</v>
      </c>
      <c r="AW52" s="254">
        <v>0</v>
      </c>
      <c r="AX52" s="254">
        <v>0</v>
      </c>
      <c r="AY52" s="254">
        <v>0</v>
      </c>
    </row>
    <row r="53" spans="2:51">
      <c r="B53" s="244">
        <v>10136</v>
      </c>
      <c r="C53" s="244" t="s">
        <v>56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4">
        <v>0</v>
      </c>
      <c r="Q53" s="254">
        <v>0</v>
      </c>
      <c r="R53" s="254">
        <v>0</v>
      </c>
      <c r="S53" s="254">
        <v>0</v>
      </c>
      <c r="T53" s="254">
        <v>0</v>
      </c>
      <c r="U53" s="254">
        <v>0</v>
      </c>
      <c r="V53" s="254">
        <v>0</v>
      </c>
      <c r="W53" s="254">
        <v>0</v>
      </c>
      <c r="X53" s="254">
        <v>0</v>
      </c>
      <c r="Y53" s="254">
        <v>0</v>
      </c>
      <c r="Z53" s="254">
        <v>0</v>
      </c>
      <c r="AA53" s="254">
        <v>0</v>
      </c>
      <c r="AB53" s="254">
        <v>0</v>
      </c>
      <c r="AC53" s="254">
        <v>0</v>
      </c>
      <c r="AD53" s="254">
        <v>0</v>
      </c>
      <c r="AE53" s="254">
        <v>0</v>
      </c>
      <c r="AF53" s="254">
        <v>0</v>
      </c>
      <c r="AG53" s="254">
        <v>0</v>
      </c>
      <c r="AH53" s="254">
        <v>0</v>
      </c>
      <c r="AI53" s="254">
        <v>0</v>
      </c>
      <c r="AJ53" s="254">
        <v>0</v>
      </c>
      <c r="AK53" s="254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</v>
      </c>
      <c r="AU53" s="254">
        <v>0</v>
      </c>
      <c r="AV53" s="254">
        <v>0</v>
      </c>
      <c r="AW53" s="254">
        <v>0</v>
      </c>
      <c r="AX53" s="254">
        <v>0</v>
      </c>
      <c r="AY53" s="254">
        <v>0</v>
      </c>
    </row>
    <row r="54" spans="2:51">
      <c r="B54" s="244">
        <v>10142</v>
      </c>
      <c r="C54" s="244" t="s">
        <v>57</v>
      </c>
      <c r="D54" s="254">
        <v>591.51157407407413</v>
      </c>
      <c r="E54" s="254">
        <v>0</v>
      </c>
      <c r="F54" s="254">
        <v>62.064999999999927</v>
      </c>
      <c r="G54" s="254">
        <v>0</v>
      </c>
      <c r="H54" s="254">
        <v>562.61999999999966</v>
      </c>
      <c r="I54" s="254">
        <v>0</v>
      </c>
      <c r="J54" s="254">
        <v>325.57692307692344</v>
      </c>
      <c r="K54" s="254">
        <v>0</v>
      </c>
      <c r="L54" s="254">
        <v>152.44250000000002</v>
      </c>
      <c r="M54" s="254">
        <v>0</v>
      </c>
      <c r="N54" s="254">
        <v>0</v>
      </c>
      <c r="O54" s="254">
        <v>0</v>
      </c>
      <c r="P54" s="254">
        <v>314.4807692307694</v>
      </c>
      <c r="Q54" s="254">
        <v>0</v>
      </c>
      <c r="R54" s="254">
        <v>229.76000000000042</v>
      </c>
      <c r="S54" s="254">
        <v>0</v>
      </c>
      <c r="T54" s="254">
        <v>663.34615384615358</v>
      </c>
      <c r="U54" s="254">
        <v>0</v>
      </c>
      <c r="V54" s="254">
        <v>1259.2259615384619</v>
      </c>
      <c r="W54" s="254">
        <v>0</v>
      </c>
      <c r="X54" s="254">
        <v>565.0312500000008</v>
      </c>
      <c r="Y54" s="254">
        <v>0</v>
      </c>
      <c r="Z54" s="254">
        <v>518.97250000000008</v>
      </c>
      <c r="AA54" s="254">
        <v>0</v>
      </c>
      <c r="AB54" s="254">
        <v>594.39814814814838</v>
      </c>
      <c r="AC54" s="254">
        <v>0</v>
      </c>
      <c r="AD54" s="254">
        <v>0</v>
      </c>
      <c r="AE54" s="254">
        <v>0</v>
      </c>
      <c r="AF54" s="254">
        <v>693.52163461538498</v>
      </c>
      <c r="AG54" s="254">
        <v>0</v>
      </c>
      <c r="AH54" s="254">
        <v>207.78000000000029</v>
      </c>
      <c r="AI54" s="254">
        <v>0</v>
      </c>
      <c r="AJ54" s="254">
        <v>46.473958333333563</v>
      </c>
      <c r="AK54" s="254">
        <v>0</v>
      </c>
      <c r="AL54" s="254">
        <v>28.118055555555578</v>
      </c>
      <c r="AM54" s="254">
        <v>0</v>
      </c>
      <c r="AN54" s="254">
        <v>403.93028846153857</v>
      </c>
      <c r="AO54" s="254">
        <v>0</v>
      </c>
      <c r="AP54" s="254">
        <v>108.10000000000053</v>
      </c>
      <c r="AQ54" s="254">
        <v>0</v>
      </c>
      <c r="AR54" s="254">
        <v>667.05288461538476</v>
      </c>
      <c r="AS54" s="254">
        <v>0</v>
      </c>
      <c r="AT54" s="254">
        <v>1262.8798076923085</v>
      </c>
      <c r="AU54" s="254">
        <v>0</v>
      </c>
      <c r="AV54" s="254">
        <v>567.15144230769283</v>
      </c>
      <c r="AW54" s="254">
        <v>0</v>
      </c>
      <c r="AX54" s="254">
        <v>522.19499999999971</v>
      </c>
      <c r="AY54" s="254">
        <v>0</v>
      </c>
    </row>
    <row r="55" spans="2:51">
      <c r="B55" s="244">
        <v>10144</v>
      </c>
      <c r="C55" s="244" t="s">
        <v>58</v>
      </c>
      <c r="D55" s="254">
        <v>742.96759259259295</v>
      </c>
      <c r="E55" s="254">
        <v>0</v>
      </c>
      <c r="F55" s="254">
        <v>696.44249999999988</v>
      </c>
      <c r="G55" s="254">
        <v>0</v>
      </c>
      <c r="H55" s="254">
        <v>1223.1999999999994</v>
      </c>
      <c r="I55" s="254">
        <v>0</v>
      </c>
      <c r="J55" s="254">
        <v>1568.4374999999998</v>
      </c>
      <c r="K55" s="254">
        <v>0</v>
      </c>
      <c r="L55" s="254">
        <v>1299.3775000000001</v>
      </c>
      <c r="M55" s="254">
        <v>0</v>
      </c>
      <c r="N55" s="254">
        <v>1203.3341346153845</v>
      </c>
      <c r="O55" s="254">
        <v>0</v>
      </c>
      <c r="P55" s="254">
        <v>735.98076923076894</v>
      </c>
      <c r="Q55" s="254">
        <v>0</v>
      </c>
      <c r="R55" s="254">
        <v>466.06499999999949</v>
      </c>
      <c r="S55" s="254">
        <v>0</v>
      </c>
      <c r="T55" s="254">
        <v>582.08653846153834</v>
      </c>
      <c r="U55" s="254">
        <v>0</v>
      </c>
      <c r="V55" s="254">
        <v>632.07692307692287</v>
      </c>
      <c r="W55" s="254">
        <v>0</v>
      </c>
      <c r="X55" s="254">
        <v>505.64182692307645</v>
      </c>
      <c r="Y55" s="254">
        <v>0</v>
      </c>
      <c r="Z55" s="254">
        <v>505.17000000000036</v>
      </c>
      <c r="AA55" s="254">
        <v>0</v>
      </c>
      <c r="AB55" s="254">
        <v>749.69675925925958</v>
      </c>
      <c r="AC55" s="254">
        <v>0</v>
      </c>
      <c r="AD55" s="254">
        <v>512.96874999999977</v>
      </c>
      <c r="AE55" s="254">
        <v>0</v>
      </c>
      <c r="AF55" s="254">
        <v>1428.3389423076933</v>
      </c>
      <c r="AG55" s="254">
        <v>0</v>
      </c>
      <c r="AH55" s="254">
        <v>1390.9975000000009</v>
      </c>
      <c r="AI55" s="254">
        <v>0</v>
      </c>
      <c r="AJ55" s="254">
        <v>1117.8151041666665</v>
      </c>
      <c r="AK55" s="254">
        <v>0</v>
      </c>
      <c r="AL55" s="254">
        <v>1366.645833333333</v>
      </c>
      <c r="AM55" s="254">
        <v>0</v>
      </c>
      <c r="AN55" s="254">
        <v>891.52163461538464</v>
      </c>
      <c r="AO55" s="254">
        <v>0</v>
      </c>
      <c r="AP55" s="254">
        <v>347.09499999999946</v>
      </c>
      <c r="AQ55" s="254">
        <v>0</v>
      </c>
      <c r="AR55" s="254">
        <v>587.42788461538487</v>
      </c>
      <c r="AS55" s="254">
        <v>0</v>
      </c>
      <c r="AT55" s="254">
        <v>637.71875000000023</v>
      </c>
      <c r="AU55" s="254">
        <v>0</v>
      </c>
      <c r="AV55" s="254">
        <v>510.88701923076883</v>
      </c>
      <c r="AW55" s="254">
        <v>0</v>
      </c>
      <c r="AX55" s="254">
        <v>510.43999999999977</v>
      </c>
      <c r="AY55" s="254">
        <v>0</v>
      </c>
    </row>
    <row r="56" spans="2:51">
      <c r="B56" s="244">
        <v>10156</v>
      </c>
      <c r="C56" s="244" t="s">
        <v>59</v>
      </c>
      <c r="D56" s="254">
        <v>634.69907407407436</v>
      </c>
      <c r="E56" s="254">
        <v>0</v>
      </c>
      <c r="F56" s="254">
        <v>783.57250000000181</v>
      </c>
      <c r="G56" s="254">
        <v>0</v>
      </c>
      <c r="H56" s="254">
        <v>9133.4024999999965</v>
      </c>
      <c r="I56" s="254">
        <v>0</v>
      </c>
      <c r="J56" s="254">
        <v>8916.9278846153811</v>
      </c>
      <c r="K56" s="254">
        <v>0</v>
      </c>
      <c r="L56" s="254">
        <v>7203.5299999999916</v>
      </c>
      <c r="M56" s="254">
        <v>0</v>
      </c>
      <c r="N56" s="254">
        <v>389.48076923076513</v>
      </c>
      <c r="O56" s="254">
        <v>0</v>
      </c>
      <c r="P56" s="254">
        <v>3126.8966346153848</v>
      </c>
      <c r="Q56" s="254">
        <v>0</v>
      </c>
      <c r="R56" s="254">
        <v>0</v>
      </c>
      <c r="S56" s="254">
        <v>0</v>
      </c>
      <c r="T56" s="254">
        <v>7599.8725961538494</v>
      </c>
      <c r="U56" s="254">
        <v>0</v>
      </c>
      <c r="V56" s="254">
        <v>5977.6225961538457</v>
      </c>
      <c r="W56" s="254">
        <v>0</v>
      </c>
      <c r="X56" s="254">
        <v>6192.8629807692278</v>
      </c>
      <c r="Y56" s="254">
        <v>0</v>
      </c>
      <c r="Z56" s="254">
        <v>4370.5975000000044</v>
      </c>
      <c r="AA56" s="254">
        <v>0</v>
      </c>
      <c r="AB56" s="254">
        <v>931.27777777777965</v>
      </c>
      <c r="AC56" s="254">
        <v>0</v>
      </c>
      <c r="AD56" s="254">
        <v>0</v>
      </c>
      <c r="AE56" s="254">
        <v>0</v>
      </c>
      <c r="AF56" s="254">
        <v>11325.432692307688</v>
      </c>
      <c r="AG56" s="254">
        <v>0</v>
      </c>
      <c r="AH56" s="254">
        <v>7287.3399999999983</v>
      </c>
      <c r="AI56" s="254">
        <v>0</v>
      </c>
      <c r="AJ56" s="254">
        <v>5673.0052083333276</v>
      </c>
      <c r="AK56" s="254">
        <v>0</v>
      </c>
      <c r="AL56" s="254">
        <v>2075.1365740740794</v>
      </c>
      <c r="AM56" s="254">
        <v>0</v>
      </c>
      <c r="AN56" s="254">
        <v>3389.1009615384605</v>
      </c>
      <c r="AO56" s="254">
        <v>0</v>
      </c>
      <c r="AP56" s="254">
        <v>142.2274999999953</v>
      </c>
      <c r="AQ56" s="254">
        <v>0</v>
      </c>
      <c r="AR56" s="254">
        <v>7886.600961538461</v>
      </c>
      <c r="AS56" s="254">
        <v>0</v>
      </c>
      <c r="AT56" s="254">
        <v>6263.105769230765</v>
      </c>
      <c r="AU56" s="254">
        <v>0</v>
      </c>
      <c r="AV56" s="254">
        <v>6466.6466346153829</v>
      </c>
      <c r="AW56" s="254">
        <v>0</v>
      </c>
      <c r="AX56" s="254">
        <v>4658.6149999999989</v>
      </c>
      <c r="AY56" s="254">
        <v>0</v>
      </c>
    </row>
    <row r="57" spans="2:51">
      <c r="B57" s="244">
        <v>10157</v>
      </c>
      <c r="C57" s="244" t="s">
        <v>60</v>
      </c>
      <c r="D57" s="254">
        <v>0</v>
      </c>
      <c r="E57" s="254">
        <v>0</v>
      </c>
      <c r="F57" s="254">
        <v>0</v>
      </c>
      <c r="G57" s="254">
        <v>0</v>
      </c>
      <c r="H57" s="254">
        <v>0</v>
      </c>
      <c r="I57" s="254">
        <v>0</v>
      </c>
      <c r="J57" s="254">
        <v>0</v>
      </c>
      <c r="K57" s="254">
        <v>0</v>
      </c>
      <c r="L57" s="254">
        <v>0</v>
      </c>
      <c r="M57" s="254">
        <v>0</v>
      </c>
      <c r="N57" s="254">
        <v>0</v>
      </c>
      <c r="O57" s="254">
        <v>0</v>
      </c>
      <c r="P57" s="254">
        <v>0</v>
      </c>
      <c r="Q57" s="254">
        <v>0</v>
      </c>
      <c r="R57" s="254">
        <v>0</v>
      </c>
      <c r="S57" s="254">
        <v>0</v>
      </c>
      <c r="T57" s="254">
        <v>0</v>
      </c>
      <c r="U57" s="254">
        <v>0</v>
      </c>
      <c r="V57" s="254">
        <v>0</v>
      </c>
      <c r="W57" s="254">
        <v>0</v>
      </c>
      <c r="X57" s="254">
        <v>0</v>
      </c>
      <c r="Y57" s="254">
        <v>0</v>
      </c>
      <c r="Z57" s="254">
        <v>0</v>
      </c>
      <c r="AA57" s="254">
        <v>0</v>
      </c>
      <c r="AB57" s="254">
        <v>0</v>
      </c>
      <c r="AC57" s="254">
        <v>0</v>
      </c>
      <c r="AD57" s="254">
        <v>0</v>
      </c>
      <c r="AE57" s="254">
        <v>0</v>
      </c>
      <c r="AF57" s="254">
        <v>0</v>
      </c>
      <c r="AG57" s="254">
        <v>0</v>
      </c>
      <c r="AH57" s="254">
        <v>0</v>
      </c>
      <c r="AI57" s="254">
        <v>0</v>
      </c>
      <c r="AJ57" s="254">
        <v>0</v>
      </c>
      <c r="AK57" s="254">
        <v>0</v>
      </c>
      <c r="AL57" s="254">
        <v>0</v>
      </c>
      <c r="AM57" s="254">
        <v>0</v>
      </c>
      <c r="AN57" s="254">
        <v>0</v>
      </c>
      <c r="AO57" s="254">
        <v>0</v>
      </c>
      <c r="AP57" s="254">
        <v>0</v>
      </c>
      <c r="AQ57" s="254">
        <v>0</v>
      </c>
      <c r="AR57" s="254">
        <v>0</v>
      </c>
      <c r="AS57" s="254">
        <v>0</v>
      </c>
      <c r="AT57" s="254">
        <v>0</v>
      </c>
      <c r="AU57" s="254">
        <v>0</v>
      </c>
      <c r="AV57" s="254">
        <v>0</v>
      </c>
      <c r="AW57" s="254">
        <v>0</v>
      </c>
      <c r="AX57" s="254">
        <v>0</v>
      </c>
      <c r="AY57" s="254">
        <v>0</v>
      </c>
    </row>
    <row r="58" spans="2:51">
      <c r="B58" s="244">
        <v>10158</v>
      </c>
      <c r="C58" s="244" t="s">
        <v>61</v>
      </c>
      <c r="D58" s="254">
        <v>324.09259259259272</v>
      </c>
      <c r="E58" s="254">
        <v>0</v>
      </c>
      <c r="F58" s="254">
        <v>0</v>
      </c>
      <c r="G58" s="254">
        <v>0</v>
      </c>
      <c r="H58" s="254">
        <v>581.56500000000051</v>
      </c>
      <c r="I58" s="254">
        <v>0</v>
      </c>
      <c r="J58" s="254">
        <v>763.5841346153843</v>
      </c>
      <c r="K58" s="254">
        <v>0</v>
      </c>
      <c r="L58" s="254">
        <v>444.70749999999992</v>
      </c>
      <c r="M58" s="254">
        <v>0</v>
      </c>
      <c r="N58" s="254">
        <v>476.27403846153862</v>
      </c>
      <c r="O58" s="254">
        <v>0</v>
      </c>
      <c r="P58" s="254">
        <v>440.5745192307694</v>
      </c>
      <c r="Q58" s="254">
        <v>0</v>
      </c>
      <c r="R58" s="254">
        <v>205.53500000000031</v>
      </c>
      <c r="S58" s="254">
        <v>0</v>
      </c>
      <c r="T58" s="254">
        <v>132.50961538461542</v>
      </c>
      <c r="U58" s="254">
        <v>0</v>
      </c>
      <c r="V58" s="254">
        <v>378.81490384615392</v>
      </c>
      <c r="W58" s="254">
        <v>0</v>
      </c>
      <c r="X58" s="254">
        <v>244.63221153846126</v>
      </c>
      <c r="Y58" s="254">
        <v>0</v>
      </c>
      <c r="Z58" s="254">
        <v>0</v>
      </c>
      <c r="AA58" s="254">
        <v>0</v>
      </c>
      <c r="AB58" s="254">
        <v>324.09259259259272</v>
      </c>
      <c r="AC58" s="254">
        <v>0</v>
      </c>
      <c r="AD58" s="254">
        <v>0</v>
      </c>
      <c r="AE58" s="254">
        <v>0</v>
      </c>
      <c r="AF58" s="254">
        <v>710.77403846153891</v>
      </c>
      <c r="AG58" s="254">
        <v>0</v>
      </c>
      <c r="AH58" s="254">
        <v>636.36749999999938</v>
      </c>
      <c r="AI58" s="254">
        <v>0</v>
      </c>
      <c r="AJ58" s="254">
        <v>339.32031250000006</v>
      </c>
      <c r="AK58" s="254">
        <v>0</v>
      </c>
      <c r="AL58" s="254">
        <v>571.37500000000034</v>
      </c>
      <c r="AM58" s="254">
        <v>0</v>
      </c>
      <c r="AN58" s="254">
        <v>522.03846153846155</v>
      </c>
      <c r="AO58" s="254">
        <v>0</v>
      </c>
      <c r="AP58" s="254">
        <v>128.755</v>
      </c>
      <c r="AQ58" s="254">
        <v>0</v>
      </c>
      <c r="AR58" s="254">
        <v>132.50961538461542</v>
      </c>
      <c r="AS58" s="254">
        <v>0</v>
      </c>
      <c r="AT58" s="254">
        <v>378.81490384615392</v>
      </c>
      <c r="AU58" s="254">
        <v>0</v>
      </c>
      <c r="AV58" s="254">
        <v>244.63221153846126</v>
      </c>
      <c r="AW58" s="254">
        <v>0</v>
      </c>
      <c r="AX58" s="254">
        <v>0</v>
      </c>
      <c r="AY58" s="254">
        <v>0</v>
      </c>
    </row>
    <row r="59" spans="2:51">
      <c r="B59" s="244">
        <v>10170</v>
      </c>
      <c r="C59" s="244" t="s">
        <v>62</v>
      </c>
      <c r="D59" s="254">
        <v>0</v>
      </c>
      <c r="E59" s="254">
        <v>0</v>
      </c>
      <c r="F59" s="254">
        <v>0</v>
      </c>
      <c r="G59" s="254">
        <v>0</v>
      </c>
      <c r="H59" s="254">
        <v>0</v>
      </c>
      <c r="I59" s="254">
        <v>0</v>
      </c>
      <c r="J59" s="254">
        <v>0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0</v>
      </c>
      <c r="R59" s="254">
        <v>0</v>
      </c>
      <c r="S59" s="254">
        <v>0</v>
      </c>
      <c r="T59" s="254">
        <v>0</v>
      </c>
      <c r="U59" s="254">
        <v>0</v>
      </c>
      <c r="V59" s="254">
        <v>0</v>
      </c>
      <c r="W59" s="254">
        <v>0</v>
      </c>
      <c r="X59" s="254">
        <v>0</v>
      </c>
      <c r="Y59" s="254">
        <v>0</v>
      </c>
      <c r="Z59" s="254">
        <v>0</v>
      </c>
      <c r="AA59" s="254">
        <v>0</v>
      </c>
      <c r="AB59" s="254">
        <v>0</v>
      </c>
      <c r="AC59" s="254">
        <v>0</v>
      </c>
      <c r="AD59" s="254">
        <v>0</v>
      </c>
      <c r="AE59" s="254">
        <v>0</v>
      </c>
      <c r="AF59" s="254">
        <v>0</v>
      </c>
      <c r="AG59" s="254">
        <v>0</v>
      </c>
      <c r="AH59" s="254">
        <v>0</v>
      </c>
      <c r="AI59" s="254">
        <v>0</v>
      </c>
      <c r="AJ59" s="254">
        <v>0</v>
      </c>
      <c r="AK59" s="254">
        <v>0</v>
      </c>
      <c r="AL59" s="254">
        <v>0</v>
      </c>
      <c r="AM59" s="254">
        <v>0</v>
      </c>
      <c r="AN59" s="254">
        <v>0</v>
      </c>
      <c r="AO59" s="254">
        <v>0</v>
      </c>
      <c r="AP59" s="254">
        <v>0</v>
      </c>
      <c r="AQ59" s="254">
        <v>0</v>
      </c>
      <c r="AR59" s="254">
        <v>0</v>
      </c>
      <c r="AS59" s="254">
        <v>0</v>
      </c>
      <c r="AT59" s="254">
        <v>0</v>
      </c>
      <c r="AU59" s="254">
        <v>0</v>
      </c>
      <c r="AV59" s="254">
        <v>0</v>
      </c>
      <c r="AW59" s="254">
        <v>0</v>
      </c>
      <c r="AX59" s="254">
        <v>0</v>
      </c>
      <c r="AY59" s="254">
        <v>0</v>
      </c>
    </row>
    <row r="60" spans="2:51">
      <c r="B60" s="244">
        <v>10172</v>
      </c>
      <c r="C60" s="244" t="s">
        <v>63</v>
      </c>
      <c r="D60" s="254">
        <v>1137.6064814814818</v>
      </c>
      <c r="E60" s="254">
        <v>0</v>
      </c>
      <c r="F60" s="254">
        <v>1338.46</v>
      </c>
      <c r="G60" s="254">
        <v>0</v>
      </c>
      <c r="H60" s="254">
        <v>1057.0649999999998</v>
      </c>
      <c r="I60" s="254">
        <v>0</v>
      </c>
      <c r="J60" s="254">
        <v>1447.8798076923083</v>
      </c>
      <c r="K60" s="254">
        <v>0</v>
      </c>
      <c r="L60" s="254">
        <v>1904.6649999999997</v>
      </c>
      <c r="M60" s="254">
        <v>0</v>
      </c>
      <c r="N60" s="254">
        <v>1169.0096153846155</v>
      </c>
      <c r="O60" s="254">
        <v>0</v>
      </c>
      <c r="P60" s="254">
        <v>1260.9495192307695</v>
      </c>
      <c r="Q60" s="254">
        <v>0</v>
      </c>
      <c r="R60" s="254">
        <v>1290.5024999999998</v>
      </c>
      <c r="S60" s="254">
        <v>0</v>
      </c>
      <c r="T60" s="254">
        <v>993.13701923076985</v>
      </c>
      <c r="U60" s="254">
        <v>0</v>
      </c>
      <c r="V60" s="254">
        <v>1159.4062500000005</v>
      </c>
      <c r="W60" s="254">
        <v>0</v>
      </c>
      <c r="X60" s="254">
        <v>1210.8509615384608</v>
      </c>
      <c r="Y60" s="254">
        <v>0</v>
      </c>
      <c r="Z60" s="254">
        <v>699.50749999999994</v>
      </c>
      <c r="AA60" s="254">
        <v>0</v>
      </c>
      <c r="AB60" s="254">
        <v>1140.814814814815</v>
      </c>
      <c r="AC60" s="254">
        <v>0</v>
      </c>
      <c r="AD60" s="254">
        <v>1114.6562500000007</v>
      </c>
      <c r="AE60" s="254">
        <v>0</v>
      </c>
      <c r="AF60" s="254">
        <v>1310.6778846153848</v>
      </c>
      <c r="AG60" s="254">
        <v>0</v>
      </c>
      <c r="AH60" s="254">
        <v>1200.8175000000006</v>
      </c>
      <c r="AI60" s="254">
        <v>0</v>
      </c>
      <c r="AJ60" s="254">
        <v>1671.1510416666661</v>
      </c>
      <c r="AK60" s="254">
        <v>0</v>
      </c>
      <c r="AL60" s="254">
        <v>1376.0810185185178</v>
      </c>
      <c r="AM60" s="254">
        <v>0</v>
      </c>
      <c r="AN60" s="254">
        <v>1264.9495192307691</v>
      </c>
      <c r="AO60" s="254">
        <v>0</v>
      </c>
      <c r="AP60" s="254">
        <v>1295.1349999999995</v>
      </c>
      <c r="AQ60" s="254">
        <v>0</v>
      </c>
      <c r="AR60" s="254">
        <v>999.22836538461638</v>
      </c>
      <c r="AS60" s="254">
        <v>0</v>
      </c>
      <c r="AT60" s="254">
        <v>1164.8100961538464</v>
      </c>
      <c r="AU60" s="254">
        <v>0</v>
      </c>
      <c r="AV60" s="254">
        <v>1216.966346153846</v>
      </c>
      <c r="AW60" s="254">
        <v>0</v>
      </c>
      <c r="AX60" s="254">
        <v>703.60249999999951</v>
      </c>
      <c r="AY60" s="254">
        <v>0</v>
      </c>
    </row>
    <row r="61" spans="2:51">
      <c r="B61" s="244">
        <v>10173</v>
      </c>
      <c r="C61" s="244" t="s">
        <v>64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4">
        <v>0</v>
      </c>
      <c r="AD61" s="254">
        <v>0</v>
      </c>
      <c r="AE61" s="254">
        <v>0</v>
      </c>
      <c r="AF61" s="254">
        <v>0</v>
      </c>
      <c r="AG61" s="254">
        <v>0</v>
      </c>
      <c r="AH61" s="254">
        <v>0</v>
      </c>
      <c r="AI61" s="254">
        <v>0</v>
      </c>
      <c r="AJ61" s="254">
        <v>0</v>
      </c>
      <c r="AK61" s="254">
        <v>0</v>
      </c>
      <c r="AL61" s="254">
        <v>0</v>
      </c>
      <c r="AM61" s="254">
        <v>0</v>
      </c>
      <c r="AN61" s="254">
        <v>0</v>
      </c>
      <c r="AO61" s="254">
        <v>0</v>
      </c>
      <c r="AP61" s="254">
        <v>0</v>
      </c>
      <c r="AQ61" s="254">
        <v>0</v>
      </c>
      <c r="AR61" s="254">
        <v>0</v>
      </c>
      <c r="AS61" s="254">
        <v>0</v>
      </c>
      <c r="AT61" s="254">
        <v>0</v>
      </c>
      <c r="AU61" s="254">
        <v>0</v>
      </c>
      <c r="AV61" s="254">
        <v>0</v>
      </c>
      <c r="AW61" s="254">
        <v>0</v>
      </c>
      <c r="AX61" s="254">
        <v>0</v>
      </c>
      <c r="AY61" s="254">
        <v>0</v>
      </c>
    </row>
    <row r="62" spans="2:51">
      <c r="B62" s="244">
        <v>10174</v>
      </c>
      <c r="C62" s="244" t="s">
        <v>65</v>
      </c>
      <c r="D62" s="254">
        <v>103.98842592592591</v>
      </c>
      <c r="E62" s="254">
        <v>0</v>
      </c>
      <c r="F62" s="254">
        <v>0</v>
      </c>
      <c r="G62" s="254">
        <v>0</v>
      </c>
      <c r="H62" s="254">
        <v>151.18000000000004</v>
      </c>
      <c r="I62" s="254">
        <v>0</v>
      </c>
      <c r="J62" s="254">
        <v>204.76923076923075</v>
      </c>
      <c r="K62" s="254">
        <v>0</v>
      </c>
      <c r="L62" s="254">
        <v>82.887500000000088</v>
      </c>
      <c r="M62" s="254">
        <v>0</v>
      </c>
      <c r="N62" s="254">
        <v>72.629807692307736</v>
      </c>
      <c r="O62" s="254">
        <v>0</v>
      </c>
      <c r="P62" s="254">
        <v>41.663461538461512</v>
      </c>
      <c r="Q62" s="254">
        <v>0</v>
      </c>
      <c r="R62" s="254">
        <v>56.924999999999947</v>
      </c>
      <c r="S62" s="254">
        <v>0</v>
      </c>
      <c r="T62" s="254">
        <v>84.663461538461533</v>
      </c>
      <c r="U62" s="254">
        <v>0</v>
      </c>
      <c r="V62" s="254">
        <v>83.74038461538467</v>
      </c>
      <c r="W62" s="254">
        <v>0</v>
      </c>
      <c r="X62" s="254">
        <v>23.485576923076902</v>
      </c>
      <c r="Y62" s="254">
        <v>0</v>
      </c>
      <c r="Z62" s="254">
        <v>10.215000000000057</v>
      </c>
      <c r="AA62" s="254">
        <v>0</v>
      </c>
      <c r="AB62" s="254">
        <v>103.98842592592591</v>
      </c>
      <c r="AC62" s="254">
        <v>0</v>
      </c>
      <c r="AD62" s="254">
        <v>0</v>
      </c>
      <c r="AE62" s="254">
        <v>0</v>
      </c>
      <c r="AF62" s="254">
        <v>180.05769230769235</v>
      </c>
      <c r="AG62" s="254">
        <v>0</v>
      </c>
      <c r="AH62" s="254">
        <v>177.19999999999996</v>
      </c>
      <c r="AI62" s="254">
        <v>0</v>
      </c>
      <c r="AJ62" s="254">
        <v>58.257812500000036</v>
      </c>
      <c r="AK62" s="254">
        <v>0</v>
      </c>
      <c r="AL62" s="254">
        <v>91.976851851851862</v>
      </c>
      <c r="AM62" s="254">
        <v>0</v>
      </c>
      <c r="AN62" s="254">
        <v>59.045673076923045</v>
      </c>
      <c r="AO62" s="254">
        <v>0</v>
      </c>
      <c r="AP62" s="254">
        <v>40.832499999999996</v>
      </c>
      <c r="AQ62" s="254">
        <v>0</v>
      </c>
      <c r="AR62" s="254">
        <v>84.663461538461533</v>
      </c>
      <c r="AS62" s="254">
        <v>0</v>
      </c>
      <c r="AT62" s="254">
        <v>83.74038461538467</v>
      </c>
      <c r="AU62" s="254">
        <v>0</v>
      </c>
      <c r="AV62" s="254">
        <v>23.485576923076902</v>
      </c>
      <c r="AW62" s="254">
        <v>0</v>
      </c>
      <c r="AX62" s="254">
        <v>10.215000000000057</v>
      </c>
      <c r="AY62" s="254">
        <v>0</v>
      </c>
    </row>
    <row r="63" spans="2:51">
      <c r="B63" s="244">
        <v>10177</v>
      </c>
      <c r="C63" s="244" t="s">
        <v>66</v>
      </c>
      <c r="D63" s="254">
        <v>0</v>
      </c>
      <c r="E63" s="254">
        <v>0</v>
      </c>
      <c r="F63" s="254">
        <v>0</v>
      </c>
      <c r="G63" s="254">
        <v>0</v>
      </c>
      <c r="H63" s="254">
        <v>584.86250000000291</v>
      </c>
      <c r="I63" s="254">
        <v>0</v>
      </c>
      <c r="J63" s="254">
        <v>919.30769230769329</v>
      </c>
      <c r="K63" s="254">
        <v>0</v>
      </c>
      <c r="L63" s="254">
        <v>1388.9075000000021</v>
      </c>
      <c r="M63" s="254">
        <v>0</v>
      </c>
      <c r="N63" s="254">
        <v>0</v>
      </c>
      <c r="O63" s="254">
        <v>0</v>
      </c>
      <c r="P63" s="254">
        <v>693.9975961538463</v>
      </c>
      <c r="Q63" s="254">
        <v>0</v>
      </c>
      <c r="R63" s="254">
        <v>131.55499999999964</v>
      </c>
      <c r="S63" s="254">
        <v>0</v>
      </c>
      <c r="T63" s="254">
        <v>644.01923076922981</v>
      </c>
      <c r="U63" s="254">
        <v>0</v>
      </c>
      <c r="V63" s="254">
        <v>671.22836538461604</v>
      </c>
      <c r="W63" s="254">
        <v>0</v>
      </c>
      <c r="X63" s="254">
        <v>1190.3269230769229</v>
      </c>
      <c r="Y63" s="254">
        <v>0</v>
      </c>
      <c r="Z63" s="254">
        <v>0</v>
      </c>
      <c r="AA63" s="254">
        <v>0</v>
      </c>
      <c r="AB63" s="254">
        <v>0</v>
      </c>
      <c r="AC63" s="254">
        <v>0</v>
      </c>
      <c r="AD63" s="254">
        <v>0</v>
      </c>
      <c r="AE63" s="254">
        <v>0</v>
      </c>
      <c r="AF63" s="254">
        <v>1077.5168269230746</v>
      </c>
      <c r="AG63" s="254">
        <v>0</v>
      </c>
      <c r="AH63" s="254">
        <v>413.8650000000008</v>
      </c>
      <c r="AI63" s="254">
        <v>0</v>
      </c>
      <c r="AJ63" s="254">
        <v>961.9635416666697</v>
      </c>
      <c r="AK63" s="254">
        <v>0</v>
      </c>
      <c r="AL63" s="254">
        <v>152.31250000000028</v>
      </c>
      <c r="AM63" s="254">
        <v>0</v>
      </c>
      <c r="AN63" s="254">
        <v>703.30528846153811</v>
      </c>
      <c r="AO63" s="254">
        <v>0</v>
      </c>
      <c r="AP63" s="254">
        <v>137.00749999999928</v>
      </c>
      <c r="AQ63" s="254">
        <v>0</v>
      </c>
      <c r="AR63" s="254">
        <v>648.51442307692355</v>
      </c>
      <c r="AS63" s="254">
        <v>0</v>
      </c>
      <c r="AT63" s="254">
        <v>675.51682692307668</v>
      </c>
      <c r="AU63" s="254">
        <v>0</v>
      </c>
      <c r="AV63" s="254">
        <v>1194.8173076923083</v>
      </c>
      <c r="AW63" s="254">
        <v>0</v>
      </c>
      <c r="AX63" s="254">
        <v>0</v>
      </c>
      <c r="AY63" s="254">
        <v>0</v>
      </c>
    </row>
    <row r="64" spans="2:51">
      <c r="B64" s="244">
        <v>10179</v>
      </c>
      <c r="C64" s="244" t="s">
        <v>67</v>
      </c>
      <c r="D64" s="254">
        <v>41847.152777777825</v>
      </c>
      <c r="E64" s="254">
        <v>0</v>
      </c>
      <c r="F64" s="254">
        <v>56467.554999999993</v>
      </c>
      <c r="G64" s="254">
        <v>0</v>
      </c>
      <c r="H64" s="254">
        <v>29115.832500000019</v>
      </c>
      <c r="I64" s="254">
        <v>0</v>
      </c>
      <c r="J64" s="254">
        <v>44899.156250000022</v>
      </c>
      <c r="K64" s="254">
        <v>0</v>
      </c>
      <c r="L64" s="254">
        <v>52451.692500000019</v>
      </c>
      <c r="M64" s="254">
        <v>0</v>
      </c>
      <c r="N64" s="254">
        <v>28639.213942307702</v>
      </c>
      <c r="O64" s="254">
        <v>0</v>
      </c>
      <c r="P64" s="254">
        <v>49166.579326923049</v>
      </c>
      <c r="Q64" s="254">
        <v>0</v>
      </c>
      <c r="R64" s="254">
        <v>39440.039999999994</v>
      </c>
      <c r="S64" s="254">
        <v>0</v>
      </c>
      <c r="T64" s="254">
        <v>33597.319711538505</v>
      </c>
      <c r="U64" s="254">
        <v>0</v>
      </c>
      <c r="V64" s="254">
        <v>50127.584134615376</v>
      </c>
      <c r="W64" s="254">
        <v>0</v>
      </c>
      <c r="X64" s="254">
        <v>36277.764423076907</v>
      </c>
      <c r="Y64" s="254">
        <v>0</v>
      </c>
      <c r="Z64" s="254">
        <v>44489.969999999994</v>
      </c>
      <c r="AA64" s="254">
        <v>0</v>
      </c>
      <c r="AB64" s="254">
        <v>42885.928240740737</v>
      </c>
      <c r="AC64" s="254">
        <v>0</v>
      </c>
      <c r="AD64" s="254">
        <v>49187.460937500036</v>
      </c>
      <c r="AE64" s="254">
        <v>0</v>
      </c>
      <c r="AF64" s="254">
        <v>40940.442307692312</v>
      </c>
      <c r="AG64" s="254">
        <v>0</v>
      </c>
      <c r="AH64" s="254">
        <v>36179.867500000044</v>
      </c>
      <c r="AI64" s="254">
        <v>0</v>
      </c>
      <c r="AJ64" s="254">
        <v>44517.848958333343</v>
      </c>
      <c r="AK64" s="254">
        <v>0</v>
      </c>
      <c r="AL64" s="254">
        <v>38010.372685185204</v>
      </c>
      <c r="AM64" s="254">
        <v>0</v>
      </c>
      <c r="AN64" s="254">
        <v>50252.391826923049</v>
      </c>
      <c r="AO64" s="254">
        <v>0</v>
      </c>
      <c r="AP64" s="254">
        <v>40111.160000000025</v>
      </c>
      <c r="AQ64" s="254">
        <v>0</v>
      </c>
      <c r="AR64" s="254">
        <v>34104.201923076958</v>
      </c>
      <c r="AS64" s="254">
        <v>0</v>
      </c>
      <c r="AT64" s="254">
        <v>51058.908653846171</v>
      </c>
      <c r="AU64" s="254">
        <v>0</v>
      </c>
      <c r="AV64" s="254">
        <v>37043.264423076915</v>
      </c>
      <c r="AW64" s="254">
        <v>0</v>
      </c>
      <c r="AX64" s="254">
        <v>45241.665000000008</v>
      </c>
      <c r="AY64" s="254">
        <v>0</v>
      </c>
    </row>
    <row r="65" spans="2:51">
      <c r="B65" s="244">
        <v>10183</v>
      </c>
      <c r="C65" s="244" t="s">
        <v>68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54">
        <v>0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>
        <v>0</v>
      </c>
      <c r="Q65" s="254">
        <v>0</v>
      </c>
      <c r="R65" s="254">
        <v>0</v>
      </c>
      <c r="S65" s="254">
        <v>0</v>
      </c>
      <c r="T65" s="254">
        <v>0</v>
      </c>
      <c r="U65" s="254">
        <v>0</v>
      </c>
      <c r="V65" s="254">
        <v>0</v>
      </c>
      <c r="W65" s="254">
        <v>0</v>
      </c>
      <c r="X65" s="254">
        <v>0</v>
      </c>
      <c r="Y65" s="254">
        <v>0</v>
      </c>
      <c r="Z65" s="254">
        <v>0</v>
      </c>
      <c r="AA65" s="254">
        <v>0</v>
      </c>
      <c r="AB65" s="254">
        <v>0</v>
      </c>
      <c r="AC65" s="254">
        <v>0</v>
      </c>
      <c r="AD65" s="254">
        <v>0</v>
      </c>
      <c r="AE65" s="254">
        <v>0</v>
      </c>
      <c r="AF65" s="254">
        <v>0</v>
      </c>
      <c r="AG65" s="254">
        <v>0</v>
      </c>
      <c r="AH65" s="254">
        <v>0</v>
      </c>
      <c r="AI65" s="254">
        <v>0</v>
      </c>
      <c r="AJ65" s="254">
        <v>0</v>
      </c>
      <c r="AK65" s="254">
        <v>0</v>
      </c>
      <c r="AL65" s="254">
        <v>0</v>
      </c>
      <c r="AM65" s="254">
        <v>0</v>
      </c>
      <c r="AN65" s="254">
        <v>0</v>
      </c>
      <c r="AO65" s="254">
        <v>0</v>
      </c>
      <c r="AP65" s="254">
        <v>0</v>
      </c>
      <c r="AQ65" s="254">
        <v>0</v>
      </c>
      <c r="AR65" s="254">
        <v>0</v>
      </c>
      <c r="AS65" s="254">
        <v>0</v>
      </c>
      <c r="AT65" s="254">
        <v>0</v>
      </c>
      <c r="AU65" s="254">
        <v>0</v>
      </c>
      <c r="AV65" s="254">
        <v>0</v>
      </c>
      <c r="AW65" s="254">
        <v>0</v>
      </c>
      <c r="AX65" s="254">
        <v>0</v>
      </c>
      <c r="AY65" s="254">
        <v>0</v>
      </c>
    </row>
    <row r="66" spans="2:51">
      <c r="B66" s="244">
        <v>10186</v>
      </c>
      <c r="C66" s="244" t="s">
        <v>69</v>
      </c>
      <c r="D66" s="254">
        <v>2572.7916666666652</v>
      </c>
      <c r="E66" s="254">
        <v>0</v>
      </c>
      <c r="F66" s="254">
        <v>387.5275000000027</v>
      </c>
      <c r="G66" s="254">
        <v>0</v>
      </c>
      <c r="H66" s="254">
        <v>1871.2175000000016</v>
      </c>
      <c r="I66" s="254">
        <v>0</v>
      </c>
      <c r="J66" s="254">
        <v>4470.1826923076887</v>
      </c>
      <c r="K66" s="254">
        <v>0</v>
      </c>
      <c r="L66" s="254">
        <v>5644.6875</v>
      </c>
      <c r="M66" s="254">
        <v>0</v>
      </c>
      <c r="N66" s="254">
        <v>3037.0264423076937</v>
      </c>
      <c r="O66" s="254">
        <v>0</v>
      </c>
      <c r="P66" s="254">
        <v>3659.7115384615404</v>
      </c>
      <c r="Q66" s="254">
        <v>0</v>
      </c>
      <c r="R66" s="254">
        <v>1721.8875</v>
      </c>
      <c r="S66" s="254">
        <v>0</v>
      </c>
      <c r="T66" s="254">
        <v>1923.7572115384619</v>
      </c>
      <c r="U66" s="254">
        <v>0</v>
      </c>
      <c r="V66" s="254">
        <v>5331.5336538461552</v>
      </c>
      <c r="W66" s="254">
        <v>0</v>
      </c>
      <c r="X66" s="254">
        <v>2145.889423076922</v>
      </c>
      <c r="Y66" s="254">
        <v>0</v>
      </c>
      <c r="Z66" s="254">
        <v>1837.2975000000008</v>
      </c>
      <c r="AA66" s="254">
        <v>0</v>
      </c>
      <c r="AB66" s="254">
        <v>2615.4999999999986</v>
      </c>
      <c r="AC66" s="254">
        <v>0</v>
      </c>
      <c r="AD66" s="254">
        <v>0</v>
      </c>
      <c r="AE66" s="254">
        <v>0</v>
      </c>
      <c r="AF66" s="254">
        <v>2949.9999999999973</v>
      </c>
      <c r="AG66" s="254">
        <v>0</v>
      </c>
      <c r="AH66" s="254">
        <v>3479.3025000000039</v>
      </c>
      <c r="AI66" s="254">
        <v>0</v>
      </c>
      <c r="AJ66" s="254">
        <v>4695.994791666667</v>
      </c>
      <c r="AK66" s="254">
        <v>0</v>
      </c>
      <c r="AL66" s="254">
        <v>3927.1574074074051</v>
      </c>
      <c r="AM66" s="254">
        <v>0</v>
      </c>
      <c r="AN66" s="254">
        <v>3705.1466346153857</v>
      </c>
      <c r="AO66" s="254">
        <v>0</v>
      </c>
      <c r="AP66" s="254">
        <v>1763.5524999999982</v>
      </c>
      <c r="AQ66" s="254">
        <v>0</v>
      </c>
      <c r="AR66" s="254">
        <v>1965.348557692309</v>
      </c>
      <c r="AS66" s="254">
        <v>0</v>
      </c>
      <c r="AT66" s="254">
        <v>5388.4663461538485</v>
      </c>
      <c r="AU66" s="254">
        <v>0</v>
      </c>
      <c r="AV66" s="254">
        <v>2197.5793269230785</v>
      </c>
      <c r="AW66" s="254">
        <v>0</v>
      </c>
      <c r="AX66" s="254">
        <v>1890.6875000000011</v>
      </c>
      <c r="AY66" s="254">
        <v>0</v>
      </c>
    </row>
    <row r="67" spans="2:51">
      <c r="B67" s="244">
        <v>10190</v>
      </c>
      <c r="C67" s="244" t="s">
        <v>70</v>
      </c>
      <c r="D67" s="254">
        <v>673.56018518518556</v>
      </c>
      <c r="E67" s="254">
        <v>0</v>
      </c>
      <c r="F67" s="254">
        <v>1545.5524999999993</v>
      </c>
      <c r="G67" s="254">
        <v>0</v>
      </c>
      <c r="H67" s="254">
        <v>2582.4449999999993</v>
      </c>
      <c r="I67" s="254">
        <v>0</v>
      </c>
      <c r="J67" s="254">
        <v>2281.7500000000009</v>
      </c>
      <c r="K67" s="254">
        <v>0</v>
      </c>
      <c r="L67" s="254">
        <v>1648.3500000000006</v>
      </c>
      <c r="M67" s="254">
        <v>0</v>
      </c>
      <c r="N67" s="254">
        <v>2120.6610576923081</v>
      </c>
      <c r="O67" s="254">
        <v>0</v>
      </c>
      <c r="P67" s="254">
        <v>1305.6899038461531</v>
      </c>
      <c r="Q67" s="254">
        <v>0</v>
      </c>
      <c r="R67" s="254">
        <v>804.50750000000039</v>
      </c>
      <c r="S67" s="254">
        <v>0</v>
      </c>
      <c r="T67" s="254">
        <v>772.86057692307827</v>
      </c>
      <c r="U67" s="254">
        <v>0</v>
      </c>
      <c r="V67" s="254">
        <v>1092.7379807692307</v>
      </c>
      <c r="W67" s="254">
        <v>0</v>
      </c>
      <c r="X67" s="254">
        <v>1042.4447115384617</v>
      </c>
      <c r="Y67" s="254">
        <v>0</v>
      </c>
      <c r="Z67" s="254">
        <v>949.99500000000046</v>
      </c>
      <c r="AA67" s="254">
        <v>0</v>
      </c>
      <c r="AB67" s="254">
        <v>790.89120370370483</v>
      </c>
      <c r="AC67" s="254">
        <v>0</v>
      </c>
      <c r="AD67" s="254">
        <v>1171.7291666666672</v>
      </c>
      <c r="AE67" s="254">
        <v>0</v>
      </c>
      <c r="AF67" s="254">
        <v>3072.3749999999986</v>
      </c>
      <c r="AG67" s="254">
        <v>0</v>
      </c>
      <c r="AH67" s="254">
        <v>1909.6125000000002</v>
      </c>
      <c r="AI67" s="254">
        <v>0</v>
      </c>
      <c r="AJ67" s="254">
        <v>1383.0416666666672</v>
      </c>
      <c r="AK67" s="254">
        <v>0</v>
      </c>
      <c r="AL67" s="254">
        <v>2469.9236111111118</v>
      </c>
      <c r="AM67" s="254">
        <v>0</v>
      </c>
      <c r="AN67" s="254">
        <v>1366.7980769230774</v>
      </c>
      <c r="AO67" s="254">
        <v>0</v>
      </c>
      <c r="AP67" s="254">
        <v>793.43249999999955</v>
      </c>
      <c r="AQ67" s="254">
        <v>0</v>
      </c>
      <c r="AR67" s="254">
        <v>772.86057692307827</v>
      </c>
      <c r="AS67" s="254">
        <v>0</v>
      </c>
      <c r="AT67" s="254">
        <v>1092.7379807692307</v>
      </c>
      <c r="AU67" s="254">
        <v>0</v>
      </c>
      <c r="AV67" s="254">
        <v>1042.4447115384617</v>
      </c>
      <c r="AW67" s="254">
        <v>0</v>
      </c>
      <c r="AX67" s="254">
        <v>949.99500000000046</v>
      </c>
      <c r="AY67" s="254">
        <v>0</v>
      </c>
    </row>
    <row r="68" spans="2:51">
      <c r="B68" s="244">
        <v>10191</v>
      </c>
      <c r="C68" s="244" t="s">
        <v>71</v>
      </c>
      <c r="D68" s="254">
        <v>0</v>
      </c>
      <c r="E68" s="254">
        <v>0</v>
      </c>
      <c r="F68" s="254">
        <v>0</v>
      </c>
      <c r="G68" s="254">
        <v>0</v>
      </c>
      <c r="H68" s="254">
        <v>0</v>
      </c>
      <c r="I68" s="254">
        <v>0</v>
      </c>
      <c r="J68" s="254">
        <v>0</v>
      </c>
      <c r="K68" s="254">
        <v>0</v>
      </c>
      <c r="L68" s="254">
        <v>0</v>
      </c>
      <c r="M68" s="254">
        <v>0</v>
      </c>
      <c r="N68" s="254">
        <v>0</v>
      </c>
      <c r="O68" s="254">
        <v>0</v>
      </c>
      <c r="P68" s="254">
        <v>0</v>
      </c>
      <c r="Q68" s="254">
        <v>0</v>
      </c>
      <c r="R68" s="254">
        <v>0</v>
      </c>
      <c r="S68" s="254">
        <v>0</v>
      </c>
      <c r="T68" s="254">
        <v>0</v>
      </c>
      <c r="U68" s="254">
        <v>0</v>
      </c>
      <c r="V68" s="254">
        <v>0</v>
      </c>
      <c r="W68" s="254">
        <v>0</v>
      </c>
      <c r="X68" s="254">
        <v>0</v>
      </c>
      <c r="Y68" s="254">
        <v>0</v>
      </c>
      <c r="Z68" s="254">
        <v>0</v>
      </c>
      <c r="AA68" s="254">
        <v>0</v>
      </c>
      <c r="AB68" s="254">
        <v>0</v>
      </c>
      <c r="AC68" s="254">
        <v>0</v>
      </c>
      <c r="AD68" s="254">
        <v>0</v>
      </c>
      <c r="AE68" s="254">
        <v>0</v>
      </c>
      <c r="AF68" s="254">
        <v>0</v>
      </c>
      <c r="AG68" s="254">
        <v>0</v>
      </c>
      <c r="AH68" s="254">
        <v>0</v>
      </c>
      <c r="AI68" s="254">
        <v>0</v>
      </c>
      <c r="AJ68" s="254">
        <v>0</v>
      </c>
      <c r="AK68" s="254">
        <v>0</v>
      </c>
      <c r="AL68" s="254">
        <v>0</v>
      </c>
      <c r="AM68" s="254">
        <v>0</v>
      </c>
      <c r="AN68" s="254">
        <v>0</v>
      </c>
      <c r="AO68" s="254">
        <v>0</v>
      </c>
      <c r="AP68" s="254">
        <v>0</v>
      </c>
      <c r="AQ68" s="254">
        <v>0</v>
      </c>
      <c r="AR68" s="254">
        <v>0</v>
      </c>
      <c r="AS68" s="254">
        <v>0</v>
      </c>
      <c r="AT68" s="254">
        <v>0</v>
      </c>
      <c r="AU68" s="254">
        <v>0</v>
      </c>
      <c r="AV68" s="254">
        <v>0</v>
      </c>
      <c r="AW68" s="254">
        <v>0</v>
      </c>
      <c r="AX68" s="254">
        <v>0</v>
      </c>
      <c r="AY68" s="254">
        <v>0</v>
      </c>
    </row>
    <row r="69" spans="2:51">
      <c r="B69" s="244">
        <v>10197</v>
      </c>
      <c r="C69" s="244" t="s">
        <v>72</v>
      </c>
      <c r="D69" s="254">
        <v>3788.5439814814795</v>
      </c>
      <c r="E69" s="254">
        <v>0</v>
      </c>
      <c r="F69" s="254">
        <v>579.23499999999933</v>
      </c>
      <c r="G69" s="254">
        <v>0</v>
      </c>
      <c r="H69" s="254">
        <v>1443.9900000000002</v>
      </c>
      <c r="I69" s="254">
        <v>0</v>
      </c>
      <c r="J69" s="254">
        <v>2266.295673076922</v>
      </c>
      <c r="K69" s="254">
        <v>0</v>
      </c>
      <c r="L69" s="254">
        <v>718.35499999999945</v>
      </c>
      <c r="M69" s="254">
        <v>0</v>
      </c>
      <c r="N69" s="254">
        <v>1272.4783653846137</v>
      </c>
      <c r="O69" s="254">
        <v>0</v>
      </c>
      <c r="P69" s="254">
        <v>5325.8197115384628</v>
      </c>
      <c r="Q69" s="254">
        <v>0</v>
      </c>
      <c r="R69" s="254">
        <v>3199.5450000000042</v>
      </c>
      <c r="S69" s="254">
        <v>0</v>
      </c>
      <c r="T69" s="254">
        <v>9774.0144230769183</v>
      </c>
      <c r="U69" s="254">
        <v>0</v>
      </c>
      <c r="V69" s="254">
        <v>12186.692307692303</v>
      </c>
      <c r="W69" s="254">
        <v>0</v>
      </c>
      <c r="X69" s="254">
        <v>6927.8221153846216</v>
      </c>
      <c r="Y69" s="254">
        <v>0</v>
      </c>
      <c r="Z69" s="254">
        <v>2552.1874999999986</v>
      </c>
      <c r="AA69" s="254">
        <v>0</v>
      </c>
      <c r="AB69" s="254">
        <v>3803.0532407407409</v>
      </c>
      <c r="AC69" s="254">
        <v>0</v>
      </c>
      <c r="AD69" s="254">
        <v>272.73958333333371</v>
      </c>
      <c r="AE69" s="254">
        <v>0</v>
      </c>
      <c r="AF69" s="254">
        <v>1958.2355769230758</v>
      </c>
      <c r="AG69" s="254">
        <v>0</v>
      </c>
      <c r="AH69" s="254">
        <v>1955.5574999999999</v>
      </c>
      <c r="AI69" s="254">
        <v>0</v>
      </c>
      <c r="AJ69" s="254">
        <v>412.86979166666748</v>
      </c>
      <c r="AK69" s="254">
        <v>0</v>
      </c>
      <c r="AL69" s="254">
        <v>1610.6180555555545</v>
      </c>
      <c r="AM69" s="254">
        <v>0</v>
      </c>
      <c r="AN69" s="254">
        <v>6078.4158653846152</v>
      </c>
      <c r="AO69" s="254">
        <v>0</v>
      </c>
      <c r="AP69" s="254">
        <v>1210.4650000000099</v>
      </c>
      <c r="AQ69" s="254">
        <v>0</v>
      </c>
      <c r="AR69" s="254">
        <v>9785.7235576923049</v>
      </c>
      <c r="AS69" s="254">
        <v>0</v>
      </c>
      <c r="AT69" s="254">
        <v>12199.13942307692</v>
      </c>
      <c r="AU69" s="254">
        <v>0</v>
      </c>
      <c r="AV69" s="254">
        <v>6945.132211538471</v>
      </c>
      <c r="AW69" s="254">
        <v>0</v>
      </c>
      <c r="AX69" s="254">
        <v>2567.0499999999984</v>
      </c>
      <c r="AY69" s="254">
        <v>0</v>
      </c>
    </row>
    <row r="70" spans="2:51">
      <c r="B70" s="244">
        <v>10202</v>
      </c>
      <c r="C70" s="244" t="s">
        <v>73</v>
      </c>
      <c r="D70" s="254">
        <v>1746.7708333333305</v>
      </c>
      <c r="E70" s="254">
        <v>0</v>
      </c>
      <c r="F70" s="254">
        <v>2086.7925000000009</v>
      </c>
      <c r="G70" s="254">
        <v>0</v>
      </c>
      <c r="H70" s="254">
        <v>624.43499999999869</v>
      </c>
      <c r="I70" s="254">
        <v>0</v>
      </c>
      <c r="J70" s="254">
        <v>2744.7596153846162</v>
      </c>
      <c r="K70" s="254">
        <v>0</v>
      </c>
      <c r="L70" s="254">
        <v>4581.0024999999996</v>
      </c>
      <c r="M70" s="254">
        <v>0</v>
      </c>
      <c r="N70" s="254">
        <v>1094.3004807692303</v>
      </c>
      <c r="O70" s="254">
        <v>0</v>
      </c>
      <c r="P70" s="254">
        <v>0</v>
      </c>
      <c r="Q70" s="254">
        <v>0</v>
      </c>
      <c r="R70" s="254">
        <v>628.20999999999924</v>
      </c>
      <c r="S70" s="254">
        <v>0</v>
      </c>
      <c r="T70" s="254">
        <v>1099.8317307692307</v>
      </c>
      <c r="U70" s="254">
        <v>0</v>
      </c>
      <c r="V70" s="254">
        <v>1700.7307692307686</v>
      </c>
      <c r="W70" s="254">
        <v>0</v>
      </c>
      <c r="X70" s="254">
        <v>1270.0841346153843</v>
      </c>
      <c r="Y70" s="254">
        <v>0</v>
      </c>
      <c r="Z70" s="254">
        <v>2302.6675</v>
      </c>
      <c r="AA70" s="254">
        <v>0</v>
      </c>
      <c r="AB70" s="254">
        <v>1522.6064814814797</v>
      </c>
      <c r="AC70" s="254">
        <v>0</v>
      </c>
      <c r="AD70" s="254">
        <v>1040.1354166666681</v>
      </c>
      <c r="AE70" s="254">
        <v>0</v>
      </c>
      <c r="AF70" s="254">
        <v>1199.9038461538451</v>
      </c>
      <c r="AG70" s="254">
        <v>0</v>
      </c>
      <c r="AH70" s="254">
        <v>1663.170000000001</v>
      </c>
      <c r="AI70" s="254">
        <v>0</v>
      </c>
      <c r="AJ70" s="254">
        <v>3638.3671874999973</v>
      </c>
      <c r="AK70" s="254">
        <v>0</v>
      </c>
      <c r="AL70" s="254">
        <v>1536.7013888888889</v>
      </c>
      <c r="AM70" s="254">
        <v>0</v>
      </c>
      <c r="AN70" s="254">
        <v>0</v>
      </c>
      <c r="AO70" s="254">
        <v>0</v>
      </c>
      <c r="AP70" s="254">
        <v>0</v>
      </c>
      <c r="AQ70" s="254">
        <v>0</v>
      </c>
      <c r="AR70" s="254">
        <v>1013.7764423076916</v>
      </c>
      <c r="AS70" s="254">
        <v>0</v>
      </c>
      <c r="AT70" s="254">
        <v>1615.569711538463</v>
      </c>
      <c r="AU70" s="254">
        <v>0</v>
      </c>
      <c r="AV70" s="254">
        <v>1151.5625000000007</v>
      </c>
      <c r="AW70" s="254">
        <v>0</v>
      </c>
      <c r="AX70" s="254">
        <v>2175.7074999999963</v>
      </c>
      <c r="AY70" s="254">
        <v>0</v>
      </c>
    </row>
    <row r="71" spans="2:51">
      <c r="B71" s="244">
        <v>10203</v>
      </c>
      <c r="C71" s="244" t="s">
        <v>74</v>
      </c>
      <c r="D71" s="254">
        <v>874.10416666666663</v>
      </c>
      <c r="E71" s="254">
        <v>0</v>
      </c>
      <c r="F71" s="254">
        <v>1253.8875000000003</v>
      </c>
      <c r="G71" s="254">
        <v>0</v>
      </c>
      <c r="H71" s="254">
        <v>1255.6449999999991</v>
      </c>
      <c r="I71" s="254">
        <v>0</v>
      </c>
      <c r="J71" s="254">
        <v>1914.4206730769242</v>
      </c>
      <c r="K71" s="254">
        <v>0</v>
      </c>
      <c r="L71" s="254">
        <v>969.76999999999919</v>
      </c>
      <c r="M71" s="254">
        <v>0</v>
      </c>
      <c r="N71" s="254">
        <v>1114.7596153846146</v>
      </c>
      <c r="O71" s="254">
        <v>0</v>
      </c>
      <c r="P71" s="254">
        <v>1074.9735576923069</v>
      </c>
      <c r="Q71" s="254">
        <v>0</v>
      </c>
      <c r="R71" s="254">
        <v>1297.4150000000004</v>
      </c>
      <c r="S71" s="254">
        <v>0</v>
      </c>
      <c r="T71" s="254">
        <v>1174.7475961538464</v>
      </c>
      <c r="U71" s="254">
        <v>0</v>
      </c>
      <c r="V71" s="254">
        <v>1531.5264423076915</v>
      </c>
      <c r="W71" s="254">
        <v>0</v>
      </c>
      <c r="X71" s="254">
        <v>844.1201923076917</v>
      </c>
      <c r="Y71" s="254">
        <v>0</v>
      </c>
      <c r="Z71" s="254">
        <v>1197.482500000001</v>
      </c>
      <c r="AA71" s="254">
        <v>0</v>
      </c>
      <c r="AB71" s="254">
        <v>886.02546296296271</v>
      </c>
      <c r="AC71" s="254">
        <v>0</v>
      </c>
      <c r="AD71" s="254">
        <v>930.67708333333508</v>
      </c>
      <c r="AE71" s="254">
        <v>0</v>
      </c>
      <c r="AF71" s="254">
        <v>1646.5793269230776</v>
      </c>
      <c r="AG71" s="254">
        <v>0</v>
      </c>
      <c r="AH71" s="254">
        <v>1569.4800000000009</v>
      </c>
      <c r="AI71" s="254">
        <v>0</v>
      </c>
      <c r="AJ71" s="254">
        <v>1074.3984375000016</v>
      </c>
      <c r="AK71" s="254">
        <v>0</v>
      </c>
      <c r="AL71" s="254">
        <v>1405.4513888888885</v>
      </c>
      <c r="AM71" s="254">
        <v>0</v>
      </c>
      <c r="AN71" s="254">
        <v>1087.8774038461549</v>
      </c>
      <c r="AO71" s="254">
        <v>0</v>
      </c>
      <c r="AP71" s="254">
        <v>1307.745000000001</v>
      </c>
      <c r="AQ71" s="254">
        <v>0</v>
      </c>
      <c r="AR71" s="254">
        <v>1182.2788461538469</v>
      </c>
      <c r="AS71" s="254">
        <v>0</v>
      </c>
      <c r="AT71" s="254">
        <v>1541.350961538461</v>
      </c>
      <c r="AU71" s="254">
        <v>0</v>
      </c>
      <c r="AV71" s="254">
        <v>853.33173076923163</v>
      </c>
      <c r="AW71" s="254">
        <v>0</v>
      </c>
      <c r="AX71" s="254">
        <v>1205.1225000000004</v>
      </c>
      <c r="AY71" s="254">
        <v>0</v>
      </c>
    </row>
    <row r="72" spans="2:51">
      <c r="B72" s="244">
        <v>10204</v>
      </c>
      <c r="C72" s="244" t="s">
        <v>75</v>
      </c>
      <c r="D72" s="254">
        <v>0</v>
      </c>
      <c r="E72" s="254">
        <v>0</v>
      </c>
      <c r="F72" s="254">
        <v>0</v>
      </c>
      <c r="G72" s="254">
        <v>0</v>
      </c>
      <c r="H72" s="254">
        <v>0</v>
      </c>
      <c r="I72" s="254">
        <v>0</v>
      </c>
      <c r="J72" s="254">
        <v>0</v>
      </c>
      <c r="K72" s="254">
        <v>0</v>
      </c>
      <c r="L72" s="254">
        <v>0</v>
      </c>
      <c r="M72" s="254">
        <v>0</v>
      </c>
      <c r="N72" s="254">
        <v>0</v>
      </c>
      <c r="O72" s="254">
        <v>0</v>
      </c>
      <c r="P72" s="254">
        <v>0</v>
      </c>
      <c r="Q72" s="254">
        <v>0</v>
      </c>
      <c r="R72" s="254">
        <v>0</v>
      </c>
      <c r="S72" s="254">
        <v>0</v>
      </c>
      <c r="T72" s="254">
        <v>0</v>
      </c>
      <c r="U72" s="254">
        <v>0</v>
      </c>
      <c r="V72" s="254">
        <v>0</v>
      </c>
      <c r="W72" s="254">
        <v>0</v>
      </c>
      <c r="X72" s="254">
        <v>0</v>
      </c>
      <c r="Y72" s="254">
        <v>0</v>
      </c>
      <c r="Z72" s="254">
        <v>0</v>
      </c>
      <c r="AA72" s="254">
        <v>0</v>
      </c>
      <c r="AB72" s="254">
        <v>0</v>
      </c>
      <c r="AC72" s="254">
        <v>0</v>
      </c>
      <c r="AD72" s="254">
        <v>0</v>
      </c>
      <c r="AE72" s="254">
        <v>0</v>
      </c>
      <c r="AF72" s="254">
        <v>0</v>
      </c>
      <c r="AG72" s="254">
        <v>0</v>
      </c>
      <c r="AH72" s="254">
        <v>0</v>
      </c>
      <c r="AI72" s="254">
        <v>0</v>
      </c>
      <c r="AJ72" s="254">
        <v>0</v>
      </c>
      <c r="AK72" s="254">
        <v>0</v>
      </c>
      <c r="AL72" s="254">
        <v>0</v>
      </c>
      <c r="AM72" s="254">
        <v>0</v>
      </c>
      <c r="AN72" s="254">
        <v>0</v>
      </c>
      <c r="AO72" s="254">
        <v>0</v>
      </c>
      <c r="AP72" s="254">
        <v>0</v>
      </c>
      <c r="AQ72" s="254">
        <v>0</v>
      </c>
      <c r="AR72" s="254">
        <v>0</v>
      </c>
      <c r="AS72" s="254">
        <v>0</v>
      </c>
      <c r="AT72" s="254">
        <v>0</v>
      </c>
      <c r="AU72" s="254">
        <v>0</v>
      </c>
      <c r="AV72" s="254">
        <v>0</v>
      </c>
      <c r="AW72" s="254">
        <v>0</v>
      </c>
      <c r="AX72" s="254">
        <v>0</v>
      </c>
      <c r="AY72" s="254">
        <v>0</v>
      </c>
    </row>
    <row r="73" spans="2:51">
      <c r="B73" s="244">
        <v>10209</v>
      </c>
      <c r="C73" s="244" t="s">
        <v>76</v>
      </c>
      <c r="D73" s="254">
        <v>22668.638888888909</v>
      </c>
      <c r="E73" s="254">
        <v>0</v>
      </c>
      <c r="F73" s="254">
        <v>31127.682499999977</v>
      </c>
      <c r="G73" s="254">
        <v>0</v>
      </c>
      <c r="H73" s="254">
        <v>34641.505000000012</v>
      </c>
      <c r="I73" s="254">
        <v>0</v>
      </c>
      <c r="J73" s="254">
        <v>37674.557692307651</v>
      </c>
      <c r="K73" s="254">
        <v>0</v>
      </c>
      <c r="L73" s="254">
        <v>31643.079999999998</v>
      </c>
      <c r="M73" s="254">
        <v>0</v>
      </c>
      <c r="N73" s="254">
        <v>37264.156249999993</v>
      </c>
      <c r="O73" s="254">
        <v>0</v>
      </c>
      <c r="P73" s="254">
        <v>48499.016826923093</v>
      </c>
      <c r="Q73" s="254">
        <v>0</v>
      </c>
      <c r="R73" s="254">
        <v>27372.132500000014</v>
      </c>
      <c r="S73" s="254">
        <v>0</v>
      </c>
      <c r="T73" s="254">
        <v>40921.507211538468</v>
      </c>
      <c r="U73" s="254">
        <v>0</v>
      </c>
      <c r="V73" s="254">
        <v>43515.014423076951</v>
      </c>
      <c r="W73" s="254">
        <v>0</v>
      </c>
      <c r="X73" s="254">
        <v>33320.206730769227</v>
      </c>
      <c r="Y73" s="254">
        <v>0</v>
      </c>
      <c r="Z73" s="254">
        <v>33232.402500000004</v>
      </c>
      <c r="AA73" s="254">
        <v>0</v>
      </c>
      <c r="AB73" s="254">
        <v>23230.972222222234</v>
      </c>
      <c r="AC73" s="254">
        <v>0</v>
      </c>
      <c r="AD73" s="254">
        <v>26257.523437500011</v>
      </c>
      <c r="AE73" s="254">
        <v>0</v>
      </c>
      <c r="AF73" s="254">
        <v>41916.127403846149</v>
      </c>
      <c r="AG73" s="254">
        <v>0</v>
      </c>
      <c r="AH73" s="254">
        <v>31704.92500000001</v>
      </c>
      <c r="AI73" s="254">
        <v>0</v>
      </c>
      <c r="AJ73" s="254">
        <v>26366.539062500011</v>
      </c>
      <c r="AK73" s="254">
        <v>0</v>
      </c>
      <c r="AL73" s="254">
        <v>42749.668981481482</v>
      </c>
      <c r="AM73" s="254">
        <v>0</v>
      </c>
      <c r="AN73" s="254">
        <v>49260.298076923056</v>
      </c>
      <c r="AO73" s="254">
        <v>0</v>
      </c>
      <c r="AP73" s="254">
        <v>27995.862500000007</v>
      </c>
      <c r="AQ73" s="254">
        <v>0</v>
      </c>
      <c r="AR73" s="254">
        <v>41632.795673076915</v>
      </c>
      <c r="AS73" s="254">
        <v>0</v>
      </c>
      <c r="AT73" s="254">
        <v>44022.562500000007</v>
      </c>
      <c r="AU73" s="254">
        <v>0</v>
      </c>
      <c r="AV73" s="254">
        <v>33777.850961538461</v>
      </c>
      <c r="AW73" s="254">
        <v>0</v>
      </c>
      <c r="AX73" s="254">
        <v>33634.127499999973</v>
      </c>
      <c r="AY73" s="254">
        <v>0</v>
      </c>
    </row>
    <row r="74" spans="2:51">
      <c r="B74" s="244">
        <v>10230</v>
      </c>
      <c r="C74" s="244" t="s">
        <v>77</v>
      </c>
      <c r="D74" s="254">
        <v>5512.7060185185201</v>
      </c>
      <c r="E74" s="254">
        <v>0</v>
      </c>
      <c r="F74" s="254">
        <v>2517.5449999999992</v>
      </c>
      <c r="G74" s="254">
        <v>0</v>
      </c>
      <c r="H74" s="254">
        <v>2883.6699999999987</v>
      </c>
      <c r="I74" s="254">
        <v>0</v>
      </c>
      <c r="J74" s="254">
        <v>3879.2115384615408</v>
      </c>
      <c r="K74" s="254">
        <v>0</v>
      </c>
      <c r="L74" s="254">
        <v>5366.2274999999981</v>
      </c>
      <c r="M74" s="254">
        <v>0</v>
      </c>
      <c r="N74" s="254">
        <v>3544.7475961538471</v>
      </c>
      <c r="O74" s="254">
        <v>0</v>
      </c>
      <c r="P74" s="254">
        <v>2333.0048076923067</v>
      </c>
      <c r="Q74" s="254">
        <v>0</v>
      </c>
      <c r="R74" s="254">
        <v>2401.1450000000013</v>
      </c>
      <c r="S74" s="254">
        <v>0</v>
      </c>
      <c r="T74" s="254">
        <v>3007.0000000000009</v>
      </c>
      <c r="U74" s="254">
        <v>0</v>
      </c>
      <c r="V74" s="254">
        <v>3448.7019230769251</v>
      </c>
      <c r="W74" s="254">
        <v>0</v>
      </c>
      <c r="X74" s="254">
        <v>3048.485576923078</v>
      </c>
      <c r="Y74" s="254">
        <v>0</v>
      </c>
      <c r="Z74" s="254">
        <v>2885.9574999999982</v>
      </c>
      <c r="AA74" s="254">
        <v>0</v>
      </c>
      <c r="AB74" s="254">
        <v>5560.9814814814818</v>
      </c>
      <c r="AC74" s="254">
        <v>0</v>
      </c>
      <c r="AD74" s="254">
        <v>1949.7161458333326</v>
      </c>
      <c r="AE74" s="254">
        <v>0</v>
      </c>
      <c r="AF74" s="254">
        <v>3642.2860576923063</v>
      </c>
      <c r="AG74" s="254">
        <v>0</v>
      </c>
      <c r="AH74" s="254">
        <v>3184.4050000000025</v>
      </c>
      <c r="AI74" s="254">
        <v>0</v>
      </c>
      <c r="AJ74" s="254">
        <v>4809.9557291666661</v>
      </c>
      <c r="AK74" s="254">
        <v>0</v>
      </c>
      <c r="AL74" s="254">
        <v>4110.5416666666679</v>
      </c>
      <c r="AM74" s="254">
        <v>0</v>
      </c>
      <c r="AN74" s="254">
        <v>2373.6322115384601</v>
      </c>
      <c r="AO74" s="254">
        <v>0</v>
      </c>
      <c r="AP74" s="254">
        <v>2422.0600000000018</v>
      </c>
      <c r="AQ74" s="254">
        <v>0</v>
      </c>
      <c r="AR74" s="254">
        <v>3029.7716346153838</v>
      </c>
      <c r="AS74" s="254">
        <v>0</v>
      </c>
      <c r="AT74" s="254">
        <v>3474.132211538461</v>
      </c>
      <c r="AU74" s="254">
        <v>0</v>
      </c>
      <c r="AV74" s="254">
        <v>3073.6250000000005</v>
      </c>
      <c r="AW74" s="254">
        <v>0</v>
      </c>
      <c r="AX74" s="254">
        <v>2908.0975000000021</v>
      </c>
      <c r="AY74" s="254">
        <v>0</v>
      </c>
    </row>
    <row r="75" spans="2:51">
      <c r="B75" s="244">
        <v>10231</v>
      </c>
      <c r="C75" s="244" t="s">
        <v>78</v>
      </c>
      <c r="D75" s="254">
        <v>7067.5092592592609</v>
      </c>
      <c r="E75" s="254">
        <v>0</v>
      </c>
      <c r="F75" s="254">
        <v>6673.4274999999971</v>
      </c>
      <c r="G75" s="254">
        <v>0</v>
      </c>
      <c r="H75" s="254">
        <v>6827.1924999999901</v>
      </c>
      <c r="I75" s="254">
        <v>0</v>
      </c>
      <c r="J75" s="254">
        <v>8025.3485576923094</v>
      </c>
      <c r="K75" s="254">
        <v>0</v>
      </c>
      <c r="L75" s="254">
        <v>7993.9475000000048</v>
      </c>
      <c r="M75" s="254">
        <v>0</v>
      </c>
      <c r="N75" s="254">
        <v>3725.1826923076978</v>
      </c>
      <c r="O75" s="254">
        <v>0</v>
      </c>
      <c r="P75" s="254">
        <v>3873.8750000000123</v>
      </c>
      <c r="Q75" s="254">
        <v>0</v>
      </c>
      <c r="R75" s="254">
        <v>9197.5925000000097</v>
      </c>
      <c r="S75" s="254">
        <v>0</v>
      </c>
      <c r="T75" s="254">
        <v>11614.550480769232</v>
      </c>
      <c r="U75" s="254">
        <v>0</v>
      </c>
      <c r="V75" s="254">
        <v>8998.6730769230799</v>
      </c>
      <c r="W75" s="254">
        <v>0</v>
      </c>
      <c r="X75" s="254">
        <v>9519.2403846153939</v>
      </c>
      <c r="Y75" s="254">
        <v>0</v>
      </c>
      <c r="Z75" s="254">
        <v>5721.6124999999993</v>
      </c>
      <c r="AA75" s="254">
        <v>0</v>
      </c>
      <c r="AB75" s="254">
        <v>7293.3217592592637</v>
      </c>
      <c r="AC75" s="254">
        <v>0</v>
      </c>
      <c r="AD75" s="254">
        <v>4311.4296874999973</v>
      </c>
      <c r="AE75" s="254">
        <v>0</v>
      </c>
      <c r="AF75" s="254">
        <v>9879.4591346153829</v>
      </c>
      <c r="AG75" s="254">
        <v>0</v>
      </c>
      <c r="AH75" s="254">
        <v>5470.8200000000015</v>
      </c>
      <c r="AI75" s="254">
        <v>0</v>
      </c>
      <c r="AJ75" s="254">
        <v>5662.0130208333348</v>
      </c>
      <c r="AK75" s="254">
        <v>0</v>
      </c>
      <c r="AL75" s="254">
        <v>6215.4537037037016</v>
      </c>
      <c r="AM75" s="254">
        <v>0</v>
      </c>
      <c r="AN75" s="254">
        <v>6381.6802884615317</v>
      </c>
      <c r="AO75" s="254">
        <v>0</v>
      </c>
      <c r="AP75" s="254">
        <v>7192.5350000000017</v>
      </c>
      <c r="AQ75" s="254">
        <v>0</v>
      </c>
      <c r="AR75" s="254">
        <v>11815.295673076918</v>
      </c>
      <c r="AS75" s="254">
        <v>0</v>
      </c>
      <c r="AT75" s="254">
        <v>9285.7668269230617</v>
      </c>
      <c r="AU75" s="254">
        <v>0</v>
      </c>
      <c r="AV75" s="254">
        <v>9810.177884615392</v>
      </c>
      <c r="AW75" s="254">
        <v>0</v>
      </c>
      <c r="AX75" s="254">
        <v>6013.7599999999911</v>
      </c>
      <c r="AY75" s="254">
        <v>0</v>
      </c>
    </row>
    <row r="76" spans="2:51">
      <c r="B76" s="244">
        <v>10234</v>
      </c>
      <c r="C76" s="244" t="s">
        <v>79</v>
      </c>
      <c r="D76" s="254">
        <v>8933.4629629629526</v>
      </c>
      <c r="E76" s="254">
        <v>0</v>
      </c>
      <c r="F76" s="254">
        <v>3055.7499999999964</v>
      </c>
      <c r="G76" s="254">
        <v>0</v>
      </c>
      <c r="H76" s="254">
        <v>8445.8225000000057</v>
      </c>
      <c r="I76" s="254">
        <v>0</v>
      </c>
      <c r="J76" s="254">
        <v>14090.199519230773</v>
      </c>
      <c r="K76" s="254">
        <v>0</v>
      </c>
      <c r="L76" s="254">
        <v>10705.520000000011</v>
      </c>
      <c r="M76" s="254">
        <v>0</v>
      </c>
      <c r="N76" s="254">
        <v>9702.2548076923085</v>
      </c>
      <c r="O76" s="254">
        <v>0</v>
      </c>
      <c r="P76" s="254">
        <v>11070.617788461548</v>
      </c>
      <c r="Q76" s="254">
        <v>0</v>
      </c>
      <c r="R76" s="254">
        <v>6746.1574999999957</v>
      </c>
      <c r="S76" s="254">
        <v>0</v>
      </c>
      <c r="T76" s="254">
        <v>12339.372596153846</v>
      </c>
      <c r="U76" s="254">
        <v>0</v>
      </c>
      <c r="V76" s="254">
        <v>19321.697115384617</v>
      </c>
      <c r="W76" s="254">
        <v>0</v>
      </c>
      <c r="X76" s="254">
        <v>16104.307692307702</v>
      </c>
      <c r="Y76" s="254">
        <v>0</v>
      </c>
      <c r="Z76" s="254">
        <v>10594.924999999999</v>
      </c>
      <c r="AA76" s="254">
        <v>0</v>
      </c>
      <c r="AB76" s="254">
        <v>9607.7800925925876</v>
      </c>
      <c r="AC76" s="254">
        <v>0</v>
      </c>
      <c r="AD76" s="254">
        <v>798.47916666665947</v>
      </c>
      <c r="AE76" s="254">
        <v>0</v>
      </c>
      <c r="AF76" s="254">
        <v>12493.507211538457</v>
      </c>
      <c r="AG76" s="254">
        <v>0</v>
      </c>
      <c r="AH76" s="254">
        <v>11466.342500000002</v>
      </c>
      <c r="AI76" s="254">
        <v>0</v>
      </c>
      <c r="AJ76" s="254">
        <v>8077.7656250000018</v>
      </c>
      <c r="AK76" s="254">
        <v>0</v>
      </c>
      <c r="AL76" s="254">
        <v>13051.738425925929</v>
      </c>
      <c r="AM76" s="254">
        <v>0</v>
      </c>
      <c r="AN76" s="254">
        <v>11698.341346153848</v>
      </c>
      <c r="AO76" s="254">
        <v>0</v>
      </c>
      <c r="AP76" s="254">
        <v>7371.3675000000048</v>
      </c>
      <c r="AQ76" s="254">
        <v>0</v>
      </c>
      <c r="AR76" s="254">
        <v>12902.990384615381</v>
      </c>
      <c r="AS76" s="254">
        <v>0</v>
      </c>
      <c r="AT76" s="254">
        <v>19960.418269230766</v>
      </c>
      <c r="AU76" s="254">
        <v>0</v>
      </c>
      <c r="AV76" s="254">
        <v>16654.206730769234</v>
      </c>
      <c r="AW76" s="254">
        <v>0</v>
      </c>
      <c r="AX76" s="254">
        <v>11176.982499999998</v>
      </c>
      <c r="AY76" s="254">
        <v>0</v>
      </c>
    </row>
    <row r="77" spans="2:51">
      <c r="B77" s="244">
        <v>10235</v>
      </c>
      <c r="C77" s="244" t="s">
        <v>80</v>
      </c>
      <c r="D77" s="254">
        <v>3256.3402777777737</v>
      </c>
      <c r="E77" s="254">
        <v>0</v>
      </c>
      <c r="F77" s="254">
        <v>1668.6724999999942</v>
      </c>
      <c r="G77" s="254">
        <v>0</v>
      </c>
      <c r="H77" s="254">
        <v>5397.8950000000004</v>
      </c>
      <c r="I77" s="254">
        <v>0</v>
      </c>
      <c r="J77" s="254">
        <v>7707.177884615382</v>
      </c>
      <c r="K77" s="254">
        <v>0</v>
      </c>
      <c r="L77" s="254">
        <v>5322.6575000000075</v>
      </c>
      <c r="M77" s="254">
        <v>0</v>
      </c>
      <c r="N77" s="254">
        <v>2804.0384615384637</v>
      </c>
      <c r="O77" s="254">
        <v>0</v>
      </c>
      <c r="P77" s="254">
        <v>5873.1057692307677</v>
      </c>
      <c r="Q77" s="254">
        <v>0</v>
      </c>
      <c r="R77" s="254">
        <v>3077.442500000001</v>
      </c>
      <c r="S77" s="254">
        <v>0</v>
      </c>
      <c r="T77" s="254">
        <v>4214.5865384615345</v>
      </c>
      <c r="U77" s="254">
        <v>0</v>
      </c>
      <c r="V77" s="254">
        <v>4609.4783653846152</v>
      </c>
      <c r="W77" s="254">
        <v>0</v>
      </c>
      <c r="X77" s="254">
        <v>3295.0384615384637</v>
      </c>
      <c r="Y77" s="254">
        <v>0</v>
      </c>
      <c r="Z77" s="254">
        <v>4115.3850000000029</v>
      </c>
      <c r="AA77" s="254">
        <v>0</v>
      </c>
      <c r="AB77" s="254">
        <v>3315.155092592594</v>
      </c>
      <c r="AC77" s="254">
        <v>0</v>
      </c>
      <c r="AD77" s="254">
        <v>187.98177083333377</v>
      </c>
      <c r="AE77" s="254">
        <v>0</v>
      </c>
      <c r="AF77" s="254">
        <v>7105.8028846153811</v>
      </c>
      <c r="AG77" s="254">
        <v>0</v>
      </c>
      <c r="AH77" s="254">
        <v>6160.0549999999994</v>
      </c>
      <c r="AI77" s="254">
        <v>0</v>
      </c>
      <c r="AJ77" s="254">
        <v>3808.2656249999991</v>
      </c>
      <c r="AK77" s="254">
        <v>0</v>
      </c>
      <c r="AL77" s="254">
        <v>4202.9444444444434</v>
      </c>
      <c r="AM77" s="254">
        <v>0</v>
      </c>
      <c r="AN77" s="254">
        <v>7051.1850961538466</v>
      </c>
      <c r="AO77" s="254">
        <v>0</v>
      </c>
      <c r="AP77" s="254">
        <v>2102.1524999999997</v>
      </c>
      <c r="AQ77" s="254">
        <v>0</v>
      </c>
      <c r="AR77" s="254">
        <v>4264.1562499999982</v>
      </c>
      <c r="AS77" s="254">
        <v>0</v>
      </c>
      <c r="AT77" s="254">
        <v>4664.8725961538466</v>
      </c>
      <c r="AU77" s="254">
        <v>0</v>
      </c>
      <c r="AV77" s="254">
        <v>3343.9615384615417</v>
      </c>
      <c r="AW77" s="254">
        <v>0</v>
      </c>
      <c r="AX77" s="254">
        <v>4161.6774999999989</v>
      </c>
      <c r="AY77" s="254">
        <v>0</v>
      </c>
    </row>
    <row r="78" spans="2:51">
      <c r="B78" s="244">
        <v>10236</v>
      </c>
      <c r="C78" s="244" t="s">
        <v>81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4">
        <v>0</v>
      </c>
      <c r="P78" s="254">
        <v>0</v>
      </c>
      <c r="Q78" s="254">
        <v>0</v>
      </c>
      <c r="R78" s="254">
        <v>0</v>
      </c>
      <c r="S78" s="254">
        <v>0</v>
      </c>
      <c r="T78" s="254">
        <v>0</v>
      </c>
      <c r="U78" s="254">
        <v>0</v>
      </c>
      <c r="V78" s="254">
        <v>0</v>
      </c>
      <c r="W78" s="254">
        <v>0</v>
      </c>
      <c r="X78" s="254">
        <v>0</v>
      </c>
      <c r="Y78" s="254">
        <v>0</v>
      </c>
      <c r="Z78" s="254">
        <v>0</v>
      </c>
      <c r="AA78" s="254">
        <v>0</v>
      </c>
      <c r="AB78" s="254">
        <v>0</v>
      </c>
      <c r="AC78" s="254">
        <v>0</v>
      </c>
      <c r="AD78" s="254">
        <v>0</v>
      </c>
      <c r="AE78" s="254">
        <v>0</v>
      </c>
      <c r="AF78" s="254">
        <v>0</v>
      </c>
      <c r="AG78" s="254">
        <v>0</v>
      </c>
      <c r="AH78" s="254">
        <v>0</v>
      </c>
      <c r="AI78" s="254">
        <v>0</v>
      </c>
      <c r="AJ78" s="254">
        <v>0</v>
      </c>
      <c r="AK78" s="254">
        <v>0</v>
      </c>
      <c r="AL78" s="254">
        <v>0</v>
      </c>
      <c r="AM78" s="254">
        <v>0</v>
      </c>
      <c r="AN78" s="254">
        <v>0</v>
      </c>
      <c r="AO78" s="254">
        <v>0</v>
      </c>
      <c r="AP78" s="254">
        <v>0</v>
      </c>
      <c r="AQ78" s="254">
        <v>0</v>
      </c>
      <c r="AR78" s="254">
        <v>0</v>
      </c>
      <c r="AS78" s="254">
        <v>0</v>
      </c>
      <c r="AT78" s="254">
        <v>0</v>
      </c>
      <c r="AU78" s="254">
        <v>0</v>
      </c>
      <c r="AV78" s="254">
        <v>0</v>
      </c>
      <c r="AW78" s="254">
        <v>0</v>
      </c>
      <c r="AX78" s="254">
        <v>0</v>
      </c>
      <c r="AY78" s="254">
        <v>0</v>
      </c>
    </row>
    <row r="79" spans="2:51">
      <c r="B79" s="244">
        <v>10237</v>
      </c>
      <c r="C79" s="244" t="s">
        <v>82</v>
      </c>
      <c r="D79" s="254">
        <v>0</v>
      </c>
      <c r="E79" s="254">
        <v>0</v>
      </c>
      <c r="F79" s="254">
        <v>0</v>
      </c>
      <c r="G79" s="254">
        <v>0</v>
      </c>
      <c r="H79" s="254">
        <v>0</v>
      </c>
      <c r="I79" s="254">
        <v>0</v>
      </c>
      <c r="J79" s="254">
        <v>0</v>
      </c>
      <c r="K79" s="254">
        <v>0</v>
      </c>
      <c r="L79" s="254">
        <v>0</v>
      </c>
      <c r="M79" s="254">
        <v>0</v>
      </c>
      <c r="N79" s="254">
        <v>0</v>
      </c>
      <c r="O79" s="254">
        <v>0</v>
      </c>
      <c r="P79" s="254">
        <v>0</v>
      </c>
      <c r="Q79" s="254">
        <v>0</v>
      </c>
      <c r="R79" s="254">
        <v>0</v>
      </c>
      <c r="S79" s="254">
        <v>0</v>
      </c>
      <c r="T79" s="254">
        <v>0</v>
      </c>
      <c r="U79" s="254">
        <v>0</v>
      </c>
      <c r="V79" s="254">
        <v>0</v>
      </c>
      <c r="W79" s="254">
        <v>0</v>
      </c>
      <c r="X79" s="254">
        <v>0</v>
      </c>
      <c r="Y79" s="254">
        <v>0</v>
      </c>
      <c r="Z79" s="254">
        <v>0</v>
      </c>
      <c r="AA79" s="254">
        <v>0</v>
      </c>
      <c r="AB79" s="254">
        <v>0</v>
      </c>
      <c r="AC79" s="254">
        <v>0</v>
      </c>
      <c r="AD79" s="254">
        <v>0</v>
      </c>
      <c r="AE79" s="254">
        <v>0</v>
      </c>
      <c r="AF79" s="254">
        <v>0</v>
      </c>
      <c r="AG79" s="254">
        <v>0</v>
      </c>
      <c r="AH79" s="254">
        <v>0</v>
      </c>
      <c r="AI79" s="254">
        <v>0</v>
      </c>
      <c r="AJ79" s="254">
        <v>0</v>
      </c>
      <c r="AK79" s="254">
        <v>0</v>
      </c>
      <c r="AL79" s="254">
        <v>0</v>
      </c>
      <c r="AM79" s="254">
        <v>0</v>
      </c>
      <c r="AN79" s="254">
        <v>0</v>
      </c>
      <c r="AO79" s="254">
        <v>0</v>
      </c>
      <c r="AP79" s="254">
        <v>0</v>
      </c>
      <c r="AQ79" s="254">
        <v>0</v>
      </c>
      <c r="AR79" s="254">
        <v>0</v>
      </c>
      <c r="AS79" s="254">
        <v>0</v>
      </c>
      <c r="AT79" s="254">
        <v>0</v>
      </c>
      <c r="AU79" s="254">
        <v>0</v>
      </c>
      <c r="AV79" s="254">
        <v>0</v>
      </c>
      <c r="AW79" s="254">
        <v>0</v>
      </c>
      <c r="AX79" s="254">
        <v>0</v>
      </c>
      <c r="AY79" s="254">
        <v>0</v>
      </c>
    </row>
    <row r="80" spans="2:51">
      <c r="B80" s="244">
        <v>10239</v>
      </c>
      <c r="C80" s="244" t="s">
        <v>83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0</v>
      </c>
      <c r="P80" s="254">
        <v>0</v>
      </c>
      <c r="Q80" s="254">
        <v>0</v>
      </c>
      <c r="R80" s="254">
        <v>0</v>
      </c>
      <c r="S80" s="254">
        <v>0</v>
      </c>
      <c r="T80" s="254">
        <v>0</v>
      </c>
      <c r="U80" s="254">
        <v>0</v>
      </c>
      <c r="V80" s="254">
        <v>0</v>
      </c>
      <c r="W80" s="254">
        <v>0</v>
      </c>
      <c r="X80" s="254">
        <v>0</v>
      </c>
      <c r="Y80" s="254">
        <v>0</v>
      </c>
      <c r="Z80" s="254">
        <v>0</v>
      </c>
      <c r="AA80" s="254">
        <v>0</v>
      </c>
      <c r="AB80" s="254">
        <v>0</v>
      </c>
      <c r="AC80" s="254">
        <v>0</v>
      </c>
      <c r="AD80" s="254">
        <v>0</v>
      </c>
      <c r="AE80" s="254">
        <v>0</v>
      </c>
      <c r="AF80" s="254">
        <v>0</v>
      </c>
      <c r="AG80" s="254">
        <v>0</v>
      </c>
      <c r="AH80" s="254">
        <v>0</v>
      </c>
      <c r="AI80" s="254">
        <v>0</v>
      </c>
      <c r="AJ80" s="254">
        <v>0</v>
      </c>
      <c r="AK80" s="254">
        <v>0</v>
      </c>
      <c r="AL80" s="254">
        <v>0</v>
      </c>
      <c r="AM80" s="254">
        <v>0</v>
      </c>
      <c r="AN80" s="254">
        <v>0</v>
      </c>
      <c r="AO80" s="254">
        <v>0</v>
      </c>
      <c r="AP80" s="254">
        <v>0</v>
      </c>
      <c r="AQ80" s="254">
        <v>0</v>
      </c>
      <c r="AR80" s="254">
        <v>0</v>
      </c>
      <c r="AS80" s="254">
        <v>0</v>
      </c>
      <c r="AT80" s="254">
        <v>0</v>
      </c>
      <c r="AU80" s="254">
        <v>0</v>
      </c>
      <c r="AV80" s="254">
        <v>0</v>
      </c>
      <c r="AW80" s="254">
        <v>0</v>
      </c>
      <c r="AX80" s="254">
        <v>0</v>
      </c>
      <c r="AY80" s="254">
        <v>0</v>
      </c>
    </row>
    <row r="81" spans="2:51">
      <c r="B81" s="244">
        <v>10242</v>
      </c>
      <c r="C81" s="244" t="s">
        <v>84</v>
      </c>
      <c r="D81" s="254">
        <v>1796.4861111111104</v>
      </c>
      <c r="E81" s="254">
        <v>0</v>
      </c>
      <c r="F81" s="254">
        <v>436.95749999999964</v>
      </c>
      <c r="G81" s="254">
        <v>0</v>
      </c>
      <c r="H81" s="254">
        <v>330.93750000000057</v>
      </c>
      <c r="I81" s="254">
        <v>0</v>
      </c>
      <c r="J81" s="254">
        <v>857.88221153846234</v>
      </c>
      <c r="K81" s="254">
        <v>0</v>
      </c>
      <c r="L81" s="254">
        <v>581.41749999999968</v>
      </c>
      <c r="M81" s="254">
        <v>0</v>
      </c>
      <c r="N81" s="254">
        <v>187.71634615384602</v>
      </c>
      <c r="O81" s="254">
        <v>0</v>
      </c>
      <c r="P81" s="254">
        <v>1119.9951923076926</v>
      </c>
      <c r="Q81" s="254">
        <v>0</v>
      </c>
      <c r="R81" s="254">
        <v>0</v>
      </c>
      <c r="S81" s="254">
        <v>0</v>
      </c>
      <c r="T81" s="254">
        <v>3886.5456730769201</v>
      </c>
      <c r="U81" s="254">
        <v>0</v>
      </c>
      <c r="V81" s="254">
        <v>3444.8966346153829</v>
      </c>
      <c r="W81" s="254">
        <v>0</v>
      </c>
      <c r="X81" s="254">
        <v>2996.1009615384642</v>
      </c>
      <c r="Y81" s="254">
        <v>0</v>
      </c>
      <c r="Z81" s="254">
        <v>2141.6049999999987</v>
      </c>
      <c r="AA81" s="254">
        <v>0</v>
      </c>
      <c r="AB81" s="254">
        <v>1799.0300925925924</v>
      </c>
      <c r="AC81" s="254">
        <v>0</v>
      </c>
      <c r="AD81" s="254">
        <v>212.23177083333456</v>
      </c>
      <c r="AE81" s="254">
        <v>0</v>
      </c>
      <c r="AF81" s="254">
        <v>608.50000000000159</v>
      </c>
      <c r="AG81" s="254">
        <v>0</v>
      </c>
      <c r="AH81" s="254">
        <v>586.42999999999915</v>
      </c>
      <c r="AI81" s="254">
        <v>0</v>
      </c>
      <c r="AJ81" s="254">
        <v>331.75781250000023</v>
      </c>
      <c r="AK81" s="254">
        <v>0</v>
      </c>
      <c r="AL81" s="254">
        <v>386.29629629629568</v>
      </c>
      <c r="AM81" s="254">
        <v>0</v>
      </c>
      <c r="AN81" s="254">
        <v>1122.4711538461524</v>
      </c>
      <c r="AO81" s="254">
        <v>0</v>
      </c>
      <c r="AP81" s="254">
        <v>0</v>
      </c>
      <c r="AQ81" s="254">
        <v>0</v>
      </c>
      <c r="AR81" s="254">
        <v>4006.16826923077</v>
      </c>
      <c r="AS81" s="254">
        <v>0</v>
      </c>
      <c r="AT81" s="254">
        <v>3568.9543269230771</v>
      </c>
      <c r="AU81" s="254">
        <v>0</v>
      </c>
      <c r="AV81" s="254">
        <v>3115.7908653846152</v>
      </c>
      <c r="AW81" s="254">
        <v>0</v>
      </c>
      <c r="AX81" s="254">
        <v>2261.3774999999982</v>
      </c>
      <c r="AY81" s="254">
        <v>0</v>
      </c>
    </row>
    <row r="82" spans="2:51">
      <c r="B82" s="244">
        <v>10244</v>
      </c>
      <c r="C82" s="244" t="s">
        <v>85</v>
      </c>
      <c r="D82" s="254">
        <v>13892.185185185188</v>
      </c>
      <c r="E82" s="254">
        <v>0</v>
      </c>
      <c r="F82" s="254">
        <v>15963.952500000012</v>
      </c>
      <c r="G82" s="254">
        <v>0</v>
      </c>
      <c r="H82" s="254">
        <v>26093.907499999994</v>
      </c>
      <c r="I82" s="254">
        <v>0</v>
      </c>
      <c r="J82" s="254">
        <v>44472.468750000007</v>
      </c>
      <c r="K82" s="254">
        <v>0</v>
      </c>
      <c r="L82" s="254">
        <v>18664.217500000021</v>
      </c>
      <c r="M82" s="254">
        <v>0</v>
      </c>
      <c r="N82" s="254">
        <v>22490.947115384613</v>
      </c>
      <c r="O82" s="254">
        <v>0</v>
      </c>
      <c r="P82" s="254">
        <v>21485.555288461546</v>
      </c>
      <c r="Q82" s="254">
        <v>0</v>
      </c>
      <c r="R82" s="254">
        <v>14335.587499999981</v>
      </c>
      <c r="S82" s="254">
        <v>0</v>
      </c>
      <c r="T82" s="254">
        <v>6896.8317307692287</v>
      </c>
      <c r="U82" s="254">
        <v>0</v>
      </c>
      <c r="V82" s="254">
        <v>9486.0745192307786</v>
      </c>
      <c r="W82" s="254">
        <v>0</v>
      </c>
      <c r="X82" s="254">
        <v>4801.4879807692359</v>
      </c>
      <c r="Y82" s="254">
        <v>0</v>
      </c>
      <c r="Z82" s="254">
        <v>11056.587500000003</v>
      </c>
      <c r="AA82" s="254">
        <v>0</v>
      </c>
      <c r="AB82" s="254">
        <v>14914.071759259248</v>
      </c>
      <c r="AC82" s="254">
        <v>0</v>
      </c>
      <c r="AD82" s="254">
        <v>11984.997395833325</v>
      </c>
      <c r="AE82" s="254">
        <v>0</v>
      </c>
      <c r="AF82" s="254">
        <v>33266.254807692283</v>
      </c>
      <c r="AG82" s="254">
        <v>0</v>
      </c>
      <c r="AH82" s="254">
        <v>39796.662499999984</v>
      </c>
      <c r="AI82" s="254">
        <v>0</v>
      </c>
      <c r="AJ82" s="254">
        <v>13617.281249999976</v>
      </c>
      <c r="AK82" s="254">
        <v>0</v>
      </c>
      <c r="AL82" s="254">
        <v>28026.178240740734</v>
      </c>
      <c r="AM82" s="254">
        <v>0</v>
      </c>
      <c r="AN82" s="254">
        <v>22486.120192307673</v>
      </c>
      <c r="AO82" s="254">
        <v>0</v>
      </c>
      <c r="AP82" s="254">
        <v>14728.89750000001</v>
      </c>
      <c r="AQ82" s="254">
        <v>0</v>
      </c>
      <c r="AR82" s="254">
        <v>7265.5576923077024</v>
      </c>
      <c r="AS82" s="254">
        <v>0</v>
      </c>
      <c r="AT82" s="254">
        <v>9878.319711538461</v>
      </c>
      <c r="AU82" s="254">
        <v>0</v>
      </c>
      <c r="AV82" s="254">
        <v>5164.0096153846125</v>
      </c>
      <c r="AW82" s="254">
        <v>0</v>
      </c>
      <c r="AX82" s="254">
        <v>11431.919999999987</v>
      </c>
      <c r="AY82" s="254">
        <v>0</v>
      </c>
    </row>
    <row r="83" spans="2:51">
      <c r="B83" s="244">
        <v>10246</v>
      </c>
      <c r="C83" s="244" t="s">
        <v>86</v>
      </c>
      <c r="D83" s="254">
        <v>742.90740740740807</v>
      </c>
      <c r="E83" s="254">
        <v>0</v>
      </c>
      <c r="F83" s="254">
        <v>838.44250000000193</v>
      </c>
      <c r="G83" s="254">
        <v>0</v>
      </c>
      <c r="H83" s="254">
        <v>2466.0174999999981</v>
      </c>
      <c r="I83" s="254">
        <v>0</v>
      </c>
      <c r="J83" s="254">
        <v>3285.4134615384605</v>
      </c>
      <c r="K83" s="254">
        <v>0</v>
      </c>
      <c r="L83" s="254">
        <v>2465.1600000000008</v>
      </c>
      <c r="M83" s="254">
        <v>0</v>
      </c>
      <c r="N83" s="254">
        <v>2604.9350961538462</v>
      </c>
      <c r="O83" s="254">
        <v>0</v>
      </c>
      <c r="P83" s="254">
        <v>2141.1033653846157</v>
      </c>
      <c r="Q83" s="254">
        <v>0</v>
      </c>
      <c r="R83" s="254">
        <v>1372.5300000000011</v>
      </c>
      <c r="S83" s="254">
        <v>0</v>
      </c>
      <c r="T83" s="254">
        <v>2067.3245192307695</v>
      </c>
      <c r="U83" s="254">
        <v>0</v>
      </c>
      <c r="V83" s="254">
        <v>1688.5096153846157</v>
      </c>
      <c r="W83" s="254">
        <v>0</v>
      </c>
      <c r="X83" s="254">
        <v>1697.6466346153857</v>
      </c>
      <c r="Y83" s="254">
        <v>0</v>
      </c>
      <c r="Z83" s="254">
        <v>1174.6225000000004</v>
      </c>
      <c r="AA83" s="254">
        <v>0</v>
      </c>
      <c r="AB83" s="254">
        <v>775.08564814814736</v>
      </c>
      <c r="AC83" s="254">
        <v>0</v>
      </c>
      <c r="AD83" s="254">
        <v>366.63802083333064</v>
      </c>
      <c r="AE83" s="254">
        <v>0</v>
      </c>
      <c r="AF83" s="254">
        <v>3065.3846153846148</v>
      </c>
      <c r="AG83" s="254">
        <v>0</v>
      </c>
      <c r="AH83" s="254">
        <v>2763.2899999999991</v>
      </c>
      <c r="AI83" s="254">
        <v>0</v>
      </c>
      <c r="AJ83" s="254">
        <v>1974.4296875000007</v>
      </c>
      <c r="AK83" s="254">
        <v>0</v>
      </c>
      <c r="AL83" s="254">
        <v>3048.57175925926</v>
      </c>
      <c r="AM83" s="254">
        <v>0</v>
      </c>
      <c r="AN83" s="254">
        <v>2569.6610576923072</v>
      </c>
      <c r="AO83" s="254">
        <v>0</v>
      </c>
      <c r="AP83" s="254">
        <v>1091.9749999999997</v>
      </c>
      <c r="AQ83" s="254">
        <v>0</v>
      </c>
      <c r="AR83" s="254">
        <v>2093.7716346153843</v>
      </c>
      <c r="AS83" s="254">
        <v>0</v>
      </c>
      <c r="AT83" s="254">
        <v>1718.4254807692321</v>
      </c>
      <c r="AU83" s="254">
        <v>0</v>
      </c>
      <c r="AV83" s="254">
        <v>1723.1899038461529</v>
      </c>
      <c r="AW83" s="254">
        <v>0</v>
      </c>
      <c r="AX83" s="254">
        <v>1200.9000000000012</v>
      </c>
      <c r="AY83" s="254">
        <v>0</v>
      </c>
    </row>
    <row r="84" spans="2:51">
      <c r="B84" s="244">
        <v>10247</v>
      </c>
      <c r="C84" s="244" t="s">
        <v>87</v>
      </c>
      <c r="D84" s="254">
        <v>0</v>
      </c>
      <c r="E84" s="254">
        <v>0</v>
      </c>
      <c r="F84" s="254">
        <v>2140.0400000000132</v>
      </c>
      <c r="G84" s="254">
        <v>0</v>
      </c>
      <c r="H84" s="254">
        <v>15705.852499999977</v>
      </c>
      <c r="I84" s="254">
        <v>0</v>
      </c>
      <c r="J84" s="254">
        <v>18571.848557692301</v>
      </c>
      <c r="K84" s="254">
        <v>0</v>
      </c>
      <c r="L84" s="254">
        <v>18655.669999999991</v>
      </c>
      <c r="M84" s="254">
        <v>0</v>
      </c>
      <c r="N84" s="254">
        <v>16369.475961538463</v>
      </c>
      <c r="O84" s="254">
        <v>0</v>
      </c>
      <c r="P84" s="254">
        <v>11704.867788461548</v>
      </c>
      <c r="Q84" s="254">
        <v>0</v>
      </c>
      <c r="R84" s="254">
        <v>0</v>
      </c>
      <c r="S84" s="254">
        <v>0</v>
      </c>
      <c r="T84" s="254">
        <v>6079.9951923076787</v>
      </c>
      <c r="U84" s="254">
        <v>0</v>
      </c>
      <c r="V84" s="254">
        <v>14353.504807692301</v>
      </c>
      <c r="W84" s="254">
        <v>0</v>
      </c>
      <c r="X84" s="254">
        <v>19218.670673076922</v>
      </c>
      <c r="Y84" s="254">
        <v>0</v>
      </c>
      <c r="Z84" s="254">
        <v>213.61500000000078</v>
      </c>
      <c r="AA84" s="254">
        <v>0</v>
      </c>
      <c r="AB84" s="254">
        <v>0</v>
      </c>
      <c r="AC84" s="254">
        <v>0</v>
      </c>
      <c r="AD84" s="254">
        <v>0</v>
      </c>
      <c r="AE84" s="254">
        <v>0</v>
      </c>
      <c r="AF84" s="254">
        <v>20374.367788461539</v>
      </c>
      <c r="AG84" s="254">
        <v>0</v>
      </c>
      <c r="AH84" s="254">
        <v>13894.092499999981</v>
      </c>
      <c r="AI84" s="254">
        <v>0</v>
      </c>
      <c r="AJ84" s="254">
        <v>14275.08072916665</v>
      </c>
      <c r="AK84" s="254">
        <v>0</v>
      </c>
      <c r="AL84" s="254">
        <v>19949.423611111109</v>
      </c>
      <c r="AM84" s="254">
        <v>0</v>
      </c>
      <c r="AN84" s="254">
        <v>11729.39903846153</v>
      </c>
      <c r="AO84" s="254">
        <v>0</v>
      </c>
      <c r="AP84" s="254">
        <v>0</v>
      </c>
      <c r="AQ84" s="254">
        <v>0</v>
      </c>
      <c r="AR84" s="254">
        <v>6099.264423076932</v>
      </c>
      <c r="AS84" s="254">
        <v>0</v>
      </c>
      <c r="AT84" s="254">
        <v>14427.182692307693</v>
      </c>
      <c r="AU84" s="254">
        <v>0</v>
      </c>
      <c r="AV84" s="254">
        <v>19296.968749999996</v>
      </c>
      <c r="AW84" s="254">
        <v>0</v>
      </c>
      <c r="AX84" s="254">
        <v>206.23499999998884</v>
      </c>
      <c r="AY84" s="254">
        <v>0</v>
      </c>
    </row>
    <row r="85" spans="2:51">
      <c r="B85" s="244">
        <v>10256</v>
      </c>
      <c r="C85" s="244" t="s">
        <v>88</v>
      </c>
      <c r="D85" s="254">
        <v>10012.740740740732</v>
      </c>
      <c r="E85" s="254">
        <v>0</v>
      </c>
      <c r="F85" s="254">
        <v>8585.7150000000001</v>
      </c>
      <c r="G85" s="254">
        <v>0</v>
      </c>
      <c r="H85" s="254">
        <v>19185.727500000012</v>
      </c>
      <c r="I85" s="254">
        <v>0</v>
      </c>
      <c r="J85" s="254">
        <v>16057.317307692309</v>
      </c>
      <c r="K85" s="254">
        <v>0</v>
      </c>
      <c r="L85" s="254">
        <v>12309.392499999991</v>
      </c>
      <c r="M85" s="254">
        <v>0</v>
      </c>
      <c r="N85" s="254">
        <v>10320.74519230769</v>
      </c>
      <c r="O85" s="254">
        <v>0</v>
      </c>
      <c r="P85" s="254">
        <v>10645.286057692318</v>
      </c>
      <c r="Q85" s="254">
        <v>0</v>
      </c>
      <c r="R85" s="254">
        <v>5666.4424999999983</v>
      </c>
      <c r="S85" s="254">
        <v>0</v>
      </c>
      <c r="T85" s="254">
        <v>8750.5168269230708</v>
      </c>
      <c r="U85" s="254">
        <v>0</v>
      </c>
      <c r="V85" s="254">
        <v>10279.161057692307</v>
      </c>
      <c r="W85" s="254">
        <v>0</v>
      </c>
      <c r="X85" s="254">
        <v>7644.7475961538457</v>
      </c>
      <c r="Y85" s="254">
        <v>0</v>
      </c>
      <c r="Z85" s="254">
        <v>7674.4249999999902</v>
      </c>
      <c r="AA85" s="254">
        <v>0</v>
      </c>
      <c r="AB85" s="254">
        <v>10384.606481481476</v>
      </c>
      <c r="AC85" s="254">
        <v>0</v>
      </c>
      <c r="AD85" s="254">
        <v>6593.6796875000073</v>
      </c>
      <c r="AE85" s="254">
        <v>0</v>
      </c>
      <c r="AF85" s="254">
        <v>22152.016826923074</v>
      </c>
      <c r="AG85" s="254">
        <v>0</v>
      </c>
      <c r="AH85" s="254">
        <v>13867.257500000009</v>
      </c>
      <c r="AI85" s="254">
        <v>0</v>
      </c>
      <c r="AJ85" s="254">
        <v>10268.580729166675</v>
      </c>
      <c r="AK85" s="254">
        <v>0</v>
      </c>
      <c r="AL85" s="254">
        <v>12609.759259259255</v>
      </c>
      <c r="AM85" s="254">
        <v>0</v>
      </c>
      <c r="AN85" s="254">
        <v>10986.723557692309</v>
      </c>
      <c r="AO85" s="254">
        <v>0</v>
      </c>
      <c r="AP85" s="254">
        <v>5827.9375000000082</v>
      </c>
      <c r="AQ85" s="254">
        <v>0</v>
      </c>
      <c r="AR85" s="254">
        <v>8924.7163461538548</v>
      </c>
      <c r="AS85" s="254">
        <v>0</v>
      </c>
      <c r="AT85" s="254">
        <v>10449.685096153849</v>
      </c>
      <c r="AU85" s="254">
        <v>0</v>
      </c>
      <c r="AV85" s="254">
        <v>7768.4014423076887</v>
      </c>
      <c r="AW85" s="254">
        <v>0</v>
      </c>
      <c r="AX85" s="254">
        <v>7935.0900000000011</v>
      </c>
      <c r="AY85" s="254">
        <v>0</v>
      </c>
    </row>
    <row r="86" spans="2:51">
      <c r="B86" s="244">
        <v>10258</v>
      </c>
      <c r="C86" s="244" t="s">
        <v>89</v>
      </c>
      <c r="D86" s="254">
        <v>5200.7291666666706</v>
      </c>
      <c r="E86" s="254">
        <v>0</v>
      </c>
      <c r="F86" s="254">
        <v>5612.3799999999947</v>
      </c>
      <c r="G86" s="254">
        <v>0</v>
      </c>
      <c r="H86" s="254">
        <v>10286.760000000013</v>
      </c>
      <c r="I86" s="254">
        <v>0</v>
      </c>
      <c r="J86" s="254">
        <v>12548.459134615388</v>
      </c>
      <c r="K86" s="254">
        <v>0</v>
      </c>
      <c r="L86" s="254">
        <v>12333.829999999998</v>
      </c>
      <c r="M86" s="254">
        <v>0</v>
      </c>
      <c r="N86" s="254">
        <v>6163.5721153846125</v>
      </c>
      <c r="O86" s="254">
        <v>0</v>
      </c>
      <c r="P86" s="254">
        <v>10116.038461538452</v>
      </c>
      <c r="Q86" s="254">
        <v>0</v>
      </c>
      <c r="R86" s="254">
        <v>0</v>
      </c>
      <c r="S86" s="254">
        <v>0</v>
      </c>
      <c r="T86" s="254">
        <v>5971.6634615384537</v>
      </c>
      <c r="U86" s="254">
        <v>0</v>
      </c>
      <c r="V86" s="254">
        <v>8826.0504807692359</v>
      </c>
      <c r="W86" s="254">
        <v>0</v>
      </c>
      <c r="X86" s="254">
        <v>4540.8221153846143</v>
      </c>
      <c r="Y86" s="254">
        <v>0</v>
      </c>
      <c r="Z86" s="254">
        <v>5355.7899999999936</v>
      </c>
      <c r="AA86" s="254">
        <v>0</v>
      </c>
      <c r="AB86" s="254">
        <v>5381.3171296296232</v>
      </c>
      <c r="AC86" s="254">
        <v>0</v>
      </c>
      <c r="AD86" s="254">
        <v>3704.239583333333</v>
      </c>
      <c r="AE86" s="254">
        <v>0</v>
      </c>
      <c r="AF86" s="254">
        <v>13220.927884615376</v>
      </c>
      <c r="AG86" s="254">
        <v>0</v>
      </c>
      <c r="AH86" s="254">
        <v>9866.2375000000011</v>
      </c>
      <c r="AI86" s="254">
        <v>0</v>
      </c>
      <c r="AJ86" s="254">
        <v>10242.802083333338</v>
      </c>
      <c r="AK86" s="254">
        <v>0</v>
      </c>
      <c r="AL86" s="254">
        <v>8281.4189814814745</v>
      </c>
      <c r="AM86" s="254">
        <v>0</v>
      </c>
      <c r="AN86" s="254">
        <v>10333.954326923071</v>
      </c>
      <c r="AO86" s="254">
        <v>0</v>
      </c>
      <c r="AP86" s="254">
        <v>85.390000000007404</v>
      </c>
      <c r="AQ86" s="254">
        <v>0</v>
      </c>
      <c r="AR86" s="254">
        <v>6098.0793269230762</v>
      </c>
      <c r="AS86" s="254">
        <v>0</v>
      </c>
      <c r="AT86" s="254">
        <v>8940.4350961538439</v>
      </c>
      <c r="AU86" s="254">
        <v>0</v>
      </c>
      <c r="AV86" s="254">
        <v>4632.3509615384637</v>
      </c>
      <c r="AW86" s="254">
        <v>0</v>
      </c>
      <c r="AX86" s="254">
        <v>5482.1825000000026</v>
      </c>
      <c r="AY86" s="254">
        <v>0</v>
      </c>
    </row>
    <row r="87" spans="2:51">
      <c r="B87" s="244">
        <v>10259</v>
      </c>
      <c r="C87" s="244" t="s">
        <v>90</v>
      </c>
      <c r="D87" s="254">
        <v>2328.8472222222244</v>
      </c>
      <c r="E87" s="254">
        <v>0</v>
      </c>
      <c r="F87" s="254">
        <v>3257.4450000000006</v>
      </c>
      <c r="G87" s="254">
        <v>0</v>
      </c>
      <c r="H87" s="254">
        <v>1863.627499999998</v>
      </c>
      <c r="I87" s="254">
        <v>0</v>
      </c>
      <c r="J87" s="254">
        <v>4251.9735576923067</v>
      </c>
      <c r="K87" s="254">
        <v>0</v>
      </c>
      <c r="L87" s="254">
        <v>4282.4774999999945</v>
      </c>
      <c r="M87" s="254">
        <v>0</v>
      </c>
      <c r="N87" s="254">
        <v>4001.5288461538426</v>
      </c>
      <c r="O87" s="254">
        <v>0</v>
      </c>
      <c r="P87" s="254">
        <v>6467.8413461538403</v>
      </c>
      <c r="Q87" s="254">
        <v>0</v>
      </c>
      <c r="R87" s="254">
        <v>3679.9749999999981</v>
      </c>
      <c r="S87" s="254">
        <v>0</v>
      </c>
      <c r="T87" s="254">
        <v>5029.5072115384601</v>
      </c>
      <c r="U87" s="254">
        <v>0</v>
      </c>
      <c r="V87" s="254">
        <v>6496.1394230769201</v>
      </c>
      <c r="W87" s="254">
        <v>0</v>
      </c>
      <c r="X87" s="254">
        <v>4492.3100961538403</v>
      </c>
      <c r="Y87" s="254">
        <v>0</v>
      </c>
      <c r="Z87" s="254">
        <v>4839.427499999998</v>
      </c>
      <c r="AA87" s="254">
        <v>0</v>
      </c>
      <c r="AB87" s="254">
        <v>2458.7847222222213</v>
      </c>
      <c r="AC87" s="254">
        <v>0</v>
      </c>
      <c r="AD87" s="254">
        <v>2023.2682291666642</v>
      </c>
      <c r="AE87" s="254">
        <v>0</v>
      </c>
      <c r="AF87" s="254">
        <v>3583.8798076923035</v>
      </c>
      <c r="AG87" s="254">
        <v>0</v>
      </c>
      <c r="AH87" s="254">
        <v>2735.0800000000008</v>
      </c>
      <c r="AI87" s="254">
        <v>0</v>
      </c>
      <c r="AJ87" s="254">
        <v>3035.7526041666629</v>
      </c>
      <c r="AK87" s="254">
        <v>0</v>
      </c>
      <c r="AL87" s="254">
        <v>5370.1296296296268</v>
      </c>
      <c r="AM87" s="254">
        <v>0</v>
      </c>
      <c r="AN87" s="254">
        <v>6636.9591346153893</v>
      </c>
      <c r="AO87" s="254">
        <v>0</v>
      </c>
      <c r="AP87" s="254">
        <v>3794.1699999999969</v>
      </c>
      <c r="AQ87" s="254">
        <v>0</v>
      </c>
      <c r="AR87" s="254">
        <v>5155.6586538461588</v>
      </c>
      <c r="AS87" s="254">
        <v>0</v>
      </c>
      <c r="AT87" s="254">
        <v>6625.7980769230735</v>
      </c>
      <c r="AU87" s="254">
        <v>0</v>
      </c>
      <c r="AV87" s="254">
        <v>4606.3798076923104</v>
      </c>
      <c r="AW87" s="254">
        <v>0</v>
      </c>
      <c r="AX87" s="254">
        <v>4956.5624999999991</v>
      </c>
      <c r="AY87" s="254">
        <v>0</v>
      </c>
    </row>
    <row r="88" spans="2:51">
      <c r="B88" s="244">
        <v>10260</v>
      </c>
      <c r="C88" s="244" t="s">
        <v>91</v>
      </c>
      <c r="D88" s="254">
        <v>4063.1018518518526</v>
      </c>
      <c r="E88" s="254">
        <v>0</v>
      </c>
      <c r="F88" s="254">
        <v>5124.427499999998</v>
      </c>
      <c r="G88" s="254">
        <v>0</v>
      </c>
      <c r="H88" s="254">
        <v>6143.827500000004</v>
      </c>
      <c r="I88" s="254">
        <v>0</v>
      </c>
      <c r="J88" s="254">
        <v>5168.8197115384592</v>
      </c>
      <c r="K88" s="254">
        <v>0</v>
      </c>
      <c r="L88" s="254">
        <v>5301.4000000000024</v>
      </c>
      <c r="M88" s="254">
        <v>0</v>
      </c>
      <c r="N88" s="254">
        <v>3030.7500000000014</v>
      </c>
      <c r="O88" s="254">
        <v>0</v>
      </c>
      <c r="P88" s="254">
        <v>4092.9831730769256</v>
      </c>
      <c r="Q88" s="254">
        <v>0</v>
      </c>
      <c r="R88" s="254">
        <v>2776.2649999999999</v>
      </c>
      <c r="S88" s="254">
        <v>0</v>
      </c>
      <c r="T88" s="254">
        <v>4173.1418269230799</v>
      </c>
      <c r="U88" s="254">
        <v>0</v>
      </c>
      <c r="V88" s="254">
        <v>5671.5168269230726</v>
      </c>
      <c r="W88" s="254">
        <v>0</v>
      </c>
      <c r="X88" s="254">
        <v>3822.6778846153798</v>
      </c>
      <c r="Y88" s="254">
        <v>0</v>
      </c>
      <c r="Z88" s="254">
        <v>5636.8874999999998</v>
      </c>
      <c r="AA88" s="254">
        <v>0</v>
      </c>
      <c r="AB88" s="254">
        <v>4091.4374999999995</v>
      </c>
      <c r="AC88" s="254">
        <v>0</v>
      </c>
      <c r="AD88" s="254">
        <v>3986.8229166666661</v>
      </c>
      <c r="AE88" s="254">
        <v>0</v>
      </c>
      <c r="AF88" s="254">
        <v>7541.3846153846116</v>
      </c>
      <c r="AG88" s="254">
        <v>0</v>
      </c>
      <c r="AH88" s="254">
        <v>3772.0424999999959</v>
      </c>
      <c r="AI88" s="254">
        <v>0</v>
      </c>
      <c r="AJ88" s="254">
        <v>4021.3749999999973</v>
      </c>
      <c r="AK88" s="254">
        <v>0</v>
      </c>
      <c r="AL88" s="254">
        <v>4176.7546296296277</v>
      </c>
      <c r="AM88" s="254">
        <v>0</v>
      </c>
      <c r="AN88" s="254">
        <v>4116.2067307692269</v>
      </c>
      <c r="AO88" s="254">
        <v>0</v>
      </c>
      <c r="AP88" s="254">
        <v>2798.3950000000004</v>
      </c>
      <c r="AQ88" s="254">
        <v>0</v>
      </c>
      <c r="AR88" s="254">
        <v>4218.1081730769256</v>
      </c>
      <c r="AS88" s="254">
        <v>0</v>
      </c>
      <c r="AT88" s="254">
        <v>5717.7451923076942</v>
      </c>
      <c r="AU88" s="254">
        <v>0</v>
      </c>
      <c r="AV88" s="254">
        <v>3862.0096153846212</v>
      </c>
      <c r="AW88" s="254">
        <v>0</v>
      </c>
      <c r="AX88" s="254">
        <v>5674.9974999999959</v>
      </c>
      <c r="AY88" s="254">
        <v>0</v>
      </c>
    </row>
    <row r="89" spans="2:51">
      <c r="B89" s="244">
        <v>10273</v>
      </c>
      <c r="C89" s="244" t="s">
        <v>92</v>
      </c>
      <c r="D89" s="254">
        <v>3415.875</v>
      </c>
      <c r="E89" s="254">
        <v>0</v>
      </c>
      <c r="F89" s="254">
        <v>555.51500000000067</v>
      </c>
      <c r="G89" s="254">
        <v>0</v>
      </c>
      <c r="H89" s="254">
        <v>1675.0649999999991</v>
      </c>
      <c r="I89" s="254">
        <v>0</v>
      </c>
      <c r="J89" s="254">
        <v>1734.8052884615397</v>
      </c>
      <c r="K89" s="254">
        <v>0</v>
      </c>
      <c r="L89" s="254">
        <v>1393.2199999999993</v>
      </c>
      <c r="M89" s="254">
        <v>0</v>
      </c>
      <c r="N89" s="254">
        <v>1611.0360576923081</v>
      </c>
      <c r="O89" s="254">
        <v>0</v>
      </c>
      <c r="P89" s="254">
        <v>1486.7451923076924</v>
      </c>
      <c r="Q89" s="254">
        <v>0</v>
      </c>
      <c r="R89" s="254">
        <v>1232.0750000000019</v>
      </c>
      <c r="S89" s="254">
        <v>0</v>
      </c>
      <c r="T89" s="254">
        <v>2554.6105769230776</v>
      </c>
      <c r="U89" s="254">
        <v>0</v>
      </c>
      <c r="V89" s="254">
        <v>2138.1225961538453</v>
      </c>
      <c r="W89" s="254">
        <v>0</v>
      </c>
      <c r="X89" s="254">
        <v>2657.1081730769238</v>
      </c>
      <c r="Y89" s="254">
        <v>0</v>
      </c>
      <c r="Z89" s="254">
        <v>3646.69</v>
      </c>
      <c r="AA89" s="254">
        <v>0</v>
      </c>
      <c r="AB89" s="254">
        <v>4077.0787037037053</v>
      </c>
      <c r="AC89" s="254">
        <v>0</v>
      </c>
      <c r="AD89" s="254">
        <v>362.5468749999996</v>
      </c>
      <c r="AE89" s="254">
        <v>0</v>
      </c>
      <c r="AF89" s="254">
        <v>2012.7115384615388</v>
      </c>
      <c r="AG89" s="254">
        <v>0</v>
      </c>
      <c r="AH89" s="254">
        <v>1490.9474999999998</v>
      </c>
      <c r="AI89" s="254">
        <v>0</v>
      </c>
      <c r="AJ89" s="254">
        <v>1189.3984375000005</v>
      </c>
      <c r="AK89" s="254">
        <v>0</v>
      </c>
      <c r="AL89" s="254">
        <v>1865.2962962962949</v>
      </c>
      <c r="AM89" s="254">
        <v>0</v>
      </c>
      <c r="AN89" s="254">
        <v>2120.5985576923076</v>
      </c>
      <c r="AO89" s="254">
        <v>0</v>
      </c>
      <c r="AP89" s="254">
        <v>1523.182499999999</v>
      </c>
      <c r="AQ89" s="254">
        <v>0</v>
      </c>
      <c r="AR89" s="254">
        <v>2841.8557692307695</v>
      </c>
      <c r="AS89" s="254">
        <v>0</v>
      </c>
      <c r="AT89" s="254">
        <v>2308.2764423076956</v>
      </c>
      <c r="AU89" s="254">
        <v>0</v>
      </c>
      <c r="AV89" s="254">
        <v>2932.0456730769224</v>
      </c>
      <c r="AW89" s="254">
        <v>0</v>
      </c>
      <c r="AX89" s="254">
        <v>4135.6724999999969</v>
      </c>
      <c r="AY89" s="254">
        <v>0</v>
      </c>
    </row>
    <row r="90" spans="2:51">
      <c r="B90" s="244">
        <v>10278</v>
      </c>
      <c r="C90" s="244" t="s">
        <v>93</v>
      </c>
      <c r="D90" s="254">
        <v>0</v>
      </c>
      <c r="E90" s="254">
        <v>0</v>
      </c>
      <c r="F90" s="254">
        <v>0</v>
      </c>
      <c r="G90" s="254">
        <v>0</v>
      </c>
      <c r="H90" s="254">
        <v>0</v>
      </c>
      <c r="I90" s="254">
        <v>0</v>
      </c>
      <c r="J90" s="254">
        <v>0</v>
      </c>
      <c r="K90" s="254">
        <v>0</v>
      </c>
      <c r="L90" s="254">
        <v>0</v>
      </c>
      <c r="M90" s="254">
        <v>0</v>
      </c>
      <c r="N90" s="254">
        <v>0</v>
      </c>
      <c r="O90" s="254">
        <v>0</v>
      </c>
      <c r="P90" s="254">
        <v>0</v>
      </c>
      <c r="Q90" s="254">
        <v>0</v>
      </c>
      <c r="R90" s="254">
        <v>0</v>
      </c>
      <c r="S90" s="254">
        <v>0</v>
      </c>
      <c r="T90" s="254">
        <v>0</v>
      </c>
      <c r="U90" s="254">
        <v>0</v>
      </c>
      <c r="V90" s="254">
        <v>0</v>
      </c>
      <c r="W90" s="254">
        <v>0</v>
      </c>
      <c r="X90" s="254">
        <v>0</v>
      </c>
      <c r="Y90" s="254">
        <v>0</v>
      </c>
      <c r="Z90" s="254">
        <v>0</v>
      </c>
      <c r="AA90" s="254">
        <v>0</v>
      </c>
      <c r="AB90" s="254">
        <v>0</v>
      </c>
      <c r="AC90" s="254">
        <v>0</v>
      </c>
      <c r="AD90" s="254">
        <v>0</v>
      </c>
      <c r="AE90" s="254">
        <v>0</v>
      </c>
      <c r="AF90" s="254">
        <v>0</v>
      </c>
      <c r="AG90" s="254">
        <v>0</v>
      </c>
      <c r="AH90" s="254">
        <v>0</v>
      </c>
      <c r="AI90" s="254">
        <v>0</v>
      </c>
      <c r="AJ90" s="254">
        <v>0</v>
      </c>
      <c r="AK90" s="254">
        <v>0</v>
      </c>
      <c r="AL90" s="254">
        <v>0</v>
      </c>
      <c r="AM90" s="254">
        <v>0</v>
      </c>
      <c r="AN90" s="254">
        <v>0</v>
      </c>
      <c r="AO90" s="254">
        <v>0</v>
      </c>
      <c r="AP90" s="254">
        <v>0</v>
      </c>
      <c r="AQ90" s="254">
        <v>0</v>
      </c>
      <c r="AR90" s="254">
        <v>0</v>
      </c>
      <c r="AS90" s="254">
        <v>0</v>
      </c>
      <c r="AT90" s="254">
        <v>0</v>
      </c>
      <c r="AU90" s="254">
        <v>0</v>
      </c>
      <c r="AV90" s="254">
        <v>0</v>
      </c>
      <c r="AW90" s="254">
        <v>0</v>
      </c>
      <c r="AX90" s="254">
        <v>0</v>
      </c>
      <c r="AY90" s="254">
        <v>0</v>
      </c>
    </row>
    <row r="91" spans="2:51">
      <c r="B91" s="244">
        <v>10279</v>
      </c>
      <c r="C91" s="244" t="s">
        <v>94</v>
      </c>
      <c r="D91" s="254">
        <v>0</v>
      </c>
      <c r="E91" s="254">
        <v>0</v>
      </c>
      <c r="F91" s="254">
        <v>0</v>
      </c>
      <c r="G91" s="254">
        <v>0</v>
      </c>
      <c r="H91" s="254">
        <v>0</v>
      </c>
      <c r="I91" s="254">
        <v>0</v>
      </c>
      <c r="J91" s="254">
        <v>0</v>
      </c>
      <c r="K91" s="254">
        <v>0</v>
      </c>
      <c r="L91" s="254">
        <v>0</v>
      </c>
      <c r="M91" s="254">
        <v>0</v>
      </c>
      <c r="N91" s="254">
        <v>0</v>
      </c>
      <c r="O91" s="254">
        <v>0</v>
      </c>
      <c r="P91" s="254">
        <v>0</v>
      </c>
      <c r="Q91" s="254">
        <v>0</v>
      </c>
      <c r="R91" s="254">
        <v>0</v>
      </c>
      <c r="S91" s="254">
        <v>0</v>
      </c>
      <c r="T91" s="254">
        <v>0</v>
      </c>
      <c r="U91" s="254">
        <v>0</v>
      </c>
      <c r="V91" s="254">
        <v>0</v>
      </c>
      <c r="W91" s="254">
        <v>0</v>
      </c>
      <c r="X91" s="254">
        <v>0</v>
      </c>
      <c r="Y91" s="254">
        <v>0</v>
      </c>
      <c r="Z91" s="254">
        <v>0</v>
      </c>
      <c r="AA91" s="254">
        <v>0</v>
      </c>
      <c r="AB91" s="254">
        <v>0</v>
      </c>
      <c r="AC91" s="254">
        <v>0</v>
      </c>
      <c r="AD91" s="254">
        <v>0</v>
      </c>
      <c r="AE91" s="254">
        <v>0</v>
      </c>
      <c r="AF91" s="254">
        <v>0</v>
      </c>
      <c r="AG91" s="254">
        <v>0</v>
      </c>
      <c r="AH91" s="254">
        <v>0</v>
      </c>
      <c r="AI91" s="254">
        <v>0</v>
      </c>
      <c r="AJ91" s="254">
        <v>0</v>
      </c>
      <c r="AK91" s="254">
        <v>0</v>
      </c>
      <c r="AL91" s="254">
        <v>0</v>
      </c>
      <c r="AM91" s="254">
        <v>0</v>
      </c>
      <c r="AN91" s="254">
        <v>0</v>
      </c>
      <c r="AO91" s="254">
        <v>0</v>
      </c>
      <c r="AP91" s="254">
        <v>0</v>
      </c>
      <c r="AQ91" s="254">
        <v>0</v>
      </c>
      <c r="AR91" s="254">
        <v>0</v>
      </c>
      <c r="AS91" s="254">
        <v>0</v>
      </c>
      <c r="AT91" s="254">
        <v>0</v>
      </c>
      <c r="AU91" s="254">
        <v>0</v>
      </c>
      <c r="AV91" s="254">
        <v>0</v>
      </c>
      <c r="AW91" s="254">
        <v>0</v>
      </c>
      <c r="AX91" s="254">
        <v>0</v>
      </c>
      <c r="AY91" s="254">
        <v>0</v>
      </c>
    </row>
    <row r="92" spans="2:51">
      <c r="B92" s="244">
        <v>10284</v>
      </c>
      <c r="C92" s="244" t="s">
        <v>95</v>
      </c>
      <c r="D92" s="254">
        <v>1861.9722222222235</v>
      </c>
      <c r="E92" s="254">
        <v>0</v>
      </c>
      <c r="F92" s="254">
        <v>1369.1000000000004</v>
      </c>
      <c r="G92" s="254">
        <v>0</v>
      </c>
      <c r="H92" s="254">
        <v>2708.8924999999986</v>
      </c>
      <c r="I92" s="254">
        <v>0</v>
      </c>
      <c r="J92" s="254">
        <v>3982.3750000000027</v>
      </c>
      <c r="K92" s="254">
        <v>0</v>
      </c>
      <c r="L92" s="254">
        <v>2061.837500000001</v>
      </c>
      <c r="M92" s="254">
        <v>0</v>
      </c>
      <c r="N92" s="254">
        <v>1230.1105769230762</v>
      </c>
      <c r="O92" s="254">
        <v>0</v>
      </c>
      <c r="P92" s="254">
        <v>1708.483173076922</v>
      </c>
      <c r="Q92" s="254">
        <v>0</v>
      </c>
      <c r="R92" s="254">
        <v>0</v>
      </c>
      <c r="S92" s="254">
        <v>0</v>
      </c>
      <c r="T92" s="254">
        <v>1881.5048076923069</v>
      </c>
      <c r="U92" s="254">
        <v>0</v>
      </c>
      <c r="V92" s="254">
        <v>2153.807692307691</v>
      </c>
      <c r="W92" s="254">
        <v>0</v>
      </c>
      <c r="X92" s="254">
        <v>2427.2187499999991</v>
      </c>
      <c r="Y92" s="254">
        <v>0</v>
      </c>
      <c r="Z92" s="254">
        <v>932.71249999999964</v>
      </c>
      <c r="AA92" s="254">
        <v>0</v>
      </c>
      <c r="AB92" s="254">
        <v>1923.8587962962984</v>
      </c>
      <c r="AC92" s="254">
        <v>0</v>
      </c>
      <c r="AD92" s="254">
        <v>871.34895833333474</v>
      </c>
      <c r="AE92" s="254">
        <v>0</v>
      </c>
      <c r="AF92" s="254">
        <v>3404.2500000000018</v>
      </c>
      <c r="AG92" s="254">
        <v>0</v>
      </c>
      <c r="AH92" s="254">
        <v>3378.137500000003</v>
      </c>
      <c r="AI92" s="254">
        <v>0</v>
      </c>
      <c r="AJ92" s="254">
        <v>1522.8281249999984</v>
      </c>
      <c r="AK92" s="254">
        <v>0</v>
      </c>
      <c r="AL92" s="254">
        <v>1743.5439814814818</v>
      </c>
      <c r="AM92" s="254">
        <v>0</v>
      </c>
      <c r="AN92" s="254">
        <v>2224.060096153848</v>
      </c>
      <c r="AO92" s="254">
        <v>0</v>
      </c>
      <c r="AP92" s="254">
        <v>0</v>
      </c>
      <c r="AQ92" s="254">
        <v>0</v>
      </c>
      <c r="AR92" s="254">
        <v>1900.6514423076922</v>
      </c>
      <c r="AS92" s="254">
        <v>0</v>
      </c>
      <c r="AT92" s="254">
        <v>2170.5432692307691</v>
      </c>
      <c r="AU92" s="254">
        <v>0</v>
      </c>
      <c r="AV92" s="254">
        <v>2440.1201923076915</v>
      </c>
      <c r="AW92" s="254">
        <v>0</v>
      </c>
      <c r="AX92" s="254">
        <v>944.19499999999925</v>
      </c>
      <c r="AY92" s="254">
        <v>0</v>
      </c>
    </row>
    <row r="93" spans="2:51">
      <c r="B93" s="244">
        <v>10285</v>
      </c>
      <c r="C93" s="244" t="s">
        <v>96</v>
      </c>
      <c r="D93" s="254">
        <v>0</v>
      </c>
      <c r="E93" s="254">
        <v>0</v>
      </c>
      <c r="F93" s="254">
        <v>0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0</v>
      </c>
      <c r="P93" s="254">
        <v>0</v>
      </c>
      <c r="Q93" s="254">
        <v>0</v>
      </c>
      <c r="R93" s="254">
        <v>0</v>
      </c>
      <c r="S93" s="254">
        <v>0</v>
      </c>
      <c r="T93" s="254">
        <v>0</v>
      </c>
      <c r="U93" s="254">
        <v>0</v>
      </c>
      <c r="V93" s="254">
        <v>0</v>
      </c>
      <c r="W93" s="254">
        <v>0</v>
      </c>
      <c r="X93" s="254">
        <v>0</v>
      </c>
      <c r="Y93" s="254">
        <v>0</v>
      </c>
      <c r="Z93" s="254">
        <v>0</v>
      </c>
      <c r="AA93" s="254">
        <v>0</v>
      </c>
      <c r="AB93" s="254">
        <v>0</v>
      </c>
      <c r="AC93" s="254">
        <v>0</v>
      </c>
      <c r="AD93" s="254">
        <v>0</v>
      </c>
      <c r="AE93" s="254">
        <v>0</v>
      </c>
      <c r="AF93" s="254">
        <v>0</v>
      </c>
      <c r="AG93" s="254">
        <v>0</v>
      </c>
      <c r="AH93" s="254">
        <v>0</v>
      </c>
      <c r="AI93" s="254">
        <v>0</v>
      </c>
      <c r="AJ93" s="254">
        <v>0</v>
      </c>
      <c r="AK93" s="254">
        <v>0</v>
      </c>
      <c r="AL93" s="254">
        <v>0</v>
      </c>
      <c r="AM93" s="254">
        <v>0</v>
      </c>
      <c r="AN93" s="254">
        <v>0</v>
      </c>
      <c r="AO93" s="254">
        <v>0</v>
      </c>
      <c r="AP93" s="254">
        <v>0</v>
      </c>
      <c r="AQ93" s="254">
        <v>0</v>
      </c>
      <c r="AR93" s="254">
        <v>0</v>
      </c>
      <c r="AS93" s="254">
        <v>0</v>
      </c>
      <c r="AT93" s="254">
        <v>0</v>
      </c>
      <c r="AU93" s="254">
        <v>0</v>
      </c>
      <c r="AV93" s="254">
        <v>0</v>
      </c>
      <c r="AW93" s="254">
        <v>0</v>
      </c>
      <c r="AX93" s="254">
        <v>0</v>
      </c>
      <c r="AY93" s="254">
        <v>0</v>
      </c>
    </row>
    <row r="94" spans="2:51">
      <c r="B94" s="244">
        <v>10286</v>
      </c>
      <c r="C94" s="244" t="s">
        <v>97</v>
      </c>
      <c r="D94" s="254">
        <v>0</v>
      </c>
      <c r="E94" s="254">
        <v>0</v>
      </c>
      <c r="F94" s="254">
        <v>0</v>
      </c>
      <c r="G94" s="254">
        <v>0</v>
      </c>
      <c r="H94" s="254">
        <v>0</v>
      </c>
      <c r="I94" s="254">
        <v>0</v>
      </c>
      <c r="J94" s="254">
        <v>0</v>
      </c>
      <c r="K94" s="254">
        <v>0</v>
      </c>
      <c r="L94" s="254">
        <v>0</v>
      </c>
      <c r="M94" s="254">
        <v>0</v>
      </c>
      <c r="N94" s="254">
        <v>0</v>
      </c>
      <c r="O94" s="254">
        <v>0</v>
      </c>
      <c r="P94" s="254">
        <v>0</v>
      </c>
      <c r="Q94" s="254">
        <v>0</v>
      </c>
      <c r="R94" s="254">
        <v>0</v>
      </c>
      <c r="S94" s="254">
        <v>0</v>
      </c>
      <c r="T94" s="254">
        <v>0</v>
      </c>
      <c r="U94" s="254">
        <v>0</v>
      </c>
      <c r="V94" s="254">
        <v>0</v>
      </c>
      <c r="W94" s="254">
        <v>0</v>
      </c>
      <c r="X94" s="254">
        <v>0</v>
      </c>
      <c r="Y94" s="254">
        <v>0</v>
      </c>
      <c r="Z94" s="254">
        <v>0</v>
      </c>
      <c r="AA94" s="254">
        <v>0</v>
      </c>
      <c r="AB94" s="254">
        <v>0</v>
      </c>
      <c r="AC94" s="254">
        <v>0</v>
      </c>
      <c r="AD94" s="254">
        <v>0</v>
      </c>
      <c r="AE94" s="254">
        <v>0</v>
      </c>
      <c r="AF94" s="254">
        <v>0</v>
      </c>
      <c r="AG94" s="254">
        <v>0</v>
      </c>
      <c r="AH94" s="254">
        <v>0</v>
      </c>
      <c r="AI94" s="254">
        <v>0</v>
      </c>
      <c r="AJ94" s="254">
        <v>0</v>
      </c>
      <c r="AK94" s="254">
        <v>0</v>
      </c>
      <c r="AL94" s="254">
        <v>0</v>
      </c>
      <c r="AM94" s="254">
        <v>0</v>
      </c>
      <c r="AN94" s="254">
        <v>0</v>
      </c>
      <c r="AO94" s="254">
        <v>0</v>
      </c>
      <c r="AP94" s="254">
        <v>0</v>
      </c>
      <c r="AQ94" s="254">
        <v>0</v>
      </c>
      <c r="AR94" s="254">
        <v>0</v>
      </c>
      <c r="AS94" s="254">
        <v>0</v>
      </c>
      <c r="AT94" s="254">
        <v>0</v>
      </c>
      <c r="AU94" s="254">
        <v>0</v>
      </c>
      <c r="AV94" s="254">
        <v>0</v>
      </c>
      <c r="AW94" s="254">
        <v>0</v>
      </c>
      <c r="AX94" s="254">
        <v>0</v>
      </c>
      <c r="AY94" s="254">
        <v>0</v>
      </c>
    </row>
    <row r="95" spans="2:51">
      <c r="B95" s="244">
        <v>10288</v>
      </c>
      <c r="C95" s="244" t="s">
        <v>98</v>
      </c>
      <c r="D95" s="254">
        <v>0</v>
      </c>
      <c r="E95" s="254">
        <v>0</v>
      </c>
      <c r="F95" s="254">
        <v>0</v>
      </c>
      <c r="G95" s="254">
        <v>0</v>
      </c>
      <c r="H95" s="254">
        <v>0</v>
      </c>
      <c r="I95" s="254">
        <v>0</v>
      </c>
      <c r="J95" s="254">
        <v>0</v>
      </c>
      <c r="K95" s="254">
        <v>0</v>
      </c>
      <c r="L95" s="254">
        <v>0</v>
      </c>
      <c r="M95" s="254">
        <v>0</v>
      </c>
      <c r="N95" s="254">
        <v>0</v>
      </c>
      <c r="O95" s="254">
        <v>0</v>
      </c>
      <c r="P95" s="254">
        <v>0</v>
      </c>
      <c r="Q95" s="254">
        <v>0</v>
      </c>
      <c r="R95" s="254">
        <v>0</v>
      </c>
      <c r="S95" s="254">
        <v>0</v>
      </c>
      <c r="T95" s="254">
        <v>0</v>
      </c>
      <c r="U95" s="254">
        <v>0</v>
      </c>
      <c r="V95" s="254">
        <v>0</v>
      </c>
      <c r="W95" s="254">
        <v>0</v>
      </c>
      <c r="X95" s="254">
        <v>0</v>
      </c>
      <c r="Y95" s="254">
        <v>0</v>
      </c>
      <c r="Z95" s="254">
        <v>0</v>
      </c>
      <c r="AA95" s="254">
        <v>0</v>
      </c>
      <c r="AB95" s="254">
        <v>0</v>
      </c>
      <c r="AC95" s="254">
        <v>0</v>
      </c>
      <c r="AD95" s="254">
        <v>0</v>
      </c>
      <c r="AE95" s="254">
        <v>0</v>
      </c>
      <c r="AF95" s="254">
        <v>0</v>
      </c>
      <c r="AG95" s="254">
        <v>0</v>
      </c>
      <c r="AH95" s="254">
        <v>0</v>
      </c>
      <c r="AI95" s="254">
        <v>0</v>
      </c>
      <c r="AJ95" s="254">
        <v>0</v>
      </c>
      <c r="AK95" s="254">
        <v>0</v>
      </c>
      <c r="AL95" s="254">
        <v>0</v>
      </c>
      <c r="AM95" s="254">
        <v>0</v>
      </c>
      <c r="AN95" s="254">
        <v>0</v>
      </c>
      <c r="AO95" s="254">
        <v>0</v>
      </c>
      <c r="AP95" s="254">
        <v>0</v>
      </c>
      <c r="AQ95" s="254">
        <v>0</v>
      </c>
      <c r="AR95" s="254">
        <v>0</v>
      </c>
      <c r="AS95" s="254">
        <v>0</v>
      </c>
      <c r="AT95" s="254">
        <v>0</v>
      </c>
      <c r="AU95" s="254">
        <v>0</v>
      </c>
      <c r="AV95" s="254">
        <v>0</v>
      </c>
      <c r="AW95" s="254">
        <v>0</v>
      </c>
      <c r="AX95" s="254">
        <v>0</v>
      </c>
      <c r="AY95" s="254">
        <v>0</v>
      </c>
    </row>
    <row r="96" spans="2:51">
      <c r="B96" s="244">
        <v>10291</v>
      </c>
      <c r="C96" s="244" t="s">
        <v>99</v>
      </c>
      <c r="D96" s="254">
        <v>14634.273148148146</v>
      </c>
      <c r="E96" s="254">
        <v>0</v>
      </c>
      <c r="F96" s="254">
        <v>4210.4999999999964</v>
      </c>
      <c r="G96" s="254">
        <v>0</v>
      </c>
      <c r="H96" s="254">
        <v>12494.232499999995</v>
      </c>
      <c r="I96" s="254">
        <v>0</v>
      </c>
      <c r="J96" s="254">
        <v>16892.855769230773</v>
      </c>
      <c r="K96" s="254">
        <v>0</v>
      </c>
      <c r="L96" s="254">
        <v>17383.395</v>
      </c>
      <c r="M96" s="254">
        <v>0</v>
      </c>
      <c r="N96" s="254">
        <v>10616.627403846152</v>
      </c>
      <c r="O96" s="254">
        <v>0</v>
      </c>
      <c r="P96" s="254">
        <v>14510.463942307684</v>
      </c>
      <c r="Q96" s="254">
        <v>0</v>
      </c>
      <c r="R96" s="254">
        <v>7226.8175000000083</v>
      </c>
      <c r="S96" s="254">
        <v>0</v>
      </c>
      <c r="T96" s="254">
        <v>10619.572115384612</v>
      </c>
      <c r="U96" s="254">
        <v>0</v>
      </c>
      <c r="V96" s="254">
        <v>13104.307692307704</v>
      </c>
      <c r="W96" s="254">
        <v>0</v>
      </c>
      <c r="X96" s="254">
        <v>10862.468750000007</v>
      </c>
      <c r="Y96" s="254">
        <v>0</v>
      </c>
      <c r="Z96" s="254">
        <v>13255.20000000001</v>
      </c>
      <c r="AA96" s="254">
        <v>0</v>
      </c>
      <c r="AB96" s="254">
        <v>14805.298611111106</v>
      </c>
      <c r="AC96" s="254">
        <v>0</v>
      </c>
      <c r="AD96" s="254">
        <v>1062.9687499999959</v>
      </c>
      <c r="AE96" s="254">
        <v>0</v>
      </c>
      <c r="AF96" s="254">
        <v>16481.336538461521</v>
      </c>
      <c r="AG96" s="254">
        <v>0</v>
      </c>
      <c r="AH96" s="254">
        <v>13139.587500000016</v>
      </c>
      <c r="AI96" s="254">
        <v>0</v>
      </c>
      <c r="AJ96" s="254">
        <v>13849.94010416667</v>
      </c>
      <c r="AK96" s="254">
        <v>0</v>
      </c>
      <c r="AL96" s="254">
        <v>13662.662037037024</v>
      </c>
      <c r="AM96" s="254">
        <v>0</v>
      </c>
      <c r="AN96" s="254">
        <v>17635.680288461546</v>
      </c>
      <c r="AO96" s="254">
        <v>0</v>
      </c>
      <c r="AP96" s="254">
        <v>4049.5124999999898</v>
      </c>
      <c r="AQ96" s="254">
        <v>0</v>
      </c>
      <c r="AR96" s="254">
        <v>10605.175480769218</v>
      </c>
      <c r="AS96" s="254">
        <v>0</v>
      </c>
      <c r="AT96" s="254">
        <v>13079.350961538457</v>
      </c>
      <c r="AU96" s="254">
        <v>0</v>
      </c>
      <c r="AV96" s="254">
        <v>10813.985576923062</v>
      </c>
      <c r="AW96" s="254">
        <v>0</v>
      </c>
      <c r="AX96" s="254">
        <v>13201.029999999995</v>
      </c>
      <c r="AY96" s="254">
        <v>0</v>
      </c>
    </row>
    <row r="97" spans="2:51">
      <c r="B97" s="244">
        <v>10294</v>
      </c>
      <c r="C97" s="244" t="s">
        <v>100</v>
      </c>
      <c r="D97" s="254">
        <v>0</v>
      </c>
      <c r="E97" s="254">
        <v>0</v>
      </c>
      <c r="F97" s="254">
        <v>0</v>
      </c>
      <c r="G97" s="254">
        <v>0</v>
      </c>
      <c r="H97" s="254">
        <v>0</v>
      </c>
      <c r="I97" s="254">
        <v>0</v>
      </c>
      <c r="J97" s="254">
        <v>0</v>
      </c>
      <c r="K97" s="254">
        <v>0</v>
      </c>
      <c r="L97" s="254">
        <v>0</v>
      </c>
      <c r="M97" s="254">
        <v>0</v>
      </c>
      <c r="N97" s="254">
        <v>0</v>
      </c>
      <c r="O97" s="254">
        <v>0</v>
      </c>
      <c r="P97" s="254">
        <v>0</v>
      </c>
      <c r="Q97" s="254">
        <v>0</v>
      </c>
      <c r="R97" s="254">
        <v>0</v>
      </c>
      <c r="S97" s="254">
        <v>0</v>
      </c>
      <c r="T97" s="254">
        <v>0</v>
      </c>
      <c r="U97" s="254">
        <v>0</v>
      </c>
      <c r="V97" s="254">
        <v>0</v>
      </c>
      <c r="W97" s="254">
        <v>0</v>
      </c>
      <c r="X97" s="254">
        <v>0</v>
      </c>
      <c r="Y97" s="254">
        <v>0</v>
      </c>
      <c r="Z97" s="254">
        <v>0</v>
      </c>
      <c r="AA97" s="254">
        <v>0</v>
      </c>
      <c r="AB97" s="254">
        <v>0</v>
      </c>
      <c r="AC97" s="254">
        <v>0</v>
      </c>
      <c r="AD97" s="254">
        <v>0</v>
      </c>
      <c r="AE97" s="254">
        <v>0</v>
      </c>
      <c r="AF97" s="254">
        <v>0</v>
      </c>
      <c r="AG97" s="254">
        <v>0</v>
      </c>
      <c r="AH97" s="254">
        <v>0</v>
      </c>
      <c r="AI97" s="254">
        <v>0</v>
      </c>
      <c r="AJ97" s="254">
        <v>0</v>
      </c>
      <c r="AK97" s="254">
        <v>0</v>
      </c>
      <c r="AL97" s="254">
        <v>0</v>
      </c>
      <c r="AM97" s="254">
        <v>0</v>
      </c>
      <c r="AN97" s="254">
        <v>0</v>
      </c>
      <c r="AO97" s="254">
        <v>0</v>
      </c>
      <c r="AP97" s="254">
        <v>0</v>
      </c>
      <c r="AQ97" s="254">
        <v>0</v>
      </c>
      <c r="AR97" s="254">
        <v>0</v>
      </c>
      <c r="AS97" s="254">
        <v>0</v>
      </c>
      <c r="AT97" s="254">
        <v>0</v>
      </c>
      <c r="AU97" s="254">
        <v>0</v>
      </c>
      <c r="AV97" s="254">
        <v>0</v>
      </c>
      <c r="AW97" s="254">
        <v>0</v>
      </c>
      <c r="AX97" s="254">
        <v>0</v>
      </c>
      <c r="AY97" s="254">
        <v>0</v>
      </c>
    </row>
    <row r="98" spans="2:51">
      <c r="B98" s="244">
        <v>10304</v>
      </c>
      <c r="C98" s="244" t="s">
        <v>101</v>
      </c>
      <c r="D98" s="254">
        <v>0</v>
      </c>
      <c r="E98" s="254">
        <v>0</v>
      </c>
      <c r="F98" s="254">
        <v>210.48500000000115</v>
      </c>
      <c r="G98" s="254">
        <v>0</v>
      </c>
      <c r="H98" s="254">
        <v>3340.1725000000015</v>
      </c>
      <c r="I98" s="254">
        <v>0</v>
      </c>
      <c r="J98" s="254">
        <v>3043.6947115384637</v>
      </c>
      <c r="K98" s="254">
        <v>0</v>
      </c>
      <c r="L98" s="254">
        <v>2485.099999999999</v>
      </c>
      <c r="M98" s="254">
        <v>0</v>
      </c>
      <c r="N98" s="254">
        <v>0</v>
      </c>
      <c r="O98" s="254">
        <v>0</v>
      </c>
      <c r="P98" s="254">
        <v>880.34855769230887</v>
      </c>
      <c r="Q98" s="254">
        <v>0</v>
      </c>
      <c r="R98" s="254">
        <v>1628.1474999999994</v>
      </c>
      <c r="S98" s="254">
        <v>0</v>
      </c>
      <c r="T98" s="254">
        <v>2137.0240384615372</v>
      </c>
      <c r="U98" s="254">
        <v>0</v>
      </c>
      <c r="V98" s="254">
        <v>1398.9254807692303</v>
      </c>
      <c r="W98" s="254">
        <v>0</v>
      </c>
      <c r="X98" s="254">
        <v>1402.8870192307686</v>
      </c>
      <c r="Y98" s="254">
        <v>0</v>
      </c>
      <c r="Z98" s="254">
        <v>2598.5699999999997</v>
      </c>
      <c r="AA98" s="254">
        <v>0</v>
      </c>
      <c r="AB98" s="254">
        <v>0</v>
      </c>
      <c r="AC98" s="254">
        <v>0</v>
      </c>
      <c r="AD98" s="254">
        <v>0</v>
      </c>
      <c r="AE98" s="254">
        <v>0</v>
      </c>
      <c r="AF98" s="254">
        <v>4151.5288461538485</v>
      </c>
      <c r="AG98" s="254">
        <v>0</v>
      </c>
      <c r="AH98" s="254">
        <v>2345.7124999999974</v>
      </c>
      <c r="AI98" s="254">
        <v>0</v>
      </c>
      <c r="AJ98" s="254">
        <v>1823.1250000000009</v>
      </c>
      <c r="AK98" s="254">
        <v>0</v>
      </c>
      <c r="AL98" s="254">
        <v>60.333333333334238</v>
      </c>
      <c r="AM98" s="254">
        <v>0</v>
      </c>
      <c r="AN98" s="254">
        <v>941.81971153846166</v>
      </c>
      <c r="AO98" s="254">
        <v>0</v>
      </c>
      <c r="AP98" s="254">
        <v>1693.0725</v>
      </c>
      <c r="AQ98" s="254">
        <v>0</v>
      </c>
      <c r="AR98" s="254">
        <v>2206.0072115384619</v>
      </c>
      <c r="AS98" s="254">
        <v>0</v>
      </c>
      <c r="AT98" s="254">
        <v>1466.3942307692316</v>
      </c>
      <c r="AU98" s="254">
        <v>0</v>
      </c>
      <c r="AV98" s="254">
        <v>1467.9663461538482</v>
      </c>
      <c r="AW98" s="254">
        <v>0</v>
      </c>
      <c r="AX98" s="254">
        <v>2668.3474999999985</v>
      </c>
      <c r="AY98" s="254">
        <v>0</v>
      </c>
    </row>
    <row r="99" spans="2:51">
      <c r="B99" s="244">
        <v>10306</v>
      </c>
      <c r="C99" s="244" t="s">
        <v>102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4">
        <v>0</v>
      </c>
      <c r="P99" s="254">
        <v>0</v>
      </c>
      <c r="Q99" s="254">
        <v>0</v>
      </c>
      <c r="R99" s="254">
        <v>0</v>
      </c>
      <c r="S99" s="254">
        <v>0</v>
      </c>
      <c r="T99" s="254">
        <v>0</v>
      </c>
      <c r="U99" s="254">
        <v>0</v>
      </c>
      <c r="V99" s="254">
        <v>0</v>
      </c>
      <c r="W99" s="254">
        <v>0</v>
      </c>
      <c r="X99" s="254">
        <v>0</v>
      </c>
      <c r="Y99" s="254">
        <v>0</v>
      </c>
      <c r="Z99" s="254">
        <v>0</v>
      </c>
      <c r="AA99" s="254">
        <v>0</v>
      </c>
      <c r="AB99" s="254">
        <v>0</v>
      </c>
      <c r="AC99" s="254">
        <v>0</v>
      </c>
      <c r="AD99" s="254">
        <v>0</v>
      </c>
      <c r="AE99" s="254">
        <v>0</v>
      </c>
      <c r="AF99" s="254">
        <v>0</v>
      </c>
      <c r="AG99" s="254">
        <v>0</v>
      </c>
      <c r="AH99" s="254">
        <v>0</v>
      </c>
      <c r="AI99" s="254">
        <v>0</v>
      </c>
      <c r="AJ99" s="254">
        <v>0</v>
      </c>
      <c r="AK99" s="254">
        <v>0</v>
      </c>
      <c r="AL99" s="254">
        <v>0</v>
      </c>
      <c r="AM99" s="254">
        <v>0</v>
      </c>
      <c r="AN99" s="254">
        <v>0</v>
      </c>
      <c r="AO99" s="254">
        <v>0</v>
      </c>
      <c r="AP99" s="254">
        <v>0</v>
      </c>
      <c r="AQ99" s="254">
        <v>0</v>
      </c>
      <c r="AR99" s="254">
        <v>0</v>
      </c>
      <c r="AS99" s="254">
        <v>0</v>
      </c>
      <c r="AT99" s="254">
        <v>0</v>
      </c>
      <c r="AU99" s="254">
        <v>0</v>
      </c>
      <c r="AV99" s="254">
        <v>0</v>
      </c>
      <c r="AW99" s="254">
        <v>0</v>
      </c>
      <c r="AX99" s="254">
        <v>0</v>
      </c>
      <c r="AY99" s="254">
        <v>0</v>
      </c>
    </row>
    <row r="100" spans="2:51">
      <c r="B100" s="244">
        <v>10307</v>
      </c>
      <c r="C100" s="244" t="s">
        <v>103</v>
      </c>
      <c r="D100" s="254">
        <v>1639.0763888888848</v>
      </c>
      <c r="E100" s="254">
        <v>0</v>
      </c>
      <c r="F100" s="254">
        <v>1936.9874999999936</v>
      </c>
      <c r="G100" s="254">
        <v>0</v>
      </c>
      <c r="H100" s="254">
        <v>16134.614999999978</v>
      </c>
      <c r="I100" s="254">
        <v>0</v>
      </c>
      <c r="J100" s="254">
        <v>20125.855769230762</v>
      </c>
      <c r="K100" s="254">
        <v>0</v>
      </c>
      <c r="L100" s="254">
        <v>11532.372499999998</v>
      </c>
      <c r="M100" s="254">
        <v>0</v>
      </c>
      <c r="N100" s="254">
        <v>7776.1274038461497</v>
      </c>
      <c r="O100" s="254">
        <v>0</v>
      </c>
      <c r="P100" s="254">
        <v>9639.4278846154011</v>
      </c>
      <c r="Q100" s="254">
        <v>0</v>
      </c>
      <c r="R100" s="254">
        <v>14168.012499999999</v>
      </c>
      <c r="S100" s="254">
        <v>0</v>
      </c>
      <c r="T100" s="254">
        <v>16518.139423076933</v>
      </c>
      <c r="U100" s="254">
        <v>0</v>
      </c>
      <c r="V100" s="254">
        <v>17380.307692307691</v>
      </c>
      <c r="W100" s="254">
        <v>0</v>
      </c>
      <c r="X100" s="254">
        <v>15203.930288461543</v>
      </c>
      <c r="Y100" s="254">
        <v>0</v>
      </c>
      <c r="Z100" s="254">
        <v>10188.062500000002</v>
      </c>
      <c r="AA100" s="254">
        <v>0</v>
      </c>
      <c r="AB100" s="254">
        <v>2563.0254629629726</v>
      </c>
      <c r="AC100" s="254">
        <v>0</v>
      </c>
      <c r="AD100" s="254">
        <v>0</v>
      </c>
      <c r="AE100" s="254">
        <v>0</v>
      </c>
      <c r="AF100" s="254">
        <v>21122.25721153845</v>
      </c>
      <c r="AG100" s="254">
        <v>0</v>
      </c>
      <c r="AH100" s="254">
        <v>17213.329999999991</v>
      </c>
      <c r="AI100" s="254">
        <v>0</v>
      </c>
      <c r="AJ100" s="254">
        <v>8592.3802083333285</v>
      </c>
      <c r="AK100" s="254">
        <v>0</v>
      </c>
      <c r="AL100" s="254">
        <v>11807.398148148157</v>
      </c>
      <c r="AM100" s="254">
        <v>0</v>
      </c>
      <c r="AN100" s="254">
        <v>13192.757211538463</v>
      </c>
      <c r="AO100" s="254">
        <v>0</v>
      </c>
      <c r="AP100" s="254">
        <v>12958.025000000003</v>
      </c>
      <c r="AQ100" s="254">
        <v>0</v>
      </c>
      <c r="AR100" s="254">
        <v>17516.074519230777</v>
      </c>
      <c r="AS100" s="254">
        <v>0</v>
      </c>
      <c r="AT100" s="254">
        <v>18431.098557692312</v>
      </c>
      <c r="AU100" s="254">
        <v>0</v>
      </c>
      <c r="AV100" s="254">
        <v>16245.750000000007</v>
      </c>
      <c r="AW100" s="254">
        <v>0</v>
      </c>
      <c r="AX100" s="254">
        <v>11124.524999999987</v>
      </c>
      <c r="AY100" s="254">
        <v>0</v>
      </c>
    </row>
    <row r="101" spans="2:51">
      <c r="B101" s="244">
        <v>10326</v>
      </c>
      <c r="C101" s="244" t="s">
        <v>104</v>
      </c>
      <c r="D101" s="254">
        <v>3623.488425925922</v>
      </c>
      <c r="E101" s="254">
        <v>0</v>
      </c>
      <c r="F101" s="254">
        <v>0</v>
      </c>
      <c r="G101" s="254">
        <v>0</v>
      </c>
      <c r="H101" s="254">
        <v>3751.4675000000038</v>
      </c>
      <c r="I101" s="254">
        <v>0</v>
      </c>
      <c r="J101" s="254">
        <v>2997.6850961538516</v>
      </c>
      <c r="K101" s="254">
        <v>0</v>
      </c>
      <c r="L101" s="254">
        <v>6882.5625</v>
      </c>
      <c r="M101" s="254">
        <v>0</v>
      </c>
      <c r="N101" s="254">
        <v>3320.1442307692305</v>
      </c>
      <c r="O101" s="254">
        <v>0</v>
      </c>
      <c r="P101" s="254">
        <v>717.97596153846393</v>
      </c>
      <c r="Q101" s="254">
        <v>0</v>
      </c>
      <c r="R101" s="254">
        <v>1138.874999999997</v>
      </c>
      <c r="S101" s="254">
        <v>0</v>
      </c>
      <c r="T101" s="254">
        <v>1419.2740384615429</v>
      </c>
      <c r="U101" s="254">
        <v>0</v>
      </c>
      <c r="V101" s="254">
        <v>3827.6754807692264</v>
      </c>
      <c r="W101" s="254">
        <v>0</v>
      </c>
      <c r="X101" s="254">
        <v>1280.3365384615333</v>
      </c>
      <c r="Y101" s="254">
        <v>0</v>
      </c>
      <c r="Z101" s="254">
        <v>4518.3525000000018</v>
      </c>
      <c r="AA101" s="254">
        <v>0</v>
      </c>
      <c r="AB101" s="254">
        <v>2956.5879629629617</v>
      </c>
      <c r="AC101" s="254">
        <v>0</v>
      </c>
      <c r="AD101" s="254">
        <v>0</v>
      </c>
      <c r="AE101" s="254">
        <v>0</v>
      </c>
      <c r="AF101" s="254">
        <v>5185.5240384615408</v>
      </c>
      <c r="AG101" s="254">
        <v>0</v>
      </c>
      <c r="AH101" s="254">
        <v>1943.1875000000005</v>
      </c>
      <c r="AI101" s="254">
        <v>0</v>
      </c>
      <c r="AJ101" s="254">
        <v>5735.9531249999991</v>
      </c>
      <c r="AK101" s="254">
        <v>0</v>
      </c>
      <c r="AL101" s="254">
        <v>4519.4768518518522</v>
      </c>
      <c r="AM101" s="254">
        <v>0</v>
      </c>
      <c r="AN101" s="254">
        <v>2196.1370192307718</v>
      </c>
      <c r="AO101" s="254">
        <v>0</v>
      </c>
      <c r="AP101" s="254">
        <v>0</v>
      </c>
      <c r="AQ101" s="254">
        <v>0</v>
      </c>
      <c r="AR101" s="254">
        <v>1934.0937500000007</v>
      </c>
      <c r="AS101" s="254">
        <v>0</v>
      </c>
      <c r="AT101" s="254">
        <v>4479.149038461539</v>
      </c>
      <c r="AU101" s="254">
        <v>0</v>
      </c>
      <c r="AV101" s="254">
        <v>1827.5336538461565</v>
      </c>
      <c r="AW101" s="254">
        <v>0</v>
      </c>
      <c r="AX101" s="254">
        <v>5546.4700000000021</v>
      </c>
      <c r="AY101" s="254">
        <v>0</v>
      </c>
    </row>
    <row r="102" spans="2:51">
      <c r="B102" s="244">
        <v>10331</v>
      </c>
      <c r="C102" s="244" t="s">
        <v>105</v>
      </c>
      <c r="D102" s="254">
        <v>0</v>
      </c>
      <c r="E102" s="254">
        <v>0</v>
      </c>
      <c r="F102" s="254">
        <v>0</v>
      </c>
      <c r="G102" s="254">
        <v>0</v>
      </c>
      <c r="H102" s="254">
        <v>0</v>
      </c>
      <c r="I102" s="254">
        <v>0</v>
      </c>
      <c r="J102" s="254">
        <v>0</v>
      </c>
      <c r="K102" s="254">
        <v>0</v>
      </c>
      <c r="L102" s="254">
        <v>0</v>
      </c>
      <c r="M102" s="254">
        <v>0</v>
      </c>
      <c r="N102" s="254">
        <v>0</v>
      </c>
      <c r="O102" s="254">
        <v>0</v>
      </c>
      <c r="P102" s="254">
        <v>0</v>
      </c>
      <c r="Q102" s="254">
        <v>0</v>
      </c>
      <c r="R102" s="254">
        <v>0</v>
      </c>
      <c r="S102" s="254">
        <v>0</v>
      </c>
      <c r="T102" s="254">
        <v>0</v>
      </c>
      <c r="U102" s="254">
        <v>0</v>
      </c>
      <c r="V102" s="254">
        <v>0</v>
      </c>
      <c r="W102" s="254">
        <v>0</v>
      </c>
      <c r="X102" s="254">
        <v>0</v>
      </c>
      <c r="Y102" s="254">
        <v>0</v>
      </c>
      <c r="Z102" s="254">
        <v>0</v>
      </c>
      <c r="AA102" s="254">
        <v>0</v>
      </c>
      <c r="AB102" s="254">
        <v>0</v>
      </c>
      <c r="AC102" s="254">
        <v>0</v>
      </c>
      <c r="AD102" s="254">
        <v>0</v>
      </c>
      <c r="AE102" s="254">
        <v>0</v>
      </c>
      <c r="AF102" s="254">
        <v>0</v>
      </c>
      <c r="AG102" s="254">
        <v>0</v>
      </c>
      <c r="AH102" s="254">
        <v>0</v>
      </c>
      <c r="AI102" s="254">
        <v>0</v>
      </c>
      <c r="AJ102" s="254">
        <v>0</v>
      </c>
      <c r="AK102" s="254">
        <v>0</v>
      </c>
      <c r="AL102" s="254">
        <v>0</v>
      </c>
      <c r="AM102" s="254">
        <v>0</v>
      </c>
      <c r="AN102" s="254">
        <v>0</v>
      </c>
      <c r="AO102" s="254">
        <v>0</v>
      </c>
      <c r="AP102" s="254">
        <v>0</v>
      </c>
      <c r="AQ102" s="254">
        <v>0</v>
      </c>
      <c r="AR102" s="254">
        <v>0</v>
      </c>
      <c r="AS102" s="254">
        <v>0</v>
      </c>
      <c r="AT102" s="254">
        <v>0</v>
      </c>
      <c r="AU102" s="254">
        <v>0</v>
      </c>
      <c r="AV102" s="254">
        <v>0</v>
      </c>
      <c r="AW102" s="254">
        <v>0</v>
      </c>
      <c r="AX102" s="254">
        <v>0</v>
      </c>
      <c r="AY102" s="254">
        <v>0</v>
      </c>
    </row>
    <row r="103" spans="2:51">
      <c r="B103" s="244">
        <v>10333</v>
      </c>
      <c r="C103" s="244" t="s">
        <v>106</v>
      </c>
      <c r="D103" s="254">
        <v>0</v>
      </c>
      <c r="E103" s="254">
        <v>0</v>
      </c>
      <c r="F103" s="254">
        <v>0</v>
      </c>
      <c r="G103" s="254">
        <v>0</v>
      </c>
      <c r="H103" s="254">
        <v>0</v>
      </c>
      <c r="I103" s="254">
        <v>0</v>
      </c>
      <c r="J103" s="254">
        <v>0</v>
      </c>
      <c r="K103" s="254">
        <v>0</v>
      </c>
      <c r="L103" s="254">
        <v>0</v>
      </c>
      <c r="M103" s="254">
        <v>0</v>
      </c>
      <c r="N103" s="254">
        <v>0</v>
      </c>
      <c r="O103" s="254">
        <v>0</v>
      </c>
      <c r="P103" s="254">
        <v>0</v>
      </c>
      <c r="Q103" s="254">
        <v>0</v>
      </c>
      <c r="R103" s="254">
        <v>0</v>
      </c>
      <c r="S103" s="254">
        <v>0</v>
      </c>
      <c r="T103" s="254">
        <v>0</v>
      </c>
      <c r="U103" s="254">
        <v>0</v>
      </c>
      <c r="V103" s="254">
        <v>0</v>
      </c>
      <c r="W103" s="254">
        <v>0</v>
      </c>
      <c r="X103" s="254">
        <v>0</v>
      </c>
      <c r="Y103" s="254">
        <v>0</v>
      </c>
      <c r="Z103" s="254">
        <v>0</v>
      </c>
      <c r="AA103" s="254">
        <v>0</v>
      </c>
      <c r="AB103" s="254">
        <v>0</v>
      </c>
      <c r="AC103" s="254">
        <v>0</v>
      </c>
      <c r="AD103" s="254">
        <v>0</v>
      </c>
      <c r="AE103" s="254">
        <v>0</v>
      </c>
      <c r="AF103" s="254">
        <v>0</v>
      </c>
      <c r="AG103" s="254">
        <v>0</v>
      </c>
      <c r="AH103" s="254">
        <v>0</v>
      </c>
      <c r="AI103" s="254">
        <v>0</v>
      </c>
      <c r="AJ103" s="254">
        <v>0</v>
      </c>
      <c r="AK103" s="254">
        <v>0</v>
      </c>
      <c r="AL103" s="254">
        <v>0</v>
      </c>
      <c r="AM103" s="254">
        <v>0</v>
      </c>
      <c r="AN103" s="254">
        <v>0</v>
      </c>
      <c r="AO103" s="254">
        <v>0</v>
      </c>
      <c r="AP103" s="254">
        <v>0</v>
      </c>
      <c r="AQ103" s="254">
        <v>0</v>
      </c>
      <c r="AR103" s="254">
        <v>0</v>
      </c>
      <c r="AS103" s="254">
        <v>0</v>
      </c>
      <c r="AT103" s="254">
        <v>0</v>
      </c>
      <c r="AU103" s="254">
        <v>0</v>
      </c>
      <c r="AV103" s="254">
        <v>0</v>
      </c>
      <c r="AW103" s="254">
        <v>0</v>
      </c>
      <c r="AX103" s="254">
        <v>0</v>
      </c>
      <c r="AY103" s="254">
        <v>0</v>
      </c>
    </row>
    <row r="104" spans="2:51">
      <c r="B104" s="244">
        <v>10338</v>
      </c>
      <c r="C104" s="244" t="s">
        <v>107</v>
      </c>
      <c r="D104" s="254">
        <v>0</v>
      </c>
      <c r="E104" s="254">
        <v>0</v>
      </c>
      <c r="F104" s="254">
        <v>0</v>
      </c>
      <c r="G104" s="254">
        <v>0</v>
      </c>
      <c r="H104" s="254">
        <v>138.53000000000026</v>
      </c>
      <c r="I104" s="254">
        <v>0</v>
      </c>
      <c r="J104" s="254">
        <v>384.05288461538458</v>
      </c>
      <c r="K104" s="254">
        <v>0</v>
      </c>
      <c r="L104" s="254">
        <v>77.472500000000053</v>
      </c>
      <c r="M104" s="254">
        <v>0</v>
      </c>
      <c r="N104" s="254">
        <v>20.711538461538616</v>
      </c>
      <c r="O104" s="254">
        <v>0</v>
      </c>
      <c r="P104" s="254">
        <v>47.766826923076877</v>
      </c>
      <c r="Q104" s="254">
        <v>0</v>
      </c>
      <c r="R104" s="254">
        <v>599.59249999999963</v>
      </c>
      <c r="S104" s="254">
        <v>0</v>
      </c>
      <c r="T104" s="254">
        <v>263.91346153846149</v>
      </c>
      <c r="U104" s="254">
        <v>0</v>
      </c>
      <c r="V104" s="254">
        <v>575.21875000000023</v>
      </c>
      <c r="W104" s="254">
        <v>0</v>
      </c>
      <c r="X104" s="254">
        <v>219.84374999999977</v>
      </c>
      <c r="Y104" s="254">
        <v>0</v>
      </c>
      <c r="Z104" s="254">
        <v>158.89500000000001</v>
      </c>
      <c r="AA104" s="254">
        <v>0</v>
      </c>
      <c r="AB104" s="254">
        <v>0</v>
      </c>
      <c r="AC104" s="254">
        <v>0</v>
      </c>
      <c r="AD104" s="254">
        <v>0</v>
      </c>
      <c r="AE104" s="254">
        <v>0</v>
      </c>
      <c r="AF104" s="254">
        <v>260.39903846153845</v>
      </c>
      <c r="AG104" s="254">
        <v>0</v>
      </c>
      <c r="AH104" s="254">
        <v>275.83499999999981</v>
      </c>
      <c r="AI104" s="254">
        <v>0</v>
      </c>
      <c r="AJ104" s="254">
        <v>0</v>
      </c>
      <c r="AK104" s="254">
        <v>0</v>
      </c>
      <c r="AL104" s="254">
        <v>100.22916666666681</v>
      </c>
      <c r="AM104" s="254">
        <v>0</v>
      </c>
      <c r="AN104" s="254">
        <v>137.95913461538456</v>
      </c>
      <c r="AO104" s="254">
        <v>0</v>
      </c>
      <c r="AP104" s="254">
        <v>490.39749999999992</v>
      </c>
      <c r="AQ104" s="254">
        <v>0</v>
      </c>
      <c r="AR104" s="254">
        <v>267.9591346153851</v>
      </c>
      <c r="AS104" s="254">
        <v>0</v>
      </c>
      <c r="AT104" s="254">
        <v>578.60576923076928</v>
      </c>
      <c r="AU104" s="254">
        <v>0</v>
      </c>
      <c r="AV104" s="254">
        <v>222.43990384615429</v>
      </c>
      <c r="AW104" s="254">
        <v>0</v>
      </c>
      <c r="AX104" s="254">
        <v>163.41999999999967</v>
      </c>
      <c r="AY104" s="254">
        <v>0</v>
      </c>
    </row>
    <row r="105" spans="2:51">
      <c r="B105" s="244">
        <v>10342</v>
      </c>
      <c r="C105" s="244" t="s">
        <v>108</v>
      </c>
      <c r="D105" s="254">
        <v>3909.4814814814827</v>
      </c>
      <c r="E105" s="254">
        <v>0</v>
      </c>
      <c r="F105" s="254">
        <v>0</v>
      </c>
      <c r="G105" s="254">
        <v>0</v>
      </c>
      <c r="H105" s="254">
        <v>252.99249999999597</v>
      </c>
      <c r="I105" s="254">
        <v>0</v>
      </c>
      <c r="J105" s="254">
        <v>7140.401442307686</v>
      </c>
      <c r="K105" s="254">
        <v>0</v>
      </c>
      <c r="L105" s="254">
        <v>1474.6625000000026</v>
      </c>
      <c r="M105" s="254">
        <v>0</v>
      </c>
      <c r="N105" s="254">
        <v>4741.1730769230689</v>
      </c>
      <c r="O105" s="254">
        <v>0</v>
      </c>
      <c r="P105" s="254">
        <v>2596.6153846153829</v>
      </c>
      <c r="Q105" s="254">
        <v>0</v>
      </c>
      <c r="R105" s="254">
        <v>6832.6349999999966</v>
      </c>
      <c r="S105" s="254">
        <v>0</v>
      </c>
      <c r="T105" s="254">
        <v>15345.362980769227</v>
      </c>
      <c r="U105" s="254">
        <v>0</v>
      </c>
      <c r="V105" s="254">
        <v>10605.07692307692</v>
      </c>
      <c r="W105" s="254">
        <v>0</v>
      </c>
      <c r="X105" s="254">
        <v>13064.175480769225</v>
      </c>
      <c r="Y105" s="254">
        <v>0</v>
      </c>
      <c r="Z105" s="254">
        <v>15063.567500000001</v>
      </c>
      <c r="AA105" s="254">
        <v>0</v>
      </c>
      <c r="AB105" s="254">
        <v>3758.0740740740712</v>
      </c>
      <c r="AC105" s="254">
        <v>0</v>
      </c>
      <c r="AD105" s="254">
        <v>0</v>
      </c>
      <c r="AE105" s="254">
        <v>0</v>
      </c>
      <c r="AF105" s="254">
        <v>2123.0937499999936</v>
      </c>
      <c r="AG105" s="254">
        <v>0</v>
      </c>
      <c r="AH105" s="254">
        <v>5104.7875000000022</v>
      </c>
      <c r="AI105" s="254">
        <v>0</v>
      </c>
      <c r="AJ105" s="254">
        <v>0</v>
      </c>
      <c r="AK105" s="254">
        <v>0</v>
      </c>
      <c r="AL105" s="254">
        <v>6251.6018518518522</v>
      </c>
      <c r="AM105" s="254">
        <v>0</v>
      </c>
      <c r="AN105" s="254">
        <v>3957.6754807692323</v>
      </c>
      <c r="AO105" s="254">
        <v>0</v>
      </c>
      <c r="AP105" s="254">
        <v>5289.0450000000019</v>
      </c>
      <c r="AQ105" s="254">
        <v>0</v>
      </c>
      <c r="AR105" s="254">
        <v>15438.54567307692</v>
      </c>
      <c r="AS105" s="254">
        <v>0</v>
      </c>
      <c r="AT105" s="254">
        <v>10668.879807692312</v>
      </c>
      <c r="AU105" s="254">
        <v>0</v>
      </c>
      <c r="AV105" s="254">
        <v>13129.105769230773</v>
      </c>
      <c r="AW105" s="254">
        <v>0</v>
      </c>
      <c r="AX105" s="254">
        <v>15138.310000000001</v>
      </c>
      <c r="AY105" s="254">
        <v>0</v>
      </c>
    </row>
    <row r="106" spans="2:51">
      <c r="B106" s="244">
        <v>10343</v>
      </c>
      <c r="C106" s="244" t="s">
        <v>109</v>
      </c>
      <c r="D106" s="254">
        <v>0</v>
      </c>
      <c r="E106" s="254">
        <v>0</v>
      </c>
      <c r="F106" s="254">
        <v>0</v>
      </c>
      <c r="G106" s="254">
        <v>0</v>
      </c>
      <c r="H106" s="254">
        <v>0</v>
      </c>
      <c r="I106" s="254">
        <v>0</v>
      </c>
      <c r="J106" s="254">
        <v>0</v>
      </c>
      <c r="K106" s="254">
        <v>0</v>
      </c>
      <c r="L106" s="254">
        <v>0</v>
      </c>
      <c r="M106" s="254">
        <v>0</v>
      </c>
      <c r="N106" s="254">
        <v>0</v>
      </c>
      <c r="O106" s="254">
        <v>0</v>
      </c>
      <c r="P106" s="254">
        <v>0</v>
      </c>
      <c r="Q106" s="254">
        <v>0</v>
      </c>
      <c r="R106" s="254">
        <v>0</v>
      </c>
      <c r="S106" s="254">
        <v>0</v>
      </c>
      <c r="T106" s="254">
        <v>0</v>
      </c>
      <c r="U106" s="254">
        <v>0</v>
      </c>
      <c r="V106" s="254">
        <v>0</v>
      </c>
      <c r="W106" s="254">
        <v>0</v>
      </c>
      <c r="X106" s="254">
        <v>0</v>
      </c>
      <c r="Y106" s="254">
        <v>0</v>
      </c>
      <c r="Z106" s="254">
        <v>0</v>
      </c>
      <c r="AA106" s="254">
        <v>0</v>
      </c>
      <c r="AB106" s="254">
        <v>0</v>
      </c>
      <c r="AC106" s="254">
        <v>0</v>
      </c>
      <c r="AD106" s="254">
        <v>0</v>
      </c>
      <c r="AE106" s="254">
        <v>0</v>
      </c>
      <c r="AF106" s="254">
        <v>0</v>
      </c>
      <c r="AG106" s="254">
        <v>0</v>
      </c>
      <c r="AH106" s="254">
        <v>0</v>
      </c>
      <c r="AI106" s="254">
        <v>0</v>
      </c>
      <c r="AJ106" s="254">
        <v>0</v>
      </c>
      <c r="AK106" s="254">
        <v>0</v>
      </c>
      <c r="AL106" s="254">
        <v>0</v>
      </c>
      <c r="AM106" s="254">
        <v>0</v>
      </c>
      <c r="AN106" s="254">
        <v>0</v>
      </c>
      <c r="AO106" s="254">
        <v>0</v>
      </c>
      <c r="AP106" s="254">
        <v>0</v>
      </c>
      <c r="AQ106" s="254">
        <v>0</v>
      </c>
      <c r="AR106" s="254">
        <v>0</v>
      </c>
      <c r="AS106" s="254">
        <v>0</v>
      </c>
      <c r="AT106" s="254">
        <v>0</v>
      </c>
      <c r="AU106" s="254">
        <v>0</v>
      </c>
      <c r="AV106" s="254">
        <v>0</v>
      </c>
      <c r="AW106" s="254">
        <v>0</v>
      </c>
      <c r="AX106" s="254">
        <v>0</v>
      </c>
      <c r="AY106" s="254">
        <v>0</v>
      </c>
    </row>
    <row r="107" spans="2:51">
      <c r="B107" s="244">
        <v>10349</v>
      </c>
      <c r="C107" s="244" t="s">
        <v>110</v>
      </c>
      <c r="D107" s="254">
        <v>0</v>
      </c>
      <c r="E107" s="254">
        <v>0</v>
      </c>
      <c r="F107" s="254">
        <v>0</v>
      </c>
      <c r="G107" s="254">
        <v>0</v>
      </c>
      <c r="H107" s="254">
        <v>0</v>
      </c>
      <c r="I107" s="254">
        <v>0</v>
      </c>
      <c r="J107" s="254">
        <v>0</v>
      </c>
      <c r="K107" s="254">
        <v>0</v>
      </c>
      <c r="L107" s="254">
        <v>0</v>
      </c>
      <c r="M107" s="254">
        <v>0</v>
      </c>
      <c r="N107" s="254">
        <v>0</v>
      </c>
      <c r="O107" s="254">
        <v>0</v>
      </c>
      <c r="P107" s="254">
        <v>0</v>
      </c>
      <c r="Q107" s="254">
        <v>0</v>
      </c>
      <c r="R107" s="254">
        <v>0</v>
      </c>
      <c r="S107" s="254">
        <v>0</v>
      </c>
      <c r="T107" s="254">
        <v>0</v>
      </c>
      <c r="U107" s="254">
        <v>0</v>
      </c>
      <c r="V107" s="254">
        <v>0</v>
      </c>
      <c r="W107" s="254">
        <v>0</v>
      </c>
      <c r="X107" s="254">
        <v>0</v>
      </c>
      <c r="Y107" s="254">
        <v>0</v>
      </c>
      <c r="Z107" s="254">
        <v>0</v>
      </c>
      <c r="AA107" s="254">
        <v>0</v>
      </c>
      <c r="AB107" s="254">
        <v>0</v>
      </c>
      <c r="AC107" s="254">
        <v>0</v>
      </c>
      <c r="AD107" s="254">
        <v>0</v>
      </c>
      <c r="AE107" s="254">
        <v>0</v>
      </c>
      <c r="AF107" s="254">
        <v>0</v>
      </c>
      <c r="AG107" s="254">
        <v>0</v>
      </c>
      <c r="AH107" s="254">
        <v>0</v>
      </c>
      <c r="AI107" s="254">
        <v>0</v>
      </c>
      <c r="AJ107" s="254">
        <v>0</v>
      </c>
      <c r="AK107" s="254">
        <v>0</v>
      </c>
      <c r="AL107" s="254">
        <v>0</v>
      </c>
      <c r="AM107" s="254">
        <v>0</v>
      </c>
      <c r="AN107" s="254">
        <v>0</v>
      </c>
      <c r="AO107" s="254">
        <v>0</v>
      </c>
      <c r="AP107" s="254">
        <v>0</v>
      </c>
      <c r="AQ107" s="254">
        <v>0</v>
      </c>
      <c r="AR107" s="254">
        <v>0</v>
      </c>
      <c r="AS107" s="254">
        <v>0</v>
      </c>
      <c r="AT107" s="254">
        <v>0</v>
      </c>
      <c r="AU107" s="254">
        <v>0</v>
      </c>
      <c r="AV107" s="254">
        <v>0</v>
      </c>
      <c r="AW107" s="254">
        <v>0</v>
      </c>
      <c r="AX107" s="254">
        <v>0</v>
      </c>
      <c r="AY107" s="254">
        <v>0</v>
      </c>
    </row>
    <row r="108" spans="2:51">
      <c r="B108" s="244">
        <v>10352</v>
      </c>
      <c r="C108" s="244" t="s">
        <v>111</v>
      </c>
      <c r="D108" s="254">
        <v>0</v>
      </c>
      <c r="E108" s="254">
        <v>0</v>
      </c>
      <c r="F108" s="254">
        <v>102.68749999999915</v>
      </c>
      <c r="G108" s="254">
        <v>0</v>
      </c>
      <c r="H108" s="254">
        <v>1197.1150000000014</v>
      </c>
      <c r="I108" s="254">
        <v>0</v>
      </c>
      <c r="J108" s="254">
        <v>2629.266826923079</v>
      </c>
      <c r="K108" s="254">
        <v>0</v>
      </c>
      <c r="L108" s="254">
        <v>5171.7449999999981</v>
      </c>
      <c r="M108" s="254">
        <v>0</v>
      </c>
      <c r="N108" s="254">
        <v>2015.2740384615367</v>
      </c>
      <c r="O108" s="254">
        <v>0</v>
      </c>
      <c r="P108" s="254">
        <v>1252.9783653846148</v>
      </c>
      <c r="Q108" s="254">
        <v>0</v>
      </c>
      <c r="R108" s="254">
        <v>488.54249999999763</v>
      </c>
      <c r="S108" s="254">
        <v>0</v>
      </c>
      <c r="T108" s="254">
        <v>1671.8846153846162</v>
      </c>
      <c r="U108" s="254">
        <v>0</v>
      </c>
      <c r="V108" s="254">
        <v>1344.6538461538462</v>
      </c>
      <c r="W108" s="254">
        <v>0</v>
      </c>
      <c r="X108" s="254">
        <v>2880.588942307691</v>
      </c>
      <c r="Y108" s="254">
        <v>0</v>
      </c>
      <c r="Z108" s="254">
        <v>967.81250000000171</v>
      </c>
      <c r="AA108" s="254">
        <v>0</v>
      </c>
      <c r="AB108" s="254">
        <v>0</v>
      </c>
      <c r="AC108" s="254">
        <v>0</v>
      </c>
      <c r="AD108" s="254">
        <v>0</v>
      </c>
      <c r="AE108" s="254">
        <v>0</v>
      </c>
      <c r="AF108" s="254">
        <v>2226.1009615384614</v>
      </c>
      <c r="AG108" s="254">
        <v>0</v>
      </c>
      <c r="AH108" s="254">
        <v>1746.1474999999994</v>
      </c>
      <c r="AI108" s="254">
        <v>0</v>
      </c>
      <c r="AJ108" s="254">
        <v>4328.0260416666679</v>
      </c>
      <c r="AK108" s="254">
        <v>0</v>
      </c>
      <c r="AL108" s="254">
        <v>2936.7384259259265</v>
      </c>
      <c r="AM108" s="254">
        <v>0</v>
      </c>
      <c r="AN108" s="254">
        <v>1999.6177884615395</v>
      </c>
      <c r="AO108" s="254">
        <v>0</v>
      </c>
      <c r="AP108" s="254">
        <v>0</v>
      </c>
      <c r="AQ108" s="254">
        <v>0</v>
      </c>
      <c r="AR108" s="254">
        <v>1674.9206730769238</v>
      </c>
      <c r="AS108" s="254">
        <v>0</v>
      </c>
      <c r="AT108" s="254">
        <v>1348.3149038461549</v>
      </c>
      <c r="AU108" s="254">
        <v>0</v>
      </c>
      <c r="AV108" s="254">
        <v>2884.4735576923044</v>
      </c>
      <c r="AW108" s="254">
        <v>0</v>
      </c>
      <c r="AX108" s="254">
        <v>970.51</v>
      </c>
      <c r="AY108" s="254">
        <v>0</v>
      </c>
    </row>
    <row r="109" spans="2:51">
      <c r="B109" s="244">
        <v>10354</v>
      </c>
      <c r="C109" s="244" t="s">
        <v>112</v>
      </c>
      <c r="D109" s="254">
        <v>0</v>
      </c>
      <c r="E109" s="254">
        <v>0</v>
      </c>
      <c r="F109" s="254">
        <v>0</v>
      </c>
      <c r="G109" s="254">
        <v>0</v>
      </c>
      <c r="H109" s="254">
        <v>0</v>
      </c>
      <c r="I109" s="254">
        <v>0</v>
      </c>
      <c r="J109" s="254">
        <v>0</v>
      </c>
      <c r="K109" s="254">
        <v>0</v>
      </c>
      <c r="L109" s="254">
        <v>0</v>
      </c>
      <c r="M109" s="254">
        <v>0</v>
      </c>
      <c r="N109" s="254">
        <v>0</v>
      </c>
      <c r="O109" s="254">
        <v>0</v>
      </c>
      <c r="P109" s="254">
        <v>0</v>
      </c>
      <c r="Q109" s="254">
        <v>0</v>
      </c>
      <c r="R109" s="254">
        <v>0</v>
      </c>
      <c r="S109" s="254">
        <v>0</v>
      </c>
      <c r="T109" s="254">
        <v>0</v>
      </c>
      <c r="U109" s="254">
        <v>0</v>
      </c>
      <c r="V109" s="254">
        <v>0</v>
      </c>
      <c r="W109" s="254">
        <v>0</v>
      </c>
      <c r="X109" s="254">
        <v>0</v>
      </c>
      <c r="Y109" s="254">
        <v>0</v>
      </c>
      <c r="Z109" s="254">
        <v>0</v>
      </c>
      <c r="AA109" s="254">
        <v>0</v>
      </c>
      <c r="AB109" s="254">
        <v>0</v>
      </c>
      <c r="AC109" s="254">
        <v>0</v>
      </c>
      <c r="AD109" s="254">
        <v>0</v>
      </c>
      <c r="AE109" s="254">
        <v>0</v>
      </c>
      <c r="AF109" s="254">
        <v>0</v>
      </c>
      <c r="AG109" s="254">
        <v>0</v>
      </c>
      <c r="AH109" s="254">
        <v>0</v>
      </c>
      <c r="AI109" s="254">
        <v>0</v>
      </c>
      <c r="AJ109" s="254">
        <v>0</v>
      </c>
      <c r="AK109" s="254">
        <v>0</v>
      </c>
      <c r="AL109" s="254">
        <v>0</v>
      </c>
      <c r="AM109" s="254">
        <v>0</v>
      </c>
      <c r="AN109" s="254">
        <v>0</v>
      </c>
      <c r="AO109" s="254">
        <v>0</v>
      </c>
      <c r="AP109" s="254">
        <v>0</v>
      </c>
      <c r="AQ109" s="254">
        <v>0</v>
      </c>
      <c r="AR109" s="254">
        <v>0</v>
      </c>
      <c r="AS109" s="254">
        <v>0</v>
      </c>
      <c r="AT109" s="254">
        <v>0</v>
      </c>
      <c r="AU109" s="254">
        <v>0</v>
      </c>
      <c r="AV109" s="254">
        <v>0</v>
      </c>
      <c r="AW109" s="254">
        <v>0</v>
      </c>
      <c r="AX109" s="254">
        <v>0</v>
      </c>
      <c r="AY109" s="254">
        <v>0</v>
      </c>
    </row>
    <row r="110" spans="2:51">
      <c r="B110" s="244">
        <v>10360</v>
      </c>
      <c r="C110" s="244" t="s">
        <v>113</v>
      </c>
      <c r="D110" s="254">
        <v>1145.9884259259259</v>
      </c>
      <c r="E110" s="254">
        <v>0</v>
      </c>
      <c r="F110" s="254">
        <v>376.34250000000071</v>
      </c>
      <c r="G110" s="254">
        <v>0</v>
      </c>
      <c r="H110" s="254">
        <v>611.92249999999922</v>
      </c>
      <c r="I110" s="254">
        <v>0</v>
      </c>
      <c r="J110" s="254">
        <v>1090.4711538461529</v>
      </c>
      <c r="K110" s="254">
        <v>0</v>
      </c>
      <c r="L110" s="254">
        <v>535.23749999999961</v>
      </c>
      <c r="M110" s="254">
        <v>0</v>
      </c>
      <c r="N110" s="254">
        <v>246.3822115384624</v>
      </c>
      <c r="O110" s="254">
        <v>0</v>
      </c>
      <c r="P110" s="254">
        <v>1421.1274038461536</v>
      </c>
      <c r="Q110" s="254">
        <v>0</v>
      </c>
      <c r="R110" s="254">
        <v>895.61499999999899</v>
      </c>
      <c r="S110" s="254">
        <v>0</v>
      </c>
      <c r="T110" s="254">
        <v>1933.6874999999982</v>
      </c>
      <c r="U110" s="254">
        <v>0</v>
      </c>
      <c r="V110" s="254">
        <v>2931.701923076921</v>
      </c>
      <c r="W110" s="254">
        <v>0</v>
      </c>
      <c r="X110" s="254">
        <v>722.09374999999841</v>
      </c>
      <c r="Y110" s="254">
        <v>0</v>
      </c>
      <c r="Z110" s="254">
        <v>1363.2124999999999</v>
      </c>
      <c r="AA110" s="254">
        <v>0</v>
      </c>
      <c r="AB110" s="254">
        <v>1153.5972222222222</v>
      </c>
      <c r="AC110" s="254">
        <v>0</v>
      </c>
      <c r="AD110" s="254">
        <v>216.9192708333334</v>
      </c>
      <c r="AE110" s="254">
        <v>0</v>
      </c>
      <c r="AF110" s="254">
        <v>843.02644230769249</v>
      </c>
      <c r="AG110" s="254">
        <v>0</v>
      </c>
      <c r="AH110" s="254">
        <v>887.08749999999998</v>
      </c>
      <c r="AI110" s="254">
        <v>0</v>
      </c>
      <c r="AJ110" s="254">
        <v>352.8203125</v>
      </c>
      <c r="AK110" s="254">
        <v>0</v>
      </c>
      <c r="AL110" s="254">
        <v>404.00925925926015</v>
      </c>
      <c r="AM110" s="254">
        <v>0</v>
      </c>
      <c r="AN110" s="254">
        <v>1628.4134615384621</v>
      </c>
      <c r="AO110" s="254">
        <v>0</v>
      </c>
      <c r="AP110" s="254">
        <v>574.56999999999914</v>
      </c>
      <c r="AQ110" s="254">
        <v>0</v>
      </c>
      <c r="AR110" s="254">
        <v>1947.2740384615386</v>
      </c>
      <c r="AS110" s="254">
        <v>0</v>
      </c>
      <c r="AT110" s="254">
        <v>2944.4471153846134</v>
      </c>
      <c r="AU110" s="254">
        <v>0</v>
      </c>
      <c r="AV110" s="254">
        <v>726.50961538461559</v>
      </c>
      <c r="AW110" s="254">
        <v>0</v>
      </c>
      <c r="AX110" s="254">
        <v>1375.9849999999997</v>
      </c>
      <c r="AY110" s="254">
        <v>0</v>
      </c>
    </row>
    <row r="111" spans="2:51">
      <c r="B111" s="244">
        <v>10363</v>
      </c>
      <c r="C111" s="244" t="s">
        <v>114</v>
      </c>
      <c r="D111" s="254">
        <v>0</v>
      </c>
      <c r="E111" s="254">
        <v>0</v>
      </c>
      <c r="F111" s="254">
        <v>3117.96</v>
      </c>
      <c r="G111" s="254">
        <v>0</v>
      </c>
      <c r="H111" s="254">
        <v>7741.3925000000145</v>
      </c>
      <c r="I111" s="254">
        <v>0</v>
      </c>
      <c r="J111" s="254">
        <v>11186.971153846154</v>
      </c>
      <c r="K111" s="254">
        <v>0</v>
      </c>
      <c r="L111" s="254">
        <v>2580.1624999999931</v>
      </c>
      <c r="M111" s="254">
        <v>0</v>
      </c>
      <c r="N111" s="254">
        <v>8694.4230769230871</v>
      </c>
      <c r="O111" s="254">
        <v>0</v>
      </c>
      <c r="P111" s="254">
        <v>5904.0552884615454</v>
      </c>
      <c r="Q111" s="254">
        <v>0</v>
      </c>
      <c r="R111" s="254">
        <v>2139.7249999999808</v>
      </c>
      <c r="S111" s="254">
        <v>0</v>
      </c>
      <c r="T111" s="254">
        <v>15373.581730769234</v>
      </c>
      <c r="U111" s="254">
        <v>0</v>
      </c>
      <c r="V111" s="254">
        <v>10831.930288461532</v>
      </c>
      <c r="W111" s="254">
        <v>0</v>
      </c>
      <c r="X111" s="254">
        <v>11530.319711538466</v>
      </c>
      <c r="Y111" s="254">
        <v>0</v>
      </c>
      <c r="Z111" s="254">
        <v>8244.2949999999873</v>
      </c>
      <c r="AA111" s="254">
        <v>0</v>
      </c>
      <c r="AB111" s="254">
        <v>0</v>
      </c>
      <c r="AC111" s="254">
        <v>0</v>
      </c>
      <c r="AD111" s="254">
        <v>0</v>
      </c>
      <c r="AE111" s="254">
        <v>0</v>
      </c>
      <c r="AF111" s="254">
        <v>12940.752403846143</v>
      </c>
      <c r="AG111" s="254">
        <v>0</v>
      </c>
      <c r="AH111" s="254">
        <v>6429.632500000007</v>
      </c>
      <c r="AI111" s="254">
        <v>0</v>
      </c>
      <c r="AJ111" s="254">
        <v>0</v>
      </c>
      <c r="AK111" s="254">
        <v>0</v>
      </c>
      <c r="AL111" s="254">
        <v>12791.270833333328</v>
      </c>
      <c r="AM111" s="254">
        <v>0</v>
      </c>
      <c r="AN111" s="254">
        <v>9756.2355769230708</v>
      </c>
      <c r="AO111" s="254">
        <v>0</v>
      </c>
      <c r="AP111" s="254">
        <v>0</v>
      </c>
      <c r="AQ111" s="254">
        <v>0</v>
      </c>
      <c r="AR111" s="254">
        <v>15441.456730769234</v>
      </c>
      <c r="AS111" s="254">
        <v>0</v>
      </c>
      <c r="AT111" s="254">
        <v>10904.697115384617</v>
      </c>
      <c r="AU111" s="254">
        <v>0</v>
      </c>
      <c r="AV111" s="254">
        <v>11589.213942307679</v>
      </c>
      <c r="AW111" s="254">
        <v>0</v>
      </c>
      <c r="AX111" s="254">
        <v>8287.5699999999961</v>
      </c>
      <c r="AY111" s="254">
        <v>0</v>
      </c>
    </row>
    <row r="112" spans="2:51">
      <c r="B112" s="244">
        <v>10369</v>
      </c>
      <c r="C112" s="244" t="s">
        <v>115</v>
      </c>
      <c r="D112" s="254">
        <v>4026.2824074074065</v>
      </c>
      <c r="E112" s="254">
        <v>0</v>
      </c>
      <c r="F112" s="254">
        <v>1101.4349999999995</v>
      </c>
      <c r="G112" s="254">
        <v>0</v>
      </c>
      <c r="H112" s="254">
        <v>503.49249999999745</v>
      </c>
      <c r="I112" s="254">
        <v>0</v>
      </c>
      <c r="J112" s="254">
        <v>1086.5817307692321</v>
      </c>
      <c r="K112" s="254">
        <v>0</v>
      </c>
      <c r="L112" s="254">
        <v>2995.6699999999996</v>
      </c>
      <c r="M112" s="254">
        <v>0</v>
      </c>
      <c r="N112" s="254">
        <v>2208.6490384615395</v>
      </c>
      <c r="O112" s="254">
        <v>0</v>
      </c>
      <c r="P112" s="254">
        <v>2177.4471153846157</v>
      </c>
      <c r="Q112" s="254">
        <v>0</v>
      </c>
      <c r="R112" s="254">
        <v>3994.392499999999</v>
      </c>
      <c r="S112" s="254">
        <v>0</v>
      </c>
      <c r="T112" s="254">
        <v>3801.1634615384555</v>
      </c>
      <c r="U112" s="254">
        <v>0</v>
      </c>
      <c r="V112" s="254">
        <v>3515.7499999999973</v>
      </c>
      <c r="W112" s="254">
        <v>0</v>
      </c>
      <c r="X112" s="254">
        <v>2059.1129807692264</v>
      </c>
      <c r="Y112" s="254">
        <v>0</v>
      </c>
      <c r="Z112" s="254">
        <v>5634.6324999999979</v>
      </c>
      <c r="AA112" s="254">
        <v>0</v>
      </c>
      <c r="AB112" s="254">
        <v>4026.2824074074065</v>
      </c>
      <c r="AC112" s="254">
        <v>0</v>
      </c>
      <c r="AD112" s="254">
        <v>639.91145833333269</v>
      </c>
      <c r="AE112" s="254">
        <v>0</v>
      </c>
      <c r="AF112" s="254">
        <v>1021.58894230769</v>
      </c>
      <c r="AG112" s="254">
        <v>0</v>
      </c>
      <c r="AH112" s="254">
        <v>551.84500000000151</v>
      </c>
      <c r="AI112" s="254">
        <v>0</v>
      </c>
      <c r="AJ112" s="254">
        <v>2507.2812499999991</v>
      </c>
      <c r="AK112" s="254">
        <v>0</v>
      </c>
      <c r="AL112" s="254">
        <v>2638.9953703703709</v>
      </c>
      <c r="AM112" s="254">
        <v>0</v>
      </c>
      <c r="AN112" s="254">
        <v>2644.7980769230749</v>
      </c>
      <c r="AO112" s="254">
        <v>0</v>
      </c>
      <c r="AP112" s="254">
        <v>3188.3924999999981</v>
      </c>
      <c r="AQ112" s="254">
        <v>0</v>
      </c>
      <c r="AR112" s="254">
        <v>3801.1634615384555</v>
      </c>
      <c r="AS112" s="254">
        <v>0</v>
      </c>
      <c r="AT112" s="254">
        <v>3515.7499999999973</v>
      </c>
      <c r="AU112" s="254">
        <v>0</v>
      </c>
      <c r="AV112" s="254">
        <v>2059.1129807692264</v>
      </c>
      <c r="AW112" s="254">
        <v>0</v>
      </c>
      <c r="AX112" s="254">
        <v>5634.6324999999979</v>
      </c>
      <c r="AY112" s="254">
        <v>0</v>
      </c>
    </row>
    <row r="113" spans="2:51">
      <c r="B113" s="244">
        <v>10370</v>
      </c>
      <c r="C113" s="244" t="s">
        <v>116</v>
      </c>
      <c r="D113" s="254">
        <v>0</v>
      </c>
      <c r="E113" s="254">
        <v>0</v>
      </c>
      <c r="F113" s="254">
        <v>0</v>
      </c>
      <c r="G113" s="254">
        <v>0</v>
      </c>
      <c r="H113" s="254">
        <v>0</v>
      </c>
      <c r="I113" s="254">
        <v>0</v>
      </c>
      <c r="J113" s="254">
        <v>0</v>
      </c>
      <c r="K113" s="254">
        <v>0</v>
      </c>
      <c r="L113" s="254">
        <v>0</v>
      </c>
      <c r="M113" s="254">
        <v>0</v>
      </c>
      <c r="N113" s="254">
        <v>0</v>
      </c>
      <c r="O113" s="254">
        <v>0</v>
      </c>
      <c r="P113" s="254">
        <v>0</v>
      </c>
      <c r="Q113" s="254">
        <v>0</v>
      </c>
      <c r="R113" s="254">
        <v>0</v>
      </c>
      <c r="S113" s="254">
        <v>0</v>
      </c>
      <c r="T113" s="254">
        <v>0</v>
      </c>
      <c r="U113" s="254">
        <v>0</v>
      </c>
      <c r="V113" s="254">
        <v>0</v>
      </c>
      <c r="W113" s="254">
        <v>0</v>
      </c>
      <c r="X113" s="254">
        <v>0</v>
      </c>
      <c r="Y113" s="254">
        <v>0</v>
      </c>
      <c r="Z113" s="254">
        <v>0</v>
      </c>
      <c r="AA113" s="254">
        <v>0</v>
      </c>
      <c r="AB113" s="254">
        <v>0</v>
      </c>
      <c r="AC113" s="254">
        <v>0</v>
      </c>
      <c r="AD113" s="254">
        <v>0</v>
      </c>
      <c r="AE113" s="254">
        <v>0</v>
      </c>
      <c r="AF113" s="254">
        <v>0</v>
      </c>
      <c r="AG113" s="254">
        <v>0</v>
      </c>
      <c r="AH113" s="254">
        <v>0</v>
      </c>
      <c r="AI113" s="254">
        <v>0</v>
      </c>
      <c r="AJ113" s="254">
        <v>0</v>
      </c>
      <c r="AK113" s="254">
        <v>0</v>
      </c>
      <c r="AL113" s="254">
        <v>0</v>
      </c>
      <c r="AM113" s="254">
        <v>0</v>
      </c>
      <c r="AN113" s="254">
        <v>0</v>
      </c>
      <c r="AO113" s="254">
        <v>0</v>
      </c>
      <c r="AP113" s="254">
        <v>0</v>
      </c>
      <c r="AQ113" s="254">
        <v>0</v>
      </c>
      <c r="AR113" s="254">
        <v>0</v>
      </c>
      <c r="AS113" s="254">
        <v>0</v>
      </c>
      <c r="AT113" s="254">
        <v>0</v>
      </c>
      <c r="AU113" s="254">
        <v>0</v>
      </c>
      <c r="AV113" s="254">
        <v>0</v>
      </c>
      <c r="AW113" s="254">
        <v>0</v>
      </c>
      <c r="AX113" s="254">
        <v>0</v>
      </c>
      <c r="AY113" s="254">
        <v>0</v>
      </c>
    </row>
    <row r="114" spans="2:51">
      <c r="B114" s="244">
        <v>10371</v>
      </c>
      <c r="C114" s="244" t="s">
        <v>117</v>
      </c>
      <c r="D114" s="254">
        <v>0</v>
      </c>
      <c r="E114" s="254">
        <v>0</v>
      </c>
      <c r="F114" s="254">
        <v>0</v>
      </c>
      <c r="G114" s="254">
        <v>0</v>
      </c>
      <c r="H114" s="254">
        <v>0</v>
      </c>
      <c r="I114" s="254">
        <v>0</v>
      </c>
      <c r="J114" s="254">
        <v>740.09615384615392</v>
      </c>
      <c r="K114" s="254">
        <v>0</v>
      </c>
      <c r="L114" s="254">
        <v>722.60249999999894</v>
      </c>
      <c r="M114" s="254">
        <v>0</v>
      </c>
      <c r="N114" s="254">
        <v>0</v>
      </c>
      <c r="O114" s="254">
        <v>0</v>
      </c>
      <c r="P114" s="254">
        <v>594.89182692307634</v>
      </c>
      <c r="Q114" s="254">
        <v>0</v>
      </c>
      <c r="R114" s="254">
        <v>133.25249999999977</v>
      </c>
      <c r="S114" s="254">
        <v>0</v>
      </c>
      <c r="T114" s="254">
        <v>1669.0649038461556</v>
      </c>
      <c r="U114" s="254">
        <v>0</v>
      </c>
      <c r="V114" s="254">
        <v>1452.0504807692307</v>
      </c>
      <c r="W114" s="254">
        <v>0</v>
      </c>
      <c r="X114" s="254">
        <v>1256.8221153846159</v>
      </c>
      <c r="Y114" s="254">
        <v>0</v>
      </c>
      <c r="Z114" s="254">
        <v>215.10500000000121</v>
      </c>
      <c r="AA114" s="254">
        <v>0</v>
      </c>
      <c r="AB114" s="254">
        <v>0</v>
      </c>
      <c r="AC114" s="254">
        <v>0</v>
      </c>
      <c r="AD114" s="254">
        <v>0</v>
      </c>
      <c r="AE114" s="254">
        <v>0</v>
      </c>
      <c r="AF114" s="254">
        <v>30.298076923075179</v>
      </c>
      <c r="AG114" s="254">
        <v>0</v>
      </c>
      <c r="AH114" s="254">
        <v>213.44249999999843</v>
      </c>
      <c r="AI114" s="254">
        <v>0</v>
      </c>
      <c r="AJ114" s="254">
        <v>198.94010416666498</v>
      </c>
      <c r="AK114" s="254">
        <v>0</v>
      </c>
      <c r="AL114" s="254">
        <v>0</v>
      </c>
      <c r="AM114" s="254">
        <v>0</v>
      </c>
      <c r="AN114" s="254">
        <v>674.54086538461593</v>
      </c>
      <c r="AO114" s="254">
        <v>0</v>
      </c>
      <c r="AP114" s="254">
        <v>214.82249999999902</v>
      </c>
      <c r="AQ114" s="254">
        <v>0</v>
      </c>
      <c r="AR114" s="254">
        <v>1765.8677884615377</v>
      </c>
      <c r="AS114" s="254">
        <v>0</v>
      </c>
      <c r="AT114" s="254">
        <v>1544.680288461539</v>
      </c>
      <c r="AU114" s="254">
        <v>0</v>
      </c>
      <c r="AV114" s="254">
        <v>1349.41826923077</v>
      </c>
      <c r="AW114" s="254">
        <v>0</v>
      </c>
      <c r="AX114" s="254">
        <v>301.44749999999829</v>
      </c>
      <c r="AY114" s="254">
        <v>0</v>
      </c>
    </row>
    <row r="115" spans="2:51">
      <c r="B115" s="244">
        <v>10376</v>
      </c>
      <c r="C115" s="244" t="s">
        <v>118</v>
      </c>
      <c r="D115" s="254">
        <v>795.16666666666674</v>
      </c>
      <c r="E115" s="254">
        <v>0</v>
      </c>
      <c r="F115" s="254">
        <v>168.09000000000296</v>
      </c>
      <c r="G115" s="254">
        <v>0</v>
      </c>
      <c r="H115" s="254">
        <v>4240.3000000000011</v>
      </c>
      <c r="I115" s="254">
        <v>0</v>
      </c>
      <c r="J115" s="254">
        <v>13669.600961538465</v>
      </c>
      <c r="K115" s="254">
        <v>0</v>
      </c>
      <c r="L115" s="254">
        <v>0</v>
      </c>
      <c r="M115" s="254">
        <v>0</v>
      </c>
      <c r="N115" s="254">
        <v>13176.84375</v>
      </c>
      <c r="O115" s="254">
        <v>0</v>
      </c>
      <c r="P115" s="254">
        <v>4842.1875000000018</v>
      </c>
      <c r="Q115" s="254">
        <v>0</v>
      </c>
      <c r="R115" s="254">
        <v>1954.9999999999982</v>
      </c>
      <c r="S115" s="254">
        <v>0</v>
      </c>
      <c r="T115" s="254">
        <v>764.7716346153901</v>
      </c>
      <c r="U115" s="254">
        <v>0</v>
      </c>
      <c r="V115" s="254">
        <v>5339.0504807692305</v>
      </c>
      <c r="W115" s="254">
        <v>0</v>
      </c>
      <c r="X115" s="254">
        <v>883.75240384615552</v>
      </c>
      <c r="Y115" s="254">
        <v>0</v>
      </c>
      <c r="Z115" s="254">
        <v>4845.2999999999947</v>
      </c>
      <c r="AA115" s="254">
        <v>0</v>
      </c>
      <c r="AB115" s="254">
        <v>850.2499999999884</v>
      </c>
      <c r="AC115" s="254">
        <v>0</v>
      </c>
      <c r="AD115" s="254">
        <v>0</v>
      </c>
      <c r="AE115" s="254">
        <v>0</v>
      </c>
      <c r="AF115" s="254">
        <v>7429.7451923076887</v>
      </c>
      <c r="AG115" s="254">
        <v>0</v>
      </c>
      <c r="AH115" s="254">
        <v>10899.177499999993</v>
      </c>
      <c r="AI115" s="254">
        <v>0</v>
      </c>
      <c r="AJ115" s="254">
        <v>0</v>
      </c>
      <c r="AK115" s="254">
        <v>0</v>
      </c>
      <c r="AL115" s="254">
        <v>15896.793981481491</v>
      </c>
      <c r="AM115" s="254">
        <v>0</v>
      </c>
      <c r="AN115" s="254">
        <v>7572.3413461538485</v>
      </c>
      <c r="AO115" s="254">
        <v>0</v>
      </c>
      <c r="AP115" s="254">
        <v>0</v>
      </c>
      <c r="AQ115" s="254">
        <v>0</v>
      </c>
      <c r="AR115" s="254">
        <v>786.81971153846769</v>
      </c>
      <c r="AS115" s="254">
        <v>0</v>
      </c>
      <c r="AT115" s="254">
        <v>5362.8581730769229</v>
      </c>
      <c r="AU115" s="254">
        <v>0</v>
      </c>
      <c r="AV115" s="254">
        <v>895.04086538461843</v>
      </c>
      <c r="AW115" s="254">
        <v>0</v>
      </c>
      <c r="AX115" s="254">
        <v>4886.7349999999942</v>
      </c>
      <c r="AY115" s="254">
        <v>0</v>
      </c>
    </row>
    <row r="116" spans="2:51">
      <c r="B116" s="244">
        <v>10378</v>
      </c>
      <c r="C116" s="244" t="s">
        <v>119</v>
      </c>
      <c r="D116" s="254">
        <v>39.666666666666849</v>
      </c>
      <c r="E116" s="254">
        <v>0</v>
      </c>
      <c r="F116" s="254">
        <v>276.19499999999999</v>
      </c>
      <c r="G116" s="254">
        <v>0</v>
      </c>
      <c r="H116" s="254">
        <v>841.47000000000048</v>
      </c>
      <c r="I116" s="254">
        <v>0</v>
      </c>
      <c r="J116" s="254">
        <v>1427.9639423076919</v>
      </c>
      <c r="K116" s="254">
        <v>0</v>
      </c>
      <c r="L116" s="254">
        <v>743.5700000000005</v>
      </c>
      <c r="M116" s="254">
        <v>0</v>
      </c>
      <c r="N116" s="254">
        <v>516.18509615384619</v>
      </c>
      <c r="O116" s="254">
        <v>0</v>
      </c>
      <c r="P116" s="254">
        <v>444.0384615384616</v>
      </c>
      <c r="Q116" s="254">
        <v>0</v>
      </c>
      <c r="R116" s="254">
        <v>0</v>
      </c>
      <c r="S116" s="254">
        <v>0</v>
      </c>
      <c r="T116" s="254">
        <v>245.08653846153859</v>
      </c>
      <c r="U116" s="254">
        <v>0</v>
      </c>
      <c r="V116" s="254">
        <v>360.72836538461553</v>
      </c>
      <c r="W116" s="254">
        <v>0</v>
      </c>
      <c r="X116" s="254">
        <v>234.0096153846155</v>
      </c>
      <c r="Y116" s="254">
        <v>0</v>
      </c>
      <c r="Z116" s="254">
        <v>364.93250000000018</v>
      </c>
      <c r="AA116" s="254">
        <v>0</v>
      </c>
      <c r="AB116" s="254">
        <v>46.333333333333449</v>
      </c>
      <c r="AC116" s="254">
        <v>0</v>
      </c>
      <c r="AD116" s="254">
        <v>186.57291666666654</v>
      </c>
      <c r="AE116" s="254">
        <v>0</v>
      </c>
      <c r="AF116" s="254">
        <v>995.69230769230751</v>
      </c>
      <c r="AG116" s="254">
        <v>0</v>
      </c>
      <c r="AH116" s="254">
        <v>1307.1974999999995</v>
      </c>
      <c r="AI116" s="254">
        <v>0</v>
      </c>
      <c r="AJ116" s="254">
        <v>642.14583333333314</v>
      </c>
      <c r="AK116" s="254">
        <v>0</v>
      </c>
      <c r="AL116" s="254">
        <v>617.21527777777783</v>
      </c>
      <c r="AM116" s="254">
        <v>0</v>
      </c>
      <c r="AN116" s="254">
        <v>451.69471153846155</v>
      </c>
      <c r="AO116" s="254">
        <v>0</v>
      </c>
      <c r="AP116" s="254">
        <v>0</v>
      </c>
      <c r="AQ116" s="254">
        <v>0</v>
      </c>
      <c r="AR116" s="254">
        <v>248.3509615384616</v>
      </c>
      <c r="AS116" s="254">
        <v>0</v>
      </c>
      <c r="AT116" s="254">
        <v>365.2716346153843</v>
      </c>
      <c r="AU116" s="254">
        <v>0</v>
      </c>
      <c r="AV116" s="254">
        <v>237.20432692307668</v>
      </c>
      <c r="AW116" s="254">
        <v>0</v>
      </c>
      <c r="AX116" s="254">
        <v>367.20000000000005</v>
      </c>
      <c r="AY116" s="254">
        <v>0</v>
      </c>
    </row>
    <row r="117" spans="2:51">
      <c r="B117" s="244">
        <v>10379</v>
      </c>
      <c r="C117" s="244" t="s">
        <v>120</v>
      </c>
      <c r="D117" s="254">
        <v>483.50694444444377</v>
      </c>
      <c r="E117" s="254">
        <v>0</v>
      </c>
      <c r="F117" s="254">
        <v>6.5350000000004016</v>
      </c>
      <c r="G117" s="254">
        <v>0</v>
      </c>
      <c r="H117" s="254">
        <v>993.22000000000071</v>
      </c>
      <c r="I117" s="254">
        <v>0</v>
      </c>
      <c r="J117" s="254">
        <v>1107.6874999999998</v>
      </c>
      <c r="K117" s="254">
        <v>0</v>
      </c>
      <c r="L117" s="254">
        <v>974.79249999999956</v>
      </c>
      <c r="M117" s="254">
        <v>0</v>
      </c>
      <c r="N117" s="254">
        <v>687.76682692307793</v>
      </c>
      <c r="O117" s="254">
        <v>0</v>
      </c>
      <c r="P117" s="254">
        <v>266.68028846153823</v>
      </c>
      <c r="Q117" s="254">
        <v>0</v>
      </c>
      <c r="R117" s="254">
        <v>433.22000000000037</v>
      </c>
      <c r="S117" s="254">
        <v>0</v>
      </c>
      <c r="T117" s="254">
        <v>1216.3197115384614</v>
      </c>
      <c r="U117" s="254">
        <v>0</v>
      </c>
      <c r="V117" s="254">
        <v>979.16105769230774</v>
      </c>
      <c r="W117" s="254">
        <v>0</v>
      </c>
      <c r="X117" s="254">
        <v>988.01442307692298</v>
      </c>
      <c r="Y117" s="254">
        <v>0</v>
      </c>
      <c r="Z117" s="254">
        <v>974.39500000000021</v>
      </c>
      <c r="AA117" s="254">
        <v>0</v>
      </c>
      <c r="AB117" s="254">
        <v>496.83101851851939</v>
      </c>
      <c r="AC117" s="254">
        <v>0</v>
      </c>
      <c r="AD117" s="254">
        <v>0</v>
      </c>
      <c r="AE117" s="254">
        <v>0</v>
      </c>
      <c r="AF117" s="254">
        <v>1261.1874999999991</v>
      </c>
      <c r="AG117" s="254">
        <v>0</v>
      </c>
      <c r="AH117" s="254">
        <v>859.54750000000035</v>
      </c>
      <c r="AI117" s="254">
        <v>0</v>
      </c>
      <c r="AJ117" s="254">
        <v>743.63020833333326</v>
      </c>
      <c r="AK117" s="254">
        <v>0</v>
      </c>
      <c r="AL117" s="254">
        <v>901.6921296296299</v>
      </c>
      <c r="AM117" s="254">
        <v>0</v>
      </c>
      <c r="AN117" s="254">
        <v>276.5961538461541</v>
      </c>
      <c r="AO117" s="254">
        <v>0</v>
      </c>
      <c r="AP117" s="254">
        <v>445.25750000000028</v>
      </c>
      <c r="AQ117" s="254">
        <v>0</v>
      </c>
      <c r="AR117" s="254">
        <v>1231.1586538461543</v>
      </c>
      <c r="AS117" s="254">
        <v>0</v>
      </c>
      <c r="AT117" s="254">
        <v>993.91826923076906</v>
      </c>
      <c r="AU117" s="254">
        <v>0</v>
      </c>
      <c r="AV117" s="254">
        <v>1001.8149038461539</v>
      </c>
      <c r="AW117" s="254">
        <v>0</v>
      </c>
      <c r="AX117" s="254">
        <v>986.82749999999987</v>
      </c>
      <c r="AY117" s="254">
        <v>0</v>
      </c>
    </row>
    <row r="118" spans="2:51">
      <c r="B118" s="244">
        <v>10388</v>
      </c>
      <c r="C118" s="244" t="s">
        <v>121</v>
      </c>
      <c r="D118" s="254">
        <v>0</v>
      </c>
      <c r="E118" s="254">
        <v>0</v>
      </c>
      <c r="F118" s="254">
        <v>0</v>
      </c>
      <c r="G118" s="254">
        <v>0</v>
      </c>
      <c r="H118" s="254">
        <v>0</v>
      </c>
      <c r="I118" s="254">
        <v>0</v>
      </c>
      <c r="J118" s="254">
        <v>0</v>
      </c>
      <c r="K118" s="254">
        <v>0</v>
      </c>
      <c r="L118" s="254">
        <v>0</v>
      </c>
      <c r="M118" s="254">
        <v>0</v>
      </c>
      <c r="N118" s="254">
        <v>0</v>
      </c>
      <c r="O118" s="254">
        <v>0</v>
      </c>
      <c r="P118" s="254">
        <v>0</v>
      </c>
      <c r="Q118" s="254">
        <v>0</v>
      </c>
      <c r="R118" s="254">
        <v>0</v>
      </c>
      <c r="S118" s="254">
        <v>0</v>
      </c>
      <c r="T118" s="254">
        <v>0</v>
      </c>
      <c r="U118" s="254">
        <v>0</v>
      </c>
      <c r="V118" s="254">
        <v>0</v>
      </c>
      <c r="W118" s="254">
        <v>0</v>
      </c>
      <c r="X118" s="254">
        <v>0</v>
      </c>
      <c r="Y118" s="254">
        <v>0</v>
      </c>
      <c r="Z118" s="254">
        <v>0</v>
      </c>
      <c r="AA118" s="254">
        <v>0</v>
      </c>
      <c r="AB118" s="254">
        <v>0</v>
      </c>
      <c r="AC118" s="254">
        <v>0</v>
      </c>
      <c r="AD118" s="254">
        <v>0</v>
      </c>
      <c r="AE118" s="254">
        <v>0</v>
      </c>
      <c r="AF118" s="254">
        <v>0</v>
      </c>
      <c r="AG118" s="254">
        <v>0</v>
      </c>
      <c r="AH118" s="254">
        <v>0</v>
      </c>
      <c r="AI118" s="254">
        <v>0</v>
      </c>
      <c r="AJ118" s="254">
        <v>0</v>
      </c>
      <c r="AK118" s="254">
        <v>0</v>
      </c>
      <c r="AL118" s="254">
        <v>0</v>
      </c>
      <c r="AM118" s="254">
        <v>0</v>
      </c>
      <c r="AN118" s="254">
        <v>0</v>
      </c>
      <c r="AO118" s="254">
        <v>0</v>
      </c>
      <c r="AP118" s="254">
        <v>0</v>
      </c>
      <c r="AQ118" s="254">
        <v>0</v>
      </c>
      <c r="AR118" s="254">
        <v>0</v>
      </c>
      <c r="AS118" s="254">
        <v>0</v>
      </c>
      <c r="AT118" s="254">
        <v>0</v>
      </c>
      <c r="AU118" s="254">
        <v>0</v>
      </c>
      <c r="AV118" s="254">
        <v>0</v>
      </c>
      <c r="AW118" s="254">
        <v>0</v>
      </c>
      <c r="AX118" s="254">
        <v>0</v>
      </c>
      <c r="AY118" s="254">
        <v>0</v>
      </c>
    </row>
    <row r="119" spans="2:51">
      <c r="B119" s="244">
        <v>10391</v>
      </c>
      <c r="C119" s="244" t="s">
        <v>122</v>
      </c>
      <c r="D119" s="254">
        <v>1487.2384259259316</v>
      </c>
      <c r="E119" s="254">
        <v>0</v>
      </c>
      <c r="F119" s="254">
        <v>2444.3699999999976</v>
      </c>
      <c r="G119" s="254">
        <v>0</v>
      </c>
      <c r="H119" s="254">
        <v>4728.1899999999923</v>
      </c>
      <c r="I119" s="254">
        <v>0</v>
      </c>
      <c r="J119" s="254">
        <v>5230.4230769230799</v>
      </c>
      <c r="K119" s="254">
        <v>0</v>
      </c>
      <c r="L119" s="254">
        <v>1413.0950000000037</v>
      </c>
      <c r="M119" s="254">
        <v>0</v>
      </c>
      <c r="N119" s="254">
        <v>617.44471153846098</v>
      </c>
      <c r="O119" s="254">
        <v>0</v>
      </c>
      <c r="P119" s="254">
        <v>679.79807692307577</v>
      </c>
      <c r="Q119" s="254">
        <v>0</v>
      </c>
      <c r="R119" s="254">
        <v>2694.9775000000013</v>
      </c>
      <c r="S119" s="254">
        <v>0</v>
      </c>
      <c r="T119" s="254">
        <v>3966.1418269230849</v>
      </c>
      <c r="U119" s="254">
        <v>0</v>
      </c>
      <c r="V119" s="254">
        <v>10089.615384615388</v>
      </c>
      <c r="W119" s="254">
        <v>0</v>
      </c>
      <c r="X119" s="254">
        <v>5961.564903846147</v>
      </c>
      <c r="Y119" s="254">
        <v>0</v>
      </c>
      <c r="Z119" s="254">
        <v>109.70000000000013</v>
      </c>
      <c r="AA119" s="254">
        <v>0</v>
      </c>
      <c r="AB119" s="254">
        <v>1733.3333333333351</v>
      </c>
      <c r="AC119" s="254">
        <v>0</v>
      </c>
      <c r="AD119" s="254">
        <v>1499.5104166666681</v>
      </c>
      <c r="AE119" s="254">
        <v>0</v>
      </c>
      <c r="AF119" s="254">
        <v>6312.1081730769238</v>
      </c>
      <c r="AG119" s="254">
        <v>0</v>
      </c>
      <c r="AH119" s="254">
        <v>4121.0325000000039</v>
      </c>
      <c r="AI119" s="254">
        <v>0</v>
      </c>
      <c r="AJ119" s="254">
        <v>351.98437500000244</v>
      </c>
      <c r="AK119" s="254">
        <v>0</v>
      </c>
      <c r="AL119" s="254">
        <v>1893.3101851851859</v>
      </c>
      <c r="AM119" s="254">
        <v>0</v>
      </c>
      <c r="AN119" s="254">
        <v>909.57211538461809</v>
      </c>
      <c r="AO119" s="254">
        <v>0</v>
      </c>
      <c r="AP119" s="254">
        <v>2919.1699999999951</v>
      </c>
      <c r="AQ119" s="254">
        <v>0</v>
      </c>
      <c r="AR119" s="254">
        <v>4195.2740384615408</v>
      </c>
      <c r="AS119" s="254">
        <v>0</v>
      </c>
      <c r="AT119" s="254">
        <v>10338.475961538461</v>
      </c>
      <c r="AU119" s="254">
        <v>0</v>
      </c>
      <c r="AV119" s="254">
        <v>6184.3149038461524</v>
      </c>
      <c r="AW119" s="254">
        <v>0</v>
      </c>
      <c r="AX119" s="254">
        <v>333.19499999999994</v>
      </c>
      <c r="AY119" s="254">
        <v>0</v>
      </c>
    </row>
    <row r="120" spans="2:51">
      <c r="B120" s="244">
        <v>10406</v>
      </c>
      <c r="C120" s="244" t="s">
        <v>123</v>
      </c>
      <c r="D120" s="254">
        <v>126.23379629629625</v>
      </c>
      <c r="E120" s="254">
        <v>0</v>
      </c>
      <c r="F120" s="254">
        <v>165.05750000000003</v>
      </c>
      <c r="G120" s="254">
        <v>0</v>
      </c>
      <c r="H120" s="254">
        <v>0</v>
      </c>
      <c r="I120" s="254">
        <v>0</v>
      </c>
      <c r="J120" s="254">
        <v>166.35576923076943</v>
      </c>
      <c r="K120" s="254">
        <v>0</v>
      </c>
      <c r="L120" s="254">
        <v>133.85999999999999</v>
      </c>
      <c r="M120" s="254">
        <v>0</v>
      </c>
      <c r="N120" s="254">
        <v>183.44471153846149</v>
      </c>
      <c r="O120" s="254">
        <v>0</v>
      </c>
      <c r="P120" s="254">
        <v>68.180288461538396</v>
      </c>
      <c r="Q120" s="254">
        <v>0</v>
      </c>
      <c r="R120" s="254">
        <v>5.1724999999999133</v>
      </c>
      <c r="S120" s="254">
        <v>0</v>
      </c>
      <c r="T120" s="254">
        <v>0</v>
      </c>
      <c r="U120" s="254">
        <v>0</v>
      </c>
      <c r="V120" s="254">
        <v>0</v>
      </c>
      <c r="W120" s="254">
        <v>0</v>
      </c>
      <c r="X120" s="254">
        <v>0</v>
      </c>
      <c r="Y120" s="254">
        <v>0</v>
      </c>
      <c r="Z120" s="254">
        <v>0</v>
      </c>
      <c r="AA120" s="254">
        <v>0</v>
      </c>
      <c r="AB120" s="254">
        <v>134.31481481481487</v>
      </c>
      <c r="AC120" s="254">
        <v>0</v>
      </c>
      <c r="AD120" s="254">
        <v>142.40364583333326</v>
      </c>
      <c r="AE120" s="254">
        <v>0</v>
      </c>
      <c r="AF120" s="254">
        <v>50.526442307692157</v>
      </c>
      <c r="AG120" s="254">
        <v>0</v>
      </c>
      <c r="AH120" s="254">
        <v>143.97500000000016</v>
      </c>
      <c r="AI120" s="254">
        <v>0</v>
      </c>
      <c r="AJ120" s="254">
        <v>109.21614583333339</v>
      </c>
      <c r="AK120" s="254">
        <v>0</v>
      </c>
      <c r="AL120" s="254">
        <v>225.33564814814815</v>
      </c>
      <c r="AM120" s="254">
        <v>0</v>
      </c>
      <c r="AN120" s="254">
        <v>106.27644230769224</v>
      </c>
      <c r="AO120" s="254">
        <v>0</v>
      </c>
      <c r="AP120" s="254">
        <v>0</v>
      </c>
      <c r="AQ120" s="254">
        <v>0</v>
      </c>
      <c r="AR120" s="254">
        <v>0</v>
      </c>
      <c r="AS120" s="254">
        <v>0</v>
      </c>
      <c r="AT120" s="254">
        <v>0</v>
      </c>
      <c r="AU120" s="254">
        <v>0</v>
      </c>
      <c r="AV120" s="254">
        <v>0</v>
      </c>
      <c r="AW120" s="254">
        <v>0</v>
      </c>
      <c r="AX120" s="254">
        <v>0</v>
      </c>
      <c r="AY120" s="254">
        <v>0</v>
      </c>
    </row>
    <row r="121" spans="2:51">
      <c r="B121" s="244">
        <v>10408</v>
      </c>
      <c r="C121" s="244" t="s">
        <v>124</v>
      </c>
      <c r="D121" s="254">
        <v>209.3611111111112</v>
      </c>
      <c r="E121" s="254">
        <v>0</v>
      </c>
      <c r="F121" s="254">
        <v>214.36499999999992</v>
      </c>
      <c r="G121" s="254">
        <v>0</v>
      </c>
      <c r="H121" s="254">
        <v>68.232500000000115</v>
      </c>
      <c r="I121" s="254">
        <v>0</v>
      </c>
      <c r="J121" s="254">
        <v>225.16105769230776</v>
      </c>
      <c r="K121" s="254">
        <v>0</v>
      </c>
      <c r="L121" s="254">
        <v>397.87750000000005</v>
      </c>
      <c r="M121" s="254">
        <v>0</v>
      </c>
      <c r="N121" s="254">
        <v>129.29567307692309</v>
      </c>
      <c r="O121" s="254">
        <v>0</v>
      </c>
      <c r="P121" s="254">
        <v>145.94230769230776</v>
      </c>
      <c r="Q121" s="254">
        <v>0</v>
      </c>
      <c r="R121" s="254">
        <v>254.91750000000025</v>
      </c>
      <c r="S121" s="254">
        <v>0</v>
      </c>
      <c r="T121" s="254">
        <v>226.30528846153825</v>
      </c>
      <c r="U121" s="254">
        <v>0</v>
      </c>
      <c r="V121" s="254">
        <v>244.03846153846172</v>
      </c>
      <c r="W121" s="254">
        <v>0</v>
      </c>
      <c r="X121" s="254">
        <v>137.23798076923083</v>
      </c>
      <c r="Y121" s="254">
        <v>0</v>
      </c>
      <c r="Z121" s="254">
        <v>463.38250000000028</v>
      </c>
      <c r="AA121" s="254">
        <v>0</v>
      </c>
      <c r="AB121" s="254">
        <v>209.3611111111112</v>
      </c>
      <c r="AC121" s="254">
        <v>0</v>
      </c>
      <c r="AD121" s="254">
        <v>140.671875</v>
      </c>
      <c r="AE121" s="254">
        <v>0</v>
      </c>
      <c r="AF121" s="254">
        <v>144.91586538461561</v>
      </c>
      <c r="AG121" s="254">
        <v>0</v>
      </c>
      <c r="AH121" s="254">
        <v>153.60750000000013</v>
      </c>
      <c r="AI121" s="254">
        <v>0</v>
      </c>
      <c r="AJ121" s="254">
        <v>324.99739583333337</v>
      </c>
      <c r="AK121" s="254">
        <v>0</v>
      </c>
      <c r="AL121" s="254">
        <v>198.21064814814812</v>
      </c>
      <c r="AM121" s="254">
        <v>0</v>
      </c>
      <c r="AN121" s="254">
        <v>233.77884615384625</v>
      </c>
      <c r="AO121" s="254">
        <v>0</v>
      </c>
      <c r="AP121" s="254">
        <v>174.55750000000026</v>
      </c>
      <c r="AQ121" s="254">
        <v>0</v>
      </c>
      <c r="AR121" s="254">
        <v>226.30528846153825</v>
      </c>
      <c r="AS121" s="254">
        <v>0</v>
      </c>
      <c r="AT121" s="254">
        <v>244.03846153846172</v>
      </c>
      <c r="AU121" s="254">
        <v>0</v>
      </c>
      <c r="AV121" s="254">
        <v>137.23798076923083</v>
      </c>
      <c r="AW121" s="254">
        <v>0</v>
      </c>
      <c r="AX121" s="254">
        <v>463.38250000000028</v>
      </c>
      <c r="AY121" s="254">
        <v>0</v>
      </c>
    </row>
    <row r="122" spans="2:51">
      <c r="B122" s="244">
        <v>10409</v>
      </c>
      <c r="C122" s="244" t="s">
        <v>125</v>
      </c>
      <c r="D122" s="254">
        <v>1901.9212962962961</v>
      </c>
      <c r="E122" s="254">
        <v>0</v>
      </c>
      <c r="F122" s="254">
        <v>242.55250000000129</v>
      </c>
      <c r="G122" s="254">
        <v>0</v>
      </c>
      <c r="H122" s="254">
        <v>1631.5299999999975</v>
      </c>
      <c r="I122" s="254">
        <v>0</v>
      </c>
      <c r="J122" s="254">
        <v>3341.346153846157</v>
      </c>
      <c r="K122" s="254">
        <v>0</v>
      </c>
      <c r="L122" s="254">
        <v>3533.1750000000002</v>
      </c>
      <c r="M122" s="254">
        <v>0</v>
      </c>
      <c r="N122" s="254">
        <v>1160.0745192307706</v>
      </c>
      <c r="O122" s="254">
        <v>0</v>
      </c>
      <c r="P122" s="254">
        <v>1174.5192307692346</v>
      </c>
      <c r="Q122" s="254">
        <v>0</v>
      </c>
      <c r="R122" s="254">
        <v>704.88250000000005</v>
      </c>
      <c r="S122" s="254">
        <v>0</v>
      </c>
      <c r="T122" s="254">
        <v>4314.2139423076933</v>
      </c>
      <c r="U122" s="254">
        <v>0</v>
      </c>
      <c r="V122" s="254">
        <v>3006.3341346153825</v>
      </c>
      <c r="W122" s="254">
        <v>0</v>
      </c>
      <c r="X122" s="254">
        <v>2608.8629807692305</v>
      </c>
      <c r="Y122" s="254">
        <v>0</v>
      </c>
      <c r="Z122" s="254">
        <v>2697.2949999999983</v>
      </c>
      <c r="AA122" s="254">
        <v>0</v>
      </c>
      <c r="AB122" s="254">
        <v>3299.8032407407422</v>
      </c>
      <c r="AC122" s="254">
        <v>0</v>
      </c>
      <c r="AD122" s="254">
        <v>458.83072916666646</v>
      </c>
      <c r="AE122" s="254">
        <v>0</v>
      </c>
      <c r="AF122" s="254">
        <v>1866.223557692304</v>
      </c>
      <c r="AG122" s="254">
        <v>0</v>
      </c>
      <c r="AH122" s="254">
        <v>3585.0974999999999</v>
      </c>
      <c r="AI122" s="254">
        <v>0</v>
      </c>
      <c r="AJ122" s="254">
        <v>4014.2369791666715</v>
      </c>
      <c r="AK122" s="254">
        <v>0</v>
      </c>
      <c r="AL122" s="254">
        <v>3405.6180555555557</v>
      </c>
      <c r="AM122" s="254">
        <v>0</v>
      </c>
      <c r="AN122" s="254">
        <v>3246.6658653846171</v>
      </c>
      <c r="AO122" s="254">
        <v>0</v>
      </c>
      <c r="AP122" s="254">
        <v>1232.0400000000013</v>
      </c>
      <c r="AQ122" s="254">
        <v>0</v>
      </c>
      <c r="AR122" s="254">
        <v>4314.2139423076933</v>
      </c>
      <c r="AS122" s="254">
        <v>0</v>
      </c>
      <c r="AT122" s="254">
        <v>3006.3341346153825</v>
      </c>
      <c r="AU122" s="254">
        <v>0</v>
      </c>
      <c r="AV122" s="254">
        <v>2608.8629807692305</v>
      </c>
      <c r="AW122" s="254">
        <v>0</v>
      </c>
      <c r="AX122" s="254">
        <v>2697.2949999999983</v>
      </c>
      <c r="AY122" s="254">
        <v>0</v>
      </c>
    </row>
    <row r="123" spans="2:51">
      <c r="B123" s="244">
        <v>10426</v>
      </c>
      <c r="C123" s="244" t="s">
        <v>126</v>
      </c>
      <c r="D123" s="254">
        <v>5119.5787037037044</v>
      </c>
      <c r="E123" s="254">
        <v>0</v>
      </c>
      <c r="F123" s="254">
        <v>3240.1550000000025</v>
      </c>
      <c r="G123" s="254">
        <v>0</v>
      </c>
      <c r="H123" s="254">
        <v>4940.5749999999989</v>
      </c>
      <c r="I123" s="254">
        <v>0</v>
      </c>
      <c r="J123" s="254">
        <v>5741.9471153846162</v>
      </c>
      <c r="K123" s="254">
        <v>0</v>
      </c>
      <c r="L123" s="254">
        <v>4174.1449999999977</v>
      </c>
      <c r="M123" s="254">
        <v>0</v>
      </c>
      <c r="N123" s="254">
        <v>6916.9519230769247</v>
      </c>
      <c r="O123" s="254">
        <v>0</v>
      </c>
      <c r="P123" s="254">
        <v>6865.5625000000009</v>
      </c>
      <c r="Q123" s="254">
        <v>0</v>
      </c>
      <c r="R123" s="254">
        <v>3768.4549999999981</v>
      </c>
      <c r="S123" s="254">
        <v>0</v>
      </c>
      <c r="T123" s="254">
        <v>4515.2067307692314</v>
      </c>
      <c r="U123" s="254">
        <v>0</v>
      </c>
      <c r="V123" s="254">
        <v>5011.0552884615354</v>
      </c>
      <c r="W123" s="254">
        <v>0</v>
      </c>
      <c r="X123" s="254">
        <v>5403.1682692307704</v>
      </c>
      <c r="Y123" s="254">
        <v>0</v>
      </c>
      <c r="Z123" s="254">
        <v>4771.9399999999987</v>
      </c>
      <c r="AA123" s="254">
        <v>0</v>
      </c>
      <c r="AB123" s="254">
        <v>5119.5787037037044</v>
      </c>
      <c r="AC123" s="254">
        <v>0</v>
      </c>
      <c r="AD123" s="254">
        <v>2542.4114583333344</v>
      </c>
      <c r="AE123" s="254">
        <v>0</v>
      </c>
      <c r="AF123" s="254">
        <v>5789.9375000000009</v>
      </c>
      <c r="AG123" s="254">
        <v>0</v>
      </c>
      <c r="AH123" s="254">
        <v>4851.6249999999991</v>
      </c>
      <c r="AI123" s="254">
        <v>0</v>
      </c>
      <c r="AJ123" s="254">
        <v>3445.6510416666665</v>
      </c>
      <c r="AK123" s="254">
        <v>0</v>
      </c>
      <c r="AL123" s="254">
        <v>7523.7685185185192</v>
      </c>
      <c r="AM123" s="254">
        <v>0</v>
      </c>
      <c r="AN123" s="254">
        <v>6865.5625000000009</v>
      </c>
      <c r="AO123" s="254">
        <v>0</v>
      </c>
      <c r="AP123" s="254">
        <v>3768.4549999999981</v>
      </c>
      <c r="AQ123" s="254">
        <v>0</v>
      </c>
      <c r="AR123" s="254">
        <v>4515.2067307692314</v>
      </c>
      <c r="AS123" s="254">
        <v>0</v>
      </c>
      <c r="AT123" s="254">
        <v>5011.0552884615354</v>
      </c>
      <c r="AU123" s="254">
        <v>0</v>
      </c>
      <c r="AV123" s="254">
        <v>5403.1682692307704</v>
      </c>
      <c r="AW123" s="254">
        <v>0</v>
      </c>
      <c r="AX123" s="254">
        <v>4771.9399999999987</v>
      </c>
      <c r="AY123" s="254">
        <v>0</v>
      </c>
    </row>
    <row r="124" spans="2:51">
      <c r="B124" s="244">
        <v>10434</v>
      </c>
      <c r="C124" s="244" t="s">
        <v>127</v>
      </c>
      <c r="D124" s="254">
        <v>658.41898148148118</v>
      </c>
      <c r="E124" s="254">
        <v>0</v>
      </c>
      <c r="F124" s="254">
        <v>614.45500000000129</v>
      </c>
      <c r="G124" s="254">
        <v>0</v>
      </c>
      <c r="H124" s="254">
        <v>2009.7350000000044</v>
      </c>
      <c r="I124" s="254">
        <v>0</v>
      </c>
      <c r="J124" s="254">
        <v>8903.9182692307713</v>
      </c>
      <c r="K124" s="254">
        <v>0</v>
      </c>
      <c r="L124" s="254">
        <v>1993.7299999999975</v>
      </c>
      <c r="M124" s="254">
        <v>0</v>
      </c>
      <c r="N124" s="254">
        <v>907.37500000000273</v>
      </c>
      <c r="O124" s="254">
        <v>0</v>
      </c>
      <c r="P124" s="254">
        <v>3792.7740384615395</v>
      </c>
      <c r="Q124" s="254">
        <v>0</v>
      </c>
      <c r="R124" s="254">
        <v>4375.9225000000006</v>
      </c>
      <c r="S124" s="254">
        <v>0</v>
      </c>
      <c r="T124" s="254">
        <v>6406.7740384615345</v>
      </c>
      <c r="U124" s="254">
        <v>0</v>
      </c>
      <c r="V124" s="254">
        <v>8673.3822115384628</v>
      </c>
      <c r="W124" s="254">
        <v>0</v>
      </c>
      <c r="X124" s="254">
        <v>11630.680288461539</v>
      </c>
      <c r="Y124" s="254">
        <v>0</v>
      </c>
      <c r="Z124" s="254">
        <v>7613.9399999999951</v>
      </c>
      <c r="AA124" s="254">
        <v>0</v>
      </c>
      <c r="AB124" s="254">
        <v>691.14814814814713</v>
      </c>
      <c r="AC124" s="254">
        <v>0</v>
      </c>
      <c r="AD124" s="254">
        <v>0</v>
      </c>
      <c r="AE124" s="254">
        <v>0</v>
      </c>
      <c r="AF124" s="254">
        <v>3492.204326923078</v>
      </c>
      <c r="AG124" s="254">
        <v>0</v>
      </c>
      <c r="AH124" s="254">
        <v>7547.2625000000025</v>
      </c>
      <c r="AI124" s="254">
        <v>0</v>
      </c>
      <c r="AJ124" s="254">
        <v>728.65104166666401</v>
      </c>
      <c r="AK124" s="254">
        <v>0</v>
      </c>
      <c r="AL124" s="254">
        <v>2045.8611111111163</v>
      </c>
      <c r="AM124" s="254">
        <v>0</v>
      </c>
      <c r="AN124" s="254">
        <v>3832.908653846152</v>
      </c>
      <c r="AO124" s="254">
        <v>0</v>
      </c>
      <c r="AP124" s="254">
        <v>4426.8000000000029</v>
      </c>
      <c r="AQ124" s="254">
        <v>0</v>
      </c>
      <c r="AR124" s="254">
        <v>6482.3413461538448</v>
      </c>
      <c r="AS124" s="254">
        <v>0</v>
      </c>
      <c r="AT124" s="254">
        <v>8754.6658653846207</v>
      </c>
      <c r="AU124" s="254">
        <v>0</v>
      </c>
      <c r="AV124" s="254">
        <v>11735.127403846151</v>
      </c>
      <c r="AW124" s="254">
        <v>0</v>
      </c>
      <c r="AX124" s="254">
        <v>7680.8624999999956</v>
      </c>
      <c r="AY124" s="254">
        <v>0</v>
      </c>
    </row>
    <row r="125" spans="2:51">
      <c r="B125" s="244">
        <v>10436</v>
      </c>
      <c r="C125" s="244" t="s">
        <v>128</v>
      </c>
      <c r="D125" s="254">
        <v>3668.6759259259256</v>
      </c>
      <c r="E125" s="254">
        <v>0</v>
      </c>
      <c r="F125" s="254">
        <v>767.48500000000331</v>
      </c>
      <c r="G125" s="254">
        <v>0</v>
      </c>
      <c r="H125" s="254">
        <v>0</v>
      </c>
      <c r="I125" s="254">
        <v>0</v>
      </c>
      <c r="J125" s="254">
        <v>2262.240384615387</v>
      </c>
      <c r="K125" s="254">
        <v>0</v>
      </c>
      <c r="L125" s="254">
        <v>1862.5274999999951</v>
      </c>
      <c r="M125" s="254">
        <v>0</v>
      </c>
      <c r="N125" s="254">
        <v>1712.4254807692294</v>
      </c>
      <c r="O125" s="254">
        <v>0</v>
      </c>
      <c r="P125" s="254">
        <v>3973.766826923078</v>
      </c>
      <c r="Q125" s="254">
        <v>0</v>
      </c>
      <c r="R125" s="254">
        <v>2776.3825000000006</v>
      </c>
      <c r="S125" s="254">
        <v>0</v>
      </c>
      <c r="T125" s="254">
        <v>4190.9062500000018</v>
      </c>
      <c r="U125" s="254">
        <v>0</v>
      </c>
      <c r="V125" s="254">
        <v>5865.7740384615399</v>
      </c>
      <c r="W125" s="254">
        <v>0</v>
      </c>
      <c r="X125" s="254">
        <v>3555.3173076923076</v>
      </c>
      <c r="Y125" s="254">
        <v>0</v>
      </c>
      <c r="Z125" s="254">
        <v>5821.5950000000003</v>
      </c>
      <c r="AA125" s="254">
        <v>0</v>
      </c>
      <c r="AB125" s="254">
        <v>3777.641203703703</v>
      </c>
      <c r="AC125" s="254">
        <v>0</v>
      </c>
      <c r="AD125" s="254">
        <v>68.703124999998096</v>
      </c>
      <c r="AE125" s="254">
        <v>0</v>
      </c>
      <c r="AF125" s="254">
        <v>928.00961538461468</v>
      </c>
      <c r="AG125" s="254">
        <v>0</v>
      </c>
      <c r="AH125" s="254">
        <v>1416.1024999999956</v>
      </c>
      <c r="AI125" s="254">
        <v>0</v>
      </c>
      <c r="AJ125" s="254">
        <v>1086.2786458333317</v>
      </c>
      <c r="AK125" s="254">
        <v>0</v>
      </c>
      <c r="AL125" s="254">
        <v>2570.2152777777796</v>
      </c>
      <c r="AM125" s="254">
        <v>0</v>
      </c>
      <c r="AN125" s="254">
        <v>4079.2235576923081</v>
      </c>
      <c r="AO125" s="254">
        <v>0</v>
      </c>
      <c r="AP125" s="254">
        <v>2880.9400000000023</v>
      </c>
      <c r="AQ125" s="254">
        <v>0</v>
      </c>
      <c r="AR125" s="254">
        <v>4293.211538461539</v>
      </c>
      <c r="AS125" s="254">
        <v>0</v>
      </c>
      <c r="AT125" s="254">
        <v>5975.6033653846162</v>
      </c>
      <c r="AU125" s="254">
        <v>0</v>
      </c>
      <c r="AV125" s="254">
        <v>3657.7692307692314</v>
      </c>
      <c r="AW125" s="254">
        <v>0</v>
      </c>
      <c r="AX125" s="254">
        <v>5925.6299999999965</v>
      </c>
      <c r="AY125" s="254">
        <v>0</v>
      </c>
    </row>
    <row r="126" spans="2:51">
      <c r="B126" s="244">
        <v>10440</v>
      </c>
      <c r="C126" s="244" t="s">
        <v>129</v>
      </c>
      <c r="D126" s="254">
        <v>303.20138888888914</v>
      </c>
      <c r="E126" s="254">
        <v>0</v>
      </c>
      <c r="F126" s="254">
        <v>391.07249999999863</v>
      </c>
      <c r="G126" s="254">
        <v>0</v>
      </c>
      <c r="H126" s="254">
        <v>657.1875</v>
      </c>
      <c r="I126" s="254">
        <v>0</v>
      </c>
      <c r="J126" s="254">
        <v>841.64663461538498</v>
      </c>
      <c r="K126" s="254">
        <v>0</v>
      </c>
      <c r="L126" s="254">
        <v>1427.4349999999995</v>
      </c>
      <c r="M126" s="254">
        <v>0</v>
      </c>
      <c r="N126" s="254">
        <v>702.95913461538589</v>
      </c>
      <c r="O126" s="254">
        <v>0</v>
      </c>
      <c r="P126" s="254">
        <v>318.79086538461542</v>
      </c>
      <c r="Q126" s="254">
        <v>0</v>
      </c>
      <c r="R126" s="254">
        <v>173.04999999999993</v>
      </c>
      <c r="S126" s="254">
        <v>0</v>
      </c>
      <c r="T126" s="254">
        <v>138.6274038461539</v>
      </c>
      <c r="U126" s="254">
        <v>0</v>
      </c>
      <c r="V126" s="254">
        <v>501.10096153846172</v>
      </c>
      <c r="W126" s="254">
        <v>0</v>
      </c>
      <c r="X126" s="254">
        <v>505.26442307692253</v>
      </c>
      <c r="Y126" s="254">
        <v>0</v>
      </c>
      <c r="Z126" s="254">
        <v>187.27749999999978</v>
      </c>
      <c r="AA126" s="254">
        <v>0</v>
      </c>
      <c r="AB126" s="254">
        <v>279.20138888888914</v>
      </c>
      <c r="AC126" s="254">
        <v>0</v>
      </c>
      <c r="AD126" s="254">
        <v>95.622395833332433</v>
      </c>
      <c r="AE126" s="254">
        <v>0</v>
      </c>
      <c r="AF126" s="254">
        <v>934.21874999999943</v>
      </c>
      <c r="AG126" s="254">
        <v>0</v>
      </c>
      <c r="AH126" s="254">
        <v>496.59750000000093</v>
      </c>
      <c r="AI126" s="254">
        <v>0</v>
      </c>
      <c r="AJ126" s="254">
        <v>1074.8880208333333</v>
      </c>
      <c r="AK126" s="254">
        <v>0</v>
      </c>
      <c r="AL126" s="254">
        <v>928.0023148148158</v>
      </c>
      <c r="AM126" s="254">
        <v>0</v>
      </c>
      <c r="AN126" s="254">
        <v>515.15144230769124</v>
      </c>
      <c r="AO126" s="254">
        <v>0</v>
      </c>
      <c r="AP126" s="254">
        <v>0</v>
      </c>
      <c r="AQ126" s="254">
        <v>0</v>
      </c>
      <c r="AR126" s="254">
        <v>118.68028846153855</v>
      </c>
      <c r="AS126" s="254">
        <v>0</v>
      </c>
      <c r="AT126" s="254">
        <v>482.81971153846149</v>
      </c>
      <c r="AU126" s="254">
        <v>0</v>
      </c>
      <c r="AV126" s="254">
        <v>485.14663461538436</v>
      </c>
      <c r="AW126" s="254">
        <v>0</v>
      </c>
      <c r="AX126" s="254">
        <v>167.22250000000005</v>
      </c>
      <c r="AY126" s="254">
        <v>0</v>
      </c>
    </row>
    <row r="127" spans="2:51">
      <c r="B127" s="244">
        <v>10442</v>
      </c>
      <c r="C127" s="244" t="s">
        <v>130</v>
      </c>
      <c r="D127" s="254">
        <v>1416.0023148148148</v>
      </c>
      <c r="E127" s="254">
        <v>0</v>
      </c>
      <c r="F127" s="254">
        <v>2112.4124999999976</v>
      </c>
      <c r="G127" s="254">
        <v>0</v>
      </c>
      <c r="H127" s="254">
        <v>2316.295000000001</v>
      </c>
      <c r="I127" s="254">
        <v>0</v>
      </c>
      <c r="J127" s="254">
        <v>2976.8293269230785</v>
      </c>
      <c r="K127" s="254">
        <v>0</v>
      </c>
      <c r="L127" s="254">
        <v>0</v>
      </c>
      <c r="M127" s="254">
        <v>0</v>
      </c>
      <c r="N127" s="254">
        <v>2009.504807692304</v>
      </c>
      <c r="O127" s="254">
        <v>0</v>
      </c>
      <c r="P127" s="254">
        <v>980.95673076923083</v>
      </c>
      <c r="Q127" s="254">
        <v>0</v>
      </c>
      <c r="R127" s="254">
        <v>744.82250000000022</v>
      </c>
      <c r="S127" s="254">
        <v>0</v>
      </c>
      <c r="T127" s="254">
        <v>2705.0552884615372</v>
      </c>
      <c r="U127" s="254">
        <v>0</v>
      </c>
      <c r="V127" s="254">
        <v>2271.9038461538462</v>
      </c>
      <c r="W127" s="254">
        <v>0</v>
      </c>
      <c r="X127" s="254">
        <v>1910.6129807692312</v>
      </c>
      <c r="Y127" s="254">
        <v>0</v>
      </c>
      <c r="Z127" s="254">
        <v>2603.2274999999986</v>
      </c>
      <c r="AA127" s="254">
        <v>0</v>
      </c>
      <c r="AB127" s="254">
        <v>1297.7291666666665</v>
      </c>
      <c r="AC127" s="254">
        <v>0</v>
      </c>
      <c r="AD127" s="254">
        <v>1528.684895833333</v>
      </c>
      <c r="AE127" s="254">
        <v>0</v>
      </c>
      <c r="AF127" s="254">
        <v>2860.7019230769229</v>
      </c>
      <c r="AG127" s="254">
        <v>0</v>
      </c>
      <c r="AH127" s="254">
        <v>2270.6774999999989</v>
      </c>
      <c r="AI127" s="254">
        <v>0</v>
      </c>
      <c r="AJ127" s="254">
        <v>0</v>
      </c>
      <c r="AK127" s="254">
        <v>0</v>
      </c>
      <c r="AL127" s="254">
        <v>2336.641203703703</v>
      </c>
      <c r="AM127" s="254">
        <v>0</v>
      </c>
      <c r="AN127" s="254">
        <v>1298.2139423076937</v>
      </c>
      <c r="AO127" s="254">
        <v>0</v>
      </c>
      <c r="AP127" s="254">
        <v>277.92000000000041</v>
      </c>
      <c r="AQ127" s="254">
        <v>0</v>
      </c>
      <c r="AR127" s="254">
        <v>2660.3822115384619</v>
      </c>
      <c r="AS127" s="254">
        <v>0</v>
      </c>
      <c r="AT127" s="254">
        <v>2242.5745192307686</v>
      </c>
      <c r="AU127" s="254">
        <v>0</v>
      </c>
      <c r="AV127" s="254">
        <v>1884.4735576923076</v>
      </c>
      <c r="AW127" s="254">
        <v>0</v>
      </c>
      <c r="AX127" s="254">
        <v>2574.1399999999994</v>
      </c>
      <c r="AY127" s="254">
        <v>0</v>
      </c>
    </row>
    <row r="128" spans="2:51">
      <c r="B128" s="244">
        <v>10446</v>
      </c>
      <c r="C128" s="244" t="s">
        <v>131</v>
      </c>
      <c r="D128" s="254">
        <v>9885.576388888896</v>
      </c>
      <c r="E128" s="254">
        <v>0</v>
      </c>
      <c r="F128" s="254">
        <v>8757.5925000000079</v>
      </c>
      <c r="G128" s="254">
        <v>0</v>
      </c>
      <c r="H128" s="254">
        <v>6249.757500000007</v>
      </c>
      <c r="I128" s="254">
        <v>0</v>
      </c>
      <c r="J128" s="254">
        <v>12784.497596153855</v>
      </c>
      <c r="K128" s="254">
        <v>0</v>
      </c>
      <c r="L128" s="254">
        <v>8952.2924999999886</v>
      </c>
      <c r="M128" s="254">
        <v>0</v>
      </c>
      <c r="N128" s="254">
        <v>5367.8173076923076</v>
      </c>
      <c r="O128" s="254">
        <v>0</v>
      </c>
      <c r="P128" s="254">
        <v>4275.3052884615299</v>
      </c>
      <c r="Q128" s="254">
        <v>0</v>
      </c>
      <c r="R128" s="254">
        <v>6817.9949999999999</v>
      </c>
      <c r="S128" s="254">
        <v>0</v>
      </c>
      <c r="T128" s="254">
        <v>8164.0240384615463</v>
      </c>
      <c r="U128" s="254">
        <v>0</v>
      </c>
      <c r="V128" s="254">
        <v>13565.608173076938</v>
      </c>
      <c r="W128" s="254">
        <v>0</v>
      </c>
      <c r="X128" s="254">
        <v>4158.5336538461488</v>
      </c>
      <c r="Y128" s="254">
        <v>0</v>
      </c>
      <c r="Z128" s="254">
        <v>9694.9599999999937</v>
      </c>
      <c r="AA128" s="254">
        <v>0</v>
      </c>
      <c r="AB128" s="254">
        <v>10547.995370370376</v>
      </c>
      <c r="AC128" s="254">
        <v>0</v>
      </c>
      <c r="AD128" s="254">
        <v>5333.9817708333258</v>
      </c>
      <c r="AE128" s="254">
        <v>0</v>
      </c>
      <c r="AF128" s="254">
        <v>11194.329326923073</v>
      </c>
      <c r="AG128" s="254">
        <v>0</v>
      </c>
      <c r="AH128" s="254">
        <v>7534.08499999999</v>
      </c>
      <c r="AI128" s="254">
        <v>0</v>
      </c>
      <c r="AJ128" s="254">
        <v>3643.5130208333294</v>
      </c>
      <c r="AK128" s="254">
        <v>0</v>
      </c>
      <c r="AL128" s="254">
        <v>8330.5347222222135</v>
      </c>
      <c r="AM128" s="254">
        <v>0</v>
      </c>
      <c r="AN128" s="254">
        <v>6624.5793269230744</v>
      </c>
      <c r="AO128" s="254">
        <v>0</v>
      </c>
      <c r="AP128" s="254">
        <v>2697.3525000000118</v>
      </c>
      <c r="AQ128" s="254">
        <v>0</v>
      </c>
      <c r="AR128" s="254">
        <v>7046.1778846153866</v>
      </c>
      <c r="AS128" s="254">
        <v>0</v>
      </c>
      <c r="AT128" s="254">
        <v>14306.411057692316</v>
      </c>
      <c r="AU128" s="254">
        <v>0</v>
      </c>
      <c r="AV128" s="254">
        <v>2605.1947115384592</v>
      </c>
      <c r="AW128" s="254">
        <v>0</v>
      </c>
      <c r="AX128" s="254">
        <v>8269.6200000000008</v>
      </c>
      <c r="AY128" s="254">
        <v>0</v>
      </c>
    </row>
    <row r="129" spans="2:51">
      <c r="B129" s="244">
        <v>10448</v>
      </c>
      <c r="C129" s="244" t="s">
        <v>132</v>
      </c>
      <c r="D129" s="254">
        <v>0</v>
      </c>
      <c r="E129" s="254">
        <v>0</v>
      </c>
      <c r="F129" s="254">
        <v>0</v>
      </c>
      <c r="G129" s="254">
        <v>0</v>
      </c>
      <c r="H129" s="254">
        <v>0</v>
      </c>
      <c r="I129" s="254">
        <v>0</v>
      </c>
      <c r="J129" s="254">
        <v>0</v>
      </c>
      <c r="K129" s="254">
        <v>0</v>
      </c>
      <c r="L129" s="254">
        <v>0</v>
      </c>
      <c r="M129" s="254">
        <v>0</v>
      </c>
      <c r="N129" s="254">
        <v>0</v>
      </c>
      <c r="O129" s="254">
        <v>0</v>
      </c>
      <c r="P129" s="254">
        <v>0</v>
      </c>
      <c r="Q129" s="254">
        <v>0</v>
      </c>
      <c r="R129" s="254">
        <v>0</v>
      </c>
      <c r="S129" s="254">
        <v>0</v>
      </c>
      <c r="T129" s="254">
        <v>0</v>
      </c>
      <c r="U129" s="254">
        <v>0</v>
      </c>
      <c r="V129" s="254">
        <v>0</v>
      </c>
      <c r="W129" s="254">
        <v>0</v>
      </c>
      <c r="X129" s="254">
        <v>0</v>
      </c>
      <c r="Y129" s="254">
        <v>0</v>
      </c>
      <c r="Z129" s="254">
        <v>0</v>
      </c>
      <c r="AA129" s="254">
        <v>0</v>
      </c>
      <c r="AB129" s="254">
        <v>0</v>
      </c>
      <c r="AC129" s="254">
        <v>0</v>
      </c>
      <c r="AD129" s="254">
        <v>0</v>
      </c>
      <c r="AE129" s="254">
        <v>0</v>
      </c>
      <c r="AF129" s="254">
        <v>0</v>
      </c>
      <c r="AG129" s="254">
        <v>0</v>
      </c>
      <c r="AH129" s="254">
        <v>0</v>
      </c>
      <c r="AI129" s="254">
        <v>0</v>
      </c>
      <c r="AJ129" s="254">
        <v>0</v>
      </c>
      <c r="AK129" s="254">
        <v>0</v>
      </c>
      <c r="AL129" s="254">
        <v>0</v>
      </c>
      <c r="AM129" s="254">
        <v>0</v>
      </c>
      <c r="AN129" s="254">
        <v>0</v>
      </c>
      <c r="AO129" s="254">
        <v>0</v>
      </c>
      <c r="AP129" s="254">
        <v>0</v>
      </c>
      <c r="AQ129" s="254">
        <v>0</v>
      </c>
      <c r="AR129" s="254">
        <v>0</v>
      </c>
      <c r="AS129" s="254">
        <v>0</v>
      </c>
      <c r="AT129" s="254">
        <v>0</v>
      </c>
      <c r="AU129" s="254">
        <v>0</v>
      </c>
      <c r="AV129" s="254">
        <v>0</v>
      </c>
      <c r="AW129" s="254">
        <v>0</v>
      </c>
      <c r="AX129" s="254">
        <v>0</v>
      </c>
      <c r="AY129" s="254">
        <v>0</v>
      </c>
    </row>
    <row r="130" spans="2:51">
      <c r="B130" s="244">
        <v>10451</v>
      </c>
      <c r="C130" s="244" t="s">
        <v>133</v>
      </c>
      <c r="D130" s="254">
        <v>3461.0648148148152</v>
      </c>
      <c r="E130" s="254">
        <v>0</v>
      </c>
      <c r="F130" s="254">
        <v>2854.1650000000018</v>
      </c>
      <c r="G130" s="254">
        <v>0</v>
      </c>
      <c r="H130" s="254">
        <v>1954.4575000000002</v>
      </c>
      <c r="I130" s="254">
        <v>0</v>
      </c>
      <c r="J130" s="254">
        <v>3917.9230769230744</v>
      </c>
      <c r="K130" s="254">
        <v>0</v>
      </c>
      <c r="L130" s="254">
        <v>0</v>
      </c>
      <c r="M130" s="254">
        <v>0</v>
      </c>
      <c r="N130" s="254">
        <v>0</v>
      </c>
      <c r="O130" s="254">
        <v>0</v>
      </c>
      <c r="P130" s="254">
        <v>2512.6322115384596</v>
      </c>
      <c r="Q130" s="254">
        <v>0</v>
      </c>
      <c r="R130" s="254">
        <v>2415.9775000000004</v>
      </c>
      <c r="S130" s="254">
        <v>0</v>
      </c>
      <c r="T130" s="254">
        <v>4110.8124999999982</v>
      </c>
      <c r="U130" s="254">
        <v>0</v>
      </c>
      <c r="V130" s="254">
        <v>5828.8221153846143</v>
      </c>
      <c r="W130" s="254">
        <v>0</v>
      </c>
      <c r="X130" s="254">
        <v>3857.7596153846125</v>
      </c>
      <c r="Y130" s="254">
        <v>0</v>
      </c>
      <c r="Z130" s="254">
        <v>19625.680000000004</v>
      </c>
      <c r="AA130" s="254">
        <v>0</v>
      </c>
      <c r="AB130" s="254">
        <v>16038.506944444443</v>
      </c>
      <c r="AC130" s="254">
        <v>0</v>
      </c>
      <c r="AD130" s="254">
        <v>1925.510416666672</v>
      </c>
      <c r="AE130" s="254">
        <v>0</v>
      </c>
      <c r="AF130" s="254">
        <v>3387.0889423076919</v>
      </c>
      <c r="AG130" s="254">
        <v>0</v>
      </c>
      <c r="AH130" s="254">
        <v>3022.8974999999991</v>
      </c>
      <c r="AI130" s="254">
        <v>0</v>
      </c>
      <c r="AJ130" s="254">
        <v>0</v>
      </c>
      <c r="AK130" s="254">
        <v>0</v>
      </c>
      <c r="AL130" s="254">
        <v>0</v>
      </c>
      <c r="AM130" s="254">
        <v>0</v>
      </c>
      <c r="AN130" s="254">
        <v>3938.3605769230812</v>
      </c>
      <c r="AO130" s="254">
        <v>0</v>
      </c>
      <c r="AP130" s="254">
        <v>1715.3724999999938</v>
      </c>
      <c r="AQ130" s="254">
        <v>0</v>
      </c>
      <c r="AR130" s="254">
        <v>3537.4447115384628</v>
      </c>
      <c r="AS130" s="254">
        <v>0</v>
      </c>
      <c r="AT130" s="254">
        <v>3867.8870192307641</v>
      </c>
      <c r="AU130" s="254">
        <v>0</v>
      </c>
      <c r="AV130" s="254">
        <v>1824.7307692307686</v>
      </c>
      <c r="AW130" s="254">
        <v>0</v>
      </c>
      <c r="AX130" s="254">
        <v>3162.6150000000025</v>
      </c>
      <c r="AY130" s="254">
        <v>0</v>
      </c>
    </row>
    <row r="131" spans="2:51">
      <c r="B131" s="244">
        <v>10482</v>
      </c>
      <c r="C131" s="244" t="s">
        <v>134</v>
      </c>
      <c r="D131" s="254">
        <v>195.01851851851848</v>
      </c>
      <c r="E131" s="254">
        <v>0</v>
      </c>
      <c r="F131" s="254">
        <v>229.5024999999998</v>
      </c>
      <c r="G131" s="254">
        <v>0</v>
      </c>
      <c r="H131" s="254">
        <v>130.75999999999965</v>
      </c>
      <c r="I131" s="254">
        <v>0</v>
      </c>
      <c r="J131" s="254">
        <v>403.28365384615404</v>
      </c>
      <c r="K131" s="254">
        <v>0</v>
      </c>
      <c r="L131" s="254">
        <v>244.42749999999981</v>
      </c>
      <c r="M131" s="254">
        <v>0</v>
      </c>
      <c r="N131" s="254">
        <v>45.055288461538723</v>
      </c>
      <c r="O131" s="254">
        <v>0</v>
      </c>
      <c r="P131" s="254">
        <v>150.06730769230771</v>
      </c>
      <c r="Q131" s="254">
        <v>0</v>
      </c>
      <c r="R131" s="254">
        <v>229.45499999999984</v>
      </c>
      <c r="S131" s="254">
        <v>0</v>
      </c>
      <c r="T131" s="254">
        <v>432.75240384615381</v>
      </c>
      <c r="U131" s="254">
        <v>0</v>
      </c>
      <c r="V131" s="254">
        <v>417.55048076923055</v>
      </c>
      <c r="W131" s="254">
        <v>0</v>
      </c>
      <c r="X131" s="254">
        <v>453.50000000000011</v>
      </c>
      <c r="Y131" s="254">
        <v>0</v>
      </c>
      <c r="Z131" s="254">
        <v>299.69</v>
      </c>
      <c r="AA131" s="254">
        <v>0</v>
      </c>
      <c r="AB131" s="254">
        <v>195.01851851851848</v>
      </c>
      <c r="AC131" s="254">
        <v>0</v>
      </c>
      <c r="AD131" s="254">
        <v>109.27343749999982</v>
      </c>
      <c r="AE131" s="254">
        <v>0</v>
      </c>
      <c r="AF131" s="254">
        <v>250.99999999999955</v>
      </c>
      <c r="AG131" s="254">
        <v>0</v>
      </c>
      <c r="AH131" s="254">
        <v>288.21500000000043</v>
      </c>
      <c r="AI131" s="254">
        <v>0</v>
      </c>
      <c r="AJ131" s="254">
        <v>125.94531249999963</v>
      </c>
      <c r="AK131" s="254">
        <v>0</v>
      </c>
      <c r="AL131" s="254">
        <v>156.83101851851865</v>
      </c>
      <c r="AM131" s="254">
        <v>0</v>
      </c>
      <c r="AN131" s="254">
        <v>271.36298076923117</v>
      </c>
      <c r="AO131" s="254">
        <v>0</v>
      </c>
      <c r="AP131" s="254">
        <v>107.40250000000017</v>
      </c>
      <c r="AQ131" s="254">
        <v>0</v>
      </c>
      <c r="AR131" s="254">
        <v>432.75240384615381</v>
      </c>
      <c r="AS131" s="254">
        <v>0</v>
      </c>
      <c r="AT131" s="254">
        <v>417.55048076923055</v>
      </c>
      <c r="AU131" s="254">
        <v>0</v>
      </c>
      <c r="AV131" s="254">
        <v>453.50000000000011</v>
      </c>
      <c r="AW131" s="254">
        <v>0</v>
      </c>
      <c r="AX131" s="254">
        <v>299.69</v>
      </c>
      <c r="AY131" s="254">
        <v>0</v>
      </c>
    </row>
    <row r="132" spans="2:51">
      <c r="B132" s="244">
        <v>10502</v>
      </c>
      <c r="C132" s="244" t="s">
        <v>135</v>
      </c>
      <c r="D132" s="254">
        <v>4380.7546296296314</v>
      </c>
      <c r="E132" s="254">
        <v>0</v>
      </c>
      <c r="F132" s="254">
        <v>4173.2925000000023</v>
      </c>
      <c r="G132" s="254">
        <v>0</v>
      </c>
      <c r="H132" s="254">
        <v>1661.0174999999981</v>
      </c>
      <c r="I132" s="254">
        <v>0</v>
      </c>
      <c r="J132" s="254">
        <v>3200.8028846153843</v>
      </c>
      <c r="K132" s="254">
        <v>0</v>
      </c>
      <c r="L132" s="254">
        <v>3057.5024999999996</v>
      </c>
      <c r="M132" s="254">
        <v>0</v>
      </c>
      <c r="N132" s="254">
        <v>2463.5913461538476</v>
      </c>
      <c r="O132" s="254">
        <v>0</v>
      </c>
      <c r="P132" s="254">
        <v>4496.0913461538476</v>
      </c>
      <c r="Q132" s="254">
        <v>0</v>
      </c>
      <c r="R132" s="254">
        <v>3657.6025000000013</v>
      </c>
      <c r="S132" s="254">
        <v>0</v>
      </c>
      <c r="T132" s="254">
        <v>5553.382211538461</v>
      </c>
      <c r="U132" s="254">
        <v>0</v>
      </c>
      <c r="V132" s="254">
        <v>3781.3509615384637</v>
      </c>
      <c r="W132" s="254">
        <v>0</v>
      </c>
      <c r="X132" s="254">
        <v>328.60096153845666</v>
      </c>
      <c r="Y132" s="254">
        <v>0</v>
      </c>
      <c r="Z132" s="254">
        <v>6279.71</v>
      </c>
      <c r="AA132" s="254">
        <v>0</v>
      </c>
      <c r="AB132" s="254">
        <v>4865.4699074074069</v>
      </c>
      <c r="AC132" s="254">
        <v>0</v>
      </c>
      <c r="AD132" s="254">
        <v>3991.0911458333335</v>
      </c>
      <c r="AE132" s="254">
        <v>0</v>
      </c>
      <c r="AF132" s="254">
        <v>2585.2668269230767</v>
      </c>
      <c r="AG132" s="254">
        <v>0</v>
      </c>
      <c r="AH132" s="254">
        <v>2984.4324999999999</v>
      </c>
      <c r="AI132" s="254">
        <v>0</v>
      </c>
      <c r="AJ132" s="254">
        <v>2797.2187500000023</v>
      </c>
      <c r="AK132" s="254">
        <v>0</v>
      </c>
      <c r="AL132" s="254">
        <v>3237.9282407407409</v>
      </c>
      <c r="AM132" s="254">
        <v>0</v>
      </c>
      <c r="AN132" s="254">
        <v>4706.8966346153838</v>
      </c>
      <c r="AO132" s="254">
        <v>0</v>
      </c>
      <c r="AP132" s="254">
        <v>3897.9549999999977</v>
      </c>
      <c r="AQ132" s="254">
        <v>0</v>
      </c>
      <c r="AR132" s="254">
        <v>5754.2908653846134</v>
      </c>
      <c r="AS132" s="254">
        <v>0</v>
      </c>
      <c r="AT132" s="254">
        <v>3917.985576923079</v>
      </c>
      <c r="AU132" s="254">
        <v>0</v>
      </c>
      <c r="AV132" s="254">
        <v>430.10336538461138</v>
      </c>
      <c r="AW132" s="254">
        <v>0</v>
      </c>
      <c r="AX132" s="254">
        <v>6379.5100000000011</v>
      </c>
      <c r="AY132" s="254">
        <v>0</v>
      </c>
    </row>
    <row r="133" spans="2:51">
      <c r="B133" s="244">
        <v>13927</v>
      </c>
      <c r="C133" s="244" t="s">
        <v>238</v>
      </c>
      <c r="D133" s="254">
        <v>0</v>
      </c>
      <c r="E133" s="254">
        <v>0</v>
      </c>
      <c r="F133" s="254">
        <v>0</v>
      </c>
      <c r="G133" s="254">
        <v>0</v>
      </c>
      <c r="H133" s="254">
        <v>0</v>
      </c>
      <c r="I133" s="254">
        <v>0</v>
      </c>
      <c r="J133" s="254">
        <v>0</v>
      </c>
      <c r="K133" s="254">
        <v>0</v>
      </c>
      <c r="L133" s="254">
        <v>0</v>
      </c>
      <c r="M133" s="254">
        <v>0</v>
      </c>
      <c r="N133" s="254">
        <v>0</v>
      </c>
      <c r="O133" s="254">
        <v>0</v>
      </c>
      <c r="P133" s="254">
        <v>0</v>
      </c>
      <c r="Q133" s="254">
        <v>0</v>
      </c>
      <c r="R133" s="254">
        <v>0</v>
      </c>
      <c r="S133" s="254">
        <v>0</v>
      </c>
      <c r="T133" s="254">
        <v>0</v>
      </c>
      <c r="U133" s="254">
        <v>0</v>
      </c>
      <c r="V133" s="254">
        <v>175.15865384615438</v>
      </c>
      <c r="W133" s="254">
        <v>0</v>
      </c>
      <c r="X133" s="254">
        <v>458.63221153846155</v>
      </c>
      <c r="Y133" s="254">
        <v>0</v>
      </c>
      <c r="Z133" s="254">
        <v>0</v>
      </c>
      <c r="AA133" s="254">
        <v>0</v>
      </c>
      <c r="AB133" s="254">
        <v>0</v>
      </c>
      <c r="AC133" s="254">
        <v>0</v>
      </c>
      <c r="AD133" s="254">
        <v>0</v>
      </c>
      <c r="AE133" s="254">
        <v>0</v>
      </c>
      <c r="AF133" s="254">
        <v>0</v>
      </c>
      <c r="AG133" s="254">
        <v>0</v>
      </c>
      <c r="AH133" s="254">
        <v>0</v>
      </c>
      <c r="AI133" s="254">
        <v>0</v>
      </c>
      <c r="AJ133" s="254">
        <v>0</v>
      </c>
      <c r="AK133" s="254">
        <v>0</v>
      </c>
      <c r="AL133" s="254">
        <v>0</v>
      </c>
      <c r="AM133" s="254">
        <v>0</v>
      </c>
      <c r="AN133" s="254">
        <v>0</v>
      </c>
      <c r="AO133" s="254">
        <v>0</v>
      </c>
      <c r="AP133" s="254">
        <v>0</v>
      </c>
      <c r="AQ133" s="254">
        <v>0</v>
      </c>
      <c r="AR133" s="254">
        <v>0</v>
      </c>
      <c r="AS133" s="254">
        <v>0</v>
      </c>
      <c r="AT133" s="254">
        <v>192.34134615384647</v>
      </c>
      <c r="AU133" s="254">
        <v>0</v>
      </c>
      <c r="AV133" s="254">
        <v>476.64423076923111</v>
      </c>
      <c r="AW133" s="254">
        <v>0</v>
      </c>
      <c r="AX133" s="254">
        <v>0</v>
      </c>
      <c r="AY133" s="254">
        <v>0</v>
      </c>
    </row>
    <row r="134" spans="2:51">
      <c r="B134" s="244">
        <v>10597</v>
      </c>
      <c r="C134" s="244" t="s">
        <v>136</v>
      </c>
      <c r="D134" s="254">
        <v>2221.5486111111113</v>
      </c>
      <c r="E134" s="254">
        <v>0</v>
      </c>
      <c r="F134" s="254">
        <v>1193.1099999999976</v>
      </c>
      <c r="G134" s="254">
        <v>0</v>
      </c>
      <c r="H134" s="254">
        <v>2117.605</v>
      </c>
      <c r="I134" s="254">
        <v>0</v>
      </c>
      <c r="J134" s="254">
        <v>1900.3437499999989</v>
      </c>
      <c r="K134" s="254">
        <v>0</v>
      </c>
      <c r="L134" s="254">
        <v>1628.8274999999981</v>
      </c>
      <c r="M134" s="254">
        <v>0</v>
      </c>
      <c r="N134" s="254">
        <v>1783.5480769230771</v>
      </c>
      <c r="O134" s="254">
        <v>0</v>
      </c>
      <c r="P134" s="254">
        <v>1638.9495192307704</v>
      </c>
      <c r="Q134" s="254">
        <v>0</v>
      </c>
      <c r="R134" s="254">
        <v>758.64499999999873</v>
      </c>
      <c r="S134" s="254">
        <v>0</v>
      </c>
      <c r="T134" s="254">
        <v>2268.6442307692305</v>
      </c>
      <c r="U134" s="254">
        <v>0</v>
      </c>
      <c r="V134" s="254">
        <v>3141.9302884615358</v>
      </c>
      <c r="W134" s="254">
        <v>0</v>
      </c>
      <c r="X134" s="254">
        <v>1712.1899038461529</v>
      </c>
      <c r="Y134" s="254">
        <v>0</v>
      </c>
      <c r="Z134" s="254">
        <v>1705.0425000000021</v>
      </c>
      <c r="AA134" s="254">
        <v>0</v>
      </c>
      <c r="AB134" s="254">
        <v>2220.7106481481478</v>
      </c>
      <c r="AC134" s="254">
        <v>0</v>
      </c>
      <c r="AD134" s="254">
        <v>626.57812499999864</v>
      </c>
      <c r="AE134" s="254">
        <v>0</v>
      </c>
      <c r="AF134" s="254">
        <v>2716.579326923079</v>
      </c>
      <c r="AG134" s="254">
        <v>0</v>
      </c>
      <c r="AH134" s="254">
        <v>1253.18</v>
      </c>
      <c r="AI134" s="254">
        <v>0</v>
      </c>
      <c r="AJ134" s="254">
        <v>1036.6718749999998</v>
      </c>
      <c r="AK134" s="254">
        <v>0</v>
      </c>
      <c r="AL134" s="254">
        <v>2222.712962962964</v>
      </c>
      <c r="AM134" s="254">
        <v>0</v>
      </c>
      <c r="AN134" s="254">
        <v>1630.7211538461529</v>
      </c>
      <c r="AO134" s="254">
        <v>0</v>
      </c>
      <c r="AP134" s="254">
        <v>751.41499999999701</v>
      </c>
      <c r="AQ134" s="254">
        <v>0</v>
      </c>
      <c r="AR134" s="254">
        <v>2262.1201923076919</v>
      </c>
      <c r="AS134" s="254">
        <v>0</v>
      </c>
      <c r="AT134" s="254">
        <v>3139.1370192307681</v>
      </c>
      <c r="AU134" s="254">
        <v>0</v>
      </c>
      <c r="AV134" s="254">
        <v>1708.7307692307681</v>
      </c>
      <c r="AW134" s="254">
        <v>0</v>
      </c>
      <c r="AX134" s="254">
        <v>1698.1600000000005</v>
      </c>
      <c r="AY134" s="254">
        <v>0</v>
      </c>
    </row>
    <row r="135" spans="2:51">
      <c r="B135" s="244">
        <v>10706</v>
      </c>
      <c r="C135" s="244" t="s">
        <v>137</v>
      </c>
      <c r="D135" s="254">
        <v>3016.375</v>
      </c>
      <c r="E135" s="254">
        <v>0</v>
      </c>
      <c r="F135" s="254">
        <v>3024.9724999999989</v>
      </c>
      <c r="G135" s="254">
        <v>0</v>
      </c>
      <c r="H135" s="254">
        <v>2743.3550000000009</v>
      </c>
      <c r="I135" s="254">
        <v>0</v>
      </c>
      <c r="J135" s="254">
        <v>3272.8990384615386</v>
      </c>
      <c r="K135" s="254">
        <v>0</v>
      </c>
      <c r="L135" s="254">
        <v>3589.8400000000006</v>
      </c>
      <c r="M135" s="254">
        <v>0</v>
      </c>
      <c r="N135" s="254">
        <v>2918.9302884615386</v>
      </c>
      <c r="O135" s="254">
        <v>0</v>
      </c>
      <c r="P135" s="254">
        <v>3021.9471153846157</v>
      </c>
      <c r="Q135" s="254">
        <v>0</v>
      </c>
      <c r="R135" s="254">
        <v>2283.6149999999993</v>
      </c>
      <c r="S135" s="254">
        <v>0</v>
      </c>
      <c r="T135" s="254">
        <v>2984.1947115384614</v>
      </c>
      <c r="U135" s="254">
        <v>0</v>
      </c>
      <c r="V135" s="254">
        <v>2320.7836538461529</v>
      </c>
      <c r="W135" s="254">
        <v>0</v>
      </c>
      <c r="X135" s="254">
        <v>2680.3966346153866</v>
      </c>
      <c r="Y135" s="254">
        <v>0</v>
      </c>
      <c r="Z135" s="254">
        <v>3039.9274999999993</v>
      </c>
      <c r="AA135" s="254">
        <v>0</v>
      </c>
      <c r="AB135" s="254">
        <v>2611.1550925925917</v>
      </c>
      <c r="AC135" s="254">
        <v>0</v>
      </c>
      <c r="AD135" s="254">
        <v>1969.8177083333342</v>
      </c>
      <c r="AE135" s="254">
        <v>0</v>
      </c>
      <c r="AF135" s="254">
        <v>2953.1730769230771</v>
      </c>
      <c r="AG135" s="254">
        <v>0</v>
      </c>
      <c r="AH135" s="254">
        <v>2232.0099999999989</v>
      </c>
      <c r="AI135" s="254">
        <v>0</v>
      </c>
      <c r="AJ135" s="254">
        <v>2570.078125</v>
      </c>
      <c r="AK135" s="254">
        <v>0</v>
      </c>
      <c r="AL135" s="254">
        <v>3102.3564814814808</v>
      </c>
      <c r="AM135" s="254">
        <v>0</v>
      </c>
      <c r="AN135" s="254">
        <v>2623.0600961538453</v>
      </c>
      <c r="AO135" s="254">
        <v>0</v>
      </c>
      <c r="AP135" s="254">
        <v>1866.7125000000003</v>
      </c>
      <c r="AQ135" s="254">
        <v>0</v>
      </c>
      <c r="AR135" s="254">
        <v>2765.3870192307695</v>
      </c>
      <c r="AS135" s="254">
        <v>0</v>
      </c>
      <c r="AT135" s="254">
        <v>2081.627403846152</v>
      </c>
      <c r="AU135" s="254">
        <v>0</v>
      </c>
      <c r="AV135" s="254">
        <v>2415.2908653846184</v>
      </c>
      <c r="AW135" s="254">
        <v>0</v>
      </c>
      <c r="AX135" s="254">
        <v>2611.7024999999981</v>
      </c>
      <c r="AY135" s="254">
        <v>0</v>
      </c>
    </row>
    <row r="136" spans="2:51">
      <c r="B136" s="244">
        <v>11680</v>
      </c>
      <c r="C136" s="244" t="s">
        <v>138</v>
      </c>
      <c r="D136" s="254">
        <v>577.39814814814872</v>
      </c>
      <c r="E136" s="254">
        <v>0</v>
      </c>
      <c r="F136" s="254">
        <v>348.11499999999995</v>
      </c>
      <c r="G136" s="254">
        <v>0</v>
      </c>
      <c r="H136" s="254">
        <v>156.6800000000006</v>
      </c>
      <c r="I136" s="254">
        <v>0</v>
      </c>
      <c r="J136" s="254">
        <v>137.67788461538368</v>
      </c>
      <c r="K136" s="254">
        <v>0</v>
      </c>
      <c r="L136" s="254">
        <v>359.82999999999964</v>
      </c>
      <c r="M136" s="254">
        <v>0</v>
      </c>
      <c r="N136" s="254">
        <v>276.15144230769187</v>
      </c>
      <c r="O136" s="254">
        <v>0</v>
      </c>
      <c r="P136" s="254">
        <v>591.58894230769147</v>
      </c>
      <c r="Q136" s="254">
        <v>0</v>
      </c>
      <c r="R136" s="254">
        <v>0</v>
      </c>
      <c r="S136" s="254">
        <v>0</v>
      </c>
      <c r="T136" s="254">
        <v>1293.6610576923076</v>
      </c>
      <c r="U136" s="254">
        <v>0</v>
      </c>
      <c r="V136" s="254">
        <v>1156.0745192307684</v>
      </c>
      <c r="W136" s="254">
        <v>0</v>
      </c>
      <c r="X136" s="254">
        <v>0</v>
      </c>
      <c r="Y136" s="254">
        <v>0</v>
      </c>
      <c r="Z136" s="254">
        <v>0</v>
      </c>
      <c r="AA136" s="254">
        <v>0</v>
      </c>
      <c r="AB136" s="254">
        <v>580.73148148148255</v>
      </c>
      <c r="AC136" s="254">
        <v>0</v>
      </c>
      <c r="AD136" s="254">
        <v>54.921874999998899</v>
      </c>
      <c r="AE136" s="254">
        <v>0</v>
      </c>
      <c r="AF136" s="254">
        <v>486.89423076923168</v>
      </c>
      <c r="AG136" s="254">
        <v>0</v>
      </c>
      <c r="AH136" s="254">
        <v>0</v>
      </c>
      <c r="AI136" s="254">
        <v>0</v>
      </c>
      <c r="AJ136" s="254">
        <v>60.927083333334409</v>
      </c>
      <c r="AK136" s="254">
        <v>0</v>
      </c>
      <c r="AL136" s="254">
        <v>534.31481481481535</v>
      </c>
      <c r="AM136" s="254">
        <v>0</v>
      </c>
      <c r="AN136" s="254">
        <v>808.63461538461604</v>
      </c>
      <c r="AO136" s="254">
        <v>0</v>
      </c>
      <c r="AP136" s="254">
        <v>0</v>
      </c>
      <c r="AQ136" s="254">
        <v>0</v>
      </c>
      <c r="AR136" s="254">
        <v>1300.5192307692303</v>
      </c>
      <c r="AS136" s="254">
        <v>0</v>
      </c>
      <c r="AT136" s="254">
        <v>1161.9927884615388</v>
      </c>
      <c r="AU136" s="254">
        <v>0</v>
      </c>
      <c r="AV136" s="254">
        <v>0</v>
      </c>
      <c r="AW136" s="254">
        <v>0</v>
      </c>
      <c r="AX136" s="254">
        <v>0</v>
      </c>
      <c r="AY136" s="254">
        <v>0</v>
      </c>
    </row>
    <row r="137" spans="2:51" s="125" customFormat="1">
      <c r="B137" s="244">
        <v>12026</v>
      </c>
      <c r="C137" s="244" t="s">
        <v>139</v>
      </c>
      <c r="D137" s="254">
        <v>0</v>
      </c>
      <c r="E137" s="254">
        <v>0</v>
      </c>
      <c r="F137" s="254">
        <v>6808.2324999999955</v>
      </c>
      <c r="G137" s="254">
        <v>0</v>
      </c>
      <c r="H137" s="254">
        <v>5992.2225000000008</v>
      </c>
      <c r="I137" s="254">
        <v>0</v>
      </c>
      <c r="J137" s="254">
        <v>16294.58653846153</v>
      </c>
      <c r="K137" s="254">
        <v>0</v>
      </c>
      <c r="L137" s="254">
        <v>8543.1875000000055</v>
      </c>
      <c r="M137" s="254">
        <v>0</v>
      </c>
      <c r="N137" s="254">
        <v>3435.9038461538416</v>
      </c>
      <c r="O137" s="254">
        <v>0</v>
      </c>
      <c r="P137" s="254">
        <v>5296.4759615384555</v>
      </c>
      <c r="Q137" s="254">
        <v>0</v>
      </c>
      <c r="R137" s="254">
        <v>3337.1100000000029</v>
      </c>
      <c r="S137" s="254">
        <v>0</v>
      </c>
      <c r="T137" s="254">
        <v>4013.6826923076906</v>
      </c>
      <c r="U137" s="254">
        <v>0</v>
      </c>
      <c r="V137" s="254">
        <v>4014.3100961538421</v>
      </c>
      <c r="W137" s="254">
        <v>0</v>
      </c>
      <c r="X137" s="254">
        <v>1948.4927884615422</v>
      </c>
      <c r="Y137" s="254">
        <v>0</v>
      </c>
      <c r="Z137" s="254">
        <v>5498.6574999999984</v>
      </c>
      <c r="AA137" s="254">
        <v>0</v>
      </c>
      <c r="AB137" s="254">
        <v>0</v>
      </c>
      <c r="AC137" s="254">
        <v>0</v>
      </c>
      <c r="AD137" s="254">
        <v>4536.4062499999918</v>
      </c>
      <c r="AE137" s="254">
        <v>0</v>
      </c>
      <c r="AF137" s="254">
        <v>8862.7163461538348</v>
      </c>
      <c r="AG137" s="254">
        <v>0</v>
      </c>
      <c r="AH137" s="254">
        <v>13995.657500000007</v>
      </c>
      <c r="AI137" s="254">
        <v>0</v>
      </c>
      <c r="AJ137" s="254">
        <v>6166.1223958333303</v>
      </c>
      <c r="AK137" s="254">
        <v>0</v>
      </c>
      <c r="AL137" s="254">
        <v>5710.9120370370401</v>
      </c>
      <c r="AM137" s="254">
        <v>0</v>
      </c>
      <c r="AN137" s="254">
        <v>7076.7668269230835</v>
      </c>
      <c r="AO137" s="254">
        <v>0</v>
      </c>
      <c r="AP137" s="254">
        <v>1966.6450000000068</v>
      </c>
      <c r="AQ137" s="254">
        <v>0</v>
      </c>
      <c r="AR137" s="254">
        <v>4057.4206730769201</v>
      </c>
      <c r="AS137" s="254">
        <v>0</v>
      </c>
      <c r="AT137" s="254">
        <v>4030.9471153846134</v>
      </c>
      <c r="AU137" s="254">
        <v>0</v>
      </c>
      <c r="AV137" s="254">
        <v>1967.3052884615379</v>
      </c>
      <c r="AW137" s="254">
        <v>0</v>
      </c>
      <c r="AX137" s="254">
        <v>5533.3249999999962</v>
      </c>
      <c r="AY137" s="254">
        <v>0</v>
      </c>
    </row>
    <row r="138" spans="2:51">
      <c r="B138" s="244">
        <v>10298</v>
      </c>
      <c r="C138" s="244" t="s">
        <v>140</v>
      </c>
      <c r="D138" s="254">
        <v>34139.090277777708</v>
      </c>
      <c r="E138" s="254">
        <v>0</v>
      </c>
      <c r="F138" s="254">
        <v>50603.32</v>
      </c>
      <c r="G138" s="254">
        <v>0</v>
      </c>
      <c r="H138" s="254">
        <v>96787.422499999986</v>
      </c>
      <c r="I138" s="254">
        <v>0</v>
      </c>
      <c r="J138" s="254">
        <v>106877.1610576923</v>
      </c>
      <c r="K138" s="254">
        <v>0</v>
      </c>
      <c r="L138" s="254">
        <v>70461.132500000022</v>
      </c>
      <c r="M138" s="254">
        <v>0</v>
      </c>
      <c r="N138" s="254">
        <v>73106.120192307688</v>
      </c>
      <c r="O138" s="254">
        <v>0</v>
      </c>
      <c r="P138" s="254">
        <v>60839.007211538446</v>
      </c>
      <c r="Q138" s="254">
        <v>0</v>
      </c>
      <c r="R138" s="254">
        <v>41370.1325</v>
      </c>
      <c r="S138" s="254">
        <v>0</v>
      </c>
      <c r="T138" s="254">
        <v>58951.543269230729</v>
      </c>
      <c r="U138" s="254">
        <v>0</v>
      </c>
      <c r="V138" s="254">
        <v>83827.778846153829</v>
      </c>
      <c r="W138" s="254">
        <v>0</v>
      </c>
      <c r="X138" s="254">
        <v>71247.050480769263</v>
      </c>
      <c r="Y138" s="254">
        <v>0</v>
      </c>
      <c r="Z138" s="254">
        <v>52785.05499999992</v>
      </c>
      <c r="AA138" s="254">
        <v>0</v>
      </c>
      <c r="AB138" s="254">
        <v>35934.01157407408</v>
      </c>
      <c r="AC138" s="254">
        <v>0</v>
      </c>
      <c r="AD138" s="254">
        <v>30695.682291666628</v>
      </c>
      <c r="AE138" s="254">
        <v>0</v>
      </c>
      <c r="AF138" s="254">
        <v>123700.37259615384</v>
      </c>
      <c r="AG138" s="254">
        <v>0</v>
      </c>
      <c r="AH138" s="254">
        <v>84557.882499999978</v>
      </c>
      <c r="AI138" s="254">
        <v>0</v>
      </c>
      <c r="AJ138" s="254">
        <v>49276.729166666715</v>
      </c>
      <c r="AK138" s="254">
        <v>0</v>
      </c>
      <c r="AL138" s="254">
        <v>93978.606481481445</v>
      </c>
      <c r="AM138" s="254">
        <v>0</v>
      </c>
      <c r="AN138" s="254">
        <v>70507.550480769278</v>
      </c>
      <c r="AO138" s="254">
        <v>0</v>
      </c>
      <c r="AP138" s="254">
        <v>36105.610000000059</v>
      </c>
      <c r="AQ138" s="254">
        <v>0</v>
      </c>
      <c r="AR138" s="254">
        <v>60530.887019230751</v>
      </c>
      <c r="AS138" s="254">
        <v>0</v>
      </c>
      <c r="AT138" s="254">
        <v>85545.862980769321</v>
      </c>
      <c r="AU138" s="254">
        <v>0</v>
      </c>
      <c r="AV138" s="254">
        <v>72792.521634615376</v>
      </c>
      <c r="AW138" s="254">
        <v>0</v>
      </c>
      <c r="AX138" s="254">
        <v>54351.984999999993</v>
      </c>
      <c r="AY138" s="254">
        <v>0</v>
      </c>
    </row>
    <row r="139" spans="2:51">
      <c r="B139" s="24" t="s">
        <v>141</v>
      </c>
      <c r="C139" s="25" t="s">
        <v>141</v>
      </c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  <c r="Z139" s="26"/>
      <c r="AA139" s="27"/>
      <c r="AB139" s="26"/>
      <c r="AC139" s="27"/>
      <c r="AD139" s="26"/>
      <c r="AE139" s="27"/>
      <c r="AF139" s="26"/>
      <c r="AG139" s="27"/>
      <c r="AH139" s="26"/>
      <c r="AI139" s="27"/>
      <c r="AJ139" s="26"/>
      <c r="AK139" s="27"/>
      <c r="AL139" s="26"/>
      <c r="AM139" s="27"/>
      <c r="AN139" s="26"/>
      <c r="AO139" s="27"/>
      <c r="AP139" s="26"/>
      <c r="AQ139" s="27"/>
      <c r="AR139" s="26"/>
      <c r="AS139" s="27"/>
      <c r="AT139" s="26"/>
      <c r="AU139" s="27"/>
      <c r="AV139" s="26"/>
      <c r="AW139" s="27"/>
      <c r="AX139" s="26"/>
      <c r="AY139" s="27"/>
    </row>
    <row r="140" spans="2:51">
      <c r="B140" s="24" t="s">
        <v>141</v>
      </c>
      <c r="C140" s="25" t="s">
        <v>141</v>
      </c>
      <c r="D140" s="26" t="s">
        <v>141</v>
      </c>
      <c r="E140" s="27" t="s">
        <v>141</v>
      </c>
      <c r="F140" s="26" t="s">
        <v>141</v>
      </c>
      <c r="G140" s="27" t="s">
        <v>141</v>
      </c>
      <c r="H140" s="26" t="s">
        <v>141</v>
      </c>
      <c r="I140" s="27" t="s">
        <v>141</v>
      </c>
      <c r="J140" s="26" t="s">
        <v>141</v>
      </c>
      <c r="K140" s="27" t="s">
        <v>141</v>
      </c>
      <c r="L140" s="26" t="s">
        <v>141</v>
      </c>
      <c r="M140" s="27" t="s">
        <v>141</v>
      </c>
      <c r="N140" s="26" t="s">
        <v>141</v>
      </c>
      <c r="O140" s="27" t="s">
        <v>141</v>
      </c>
      <c r="P140" s="26" t="s">
        <v>141</v>
      </c>
      <c r="Q140" s="27" t="s">
        <v>141</v>
      </c>
      <c r="R140" s="26" t="s">
        <v>141</v>
      </c>
      <c r="S140" s="27" t="s">
        <v>141</v>
      </c>
      <c r="T140" s="26" t="s">
        <v>141</v>
      </c>
      <c r="U140" s="27" t="s">
        <v>141</v>
      </c>
      <c r="V140" s="26" t="s">
        <v>141</v>
      </c>
      <c r="W140" s="27" t="s">
        <v>141</v>
      </c>
      <c r="X140" s="26" t="s">
        <v>141</v>
      </c>
      <c r="Y140" s="27" t="s">
        <v>141</v>
      </c>
      <c r="Z140" s="26" t="s">
        <v>141</v>
      </c>
      <c r="AA140" s="27" t="s">
        <v>141</v>
      </c>
      <c r="AB140" s="26" t="s">
        <v>141</v>
      </c>
      <c r="AC140" s="27" t="s">
        <v>141</v>
      </c>
      <c r="AD140" s="26" t="s">
        <v>141</v>
      </c>
      <c r="AE140" s="27" t="s">
        <v>141</v>
      </c>
      <c r="AF140" s="26" t="s">
        <v>141</v>
      </c>
      <c r="AG140" s="27" t="s">
        <v>141</v>
      </c>
      <c r="AH140" s="26" t="s">
        <v>141</v>
      </c>
      <c r="AI140" s="27" t="s">
        <v>141</v>
      </c>
      <c r="AJ140" s="26" t="s">
        <v>141</v>
      </c>
      <c r="AK140" s="27" t="s">
        <v>141</v>
      </c>
      <c r="AL140" s="26" t="s">
        <v>141</v>
      </c>
      <c r="AM140" s="27" t="s">
        <v>141</v>
      </c>
      <c r="AN140" s="26" t="s">
        <v>141</v>
      </c>
      <c r="AO140" s="27" t="s">
        <v>141</v>
      </c>
      <c r="AP140" s="26" t="s">
        <v>141</v>
      </c>
      <c r="AQ140" s="27" t="s">
        <v>141</v>
      </c>
      <c r="AR140" s="26" t="s">
        <v>141</v>
      </c>
      <c r="AS140" s="27" t="s">
        <v>141</v>
      </c>
      <c r="AT140" s="26" t="s">
        <v>141</v>
      </c>
      <c r="AU140" s="27" t="s">
        <v>141</v>
      </c>
      <c r="AV140" s="26" t="s">
        <v>141</v>
      </c>
      <c r="AW140" s="27" t="s">
        <v>141</v>
      </c>
      <c r="AX140" s="26" t="s">
        <v>141</v>
      </c>
      <c r="AY140" s="27" t="s">
        <v>141</v>
      </c>
    </row>
    <row r="141" spans="2:51">
      <c r="B141" s="24" t="s">
        <v>141</v>
      </c>
      <c r="C141" s="25" t="s">
        <v>141</v>
      </c>
      <c r="D141" s="26" t="s">
        <v>141</v>
      </c>
      <c r="E141" s="27" t="s">
        <v>141</v>
      </c>
      <c r="F141" s="26" t="s">
        <v>141</v>
      </c>
      <c r="G141" s="27" t="s">
        <v>141</v>
      </c>
      <c r="H141" s="26" t="s">
        <v>141</v>
      </c>
      <c r="I141" s="27" t="s">
        <v>141</v>
      </c>
      <c r="J141" s="26" t="s">
        <v>141</v>
      </c>
      <c r="K141" s="27" t="s">
        <v>141</v>
      </c>
      <c r="L141" s="26" t="s">
        <v>141</v>
      </c>
      <c r="M141" s="27" t="s">
        <v>141</v>
      </c>
      <c r="N141" s="26" t="s">
        <v>141</v>
      </c>
      <c r="O141" s="27" t="s">
        <v>141</v>
      </c>
      <c r="P141" s="26" t="s">
        <v>141</v>
      </c>
      <c r="Q141" s="27" t="s">
        <v>141</v>
      </c>
      <c r="R141" s="26" t="s">
        <v>141</v>
      </c>
      <c r="S141" s="27" t="s">
        <v>141</v>
      </c>
      <c r="T141" s="26" t="s">
        <v>141</v>
      </c>
      <c r="U141" s="27" t="s">
        <v>141</v>
      </c>
      <c r="V141" s="26" t="s">
        <v>141</v>
      </c>
      <c r="W141" s="27" t="s">
        <v>141</v>
      </c>
      <c r="X141" s="26" t="s">
        <v>141</v>
      </c>
      <c r="Y141" s="27" t="s">
        <v>141</v>
      </c>
      <c r="Z141" s="26" t="s">
        <v>141</v>
      </c>
      <c r="AA141" s="27" t="s">
        <v>141</v>
      </c>
      <c r="AB141" s="26" t="s">
        <v>141</v>
      </c>
      <c r="AC141" s="27" t="s">
        <v>141</v>
      </c>
      <c r="AD141" s="26" t="s">
        <v>141</v>
      </c>
      <c r="AE141" s="27" t="s">
        <v>141</v>
      </c>
      <c r="AF141" s="26" t="s">
        <v>141</v>
      </c>
      <c r="AG141" s="27" t="s">
        <v>141</v>
      </c>
      <c r="AH141" s="26" t="s">
        <v>141</v>
      </c>
      <c r="AI141" s="27" t="s">
        <v>141</v>
      </c>
      <c r="AJ141" s="26" t="s">
        <v>141</v>
      </c>
      <c r="AK141" s="27" t="s">
        <v>141</v>
      </c>
      <c r="AL141" s="26" t="s">
        <v>141</v>
      </c>
      <c r="AM141" s="27" t="s">
        <v>141</v>
      </c>
      <c r="AN141" s="26" t="s">
        <v>141</v>
      </c>
      <c r="AO141" s="27" t="s">
        <v>141</v>
      </c>
      <c r="AP141" s="26" t="s">
        <v>141</v>
      </c>
      <c r="AQ141" s="27" t="s">
        <v>141</v>
      </c>
      <c r="AR141" s="26" t="s">
        <v>141</v>
      </c>
      <c r="AS141" s="27" t="s">
        <v>141</v>
      </c>
      <c r="AT141" s="26" t="s">
        <v>141</v>
      </c>
      <c r="AU141" s="27" t="s">
        <v>141</v>
      </c>
      <c r="AV141" s="26" t="s">
        <v>141</v>
      </c>
      <c r="AW141" s="27" t="s">
        <v>141</v>
      </c>
      <c r="AX141" s="26" t="s">
        <v>141</v>
      </c>
      <c r="AY141" s="27" t="s">
        <v>141</v>
      </c>
    </row>
    <row r="142" spans="2:51">
      <c r="B142" s="24" t="s">
        <v>141</v>
      </c>
      <c r="C142" s="25" t="s">
        <v>141</v>
      </c>
      <c r="D142" s="26" t="s">
        <v>141</v>
      </c>
      <c r="E142" s="27" t="s">
        <v>141</v>
      </c>
      <c r="F142" s="26" t="s">
        <v>141</v>
      </c>
      <c r="G142" s="27" t="s">
        <v>141</v>
      </c>
      <c r="H142" s="26" t="s">
        <v>141</v>
      </c>
      <c r="I142" s="27" t="s">
        <v>141</v>
      </c>
      <c r="J142" s="26" t="s">
        <v>141</v>
      </c>
      <c r="K142" s="27" t="s">
        <v>141</v>
      </c>
      <c r="L142" s="26" t="s">
        <v>141</v>
      </c>
      <c r="M142" s="27" t="s">
        <v>141</v>
      </c>
      <c r="N142" s="26" t="s">
        <v>141</v>
      </c>
      <c r="O142" s="27" t="s">
        <v>141</v>
      </c>
      <c r="P142" s="26" t="s">
        <v>141</v>
      </c>
      <c r="Q142" s="27" t="s">
        <v>141</v>
      </c>
      <c r="R142" s="26" t="s">
        <v>141</v>
      </c>
      <c r="S142" s="27" t="s">
        <v>141</v>
      </c>
      <c r="T142" s="26" t="s">
        <v>141</v>
      </c>
      <c r="U142" s="27" t="s">
        <v>141</v>
      </c>
      <c r="V142" s="26" t="s">
        <v>141</v>
      </c>
      <c r="W142" s="27" t="s">
        <v>141</v>
      </c>
      <c r="X142" s="26" t="s">
        <v>141</v>
      </c>
      <c r="Y142" s="27" t="s">
        <v>141</v>
      </c>
      <c r="Z142" s="26" t="s">
        <v>141</v>
      </c>
      <c r="AA142" s="27" t="s">
        <v>141</v>
      </c>
      <c r="AB142" s="26" t="s">
        <v>141</v>
      </c>
      <c r="AC142" s="27" t="s">
        <v>141</v>
      </c>
      <c r="AD142" s="26" t="s">
        <v>141</v>
      </c>
      <c r="AE142" s="27" t="s">
        <v>141</v>
      </c>
      <c r="AF142" s="26" t="s">
        <v>141</v>
      </c>
      <c r="AG142" s="27" t="s">
        <v>141</v>
      </c>
      <c r="AH142" s="26" t="s">
        <v>141</v>
      </c>
      <c r="AI142" s="27" t="s">
        <v>141</v>
      </c>
      <c r="AJ142" s="26" t="s">
        <v>141</v>
      </c>
      <c r="AK142" s="27" t="s">
        <v>141</v>
      </c>
      <c r="AL142" s="26" t="s">
        <v>141</v>
      </c>
      <c r="AM142" s="27" t="s">
        <v>141</v>
      </c>
      <c r="AN142" s="26" t="s">
        <v>141</v>
      </c>
      <c r="AO142" s="27" t="s">
        <v>141</v>
      </c>
      <c r="AP142" s="26" t="s">
        <v>141</v>
      </c>
      <c r="AQ142" s="27" t="s">
        <v>141</v>
      </c>
      <c r="AR142" s="26" t="s">
        <v>141</v>
      </c>
      <c r="AS142" s="27" t="s">
        <v>141</v>
      </c>
      <c r="AT142" s="26" t="s">
        <v>141</v>
      </c>
      <c r="AU142" s="27" t="s">
        <v>141</v>
      </c>
      <c r="AV142" s="26" t="s">
        <v>141</v>
      </c>
      <c r="AW142" s="27" t="s">
        <v>141</v>
      </c>
      <c r="AX142" s="26" t="s">
        <v>141</v>
      </c>
      <c r="AY142" s="27" t="s">
        <v>141</v>
      </c>
    </row>
    <row r="143" spans="2:51">
      <c r="B143" s="24" t="s">
        <v>141</v>
      </c>
      <c r="C143" s="25" t="s">
        <v>141</v>
      </c>
      <c r="D143" s="26" t="s">
        <v>141</v>
      </c>
      <c r="E143" s="27" t="s">
        <v>141</v>
      </c>
      <c r="F143" s="26" t="s">
        <v>141</v>
      </c>
      <c r="G143" s="27" t="s">
        <v>141</v>
      </c>
      <c r="H143" s="26" t="s">
        <v>141</v>
      </c>
      <c r="I143" s="27" t="s">
        <v>141</v>
      </c>
      <c r="J143" s="26" t="s">
        <v>141</v>
      </c>
      <c r="K143" s="27" t="s">
        <v>141</v>
      </c>
      <c r="L143" s="26" t="s">
        <v>141</v>
      </c>
      <c r="M143" s="27" t="s">
        <v>141</v>
      </c>
      <c r="N143" s="26" t="s">
        <v>141</v>
      </c>
      <c r="O143" s="27" t="s">
        <v>141</v>
      </c>
      <c r="P143" s="26" t="s">
        <v>141</v>
      </c>
      <c r="Q143" s="27" t="s">
        <v>141</v>
      </c>
      <c r="R143" s="26" t="s">
        <v>141</v>
      </c>
      <c r="S143" s="27" t="s">
        <v>141</v>
      </c>
      <c r="T143" s="26" t="s">
        <v>141</v>
      </c>
      <c r="U143" s="27" t="s">
        <v>141</v>
      </c>
      <c r="V143" s="26" t="s">
        <v>141</v>
      </c>
      <c r="W143" s="27" t="s">
        <v>141</v>
      </c>
      <c r="X143" s="26" t="s">
        <v>141</v>
      </c>
      <c r="Y143" s="27" t="s">
        <v>141</v>
      </c>
      <c r="Z143" s="26" t="s">
        <v>141</v>
      </c>
      <c r="AA143" s="27" t="s">
        <v>141</v>
      </c>
      <c r="AB143" s="26" t="s">
        <v>141</v>
      </c>
      <c r="AC143" s="27" t="s">
        <v>141</v>
      </c>
      <c r="AD143" s="26" t="s">
        <v>141</v>
      </c>
      <c r="AE143" s="27" t="s">
        <v>141</v>
      </c>
      <c r="AF143" s="26" t="s">
        <v>141</v>
      </c>
      <c r="AG143" s="27" t="s">
        <v>141</v>
      </c>
      <c r="AH143" s="26" t="s">
        <v>141</v>
      </c>
      <c r="AI143" s="27" t="s">
        <v>141</v>
      </c>
      <c r="AJ143" s="26" t="s">
        <v>141</v>
      </c>
      <c r="AK143" s="27" t="s">
        <v>141</v>
      </c>
      <c r="AL143" s="26" t="s">
        <v>141</v>
      </c>
      <c r="AM143" s="27" t="s">
        <v>141</v>
      </c>
      <c r="AN143" s="26" t="s">
        <v>141</v>
      </c>
      <c r="AO143" s="27" t="s">
        <v>141</v>
      </c>
      <c r="AP143" s="26" t="s">
        <v>141</v>
      </c>
      <c r="AQ143" s="27" t="s">
        <v>141</v>
      </c>
      <c r="AR143" s="26" t="s">
        <v>141</v>
      </c>
      <c r="AS143" s="27" t="s">
        <v>141</v>
      </c>
      <c r="AT143" s="26" t="s">
        <v>141</v>
      </c>
      <c r="AU143" s="27" t="s">
        <v>141</v>
      </c>
      <c r="AV143" s="26" t="s">
        <v>141</v>
      </c>
      <c r="AW143" s="27" t="s">
        <v>141</v>
      </c>
      <c r="AX143" s="26" t="s">
        <v>141</v>
      </c>
      <c r="AY143" s="27" t="s">
        <v>141</v>
      </c>
    </row>
    <row r="144" spans="2:51">
      <c r="B144" s="24" t="s">
        <v>141</v>
      </c>
      <c r="C144" s="25" t="s">
        <v>141</v>
      </c>
      <c r="D144" s="26" t="s">
        <v>141</v>
      </c>
      <c r="E144" s="27" t="s">
        <v>141</v>
      </c>
      <c r="F144" s="26" t="s">
        <v>141</v>
      </c>
      <c r="G144" s="27" t="s">
        <v>141</v>
      </c>
      <c r="H144" s="26" t="s">
        <v>141</v>
      </c>
      <c r="I144" s="27" t="s">
        <v>141</v>
      </c>
      <c r="J144" s="26" t="s">
        <v>141</v>
      </c>
      <c r="K144" s="27" t="s">
        <v>141</v>
      </c>
      <c r="L144" s="26" t="s">
        <v>141</v>
      </c>
      <c r="M144" s="27" t="s">
        <v>141</v>
      </c>
      <c r="N144" s="26" t="s">
        <v>141</v>
      </c>
      <c r="O144" s="27" t="s">
        <v>141</v>
      </c>
      <c r="P144" s="26" t="s">
        <v>141</v>
      </c>
      <c r="Q144" s="27" t="s">
        <v>141</v>
      </c>
      <c r="R144" s="26" t="s">
        <v>141</v>
      </c>
      <c r="S144" s="27" t="s">
        <v>141</v>
      </c>
      <c r="T144" s="26" t="s">
        <v>141</v>
      </c>
      <c r="U144" s="27" t="s">
        <v>141</v>
      </c>
      <c r="V144" s="26" t="s">
        <v>141</v>
      </c>
      <c r="W144" s="27" t="s">
        <v>141</v>
      </c>
      <c r="X144" s="26" t="s">
        <v>141</v>
      </c>
      <c r="Y144" s="27" t="s">
        <v>141</v>
      </c>
      <c r="Z144" s="26" t="s">
        <v>141</v>
      </c>
      <c r="AA144" s="27" t="s">
        <v>141</v>
      </c>
      <c r="AB144" s="26" t="s">
        <v>141</v>
      </c>
      <c r="AC144" s="27" t="s">
        <v>141</v>
      </c>
      <c r="AD144" s="26" t="s">
        <v>141</v>
      </c>
      <c r="AE144" s="27" t="s">
        <v>141</v>
      </c>
      <c r="AF144" s="26" t="s">
        <v>141</v>
      </c>
      <c r="AG144" s="27" t="s">
        <v>141</v>
      </c>
      <c r="AH144" s="26" t="s">
        <v>141</v>
      </c>
      <c r="AI144" s="27" t="s">
        <v>141</v>
      </c>
      <c r="AJ144" s="26" t="s">
        <v>141</v>
      </c>
      <c r="AK144" s="27" t="s">
        <v>141</v>
      </c>
      <c r="AL144" s="26" t="s">
        <v>141</v>
      </c>
      <c r="AM144" s="27" t="s">
        <v>141</v>
      </c>
      <c r="AN144" s="26" t="s">
        <v>141</v>
      </c>
      <c r="AO144" s="27" t="s">
        <v>141</v>
      </c>
      <c r="AP144" s="26" t="s">
        <v>141</v>
      </c>
      <c r="AQ144" s="27" t="s">
        <v>141</v>
      </c>
      <c r="AR144" s="26" t="s">
        <v>141</v>
      </c>
      <c r="AS144" s="27" t="s">
        <v>141</v>
      </c>
      <c r="AT144" s="26" t="s">
        <v>141</v>
      </c>
      <c r="AU144" s="27" t="s">
        <v>141</v>
      </c>
      <c r="AV144" s="26" t="s">
        <v>141</v>
      </c>
      <c r="AW144" s="27" t="s">
        <v>141</v>
      </c>
      <c r="AX144" s="26" t="s">
        <v>141</v>
      </c>
      <c r="AY144" s="27" t="s">
        <v>141</v>
      </c>
    </row>
    <row r="145" spans="2:51">
      <c r="B145" s="24" t="s">
        <v>141</v>
      </c>
      <c r="C145" s="25" t="s">
        <v>141</v>
      </c>
      <c r="D145" s="26" t="s">
        <v>141</v>
      </c>
      <c r="E145" s="27" t="s">
        <v>141</v>
      </c>
      <c r="F145" s="26" t="s">
        <v>141</v>
      </c>
      <c r="G145" s="27" t="s">
        <v>141</v>
      </c>
      <c r="H145" s="26" t="s">
        <v>141</v>
      </c>
      <c r="I145" s="27" t="s">
        <v>141</v>
      </c>
      <c r="J145" s="26" t="s">
        <v>141</v>
      </c>
      <c r="K145" s="27" t="s">
        <v>141</v>
      </c>
      <c r="L145" s="26" t="s">
        <v>141</v>
      </c>
      <c r="M145" s="27" t="s">
        <v>141</v>
      </c>
      <c r="N145" s="26" t="s">
        <v>141</v>
      </c>
      <c r="O145" s="27" t="s">
        <v>141</v>
      </c>
      <c r="P145" s="26" t="s">
        <v>141</v>
      </c>
      <c r="Q145" s="27" t="s">
        <v>141</v>
      </c>
      <c r="R145" s="26" t="s">
        <v>141</v>
      </c>
      <c r="S145" s="27" t="s">
        <v>141</v>
      </c>
      <c r="T145" s="26" t="s">
        <v>141</v>
      </c>
      <c r="U145" s="27" t="s">
        <v>141</v>
      </c>
      <c r="V145" s="26" t="s">
        <v>141</v>
      </c>
      <c r="W145" s="27" t="s">
        <v>141</v>
      </c>
      <c r="X145" s="26" t="s">
        <v>141</v>
      </c>
      <c r="Y145" s="27" t="s">
        <v>141</v>
      </c>
      <c r="Z145" s="26" t="s">
        <v>141</v>
      </c>
      <c r="AA145" s="27" t="s">
        <v>141</v>
      </c>
      <c r="AB145" s="26" t="s">
        <v>141</v>
      </c>
      <c r="AC145" s="27" t="s">
        <v>141</v>
      </c>
      <c r="AD145" s="26" t="s">
        <v>141</v>
      </c>
      <c r="AE145" s="27" t="s">
        <v>141</v>
      </c>
      <c r="AF145" s="26" t="s">
        <v>141</v>
      </c>
      <c r="AG145" s="27" t="s">
        <v>141</v>
      </c>
      <c r="AH145" s="26" t="s">
        <v>141</v>
      </c>
      <c r="AI145" s="27" t="s">
        <v>141</v>
      </c>
      <c r="AJ145" s="26" t="s">
        <v>141</v>
      </c>
      <c r="AK145" s="27" t="s">
        <v>141</v>
      </c>
      <c r="AL145" s="26" t="s">
        <v>141</v>
      </c>
      <c r="AM145" s="27" t="s">
        <v>141</v>
      </c>
      <c r="AN145" s="26" t="s">
        <v>141</v>
      </c>
      <c r="AO145" s="27" t="s">
        <v>141</v>
      </c>
      <c r="AP145" s="26" t="s">
        <v>141</v>
      </c>
      <c r="AQ145" s="27" t="s">
        <v>141</v>
      </c>
      <c r="AR145" s="26" t="s">
        <v>141</v>
      </c>
      <c r="AS145" s="27" t="s">
        <v>141</v>
      </c>
      <c r="AT145" s="26" t="s">
        <v>141</v>
      </c>
      <c r="AU145" s="27" t="s">
        <v>141</v>
      </c>
      <c r="AV145" s="26" t="s">
        <v>141</v>
      </c>
      <c r="AW145" s="27" t="s">
        <v>141</v>
      </c>
      <c r="AX145" s="26" t="s">
        <v>141</v>
      </c>
      <c r="AY145" s="27" t="s">
        <v>141</v>
      </c>
    </row>
    <row r="146" spans="2:51">
      <c r="B146" s="24" t="s">
        <v>141</v>
      </c>
      <c r="C146" s="25" t="s">
        <v>141</v>
      </c>
      <c r="D146" s="26" t="s">
        <v>141</v>
      </c>
      <c r="E146" s="27" t="s">
        <v>141</v>
      </c>
      <c r="F146" s="26" t="s">
        <v>141</v>
      </c>
      <c r="G146" s="27" t="s">
        <v>141</v>
      </c>
      <c r="H146" s="26" t="s">
        <v>141</v>
      </c>
      <c r="I146" s="27" t="s">
        <v>141</v>
      </c>
      <c r="J146" s="26" t="s">
        <v>141</v>
      </c>
      <c r="K146" s="27" t="s">
        <v>141</v>
      </c>
      <c r="L146" s="26" t="s">
        <v>141</v>
      </c>
      <c r="M146" s="27" t="s">
        <v>141</v>
      </c>
      <c r="N146" s="26" t="s">
        <v>141</v>
      </c>
      <c r="O146" s="27" t="s">
        <v>141</v>
      </c>
      <c r="P146" s="26" t="s">
        <v>141</v>
      </c>
      <c r="Q146" s="27" t="s">
        <v>141</v>
      </c>
      <c r="R146" s="26" t="s">
        <v>141</v>
      </c>
      <c r="S146" s="27" t="s">
        <v>141</v>
      </c>
      <c r="T146" s="26" t="s">
        <v>141</v>
      </c>
      <c r="U146" s="27" t="s">
        <v>141</v>
      </c>
      <c r="V146" s="26" t="s">
        <v>141</v>
      </c>
      <c r="W146" s="27" t="s">
        <v>141</v>
      </c>
      <c r="X146" s="26" t="s">
        <v>141</v>
      </c>
      <c r="Y146" s="27" t="s">
        <v>141</v>
      </c>
      <c r="Z146" s="26" t="s">
        <v>141</v>
      </c>
      <c r="AA146" s="27" t="s">
        <v>141</v>
      </c>
      <c r="AB146" s="26" t="s">
        <v>141</v>
      </c>
      <c r="AC146" s="27" t="s">
        <v>141</v>
      </c>
      <c r="AD146" s="26" t="s">
        <v>141</v>
      </c>
      <c r="AE146" s="27" t="s">
        <v>141</v>
      </c>
      <c r="AF146" s="26" t="s">
        <v>141</v>
      </c>
      <c r="AG146" s="27" t="s">
        <v>141</v>
      </c>
      <c r="AH146" s="26" t="s">
        <v>141</v>
      </c>
      <c r="AI146" s="27" t="s">
        <v>141</v>
      </c>
      <c r="AJ146" s="26" t="s">
        <v>141</v>
      </c>
      <c r="AK146" s="27" t="s">
        <v>141</v>
      </c>
      <c r="AL146" s="26" t="s">
        <v>141</v>
      </c>
      <c r="AM146" s="27" t="s">
        <v>141</v>
      </c>
      <c r="AN146" s="26" t="s">
        <v>141</v>
      </c>
      <c r="AO146" s="27" t="s">
        <v>141</v>
      </c>
      <c r="AP146" s="26" t="s">
        <v>141</v>
      </c>
      <c r="AQ146" s="27" t="s">
        <v>141</v>
      </c>
      <c r="AR146" s="26" t="s">
        <v>141</v>
      </c>
      <c r="AS146" s="27" t="s">
        <v>141</v>
      </c>
      <c r="AT146" s="26" t="s">
        <v>141</v>
      </c>
      <c r="AU146" s="27" t="s">
        <v>141</v>
      </c>
      <c r="AV146" s="26" t="s">
        <v>141</v>
      </c>
      <c r="AW146" s="27" t="s">
        <v>141</v>
      </c>
      <c r="AX146" s="26" t="s">
        <v>141</v>
      </c>
      <c r="AY146" s="27" t="s">
        <v>141</v>
      </c>
    </row>
    <row r="147" spans="2:51">
      <c r="B147" s="24" t="s">
        <v>141</v>
      </c>
      <c r="C147" s="25" t="s">
        <v>141</v>
      </c>
      <c r="D147" s="26" t="s">
        <v>141</v>
      </c>
      <c r="E147" s="27" t="s">
        <v>141</v>
      </c>
      <c r="F147" s="26" t="s">
        <v>141</v>
      </c>
      <c r="G147" s="27" t="s">
        <v>141</v>
      </c>
      <c r="H147" s="26" t="s">
        <v>141</v>
      </c>
      <c r="I147" s="27" t="s">
        <v>141</v>
      </c>
      <c r="J147" s="26" t="s">
        <v>141</v>
      </c>
      <c r="K147" s="27" t="s">
        <v>141</v>
      </c>
      <c r="L147" s="26" t="s">
        <v>141</v>
      </c>
      <c r="M147" s="27" t="s">
        <v>141</v>
      </c>
      <c r="N147" s="26" t="s">
        <v>141</v>
      </c>
      <c r="O147" s="27" t="s">
        <v>141</v>
      </c>
      <c r="P147" s="26" t="s">
        <v>141</v>
      </c>
      <c r="Q147" s="27" t="s">
        <v>141</v>
      </c>
      <c r="R147" s="26" t="s">
        <v>141</v>
      </c>
      <c r="S147" s="27" t="s">
        <v>141</v>
      </c>
      <c r="T147" s="26" t="s">
        <v>141</v>
      </c>
      <c r="U147" s="27" t="s">
        <v>141</v>
      </c>
      <c r="V147" s="26" t="s">
        <v>141</v>
      </c>
      <c r="W147" s="27" t="s">
        <v>141</v>
      </c>
      <c r="X147" s="26" t="s">
        <v>141</v>
      </c>
      <c r="Y147" s="27" t="s">
        <v>141</v>
      </c>
      <c r="Z147" s="26" t="s">
        <v>141</v>
      </c>
      <c r="AA147" s="27" t="s">
        <v>141</v>
      </c>
      <c r="AB147" s="26" t="s">
        <v>141</v>
      </c>
      <c r="AC147" s="27" t="s">
        <v>141</v>
      </c>
      <c r="AD147" s="26" t="s">
        <v>141</v>
      </c>
      <c r="AE147" s="27" t="s">
        <v>141</v>
      </c>
      <c r="AF147" s="26" t="s">
        <v>141</v>
      </c>
      <c r="AG147" s="27" t="s">
        <v>141</v>
      </c>
      <c r="AH147" s="26" t="s">
        <v>141</v>
      </c>
      <c r="AI147" s="27" t="s">
        <v>141</v>
      </c>
      <c r="AJ147" s="26" t="s">
        <v>141</v>
      </c>
      <c r="AK147" s="27" t="s">
        <v>141</v>
      </c>
      <c r="AL147" s="26" t="s">
        <v>141</v>
      </c>
      <c r="AM147" s="27" t="s">
        <v>141</v>
      </c>
      <c r="AN147" s="26" t="s">
        <v>141</v>
      </c>
      <c r="AO147" s="27" t="s">
        <v>141</v>
      </c>
      <c r="AP147" s="26" t="s">
        <v>141</v>
      </c>
      <c r="AQ147" s="27" t="s">
        <v>141</v>
      </c>
      <c r="AR147" s="26" t="s">
        <v>141</v>
      </c>
      <c r="AS147" s="27" t="s">
        <v>141</v>
      </c>
      <c r="AT147" s="26" t="s">
        <v>141</v>
      </c>
      <c r="AU147" s="27" t="s">
        <v>141</v>
      </c>
      <c r="AV147" s="26" t="s">
        <v>141</v>
      </c>
      <c r="AW147" s="27" t="s">
        <v>141</v>
      </c>
      <c r="AX147" s="26" t="s">
        <v>141</v>
      </c>
      <c r="AY147" s="27" t="s">
        <v>141</v>
      </c>
    </row>
    <row r="148" spans="2:51">
      <c r="B148" s="24">
        <v>1</v>
      </c>
      <c r="C148" s="25">
        <v>2</v>
      </c>
      <c r="D148" s="26">
        <v>3</v>
      </c>
      <c r="E148" s="27">
        <v>4</v>
      </c>
      <c r="F148" s="26">
        <v>5</v>
      </c>
      <c r="G148" s="27">
        <v>6</v>
      </c>
      <c r="H148" s="26">
        <v>7</v>
      </c>
      <c r="I148" s="27">
        <v>8</v>
      </c>
      <c r="J148" s="26">
        <v>9</v>
      </c>
      <c r="K148" s="27">
        <v>10</v>
      </c>
      <c r="L148" s="26">
        <v>11</v>
      </c>
      <c r="M148" s="27">
        <v>12</v>
      </c>
      <c r="N148" s="26">
        <v>13</v>
      </c>
      <c r="O148" s="27">
        <v>14</v>
      </c>
      <c r="P148" s="26">
        <v>15</v>
      </c>
      <c r="Q148" s="27">
        <v>16</v>
      </c>
      <c r="R148" s="26">
        <v>17</v>
      </c>
      <c r="S148" s="27">
        <v>18</v>
      </c>
      <c r="T148" s="26">
        <v>19</v>
      </c>
      <c r="U148" s="27">
        <v>20</v>
      </c>
      <c r="V148" s="26">
        <v>21</v>
      </c>
      <c r="W148" s="27">
        <v>22</v>
      </c>
      <c r="X148" s="26">
        <v>23</v>
      </c>
      <c r="Y148" s="27">
        <v>24</v>
      </c>
      <c r="Z148" s="26">
        <v>25</v>
      </c>
      <c r="AA148" s="27">
        <v>26</v>
      </c>
      <c r="AB148" s="26">
        <v>27</v>
      </c>
      <c r="AC148" s="27">
        <v>28</v>
      </c>
      <c r="AD148" s="26">
        <v>29</v>
      </c>
      <c r="AE148" s="27">
        <v>30</v>
      </c>
      <c r="AF148" s="26">
        <v>31</v>
      </c>
      <c r="AG148" s="27">
        <v>32</v>
      </c>
      <c r="AH148" s="26">
        <v>33</v>
      </c>
      <c r="AI148" s="27">
        <v>34</v>
      </c>
      <c r="AJ148" s="26">
        <v>35</v>
      </c>
      <c r="AK148" s="27">
        <v>36</v>
      </c>
      <c r="AL148" s="26">
        <v>37</v>
      </c>
      <c r="AM148" s="27">
        <v>38</v>
      </c>
      <c r="AN148" s="26">
        <v>39</v>
      </c>
      <c r="AO148" s="27">
        <v>40</v>
      </c>
      <c r="AP148" s="26">
        <v>41</v>
      </c>
      <c r="AQ148" s="27">
        <v>42</v>
      </c>
      <c r="AR148" s="26">
        <v>43</v>
      </c>
      <c r="AS148" s="27">
        <v>44</v>
      </c>
      <c r="AT148" s="26">
        <v>45</v>
      </c>
      <c r="AU148" s="27">
        <v>46</v>
      </c>
      <c r="AV148" s="26">
        <v>47</v>
      </c>
      <c r="AW148" s="27">
        <v>48</v>
      </c>
      <c r="AX148" s="26">
        <v>49</v>
      </c>
      <c r="AY148" s="27">
        <v>50</v>
      </c>
    </row>
    <row r="149" spans="2:51">
      <c r="B149" s="24" t="s">
        <v>141</v>
      </c>
      <c r="C149" s="25" t="s">
        <v>141</v>
      </c>
      <c r="D149" s="26" t="s">
        <v>141</v>
      </c>
      <c r="E149" s="27" t="s">
        <v>141</v>
      </c>
      <c r="F149" s="26" t="s">
        <v>141</v>
      </c>
      <c r="G149" s="27" t="s">
        <v>141</v>
      </c>
      <c r="H149" s="26" t="s">
        <v>141</v>
      </c>
      <c r="I149" s="27" t="s">
        <v>141</v>
      </c>
      <c r="J149" s="26" t="s">
        <v>141</v>
      </c>
      <c r="K149" s="27" t="s">
        <v>141</v>
      </c>
      <c r="L149" s="26" t="s">
        <v>141</v>
      </c>
      <c r="M149" s="27" t="s">
        <v>141</v>
      </c>
      <c r="N149" s="26" t="s">
        <v>141</v>
      </c>
      <c r="O149" s="27" t="s">
        <v>141</v>
      </c>
      <c r="P149" s="26" t="s">
        <v>141</v>
      </c>
      <c r="Q149" s="27" t="s">
        <v>141</v>
      </c>
      <c r="R149" s="26" t="s">
        <v>141</v>
      </c>
      <c r="S149" s="27" t="s">
        <v>141</v>
      </c>
      <c r="T149" s="26" t="s">
        <v>141</v>
      </c>
      <c r="U149" s="27" t="s">
        <v>141</v>
      </c>
      <c r="V149" s="26" t="s">
        <v>141</v>
      </c>
      <c r="W149" s="27" t="s">
        <v>141</v>
      </c>
      <c r="X149" s="26" t="s">
        <v>141</v>
      </c>
      <c r="Y149" s="27" t="s">
        <v>141</v>
      </c>
      <c r="Z149" s="26" t="s">
        <v>141</v>
      </c>
      <c r="AA149" s="27" t="s">
        <v>141</v>
      </c>
      <c r="AB149" s="26" t="s">
        <v>141</v>
      </c>
      <c r="AC149" s="27" t="s">
        <v>141</v>
      </c>
      <c r="AD149" s="26" t="s">
        <v>141</v>
      </c>
      <c r="AE149" s="27" t="s">
        <v>141</v>
      </c>
      <c r="AF149" s="26" t="s">
        <v>141</v>
      </c>
      <c r="AG149" s="27" t="s">
        <v>141</v>
      </c>
      <c r="AH149" s="26" t="s">
        <v>141</v>
      </c>
      <c r="AI149" s="27" t="s">
        <v>141</v>
      </c>
      <c r="AJ149" s="26" t="s">
        <v>141</v>
      </c>
      <c r="AK149" s="27" t="s">
        <v>141</v>
      </c>
      <c r="AL149" s="26" t="s">
        <v>141</v>
      </c>
      <c r="AM149" s="27" t="s">
        <v>141</v>
      </c>
      <c r="AN149" s="26" t="s">
        <v>141</v>
      </c>
      <c r="AO149" s="27" t="s">
        <v>141</v>
      </c>
      <c r="AP149" s="26" t="s">
        <v>141</v>
      </c>
      <c r="AQ149" s="27" t="s">
        <v>141</v>
      </c>
      <c r="AR149" s="26" t="s">
        <v>141</v>
      </c>
      <c r="AS149" s="27" t="s">
        <v>141</v>
      </c>
      <c r="AT149" s="26" t="s">
        <v>141</v>
      </c>
      <c r="AU149" s="27" t="s">
        <v>141</v>
      </c>
      <c r="AV149" s="26" t="s">
        <v>141</v>
      </c>
      <c r="AW149" s="27" t="s">
        <v>141</v>
      </c>
      <c r="AX149" s="26" t="s">
        <v>141</v>
      </c>
      <c r="AY149" s="27" t="s">
        <v>141</v>
      </c>
    </row>
    <row r="150" spans="2:51">
      <c r="B150" s="24" t="s">
        <v>141</v>
      </c>
      <c r="C150" s="25" t="s">
        <v>141</v>
      </c>
      <c r="D150" s="26" t="s">
        <v>141</v>
      </c>
      <c r="E150" s="27" t="s">
        <v>141</v>
      </c>
      <c r="F150" s="26" t="s">
        <v>141</v>
      </c>
      <c r="G150" s="27" t="s">
        <v>141</v>
      </c>
      <c r="H150" s="26" t="s">
        <v>141</v>
      </c>
      <c r="I150" s="27" t="s">
        <v>141</v>
      </c>
      <c r="J150" s="26" t="s">
        <v>141</v>
      </c>
      <c r="K150" s="27" t="s">
        <v>141</v>
      </c>
      <c r="L150" s="26" t="s">
        <v>141</v>
      </c>
      <c r="M150" s="27" t="s">
        <v>141</v>
      </c>
      <c r="N150" s="26" t="s">
        <v>141</v>
      </c>
      <c r="O150" s="27" t="s">
        <v>141</v>
      </c>
      <c r="P150" s="26" t="s">
        <v>141</v>
      </c>
      <c r="Q150" s="27" t="s">
        <v>141</v>
      </c>
      <c r="R150" s="26" t="s">
        <v>141</v>
      </c>
      <c r="S150" s="27" t="s">
        <v>141</v>
      </c>
      <c r="T150" s="26" t="s">
        <v>141</v>
      </c>
      <c r="U150" s="27" t="s">
        <v>141</v>
      </c>
      <c r="V150" s="26" t="s">
        <v>141</v>
      </c>
      <c r="W150" s="27" t="s">
        <v>141</v>
      </c>
      <c r="X150" s="26" t="s">
        <v>141</v>
      </c>
      <c r="Y150" s="27" t="s">
        <v>141</v>
      </c>
      <c r="Z150" s="26" t="s">
        <v>141</v>
      </c>
      <c r="AA150" s="27" t="s">
        <v>141</v>
      </c>
      <c r="AB150" s="26" t="s">
        <v>141</v>
      </c>
      <c r="AC150" s="27" t="s">
        <v>141</v>
      </c>
      <c r="AD150" s="26" t="s">
        <v>141</v>
      </c>
      <c r="AE150" s="27" t="s">
        <v>141</v>
      </c>
      <c r="AF150" s="26" t="s">
        <v>141</v>
      </c>
      <c r="AG150" s="27" t="s">
        <v>141</v>
      </c>
      <c r="AH150" s="26" t="s">
        <v>141</v>
      </c>
      <c r="AI150" s="27" t="s">
        <v>141</v>
      </c>
      <c r="AJ150" s="26" t="s">
        <v>141</v>
      </c>
      <c r="AK150" s="27" t="s">
        <v>141</v>
      </c>
      <c r="AL150" s="26" t="s">
        <v>141</v>
      </c>
      <c r="AM150" s="27" t="s">
        <v>141</v>
      </c>
      <c r="AN150" s="26" t="s">
        <v>141</v>
      </c>
      <c r="AO150" s="27" t="s">
        <v>141</v>
      </c>
      <c r="AP150" s="26" t="s">
        <v>141</v>
      </c>
      <c r="AQ150" s="27" t="s">
        <v>141</v>
      </c>
      <c r="AR150" s="26" t="s">
        <v>141</v>
      </c>
      <c r="AS150" s="27" t="s">
        <v>141</v>
      </c>
      <c r="AT150" s="26" t="s">
        <v>141</v>
      </c>
      <c r="AU150" s="27" t="s">
        <v>141</v>
      </c>
      <c r="AV150" s="26" t="s">
        <v>141</v>
      </c>
      <c r="AW150" s="27" t="s">
        <v>141</v>
      </c>
      <c r="AX150" s="26" t="s">
        <v>141</v>
      </c>
      <c r="AY150" s="27" t="s">
        <v>141</v>
      </c>
    </row>
    <row r="151" spans="2:51">
      <c r="B151" s="24" t="s">
        <v>141</v>
      </c>
      <c r="C151" s="25" t="s">
        <v>141</v>
      </c>
      <c r="D151" s="26" t="s">
        <v>141</v>
      </c>
      <c r="E151" s="27" t="s">
        <v>141</v>
      </c>
      <c r="F151" s="26" t="s">
        <v>141</v>
      </c>
      <c r="G151" s="27" t="s">
        <v>141</v>
      </c>
      <c r="H151" s="26" t="s">
        <v>141</v>
      </c>
      <c r="I151" s="27" t="s">
        <v>141</v>
      </c>
      <c r="J151" s="26" t="s">
        <v>141</v>
      </c>
      <c r="K151" s="27" t="s">
        <v>141</v>
      </c>
      <c r="L151" s="26" t="s">
        <v>141</v>
      </c>
      <c r="M151" s="27" t="s">
        <v>141</v>
      </c>
      <c r="N151" s="26" t="s">
        <v>141</v>
      </c>
      <c r="O151" s="27" t="s">
        <v>141</v>
      </c>
      <c r="P151" s="26" t="s">
        <v>141</v>
      </c>
      <c r="Q151" s="27" t="s">
        <v>141</v>
      </c>
      <c r="R151" s="26" t="s">
        <v>141</v>
      </c>
      <c r="S151" s="27" t="s">
        <v>141</v>
      </c>
      <c r="T151" s="26" t="s">
        <v>141</v>
      </c>
      <c r="U151" s="27" t="s">
        <v>141</v>
      </c>
      <c r="V151" s="26" t="s">
        <v>141</v>
      </c>
      <c r="W151" s="27" t="s">
        <v>141</v>
      </c>
      <c r="X151" s="26" t="s">
        <v>141</v>
      </c>
      <c r="Y151" s="27" t="s">
        <v>141</v>
      </c>
      <c r="Z151" s="26" t="s">
        <v>141</v>
      </c>
      <c r="AA151" s="27" t="s">
        <v>141</v>
      </c>
      <c r="AB151" s="26" t="s">
        <v>141</v>
      </c>
      <c r="AC151" s="27" t="s">
        <v>141</v>
      </c>
      <c r="AD151" s="26" t="s">
        <v>141</v>
      </c>
      <c r="AE151" s="27" t="s">
        <v>141</v>
      </c>
      <c r="AF151" s="26" t="s">
        <v>141</v>
      </c>
      <c r="AG151" s="27" t="s">
        <v>141</v>
      </c>
      <c r="AH151" s="26" t="s">
        <v>141</v>
      </c>
      <c r="AI151" s="27" t="s">
        <v>141</v>
      </c>
      <c r="AJ151" s="26" t="s">
        <v>141</v>
      </c>
      <c r="AK151" s="27" t="s">
        <v>141</v>
      </c>
      <c r="AL151" s="26" t="s">
        <v>141</v>
      </c>
      <c r="AM151" s="27" t="s">
        <v>141</v>
      </c>
      <c r="AN151" s="26" t="s">
        <v>141</v>
      </c>
      <c r="AO151" s="27" t="s">
        <v>141</v>
      </c>
      <c r="AP151" s="26" t="s">
        <v>141</v>
      </c>
      <c r="AQ151" s="27" t="s">
        <v>141</v>
      </c>
      <c r="AR151" s="26" t="s">
        <v>141</v>
      </c>
      <c r="AS151" s="27" t="s">
        <v>141</v>
      </c>
      <c r="AT151" s="26" t="s">
        <v>141</v>
      </c>
      <c r="AU151" s="27" t="s">
        <v>141</v>
      </c>
      <c r="AV151" s="26" t="s">
        <v>141</v>
      </c>
      <c r="AW151" s="27" t="s">
        <v>141</v>
      </c>
      <c r="AX151" s="26" t="s">
        <v>141</v>
      </c>
      <c r="AY151" s="27" t="s">
        <v>141</v>
      </c>
    </row>
    <row r="152" spans="2:51">
      <c r="B152" s="24" t="s">
        <v>141</v>
      </c>
      <c r="C152" s="25" t="s">
        <v>141</v>
      </c>
      <c r="D152" s="26" t="s">
        <v>141</v>
      </c>
      <c r="E152" s="27" t="s">
        <v>141</v>
      </c>
      <c r="F152" s="26" t="s">
        <v>141</v>
      </c>
      <c r="G152" s="27" t="s">
        <v>141</v>
      </c>
      <c r="H152" s="26" t="s">
        <v>141</v>
      </c>
      <c r="I152" s="27" t="s">
        <v>141</v>
      </c>
      <c r="J152" s="26" t="s">
        <v>141</v>
      </c>
      <c r="K152" s="27" t="s">
        <v>141</v>
      </c>
      <c r="L152" s="26" t="s">
        <v>141</v>
      </c>
      <c r="M152" s="27" t="s">
        <v>141</v>
      </c>
      <c r="N152" s="26" t="s">
        <v>141</v>
      </c>
      <c r="O152" s="27" t="s">
        <v>141</v>
      </c>
      <c r="P152" s="26" t="s">
        <v>141</v>
      </c>
      <c r="Q152" s="27" t="s">
        <v>141</v>
      </c>
      <c r="R152" s="26" t="s">
        <v>141</v>
      </c>
      <c r="S152" s="27" t="s">
        <v>141</v>
      </c>
      <c r="T152" s="26" t="s">
        <v>141</v>
      </c>
      <c r="U152" s="27" t="s">
        <v>141</v>
      </c>
      <c r="V152" s="26" t="s">
        <v>141</v>
      </c>
      <c r="W152" s="27" t="s">
        <v>141</v>
      </c>
      <c r="X152" s="26" t="s">
        <v>141</v>
      </c>
      <c r="Y152" s="27" t="s">
        <v>141</v>
      </c>
      <c r="Z152" s="26" t="s">
        <v>141</v>
      </c>
      <c r="AA152" s="27" t="s">
        <v>141</v>
      </c>
      <c r="AB152" s="26" t="s">
        <v>141</v>
      </c>
      <c r="AC152" s="27" t="s">
        <v>141</v>
      </c>
      <c r="AD152" s="26" t="s">
        <v>141</v>
      </c>
      <c r="AE152" s="27" t="s">
        <v>141</v>
      </c>
      <c r="AF152" s="26" t="s">
        <v>141</v>
      </c>
      <c r="AG152" s="27" t="s">
        <v>141</v>
      </c>
      <c r="AH152" s="26" t="s">
        <v>141</v>
      </c>
      <c r="AI152" s="27" t="s">
        <v>141</v>
      </c>
      <c r="AJ152" s="26" t="s">
        <v>141</v>
      </c>
      <c r="AK152" s="27" t="s">
        <v>141</v>
      </c>
      <c r="AL152" s="26" t="s">
        <v>141</v>
      </c>
      <c r="AM152" s="27" t="s">
        <v>141</v>
      </c>
      <c r="AN152" s="26" t="s">
        <v>141</v>
      </c>
      <c r="AO152" s="27" t="s">
        <v>141</v>
      </c>
      <c r="AP152" s="26" t="s">
        <v>141</v>
      </c>
      <c r="AQ152" s="27" t="s">
        <v>141</v>
      </c>
      <c r="AR152" s="26" t="s">
        <v>141</v>
      </c>
      <c r="AS152" s="27" t="s">
        <v>141</v>
      </c>
      <c r="AT152" s="26" t="s">
        <v>141</v>
      </c>
      <c r="AU152" s="27" t="s">
        <v>141</v>
      </c>
      <c r="AV152" s="26" t="s">
        <v>141</v>
      </c>
      <c r="AW152" s="27" t="s">
        <v>141</v>
      </c>
      <c r="AX152" s="26" t="s">
        <v>141</v>
      </c>
      <c r="AY152" s="27" t="s">
        <v>141</v>
      </c>
    </row>
    <row r="153" spans="2:51">
      <c r="B153" s="24" t="s">
        <v>141</v>
      </c>
      <c r="C153" s="25" t="s">
        <v>141</v>
      </c>
      <c r="D153" s="26" t="s">
        <v>141</v>
      </c>
      <c r="E153" s="27" t="s">
        <v>141</v>
      </c>
      <c r="F153" s="26" t="s">
        <v>141</v>
      </c>
      <c r="G153" s="27" t="s">
        <v>141</v>
      </c>
      <c r="H153" s="26" t="s">
        <v>141</v>
      </c>
      <c r="I153" s="27" t="s">
        <v>141</v>
      </c>
      <c r="J153" s="26" t="s">
        <v>141</v>
      </c>
      <c r="K153" s="27" t="s">
        <v>141</v>
      </c>
      <c r="L153" s="26" t="s">
        <v>141</v>
      </c>
      <c r="M153" s="27" t="s">
        <v>141</v>
      </c>
      <c r="N153" s="26" t="s">
        <v>141</v>
      </c>
      <c r="O153" s="27" t="s">
        <v>141</v>
      </c>
      <c r="P153" s="26" t="s">
        <v>141</v>
      </c>
      <c r="Q153" s="27" t="s">
        <v>141</v>
      </c>
      <c r="R153" s="26" t="s">
        <v>141</v>
      </c>
      <c r="S153" s="27" t="s">
        <v>141</v>
      </c>
      <c r="T153" s="26" t="s">
        <v>141</v>
      </c>
      <c r="U153" s="27" t="s">
        <v>141</v>
      </c>
      <c r="V153" s="26" t="s">
        <v>141</v>
      </c>
      <c r="W153" s="27" t="s">
        <v>141</v>
      </c>
      <c r="X153" s="26" t="s">
        <v>141</v>
      </c>
      <c r="Y153" s="27" t="s">
        <v>141</v>
      </c>
      <c r="Z153" s="26" t="s">
        <v>141</v>
      </c>
      <c r="AA153" s="27" t="s">
        <v>141</v>
      </c>
      <c r="AB153" s="26" t="s">
        <v>141</v>
      </c>
      <c r="AC153" s="27" t="s">
        <v>141</v>
      </c>
      <c r="AD153" s="26" t="s">
        <v>141</v>
      </c>
      <c r="AE153" s="27" t="s">
        <v>141</v>
      </c>
      <c r="AF153" s="26" t="s">
        <v>141</v>
      </c>
      <c r="AG153" s="27" t="s">
        <v>141</v>
      </c>
      <c r="AH153" s="26" t="s">
        <v>141</v>
      </c>
      <c r="AI153" s="27" t="s">
        <v>141</v>
      </c>
      <c r="AJ153" s="26" t="s">
        <v>141</v>
      </c>
      <c r="AK153" s="27" t="s">
        <v>141</v>
      </c>
      <c r="AL153" s="26" t="s">
        <v>141</v>
      </c>
      <c r="AM153" s="27" t="s">
        <v>141</v>
      </c>
      <c r="AN153" s="26" t="s">
        <v>141</v>
      </c>
      <c r="AO153" s="27" t="s">
        <v>141</v>
      </c>
      <c r="AP153" s="26" t="s">
        <v>141</v>
      </c>
      <c r="AQ153" s="27" t="s">
        <v>141</v>
      </c>
      <c r="AR153" s="26" t="s">
        <v>141</v>
      </c>
      <c r="AS153" s="27" t="s">
        <v>141</v>
      </c>
      <c r="AT153" s="26" t="s">
        <v>141</v>
      </c>
      <c r="AU153" s="27" t="s">
        <v>141</v>
      </c>
      <c r="AV153" s="26" t="s">
        <v>141</v>
      </c>
      <c r="AW153" s="27" t="s">
        <v>141</v>
      </c>
      <c r="AX153" s="26" t="s">
        <v>141</v>
      </c>
      <c r="AY153" s="27" t="s">
        <v>141</v>
      </c>
    </row>
    <row r="154" spans="2:51">
      <c r="B154" s="24" t="s">
        <v>141</v>
      </c>
      <c r="C154" s="25" t="s">
        <v>141</v>
      </c>
      <c r="D154" s="26" t="s">
        <v>141</v>
      </c>
      <c r="E154" s="27" t="s">
        <v>141</v>
      </c>
      <c r="F154" s="26" t="s">
        <v>141</v>
      </c>
      <c r="G154" s="27" t="s">
        <v>141</v>
      </c>
      <c r="H154" s="26" t="s">
        <v>141</v>
      </c>
      <c r="I154" s="27" t="s">
        <v>141</v>
      </c>
      <c r="J154" s="26" t="s">
        <v>141</v>
      </c>
      <c r="K154" s="27" t="s">
        <v>141</v>
      </c>
      <c r="L154" s="26" t="s">
        <v>141</v>
      </c>
      <c r="M154" s="27" t="s">
        <v>141</v>
      </c>
      <c r="N154" s="26" t="s">
        <v>141</v>
      </c>
      <c r="O154" s="27" t="s">
        <v>141</v>
      </c>
      <c r="P154" s="26" t="s">
        <v>141</v>
      </c>
      <c r="Q154" s="27" t="s">
        <v>141</v>
      </c>
      <c r="R154" s="26" t="s">
        <v>141</v>
      </c>
      <c r="S154" s="27" t="s">
        <v>141</v>
      </c>
      <c r="T154" s="26" t="s">
        <v>141</v>
      </c>
      <c r="U154" s="27" t="s">
        <v>141</v>
      </c>
      <c r="V154" s="26" t="s">
        <v>141</v>
      </c>
      <c r="W154" s="27" t="s">
        <v>141</v>
      </c>
      <c r="X154" s="26" t="s">
        <v>141</v>
      </c>
      <c r="Y154" s="27" t="s">
        <v>141</v>
      </c>
      <c r="Z154" s="26" t="s">
        <v>141</v>
      </c>
      <c r="AA154" s="27" t="s">
        <v>141</v>
      </c>
      <c r="AB154" s="26" t="s">
        <v>141</v>
      </c>
      <c r="AC154" s="27" t="s">
        <v>141</v>
      </c>
      <c r="AD154" s="26" t="s">
        <v>141</v>
      </c>
      <c r="AE154" s="27" t="s">
        <v>141</v>
      </c>
      <c r="AF154" s="26" t="s">
        <v>141</v>
      </c>
      <c r="AG154" s="27" t="s">
        <v>141</v>
      </c>
      <c r="AH154" s="26" t="s">
        <v>141</v>
      </c>
      <c r="AI154" s="27" t="s">
        <v>141</v>
      </c>
      <c r="AJ154" s="26" t="s">
        <v>141</v>
      </c>
      <c r="AK154" s="27" t="s">
        <v>141</v>
      </c>
      <c r="AL154" s="26" t="s">
        <v>141</v>
      </c>
      <c r="AM154" s="27" t="s">
        <v>141</v>
      </c>
      <c r="AN154" s="26" t="s">
        <v>141</v>
      </c>
      <c r="AO154" s="27" t="s">
        <v>141</v>
      </c>
      <c r="AP154" s="26" t="s">
        <v>141</v>
      </c>
      <c r="AQ154" s="27" t="s">
        <v>141</v>
      </c>
      <c r="AR154" s="26" t="s">
        <v>141</v>
      </c>
      <c r="AS154" s="27" t="s">
        <v>141</v>
      </c>
      <c r="AT154" s="26" t="s">
        <v>141</v>
      </c>
      <c r="AU154" s="27" t="s">
        <v>141</v>
      </c>
      <c r="AV154" s="26" t="s">
        <v>141</v>
      </c>
      <c r="AW154" s="27" t="s">
        <v>141</v>
      </c>
      <c r="AX154" s="26" t="s">
        <v>141</v>
      </c>
      <c r="AY154" s="27" t="s">
        <v>141</v>
      </c>
    </row>
    <row r="155" spans="2:51">
      <c r="B155" s="24" t="s">
        <v>141</v>
      </c>
      <c r="C155" s="25" t="s">
        <v>141</v>
      </c>
      <c r="D155" s="26" t="s">
        <v>141</v>
      </c>
      <c r="E155" s="27" t="s">
        <v>141</v>
      </c>
      <c r="F155" s="26" t="s">
        <v>141</v>
      </c>
      <c r="G155" s="27" t="s">
        <v>141</v>
      </c>
      <c r="H155" s="26" t="s">
        <v>141</v>
      </c>
      <c r="I155" s="27" t="s">
        <v>141</v>
      </c>
      <c r="J155" s="26" t="s">
        <v>141</v>
      </c>
      <c r="K155" s="27" t="s">
        <v>141</v>
      </c>
      <c r="L155" s="26" t="s">
        <v>141</v>
      </c>
      <c r="M155" s="27" t="s">
        <v>141</v>
      </c>
      <c r="N155" s="26" t="s">
        <v>141</v>
      </c>
      <c r="O155" s="27" t="s">
        <v>141</v>
      </c>
      <c r="P155" s="26" t="s">
        <v>141</v>
      </c>
      <c r="Q155" s="27" t="s">
        <v>141</v>
      </c>
      <c r="R155" s="26" t="s">
        <v>141</v>
      </c>
      <c r="S155" s="27" t="s">
        <v>141</v>
      </c>
      <c r="T155" s="26" t="s">
        <v>141</v>
      </c>
      <c r="U155" s="27" t="s">
        <v>141</v>
      </c>
      <c r="V155" s="26" t="s">
        <v>141</v>
      </c>
      <c r="W155" s="27" t="s">
        <v>141</v>
      </c>
      <c r="X155" s="26" t="s">
        <v>141</v>
      </c>
      <c r="Y155" s="27" t="s">
        <v>141</v>
      </c>
      <c r="Z155" s="26" t="s">
        <v>141</v>
      </c>
      <c r="AA155" s="27" t="s">
        <v>141</v>
      </c>
      <c r="AB155" s="26" t="s">
        <v>141</v>
      </c>
      <c r="AC155" s="27" t="s">
        <v>141</v>
      </c>
      <c r="AD155" s="26" t="s">
        <v>141</v>
      </c>
      <c r="AE155" s="27" t="s">
        <v>141</v>
      </c>
      <c r="AF155" s="26" t="s">
        <v>141</v>
      </c>
      <c r="AG155" s="27" t="s">
        <v>141</v>
      </c>
      <c r="AH155" s="26" t="s">
        <v>141</v>
      </c>
      <c r="AI155" s="27" t="s">
        <v>141</v>
      </c>
      <c r="AJ155" s="26" t="s">
        <v>141</v>
      </c>
      <c r="AK155" s="27" t="s">
        <v>141</v>
      </c>
      <c r="AL155" s="26" t="s">
        <v>141</v>
      </c>
      <c r="AM155" s="27" t="s">
        <v>141</v>
      </c>
      <c r="AN155" s="26" t="s">
        <v>141</v>
      </c>
      <c r="AO155" s="27" t="s">
        <v>141</v>
      </c>
      <c r="AP155" s="26" t="s">
        <v>141</v>
      </c>
      <c r="AQ155" s="27" t="s">
        <v>141</v>
      </c>
      <c r="AR155" s="26" t="s">
        <v>141</v>
      </c>
      <c r="AS155" s="27" t="s">
        <v>141</v>
      </c>
      <c r="AT155" s="26" t="s">
        <v>141</v>
      </c>
      <c r="AU155" s="27" t="s">
        <v>141</v>
      </c>
      <c r="AV155" s="26" t="s">
        <v>141</v>
      </c>
      <c r="AW155" s="27" t="s">
        <v>141</v>
      </c>
      <c r="AX155" s="26" t="s">
        <v>141</v>
      </c>
      <c r="AY155" s="27" t="s">
        <v>141</v>
      </c>
    </row>
    <row r="156" spans="2:51">
      <c r="B156" s="24" t="s">
        <v>141</v>
      </c>
      <c r="C156" s="25" t="s">
        <v>141</v>
      </c>
      <c r="D156" s="26" t="s">
        <v>141</v>
      </c>
      <c r="E156" s="27" t="s">
        <v>141</v>
      </c>
      <c r="F156" s="26" t="s">
        <v>141</v>
      </c>
      <c r="G156" s="27" t="s">
        <v>141</v>
      </c>
      <c r="H156" s="26" t="s">
        <v>141</v>
      </c>
      <c r="I156" s="27" t="s">
        <v>141</v>
      </c>
      <c r="J156" s="26" t="s">
        <v>141</v>
      </c>
      <c r="K156" s="27" t="s">
        <v>141</v>
      </c>
      <c r="L156" s="26" t="s">
        <v>141</v>
      </c>
      <c r="M156" s="27" t="s">
        <v>141</v>
      </c>
      <c r="N156" s="26" t="s">
        <v>141</v>
      </c>
      <c r="O156" s="27" t="s">
        <v>141</v>
      </c>
      <c r="P156" s="26" t="s">
        <v>141</v>
      </c>
      <c r="Q156" s="27" t="s">
        <v>141</v>
      </c>
      <c r="R156" s="26" t="s">
        <v>141</v>
      </c>
      <c r="S156" s="27" t="s">
        <v>141</v>
      </c>
      <c r="T156" s="26" t="s">
        <v>141</v>
      </c>
      <c r="U156" s="27" t="s">
        <v>141</v>
      </c>
      <c r="V156" s="26" t="s">
        <v>141</v>
      </c>
      <c r="W156" s="27" t="s">
        <v>141</v>
      </c>
      <c r="X156" s="26" t="s">
        <v>141</v>
      </c>
      <c r="Y156" s="27" t="s">
        <v>141</v>
      </c>
      <c r="Z156" s="26" t="s">
        <v>141</v>
      </c>
      <c r="AA156" s="27" t="s">
        <v>141</v>
      </c>
      <c r="AB156" s="26" t="s">
        <v>141</v>
      </c>
      <c r="AC156" s="27" t="s">
        <v>141</v>
      </c>
      <c r="AD156" s="26" t="s">
        <v>141</v>
      </c>
      <c r="AE156" s="27" t="s">
        <v>141</v>
      </c>
      <c r="AF156" s="26" t="s">
        <v>141</v>
      </c>
      <c r="AG156" s="27" t="s">
        <v>141</v>
      </c>
      <c r="AH156" s="26" t="s">
        <v>141</v>
      </c>
      <c r="AI156" s="27" t="s">
        <v>141</v>
      </c>
      <c r="AJ156" s="26" t="s">
        <v>141</v>
      </c>
      <c r="AK156" s="27" t="s">
        <v>141</v>
      </c>
      <c r="AL156" s="26" t="s">
        <v>141</v>
      </c>
      <c r="AM156" s="27" t="s">
        <v>141</v>
      </c>
      <c r="AN156" s="26" t="s">
        <v>141</v>
      </c>
      <c r="AO156" s="27" t="s">
        <v>141</v>
      </c>
      <c r="AP156" s="26" t="s">
        <v>141</v>
      </c>
      <c r="AQ156" s="27" t="s">
        <v>141</v>
      </c>
      <c r="AR156" s="26" t="s">
        <v>141</v>
      </c>
      <c r="AS156" s="27" t="s">
        <v>141</v>
      </c>
      <c r="AT156" s="26" t="s">
        <v>141</v>
      </c>
      <c r="AU156" s="27" t="s">
        <v>141</v>
      </c>
      <c r="AV156" s="26" t="s">
        <v>141</v>
      </c>
      <c r="AW156" s="27" t="s">
        <v>141</v>
      </c>
      <c r="AX156" s="26" t="s">
        <v>141</v>
      </c>
      <c r="AY156" s="27" t="s">
        <v>141</v>
      </c>
    </row>
    <row r="157" spans="2:51">
      <c r="B157" s="24" t="s">
        <v>141</v>
      </c>
      <c r="C157" s="25" t="s">
        <v>141</v>
      </c>
      <c r="D157" s="26" t="s">
        <v>141</v>
      </c>
      <c r="E157" s="27" t="s">
        <v>141</v>
      </c>
      <c r="F157" s="26" t="s">
        <v>141</v>
      </c>
      <c r="G157" s="27" t="s">
        <v>141</v>
      </c>
      <c r="H157" s="26" t="s">
        <v>141</v>
      </c>
      <c r="I157" s="27" t="s">
        <v>141</v>
      </c>
      <c r="J157" s="26" t="s">
        <v>141</v>
      </c>
      <c r="K157" s="27" t="s">
        <v>141</v>
      </c>
      <c r="L157" s="26" t="s">
        <v>141</v>
      </c>
      <c r="M157" s="27" t="s">
        <v>141</v>
      </c>
      <c r="N157" s="26" t="s">
        <v>141</v>
      </c>
      <c r="O157" s="27" t="s">
        <v>141</v>
      </c>
      <c r="P157" s="26" t="s">
        <v>141</v>
      </c>
      <c r="Q157" s="27" t="s">
        <v>141</v>
      </c>
      <c r="R157" s="26" t="s">
        <v>141</v>
      </c>
      <c r="S157" s="27" t="s">
        <v>141</v>
      </c>
      <c r="T157" s="26" t="s">
        <v>141</v>
      </c>
      <c r="U157" s="27" t="s">
        <v>141</v>
      </c>
      <c r="V157" s="26" t="s">
        <v>141</v>
      </c>
      <c r="W157" s="27" t="s">
        <v>141</v>
      </c>
      <c r="X157" s="26" t="s">
        <v>141</v>
      </c>
      <c r="Y157" s="27" t="s">
        <v>141</v>
      </c>
      <c r="Z157" s="26" t="s">
        <v>141</v>
      </c>
      <c r="AA157" s="27" t="s">
        <v>141</v>
      </c>
      <c r="AB157" s="26" t="s">
        <v>141</v>
      </c>
      <c r="AC157" s="27" t="s">
        <v>141</v>
      </c>
      <c r="AD157" s="26" t="s">
        <v>141</v>
      </c>
      <c r="AE157" s="27" t="s">
        <v>141</v>
      </c>
      <c r="AF157" s="26" t="s">
        <v>141</v>
      </c>
      <c r="AG157" s="27" t="s">
        <v>141</v>
      </c>
      <c r="AH157" s="26" t="s">
        <v>141</v>
      </c>
      <c r="AI157" s="27" t="s">
        <v>141</v>
      </c>
      <c r="AJ157" s="26" t="s">
        <v>141</v>
      </c>
      <c r="AK157" s="27" t="s">
        <v>141</v>
      </c>
      <c r="AL157" s="26" t="s">
        <v>141</v>
      </c>
      <c r="AM157" s="27" t="s">
        <v>141</v>
      </c>
      <c r="AN157" s="26" t="s">
        <v>141</v>
      </c>
      <c r="AO157" s="27" t="s">
        <v>141</v>
      </c>
      <c r="AP157" s="26" t="s">
        <v>141</v>
      </c>
      <c r="AQ157" s="27" t="s">
        <v>141</v>
      </c>
      <c r="AR157" s="26" t="s">
        <v>141</v>
      </c>
      <c r="AS157" s="27" t="s">
        <v>141</v>
      </c>
      <c r="AT157" s="26" t="s">
        <v>141</v>
      </c>
      <c r="AU157" s="27" t="s">
        <v>141</v>
      </c>
      <c r="AV157" s="26" t="s">
        <v>141</v>
      </c>
      <c r="AW157" s="27" t="s">
        <v>141</v>
      </c>
      <c r="AX157" s="26" t="s">
        <v>141</v>
      </c>
      <c r="AY157" s="27" t="s">
        <v>141</v>
      </c>
    </row>
    <row r="158" spans="2:51">
      <c r="B158" s="24" t="s">
        <v>141</v>
      </c>
      <c r="C158" s="25" t="s">
        <v>141</v>
      </c>
      <c r="D158" s="26" t="s">
        <v>141</v>
      </c>
      <c r="E158" s="27" t="s">
        <v>141</v>
      </c>
      <c r="F158" s="26" t="s">
        <v>141</v>
      </c>
      <c r="G158" s="27" t="s">
        <v>141</v>
      </c>
      <c r="H158" s="26" t="s">
        <v>141</v>
      </c>
      <c r="I158" s="27" t="s">
        <v>141</v>
      </c>
      <c r="J158" s="26" t="s">
        <v>141</v>
      </c>
      <c r="K158" s="27" t="s">
        <v>141</v>
      </c>
      <c r="L158" s="26" t="s">
        <v>141</v>
      </c>
      <c r="M158" s="27" t="s">
        <v>141</v>
      </c>
      <c r="N158" s="26" t="s">
        <v>141</v>
      </c>
      <c r="O158" s="27" t="s">
        <v>141</v>
      </c>
      <c r="P158" s="26" t="s">
        <v>141</v>
      </c>
      <c r="Q158" s="27" t="s">
        <v>141</v>
      </c>
      <c r="R158" s="26" t="s">
        <v>141</v>
      </c>
      <c r="S158" s="27" t="s">
        <v>141</v>
      </c>
      <c r="T158" s="26" t="s">
        <v>141</v>
      </c>
      <c r="U158" s="27" t="s">
        <v>141</v>
      </c>
      <c r="V158" s="26" t="s">
        <v>141</v>
      </c>
      <c r="W158" s="27" t="s">
        <v>141</v>
      </c>
      <c r="X158" s="26" t="s">
        <v>141</v>
      </c>
      <c r="Y158" s="27" t="s">
        <v>141</v>
      </c>
      <c r="Z158" s="26" t="s">
        <v>141</v>
      </c>
      <c r="AA158" s="27" t="s">
        <v>141</v>
      </c>
      <c r="AB158" s="26" t="s">
        <v>141</v>
      </c>
      <c r="AC158" s="27" t="s">
        <v>141</v>
      </c>
      <c r="AD158" s="26" t="s">
        <v>141</v>
      </c>
      <c r="AE158" s="27" t="s">
        <v>141</v>
      </c>
      <c r="AF158" s="26" t="s">
        <v>141</v>
      </c>
      <c r="AG158" s="27" t="s">
        <v>141</v>
      </c>
      <c r="AH158" s="26" t="s">
        <v>141</v>
      </c>
      <c r="AI158" s="27" t="s">
        <v>141</v>
      </c>
      <c r="AJ158" s="26" t="s">
        <v>141</v>
      </c>
      <c r="AK158" s="27" t="s">
        <v>141</v>
      </c>
      <c r="AL158" s="26" t="s">
        <v>141</v>
      </c>
      <c r="AM158" s="27" t="s">
        <v>141</v>
      </c>
      <c r="AN158" s="26" t="s">
        <v>141</v>
      </c>
      <c r="AO158" s="27" t="s">
        <v>141</v>
      </c>
      <c r="AP158" s="26" t="s">
        <v>141</v>
      </c>
      <c r="AQ158" s="27" t="s">
        <v>141</v>
      </c>
      <c r="AR158" s="26" t="s">
        <v>141</v>
      </c>
      <c r="AS158" s="27" t="s">
        <v>141</v>
      </c>
      <c r="AT158" s="26" t="s">
        <v>141</v>
      </c>
      <c r="AU158" s="27" t="s">
        <v>141</v>
      </c>
      <c r="AV158" s="26" t="s">
        <v>141</v>
      </c>
      <c r="AW158" s="27" t="s">
        <v>141</v>
      </c>
      <c r="AX158" s="26" t="s">
        <v>141</v>
      </c>
      <c r="AY158" s="27" t="s">
        <v>141</v>
      </c>
    </row>
    <row r="159" spans="2:51">
      <c r="B159" s="24" t="s">
        <v>141</v>
      </c>
      <c r="C159" s="25" t="s">
        <v>141</v>
      </c>
      <c r="D159" s="26" t="s">
        <v>141</v>
      </c>
      <c r="E159" s="27" t="s">
        <v>141</v>
      </c>
      <c r="F159" s="26" t="s">
        <v>141</v>
      </c>
      <c r="G159" s="27" t="s">
        <v>141</v>
      </c>
      <c r="H159" s="26" t="s">
        <v>141</v>
      </c>
      <c r="I159" s="27" t="s">
        <v>141</v>
      </c>
      <c r="J159" s="26" t="s">
        <v>141</v>
      </c>
      <c r="K159" s="27" t="s">
        <v>141</v>
      </c>
      <c r="L159" s="26" t="s">
        <v>141</v>
      </c>
      <c r="M159" s="27" t="s">
        <v>141</v>
      </c>
      <c r="N159" s="26" t="s">
        <v>141</v>
      </c>
      <c r="O159" s="27" t="s">
        <v>141</v>
      </c>
      <c r="P159" s="26" t="s">
        <v>141</v>
      </c>
      <c r="Q159" s="27" t="s">
        <v>141</v>
      </c>
      <c r="R159" s="26" t="s">
        <v>141</v>
      </c>
      <c r="S159" s="27" t="s">
        <v>141</v>
      </c>
      <c r="T159" s="26" t="s">
        <v>141</v>
      </c>
      <c r="U159" s="27" t="s">
        <v>141</v>
      </c>
      <c r="V159" s="26" t="s">
        <v>141</v>
      </c>
      <c r="W159" s="27" t="s">
        <v>141</v>
      </c>
      <c r="X159" s="26" t="s">
        <v>141</v>
      </c>
      <c r="Y159" s="27" t="s">
        <v>141</v>
      </c>
      <c r="Z159" s="26" t="s">
        <v>141</v>
      </c>
      <c r="AA159" s="27" t="s">
        <v>141</v>
      </c>
      <c r="AB159" s="26" t="s">
        <v>141</v>
      </c>
      <c r="AC159" s="27" t="s">
        <v>141</v>
      </c>
      <c r="AD159" s="26" t="s">
        <v>141</v>
      </c>
      <c r="AE159" s="27" t="s">
        <v>141</v>
      </c>
      <c r="AF159" s="26" t="s">
        <v>141</v>
      </c>
      <c r="AG159" s="27" t="s">
        <v>141</v>
      </c>
      <c r="AH159" s="26" t="s">
        <v>141</v>
      </c>
      <c r="AI159" s="27" t="s">
        <v>141</v>
      </c>
      <c r="AJ159" s="26" t="s">
        <v>141</v>
      </c>
      <c r="AK159" s="27" t="s">
        <v>141</v>
      </c>
      <c r="AL159" s="26" t="s">
        <v>141</v>
      </c>
      <c r="AM159" s="27" t="s">
        <v>141</v>
      </c>
      <c r="AN159" s="26" t="s">
        <v>141</v>
      </c>
      <c r="AO159" s="27" t="s">
        <v>141</v>
      </c>
      <c r="AP159" s="26" t="s">
        <v>141</v>
      </c>
      <c r="AQ159" s="27" t="s">
        <v>141</v>
      </c>
      <c r="AR159" s="26" t="s">
        <v>141</v>
      </c>
      <c r="AS159" s="27" t="s">
        <v>141</v>
      </c>
      <c r="AT159" s="26" t="s">
        <v>141</v>
      </c>
      <c r="AU159" s="27" t="s">
        <v>141</v>
      </c>
      <c r="AV159" s="26" t="s">
        <v>141</v>
      </c>
      <c r="AW159" s="27" t="s">
        <v>141</v>
      </c>
      <c r="AX159" s="26" t="s">
        <v>141</v>
      </c>
      <c r="AY159" s="27" t="s">
        <v>141</v>
      </c>
    </row>
    <row r="160" spans="2:51">
      <c r="B160" s="24" t="s">
        <v>141</v>
      </c>
      <c r="C160" s="25" t="s">
        <v>141</v>
      </c>
      <c r="D160" s="26" t="s">
        <v>141</v>
      </c>
      <c r="E160" s="27" t="s">
        <v>141</v>
      </c>
      <c r="F160" s="26" t="s">
        <v>141</v>
      </c>
      <c r="G160" s="27" t="s">
        <v>141</v>
      </c>
      <c r="H160" s="26" t="s">
        <v>141</v>
      </c>
      <c r="I160" s="27" t="s">
        <v>141</v>
      </c>
      <c r="J160" s="26" t="s">
        <v>141</v>
      </c>
      <c r="K160" s="27" t="s">
        <v>141</v>
      </c>
      <c r="L160" s="26" t="s">
        <v>141</v>
      </c>
      <c r="M160" s="27" t="s">
        <v>141</v>
      </c>
      <c r="N160" s="26" t="s">
        <v>141</v>
      </c>
      <c r="O160" s="27" t="s">
        <v>141</v>
      </c>
      <c r="P160" s="26" t="s">
        <v>141</v>
      </c>
      <c r="Q160" s="27" t="s">
        <v>141</v>
      </c>
      <c r="R160" s="26" t="s">
        <v>141</v>
      </c>
      <c r="S160" s="27" t="s">
        <v>141</v>
      </c>
      <c r="T160" s="26" t="s">
        <v>141</v>
      </c>
      <c r="U160" s="27" t="s">
        <v>141</v>
      </c>
      <c r="V160" s="26" t="s">
        <v>141</v>
      </c>
      <c r="W160" s="27" t="s">
        <v>141</v>
      </c>
      <c r="X160" s="26" t="s">
        <v>141</v>
      </c>
      <c r="Y160" s="27" t="s">
        <v>141</v>
      </c>
      <c r="Z160" s="26" t="s">
        <v>141</v>
      </c>
      <c r="AA160" s="27" t="s">
        <v>141</v>
      </c>
      <c r="AB160" s="26" t="s">
        <v>141</v>
      </c>
      <c r="AC160" s="27" t="s">
        <v>141</v>
      </c>
      <c r="AD160" s="26" t="s">
        <v>141</v>
      </c>
      <c r="AE160" s="27" t="s">
        <v>141</v>
      </c>
      <c r="AF160" s="26" t="s">
        <v>141</v>
      </c>
      <c r="AG160" s="27" t="s">
        <v>141</v>
      </c>
      <c r="AH160" s="26" t="s">
        <v>141</v>
      </c>
      <c r="AI160" s="27" t="s">
        <v>141</v>
      </c>
      <c r="AJ160" s="26" t="s">
        <v>141</v>
      </c>
      <c r="AK160" s="27" t="s">
        <v>141</v>
      </c>
      <c r="AL160" s="26" t="s">
        <v>141</v>
      </c>
      <c r="AM160" s="27" t="s">
        <v>141</v>
      </c>
      <c r="AN160" s="26" t="s">
        <v>141</v>
      </c>
      <c r="AO160" s="27" t="s">
        <v>141</v>
      </c>
      <c r="AP160" s="26" t="s">
        <v>141</v>
      </c>
      <c r="AQ160" s="27" t="s">
        <v>141</v>
      </c>
      <c r="AR160" s="26" t="s">
        <v>141</v>
      </c>
      <c r="AS160" s="27" t="s">
        <v>141</v>
      </c>
      <c r="AT160" s="26" t="s">
        <v>141</v>
      </c>
      <c r="AU160" s="27" t="s">
        <v>141</v>
      </c>
      <c r="AV160" s="26" t="s">
        <v>141</v>
      </c>
      <c r="AW160" s="27" t="s">
        <v>141</v>
      </c>
      <c r="AX160" s="26" t="s">
        <v>141</v>
      </c>
      <c r="AY160" s="27" t="s">
        <v>141</v>
      </c>
    </row>
    <row r="161" spans="2:51">
      <c r="B161" s="24" t="s">
        <v>141</v>
      </c>
      <c r="C161" s="25" t="s">
        <v>141</v>
      </c>
      <c r="D161" s="26" t="s">
        <v>141</v>
      </c>
      <c r="E161" s="27" t="s">
        <v>141</v>
      </c>
      <c r="F161" s="26" t="s">
        <v>141</v>
      </c>
      <c r="G161" s="27" t="s">
        <v>141</v>
      </c>
      <c r="H161" s="26" t="s">
        <v>141</v>
      </c>
      <c r="I161" s="27" t="s">
        <v>141</v>
      </c>
      <c r="J161" s="26" t="s">
        <v>141</v>
      </c>
      <c r="K161" s="27" t="s">
        <v>141</v>
      </c>
      <c r="L161" s="26" t="s">
        <v>141</v>
      </c>
      <c r="M161" s="27" t="s">
        <v>141</v>
      </c>
      <c r="N161" s="26" t="s">
        <v>141</v>
      </c>
      <c r="O161" s="27" t="s">
        <v>141</v>
      </c>
      <c r="P161" s="26" t="s">
        <v>141</v>
      </c>
      <c r="Q161" s="27" t="s">
        <v>141</v>
      </c>
      <c r="R161" s="26" t="s">
        <v>141</v>
      </c>
      <c r="S161" s="27" t="s">
        <v>141</v>
      </c>
      <c r="T161" s="26" t="s">
        <v>141</v>
      </c>
      <c r="U161" s="27" t="s">
        <v>141</v>
      </c>
      <c r="V161" s="26" t="s">
        <v>141</v>
      </c>
      <c r="W161" s="27" t="s">
        <v>141</v>
      </c>
      <c r="X161" s="26" t="s">
        <v>141</v>
      </c>
      <c r="Y161" s="27" t="s">
        <v>141</v>
      </c>
      <c r="Z161" s="26" t="s">
        <v>141</v>
      </c>
      <c r="AA161" s="27" t="s">
        <v>141</v>
      </c>
      <c r="AB161" s="26" t="s">
        <v>141</v>
      </c>
      <c r="AC161" s="27" t="s">
        <v>141</v>
      </c>
      <c r="AD161" s="26" t="s">
        <v>141</v>
      </c>
      <c r="AE161" s="27" t="s">
        <v>141</v>
      </c>
      <c r="AF161" s="26" t="s">
        <v>141</v>
      </c>
      <c r="AG161" s="27" t="s">
        <v>141</v>
      </c>
      <c r="AH161" s="26" t="s">
        <v>141</v>
      </c>
      <c r="AI161" s="27" t="s">
        <v>141</v>
      </c>
      <c r="AJ161" s="26" t="s">
        <v>141</v>
      </c>
      <c r="AK161" s="27" t="s">
        <v>141</v>
      </c>
      <c r="AL161" s="26" t="s">
        <v>141</v>
      </c>
      <c r="AM161" s="27" t="s">
        <v>141</v>
      </c>
      <c r="AN161" s="26" t="s">
        <v>141</v>
      </c>
      <c r="AO161" s="27" t="s">
        <v>141</v>
      </c>
      <c r="AP161" s="26" t="s">
        <v>141</v>
      </c>
      <c r="AQ161" s="27" t="s">
        <v>141</v>
      </c>
      <c r="AR161" s="26" t="s">
        <v>141</v>
      </c>
      <c r="AS161" s="27" t="s">
        <v>141</v>
      </c>
      <c r="AT161" s="26" t="s">
        <v>141</v>
      </c>
      <c r="AU161" s="27" t="s">
        <v>141</v>
      </c>
      <c r="AV161" s="26" t="s">
        <v>141</v>
      </c>
      <c r="AW161" s="27" t="s">
        <v>141</v>
      </c>
      <c r="AX161" s="26" t="s">
        <v>141</v>
      </c>
      <c r="AY161" s="27" t="s">
        <v>141</v>
      </c>
    </row>
    <row r="162" spans="2:51">
      <c r="B162" s="24" t="s">
        <v>141</v>
      </c>
      <c r="C162" s="25" t="s">
        <v>141</v>
      </c>
      <c r="D162" s="26" t="s">
        <v>141</v>
      </c>
      <c r="E162" s="27" t="s">
        <v>141</v>
      </c>
      <c r="F162" s="26" t="s">
        <v>141</v>
      </c>
      <c r="G162" s="27" t="s">
        <v>141</v>
      </c>
      <c r="H162" s="26" t="s">
        <v>141</v>
      </c>
      <c r="I162" s="27" t="s">
        <v>141</v>
      </c>
      <c r="J162" s="26" t="s">
        <v>141</v>
      </c>
      <c r="K162" s="27" t="s">
        <v>141</v>
      </c>
      <c r="L162" s="26" t="s">
        <v>141</v>
      </c>
      <c r="M162" s="27" t="s">
        <v>141</v>
      </c>
      <c r="N162" s="26" t="s">
        <v>141</v>
      </c>
      <c r="O162" s="27" t="s">
        <v>141</v>
      </c>
      <c r="P162" s="26" t="s">
        <v>141</v>
      </c>
      <c r="Q162" s="27" t="s">
        <v>141</v>
      </c>
      <c r="R162" s="26" t="s">
        <v>141</v>
      </c>
      <c r="S162" s="27" t="s">
        <v>141</v>
      </c>
      <c r="T162" s="26" t="s">
        <v>141</v>
      </c>
      <c r="U162" s="27" t="s">
        <v>141</v>
      </c>
      <c r="V162" s="26" t="s">
        <v>141</v>
      </c>
      <c r="W162" s="27" t="s">
        <v>141</v>
      </c>
      <c r="X162" s="26" t="s">
        <v>141</v>
      </c>
      <c r="Y162" s="27" t="s">
        <v>141</v>
      </c>
      <c r="Z162" s="26" t="s">
        <v>141</v>
      </c>
      <c r="AA162" s="27" t="s">
        <v>141</v>
      </c>
      <c r="AB162" s="26" t="s">
        <v>141</v>
      </c>
      <c r="AC162" s="27" t="s">
        <v>141</v>
      </c>
      <c r="AD162" s="26" t="s">
        <v>141</v>
      </c>
      <c r="AE162" s="27" t="s">
        <v>141</v>
      </c>
      <c r="AF162" s="26" t="s">
        <v>141</v>
      </c>
      <c r="AG162" s="27" t="s">
        <v>141</v>
      </c>
      <c r="AH162" s="26" t="s">
        <v>141</v>
      </c>
      <c r="AI162" s="27" t="s">
        <v>141</v>
      </c>
      <c r="AJ162" s="26" t="s">
        <v>141</v>
      </c>
      <c r="AK162" s="27" t="s">
        <v>141</v>
      </c>
      <c r="AL162" s="26" t="s">
        <v>141</v>
      </c>
      <c r="AM162" s="27" t="s">
        <v>141</v>
      </c>
      <c r="AN162" s="26" t="s">
        <v>141</v>
      </c>
      <c r="AO162" s="27" t="s">
        <v>141</v>
      </c>
      <c r="AP162" s="26" t="s">
        <v>141</v>
      </c>
      <c r="AQ162" s="27" t="s">
        <v>141</v>
      </c>
      <c r="AR162" s="26" t="s">
        <v>141</v>
      </c>
      <c r="AS162" s="27" t="s">
        <v>141</v>
      </c>
      <c r="AT162" s="26" t="s">
        <v>141</v>
      </c>
      <c r="AU162" s="27" t="s">
        <v>141</v>
      </c>
      <c r="AV162" s="26" t="s">
        <v>141</v>
      </c>
      <c r="AW162" s="27" t="s">
        <v>141</v>
      </c>
      <c r="AX162" s="26" t="s">
        <v>141</v>
      </c>
      <c r="AY162" s="27" t="s">
        <v>141</v>
      </c>
    </row>
    <row r="163" spans="2:51">
      <c r="B163" s="24" t="s">
        <v>141</v>
      </c>
      <c r="C163" s="25" t="s">
        <v>141</v>
      </c>
      <c r="D163" s="26" t="s">
        <v>141</v>
      </c>
      <c r="E163" s="27" t="s">
        <v>141</v>
      </c>
      <c r="F163" s="26" t="s">
        <v>141</v>
      </c>
      <c r="G163" s="27" t="s">
        <v>141</v>
      </c>
      <c r="H163" s="26" t="s">
        <v>141</v>
      </c>
      <c r="I163" s="27" t="s">
        <v>141</v>
      </c>
      <c r="J163" s="26" t="s">
        <v>141</v>
      </c>
      <c r="K163" s="27" t="s">
        <v>141</v>
      </c>
      <c r="L163" s="26" t="s">
        <v>141</v>
      </c>
      <c r="M163" s="27" t="s">
        <v>141</v>
      </c>
      <c r="N163" s="26" t="s">
        <v>141</v>
      </c>
      <c r="O163" s="27" t="s">
        <v>141</v>
      </c>
      <c r="P163" s="26" t="s">
        <v>141</v>
      </c>
      <c r="Q163" s="27" t="s">
        <v>141</v>
      </c>
      <c r="R163" s="26" t="s">
        <v>141</v>
      </c>
      <c r="S163" s="27" t="s">
        <v>141</v>
      </c>
      <c r="T163" s="26" t="s">
        <v>141</v>
      </c>
      <c r="U163" s="27" t="s">
        <v>141</v>
      </c>
      <c r="V163" s="26" t="s">
        <v>141</v>
      </c>
      <c r="W163" s="27" t="s">
        <v>141</v>
      </c>
      <c r="X163" s="26" t="s">
        <v>141</v>
      </c>
      <c r="Y163" s="27" t="s">
        <v>141</v>
      </c>
      <c r="Z163" s="26" t="s">
        <v>141</v>
      </c>
      <c r="AA163" s="27" t="s">
        <v>141</v>
      </c>
      <c r="AB163" s="26" t="s">
        <v>141</v>
      </c>
      <c r="AC163" s="27" t="s">
        <v>141</v>
      </c>
      <c r="AD163" s="26" t="s">
        <v>141</v>
      </c>
      <c r="AE163" s="27" t="s">
        <v>141</v>
      </c>
      <c r="AF163" s="26" t="s">
        <v>141</v>
      </c>
      <c r="AG163" s="27" t="s">
        <v>141</v>
      </c>
      <c r="AH163" s="26" t="s">
        <v>141</v>
      </c>
      <c r="AI163" s="27" t="s">
        <v>141</v>
      </c>
      <c r="AJ163" s="26" t="s">
        <v>141</v>
      </c>
      <c r="AK163" s="27" t="s">
        <v>141</v>
      </c>
      <c r="AL163" s="26" t="s">
        <v>141</v>
      </c>
      <c r="AM163" s="27" t="s">
        <v>141</v>
      </c>
      <c r="AN163" s="26" t="s">
        <v>141</v>
      </c>
      <c r="AO163" s="27" t="s">
        <v>141</v>
      </c>
      <c r="AP163" s="26" t="s">
        <v>141</v>
      </c>
      <c r="AQ163" s="27" t="s">
        <v>141</v>
      </c>
      <c r="AR163" s="26" t="s">
        <v>141</v>
      </c>
      <c r="AS163" s="27" t="s">
        <v>141</v>
      </c>
      <c r="AT163" s="26" t="s">
        <v>141</v>
      </c>
      <c r="AU163" s="27" t="s">
        <v>141</v>
      </c>
      <c r="AV163" s="26" t="s">
        <v>141</v>
      </c>
      <c r="AW163" s="27" t="s">
        <v>141</v>
      </c>
      <c r="AX163" s="26" t="s">
        <v>141</v>
      </c>
      <c r="AY163" s="27" t="s">
        <v>141</v>
      </c>
    </row>
    <row r="164" spans="2:51">
      <c r="B164" s="24" t="s">
        <v>141</v>
      </c>
      <c r="C164" s="25" t="s">
        <v>141</v>
      </c>
      <c r="D164" s="26" t="s">
        <v>141</v>
      </c>
      <c r="E164" s="27" t="s">
        <v>141</v>
      </c>
      <c r="F164" s="26" t="s">
        <v>141</v>
      </c>
      <c r="G164" s="27" t="s">
        <v>141</v>
      </c>
      <c r="H164" s="26" t="s">
        <v>141</v>
      </c>
      <c r="I164" s="27" t="s">
        <v>141</v>
      </c>
      <c r="J164" s="26" t="s">
        <v>141</v>
      </c>
      <c r="K164" s="27" t="s">
        <v>141</v>
      </c>
      <c r="L164" s="26" t="s">
        <v>141</v>
      </c>
      <c r="M164" s="27" t="s">
        <v>141</v>
      </c>
      <c r="N164" s="26" t="s">
        <v>141</v>
      </c>
      <c r="O164" s="27" t="s">
        <v>141</v>
      </c>
      <c r="P164" s="26" t="s">
        <v>141</v>
      </c>
      <c r="Q164" s="27" t="s">
        <v>141</v>
      </c>
      <c r="R164" s="26" t="s">
        <v>141</v>
      </c>
      <c r="S164" s="27" t="s">
        <v>141</v>
      </c>
      <c r="T164" s="26" t="s">
        <v>141</v>
      </c>
      <c r="U164" s="27" t="s">
        <v>141</v>
      </c>
      <c r="V164" s="26" t="s">
        <v>141</v>
      </c>
      <c r="W164" s="27" t="s">
        <v>141</v>
      </c>
      <c r="X164" s="26" t="s">
        <v>141</v>
      </c>
      <c r="Y164" s="27" t="s">
        <v>141</v>
      </c>
      <c r="Z164" s="26" t="s">
        <v>141</v>
      </c>
      <c r="AA164" s="27" t="s">
        <v>141</v>
      </c>
      <c r="AB164" s="26" t="s">
        <v>141</v>
      </c>
      <c r="AC164" s="27" t="s">
        <v>141</v>
      </c>
      <c r="AD164" s="26" t="s">
        <v>141</v>
      </c>
      <c r="AE164" s="27" t="s">
        <v>141</v>
      </c>
      <c r="AF164" s="26" t="s">
        <v>141</v>
      </c>
      <c r="AG164" s="27" t="s">
        <v>141</v>
      </c>
      <c r="AH164" s="26" t="s">
        <v>141</v>
      </c>
      <c r="AI164" s="27" t="s">
        <v>141</v>
      </c>
      <c r="AJ164" s="26" t="s">
        <v>141</v>
      </c>
      <c r="AK164" s="27" t="s">
        <v>141</v>
      </c>
      <c r="AL164" s="26" t="s">
        <v>141</v>
      </c>
      <c r="AM164" s="27" t="s">
        <v>141</v>
      </c>
      <c r="AN164" s="26" t="s">
        <v>141</v>
      </c>
      <c r="AO164" s="27" t="s">
        <v>141</v>
      </c>
      <c r="AP164" s="26" t="s">
        <v>141</v>
      </c>
      <c r="AQ164" s="27" t="s">
        <v>141</v>
      </c>
      <c r="AR164" s="26" t="s">
        <v>141</v>
      </c>
      <c r="AS164" s="27" t="s">
        <v>141</v>
      </c>
      <c r="AT164" s="26" t="s">
        <v>141</v>
      </c>
      <c r="AU164" s="27" t="s">
        <v>141</v>
      </c>
      <c r="AV164" s="26" t="s">
        <v>141</v>
      </c>
      <c r="AW164" s="27" t="s">
        <v>141</v>
      </c>
      <c r="AX164" s="26" t="s">
        <v>141</v>
      </c>
      <c r="AY164" s="27" t="s">
        <v>141</v>
      </c>
    </row>
    <row r="165" spans="2:51">
      <c r="B165" s="24" t="s">
        <v>141</v>
      </c>
      <c r="C165" s="25" t="s">
        <v>141</v>
      </c>
      <c r="D165" s="26" t="s">
        <v>141</v>
      </c>
      <c r="E165" s="27" t="s">
        <v>141</v>
      </c>
      <c r="F165" s="26" t="s">
        <v>141</v>
      </c>
      <c r="G165" s="27" t="s">
        <v>141</v>
      </c>
      <c r="H165" s="26" t="s">
        <v>141</v>
      </c>
      <c r="I165" s="27" t="s">
        <v>141</v>
      </c>
      <c r="J165" s="26" t="s">
        <v>141</v>
      </c>
      <c r="K165" s="27" t="s">
        <v>141</v>
      </c>
      <c r="L165" s="26" t="s">
        <v>141</v>
      </c>
      <c r="M165" s="27" t="s">
        <v>141</v>
      </c>
      <c r="N165" s="26" t="s">
        <v>141</v>
      </c>
      <c r="O165" s="27" t="s">
        <v>141</v>
      </c>
      <c r="P165" s="26" t="s">
        <v>141</v>
      </c>
      <c r="Q165" s="27" t="s">
        <v>141</v>
      </c>
      <c r="R165" s="26" t="s">
        <v>141</v>
      </c>
      <c r="S165" s="27" t="s">
        <v>141</v>
      </c>
      <c r="T165" s="26" t="s">
        <v>141</v>
      </c>
      <c r="U165" s="27" t="s">
        <v>141</v>
      </c>
      <c r="V165" s="26" t="s">
        <v>141</v>
      </c>
      <c r="W165" s="27" t="s">
        <v>141</v>
      </c>
      <c r="X165" s="26" t="s">
        <v>141</v>
      </c>
      <c r="Y165" s="27" t="s">
        <v>141</v>
      </c>
      <c r="Z165" s="26" t="s">
        <v>141</v>
      </c>
      <c r="AA165" s="27" t="s">
        <v>141</v>
      </c>
      <c r="AB165" s="26" t="s">
        <v>141</v>
      </c>
      <c r="AC165" s="27" t="s">
        <v>141</v>
      </c>
      <c r="AD165" s="26" t="s">
        <v>141</v>
      </c>
      <c r="AE165" s="27" t="s">
        <v>141</v>
      </c>
      <c r="AF165" s="26" t="s">
        <v>141</v>
      </c>
      <c r="AG165" s="27" t="s">
        <v>141</v>
      </c>
      <c r="AH165" s="26" t="s">
        <v>141</v>
      </c>
      <c r="AI165" s="27" t="s">
        <v>141</v>
      </c>
      <c r="AJ165" s="26" t="s">
        <v>141</v>
      </c>
      <c r="AK165" s="27" t="s">
        <v>141</v>
      </c>
      <c r="AL165" s="26" t="s">
        <v>141</v>
      </c>
      <c r="AM165" s="27" t="s">
        <v>141</v>
      </c>
      <c r="AN165" s="26" t="s">
        <v>141</v>
      </c>
      <c r="AO165" s="27" t="s">
        <v>141</v>
      </c>
      <c r="AP165" s="26" t="s">
        <v>141</v>
      </c>
      <c r="AQ165" s="27" t="s">
        <v>141</v>
      </c>
      <c r="AR165" s="26" t="s">
        <v>141</v>
      </c>
      <c r="AS165" s="27" t="s">
        <v>141</v>
      </c>
      <c r="AT165" s="26" t="s">
        <v>141</v>
      </c>
      <c r="AU165" s="27" t="s">
        <v>141</v>
      </c>
      <c r="AV165" s="26" t="s">
        <v>141</v>
      </c>
      <c r="AW165" s="27" t="s">
        <v>141</v>
      </c>
      <c r="AX165" s="26" t="s">
        <v>141</v>
      </c>
      <c r="AY165" s="27" t="s">
        <v>141</v>
      </c>
    </row>
    <row r="166" spans="2:51">
      <c r="B166" s="24" t="s">
        <v>141</v>
      </c>
      <c r="C166" s="25" t="s">
        <v>141</v>
      </c>
      <c r="D166" s="26" t="s">
        <v>141</v>
      </c>
      <c r="E166" s="27" t="s">
        <v>141</v>
      </c>
      <c r="F166" s="26" t="s">
        <v>141</v>
      </c>
      <c r="G166" s="27" t="s">
        <v>141</v>
      </c>
      <c r="H166" s="26" t="s">
        <v>141</v>
      </c>
      <c r="I166" s="27" t="s">
        <v>141</v>
      </c>
      <c r="J166" s="26" t="s">
        <v>141</v>
      </c>
      <c r="K166" s="27" t="s">
        <v>141</v>
      </c>
      <c r="L166" s="26" t="s">
        <v>141</v>
      </c>
      <c r="M166" s="27" t="s">
        <v>141</v>
      </c>
      <c r="N166" s="26" t="s">
        <v>141</v>
      </c>
      <c r="O166" s="27" t="s">
        <v>141</v>
      </c>
      <c r="P166" s="26" t="s">
        <v>141</v>
      </c>
      <c r="Q166" s="27" t="s">
        <v>141</v>
      </c>
      <c r="R166" s="26" t="s">
        <v>141</v>
      </c>
      <c r="S166" s="27" t="s">
        <v>141</v>
      </c>
      <c r="T166" s="26" t="s">
        <v>141</v>
      </c>
      <c r="U166" s="27" t="s">
        <v>141</v>
      </c>
      <c r="V166" s="26" t="s">
        <v>141</v>
      </c>
      <c r="W166" s="27" t="s">
        <v>141</v>
      </c>
      <c r="X166" s="26" t="s">
        <v>141</v>
      </c>
      <c r="Y166" s="27" t="s">
        <v>141</v>
      </c>
      <c r="Z166" s="26" t="s">
        <v>141</v>
      </c>
      <c r="AA166" s="27" t="s">
        <v>141</v>
      </c>
      <c r="AB166" s="26" t="s">
        <v>141</v>
      </c>
      <c r="AC166" s="27" t="s">
        <v>141</v>
      </c>
      <c r="AD166" s="26" t="s">
        <v>141</v>
      </c>
      <c r="AE166" s="27" t="s">
        <v>141</v>
      </c>
      <c r="AF166" s="26" t="s">
        <v>141</v>
      </c>
      <c r="AG166" s="27" t="s">
        <v>141</v>
      </c>
      <c r="AH166" s="26" t="s">
        <v>141</v>
      </c>
      <c r="AI166" s="27" t="s">
        <v>141</v>
      </c>
      <c r="AJ166" s="26" t="s">
        <v>141</v>
      </c>
      <c r="AK166" s="27" t="s">
        <v>141</v>
      </c>
      <c r="AL166" s="26" t="s">
        <v>141</v>
      </c>
      <c r="AM166" s="27" t="s">
        <v>141</v>
      </c>
      <c r="AN166" s="26" t="s">
        <v>141</v>
      </c>
      <c r="AO166" s="27" t="s">
        <v>141</v>
      </c>
      <c r="AP166" s="26" t="s">
        <v>141</v>
      </c>
      <c r="AQ166" s="27" t="s">
        <v>141</v>
      </c>
      <c r="AR166" s="26" t="s">
        <v>141</v>
      </c>
      <c r="AS166" s="27" t="s">
        <v>141</v>
      </c>
      <c r="AT166" s="26" t="s">
        <v>141</v>
      </c>
      <c r="AU166" s="27" t="s">
        <v>141</v>
      </c>
      <c r="AV166" s="26" t="s">
        <v>141</v>
      </c>
      <c r="AW166" s="27" t="s">
        <v>141</v>
      </c>
      <c r="AX166" s="26" t="s">
        <v>141</v>
      </c>
      <c r="AY166" s="27" t="s">
        <v>141</v>
      </c>
    </row>
    <row r="167" spans="2:51">
      <c r="B167" s="121" t="s">
        <v>141</v>
      </c>
      <c r="C167" s="121" t="s">
        <v>141</v>
      </c>
      <c r="D167" s="121" t="s">
        <v>141</v>
      </c>
      <c r="E167" s="121" t="s">
        <v>141</v>
      </c>
      <c r="F167" s="121" t="s">
        <v>141</v>
      </c>
      <c r="G167" s="121" t="s">
        <v>141</v>
      </c>
      <c r="H167" s="121" t="s">
        <v>141</v>
      </c>
      <c r="I167" s="121" t="s">
        <v>141</v>
      </c>
      <c r="J167" s="121" t="s">
        <v>141</v>
      </c>
      <c r="K167" s="121" t="s">
        <v>141</v>
      </c>
      <c r="L167" s="121" t="s">
        <v>141</v>
      </c>
      <c r="M167" s="121" t="s">
        <v>141</v>
      </c>
      <c r="N167" s="121" t="s">
        <v>141</v>
      </c>
      <c r="O167" s="121" t="s">
        <v>141</v>
      </c>
      <c r="P167" s="121" t="s">
        <v>141</v>
      </c>
      <c r="Q167" s="121" t="s">
        <v>141</v>
      </c>
      <c r="R167" s="121" t="s">
        <v>141</v>
      </c>
      <c r="S167" s="121" t="s">
        <v>141</v>
      </c>
      <c r="T167" s="121" t="s">
        <v>141</v>
      </c>
      <c r="U167" s="121" t="s">
        <v>141</v>
      </c>
      <c r="V167" s="121" t="s">
        <v>141</v>
      </c>
      <c r="W167" s="121" t="s">
        <v>141</v>
      </c>
      <c r="X167" s="121" t="s">
        <v>141</v>
      </c>
      <c r="Y167" s="121" t="s">
        <v>141</v>
      </c>
      <c r="Z167" s="121" t="s">
        <v>141</v>
      </c>
      <c r="AA167" s="121" t="s">
        <v>141</v>
      </c>
      <c r="AB167" s="121" t="s">
        <v>141</v>
      </c>
      <c r="AC167" s="121" t="s">
        <v>141</v>
      </c>
      <c r="AD167" s="121" t="s">
        <v>141</v>
      </c>
      <c r="AE167" s="121" t="s">
        <v>141</v>
      </c>
      <c r="AF167" s="121" t="s">
        <v>141</v>
      </c>
      <c r="AG167" s="121" t="s">
        <v>141</v>
      </c>
      <c r="AH167" s="121" t="s">
        <v>141</v>
      </c>
      <c r="AI167" s="121" t="s">
        <v>141</v>
      </c>
      <c r="AJ167" s="121" t="s">
        <v>141</v>
      </c>
      <c r="AK167" s="121" t="s">
        <v>141</v>
      </c>
      <c r="AL167" s="121" t="s">
        <v>141</v>
      </c>
      <c r="AM167" s="121" t="s">
        <v>141</v>
      </c>
      <c r="AN167" s="121" t="s">
        <v>141</v>
      </c>
      <c r="AO167" s="121" t="s">
        <v>141</v>
      </c>
      <c r="AP167" s="121" t="s">
        <v>141</v>
      </c>
      <c r="AQ167" s="121" t="s">
        <v>141</v>
      </c>
      <c r="AR167" s="121" t="s">
        <v>141</v>
      </c>
      <c r="AS167" s="121" t="s">
        <v>141</v>
      </c>
      <c r="AT167" s="121" t="s">
        <v>141</v>
      </c>
      <c r="AU167" s="121" t="s">
        <v>141</v>
      </c>
      <c r="AV167" s="121" t="s">
        <v>141</v>
      </c>
      <c r="AW167" s="121" t="s">
        <v>141</v>
      </c>
      <c r="AX167" s="121" t="s">
        <v>141</v>
      </c>
      <c r="AY167" s="121" t="s">
        <v>141</v>
      </c>
    </row>
  </sheetData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AY167"/>
  <sheetViews>
    <sheetView workbookViewId="0"/>
  </sheetViews>
  <sheetFormatPr defaultRowHeight="14.4"/>
  <cols>
    <col min="3" max="3" width="29.44140625" bestFit="1" customWidth="1"/>
    <col min="4" max="4" width="11.5546875" bestFit="1" customWidth="1"/>
    <col min="5" max="5" width="9.33203125" bestFit="1" customWidth="1"/>
    <col min="6" max="6" width="11.5546875" bestFit="1" customWidth="1"/>
    <col min="7" max="7" width="9.33203125" bestFit="1" customWidth="1"/>
    <col min="8" max="8" width="11.5546875" bestFit="1" customWidth="1"/>
    <col min="9" max="9" width="9.33203125" bestFit="1" customWidth="1"/>
    <col min="10" max="10" width="11.5546875" bestFit="1" customWidth="1"/>
    <col min="11" max="11" width="9.33203125" bestFit="1" customWidth="1"/>
    <col min="12" max="12" width="11.5546875" bestFit="1" customWidth="1"/>
    <col min="13" max="13" width="9.33203125" bestFit="1" customWidth="1"/>
    <col min="14" max="14" width="11.5546875" bestFit="1" customWidth="1"/>
    <col min="15" max="15" width="9.33203125" bestFit="1" customWidth="1"/>
    <col min="16" max="16" width="11.5546875" bestFit="1" customWidth="1"/>
    <col min="17" max="17" width="9.33203125" bestFit="1" customWidth="1"/>
    <col min="18" max="18" width="11.5546875" bestFit="1" customWidth="1"/>
    <col min="19" max="19" width="9.33203125" bestFit="1" customWidth="1"/>
    <col min="20" max="20" width="11.5546875" bestFit="1" customWidth="1"/>
    <col min="21" max="21" width="9.33203125" bestFit="1" customWidth="1"/>
    <col min="22" max="22" width="11.5546875" bestFit="1" customWidth="1"/>
    <col min="23" max="23" width="9.33203125" bestFit="1" customWidth="1"/>
    <col min="24" max="24" width="11.5546875" bestFit="1" customWidth="1"/>
    <col min="25" max="25" width="9.33203125" bestFit="1" customWidth="1"/>
    <col min="26" max="26" width="11.5546875" bestFit="1" customWidth="1"/>
    <col min="27" max="27" width="9.33203125" bestFit="1" customWidth="1"/>
    <col min="28" max="28" width="11.5546875" bestFit="1" customWidth="1"/>
    <col min="29" max="29" width="9.33203125" bestFit="1" customWidth="1"/>
    <col min="30" max="30" width="11.5546875" bestFit="1" customWidth="1"/>
    <col min="31" max="31" width="9.33203125" bestFit="1" customWidth="1"/>
    <col min="32" max="32" width="11.5546875" bestFit="1" customWidth="1"/>
    <col min="33" max="33" width="9.33203125" bestFit="1" customWidth="1"/>
    <col min="34" max="34" width="11.5546875" bestFit="1" customWidth="1"/>
    <col min="35" max="35" width="9.33203125" bestFit="1" customWidth="1"/>
    <col min="36" max="36" width="11.5546875" bestFit="1" customWidth="1"/>
    <col min="37" max="37" width="9.33203125" bestFit="1" customWidth="1"/>
    <col min="38" max="38" width="11.5546875" bestFit="1" customWidth="1"/>
    <col min="39" max="39" width="9.33203125" bestFit="1" customWidth="1"/>
    <col min="40" max="40" width="11.5546875" bestFit="1" customWidth="1"/>
    <col min="41" max="41" width="9.33203125" bestFit="1" customWidth="1"/>
    <col min="42" max="42" width="11.5546875" bestFit="1" customWidth="1"/>
    <col min="43" max="43" width="9.33203125" bestFit="1" customWidth="1"/>
    <col min="44" max="44" width="11.5546875" bestFit="1" customWidth="1"/>
    <col min="45" max="45" width="9.33203125" bestFit="1" customWidth="1"/>
    <col min="46" max="46" width="11.5546875" bestFit="1" customWidth="1"/>
    <col min="47" max="47" width="9.33203125" bestFit="1" customWidth="1"/>
    <col min="48" max="48" width="11.5546875" bestFit="1" customWidth="1"/>
    <col min="49" max="49" width="9.33203125" bestFit="1" customWidth="1"/>
    <col min="50" max="50" width="11.5546875" bestFit="1" customWidth="1"/>
    <col min="51" max="51" width="9.33203125" bestFit="1" customWidth="1"/>
    <col min="259" max="259" width="29.44140625" bestFit="1" customWidth="1"/>
    <col min="260" max="260" width="11.5546875" bestFit="1" customWidth="1"/>
    <col min="261" max="261" width="9.33203125" bestFit="1" customWidth="1"/>
    <col min="262" max="262" width="11.5546875" bestFit="1" customWidth="1"/>
    <col min="263" max="263" width="9.33203125" bestFit="1" customWidth="1"/>
    <col min="264" max="264" width="11.5546875" bestFit="1" customWidth="1"/>
    <col min="265" max="265" width="9.33203125" bestFit="1" customWidth="1"/>
    <col min="266" max="266" width="11.5546875" bestFit="1" customWidth="1"/>
    <col min="267" max="267" width="9.33203125" bestFit="1" customWidth="1"/>
    <col min="268" max="268" width="11.5546875" bestFit="1" customWidth="1"/>
    <col min="269" max="269" width="9.33203125" bestFit="1" customWidth="1"/>
    <col min="270" max="270" width="11.5546875" bestFit="1" customWidth="1"/>
    <col min="271" max="271" width="9.33203125" bestFit="1" customWidth="1"/>
    <col min="272" max="272" width="11.5546875" bestFit="1" customWidth="1"/>
    <col min="273" max="273" width="9.33203125" bestFit="1" customWidth="1"/>
    <col min="274" max="274" width="11.5546875" bestFit="1" customWidth="1"/>
    <col min="275" max="275" width="9.33203125" bestFit="1" customWidth="1"/>
    <col min="276" max="276" width="11.5546875" bestFit="1" customWidth="1"/>
    <col min="277" max="277" width="9.33203125" bestFit="1" customWidth="1"/>
    <col min="278" max="278" width="11.5546875" bestFit="1" customWidth="1"/>
    <col min="279" max="279" width="9.33203125" bestFit="1" customWidth="1"/>
    <col min="280" max="280" width="11.5546875" bestFit="1" customWidth="1"/>
    <col min="281" max="281" width="9.33203125" bestFit="1" customWidth="1"/>
    <col min="282" max="282" width="11.5546875" bestFit="1" customWidth="1"/>
    <col min="283" max="283" width="9.33203125" bestFit="1" customWidth="1"/>
    <col min="284" max="284" width="11.5546875" bestFit="1" customWidth="1"/>
    <col min="285" max="285" width="9.33203125" bestFit="1" customWidth="1"/>
    <col min="286" max="286" width="11.5546875" bestFit="1" customWidth="1"/>
    <col min="287" max="287" width="9.33203125" bestFit="1" customWidth="1"/>
    <col min="288" max="288" width="11.5546875" bestFit="1" customWidth="1"/>
    <col min="289" max="289" width="9.33203125" bestFit="1" customWidth="1"/>
    <col min="290" max="290" width="11.5546875" bestFit="1" customWidth="1"/>
    <col min="291" max="291" width="9.33203125" bestFit="1" customWidth="1"/>
    <col min="292" max="292" width="11.5546875" bestFit="1" customWidth="1"/>
    <col min="293" max="293" width="9.33203125" bestFit="1" customWidth="1"/>
    <col min="294" max="294" width="11.5546875" bestFit="1" customWidth="1"/>
    <col min="295" max="295" width="9.33203125" bestFit="1" customWidth="1"/>
    <col min="296" max="296" width="11.5546875" bestFit="1" customWidth="1"/>
    <col min="297" max="297" width="9.33203125" bestFit="1" customWidth="1"/>
    <col min="298" max="298" width="11.5546875" bestFit="1" customWidth="1"/>
    <col min="299" max="299" width="9.33203125" bestFit="1" customWidth="1"/>
    <col min="300" max="300" width="11.5546875" bestFit="1" customWidth="1"/>
    <col min="301" max="301" width="9.33203125" bestFit="1" customWidth="1"/>
    <col min="302" max="302" width="11.5546875" bestFit="1" customWidth="1"/>
    <col min="303" max="303" width="9.33203125" bestFit="1" customWidth="1"/>
    <col min="304" max="304" width="11.5546875" bestFit="1" customWidth="1"/>
    <col min="305" max="305" width="9.33203125" bestFit="1" customWidth="1"/>
    <col min="306" max="306" width="11.5546875" bestFit="1" customWidth="1"/>
    <col min="307" max="307" width="9.33203125" bestFit="1" customWidth="1"/>
    <col min="515" max="515" width="29.44140625" bestFit="1" customWidth="1"/>
    <col min="516" max="516" width="11.5546875" bestFit="1" customWidth="1"/>
    <col min="517" max="517" width="9.33203125" bestFit="1" customWidth="1"/>
    <col min="518" max="518" width="11.5546875" bestFit="1" customWidth="1"/>
    <col min="519" max="519" width="9.33203125" bestFit="1" customWidth="1"/>
    <col min="520" max="520" width="11.5546875" bestFit="1" customWidth="1"/>
    <col min="521" max="521" width="9.33203125" bestFit="1" customWidth="1"/>
    <col min="522" max="522" width="11.5546875" bestFit="1" customWidth="1"/>
    <col min="523" max="523" width="9.33203125" bestFit="1" customWidth="1"/>
    <col min="524" max="524" width="11.5546875" bestFit="1" customWidth="1"/>
    <col min="525" max="525" width="9.33203125" bestFit="1" customWidth="1"/>
    <col min="526" max="526" width="11.5546875" bestFit="1" customWidth="1"/>
    <col min="527" max="527" width="9.33203125" bestFit="1" customWidth="1"/>
    <col min="528" max="528" width="11.5546875" bestFit="1" customWidth="1"/>
    <col min="529" max="529" width="9.33203125" bestFit="1" customWidth="1"/>
    <col min="530" max="530" width="11.5546875" bestFit="1" customWidth="1"/>
    <col min="531" max="531" width="9.33203125" bestFit="1" customWidth="1"/>
    <col min="532" max="532" width="11.5546875" bestFit="1" customWidth="1"/>
    <col min="533" max="533" width="9.33203125" bestFit="1" customWidth="1"/>
    <col min="534" max="534" width="11.5546875" bestFit="1" customWidth="1"/>
    <col min="535" max="535" width="9.33203125" bestFit="1" customWidth="1"/>
    <col min="536" max="536" width="11.5546875" bestFit="1" customWidth="1"/>
    <col min="537" max="537" width="9.33203125" bestFit="1" customWidth="1"/>
    <col min="538" max="538" width="11.5546875" bestFit="1" customWidth="1"/>
    <col min="539" max="539" width="9.33203125" bestFit="1" customWidth="1"/>
    <col min="540" max="540" width="11.5546875" bestFit="1" customWidth="1"/>
    <col min="541" max="541" width="9.33203125" bestFit="1" customWidth="1"/>
    <col min="542" max="542" width="11.5546875" bestFit="1" customWidth="1"/>
    <col min="543" max="543" width="9.33203125" bestFit="1" customWidth="1"/>
    <col min="544" max="544" width="11.5546875" bestFit="1" customWidth="1"/>
    <col min="545" max="545" width="9.33203125" bestFit="1" customWidth="1"/>
    <col min="546" max="546" width="11.5546875" bestFit="1" customWidth="1"/>
    <col min="547" max="547" width="9.33203125" bestFit="1" customWidth="1"/>
    <col min="548" max="548" width="11.5546875" bestFit="1" customWidth="1"/>
    <col min="549" max="549" width="9.33203125" bestFit="1" customWidth="1"/>
    <col min="550" max="550" width="11.5546875" bestFit="1" customWidth="1"/>
    <col min="551" max="551" width="9.33203125" bestFit="1" customWidth="1"/>
    <col min="552" max="552" width="11.5546875" bestFit="1" customWidth="1"/>
    <col min="553" max="553" width="9.33203125" bestFit="1" customWidth="1"/>
    <col min="554" max="554" width="11.5546875" bestFit="1" customWidth="1"/>
    <col min="555" max="555" width="9.33203125" bestFit="1" customWidth="1"/>
    <col min="556" max="556" width="11.5546875" bestFit="1" customWidth="1"/>
    <col min="557" max="557" width="9.33203125" bestFit="1" customWidth="1"/>
    <col min="558" max="558" width="11.5546875" bestFit="1" customWidth="1"/>
    <col min="559" max="559" width="9.33203125" bestFit="1" customWidth="1"/>
    <col min="560" max="560" width="11.5546875" bestFit="1" customWidth="1"/>
    <col min="561" max="561" width="9.33203125" bestFit="1" customWidth="1"/>
    <col min="562" max="562" width="11.5546875" bestFit="1" customWidth="1"/>
    <col min="563" max="563" width="9.33203125" bestFit="1" customWidth="1"/>
    <col min="771" max="771" width="29.44140625" bestFit="1" customWidth="1"/>
    <col min="772" max="772" width="11.5546875" bestFit="1" customWidth="1"/>
    <col min="773" max="773" width="9.33203125" bestFit="1" customWidth="1"/>
    <col min="774" max="774" width="11.5546875" bestFit="1" customWidth="1"/>
    <col min="775" max="775" width="9.33203125" bestFit="1" customWidth="1"/>
    <col min="776" max="776" width="11.5546875" bestFit="1" customWidth="1"/>
    <col min="777" max="777" width="9.33203125" bestFit="1" customWidth="1"/>
    <col min="778" max="778" width="11.5546875" bestFit="1" customWidth="1"/>
    <col min="779" max="779" width="9.33203125" bestFit="1" customWidth="1"/>
    <col min="780" max="780" width="11.5546875" bestFit="1" customWidth="1"/>
    <col min="781" max="781" width="9.33203125" bestFit="1" customWidth="1"/>
    <col min="782" max="782" width="11.5546875" bestFit="1" customWidth="1"/>
    <col min="783" max="783" width="9.33203125" bestFit="1" customWidth="1"/>
    <col min="784" max="784" width="11.5546875" bestFit="1" customWidth="1"/>
    <col min="785" max="785" width="9.33203125" bestFit="1" customWidth="1"/>
    <col min="786" max="786" width="11.5546875" bestFit="1" customWidth="1"/>
    <col min="787" max="787" width="9.33203125" bestFit="1" customWidth="1"/>
    <col min="788" max="788" width="11.5546875" bestFit="1" customWidth="1"/>
    <col min="789" max="789" width="9.33203125" bestFit="1" customWidth="1"/>
    <col min="790" max="790" width="11.5546875" bestFit="1" customWidth="1"/>
    <col min="791" max="791" width="9.33203125" bestFit="1" customWidth="1"/>
    <col min="792" max="792" width="11.5546875" bestFit="1" customWidth="1"/>
    <col min="793" max="793" width="9.33203125" bestFit="1" customWidth="1"/>
    <col min="794" max="794" width="11.5546875" bestFit="1" customWidth="1"/>
    <col min="795" max="795" width="9.33203125" bestFit="1" customWidth="1"/>
    <col min="796" max="796" width="11.5546875" bestFit="1" customWidth="1"/>
    <col min="797" max="797" width="9.33203125" bestFit="1" customWidth="1"/>
    <col min="798" max="798" width="11.5546875" bestFit="1" customWidth="1"/>
    <col min="799" max="799" width="9.33203125" bestFit="1" customWidth="1"/>
    <col min="800" max="800" width="11.5546875" bestFit="1" customWidth="1"/>
    <col min="801" max="801" width="9.33203125" bestFit="1" customWidth="1"/>
    <col min="802" max="802" width="11.5546875" bestFit="1" customWidth="1"/>
    <col min="803" max="803" width="9.33203125" bestFit="1" customWidth="1"/>
    <col min="804" max="804" width="11.5546875" bestFit="1" customWidth="1"/>
    <col min="805" max="805" width="9.33203125" bestFit="1" customWidth="1"/>
    <col min="806" max="806" width="11.5546875" bestFit="1" customWidth="1"/>
    <col min="807" max="807" width="9.33203125" bestFit="1" customWidth="1"/>
    <col min="808" max="808" width="11.5546875" bestFit="1" customWidth="1"/>
    <col min="809" max="809" width="9.33203125" bestFit="1" customWidth="1"/>
    <col min="810" max="810" width="11.5546875" bestFit="1" customWidth="1"/>
    <col min="811" max="811" width="9.33203125" bestFit="1" customWidth="1"/>
    <col min="812" max="812" width="11.5546875" bestFit="1" customWidth="1"/>
    <col min="813" max="813" width="9.33203125" bestFit="1" customWidth="1"/>
    <col min="814" max="814" width="11.5546875" bestFit="1" customWidth="1"/>
    <col min="815" max="815" width="9.33203125" bestFit="1" customWidth="1"/>
    <col min="816" max="816" width="11.5546875" bestFit="1" customWidth="1"/>
    <col min="817" max="817" width="9.33203125" bestFit="1" customWidth="1"/>
    <col min="818" max="818" width="11.5546875" bestFit="1" customWidth="1"/>
    <col min="819" max="819" width="9.33203125" bestFit="1" customWidth="1"/>
    <col min="1027" max="1027" width="29.44140625" bestFit="1" customWidth="1"/>
    <col min="1028" max="1028" width="11.5546875" bestFit="1" customWidth="1"/>
    <col min="1029" max="1029" width="9.33203125" bestFit="1" customWidth="1"/>
    <col min="1030" max="1030" width="11.5546875" bestFit="1" customWidth="1"/>
    <col min="1031" max="1031" width="9.33203125" bestFit="1" customWidth="1"/>
    <col min="1032" max="1032" width="11.5546875" bestFit="1" customWidth="1"/>
    <col min="1033" max="1033" width="9.33203125" bestFit="1" customWidth="1"/>
    <col min="1034" max="1034" width="11.5546875" bestFit="1" customWidth="1"/>
    <col min="1035" max="1035" width="9.33203125" bestFit="1" customWidth="1"/>
    <col min="1036" max="1036" width="11.5546875" bestFit="1" customWidth="1"/>
    <col min="1037" max="1037" width="9.33203125" bestFit="1" customWidth="1"/>
    <col min="1038" max="1038" width="11.5546875" bestFit="1" customWidth="1"/>
    <col min="1039" max="1039" width="9.33203125" bestFit="1" customWidth="1"/>
    <col min="1040" max="1040" width="11.5546875" bestFit="1" customWidth="1"/>
    <col min="1041" max="1041" width="9.33203125" bestFit="1" customWidth="1"/>
    <col min="1042" max="1042" width="11.5546875" bestFit="1" customWidth="1"/>
    <col min="1043" max="1043" width="9.33203125" bestFit="1" customWidth="1"/>
    <col min="1044" max="1044" width="11.5546875" bestFit="1" customWidth="1"/>
    <col min="1045" max="1045" width="9.33203125" bestFit="1" customWidth="1"/>
    <col min="1046" max="1046" width="11.5546875" bestFit="1" customWidth="1"/>
    <col min="1047" max="1047" width="9.33203125" bestFit="1" customWidth="1"/>
    <col min="1048" max="1048" width="11.5546875" bestFit="1" customWidth="1"/>
    <col min="1049" max="1049" width="9.33203125" bestFit="1" customWidth="1"/>
    <col min="1050" max="1050" width="11.5546875" bestFit="1" customWidth="1"/>
    <col min="1051" max="1051" width="9.33203125" bestFit="1" customWidth="1"/>
    <col min="1052" max="1052" width="11.5546875" bestFit="1" customWidth="1"/>
    <col min="1053" max="1053" width="9.33203125" bestFit="1" customWidth="1"/>
    <col min="1054" max="1054" width="11.5546875" bestFit="1" customWidth="1"/>
    <col min="1055" max="1055" width="9.33203125" bestFit="1" customWidth="1"/>
    <col min="1056" max="1056" width="11.5546875" bestFit="1" customWidth="1"/>
    <col min="1057" max="1057" width="9.33203125" bestFit="1" customWidth="1"/>
    <col min="1058" max="1058" width="11.5546875" bestFit="1" customWidth="1"/>
    <col min="1059" max="1059" width="9.33203125" bestFit="1" customWidth="1"/>
    <col min="1060" max="1060" width="11.5546875" bestFit="1" customWidth="1"/>
    <col min="1061" max="1061" width="9.33203125" bestFit="1" customWidth="1"/>
    <col min="1062" max="1062" width="11.5546875" bestFit="1" customWidth="1"/>
    <col min="1063" max="1063" width="9.33203125" bestFit="1" customWidth="1"/>
    <col min="1064" max="1064" width="11.5546875" bestFit="1" customWidth="1"/>
    <col min="1065" max="1065" width="9.33203125" bestFit="1" customWidth="1"/>
    <col min="1066" max="1066" width="11.5546875" bestFit="1" customWidth="1"/>
    <col min="1067" max="1067" width="9.33203125" bestFit="1" customWidth="1"/>
    <col min="1068" max="1068" width="11.5546875" bestFit="1" customWidth="1"/>
    <col min="1069" max="1069" width="9.33203125" bestFit="1" customWidth="1"/>
    <col min="1070" max="1070" width="11.5546875" bestFit="1" customWidth="1"/>
    <col min="1071" max="1071" width="9.33203125" bestFit="1" customWidth="1"/>
    <col min="1072" max="1072" width="11.5546875" bestFit="1" customWidth="1"/>
    <col min="1073" max="1073" width="9.33203125" bestFit="1" customWidth="1"/>
    <col min="1074" max="1074" width="11.5546875" bestFit="1" customWidth="1"/>
    <col min="1075" max="1075" width="9.33203125" bestFit="1" customWidth="1"/>
    <col min="1283" max="1283" width="29.44140625" bestFit="1" customWidth="1"/>
    <col min="1284" max="1284" width="11.5546875" bestFit="1" customWidth="1"/>
    <col min="1285" max="1285" width="9.33203125" bestFit="1" customWidth="1"/>
    <col min="1286" max="1286" width="11.5546875" bestFit="1" customWidth="1"/>
    <col min="1287" max="1287" width="9.33203125" bestFit="1" customWidth="1"/>
    <col min="1288" max="1288" width="11.5546875" bestFit="1" customWidth="1"/>
    <col min="1289" max="1289" width="9.33203125" bestFit="1" customWidth="1"/>
    <col min="1290" max="1290" width="11.5546875" bestFit="1" customWidth="1"/>
    <col min="1291" max="1291" width="9.33203125" bestFit="1" customWidth="1"/>
    <col min="1292" max="1292" width="11.5546875" bestFit="1" customWidth="1"/>
    <col min="1293" max="1293" width="9.33203125" bestFit="1" customWidth="1"/>
    <col min="1294" max="1294" width="11.5546875" bestFit="1" customWidth="1"/>
    <col min="1295" max="1295" width="9.33203125" bestFit="1" customWidth="1"/>
    <col min="1296" max="1296" width="11.5546875" bestFit="1" customWidth="1"/>
    <col min="1297" max="1297" width="9.33203125" bestFit="1" customWidth="1"/>
    <col min="1298" max="1298" width="11.5546875" bestFit="1" customWidth="1"/>
    <col min="1299" max="1299" width="9.33203125" bestFit="1" customWidth="1"/>
    <col min="1300" max="1300" width="11.5546875" bestFit="1" customWidth="1"/>
    <col min="1301" max="1301" width="9.33203125" bestFit="1" customWidth="1"/>
    <col min="1302" max="1302" width="11.5546875" bestFit="1" customWidth="1"/>
    <col min="1303" max="1303" width="9.33203125" bestFit="1" customWidth="1"/>
    <col min="1304" max="1304" width="11.5546875" bestFit="1" customWidth="1"/>
    <col min="1305" max="1305" width="9.33203125" bestFit="1" customWidth="1"/>
    <col min="1306" max="1306" width="11.5546875" bestFit="1" customWidth="1"/>
    <col min="1307" max="1307" width="9.33203125" bestFit="1" customWidth="1"/>
    <col min="1308" max="1308" width="11.5546875" bestFit="1" customWidth="1"/>
    <col min="1309" max="1309" width="9.33203125" bestFit="1" customWidth="1"/>
    <col min="1310" max="1310" width="11.5546875" bestFit="1" customWidth="1"/>
    <col min="1311" max="1311" width="9.33203125" bestFit="1" customWidth="1"/>
    <col min="1312" max="1312" width="11.5546875" bestFit="1" customWidth="1"/>
    <col min="1313" max="1313" width="9.33203125" bestFit="1" customWidth="1"/>
    <col min="1314" max="1314" width="11.5546875" bestFit="1" customWidth="1"/>
    <col min="1315" max="1315" width="9.33203125" bestFit="1" customWidth="1"/>
    <col min="1316" max="1316" width="11.5546875" bestFit="1" customWidth="1"/>
    <col min="1317" max="1317" width="9.33203125" bestFit="1" customWidth="1"/>
    <col min="1318" max="1318" width="11.5546875" bestFit="1" customWidth="1"/>
    <col min="1319" max="1319" width="9.33203125" bestFit="1" customWidth="1"/>
    <col min="1320" max="1320" width="11.5546875" bestFit="1" customWidth="1"/>
    <col min="1321" max="1321" width="9.33203125" bestFit="1" customWidth="1"/>
    <col min="1322" max="1322" width="11.5546875" bestFit="1" customWidth="1"/>
    <col min="1323" max="1323" width="9.33203125" bestFit="1" customWidth="1"/>
    <col min="1324" max="1324" width="11.5546875" bestFit="1" customWidth="1"/>
    <col min="1325" max="1325" width="9.33203125" bestFit="1" customWidth="1"/>
    <col min="1326" max="1326" width="11.5546875" bestFit="1" customWidth="1"/>
    <col min="1327" max="1327" width="9.33203125" bestFit="1" customWidth="1"/>
    <col min="1328" max="1328" width="11.5546875" bestFit="1" customWidth="1"/>
    <col min="1329" max="1329" width="9.33203125" bestFit="1" customWidth="1"/>
    <col min="1330" max="1330" width="11.5546875" bestFit="1" customWidth="1"/>
    <col min="1331" max="1331" width="9.33203125" bestFit="1" customWidth="1"/>
    <col min="1539" max="1539" width="29.44140625" bestFit="1" customWidth="1"/>
    <col min="1540" max="1540" width="11.5546875" bestFit="1" customWidth="1"/>
    <col min="1541" max="1541" width="9.33203125" bestFit="1" customWidth="1"/>
    <col min="1542" max="1542" width="11.5546875" bestFit="1" customWidth="1"/>
    <col min="1543" max="1543" width="9.33203125" bestFit="1" customWidth="1"/>
    <col min="1544" max="1544" width="11.5546875" bestFit="1" customWidth="1"/>
    <col min="1545" max="1545" width="9.33203125" bestFit="1" customWidth="1"/>
    <col min="1546" max="1546" width="11.5546875" bestFit="1" customWidth="1"/>
    <col min="1547" max="1547" width="9.33203125" bestFit="1" customWidth="1"/>
    <col min="1548" max="1548" width="11.5546875" bestFit="1" customWidth="1"/>
    <col min="1549" max="1549" width="9.33203125" bestFit="1" customWidth="1"/>
    <col min="1550" max="1550" width="11.5546875" bestFit="1" customWidth="1"/>
    <col min="1551" max="1551" width="9.33203125" bestFit="1" customWidth="1"/>
    <col min="1552" max="1552" width="11.5546875" bestFit="1" customWidth="1"/>
    <col min="1553" max="1553" width="9.33203125" bestFit="1" customWidth="1"/>
    <col min="1554" max="1554" width="11.5546875" bestFit="1" customWidth="1"/>
    <col min="1555" max="1555" width="9.33203125" bestFit="1" customWidth="1"/>
    <col min="1556" max="1556" width="11.5546875" bestFit="1" customWidth="1"/>
    <col min="1557" max="1557" width="9.33203125" bestFit="1" customWidth="1"/>
    <col min="1558" max="1558" width="11.5546875" bestFit="1" customWidth="1"/>
    <col min="1559" max="1559" width="9.33203125" bestFit="1" customWidth="1"/>
    <col min="1560" max="1560" width="11.5546875" bestFit="1" customWidth="1"/>
    <col min="1561" max="1561" width="9.33203125" bestFit="1" customWidth="1"/>
    <col min="1562" max="1562" width="11.5546875" bestFit="1" customWidth="1"/>
    <col min="1563" max="1563" width="9.33203125" bestFit="1" customWidth="1"/>
    <col min="1564" max="1564" width="11.5546875" bestFit="1" customWidth="1"/>
    <col min="1565" max="1565" width="9.33203125" bestFit="1" customWidth="1"/>
    <col min="1566" max="1566" width="11.5546875" bestFit="1" customWidth="1"/>
    <col min="1567" max="1567" width="9.33203125" bestFit="1" customWidth="1"/>
    <col min="1568" max="1568" width="11.5546875" bestFit="1" customWidth="1"/>
    <col min="1569" max="1569" width="9.33203125" bestFit="1" customWidth="1"/>
    <col min="1570" max="1570" width="11.5546875" bestFit="1" customWidth="1"/>
    <col min="1571" max="1571" width="9.33203125" bestFit="1" customWidth="1"/>
    <col min="1572" max="1572" width="11.5546875" bestFit="1" customWidth="1"/>
    <col min="1573" max="1573" width="9.33203125" bestFit="1" customWidth="1"/>
    <col min="1574" max="1574" width="11.5546875" bestFit="1" customWidth="1"/>
    <col min="1575" max="1575" width="9.33203125" bestFit="1" customWidth="1"/>
    <col min="1576" max="1576" width="11.5546875" bestFit="1" customWidth="1"/>
    <col min="1577" max="1577" width="9.33203125" bestFit="1" customWidth="1"/>
    <col min="1578" max="1578" width="11.5546875" bestFit="1" customWidth="1"/>
    <col min="1579" max="1579" width="9.33203125" bestFit="1" customWidth="1"/>
    <col min="1580" max="1580" width="11.5546875" bestFit="1" customWidth="1"/>
    <col min="1581" max="1581" width="9.33203125" bestFit="1" customWidth="1"/>
    <col min="1582" max="1582" width="11.5546875" bestFit="1" customWidth="1"/>
    <col min="1583" max="1583" width="9.33203125" bestFit="1" customWidth="1"/>
    <col min="1584" max="1584" width="11.5546875" bestFit="1" customWidth="1"/>
    <col min="1585" max="1585" width="9.33203125" bestFit="1" customWidth="1"/>
    <col min="1586" max="1586" width="11.5546875" bestFit="1" customWidth="1"/>
    <col min="1587" max="1587" width="9.33203125" bestFit="1" customWidth="1"/>
    <col min="1795" max="1795" width="29.44140625" bestFit="1" customWidth="1"/>
    <col min="1796" max="1796" width="11.5546875" bestFit="1" customWidth="1"/>
    <col min="1797" max="1797" width="9.33203125" bestFit="1" customWidth="1"/>
    <col min="1798" max="1798" width="11.5546875" bestFit="1" customWidth="1"/>
    <col min="1799" max="1799" width="9.33203125" bestFit="1" customWidth="1"/>
    <col min="1800" max="1800" width="11.5546875" bestFit="1" customWidth="1"/>
    <col min="1801" max="1801" width="9.33203125" bestFit="1" customWidth="1"/>
    <col min="1802" max="1802" width="11.5546875" bestFit="1" customWidth="1"/>
    <col min="1803" max="1803" width="9.33203125" bestFit="1" customWidth="1"/>
    <col min="1804" max="1804" width="11.5546875" bestFit="1" customWidth="1"/>
    <col min="1805" max="1805" width="9.33203125" bestFit="1" customWidth="1"/>
    <col min="1806" max="1806" width="11.5546875" bestFit="1" customWidth="1"/>
    <col min="1807" max="1807" width="9.33203125" bestFit="1" customWidth="1"/>
    <col min="1808" max="1808" width="11.5546875" bestFit="1" customWidth="1"/>
    <col min="1809" max="1809" width="9.33203125" bestFit="1" customWidth="1"/>
    <col min="1810" max="1810" width="11.5546875" bestFit="1" customWidth="1"/>
    <col min="1811" max="1811" width="9.33203125" bestFit="1" customWidth="1"/>
    <col min="1812" max="1812" width="11.5546875" bestFit="1" customWidth="1"/>
    <col min="1813" max="1813" width="9.33203125" bestFit="1" customWidth="1"/>
    <col min="1814" max="1814" width="11.5546875" bestFit="1" customWidth="1"/>
    <col min="1815" max="1815" width="9.33203125" bestFit="1" customWidth="1"/>
    <col min="1816" max="1816" width="11.5546875" bestFit="1" customWidth="1"/>
    <col min="1817" max="1817" width="9.33203125" bestFit="1" customWidth="1"/>
    <col min="1818" max="1818" width="11.5546875" bestFit="1" customWidth="1"/>
    <col min="1819" max="1819" width="9.33203125" bestFit="1" customWidth="1"/>
    <col min="1820" max="1820" width="11.5546875" bestFit="1" customWidth="1"/>
    <col min="1821" max="1821" width="9.33203125" bestFit="1" customWidth="1"/>
    <col min="1822" max="1822" width="11.5546875" bestFit="1" customWidth="1"/>
    <col min="1823" max="1823" width="9.33203125" bestFit="1" customWidth="1"/>
    <col min="1824" max="1824" width="11.5546875" bestFit="1" customWidth="1"/>
    <col min="1825" max="1825" width="9.33203125" bestFit="1" customWidth="1"/>
    <col min="1826" max="1826" width="11.5546875" bestFit="1" customWidth="1"/>
    <col min="1827" max="1827" width="9.33203125" bestFit="1" customWidth="1"/>
    <col min="1828" max="1828" width="11.5546875" bestFit="1" customWidth="1"/>
    <col min="1829" max="1829" width="9.33203125" bestFit="1" customWidth="1"/>
    <col min="1830" max="1830" width="11.5546875" bestFit="1" customWidth="1"/>
    <col min="1831" max="1831" width="9.33203125" bestFit="1" customWidth="1"/>
    <col min="1832" max="1832" width="11.5546875" bestFit="1" customWidth="1"/>
    <col min="1833" max="1833" width="9.33203125" bestFit="1" customWidth="1"/>
    <col min="1834" max="1834" width="11.5546875" bestFit="1" customWidth="1"/>
    <col min="1835" max="1835" width="9.33203125" bestFit="1" customWidth="1"/>
    <col min="1836" max="1836" width="11.5546875" bestFit="1" customWidth="1"/>
    <col min="1837" max="1837" width="9.33203125" bestFit="1" customWidth="1"/>
    <col min="1838" max="1838" width="11.5546875" bestFit="1" customWidth="1"/>
    <col min="1839" max="1839" width="9.33203125" bestFit="1" customWidth="1"/>
    <col min="1840" max="1840" width="11.5546875" bestFit="1" customWidth="1"/>
    <col min="1841" max="1841" width="9.33203125" bestFit="1" customWidth="1"/>
    <col min="1842" max="1842" width="11.5546875" bestFit="1" customWidth="1"/>
    <col min="1843" max="1843" width="9.33203125" bestFit="1" customWidth="1"/>
    <col min="2051" max="2051" width="29.44140625" bestFit="1" customWidth="1"/>
    <col min="2052" max="2052" width="11.5546875" bestFit="1" customWidth="1"/>
    <col min="2053" max="2053" width="9.33203125" bestFit="1" customWidth="1"/>
    <col min="2054" max="2054" width="11.5546875" bestFit="1" customWidth="1"/>
    <col min="2055" max="2055" width="9.33203125" bestFit="1" customWidth="1"/>
    <col min="2056" max="2056" width="11.5546875" bestFit="1" customWidth="1"/>
    <col min="2057" max="2057" width="9.33203125" bestFit="1" customWidth="1"/>
    <col min="2058" max="2058" width="11.5546875" bestFit="1" customWidth="1"/>
    <col min="2059" max="2059" width="9.33203125" bestFit="1" customWidth="1"/>
    <col min="2060" max="2060" width="11.5546875" bestFit="1" customWidth="1"/>
    <col min="2061" max="2061" width="9.33203125" bestFit="1" customWidth="1"/>
    <col min="2062" max="2062" width="11.5546875" bestFit="1" customWidth="1"/>
    <col min="2063" max="2063" width="9.33203125" bestFit="1" customWidth="1"/>
    <col min="2064" max="2064" width="11.5546875" bestFit="1" customWidth="1"/>
    <col min="2065" max="2065" width="9.33203125" bestFit="1" customWidth="1"/>
    <col min="2066" max="2066" width="11.5546875" bestFit="1" customWidth="1"/>
    <col min="2067" max="2067" width="9.33203125" bestFit="1" customWidth="1"/>
    <col min="2068" max="2068" width="11.5546875" bestFit="1" customWidth="1"/>
    <col min="2069" max="2069" width="9.33203125" bestFit="1" customWidth="1"/>
    <col min="2070" max="2070" width="11.5546875" bestFit="1" customWidth="1"/>
    <col min="2071" max="2071" width="9.33203125" bestFit="1" customWidth="1"/>
    <col min="2072" max="2072" width="11.5546875" bestFit="1" customWidth="1"/>
    <col min="2073" max="2073" width="9.33203125" bestFit="1" customWidth="1"/>
    <col min="2074" max="2074" width="11.5546875" bestFit="1" customWidth="1"/>
    <col min="2075" max="2075" width="9.33203125" bestFit="1" customWidth="1"/>
    <col min="2076" max="2076" width="11.5546875" bestFit="1" customWidth="1"/>
    <col min="2077" max="2077" width="9.33203125" bestFit="1" customWidth="1"/>
    <col min="2078" max="2078" width="11.5546875" bestFit="1" customWidth="1"/>
    <col min="2079" max="2079" width="9.33203125" bestFit="1" customWidth="1"/>
    <col min="2080" max="2080" width="11.5546875" bestFit="1" customWidth="1"/>
    <col min="2081" max="2081" width="9.33203125" bestFit="1" customWidth="1"/>
    <col min="2082" max="2082" width="11.5546875" bestFit="1" customWidth="1"/>
    <col min="2083" max="2083" width="9.33203125" bestFit="1" customWidth="1"/>
    <col min="2084" max="2084" width="11.5546875" bestFit="1" customWidth="1"/>
    <col min="2085" max="2085" width="9.33203125" bestFit="1" customWidth="1"/>
    <col min="2086" max="2086" width="11.5546875" bestFit="1" customWidth="1"/>
    <col min="2087" max="2087" width="9.33203125" bestFit="1" customWidth="1"/>
    <col min="2088" max="2088" width="11.5546875" bestFit="1" customWidth="1"/>
    <col min="2089" max="2089" width="9.33203125" bestFit="1" customWidth="1"/>
    <col min="2090" max="2090" width="11.5546875" bestFit="1" customWidth="1"/>
    <col min="2091" max="2091" width="9.33203125" bestFit="1" customWidth="1"/>
    <col min="2092" max="2092" width="11.5546875" bestFit="1" customWidth="1"/>
    <col min="2093" max="2093" width="9.33203125" bestFit="1" customWidth="1"/>
    <col min="2094" max="2094" width="11.5546875" bestFit="1" customWidth="1"/>
    <col min="2095" max="2095" width="9.33203125" bestFit="1" customWidth="1"/>
    <col min="2096" max="2096" width="11.5546875" bestFit="1" customWidth="1"/>
    <col min="2097" max="2097" width="9.33203125" bestFit="1" customWidth="1"/>
    <col min="2098" max="2098" width="11.5546875" bestFit="1" customWidth="1"/>
    <col min="2099" max="2099" width="9.33203125" bestFit="1" customWidth="1"/>
    <col min="2307" max="2307" width="29.44140625" bestFit="1" customWidth="1"/>
    <col min="2308" max="2308" width="11.5546875" bestFit="1" customWidth="1"/>
    <col min="2309" max="2309" width="9.33203125" bestFit="1" customWidth="1"/>
    <col min="2310" max="2310" width="11.5546875" bestFit="1" customWidth="1"/>
    <col min="2311" max="2311" width="9.33203125" bestFit="1" customWidth="1"/>
    <col min="2312" max="2312" width="11.5546875" bestFit="1" customWidth="1"/>
    <col min="2313" max="2313" width="9.33203125" bestFit="1" customWidth="1"/>
    <col min="2314" max="2314" width="11.5546875" bestFit="1" customWidth="1"/>
    <col min="2315" max="2315" width="9.33203125" bestFit="1" customWidth="1"/>
    <col min="2316" max="2316" width="11.5546875" bestFit="1" customWidth="1"/>
    <col min="2317" max="2317" width="9.33203125" bestFit="1" customWidth="1"/>
    <col min="2318" max="2318" width="11.5546875" bestFit="1" customWidth="1"/>
    <col min="2319" max="2319" width="9.33203125" bestFit="1" customWidth="1"/>
    <col min="2320" max="2320" width="11.5546875" bestFit="1" customWidth="1"/>
    <col min="2321" max="2321" width="9.33203125" bestFit="1" customWidth="1"/>
    <col min="2322" max="2322" width="11.5546875" bestFit="1" customWidth="1"/>
    <col min="2323" max="2323" width="9.33203125" bestFit="1" customWidth="1"/>
    <col min="2324" max="2324" width="11.5546875" bestFit="1" customWidth="1"/>
    <col min="2325" max="2325" width="9.33203125" bestFit="1" customWidth="1"/>
    <col min="2326" max="2326" width="11.5546875" bestFit="1" customWidth="1"/>
    <col min="2327" max="2327" width="9.33203125" bestFit="1" customWidth="1"/>
    <col min="2328" max="2328" width="11.5546875" bestFit="1" customWidth="1"/>
    <col min="2329" max="2329" width="9.33203125" bestFit="1" customWidth="1"/>
    <col min="2330" max="2330" width="11.5546875" bestFit="1" customWidth="1"/>
    <col min="2331" max="2331" width="9.33203125" bestFit="1" customWidth="1"/>
    <col min="2332" max="2332" width="11.5546875" bestFit="1" customWidth="1"/>
    <col min="2333" max="2333" width="9.33203125" bestFit="1" customWidth="1"/>
    <col min="2334" max="2334" width="11.5546875" bestFit="1" customWidth="1"/>
    <col min="2335" max="2335" width="9.33203125" bestFit="1" customWidth="1"/>
    <col min="2336" max="2336" width="11.5546875" bestFit="1" customWidth="1"/>
    <col min="2337" max="2337" width="9.33203125" bestFit="1" customWidth="1"/>
    <col min="2338" max="2338" width="11.5546875" bestFit="1" customWidth="1"/>
    <col min="2339" max="2339" width="9.33203125" bestFit="1" customWidth="1"/>
    <col min="2340" max="2340" width="11.5546875" bestFit="1" customWidth="1"/>
    <col min="2341" max="2341" width="9.33203125" bestFit="1" customWidth="1"/>
    <col min="2342" max="2342" width="11.5546875" bestFit="1" customWidth="1"/>
    <col min="2343" max="2343" width="9.33203125" bestFit="1" customWidth="1"/>
    <col min="2344" max="2344" width="11.5546875" bestFit="1" customWidth="1"/>
    <col min="2345" max="2345" width="9.33203125" bestFit="1" customWidth="1"/>
    <col min="2346" max="2346" width="11.5546875" bestFit="1" customWidth="1"/>
    <col min="2347" max="2347" width="9.33203125" bestFit="1" customWidth="1"/>
    <col min="2348" max="2348" width="11.5546875" bestFit="1" customWidth="1"/>
    <col min="2349" max="2349" width="9.33203125" bestFit="1" customWidth="1"/>
    <col min="2350" max="2350" width="11.5546875" bestFit="1" customWidth="1"/>
    <col min="2351" max="2351" width="9.33203125" bestFit="1" customWidth="1"/>
    <col min="2352" max="2352" width="11.5546875" bestFit="1" customWidth="1"/>
    <col min="2353" max="2353" width="9.33203125" bestFit="1" customWidth="1"/>
    <col min="2354" max="2354" width="11.5546875" bestFit="1" customWidth="1"/>
    <col min="2355" max="2355" width="9.33203125" bestFit="1" customWidth="1"/>
    <col min="2563" max="2563" width="29.44140625" bestFit="1" customWidth="1"/>
    <col min="2564" max="2564" width="11.5546875" bestFit="1" customWidth="1"/>
    <col min="2565" max="2565" width="9.33203125" bestFit="1" customWidth="1"/>
    <col min="2566" max="2566" width="11.5546875" bestFit="1" customWidth="1"/>
    <col min="2567" max="2567" width="9.33203125" bestFit="1" customWidth="1"/>
    <col min="2568" max="2568" width="11.5546875" bestFit="1" customWidth="1"/>
    <col min="2569" max="2569" width="9.33203125" bestFit="1" customWidth="1"/>
    <col min="2570" max="2570" width="11.5546875" bestFit="1" customWidth="1"/>
    <col min="2571" max="2571" width="9.33203125" bestFit="1" customWidth="1"/>
    <col min="2572" max="2572" width="11.5546875" bestFit="1" customWidth="1"/>
    <col min="2573" max="2573" width="9.33203125" bestFit="1" customWidth="1"/>
    <col min="2574" max="2574" width="11.5546875" bestFit="1" customWidth="1"/>
    <col min="2575" max="2575" width="9.33203125" bestFit="1" customWidth="1"/>
    <col min="2576" max="2576" width="11.5546875" bestFit="1" customWidth="1"/>
    <col min="2577" max="2577" width="9.33203125" bestFit="1" customWidth="1"/>
    <col min="2578" max="2578" width="11.5546875" bestFit="1" customWidth="1"/>
    <col min="2579" max="2579" width="9.33203125" bestFit="1" customWidth="1"/>
    <col min="2580" max="2580" width="11.5546875" bestFit="1" customWidth="1"/>
    <col min="2581" max="2581" width="9.33203125" bestFit="1" customWidth="1"/>
    <col min="2582" max="2582" width="11.5546875" bestFit="1" customWidth="1"/>
    <col min="2583" max="2583" width="9.33203125" bestFit="1" customWidth="1"/>
    <col min="2584" max="2584" width="11.5546875" bestFit="1" customWidth="1"/>
    <col min="2585" max="2585" width="9.33203125" bestFit="1" customWidth="1"/>
    <col min="2586" max="2586" width="11.5546875" bestFit="1" customWidth="1"/>
    <col min="2587" max="2587" width="9.33203125" bestFit="1" customWidth="1"/>
    <col min="2588" max="2588" width="11.5546875" bestFit="1" customWidth="1"/>
    <col min="2589" max="2589" width="9.33203125" bestFit="1" customWidth="1"/>
    <col min="2590" max="2590" width="11.5546875" bestFit="1" customWidth="1"/>
    <col min="2591" max="2591" width="9.33203125" bestFit="1" customWidth="1"/>
    <col min="2592" max="2592" width="11.5546875" bestFit="1" customWidth="1"/>
    <col min="2593" max="2593" width="9.33203125" bestFit="1" customWidth="1"/>
    <col min="2594" max="2594" width="11.5546875" bestFit="1" customWidth="1"/>
    <col min="2595" max="2595" width="9.33203125" bestFit="1" customWidth="1"/>
    <col min="2596" max="2596" width="11.5546875" bestFit="1" customWidth="1"/>
    <col min="2597" max="2597" width="9.33203125" bestFit="1" customWidth="1"/>
    <col min="2598" max="2598" width="11.5546875" bestFit="1" customWidth="1"/>
    <col min="2599" max="2599" width="9.33203125" bestFit="1" customWidth="1"/>
    <col min="2600" max="2600" width="11.5546875" bestFit="1" customWidth="1"/>
    <col min="2601" max="2601" width="9.33203125" bestFit="1" customWidth="1"/>
    <col min="2602" max="2602" width="11.5546875" bestFit="1" customWidth="1"/>
    <col min="2603" max="2603" width="9.33203125" bestFit="1" customWidth="1"/>
    <col min="2604" max="2604" width="11.5546875" bestFit="1" customWidth="1"/>
    <col min="2605" max="2605" width="9.33203125" bestFit="1" customWidth="1"/>
    <col min="2606" max="2606" width="11.5546875" bestFit="1" customWidth="1"/>
    <col min="2607" max="2607" width="9.33203125" bestFit="1" customWidth="1"/>
    <col min="2608" max="2608" width="11.5546875" bestFit="1" customWidth="1"/>
    <col min="2609" max="2609" width="9.33203125" bestFit="1" customWidth="1"/>
    <col min="2610" max="2610" width="11.5546875" bestFit="1" customWidth="1"/>
    <col min="2611" max="2611" width="9.33203125" bestFit="1" customWidth="1"/>
    <col min="2819" max="2819" width="29.44140625" bestFit="1" customWidth="1"/>
    <col min="2820" max="2820" width="11.5546875" bestFit="1" customWidth="1"/>
    <col min="2821" max="2821" width="9.33203125" bestFit="1" customWidth="1"/>
    <col min="2822" max="2822" width="11.5546875" bestFit="1" customWidth="1"/>
    <col min="2823" max="2823" width="9.33203125" bestFit="1" customWidth="1"/>
    <col min="2824" max="2824" width="11.5546875" bestFit="1" customWidth="1"/>
    <col min="2825" max="2825" width="9.33203125" bestFit="1" customWidth="1"/>
    <col min="2826" max="2826" width="11.5546875" bestFit="1" customWidth="1"/>
    <col min="2827" max="2827" width="9.33203125" bestFit="1" customWidth="1"/>
    <col min="2828" max="2828" width="11.5546875" bestFit="1" customWidth="1"/>
    <col min="2829" max="2829" width="9.33203125" bestFit="1" customWidth="1"/>
    <col min="2830" max="2830" width="11.5546875" bestFit="1" customWidth="1"/>
    <col min="2831" max="2831" width="9.33203125" bestFit="1" customWidth="1"/>
    <col min="2832" max="2832" width="11.5546875" bestFit="1" customWidth="1"/>
    <col min="2833" max="2833" width="9.33203125" bestFit="1" customWidth="1"/>
    <col min="2834" max="2834" width="11.5546875" bestFit="1" customWidth="1"/>
    <col min="2835" max="2835" width="9.33203125" bestFit="1" customWidth="1"/>
    <col min="2836" max="2836" width="11.5546875" bestFit="1" customWidth="1"/>
    <col min="2837" max="2837" width="9.33203125" bestFit="1" customWidth="1"/>
    <col min="2838" max="2838" width="11.5546875" bestFit="1" customWidth="1"/>
    <col min="2839" max="2839" width="9.33203125" bestFit="1" customWidth="1"/>
    <col min="2840" max="2840" width="11.5546875" bestFit="1" customWidth="1"/>
    <col min="2841" max="2841" width="9.33203125" bestFit="1" customWidth="1"/>
    <col min="2842" max="2842" width="11.5546875" bestFit="1" customWidth="1"/>
    <col min="2843" max="2843" width="9.33203125" bestFit="1" customWidth="1"/>
    <col min="2844" max="2844" width="11.5546875" bestFit="1" customWidth="1"/>
    <col min="2845" max="2845" width="9.33203125" bestFit="1" customWidth="1"/>
    <col min="2846" max="2846" width="11.5546875" bestFit="1" customWidth="1"/>
    <col min="2847" max="2847" width="9.33203125" bestFit="1" customWidth="1"/>
    <col min="2848" max="2848" width="11.5546875" bestFit="1" customWidth="1"/>
    <col min="2849" max="2849" width="9.33203125" bestFit="1" customWidth="1"/>
    <col min="2850" max="2850" width="11.5546875" bestFit="1" customWidth="1"/>
    <col min="2851" max="2851" width="9.33203125" bestFit="1" customWidth="1"/>
    <col min="2852" max="2852" width="11.5546875" bestFit="1" customWidth="1"/>
    <col min="2853" max="2853" width="9.33203125" bestFit="1" customWidth="1"/>
    <col min="2854" max="2854" width="11.5546875" bestFit="1" customWidth="1"/>
    <col min="2855" max="2855" width="9.33203125" bestFit="1" customWidth="1"/>
    <col min="2856" max="2856" width="11.5546875" bestFit="1" customWidth="1"/>
    <col min="2857" max="2857" width="9.33203125" bestFit="1" customWidth="1"/>
    <col min="2858" max="2858" width="11.5546875" bestFit="1" customWidth="1"/>
    <col min="2859" max="2859" width="9.33203125" bestFit="1" customWidth="1"/>
    <col min="2860" max="2860" width="11.5546875" bestFit="1" customWidth="1"/>
    <col min="2861" max="2861" width="9.33203125" bestFit="1" customWidth="1"/>
    <col min="2862" max="2862" width="11.5546875" bestFit="1" customWidth="1"/>
    <col min="2863" max="2863" width="9.33203125" bestFit="1" customWidth="1"/>
    <col min="2864" max="2864" width="11.5546875" bestFit="1" customWidth="1"/>
    <col min="2865" max="2865" width="9.33203125" bestFit="1" customWidth="1"/>
    <col min="2866" max="2866" width="11.5546875" bestFit="1" customWidth="1"/>
    <col min="2867" max="2867" width="9.33203125" bestFit="1" customWidth="1"/>
    <col min="3075" max="3075" width="29.44140625" bestFit="1" customWidth="1"/>
    <col min="3076" max="3076" width="11.5546875" bestFit="1" customWidth="1"/>
    <col min="3077" max="3077" width="9.33203125" bestFit="1" customWidth="1"/>
    <col min="3078" max="3078" width="11.5546875" bestFit="1" customWidth="1"/>
    <col min="3079" max="3079" width="9.33203125" bestFit="1" customWidth="1"/>
    <col min="3080" max="3080" width="11.5546875" bestFit="1" customWidth="1"/>
    <col min="3081" max="3081" width="9.33203125" bestFit="1" customWidth="1"/>
    <col min="3082" max="3082" width="11.5546875" bestFit="1" customWidth="1"/>
    <col min="3083" max="3083" width="9.33203125" bestFit="1" customWidth="1"/>
    <col min="3084" max="3084" width="11.5546875" bestFit="1" customWidth="1"/>
    <col min="3085" max="3085" width="9.33203125" bestFit="1" customWidth="1"/>
    <col min="3086" max="3086" width="11.5546875" bestFit="1" customWidth="1"/>
    <col min="3087" max="3087" width="9.33203125" bestFit="1" customWidth="1"/>
    <col min="3088" max="3088" width="11.5546875" bestFit="1" customWidth="1"/>
    <col min="3089" max="3089" width="9.33203125" bestFit="1" customWidth="1"/>
    <col min="3090" max="3090" width="11.5546875" bestFit="1" customWidth="1"/>
    <col min="3091" max="3091" width="9.33203125" bestFit="1" customWidth="1"/>
    <col min="3092" max="3092" width="11.5546875" bestFit="1" customWidth="1"/>
    <col min="3093" max="3093" width="9.33203125" bestFit="1" customWidth="1"/>
    <col min="3094" max="3094" width="11.5546875" bestFit="1" customWidth="1"/>
    <col min="3095" max="3095" width="9.33203125" bestFit="1" customWidth="1"/>
    <col min="3096" max="3096" width="11.5546875" bestFit="1" customWidth="1"/>
    <col min="3097" max="3097" width="9.33203125" bestFit="1" customWidth="1"/>
    <col min="3098" max="3098" width="11.5546875" bestFit="1" customWidth="1"/>
    <col min="3099" max="3099" width="9.33203125" bestFit="1" customWidth="1"/>
    <col min="3100" max="3100" width="11.5546875" bestFit="1" customWidth="1"/>
    <col min="3101" max="3101" width="9.33203125" bestFit="1" customWidth="1"/>
    <col min="3102" max="3102" width="11.5546875" bestFit="1" customWidth="1"/>
    <col min="3103" max="3103" width="9.33203125" bestFit="1" customWidth="1"/>
    <col min="3104" max="3104" width="11.5546875" bestFit="1" customWidth="1"/>
    <col min="3105" max="3105" width="9.33203125" bestFit="1" customWidth="1"/>
    <col min="3106" max="3106" width="11.5546875" bestFit="1" customWidth="1"/>
    <col min="3107" max="3107" width="9.33203125" bestFit="1" customWidth="1"/>
    <col min="3108" max="3108" width="11.5546875" bestFit="1" customWidth="1"/>
    <col min="3109" max="3109" width="9.33203125" bestFit="1" customWidth="1"/>
    <col min="3110" max="3110" width="11.5546875" bestFit="1" customWidth="1"/>
    <col min="3111" max="3111" width="9.33203125" bestFit="1" customWidth="1"/>
    <col min="3112" max="3112" width="11.5546875" bestFit="1" customWidth="1"/>
    <col min="3113" max="3113" width="9.33203125" bestFit="1" customWidth="1"/>
    <col min="3114" max="3114" width="11.5546875" bestFit="1" customWidth="1"/>
    <col min="3115" max="3115" width="9.33203125" bestFit="1" customWidth="1"/>
    <col min="3116" max="3116" width="11.5546875" bestFit="1" customWidth="1"/>
    <col min="3117" max="3117" width="9.33203125" bestFit="1" customWidth="1"/>
    <col min="3118" max="3118" width="11.5546875" bestFit="1" customWidth="1"/>
    <col min="3119" max="3119" width="9.33203125" bestFit="1" customWidth="1"/>
    <col min="3120" max="3120" width="11.5546875" bestFit="1" customWidth="1"/>
    <col min="3121" max="3121" width="9.33203125" bestFit="1" customWidth="1"/>
    <col min="3122" max="3122" width="11.5546875" bestFit="1" customWidth="1"/>
    <col min="3123" max="3123" width="9.33203125" bestFit="1" customWidth="1"/>
    <col min="3331" max="3331" width="29.44140625" bestFit="1" customWidth="1"/>
    <col min="3332" max="3332" width="11.5546875" bestFit="1" customWidth="1"/>
    <col min="3333" max="3333" width="9.33203125" bestFit="1" customWidth="1"/>
    <col min="3334" max="3334" width="11.5546875" bestFit="1" customWidth="1"/>
    <col min="3335" max="3335" width="9.33203125" bestFit="1" customWidth="1"/>
    <col min="3336" max="3336" width="11.5546875" bestFit="1" customWidth="1"/>
    <col min="3337" max="3337" width="9.33203125" bestFit="1" customWidth="1"/>
    <col min="3338" max="3338" width="11.5546875" bestFit="1" customWidth="1"/>
    <col min="3339" max="3339" width="9.33203125" bestFit="1" customWidth="1"/>
    <col min="3340" max="3340" width="11.5546875" bestFit="1" customWidth="1"/>
    <col min="3341" max="3341" width="9.33203125" bestFit="1" customWidth="1"/>
    <col min="3342" max="3342" width="11.5546875" bestFit="1" customWidth="1"/>
    <col min="3343" max="3343" width="9.33203125" bestFit="1" customWidth="1"/>
    <col min="3344" max="3344" width="11.5546875" bestFit="1" customWidth="1"/>
    <col min="3345" max="3345" width="9.33203125" bestFit="1" customWidth="1"/>
    <col min="3346" max="3346" width="11.5546875" bestFit="1" customWidth="1"/>
    <col min="3347" max="3347" width="9.33203125" bestFit="1" customWidth="1"/>
    <col min="3348" max="3348" width="11.5546875" bestFit="1" customWidth="1"/>
    <col min="3349" max="3349" width="9.33203125" bestFit="1" customWidth="1"/>
    <col min="3350" max="3350" width="11.5546875" bestFit="1" customWidth="1"/>
    <col min="3351" max="3351" width="9.33203125" bestFit="1" customWidth="1"/>
    <col min="3352" max="3352" width="11.5546875" bestFit="1" customWidth="1"/>
    <col min="3353" max="3353" width="9.33203125" bestFit="1" customWidth="1"/>
    <col min="3354" max="3354" width="11.5546875" bestFit="1" customWidth="1"/>
    <col min="3355" max="3355" width="9.33203125" bestFit="1" customWidth="1"/>
    <col min="3356" max="3356" width="11.5546875" bestFit="1" customWidth="1"/>
    <col min="3357" max="3357" width="9.33203125" bestFit="1" customWidth="1"/>
    <col min="3358" max="3358" width="11.5546875" bestFit="1" customWidth="1"/>
    <col min="3359" max="3359" width="9.33203125" bestFit="1" customWidth="1"/>
    <col min="3360" max="3360" width="11.5546875" bestFit="1" customWidth="1"/>
    <col min="3361" max="3361" width="9.33203125" bestFit="1" customWidth="1"/>
    <col min="3362" max="3362" width="11.5546875" bestFit="1" customWidth="1"/>
    <col min="3363" max="3363" width="9.33203125" bestFit="1" customWidth="1"/>
    <col min="3364" max="3364" width="11.5546875" bestFit="1" customWidth="1"/>
    <col min="3365" max="3365" width="9.33203125" bestFit="1" customWidth="1"/>
    <col min="3366" max="3366" width="11.5546875" bestFit="1" customWidth="1"/>
    <col min="3367" max="3367" width="9.33203125" bestFit="1" customWidth="1"/>
    <col min="3368" max="3368" width="11.5546875" bestFit="1" customWidth="1"/>
    <col min="3369" max="3369" width="9.33203125" bestFit="1" customWidth="1"/>
    <col min="3370" max="3370" width="11.5546875" bestFit="1" customWidth="1"/>
    <col min="3371" max="3371" width="9.33203125" bestFit="1" customWidth="1"/>
    <col min="3372" max="3372" width="11.5546875" bestFit="1" customWidth="1"/>
    <col min="3373" max="3373" width="9.33203125" bestFit="1" customWidth="1"/>
    <col min="3374" max="3374" width="11.5546875" bestFit="1" customWidth="1"/>
    <col min="3375" max="3375" width="9.33203125" bestFit="1" customWidth="1"/>
    <col min="3376" max="3376" width="11.5546875" bestFit="1" customWidth="1"/>
    <col min="3377" max="3377" width="9.33203125" bestFit="1" customWidth="1"/>
    <col min="3378" max="3378" width="11.5546875" bestFit="1" customWidth="1"/>
    <col min="3379" max="3379" width="9.33203125" bestFit="1" customWidth="1"/>
    <col min="3587" max="3587" width="29.44140625" bestFit="1" customWidth="1"/>
    <col min="3588" max="3588" width="11.5546875" bestFit="1" customWidth="1"/>
    <col min="3589" max="3589" width="9.33203125" bestFit="1" customWidth="1"/>
    <col min="3590" max="3590" width="11.5546875" bestFit="1" customWidth="1"/>
    <col min="3591" max="3591" width="9.33203125" bestFit="1" customWidth="1"/>
    <col min="3592" max="3592" width="11.5546875" bestFit="1" customWidth="1"/>
    <col min="3593" max="3593" width="9.33203125" bestFit="1" customWidth="1"/>
    <col min="3594" max="3594" width="11.5546875" bestFit="1" customWidth="1"/>
    <col min="3595" max="3595" width="9.33203125" bestFit="1" customWidth="1"/>
    <col min="3596" max="3596" width="11.5546875" bestFit="1" customWidth="1"/>
    <col min="3597" max="3597" width="9.33203125" bestFit="1" customWidth="1"/>
    <col min="3598" max="3598" width="11.5546875" bestFit="1" customWidth="1"/>
    <col min="3599" max="3599" width="9.33203125" bestFit="1" customWidth="1"/>
    <col min="3600" max="3600" width="11.5546875" bestFit="1" customWidth="1"/>
    <col min="3601" max="3601" width="9.33203125" bestFit="1" customWidth="1"/>
    <col min="3602" max="3602" width="11.5546875" bestFit="1" customWidth="1"/>
    <col min="3603" max="3603" width="9.33203125" bestFit="1" customWidth="1"/>
    <col min="3604" max="3604" width="11.5546875" bestFit="1" customWidth="1"/>
    <col min="3605" max="3605" width="9.33203125" bestFit="1" customWidth="1"/>
    <col min="3606" max="3606" width="11.5546875" bestFit="1" customWidth="1"/>
    <col min="3607" max="3607" width="9.33203125" bestFit="1" customWidth="1"/>
    <col min="3608" max="3608" width="11.5546875" bestFit="1" customWidth="1"/>
    <col min="3609" max="3609" width="9.33203125" bestFit="1" customWidth="1"/>
    <col min="3610" max="3610" width="11.5546875" bestFit="1" customWidth="1"/>
    <col min="3611" max="3611" width="9.33203125" bestFit="1" customWidth="1"/>
    <col min="3612" max="3612" width="11.5546875" bestFit="1" customWidth="1"/>
    <col min="3613" max="3613" width="9.33203125" bestFit="1" customWidth="1"/>
    <col min="3614" max="3614" width="11.5546875" bestFit="1" customWidth="1"/>
    <col min="3615" max="3615" width="9.33203125" bestFit="1" customWidth="1"/>
    <col min="3616" max="3616" width="11.5546875" bestFit="1" customWidth="1"/>
    <col min="3617" max="3617" width="9.33203125" bestFit="1" customWidth="1"/>
    <col min="3618" max="3618" width="11.5546875" bestFit="1" customWidth="1"/>
    <col min="3619" max="3619" width="9.33203125" bestFit="1" customWidth="1"/>
    <col min="3620" max="3620" width="11.5546875" bestFit="1" customWidth="1"/>
    <col min="3621" max="3621" width="9.33203125" bestFit="1" customWidth="1"/>
    <col min="3622" max="3622" width="11.5546875" bestFit="1" customWidth="1"/>
    <col min="3623" max="3623" width="9.33203125" bestFit="1" customWidth="1"/>
    <col min="3624" max="3624" width="11.5546875" bestFit="1" customWidth="1"/>
    <col min="3625" max="3625" width="9.33203125" bestFit="1" customWidth="1"/>
    <col min="3626" max="3626" width="11.5546875" bestFit="1" customWidth="1"/>
    <col min="3627" max="3627" width="9.33203125" bestFit="1" customWidth="1"/>
    <col min="3628" max="3628" width="11.5546875" bestFit="1" customWidth="1"/>
    <col min="3629" max="3629" width="9.33203125" bestFit="1" customWidth="1"/>
    <col min="3630" max="3630" width="11.5546875" bestFit="1" customWidth="1"/>
    <col min="3631" max="3631" width="9.33203125" bestFit="1" customWidth="1"/>
    <col min="3632" max="3632" width="11.5546875" bestFit="1" customWidth="1"/>
    <col min="3633" max="3633" width="9.33203125" bestFit="1" customWidth="1"/>
    <col min="3634" max="3634" width="11.5546875" bestFit="1" customWidth="1"/>
    <col min="3635" max="3635" width="9.33203125" bestFit="1" customWidth="1"/>
    <col min="3843" max="3843" width="29.44140625" bestFit="1" customWidth="1"/>
    <col min="3844" max="3844" width="11.5546875" bestFit="1" customWidth="1"/>
    <col min="3845" max="3845" width="9.33203125" bestFit="1" customWidth="1"/>
    <col min="3846" max="3846" width="11.5546875" bestFit="1" customWidth="1"/>
    <col min="3847" max="3847" width="9.33203125" bestFit="1" customWidth="1"/>
    <col min="3848" max="3848" width="11.5546875" bestFit="1" customWidth="1"/>
    <col min="3849" max="3849" width="9.33203125" bestFit="1" customWidth="1"/>
    <col min="3850" max="3850" width="11.5546875" bestFit="1" customWidth="1"/>
    <col min="3851" max="3851" width="9.33203125" bestFit="1" customWidth="1"/>
    <col min="3852" max="3852" width="11.5546875" bestFit="1" customWidth="1"/>
    <col min="3853" max="3853" width="9.33203125" bestFit="1" customWidth="1"/>
    <col min="3854" max="3854" width="11.5546875" bestFit="1" customWidth="1"/>
    <col min="3855" max="3855" width="9.33203125" bestFit="1" customWidth="1"/>
    <col min="3856" max="3856" width="11.5546875" bestFit="1" customWidth="1"/>
    <col min="3857" max="3857" width="9.33203125" bestFit="1" customWidth="1"/>
    <col min="3858" max="3858" width="11.5546875" bestFit="1" customWidth="1"/>
    <col min="3859" max="3859" width="9.33203125" bestFit="1" customWidth="1"/>
    <col min="3860" max="3860" width="11.5546875" bestFit="1" customWidth="1"/>
    <col min="3861" max="3861" width="9.33203125" bestFit="1" customWidth="1"/>
    <col min="3862" max="3862" width="11.5546875" bestFit="1" customWidth="1"/>
    <col min="3863" max="3863" width="9.33203125" bestFit="1" customWidth="1"/>
    <col min="3864" max="3864" width="11.5546875" bestFit="1" customWidth="1"/>
    <col min="3865" max="3865" width="9.33203125" bestFit="1" customWidth="1"/>
    <col min="3866" max="3866" width="11.5546875" bestFit="1" customWidth="1"/>
    <col min="3867" max="3867" width="9.33203125" bestFit="1" customWidth="1"/>
    <col min="3868" max="3868" width="11.5546875" bestFit="1" customWidth="1"/>
    <col min="3869" max="3869" width="9.33203125" bestFit="1" customWidth="1"/>
    <col min="3870" max="3870" width="11.5546875" bestFit="1" customWidth="1"/>
    <col min="3871" max="3871" width="9.33203125" bestFit="1" customWidth="1"/>
    <col min="3872" max="3872" width="11.5546875" bestFit="1" customWidth="1"/>
    <col min="3873" max="3873" width="9.33203125" bestFit="1" customWidth="1"/>
    <col min="3874" max="3874" width="11.5546875" bestFit="1" customWidth="1"/>
    <col min="3875" max="3875" width="9.33203125" bestFit="1" customWidth="1"/>
    <col min="3876" max="3876" width="11.5546875" bestFit="1" customWidth="1"/>
    <col min="3877" max="3877" width="9.33203125" bestFit="1" customWidth="1"/>
    <col min="3878" max="3878" width="11.5546875" bestFit="1" customWidth="1"/>
    <col min="3879" max="3879" width="9.33203125" bestFit="1" customWidth="1"/>
    <col min="3880" max="3880" width="11.5546875" bestFit="1" customWidth="1"/>
    <col min="3881" max="3881" width="9.33203125" bestFit="1" customWidth="1"/>
    <col min="3882" max="3882" width="11.5546875" bestFit="1" customWidth="1"/>
    <col min="3883" max="3883" width="9.33203125" bestFit="1" customWidth="1"/>
    <col min="3884" max="3884" width="11.5546875" bestFit="1" customWidth="1"/>
    <col min="3885" max="3885" width="9.33203125" bestFit="1" customWidth="1"/>
    <col min="3886" max="3886" width="11.5546875" bestFit="1" customWidth="1"/>
    <col min="3887" max="3887" width="9.33203125" bestFit="1" customWidth="1"/>
    <col min="3888" max="3888" width="11.5546875" bestFit="1" customWidth="1"/>
    <col min="3889" max="3889" width="9.33203125" bestFit="1" customWidth="1"/>
    <col min="3890" max="3890" width="11.5546875" bestFit="1" customWidth="1"/>
    <col min="3891" max="3891" width="9.33203125" bestFit="1" customWidth="1"/>
    <col min="4099" max="4099" width="29.44140625" bestFit="1" customWidth="1"/>
    <col min="4100" max="4100" width="11.5546875" bestFit="1" customWidth="1"/>
    <col min="4101" max="4101" width="9.33203125" bestFit="1" customWidth="1"/>
    <col min="4102" max="4102" width="11.5546875" bestFit="1" customWidth="1"/>
    <col min="4103" max="4103" width="9.33203125" bestFit="1" customWidth="1"/>
    <col min="4104" max="4104" width="11.5546875" bestFit="1" customWidth="1"/>
    <col min="4105" max="4105" width="9.33203125" bestFit="1" customWidth="1"/>
    <col min="4106" max="4106" width="11.5546875" bestFit="1" customWidth="1"/>
    <col min="4107" max="4107" width="9.33203125" bestFit="1" customWidth="1"/>
    <col min="4108" max="4108" width="11.5546875" bestFit="1" customWidth="1"/>
    <col min="4109" max="4109" width="9.33203125" bestFit="1" customWidth="1"/>
    <col min="4110" max="4110" width="11.5546875" bestFit="1" customWidth="1"/>
    <col min="4111" max="4111" width="9.33203125" bestFit="1" customWidth="1"/>
    <col min="4112" max="4112" width="11.5546875" bestFit="1" customWidth="1"/>
    <col min="4113" max="4113" width="9.33203125" bestFit="1" customWidth="1"/>
    <col min="4114" max="4114" width="11.5546875" bestFit="1" customWidth="1"/>
    <col min="4115" max="4115" width="9.33203125" bestFit="1" customWidth="1"/>
    <col min="4116" max="4116" width="11.5546875" bestFit="1" customWidth="1"/>
    <col min="4117" max="4117" width="9.33203125" bestFit="1" customWidth="1"/>
    <col min="4118" max="4118" width="11.5546875" bestFit="1" customWidth="1"/>
    <col min="4119" max="4119" width="9.33203125" bestFit="1" customWidth="1"/>
    <col min="4120" max="4120" width="11.5546875" bestFit="1" customWidth="1"/>
    <col min="4121" max="4121" width="9.33203125" bestFit="1" customWidth="1"/>
    <col min="4122" max="4122" width="11.5546875" bestFit="1" customWidth="1"/>
    <col min="4123" max="4123" width="9.33203125" bestFit="1" customWidth="1"/>
    <col min="4124" max="4124" width="11.5546875" bestFit="1" customWidth="1"/>
    <col min="4125" max="4125" width="9.33203125" bestFit="1" customWidth="1"/>
    <col min="4126" max="4126" width="11.5546875" bestFit="1" customWidth="1"/>
    <col min="4127" max="4127" width="9.33203125" bestFit="1" customWidth="1"/>
    <col min="4128" max="4128" width="11.5546875" bestFit="1" customWidth="1"/>
    <col min="4129" max="4129" width="9.33203125" bestFit="1" customWidth="1"/>
    <col min="4130" max="4130" width="11.5546875" bestFit="1" customWidth="1"/>
    <col min="4131" max="4131" width="9.33203125" bestFit="1" customWidth="1"/>
    <col min="4132" max="4132" width="11.5546875" bestFit="1" customWidth="1"/>
    <col min="4133" max="4133" width="9.33203125" bestFit="1" customWidth="1"/>
    <col min="4134" max="4134" width="11.5546875" bestFit="1" customWidth="1"/>
    <col min="4135" max="4135" width="9.33203125" bestFit="1" customWidth="1"/>
    <col min="4136" max="4136" width="11.5546875" bestFit="1" customWidth="1"/>
    <col min="4137" max="4137" width="9.33203125" bestFit="1" customWidth="1"/>
    <col min="4138" max="4138" width="11.5546875" bestFit="1" customWidth="1"/>
    <col min="4139" max="4139" width="9.33203125" bestFit="1" customWidth="1"/>
    <col min="4140" max="4140" width="11.5546875" bestFit="1" customWidth="1"/>
    <col min="4141" max="4141" width="9.33203125" bestFit="1" customWidth="1"/>
    <col min="4142" max="4142" width="11.5546875" bestFit="1" customWidth="1"/>
    <col min="4143" max="4143" width="9.33203125" bestFit="1" customWidth="1"/>
    <col min="4144" max="4144" width="11.5546875" bestFit="1" customWidth="1"/>
    <col min="4145" max="4145" width="9.33203125" bestFit="1" customWidth="1"/>
    <col min="4146" max="4146" width="11.5546875" bestFit="1" customWidth="1"/>
    <col min="4147" max="4147" width="9.33203125" bestFit="1" customWidth="1"/>
    <col min="4355" max="4355" width="29.44140625" bestFit="1" customWidth="1"/>
    <col min="4356" max="4356" width="11.5546875" bestFit="1" customWidth="1"/>
    <col min="4357" max="4357" width="9.33203125" bestFit="1" customWidth="1"/>
    <col min="4358" max="4358" width="11.5546875" bestFit="1" customWidth="1"/>
    <col min="4359" max="4359" width="9.33203125" bestFit="1" customWidth="1"/>
    <col min="4360" max="4360" width="11.5546875" bestFit="1" customWidth="1"/>
    <col min="4361" max="4361" width="9.33203125" bestFit="1" customWidth="1"/>
    <col min="4362" max="4362" width="11.5546875" bestFit="1" customWidth="1"/>
    <col min="4363" max="4363" width="9.33203125" bestFit="1" customWidth="1"/>
    <col min="4364" max="4364" width="11.5546875" bestFit="1" customWidth="1"/>
    <col min="4365" max="4365" width="9.33203125" bestFit="1" customWidth="1"/>
    <col min="4366" max="4366" width="11.5546875" bestFit="1" customWidth="1"/>
    <col min="4367" max="4367" width="9.33203125" bestFit="1" customWidth="1"/>
    <col min="4368" max="4368" width="11.5546875" bestFit="1" customWidth="1"/>
    <col min="4369" max="4369" width="9.33203125" bestFit="1" customWidth="1"/>
    <col min="4370" max="4370" width="11.5546875" bestFit="1" customWidth="1"/>
    <col min="4371" max="4371" width="9.33203125" bestFit="1" customWidth="1"/>
    <col min="4372" max="4372" width="11.5546875" bestFit="1" customWidth="1"/>
    <col min="4373" max="4373" width="9.33203125" bestFit="1" customWidth="1"/>
    <col min="4374" max="4374" width="11.5546875" bestFit="1" customWidth="1"/>
    <col min="4375" max="4375" width="9.33203125" bestFit="1" customWidth="1"/>
    <col min="4376" max="4376" width="11.5546875" bestFit="1" customWidth="1"/>
    <col min="4377" max="4377" width="9.33203125" bestFit="1" customWidth="1"/>
    <col min="4378" max="4378" width="11.5546875" bestFit="1" customWidth="1"/>
    <col min="4379" max="4379" width="9.33203125" bestFit="1" customWidth="1"/>
    <col min="4380" max="4380" width="11.5546875" bestFit="1" customWidth="1"/>
    <col min="4381" max="4381" width="9.33203125" bestFit="1" customWidth="1"/>
    <col min="4382" max="4382" width="11.5546875" bestFit="1" customWidth="1"/>
    <col min="4383" max="4383" width="9.33203125" bestFit="1" customWidth="1"/>
    <col min="4384" max="4384" width="11.5546875" bestFit="1" customWidth="1"/>
    <col min="4385" max="4385" width="9.33203125" bestFit="1" customWidth="1"/>
    <col min="4386" max="4386" width="11.5546875" bestFit="1" customWidth="1"/>
    <col min="4387" max="4387" width="9.33203125" bestFit="1" customWidth="1"/>
    <col min="4388" max="4388" width="11.5546875" bestFit="1" customWidth="1"/>
    <col min="4389" max="4389" width="9.33203125" bestFit="1" customWidth="1"/>
    <col min="4390" max="4390" width="11.5546875" bestFit="1" customWidth="1"/>
    <col min="4391" max="4391" width="9.33203125" bestFit="1" customWidth="1"/>
    <col min="4392" max="4392" width="11.5546875" bestFit="1" customWidth="1"/>
    <col min="4393" max="4393" width="9.33203125" bestFit="1" customWidth="1"/>
    <col min="4394" max="4394" width="11.5546875" bestFit="1" customWidth="1"/>
    <col min="4395" max="4395" width="9.33203125" bestFit="1" customWidth="1"/>
    <col min="4396" max="4396" width="11.5546875" bestFit="1" customWidth="1"/>
    <col min="4397" max="4397" width="9.33203125" bestFit="1" customWidth="1"/>
    <col min="4398" max="4398" width="11.5546875" bestFit="1" customWidth="1"/>
    <col min="4399" max="4399" width="9.33203125" bestFit="1" customWidth="1"/>
    <col min="4400" max="4400" width="11.5546875" bestFit="1" customWidth="1"/>
    <col min="4401" max="4401" width="9.33203125" bestFit="1" customWidth="1"/>
    <col min="4402" max="4402" width="11.5546875" bestFit="1" customWidth="1"/>
    <col min="4403" max="4403" width="9.33203125" bestFit="1" customWidth="1"/>
    <col min="4611" max="4611" width="29.44140625" bestFit="1" customWidth="1"/>
    <col min="4612" max="4612" width="11.5546875" bestFit="1" customWidth="1"/>
    <col min="4613" max="4613" width="9.33203125" bestFit="1" customWidth="1"/>
    <col min="4614" max="4614" width="11.5546875" bestFit="1" customWidth="1"/>
    <col min="4615" max="4615" width="9.33203125" bestFit="1" customWidth="1"/>
    <col min="4616" max="4616" width="11.5546875" bestFit="1" customWidth="1"/>
    <col min="4617" max="4617" width="9.33203125" bestFit="1" customWidth="1"/>
    <col min="4618" max="4618" width="11.5546875" bestFit="1" customWidth="1"/>
    <col min="4619" max="4619" width="9.33203125" bestFit="1" customWidth="1"/>
    <col min="4620" max="4620" width="11.5546875" bestFit="1" customWidth="1"/>
    <col min="4621" max="4621" width="9.33203125" bestFit="1" customWidth="1"/>
    <col min="4622" max="4622" width="11.5546875" bestFit="1" customWidth="1"/>
    <col min="4623" max="4623" width="9.33203125" bestFit="1" customWidth="1"/>
    <col min="4624" max="4624" width="11.5546875" bestFit="1" customWidth="1"/>
    <col min="4625" max="4625" width="9.33203125" bestFit="1" customWidth="1"/>
    <col min="4626" max="4626" width="11.5546875" bestFit="1" customWidth="1"/>
    <col min="4627" max="4627" width="9.33203125" bestFit="1" customWidth="1"/>
    <col min="4628" max="4628" width="11.5546875" bestFit="1" customWidth="1"/>
    <col min="4629" max="4629" width="9.33203125" bestFit="1" customWidth="1"/>
    <col min="4630" max="4630" width="11.5546875" bestFit="1" customWidth="1"/>
    <col min="4631" max="4631" width="9.33203125" bestFit="1" customWidth="1"/>
    <col min="4632" max="4632" width="11.5546875" bestFit="1" customWidth="1"/>
    <col min="4633" max="4633" width="9.33203125" bestFit="1" customWidth="1"/>
    <col min="4634" max="4634" width="11.5546875" bestFit="1" customWidth="1"/>
    <col min="4635" max="4635" width="9.33203125" bestFit="1" customWidth="1"/>
    <col min="4636" max="4636" width="11.5546875" bestFit="1" customWidth="1"/>
    <col min="4637" max="4637" width="9.33203125" bestFit="1" customWidth="1"/>
    <col min="4638" max="4638" width="11.5546875" bestFit="1" customWidth="1"/>
    <col min="4639" max="4639" width="9.33203125" bestFit="1" customWidth="1"/>
    <col min="4640" max="4640" width="11.5546875" bestFit="1" customWidth="1"/>
    <col min="4641" max="4641" width="9.33203125" bestFit="1" customWidth="1"/>
    <col min="4642" max="4642" width="11.5546875" bestFit="1" customWidth="1"/>
    <col min="4643" max="4643" width="9.33203125" bestFit="1" customWidth="1"/>
    <col min="4644" max="4644" width="11.5546875" bestFit="1" customWidth="1"/>
    <col min="4645" max="4645" width="9.33203125" bestFit="1" customWidth="1"/>
    <col min="4646" max="4646" width="11.5546875" bestFit="1" customWidth="1"/>
    <col min="4647" max="4647" width="9.33203125" bestFit="1" customWidth="1"/>
    <col min="4648" max="4648" width="11.5546875" bestFit="1" customWidth="1"/>
    <col min="4649" max="4649" width="9.33203125" bestFit="1" customWidth="1"/>
    <col min="4650" max="4650" width="11.5546875" bestFit="1" customWidth="1"/>
    <col min="4651" max="4651" width="9.33203125" bestFit="1" customWidth="1"/>
    <col min="4652" max="4652" width="11.5546875" bestFit="1" customWidth="1"/>
    <col min="4653" max="4653" width="9.33203125" bestFit="1" customWidth="1"/>
    <col min="4654" max="4654" width="11.5546875" bestFit="1" customWidth="1"/>
    <col min="4655" max="4655" width="9.33203125" bestFit="1" customWidth="1"/>
    <col min="4656" max="4656" width="11.5546875" bestFit="1" customWidth="1"/>
    <col min="4657" max="4657" width="9.33203125" bestFit="1" customWidth="1"/>
    <col min="4658" max="4658" width="11.5546875" bestFit="1" customWidth="1"/>
    <col min="4659" max="4659" width="9.33203125" bestFit="1" customWidth="1"/>
    <col min="4867" max="4867" width="29.44140625" bestFit="1" customWidth="1"/>
    <col min="4868" max="4868" width="11.5546875" bestFit="1" customWidth="1"/>
    <col min="4869" max="4869" width="9.33203125" bestFit="1" customWidth="1"/>
    <col min="4870" max="4870" width="11.5546875" bestFit="1" customWidth="1"/>
    <col min="4871" max="4871" width="9.33203125" bestFit="1" customWidth="1"/>
    <col min="4872" max="4872" width="11.5546875" bestFit="1" customWidth="1"/>
    <col min="4873" max="4873" width="9.33203125" bestFit="1" customWidth="1"/>
    <col min="4874" max="4874" width="11.5546875" bestFit="1" customWidth="1"/>
    <col min="4875" max="4875" width="9.33203125" bestFit="1" customWidth="1"/>
    <col min="4876" max="4876" width="11.5546875" bestFit="1" customWidth="1"/>
    <col min="4877" max="4877" width="9.33203125" bestFit="1" customWidth="1"/>
    <col min="4878" max="4878" width="11.5546875" bestFit="1" customWidth="1"/>
    <col min="4879" max="4879" width="9.33203125" bestFit="1" customWidth="1"/>
    <col min="4880" max="4880" width="11.5546875" bestFit="1" customWidth="1"/>
    <col min="4881" max="4881" width="9.33203125" bestFit="1" customWidth="1"/>
    <col min="4882" max="4882" width="11.5546875" bestFit="1" customWidth="1"/>
    <col min="4883" max="4883" width="9.33203125" bestFit="1" customWidth="1"/>
    <col min="4884" max="4884" width="11.5546875" bestFit="1" customWidth="1"/>
    <col min="4885" max="4885" width="9.33203125" bestFit="1" customWidth="1"/>
    <col min="4886" max="4886" width="11.5546875" bestFit="1" customWidth="1"/>
    <col min="4887" max="4887" width="9.33203125" bestFit="1" customWidth="1"/>
    <col min="4888" max="4888" width="11.5546875" bestFit="1" customWidth="1"/>
    <col min="4889" max="4889" width="9.33203125" bestFit="1" customWidth="1"/>
    <col min="4890" max="4890" width="11.5546875" bestFit="1" customWidth="1"/>
    <col min="4891" max="4891" width="9.33203125" bestFit="1" customWidth="1"/>
    <col min="4892" max="4892" width="11.5546875" bestFit="1" customWidth="1"/>
    <col min="4893" max="4893" width="9.33203125" bestFit="1" customWidth="1"/>
    <col min="4894" max="4894" width="11.5546875" bestFit="1" customWidth="1"/>
    <col min="4895" max="4895" width="9.33203125" bestFit="1" customWidth="1"/>
    <col min="4896" max="4896" width="11.5546875" bestFit="1" customWidth="1"/>
    <col min="4897" max="4897" width="9.33203125" bestFit="1" customWidth="1"/>
    <col min="4898" max="4898" width="11.5546875" bestFit="1" customWidth="1"/>
    <col min="4899" max="4899" width="9.33203125" bestFit="1" customWidth="1"/>
    <col min="4900" max="4900" width="11.5546875" bestFit="1" customWidth="1"/>
    <col min="4901" max="4901" width="9.33203125" bestFit="1" customWidth="1"/>
    <col min="4902" max="4902" width="11.5546875" bestFit="1" customWidth="1"/>
    <col min="4903" max="4903" width="9.33203125" bestFit="1" customWidth="1"/>
    <col min="4904" max="4904" width="11.5546875" bestFit="1" customWidth="1"/>
    <col min="4905" max="4905" width="9.33203125" bestFit="1" customWidth="1"/>
    <col min="4906" max="4906" width="11.5546875" bestFit="1" customWidth="1"/>
    <col min="4907" max="4907" width="9.33203125" bestFit="1" customWidth="1"/>
    <col min="4908" max="4908" width="11.5546875" bestFit="1" customWidth="1"/>
    <col min="4909" max="4909" width="9.33203125" bestFit="1" customWidth="1"/>
    <col min="4910" max="4910" width="11.5546875" bestFit="1" customWidth="1"/>
    <col min="4911" max="4911" width="9.33203125" bestFit="1" customWidth="1"/>
    <col min="4912" max="4912" width="11.5546875" bestFit="1" customWidth="1"/>
    <col min="4913" max="4913" width="9.33203125" bestFit="1" customWidth="1"/>
    <col min="4914" max="4914" width="11.5546875" bestFit="1" customWidth="1"/>
    <col min="4915" max="4915" width="9.33203125" bestFit="1" customWidth="1"/>
    <col min="5123" max="5123" width="29.44140625" bestFit="1" customWidth="1"/>
    <col min="5124" max="5124" width="11.5546875" bestFit="1" customWidth="1"/>
    <col min="5125" max="5125" width="9.33203125" bestFit="1" customWidth="1"/>
    <col min="5126" max="5126" width="11.5546875" bestFit="1" customWidth="1"/>
    <col min="5127" max="5127" width="9.33203125" bestFit="1" customWidth="1"/>
    <col min="5128" max="5128" width="11.5546875" bestFit="1" customWidth="1"/>
    <col min="5129" max="5129" width="9.33203125" bestFit="1" customWidth="1"/>
    <col min="5130" max="5130" width="11.5546875" bestFit="1" customWidth="1"/>
    <col min="5131" max="5131" width="9.33203125" bestFit="1" customWidth="1"/>
    <col min="5132" max="5132" width="11.5546875" bestFit="1" customWidth="1"/>
    <col min="5133" max="5133" width="9.33203125" bestFit="1" customWidth="1"/>
    <col min="5134" max="5134" width="11.5546875" bestFit="1" customWidth="1"/>
    <col min="5135" max="5135" width="9.33203125" bestFit="1" customWidth="1"/>
    <col min="5136" max="5136" width="11.5546875" bestFit="1" customWidth="1"/>
    <col min="5137" max="5137" width="9.33203125" bestFit="1" customWidth="1"/>
    <col min="5138" max="5138" width="11.5546875" bestFit="1" customWidth="1"/>
    <col min="5139" max="5139" width="9.33203125" bestFit="1" customWidth="1"/>
    <col min="5140" max="5140" width="11.5546875" bestFit="1" customWidth="1"/>
    <col min="5141" max="5141" width="9.33203125" bestFit="1" customWidth="1"/>
    <col min="5142" max="5142" width="11.5546875" bestFit="1" customWidth="1"/>
    <col min="5143" max="5143" width="9.33203125" bestFit="1" customWidth="1"/>
    <col min="5144" max="5144" width="11.5546875" bestFit="1" customWidth="1"/>
    <col min="5145" max="5145" width="9.33203125" bestFit="1" customWidth="1"/>
    <col min="5146" max="5146" width="11.5546875" bestFit="1" customWidth="1"/>
    <col min="5147" max="5147" width="9.33203125" bestFit="1" customWidth="1"/>
    <col min="5148" max="5148" width="11.5546875" bestFit="1" customWidth="1"/>
    <col min="5149" max="5149" width="9.33203125" bestFit="1" customWidth="1"/>
    <col min="5150" max="5150" width="11.5546875" bestFit="1" customWidth="1"/>
    <col min="5151" max="5151" width="9.33203125" bestFit="1" customWidth="1"/>
    <col min="5152" max="5152" width="11.5546875" bestFit="1" customWidth="1"/>
    <col min="5153" max="5153" width="9.33203125" bestFit="1" customWidth="1"/>
    <col min="5154" max="5154" width="11.5546875" bestFit="1" customWidth="1"/>
    <col min="5155" max="5155" width="9.33203125" bestFit="1" customWidth="1"/>
    <col min="5156" max="5156" width="11.5546875" bestFit="1" customWidth="1"/>
    <col min="5157" max="5157" width="9.33203125" bestFit="1" customWidth="1"/>
    <col min="5158" max="5158" width="11.5546875" bestFit="1" customWidth="1"/>
    <col min="5159" max="5159" width="9.33203125" bestFit="1" customWidth="1"/>
    <col min="5160" max="5160" width="11.5546875" bestFit="1" customWidth="1"/>
    <col min="5161" max="5161" width="9.33203125" bestFit="1" customWidth="1"/>
    <col min="5162" max="5162" width="11.5546875" bestFit="1" customWidth="1"/>
    <col min="5163" max="5163" width="9.33203125" bestFit="1" customWidth="1"/>
    <col min="5164" max="5164" width="11.5546875" bestFit="1" customWidth="1"/>
    <col min="5165" max="5165" width="9.33203125" bestFit="1" customWidth="1"/>
    <col min="5166" max="5166" width="11.5546875" bestFit="1" customWidth="1"/>
    <col min="5167" max="5167" width="9.33203125" bestFit="1" customWidth="1"/>
    <col min="5168" max="5168" width="11.5546875" bestFit="1" customWidth="1"/>
    <col min="5169" max="5169" width="9.33203125" bestFit="1" customWidth="1"/>
    <col min="5170" max="5170" width="11.5546875" bestFit="1" customWidth="1"/>
    <col min="5171" max="5171" width="9.33203125" bestFit="1" customWidth="1"/>
    <col min="5379" max="5379" width="29.44140625" bestFit="1" customWidth="1"/>
    <col min="5380" max="5380" width="11.5546875" bestFit="1" customWidth="1"/>
    <col min="5381" max="5381" width="9.33203125" bestFit="1" customWidth="1"/>
    <col min="5382" max="5382" width="11.5546875" bestFit="1" customWidth="1"/>
    <col min="5383" max="5383" width="9.33203125" bestFit="1" customWidth="1"/>
    <col min="5384" max="5384" width="11.5546875" bestFit="1" customWidth="1"/>
    <col min="5385" max="5385" width="9.33203125" bestFit="1" customWidth="1"/>
    <col min="5386" max="5386" width="11.5546875" bestFit="1" customWidth="1"/>
    <col min="5387" max="5387" width="9.33203125" bestFit="1" customWidth="1"/>
    <col min="5388" max="5388" width="11.5546875" bestFit="1" customWidth="1"/>
    <col min="5389" max="5389" width="9.33203125" bestFit="1" customWidth="1"/>
    <col min="5390" max="5390" width="11.5546875" bestFit="1" customWidth="1"/>
    <col min="5391" max="5391" width="9.33203125" bestFit="1" customWidth="1"/>
    <col min="5392" max="5392" width="11.5546875" bestFit="1" customWidth="1"/>
    <col min="5393" max="5393" width="9.33203125" bestFit="1" customWidth="1"/>
    <col min="5394" max="5394" width="11.5546875" bestFit="1" customWidth="1"/>
    <col min="5395" max="5395" width="9.33203125" bestFit="1" customWidth="1"/>
    <col min="5396" max="5396" width="11.5546875" bestFit="1" customWidth="1"/>
    <col min="5397" max="5397" width="9.33203125" bestFit="1" customWidth="1"/>
    <col min="5398" max="5398" width="11.5546875" bestFit="1" customWidth="1"/>
    <col min="5399" max="5399" width="9.33203125" bestFit="1" customWidth="1"/>
    <col min="5400" max="5400" width="11.5546875" bestFit="1" customWidth="1"/>
    <col min="5401" max="5401" width="9.33203125" bestFit="1" customWidth="1"/>
    <col min="5402" max="5402" width="11.5546875" bestFit="1" customWidth="1"/>
    <col min="5403" max="5403" width="9.33203125" bestFit="1" customWidth="1"/>
    <col min="5404" max="5404" width="11.5546875" bestFit="1" customWidth="1"/>
    <col min="5405" max="5405" width="9.33203125" bestFit="1" customWidth="1"/>
    <col min="5406" max="5406" width="11.5546875" bestFit="1" customWidth="1"/>
    <col min="5407" max="5407" width="9.33203125" bestFit="1" customWidth="1"/>
    <col min="5408" max="5408" width="11.5546875" bestFit="1" customWidth="1"/>
    <col min="5409" max="5409" width="9.33203125" bestFit="1" customWidth="1"/>
    <col min="5410" max="5410" width="11.5546875" bestFit="1" customWidth="1"/>
    <col min="5411" max="5411" width="9.33203125" bestFit="1" customWidth="1"/>
    <col min="5412" max="5412" width="11.5546875" bestFit="1" customWidth="1"/>
    <col min="5413" max="5413" width="9.33203125" bestFit="1" customWidth="1"/>
    <col min="5414" max="5414" width="11.5546875" bestFit="1" customWidth="1"/>
    <col min="5415" max="5415" width="9.33203125" bestFit="1" customWidth="1"/>
    <col min="5416" max="5416" width="11.5546875" bestFit="1" customWidth="1"/>
    <col min="5417" max="5417" width="9.33203125" bestFit="1" customWidth="1"/>
    <col min="5418" max="5418" width="11.5546875" bestFit="1" customWidth="1"/>
    <col min="5419" max="5419" width="9.33203125" bestFit="1" customWidth="1"/>
    <col min="5420" max="5420" width="11.5546875" bestFit="1" customWidth="1"/>
    <col min="5421" max="5421" width="9.33203125" bestFit="1" customWidth="1"/>
    <col min="5422" max="5422" width="11.5546875" bestFit="1" customWidth="1"/>
    <col min="5423" max="5423" width="9.33203125" bestFit="1" customWidth="1"/>
    <col min="5424" max="5424" width="11.5546875" bestFit="1" customWidth="1"/>
    <col min="5425" max="5425" width="9.33203125" bestFit="1" customWidth="1"/>
    <col min="5426" max="5426" width="11.5546875" bestFit="1" customWidth="1"/>
    <col min="5427" max="5427" width="9.33203125" bestFit="1" customWidth="1"/>
    <col min="5635" max="5635" width="29.44140625" bestFit="1" customWidth="1"/>
    <col min="5636" max="5636" width="11.5546875" bestFit="1" customWidth="1"/>
    <col min="5637" max="5637" width="9.33203125" bestFit="1" customWidth="1"/>
    <col min="5638" max="5638" width="11.5546875" bestFit="1" customWidth="1"/>
    <col min="5639" max="5639" width="9.33203125" bestFit="1" customWidth="1"/>
    <col min="5640" max="5640" width="11.5546875" bestFit="1" customWidth="1"/>
    <col min="5641" max="5641" width="9.33203125" bestFit="1" customWidth="1"/>
    <col min="5642" max="5642" width="11.5546875" bestFit="1" customWidth="1"/>
    <col min="5643" max="5643" width="9.33203125" bestFit="1" customWidth="1"/>
    <col min="5644" max="5644" width="11.5546875" bestFit="1" customWidth="1"/>
    <col min="5645" max="5645" width="9.33203125" bestFit="1" customWidth="1"/>
    <col min="5646" max="5646" width="11.5546875" bestFit="1" customWidth="1"/>
    <col min="5647" max="5647" width="9.33203125" bestFit="1" customWidth="1"/>
    <col min="5648" max="5648" width="11.5546875" bestFit="1" customWidth="1"/>
    <col min="5649" max="5649" width="9.33203125" bestFit="1" customWidth="1"/>
    <col min="5650" max="5650" width="11.5546875" bestFit="1" customWidth="1"/>
    <col min="5651" max="5651" width="9.33203125" bestFit="1" customWidth="1"/>
    <col min="5652" max="5652" width="11.5546875" bestFit="1" customWidth="1"/>
    <col min="5653" max="5653" width="9.33203125" bestFit="1" customWidth="1"/>
    <col min="5654" max="5654" width="11.5546875" bestFit="1" customWidth="1"/>
    <col min="5655" max="5655" width="9.33203125" bestFit="1" customWidth="1"/>
    <col min="5656" max="5656" width="11.5546875" bestFit="1" customWidth="1"/>
    <col min="5657" max="5657" width="9.33203125" bestFit="1" customWidth="1"/>
    <col min="5658" max="5658" width="11.5546875" bestFit="1" customWidth="1"/>
    <col min="5659" max="5659" width="9.33203125" bestFit="1" customWidth="1"/>
    <col min="5660" max="5660" width="11.5546875" bestFit="1" customWidth="1"/>
    <col min="5661" max="5661" width="9.33203125" bestFit="1" customWidth="1"/>
    <col min="5662" max="5662" width="11.5546875" bestFit="1" customWidth="1"/>
    <col min="5663" max="5663" width="9.33203125" bestFit="1" customWidth="1"/>
    <col min="5664" max="5664" width="11.5546875" bestFit="1" customWidth="1"/>
    <col min="5665" max="5665" width="9.33203125" bestFit="1" customWidth="1"/>
    <col min="5666" max="5666" width="11.5546875" bestFit="1" customWidth="1"/>
    <col min="5667" max="5667" width="9.33203125" bestFit="1" customWidth="1"/>
    <col min="5668" max="5668" width="11.5546875" bestFit="1" customWidth="1"/>
    <col min="5669" max="5669" width="9.33203125" bestFit="1" customWidth="1"/>
    <col min="5670" max="5670" width="11.5546875" bestFit="1" customWidth="1"/>
    <col min="5671" max="5671" width="9.33203125" bestFit="1" customWidth="1"/>
    <col min="5672" max="5672" width="11.5546875" bestFit="1" customWidth="1"/>
    <col min="5673" max="5673" width="9.33203125" bestFit="1" customWidth="1"/>
    <col min="5674" max="5674" width="11.5546875" bestFit="1" customWidth="1"/>
    <col min="5675" max="5675" width="9.33203125" bestFit="1" customWidth="1"/>
    <col min="5676" max="5676" width="11.5546875" bestFit="1" customWidth="1"/>
    <col min="5677" max="5677" width="9.33203125" bestFit="1" customWidth="1"/>
    <col min="5678" max="5678" width="11.5546875" bestFit="1" customWidth="1"/>
    <col min="5679" max="5679" width="9.33203125" bestFit="1" customWidth="1"/>
    <col min="5680" max="5680" width="11.5546875" bestFit="1" customWidth="1"/>
    <col min="5681" max="5681" width="9.33203125" bestFit="1" customWidth="1"/>
    <col min="5682" max="5682" width="11.5546875" bestFit="1" customWidth="1"/>
    <col min="5683" max="5683" width="9.33203125" bestFit="1" customWidth="1"/>
    <col min="5891" max="5891" width="29.44140625" bestFit="1" customWidth="1"/>
    <col min="5892" max="5892" width="11.5546875" bestFit="1" customWidth="1"/>
    <col min="5893" max="5893" width="9.33203125" bestFit="1" customWidth="1"/>
    <col min="5894" max="5894" width="11.5546875" bestFit="1" customWidth="1"/>
    <col min="5895" max="5895" width="9.33203125" bestFit="1" customWidth="1"/>
    <col min="5896" max="5896" width="11.5546875" bestFit="1" customWidth="1"/>
    <col min="5897" max="5897" width="9.33203125" bestFit="1" customWidth="1"/>
    <col min="5898" max="5898" width="11.5546875" bestFit="1" customWidth="1"/>
    <col min="5899" max="5899" width="9.33203125" bestFit="1" customWidth="1"/>
    <col min="5900" max="5900" width="11.5546875" bestFit="1" customWidth="1"/>
    <col min="5901" max="5901" width="9.33203125" bestFit="1" customWidth="1"/>
    <col min="5902" max="5902" width="11.5546875" bestFit="1" customWidth="1"/>
    <col min="5903" max="5903" width="9.33203125" bestFit="1" customWidth="1"/>
    <col min="5904" max="5904" width="11.5546875" bestFit="1" customWidth="1"/>
    <col min="5905" max="5905" width="9.33203125" bestFit="1" customWidth="1"/>
    <col min="5906" max="5906" width="11.5546875" bestFit="1" customWidth="1"/>
    <col min="5907" max="5907" width="9.33203125" bestFit="1" customWidth="1"/>
    <col min="5908" max="5908" width="11.5546875" bestFit="1" customWidth="1"/>
    <col min="5909" max="5909" width="9.33203125" bestFit="1" customWidth="1"/>
    <col min="5910" max="5910" width="11.5546875" bestFit="1" customWidth="1"/>
    <col min="5911" max="5911" width="9.33203125" bestFit="1" customWidth="1"/>
    <col min="5912" max="5912" width="11.5546875" bestFit="1" customWidth="1"/>
    <col min="5913" max="5913" width="9.33203125" bestFit="1" customWidth="1"/>
    <col min="5914" max="5914" width="11.5546875" bestFit="1" customWidth="1"/>
    <col min="5915" max="5915" width="9.33203125" bestFit="1" customWidth="1"/>
    <col min="5916" max="5916" width="11.5546875" bestFit="1" customWidth="1"/>
    <col min="5917" max="5917" width="9.33203125" bestFit="1" customWidth="1"/>
    <col min="5918" max="5918" width="11.5546875" bestFit="1" customWidth="1"/>
    <col min="5919" max="5919" width="9.33203125" bestFit="1" customWidth="1"/>
    <col min="5920" max="5920" width="11.5546875" bestFit="1" customWidth="1"/>
    <col min="5921" max="5921" width="9.33203125" bestFit="1" customWidth="1"/>
    <col min="5922" max="5922" width="11.5546875" bestFit="1" customWidth="1"/>
    <col min="5923" max="5923" width="9.33203125" bestFit="1" customWidth="1"/>
    <col min="5924" max="5924" width="11.5546875" bestFit="1" customWidth="1"/>
    <col min="5925" max="5925" width="9.33203125" bestFit="1" customWidth="1"/>
    <col min="5926" max="5926" width="11.5546875" bestFit="1" customWidth="1"/>
    <col min="5927" max="5927" width="9.33203125" bestFit="1" customWidth="1"/>
    <col min="5928" max="5928" width="11.5546875" bestFit="1" customWidth="1"/>
    <col min="5929" max="5929" width="9.33203125" bestFit="1" customWidth="1"/>
    <col min="5930" max="5930" width="11.5546875" bestFit="1" customWidth="1"/>
    <col min="5931" max="5931" width="9.33203125" bestFit="1" customWidth="1"/>
    <col min="5932" max="5932" width="11.5546875" bestFit="1" customWidth="1"/>
    <col min="5933" max="5933" width="9.33203125" bestFit="1" customWidth="1"/>
    <col min="5934" max="5934" width="11.5546875" bestFit="1" customWidth="1"/>
    <col min="5935" max="5935" width="9.33203125" bestFit="1" customWidth="1"/>
    <col min="5936" max="5936" width="11.5546875" bestFit="1" customWidth="1"/>
    <col min="5937" max="5937" width="9.33203125" bestFit="1" customWidth="1"/>
    <col min="5938" max="5938" width="11.5546875" bestFit="1" customWidth="1"/>
    <col min="5939" max="5939" width="9.33203125" bestFit="1" customWidth="1"/>
    <col min="6147" max="6147" width="29.44140625" bestFit="1" customWidth="1"/>
    <col min="6148" max="6148" width="11.5546875" bestFit="1" customWidth="1"/>
    <col min="6149" max="6149" width="9.33203125" bestFit="1" customWidth="1"/>
    <col min="6150" max="6150" width="11.5546875" bestFit="1" customWidth="1"/>
    <col min="6151" max="6151" width="9.33203125" bestFit="1" customWidth="1"/>
    <col min="6152" max="6152" width="11.5546875" bestFit="1" customWidth="1"/>
    <col min="6153" max="6153" width="9.33203125" bestFit="1" customWidth="1"/>
    <col min="6154" max="6154" width="11.5546875" bestFit="1" customWidth="1"/>
    <col min="6155" max="6155" width="9.33203125" bestFit="1" customWidth="1"/>
    <col min="6156" max="6156" width="11.5546875" bestFit="1" customWidth="1"/>
    <col min="6157" max="6157" width="9.33203125" bestFit="1" customWidth="1"/>
    <col min="6158" max="6158" width="11.5546875" bestFit="1" customWidth="1"/>
    <col min="6159" max="6159" width="9.33203125" bestFit="1" customWidth="1"/>
    <col min="6160" max="6160" width="11.5546875" bestFit="1" customWidth="1"/>
    <col min="6161" max="6161" width="9.33203125" bestFit="1" customWidth="1"/>
    <col min="6162" max="6162" width="11.5546875" bestFit="1" customWidth="1"/>
    <col min="6163" max="6163" width="9.33203125" bestFit="1" customWidth="1"/>
    <col min="6164" max="6164" width="11.5546875" bestFit="1" customWidth="1"/>
    <col min="6165" max="6165" width="9.33203125" bestFit="1" customWidth="1"/>
    <col min="6166" max="6166" width="11.5546875" bestFit="1" customWidth="1"/>
    <col min="6167" max="6167" width="9.33203125" bestFit="1" customWidth="1"/>
    <col min="6168" max="6168" width="11.5546875" bestFit="1" customWidth="1"/>
    <col min="6169" max="6169" width="9.33203125" bestFit="1" customWidth="1"/>
    <col min="6170" max="6170" width="11.5546875" bestFit="1" customWidth="1"/>
    <col min="6171" max="6171" width="9.33203125" bestFit="1" customWidth="1"/>
    <col min="6172" max="6172" width="11.5546875" bestFit="1" customWidth="1"/>
    <col min="6173" max="6173" width="9.33203125" bestFit="1" customWidth="1"/>
    <col min="6174" max="6174" width="11.5546875" bestFit="1" customWidth="1"/>
    <col min="6175" max="6175" width="9.33203125" bestFit="1" customWidth="1"/>
    <col min="6176" max="6176" width="11.5546875" bestFit="1" customWidth="1"/>
    <col min="6177" max="6177" width="9.33203125" bestFit="1" customWidth="1"/>
    <col min="6178" max="6178" width="11.5546875" bestFit="1" customWidth="1"/>
    <col min="6179" max="6179" width="9.33203125" bestFit="1" customWidth="1"/>
    <col min="6180" max="6180" width="11.5546875" bestFit="1" customWidth="1"/>
    <col min="6181" max="6181" width="9.33203125" bestFit="1" customWidth="1"/>
    <col min="6182" max="6182" width="11.5546875" bestFit="1" customWidth="1"/>
    <col min="6183" max="6183" width="9.33203125" bestFit="1" customWidth="1"/>
    <col min="6184" max="6184" width="11.5546875" bestFit="1" customWidth="1"/>
    <col min="6185" max="6185" width="9.33203125" bestFit="1" customWidth="1"/>
    <col min="6186" max="6186" width="11.5546875" bestFit="1" customWidth="1"/>
    <col min="6187" max="6187" width="9.33203125" bestFit="1" customWidth="1"/>
    <col min="6188" max="6188" width="11.5546875" bestFit="1" customWidth="1"/>
    <col min="6189" max="6189" width="9.33203125" bestFit="1" customWidth="1"/>
    <col min="6190" max="6190" width="11.5546875" bestFit="1" customWidth="1"/>
    <col min="6191" max="6191" width="9.33203125" bestFit="1" customWidth="1"/>
    <col min="6192" max="6192" width="11.5546875" bestFit="1" customWidth="1"/>
    <col min="6193" max="6193" width="9.33203125" bestFit="1" customWidth="1"/>
    <col min="6194" max="6194" width="11.5546875" bestFit="1" customWidth="1"/>
    <col min="6195" max="6195" width="9.33203125" bestFit="1" customWidth="1"/>
    <col min="6403" max="6403" width="29.44140625" bestFit="1" customWidth="1"/>
    <col min="6404" max="6404" width="11.5546875" bestFit="1" customWidth="1"/>
    <col min="6405" max="6405" width="9.33203125" bestFit="1" customWidth="1"/>
    <col min="6406" max="6406" width="11.5546875" bestFit="1" customWidth="1"/>
    <col min="6407" max="6407" width="9.33203125" bestFit="1" customWidth="1"/>
    <col min="6408" max="6408" width="11.5546875" bestFit="1" customWidth="1"/>
    <col min="6409" max="6409" width="9.33203125" bestFit="1" customWidth="1"/>
    <col min="6410" max="6410" width="11.5546875" bestFit="1" customWidth="1"/>
    <col min="6411" max="6411" width="9.33203125" bestFit="1" customWidth="1"/>
    <col min="6412" max="6412" width="11.5546875" bestFit="1" customWidth="1"/>
    <col min="6413" max="6413" width="9.33203125" bestFit="1" customWidth="1"/>
    <col min="6414" max="6414" width="11.5546875" bestFit="1" customWidth="1"/>
    <col min="6415" max="6415" width="9.33203125" bestFit="1" customWidth="1"/>
    <col min="6416" max="6416" width="11.5546875" bestFit="1" customWidth="1"/>
    <col min="6417" max="6417" width="9.33203125" bestFit="1" customWidth="1"/>
    <col min="6418" max="6418" width="11.5546875" bestFit="1" customWidth="1"/>
    <col min="6419" max="6419" width="9.33203125" bestFit="1" customWidth="1"/>
    <col min="6420" max="6420" width="11.5546875" bestFit="1" customWidth="1"/>
    <col min="6421" max="6421" width="9.33203125" bestFit="1" customWidth="1"/>
    <col min="6422" max="6422" width="11.5546875" bestFit="1" customWidth="1"/>
    <col min="6423" max="6423" width="9.33203125" bestFit="1" customWidth="1"/>
    <col min="6424" max="6424" width="11.5546875" bestFit="1" customWidth="1"/>
    <col min="6425" max="6425" width="9.33203125" bestFit="1" customWidth="1"/>
    <col min="6426" max="6426" width="11.5546875" bestFit="1" customWidth="1"/>
    <col min="6427" max="6427" width="9.33203125" bestFit="1" customWidth="1"/>
    <col min="6428" max="6428" width="11.5546875" bestFit="1" customWidth="1"/>
    <col min="6429" max="6429" width="9.33203125" bestFit="1" customWidth="1"/>
    <col min="6430" max="6430" width="11.5546875" bestFit="1" customWidth="1"/>
    <col min="6431" max="6431" width="9.33203125" bestFit="1" customWidth="1"/>
    <col min="6432" max="6432" width="11.5546875" bestFit="1" customWidth="1"/>
    <col min="6433" max="6433" width="9.33203125" bestFit="1" customWidth="1"/>
    <col min="6434" max="6434" width="11.5546875" bestFit="1" customWidth="1"/>
    <col min="6435" max="6435" width="9.33203125" bestFit="1" customWidth="1"/>
    <col min="6436" max="6436" width="11.5546875" bestFit="1" customWidth="1"/>
    <col min="6437" max="6437" width="9.33203125" bestFit="1" customWidth="1"/>
    <col min="6438" max="6438" width="11.5546875" bestFit="1" customWidth="1"/>
    <col min="6439" max="6439" width="9.33203125" bestFit="1" customWidth="1"/>
    <col min="6440" max="6440" width="11.5546875" bestFit="1" customWidth="1"/>
    <col min="6441" max="6441" width="9.33203125" bestFit="1" customWidth="1"/>
    <col min="6442" max="6442" width="11.5546875" bestFit="1" customWidth="1"/>
    <col min="6443" max="6443" width="9.33203125" bestFit="1" customWidth="1"/>
    <col min="6444" max="6444" width="11.5546875" bestFit="1" customWidth="1"/>
    <col min="6445" max="6445" width="9.33203125" bestFit="1" customWidth="1"/>
    <col min="6446" max="6446" width="11.5546875" bestFit="1" customWidth="1"/>
    <col min="6447" max="6447" width="9.33203125" bestFit="1" customWidth="1"/>
    <col min="6448" max="6448" width="11.5546875" bestFit="1" customWidth="1"/>
    <col min="6449" max="6449" width="9.33203125" bestFit="1" customWidth="1"/>
    <col min="6450" max="6450" width="11.5546875" bestFit="1" customWidth="1"/>
    <col min="6451" max="6451" width="9.33203125" bestFit="1" customWidth="1"/>
    <col min="6659" max="6659" width="29.44140625" bestFit="1" customWidth="1"/>
    <col min="6660" max="6660" width="11.5546875" bestFit="1" customWidth="1"/>
    <col min="6661" max="6661" width="9.33203125" bestFit="1" customWidth="1"/>
    <col min="6662" max="6662" width="11.5546875" bestFit="1" customWidth="1"/>
    <col min="6663" max="6663" width="9.33203125" bestFit="1" customWidth="1"/>
    <col min="6664" max="6664" width="11.5546875" bestFit="1" customWidth="1"/>
    <col min="6665" max="6665" width="9.33203125" bestFit="1" customWidth="1"/>
    <col min="6666" max="6666" width="11.5546875" bestFit="1" customWidth="1"/>
    <col min="6667" max="6667" width="9.33203125" bestFit="1" customWidth="1"/>
    <col min="6668" max="6668" width="11.5546875" bestFit="1" customWidth="1"/>
    <col min="6669" max="6669" width="9.33203125" bestFit="1" customWidth="1"/>
    <col min="6670" max="6670" width="11.5546875" bestFit="1" customWidth="1"/>
    <col min="6671" max="6671" width="9.33203125" bestFit="1" customWidth="1"/>
    <col min="6672" max="6672" width="11.5546875" bestFit="1" customWidth="1"/>
    <col min="6673" max="6673" width="9.33203125" bestFit="1" customWidth="1"/>
    <col min="6674" max="6674" width="11.5546875" bestFit="1" customWidth="1"/>
    <col min="6675" max="6675" width="9.33203125" bestFit="1" customWidth="1"/>
    <col min="6676" max="6676" width="11.5546875" bestFit="1" customWidth="1"/>
    <col min="6677" max="6677" width="9.33203125" bestFit="1" customWidth="1"/>
    <col min="6678" max="6678" width="11.5546875" bestFit="1" customWidth="1"/>
    <col min="6679" max="6679" width="9.33203125" bestFit="1" customWidth="1"/>
    <col min="6680" max="6680" width="11.5546875" bestFit="1" customWidth="1"/>
    <col min="6681" max="6681" width="9.33203125" bestFit="1" customWidth="1"/>
    <col min="6682" max="6682" width="11.5546875" bestFit="1" customWidth="1"/>
    <col min="6683" max="6683" width="9.33203125" bestFit="1" customWidth="1"/>
    <col min="6684" max="6684" width="11.5546875" bestFit="1" customWidth="1"/>
    <col min="6685" max="6685" width="9.33203125" bestFit="1" customWidth="1"/>
    <col min="6686" max="6686" width="11.5546875" bestFit="1" customWidth="1"/>
    <col min="6687" max="6687" width="9.33203125" bestFit="1" customWidth="1"/>
    <col min="6688" max="6688" width="11.5546875" bestFit="1" customWidth="1"/>
    <col min="6689" max="6689" width="9.33203125" bestFit="1" customWidth="1"/>
    <col min="6690" max="6690" width="11.5546875" bestFit="1" customWidth="1"/>
    <col min="6691" max="6691" width="9.33203125" bestFit="1" customWidth="1"/>
    <col min="6692" max="6692" width="11.5546875" bestFit="1" customWidth="1"/>
    <col min="6693" max="6693" width="9.33203125" bestFit="1" customWidth="1"/>
    <col min="6694" max="6694" width="11.5546875" bestFit="1" customWidth="1"/>
    <col min="6695" max="6695" width="9.33203125" bestFit="1" customWidth="1"/>
    <col min="6696" max="6696" width="11.5546875" bestFit="1" customWidth="1"/>
    <col min="6697" max="6697" width="9.33203125" bestFit="1" customWidth="1"/>
    <col min="6698" max="6698" width="11.5546875" bestFit="1" customWidth="1"/>
    <col min="6699" max="6699" width="9.33203125" bestFit="1" customWidth="1"/>
    <col min="6700" max="6700" width="11.5546875" bestFit="1" customWidth="1"/>
    <col min="6701" max="6701" width="9.33203125" bestFit="1" customWidth="1"/>
    <col min="6702" max="6702" width="11.5546875" bestFit="1" customWidth="1"/>
    <col min="6703" max="6703" width="9.33203125" bestFit="1" customWidth="1"/>
    <col min="6704" max="6704" width="11.5546875" bestFit="1" customWidth="1"/>
    <col min="6705" max="6705" width="9.33203125" bestFit="1" customWidth="1"/>
    <col min="6706" max="6706" width="11.5546875" bestFit="1" customWidth="1"/>
    <col min="6707" max="6707" width="9.33203125" bestFit="1" customWidth="1"/>
    <col min="6915" max="6915" width="29.44140625" bestFit="1" customWidth="1"/>
    <col min="6916" max="6916" width="11.5546875" bestFit="1" customWidth="1"/>
    <col min="6917" max="6917" width="9.33203125" bestFit="1" customWidth="1"/>
    <col min="6918" max="6918" width="11.5546875" bestFit="1" customWidth="1"/>
    <col min="6919" max="6919" width="9.33203125" bestFit="1" customWidth="1"/>
    <col min="6920" max="6920" width="11.5546875" bestFit="1" customWidth="1"/>
    <col min="6921" max="6921" width="9.33203125" bestFit="1" customWidth="1"/>
    <col min="6922" max="6922" width="11.5546875" bestFit="1" customWidth="1"/>
    <col min="6923" max="6923" width="9.33203125" bestFit="1" customWidth="1"/>
    <col min="6924" max="6924" width="11.5546875" bestFit="1" customWidth="1"/>
    <col min="6925" max="6925" width="9.33203125" bestFit="1" customWidth="1"/>
    <col min="6926" max="6926" width="11.5546875" bestFit="1" customWidth="1"/>
    <col min="6927" max="6927" width="9.33203125" bestFit="1" customWidth="1"/>
    <col min="6928" max="6928" width="11.5546875" bestFit="1" customWidth="1"/>
    <col min="6929" max="6929" width="9.33203125" bestFit="1" customWidth="1"/>
    <col min="6930" max="6930" width="11.5546875" bestFit="1" customWidth="1"/>
    <col min="6931" max="6931" width="9.33203125" bestFit="1" customWidth="1"/>
    <col min="6932" max="6932" width="11.5546875" bestFit="1" customWidth="1"/>
    <col min="6933" max="6933" width="9.33203125" bestFit="1" customWidth="1"/>
    <col min="6934" max="6934" width="11.5546875" bestFit="1" customWidth="1"/>
    <col min="6935" max="6935" width="9.33203125" bestFit="1" customWidth="1"/>
    <col min="6936" max="6936" width="11.5546875" bestFit="1" customWidth="1"/>
    <col min="6937" max="6937" width="9.33203125" bestFit="1" customWidth="1"/>
    <col min="6938" max="6938" width="11.5546875" bestFit="1" customWidth="1"/>
    <col min="6939" max="6939" width="9.33203125" bestFit="1" customWidth="1"/>
    <col min="6940" max="6940" width="11.5546875" bestFit="1" customWidth="1"/>
    <col min="6941" max="6941" width="9.33203125" bestFit="1" customWidth="1"/>
    <col min="6942" max="6942" width="11.5546875" bestFit="1" customWidth="1"/>
    <col min="6943" max="6943" width="9.33203125" bestFit="1" customWidth="1"/>
    <col min="6944" max="6944" width="11.5546875" bestFit="1" customWidth="1"/>
    <col min="6945" max="6945" width="9.33203125" bestFit="1" customWidth="1"/>
    <col min="6946" max="6946" width="11.5546875" bestFit="1" customWidth="1"/>
    <col min="6947" max="6947" width="9.33203125" bestFit="1" customWidth="1"/>
    <col min="6948" max="6948" width="11.5546875" bestFit="1" customWidth="1"/>
    <col min="6949" max="6949" width="9.33203125" bestFit="1" customWidth="1"/>
    <col min="6950" max="6950" width="11.5546875" bestFit="1" customWidth="1"/>
    <col min="6951" max="6951" width="9.33203125" bestFit="1" customWidth="1"/>
    <col min="6952" max="6952" width="11.5546875" bestFit="1" customWidth="1"/>
    <col min="6953" max="6953" width="9.33203125" bestFit="1" customWidth="1"/>
    <col min="6954" max="6954" width="11.5546875" bestFit="1" customWidth="1"/>
    <col min="6955" max="6955" width="9.33203125" bestFit="1" customWidth="1"/>
    <col min="6956" max="6956" width="11.5546875" bestFit="1" customWidth="1"/>
    <col min="6957" max="6957" width="9.33203125" bestFit="1" customWidth="1"/>
    <col min="6958" max="6958" width="11.5546875" bestFit="1" customWidth="1"/>
    <col min="6959" max="6959" width="9.33203125" bestFit="1" customWidth="1"/>
    <col min="6960" max="6960" width="11.5546875" bestFit="1" customWidth="1"/>
    <col min="6961" max="6961" width="9.33203125" bestFit="1" customWidth="1"/>
    <col min="6962" max="6962" width="11.5546875" bestFit="1" customWidth="1"/>
    <col min="6963" max="6963" width="9.33203125" bestFit="1" customWidth="1"/>
    <col min="7171" max="7171" width="29.44140625" bestFit="1" customWidth="1"/>
    <col min="7172" max="7172" width="11.5546875" bestFit="1" customWidth="1"/>
    <col min="7173" max="7173" width="9.33203125" bestFit="1" customWidth="1"/>
    <col min="7174" max="7174" width="11.5546875" bestFit="1" customWidth="1"/>
    <col min="7175" max="7175" width="9.33203125" bestFit="1" customWidth="1"/>
    <col min="7176" max="7176" width="11.5546875" bestFit="1" customWidth="1"/>
    <col min="7177" max="7177" width="9.33203125" bestFit="1" customWidth="1"/>
    <col min="7178" max="7178" width="11.5546875" bestFit="1" customWidth="1"/>
    <col min="7179" max="7179" width="9.33203125" bestFit="1" customWidth="1"/>
    <col min="7180" max="7180" width="11.5546875" bestFit="1" customWidth="1"/>
    <col min="7181" max="7181" width="9.33203125" bestFit="1" customWidth="1"/>
    <col min="7182" max="7182" width="11.5546875" bestFit="1" customWidth="1"/>
    <col min="7183" max="7183" width="9.33203125" bestFit="1" customWidth="1"/>
    <col min="7184" max="7184" width="11.5546875" bestFit="1" customWidth="1"/>
    <col min="7185" max="7185" width="9.33203125" bestFit="1" customWidth="1"/>
    <col min="7186" max="7186" width="11.5546875" bestFit="1" customWidth="1"/>
    <col min="7187" max="7187" width="9.33203125" bestFit="1" customWidth="1"/>
    <col min="7188" max="7188" width="11.5546875" bestFit="1" customWidth="1"/>
    <col min="7189" max="7189" width="9.33203125" bestFit="1" customWidth="1"/>
    <col min="7190" max="7190" width="11.5546875" bestFit="1" customWidth="1"/>
    <col min="7191" max="7191" width="9.33203125" bestFit="1" customWidth="1"/>
    <col min="7192" max="7192" width="11.5546875" bestFit="1" customWidth="1"/>
    <col min="7193" max="7193" width="9.33203125" bestFit="1" customWidth="1"/>
    <col min="7194" max="7194" width="11.5546875" bestFit="1" customWidth="1"/>
    <col min="7195" max="7195" width="9.33203125" bestFit="1" customWidth="1"/>
    <col min="7196" max="7196" width="11.5546875" bestFit="1" customWidth="1"/>
    <col min="7197" max="7197" width="9.33203125" bestFit="1" customWidth="1"/>
    <col min="7198" max="7198" width="11.5546875" bestFit="1" customWidth="1"/>
    <col min="7199" max="7199" width="9.33203125" bestFit="1" customWidth="1"/>
    <col min="7200" max="7200" width="11.5546875" bestFit="1" customWidth="1"/>
    <col min="7201" max="7201" width="9.33203125" bestFit="1" customWidth="1"/>
    <col min="7202" max="7202" width="11.5546875" bestFit="1" customWidth="1"/>
    <col min="7203" max="7203" width="9.33203125" bestFit="1" customWidth="1"/>
    <col min="7204" max="7204" width="11.5546875" bestFit="1" customWidth="1"/>
    <col min="7205" max="7205" width="9.33203125" bestFit="1" customWidth="1"/>
    <col min="7206" max="7206" width="11.5546875" bestFit="1" customWidth="1"/>
    <col min="7207" max="7207" width="9.33203125" bestFit="1" customWidth="1"/>
    <col min="7208" max="7208" width="11.5546875" bestFit="1" customWidth="1"/>
    <col min="7209" max="7209" width="9.33203125" bestFit="1" customWidth="1"/>
    <col min="7210" max="7210" width="11.5546875" bestFit="1" customWidth="1"/>
    <col min="7211" max="7211" width="9.33203125" bestFit="1" customWidth="1"/>
    <col min="7212" max="7212" width="11.5546875" bestFit="1" customWidth="1"/>
    <col min="7213" max="7213" width="9.33203125" bestFit="1" customWidth="1"/>
    <col min="7214" max="7214" width="11.5546875" bestFit="1" customWidth="1"/>
    <col min="7215" max="7215" width="9.33203125" bestFit="1" customWidth="1"/>
    <col min="7216" max="7216" width="11.5546875" bestFit="1" customWidth="1"/>
    <col min="7217" max="7217" width="9.33203125" bestFit="1" customWidth="1"/>
    <col min="7218" max="7218" width="11.5546875" bestFit="1" customWidth="1"/>
    <col min="7219" max="7219" width="9.33203125" bestFit="1" customWidth="1"/>
    <col min="7427" max="7427" width="29.44140625" bestFit="1" customWidth="1"/>
    <col min="7428" max="7428" width="11.5546875" bestFit="1" customWidth="1"/>
    <col min="7429" max="7429" width="9.33203125" bestFit="1" customWidth="1"/>
    <col min="7430" max="7430" width="11.5546875" bestFit="1" customWidth="1"/>
    <col min="7431" max="7431" width="9.33203125" bestFit="1" customWidth="1"/>
    <col min="7432" max="7432" width="11.5546875" bestFit="1" customWidth="1"/>
    <col min="7433" max="7433" width="9.33203125" bestFit="1" customWidth="1"/>
    <col min="7434" max="7434" width="11.5546875" bestFit="1" customWidth="1"/>
    <col min="7435" max="7435" width="9.33203125" bestFit="1" customWidth="1"/>
    <col min="7436" max="7436" width="11.5546875" bestFit="1" customWidth="1"/>
    <col min="7437" max="7437" width="9.33203125" bestFit="1" customWidth="1"/>
    <col min="7438" max="7438" width="11.5546875" bestFit="1" customWidth="1"/>
    <col min="7439" max="7439" width="9.33203125" bestFit="1" customWidth="1"/>
    <col min="7440" max="7440" width="11.5546875" bestFit="1" customWidth="1"/>
    <col min="7441" max="7441" width="9.33203125" bestFit="1" customWidth="1"/>
    <col min="7442" max="7442" width="11.5546875" bestFit="1" customWidth="1"/>
    <col min="7443" max="7443" width="9.33203125" bestFit="1" customWidth="1"/>
    <col min="7444" max="7444" width="11.5546875" bestFit="1" customWidth="1"/>
    <col min="7445" max="7445" width="9.33203125" bestFit="1" customWidth="1"/>
    <col min="7446" max="7446" width="11.5546875" bestFit="1" customWidth="1"/>
    <col min="7447" max="7447" width="9.33203125" bestFit="1" customWidth="1"/>
    <col min="7448" max="7448" width="11.5546875" bestFit="1" customWidth="1"/>
    <col min="7449" max="7449" width="9.33203125" bestFit="1" customWidth="1"/>
    <col min="7450" max="7450" width="11.5546875" bestFit="1" customWidth="1"/>
    <col min="7451" max="7451" width="9.33203125" bestFit="1" customWidth="1"/>
    <col min="7452" max="7452" width="11.5546875" bestFit="1" customWidth="1"/>
    <col min="7453" max="7453" width="9.33203125" bestFit="1" customWidth="1"/>
    <col min="7454" max="7454" width="11.5546875" bestFit="1" customWidth="1"/>
    <col min="7455" max="7455" width="9.33203125" bestFit="1" customWidth="1"/>
    <col min="7456" max="7456" width="11.5546875" bestFit="1" customWidth="1"/>
    <col min="7457" max="7457" width="9.33203125" bestFit="1" customWidth="1"/>
    <col min="7458" max="7458" width="11.5546875" bestFit="1" customWidth="1"/>
    <col min="7459" max="7459" width="9.33203125" bestFit="1" customWidth="1"/>
    <col min="7460" max="7460" width="11.5546875" bestFit="1" customWidth="1"/>
    <col min="7461" max="7461" width="9.33203125" bestFit="1" customWidth="1"/>
    <col min="7462" max="7462" width="11.5546875" bestFit="1" customWidth="1"/>
    <col min="7463" max="7463" width="9.33203125" bestFit="1" customWidth="1"/>
    <col min="7464" max="7464" width="11.5546875" bestFit="1" customWidth="1"/>
    <col min="7465" max="7465" width="9.33203125" bestFit="1" customWidth="1"/>
    <col min="7466" max="7466" width="11.5546875" bestFit="1" customWidth="1"/>
    <col min="7467" max="7467" width="9.33203125" bestFit="1" customWidth="1"/>
    <col min="7468" max="7468" width="11.5546875" bestFit="1" customWidth="1"/>
    <col min="7469" max="7469" width="9.33203125" bestFit="1" customWidth="1"/>
    <col min="7470" max="7470" width="11.5546875" bestFit="1" customWidth="1"/>
    <col min="7471" max="7471" width="9.33203125" bestFit="1" customWidth="1"/>
    <col min="7472" max="7472" width="11.5546875" bestFit="1" customWidth="1"/>
    <col min="7473" max="7473" width="9.33203125" bestFit="1" customWidth="1"/>
    <col min="7474" max="7474" width="11.5546875" bestFit="1" customWidth="1"/>
    <col min="7475" max="7475" width="9.33203125" bestFit="1" customWidth="1"/>
    <col min="7683" max="7683" width="29.44140625" bestFit="1" customWidth="1"/>
    <col min="7684" max="7684" width="11.5546875" bestFit="1" customWidth="1"/>
    <col min="7685" max="7685" width="9.33203125" bestFit="1" customWidth="1"/>
    <col min="7686" max="7686" width="11.5546875" bestFit="1" customWidth="1"/>
    <col min="7687" max="7687" width="9.33203125" bestFit="1" customWidth="1"/>
    <col min="7688" max="7688" width="11.5546875" bestFit="1" customWidth="1"/>
    <col min="7689" max="7689" width="9.33203125" bestFit="1" customWidth="1"/>
    <col min="7690" max="7690" width="11.5546875" bestFit="1" customWidth="1"/>
    <col min="7691" max="7691" width="9.33203125" bestFit="1" customWidth="1"/>
    <col min="7692" max="7692" width="11.5546875" bestFit="1" customWidth="1"/>
    <col min="7693" max="7693" width="9.33203125" bestFit="1" customWidth="1"/>
    <col min="7694" max="7694" width="11.5546875" bestFit="1" customWidth="1"/>
    <col min="7695" max="7695" width="9.33203125" bestFit="1" customWidth="1"/>
    <col min="7696" max="7696" width="11.5546875" bestFit="1" customWidth="1"/>
    <col min="7697" max="7697" width="9.33203125" bestFit="1" customWidth="1"/>
    <col min="7698" max="7698" width="11.5546875" bestFit="1" customWidth="1"/>
    <col min="7699" max="7699" width="9.33203125" bestFit="1" customWidth="1"/>
    <col min="7700" max="7700" width="11.5546875" bestFit="1" customWidth="1"/>
    <col min="7701" max="7701" width="9.33203125" bestFit="1" customWidth="1"/>
    <col min="7702" max="7702" width="11.5546875" bestFit="1" customWidth="1"/>
    <col min="7703" max="7703" width="9.33203125" bestFit="1" customWidth="1"/>
    <col min="7704" max="7704" width="11.5546875" bestFit="1" customWidth="1"/>
    <col min="7705" max="7705" width="9.33203125" bestFit="1" customWidth="1"/>
    <col min="7706" max="7706" width="11.5546875" bestFit="1" customWidth="1"/>
    <col min="7707" max="7707" width="9.33203125" bestFit="1" customWidth="1"/>
    <col min="7708" max="7708" width="11.5546875" bestFit="1" customWidth="1"/>
    <col min="7709" max="7709" width="9.33203125" bestFit="1" customWidth="1"/>
    <col min="7710" max="7710" width="11.5546875" bestFit="1" customWidth="1"/>
    <col min="7711" max="7711" width="9.33203125" bestFit="1" customWidth="1"/>
    <col min="7712" max="7712" width="11.5546875" bestFit="1" customWidth="1"/>
    <col min="7713" max="7713" width="9.33203125" bestFit="1" customWidth="1"/>
    <col min="7714" max="7714" width="11.5546875" bestFit="1" customWidth="1"/>
    <col min="7715" max="7715" width="9.33203125" bestFit="1" customWidth="1"/>
    <col min="7716" max="7716" width="11.5546875" bestFit="1" customWidth="1"/>
    <col min="7717" max="7717" width="9.33203125" bestFit="1" customWidth="1"/>
    <col min="7718" max="7718" width="11.5546875" bestFit="1" customWidth="1"/>
    <col min="7719" max="7719" width="9.33203125" bestFit="1" customWidth="1"/>
    <col min="7720" max="7720" width="11.5546875" bestFit="1" customWidth="1"/>
    <col min="7721" max="7721" width="9.33203125" bestFit="1" customWidth="1"/>
    <col min="7722" max="7722" width="11.5546875" bestFit="1" customWidth="1"/>
    <col min="7723" max="7723" width="9.33203125" bestFit="1" customWidth="1"/>
    <col min="7724" max="7724" width="11.5546875" bestFit="1" customWidth="1"/>
    <col min="7725" max="7725" width="9.33203125" bestFit="1" customWidth="1"/>
    <col min="7726" max="7726" width="11.5546875" bestFit="1" customWidth="1"/>
    <col min="7727" max="7727" width="9.33203125" bestFit="1" customWidth="1"/>
    <col min="7728" max="7728" width="11.5546875" bestFit="1" customWidth="1"/>
    <col min="7729" max="7729" width="9.33203125" bestFit="1" customWidth="1"/>
    <col min="7730" max="7730" width="11.5546875" bestFit="1" customWidth="1"/>
    <col min="7731" max="7731" width="9.33203125" bestFit="1" customWidth="1"/>
    <col min="7939" max="7939" width="29.44140625" bestFit="1" customWidth="1"/>
    <col min="7940" max="7940" width="11.5546875" bestFit="1" customWidth="1"/>
    <col min="7941" max="7941" width="9.33203125" bestFit="1" customWidth="1"/>
    <col min="7942" max="7942" width="11.5546875" bestFit="1" customWidth="1"/>
    <col min="7943" max="7943" width="9.33203125" bestFit="1" customWidth="1"/>
    <col min="7944" max="7944" width="11.5546875" bestFit="1" customWidth="1"/>
    <col min="7945" max="7945" width="9.33203125" bestFit="1" customWidth="1"/>
    <col min="7946" max="7946" width="11.5546875" bestFit="1" customWidth="1"/>
    <col min="7947" max="7947" width="9.33203125" bestFit="1" customWidth="1"/>
    <col min="7948" max="7948" width="11.5546875" bestFit="1" customWidth="1"/>
    <col min="7949" max="7949" width="9.33203125" bestFit="1" customWidth="1"/>
    <col min="7950" max="7950" width="11.5546875" bestFit="1" customWidth="1"/>
    <col min="7951" max="7951" width="9.33203125" bestFit="1" customWidth="1"/>
    <col min="7952" max="7952" width="11.5546875" bestFit="1" customWidth="1"/>
    <col min="7953" max="7953" width="9.33203125" bestFit="1" customWidth="1"/>
    <col min="7954" max="7954" width="11.5546875" bestFit="1" customWidth="1"/>
    <col min="7955" max="7955" width="9.33203125" bestFit="1" customWidth="1"/>
    <col min="7956" max="7956" width="11.5546875" bestFit="1" customWidth="1"/>
    <col min="7957" max="7957" width="9.33203125" bestFit="1" customWidth="1"/>
    <col min="7958" max="7958" width="11.5546875" bestFit="1" customWidth="1"/>
    <col min="7959" max="7959" width="9.33203125" bestFit="1" customWidth="1"/>
    <col min="7960" max="7960" width="11.5546875" bestFit="1" customWidth="1"/>
    <col min="7961" max="7961" width="9.33203125" bestFit="1" customWidth="1"/>
    <col min="7962" max="7962" width="11.5546875" bestFit="1" customWidth="1"/>
    <col min="7963" max="7963" width="9.33203125" bestFit="1" customWidth="1"/>
    <col min="7964" max="7964" width="11.5546875" bestFit="1" customWidth="1"/>
    <col min="7965" max="7965" width="9.33203125" bestFit="1" customWidth="1"/>
    <col min="7966" max="7966" width="11.5546875" bestFit="1" customWidth="1"/>
    <col min="7967" max="7967" width="9.33203125" bestFit="1" customWidth="1"/>
    <col min="7968" max="7968" width="11.5546875" bestFit="1" customWidth="1"/>
    <col min="7969" max="7969" width="9.33203125" bestFit="1" customWidth="1"/>
    <col min="7970" max="7970" width="11.5546875" bestFit="1" customWidth="1"/>
    <col min="7971" max="7971" width="9.33203125" bestFit="1" customWidth="1"/>
    <col min="7972" max="7972" width="11.5546875" bestFit="1" customWidth="1"/>
    <col min="7973" max="7973" width="9.33203125" bestFit="1" customWidth="1"/>
    <col min="7974" max="7974" width="11.5546875" bestFit="1" customWidth="1"/>
    <col min="7975" max="7975" width="9.33203125" bestFit="1" customWidth="1"/>
    <col min="7976" max="7976" width="11.5546875" bestFit="1" customWidth="1"/>
    <col min="7977" max="7977" width="9.33203125" bestFit="1" customWidth="1"/>
    <col min="7978" max="7978" width="11.5546875" bestFit="1" customWidth="1"/>
    <col min="7979" max="7979" width="9.33203125" bestFit="1" customWidth="1"/>
    <col min="7980" max="7980" width="11.5546875" bestFit="1" customWidth="1"/>
    <col min="7981" max="7981" width="9.33203125" bestFit="1" customWidth="1"/>
    <col min="7982" max="7982" width="11.5546875" bestFit="1" customWidth="1"/>
    <col min="7983" max="7983" width="9.33203125" bestFit="1" customWidth="1"/>
    <col min="7984" max="7984" width="11.5546875" bestFit="1" customWidth="1"/>
    <col min="7985" max="7985" width="9.33203125" bestFit="1" customWidth="1"/>
    <col min="7986" max="7986" width="11.5546875" bestFit="1" customWidth="1"/>
    <col min="7987" max="7987" width="9.33203125" bestFit="1" customWidth="1"/>
    <col min="8195" max="8195" width="29.44140625" bestFit="1" customWidth="1"/>
    <col min="8196" max="8196" width="11.5546875" bestFit="1" customWidth="1"/>
    <col min="8197" max="8197" width="9.33203125" bestFit="1" customWidth="1"/>
    <col min="8198" max="8198" width="11.5546875" bestFit="1" customWidth="1"/>
    <col min="8199" max="8199" width="9.33203125" bestFit="1" customWidth="1"/>
    <col min="8200" max="8200" width="11.5546875" bestFit="1" customWidth="1"/>
    <col min="8201" max="8201" width="9.33203125" bestFit="1" customWidth="1"/>
    <col min="8202" max="8202" width="11.5546875" bestFit="1" customWidth="1"/>
    <col min="8203" max="8203" width="9.33203125" bestFit="1" customWidth="1"/>
    <col min="8204" max="8204" width="11.5546875" bestFit="1" customWidth="1"/>
    <col min="8205" max="8205" width="9.33203125" bestFit="1" customWidth="1"/>
    <col min="8206" max="8206" width="11.5546875" bestFit="1" customWidth="1"/>
    <col min="8207" max="8207" width="9.33203125" bestFit="1" customWidth="1"/>
    <col min="8208" max="8208" width="11.5546875" bestFit="1" customWidth="1"/>
    <col min="8209" max="8209" width="9.33203125" bestFit="1" customWidth="1"/>
    <col min="8210" max="8210" width="11.5546875" bestFit="1" customWidth="1"/>
    <col min="8211" max="8211" width="9.33203125" bestFit="1" customWidth="1"/>
    <col min="8212" max="8212" width="11.5546875" bestFit="1" customWidth="1"/>
    <col min="8213" max="8213" width="9.33203125" bestFit="1" customWidth="1"/>
    <col min="8214" max="8214" width="11.5546875" bestFit="1" customWidth="1"/>
    <col min="8215" max="8215" width="9.33203125" bestFit="1" customWidth="1"/>
    <col min="8216" max="8216" width="11.5546875" bestFit="1" customWidth="1"/>
    <col min="8217" max="8217" width="9.33203125" bestFit="1" customWidth="1"/>
    <col min="8218" max="8218" width="11.5546875" bestFit="1" customWidth="1"/>
    <col min="8219" max="8219" width="9.33203125" bestFit="1" customWidth="1"/>
    <col min="8220" max="8220" width="11.5546875" bestFit="1" customWidth="1"/>
    <col min="8221" max="8221" width="9.33203125" bestFit="1" customWidth="1"/>
    <col min="8222" max="8222" width="11.5546875" bestFit="1" customWidth="1"/>
    <col min="8223" max="8223" width="9.33203125" bestFit="1" customWidth="1"/>
    <col min="8224" max="8224" width="11.5546875" bestFit="1" customWidth="1"/>
    <col min="8225" max="8225" width="9.33203125" bestFit="1" customWidth="1"/>
    <col min="8226" max="8226" width="11.5546875" bestFit="1" customWidth="1"/>
    <col min="8227" max="8227" width="9.33203125" bestFit="1" customWidth="1"/>
    <col min="8228" max="8228" width="11.5546875" bestFit="1" customWidth="1"/>
    <col min="8229" max="8229" width="9.33203125" bestFit="1" customWidth="1"/>
    <col min="8230" max="8230" width="11.5546875" bestFit="1" customWidth="1"/>
    <col min="8231" max="8231" width="9.33203125" bestFit="1" customWidth="1"/>
    <col min="8232" max="8232" width="11.5546875" bestFit="1" customWidth="1"/>
    <col min="8233" max="8233" width="9.33203125" bestFit="1" customWidth="1"/>
    <col min="8234" max="8234" width="11.5546875" bestFit="1" customWidth="1"/>
    <col min="8235" max="8235" width="9.33203125" bestFit="1" customWidth="1"/>
    <col min="8236" max="8236" width="11.5546875" bestFit="1" customWidth="1"/>
    <col min="8237" max="8237" width="9.33203125" bestFit="1" customWidth="1"/>
    <col min="8238" max="8238" width="11.5546875" bestFit="1" customWidth="1"/>
    <col min="8239" max="8239" width="9.33203125" bestFit="1" customWidth="1"/>
    <col min="8240" max="8240" width="11.5546875" bestFit="1" customWidth="1"/>
    <col min="8241" max="8241" width="9.33203125" bestFit="1" customWidth="1"/>
    <col min="8242" max="8242" width="11.5546875" bestFit="1" customWidth="1"/>
    <col min="8243" max="8243" width="9.33203125" bestFit="1" customWidth="1"/>
    <col min="8451" max="8451" width="29.44140625" bestFit="1" customWidth="1"/>
    <col min="8452" max="8452" width="11.5546875" bestFit="1" customWidth="1"/>
    <col min="8453" max="8453" width="9.33203125" bestFit="1" customWidth="1"/>
    <col min="8454" max="8454" width="11.5546875" bestFit="1" customWidth="1"/>
    <col min="8455" max="8455" width="9.33203125" bestFit="1" customWidth="1"/>
    <col min="8456" max="8456" width="11.5546875" bestFit="1" customWidth="1"/>
    <col min="8457" max="8457" width="9.33203125" bestFit="1" customWidth="1"/>
    <col min="8458" max="8458" width="11.5546875" bestFit="1" customWidth="1"/>
    <col min="8459" max="8459" width="9.33203125" bestFit="1" customWidth="1"/>
    <col min="8460" max="8460" width="11.5546875" bestFit="1" customWidth="1"/>
    <col min="8461" max="8461" width="9.33203125" bestFit="1" customWidth="1"/>
    <col min="8462" max="8462" width="11.5546875" bestFit="1" customWidth="1"/>
    <col min="8463" max="8463" width="9.33203125" bestFit="1" customWidth="1"/>
    <col min="8464" max="8464" width="11.5546875" bestFit="1" customWidth="1"/>
    <col min="8465" max="8465" width="9.33203125" bestFit="1" customWidth="1"/>
    <col min="8466" max="8466" width="11.5546875" bestFit="1" customWidth="1"/>
    <col min="8467" max="8467" width="9.33203125" bestFit="1" customWidth="1"/>
    <col min="8468" max="8468" width="11.5546875" bestFit="1" customWidth="1"/>
    <col min="8469" max="8469" width="9.33203125" bestFit="1" customWidth="1"/>
    <col min="8470" max="8470" width="11.5546875" bestFit="1" customWidth="1"/>
    <col min="8471" max="8471" width="9.33203125" bestFit="1" customWidth="1"/>
    <col min="8472" max="8472" width="11.5546875" bestFit="1" customWidth="1"/>
    <col min="8473" max="8473" width="9.33203125" bestFit="1" customWidth="1"/>
    <col min="8474" max="8474" width="11.5546875" bestFit="1" customWidth="1"/>
    <col min="8475" max="8475" width="9.33203125" bestFit="1" customWidth="1"/>
    <col min="8476" max="8476" width="11.5546875" bestFit="1" customWidth="1"/>
    <col min="8477" max="8477" width="9.33203125" bestFit="1" customWidth="1"/>
    <col min="8478" max="8478" width="11.5546875" bestFit="1" customWidth="1"/>
    <col min="8479" max="8479" width="9.33203125" bestFit="1" customWidth="1"/>
    <col min="8480" max="8480" width="11.5546875" bestFit="1" customWidth="1"/>
    <col min="8481" max="8481" width="9.33203125" bestFit="1" customWidth="1"/>
    <col min="8482" max="8482" width="11.5546875" bestFit="1" customWidth="1"/>
    <col min="8483" max="8483" width="9.33203125" bestFit="1" customWidth="1"/>
    <col min="8484" max="8484" width="11.5546875" bestFit="1" customWidth="1"/>
    <col min="8485" max="8485" width="9.33203125" bestFit="1" customWidth="1"/>
    <col min="8486" max="8486" width="11.5546875" bestFit="1" customWidth="1"/>
    <col min="8487" max="8487" width="9.33203125" bestFit="1" customWidth="1"/>
    <col min="8488" max="8488" width="11.5546875" bestFit="1" customWidth="1"/>
    <col min="8489" max="8489" width="9.33203125" bestFit="1" customWidth="1"/>
    <col min="8490" max="8490" width="11.5546875" bestFit="1" customWidth="1"/>
    <col min="8491" max="8491" width="9.33203125" bestFit="1" customWidth="1"/>
    <col min="8492" max="8492" width="11.5546875" bestFit="1" customWidth="1"/>
    <col min="8493" max="8493" width="9.33203125" bestFit="1" customWidth="1"/>
    <col min="8494" max="8494" width="11.5546875" bestFit="1" customWidth="1"/>
    <col min="8495" max="8495" width="9.33203125" bestFit="1" customWidth="1"/>
    <col min="8496" max="8496" width="11.5546875" bestFit="1" customWidth="1"/>
    <col min="8497" max="8497" width="9.33203125" bestFit="1" customWidth="1"/>
    <col min="8498" max="8498" width="11.5546875" bestFit="1" customWidth="1"/>
    <col min="8499" max="8499" width="9.33203125" bestFit="1" customWidth="1"/>
    <col min="8707" max="8707" width="29.44140625" bestFit="1" customWidth="1"/>
    <col min="8708" max="8708" width="11.5546875" bestFit="1" customWidth="1"/>
    <col min="8709" max="8709" width="9.33203125" bestFit="1" customWidth="1"/>
    <col min="8710" max="8710" width="11.5546875" bestFit="1" customWidth="1"/>
    <col min="8711" max="8711" width="9.33203125" bestFit="1" customWidth="1"/>
    <col min="8712" max="8712" width="11.5546875" bestFit="1" customWidth="1"/>
    <col min="8713" max="8713" width="9.33203125" bestFit="1" customWidth="1"/>
    <col min="8714" max="8714" width="11.5546875" bestFit="1" customWidth="1"/>
    <col min="8715" max="8715" width="9.33203125" bestFit="1" customWidth="1"/>
    <col min="8716" max="8716" width="11.5546875" bestFit="1" customWidth="1"/>
    <col min="8717" max="8717" width="9.33203125" bestFit="1" customWidth="1"/>
    <col min="8718" max="8718" width="11.5546875" bestFit="1" customWidth="1"/>
    <col min="8719" max="8719" width="9.33203125" bestFit="1" customWidth="1"/>
    <col min="8720" max="8720" width="11.5546875" bestFit="1" customWidth="1"/>
    <col min="8721" max="8721" width="9.33203125" bestFit="1" customWidth="1"/>
    <col min="8722" max="8722" width="11.5546875" bestFit="1" customWidth="1"/>
    <col min="8723" max="8723" width="9.33203125" bestFit="1" customWidth="1"/>
    <col min="8724" max="8724" width="11.5546875" bestFit="1" customWidth="1"/>
    <col min="8725" max="8725" width="9.33203125" bestFit="1" customWidth="1"/>
    <col min="8726" max="8726" width="11.5546875" bestFit="1" customWidth="1"/>
    <col min="8727" max="8727" width="9.33203125" bestFit="1" customWidth="1"/>
    <col min="8728" max="8728" width="11.5546875" bestFit="1" customWidth="1"/>
    <col min="8729" max="8729" width="9.33203125" bestFit="1" customWidth="1"/>
    <col min="8730" max="8730" width="11.5546875" bestFit="1" customWidth="1"/>
    <col min="8731" max="8731" width="9.33203125" bestFit="1" customWidth="1"/>
    <col min="8732" max="8732" width="11.5546875" bestFit="1" customWidth="1"/>
    <col min="8733" max="8733" width="9.33203125" bestFit="1" customWidth="1"/>
    <col min="8734" max="8734" width="11.5546875" bestFit="1" customWidth="1"/>
    <col min="8735" max="8735" width="9.33203125" bestFit="1" customWidth="1"/>
    <col min="8736" max="8736" width="11.5546875" bestFit="1" customWidth="1"/>
    <col min="8737" max="8737" width="9.33203125" bestFit="1" customWidth="1"/>
    <col min="8738" max="8738" width="11.5546875" bestFit="1" customWidth="1"/>
    <col min="8739" max="8739" width="9.33203125" bestFit="1" customWidth="1"/>
    <col min="8740" max="8740" width="11.5546875" bestFit="1" customWidth="1"/>
    <col min="8741" max="8741" width="9.33203125" bestFit="1" customWidth="1"/>
    <col min="8742" max="8742" width="11.5546875" bestFit="1" customWidth="1"/>
    <col min="8743" max="8743" width="9.33203125" bestFit="1" customWidth="1"/>
    <col min="8744" max="8744" width="11.5546875" bestFit="1" customWidth="1"/>
    <col min="8745" max="8745" width="9.33203125" bestFit="1" customWidth="1"/>
    <col min="8746" max="8746" width="11.5546875" bestFit="1" customWidth="1"/>
    <col min="8747" max="8747" width="9.33203125" bestFit="1" customWidth="1"/>
    <col min="8748" max="8748" width="11.5546875" bestFit="1" customWidth="1"/>
    <col min="8749" max="8749" width="9.33203125" bestFit="1" customWidth="1"/>
    <col min="8750" max="8750" width="11.5546875" bestFit="1" customWidth="1"/>
    <col min="8751" max="8751" width="9.33203125" bestFit="1" customWidth="1"/>
    <col min="8752" max="8752" width="11.5546875" bestFit="1" customWidth="1"/>
    <col min="8753" max="8753" width="9.33203125" bestFit="1" customWidth="1"/>
    <col min="8754" max="8754" width="11.5546875" bestFit="1" customWidth="1"/>
    <col min="8755" max="8755" width="9.33203125" bestFit="1" customWidth="1"/>
    <col min="8963" max="8963" width="29.44140625" bestFit="1" customWidth="1"/>
    <col min="8964" max="8964" width="11.5546875" bestFit="1" customWidth="1"/>
    <col min="8965" max="8965" width="9.33203125" bestFit="1" customWidth="1"/>
    <col min="8966" max="8966" width="11.5546875" bestFit="1" customWidth="1"/>
    <col min="8967" max="8967" width="9.33203125" bestFit="1" customWidth="1"/>
    <col min="8968" max="8968" width="11.5546875" bestFit="1" customWidth="1"/>
    <col min="8969" max="8969" width="9.33203125" bestFit="1" customWidth="1"/>
    <col min="8970" max="8970" width="11.5546875" bestFit="1" customWidth="1"/>
    <col min="8971" max="8971" width="9.33203125" bestFit="1" customWidth="1"/>
    <col min="8972" max="8972" width="11.5546875" bestFit="1" customWidth="1"/>
    <col min="8973" max="8973" width="9.33203125" bestFit="1" customWidth="1"/>
    <col min="8974" max="8974" width="11.5546875" bestFit="1" customWidth="1"/>
    <col min="8975" max="8975" width="9.33203125" bestFit="1" customWidth="1"/>
    <col min="8976" max="8976" width="11.5546875" bestFit="1" customWidth="1"/>
    <col min="8977" max="8977" width="9.33203125" bestFit="1" customWidth="1"/>
    <col min="8978" max="8978" width="11.5546875" bestFit="1" customWidth="1"/>
    <col min="8979" max="8979" width="9.33203125" bestFit="1" customWidth="1"/>
    <col min="8980" max="8980" width="11.5546875" bestFit="1" customWidth="1"/>
    <col min="8981" max="8981" width="9.33203125" bestFit="1" customWidth="1"/>
    <col min="8982" max="8982" width="11.5546875" bestFit="1" customWidth="1"/>
    <col min="8983" max="8983" width="9.33203125" bestFit="1" customWidth="1"/>
    <col min="8984" max="8984" width="11.5546875" bestFit="1" customWidth="1"/>
    <col min="8985" max="8985" width="9.33203125" bestFit="1" customWidth="1"/>
    <col min="8986" max="8986" width="11.5546875" bestFit="1" customWidth="1"/>
    <col min="8987" max="8987" width="9.33203125" bestFit="1" customWidth="1"/>
    <col min="8988" max="8988" width="11.5546875" bestFit="1" customWidth="1"/>
    <col min="8989" max="8989" width="9.33203125" bestFit="1" customWidth="1"/>
    <col min="8990" max="8990" width="11.5546875" bestFit="1" customWidth="1"/>
    <col min="8991" max="8991" width="9.33203125" bestFit="1" customWidth="1"/>
    <col min="8992" max="8992" width="11.5546875" bestFit="1" customWidth="1"/>
    <col min="8993" max="8993" width="9.33203125" bestFit="1" customWidth="1"/>
    <col min="8994" max="8994" width="11.5546875" bestFit="1" customWidth="1"/>
    <col min="8995" max="8995" width="9.33203125" bestFit="1" customWidth="1"/>
    <col min="8996" max="8996" width="11.5546875" bestFit="1" customWidth="1"/>
    <col min="8997" max="8997" width="9.33203125" bestFit="1" customWidth="1"/>
    <col min="8998" max="8998" width="11.5546875" bestFit="1" customWidth="1"/>
    <col min="8999" max="8999" width="9.33203125" bestFit="1" customWidth="1"/>
    <col min="9000" max="9000" width="11.5546875" bestFit="1" customWidth="1"/>
    <col min="9001" max="9001" width="9.33203125" bestFit="1" customWidth="1"/>
    <col min="9002" max="9002" width="11.5546875" bestFit="1" customWidth="1"/>
    <col min="9003" max="9003" width="9.33203125" bestFit="1" customWidth="1"/>
    <col min="9004" max="9004" width="11.5546875" bestFit="1" customWidth="1"/>
    <col min="9005" max="9005" width="9.33203125" bestFit="1" customWidth="1"/>
    <col min="9006" max="9006" width="11.5546875" bestFit="1" customWidth="1"/>
    <col min="9007" max="9007" width="9.33203125" bestFit="1" customWidth="1"/>
    <col min="9008" max="9008" width="11.5546875" bestFit="1" customWidth="1"/>
    <col min="9009" max="9009" width="9.33203125" bestFit="1" customWidth="1"/>
    <col min="9010" max="9010" width="11.5546875" bestFit="1" customWidth="1"/>
    <col min="9011" max="9011" width="9.33203125" bestFit="1" customWidth="1"/>
    <col min="9219" max="9219" width="29.44140625" bestFit="1" customWidth="1"/>
    <col min="9220" max="9220" width="11.5546875" bestFit="1" customWidth="1"/>
    <col min="9221" max="9221" width="9.33203125" bestFit="1" customWidth="1"/>
    <col min="9222" max="9222" width="11.5546875" bestFit="1" customWidth="1"/>
    <col min="9223" max="9223" width="9.33203125" bestFit="1" customWidth="1"/>
    <col min="9224" max="9224" width="11.5546875" bestFit="1" customWidth="1"/>
    <col min="9225" max="9225" width="9.33203125" bestFit="1" customWidth="1"/>
    <col min="9226" max="9226" width="11.5546875" bestFit="1" customWidth="1"/>
    <col min="9227" max="9227" width="9.33203125" bestFit="1" customWidth="1"/>
    <col min="9228" max="9228" width="11.5546875" bestFit="1" customWidth="1"/>
    <col min="9229" max="9229" width="9.33203125" bestFit="1" customWidth="1"/>
    <col min="9230" max="9230" width="11.5546875" bestFit="1" customWidth="1"/>
    <col min="9231" max="9231" width="9.33203125" bestFit="1" customWidth="1"/>
    <col min="9232" max="9232" width="11.5546875" bestFit="1" customWidth="1"/>
    <col min="9233" max="9233" width="9.33203125" bestFit="1" customWidth="1"/>
    <col min="9234" max="9234" width="11.5546875" bestFit="1" customWidth="1"/>
    <col min="9235" max="9235" width="9.33203125" bestFit="1" customWidth="1"/>
    <col min="9236" max="9236" width="11.5546875" bestFit="1" customWidth="1"/>
    <col min="9237" max="9237" width="9.33203125" bestFit="1" customWidth="1"/>
    <col min="9238" max="9238" width="11.5546875" bestFit="1" customWidth="1"/>
    <col min="9239" max="9239" width="9.33203125" bestFit="1" customWidth="1"/>
    <col min="9240" max="9240" width="11.5546875" bestFit="1" customWidth="1"/>
    <col min="9241" max="9241" width="9.33203125" bestFit="1" customWidth="1"/>
    <col min="9242" max="9242" width="11.5546875" bestFit="1" customWidth="1"/>
    <col min="9243" max="9243" width="9.33203125" bestFit="1" customWidth="1"/>
    <col min="9244" max="9244" width="11.5546875" bestFit="1" customWidth="1"/>
    <col min="9245" max="9245" width="9.33203125" bestFit="1" customWidth="1"/>
    <col min="9246" max="9246" width="11.5546875" bestFit="1" customWidth="1"/>
    <col min="9247" max="9247" width="9.33203125" bestFit="1" customWidth="1"/>
    <col min="9248" max="9248" width="11.5546875" bestFit="1" customWidth="1"/>
    <col min="9249" max="9249" width="9.33203125" bestFit="1" customWidth="1"/>
    <col min="9250" max="9250" width="11.5546875" bestFit="1" customWidth="1"/>
    <col min="9251" max="9251" width="9.33203125" bestFit="1" customWidth="1"/>
    <col min="9252" max="9252" width="11.5546875" bestFit="1" customWidth="1"/>
    <col min="9253" max="9253" width="9.33203125" bestFit="1" customWidth="1"/>
    <col min="9254" max="9254" width="11.5546875" bestFit="1" customWidth="1"/>
    <col min="9255" max="9255" width="9.33203125" bestFit="1" customWidth="1"/>
    <col min="9256" max="9256" width="11.5546875" bestFit="1" customWidth="1"/>
    <col min="9257" max="9257" width="9.33203125" bestFit="1" customWidth="1"/>
    <col min="9258" max="9258" width="11.5546875" bestFit="1" customWidth="1"/>
    <col min="9259" max="9259" width="9.33203125" bestFit="1" customWidth="1"/>
    <col min="9260" max="9260" width="11.5546875" bestFit="1" customWidth="1"/>
    <col min="9261" max="9261" width="9.33203125" bestFit="1" customWidth="1"/>
    <col min="9262" max="9262" width="11.5546875" bestFit="1" customWidth="1"/>
    <col min="9263" max="9263" width="9.33203125" bestFit="1" customWidth="1"/>
    <col min="9264" max="9264" width="11.5546875" bestFit="1" customWidth="1"/>
    <col min="9265" max="9265" width="9.33203125" bestFit="1" customWidth="1"/>
    <col min="9266" max="9266" width="11.5546875" bestFit="1" customWidth="1"/>
    <col min="9267" max="9267" width="9.33203125" bestFit="1" customWidth="1"/>
    <col min="9475" max="9475" width="29.44140625" bestFit="1" customWidth="1"/>
    <col min="9476" max="9476" width="11.5546875" bestFit="1" customWidth="1"/>
    <col min="9477" max="9477" width="9.33203125" bestFit="1" customWidth="1"/>
    <col min="9478" max="9478" width="11.5546875" bestFit="1" customWidth="1"/>
    <col min="9479" max="9479" width="9.33203125" bestFit="1" customWidth="1"/>
    <col min="9480" max="9480" width="11.5546875" bestFit="1" customWidth="1"/>
    <col min="9481" max="9481" width="9.33203125" bestFit="1" customWidth="1"/>
    <col min="9482" max="9482" width="11.5546875" bestFit="1" customWidth="1"/>
    <col min="9483" max="9483" width="9.33203125" bestFit="1" customWidth="1"/>
    <col min="9484" max="9484" width="11.5546875" bestFit="1" customWidth="1"/>
    <col min="9485" max="9485" width="9.33203125" bestFit="1" customWidth="1"/>
    <col min="9486" max="9486" width="11.5546875" bestFit="1" customWidth="1"/>
    <col min="9487" max="9487" width="9.33203125" bestFit="1" customWidth="1"/>
    <col min="9488" max="9488" width="11.5546875" bestFit="1" customWidth="1"/>
    <col min="9489" max="9489" width="9.33203125" bestFit="1" customWidth="1"/>
    <col min="9490" max="9490" width="11.5546875" bestFit="1" customWidth="1"/>
    <col min="9491" max="9491" width="9.33203125" bestFit="1" customWidth="1"/>
    <col min="9492" max="9492" width="11.5546875" bestFit="1" customWidth="1"/>
    <col min="9493" max="9493" width="9.33203125" bestFit="1" customWidth="1"/>
    <col min="9494" max="9494" width="11.5546875" bestFit="1" customWidth="1"/>
    <col min="9495" max="9495" width="9.33203125" bestFit="1" customWidth="1"/>
    <col min="9496" max="9496" width="11.5546875" bestFit="1" customWidth="1"/>
    <col min="9497" max="9497" width="9.33203125" bestFit="1" customWidth="1"/>
    <col min="9498" max="9498" width="11.5546875" bestFit="1" customWidth="1"/>
    <col min="9499" max="9499" width="9.33203125" bestFit="1" customWidth="1"/>
    <col min="9500" max="9500" width="11.5546875" bestFit="1" customWidth="1"/>
    <col min="9501" max="9501" width="9.33203125" bestFit="1" customWidth="1"/>
    <col min="9502" max="9502" width="11.5546875" bestFit="1" customWidth="1"/>
    <col min="9503" max="9503" width="9.33203125" bestFit="1" customWidth="1"/>
    <col min="9504" max="9504" width="11.5546875" bestFit="1" customWidth="1"/>
    <col min="9505" max="9505" width="9.33203125" bestFit="1" customWidth="1"/>
    <col min="9506" max="9506" width="11.5546875" bestFit="1" customWidth="1"/>
    <col min="9507" max="9507" width="9.33203125" bestFit="1" customWidth="1"/>
    <col min="9508" max="9508" width="11.5546875" bestFit="1" customWidth="1"/>
    <col min="9509" max="9509" width="9.33203125" bestFit="1" customWidth="1"/>
    <col min="9510" max="9510" width="11.5546875" bestFit="1" customWidth="1"/>
    <col min="9511" max="9511" width="9.33203125" bestFit="1" customWidth="1"/>
    <col min="9512" max="9512" width="11.5546875" bestFit="1" customWidth="1"/>
    <col min="9513" max="9513" width="9.33203125" bestFit="1" customWidth="1"/>
    <col min="9514" max="9514" width="11.5546875" bestFit="1" customWidth="1"/>
    <col min="9515" max="9515" width="9.33203125" bestFit="1" customWidth="1"/>
    <col min="9516" max="9516" width="11.5546875" bestFit="1" customWidth="1"/>
    <col min="9517" max="9517" width="9.33203125" bestFit="1" customWidth="1"/>
    <col min="9518" max="9518" width="11.5546875" bestFit="1" customWidth="1"/>
    <col min="9519" max="9519" width="9.33203125" bestFit="1" customWidth="1"/>
    <col min="9520" max="9520" width="11.5546875" bestFit="1" customWidth="1"/>
    <col min="9521" max="9521" width="9.33203125" bestFit="1" customWidth="1"/>
    <col min="9522" max="9522" width="11.5546875" bestFit="1" customWidth="1"/>
    <col min="9523" max="9523" width="9.33203125" bestFit="1" customWidth="1"/>
    <col min="9731" max="9731" width="29.44140625" bestFit="1" customWidth="1"/>
    <col min="9732" max="9732" width="11.5546875" bestFit="1" customWidth="1"/>
    <col min="9733" max="9733" width="9.33203125" bestFit="1" customWidth="1"/>
    <col min="9734" max="9734" width="11.5546875" bestFit="1" customWidth="1"/>
    <col min="9735" max="9735" width="9.33203125" bestFit="1" customWidth="1"/>
    <col min="9736" max="9736" width="11.5546875" bestFit="1" customWidth="1"/>
    <col min="9737" max="9737" width="9.33203125" bestFit="1" customWidth="1"/>
    <col min="9738" max="9738" width="11.5546875" bestFit="1" customWidth="1"/>
    <col min="9739" max="9739" width="9.33203125" bestFit="1" customWidth="1"/>
    <col min="9740" max="9740" width="11.5546875" bestFit="1" customWidth="1"/>
    <col min="9741" max="9741" width="9.33203125" bestFit="1" customWidth="1"/>
    <col min="9742" max="9742" width="11.5546875" bestFit="1" customWidth="1"/>
    <col min="9743" max="9743" width="9.33203125" bestFit="1" customWidth="1"/>
    <col min="9744" max="9744" width="11.5546875" bestFit="1" customWidth="1"/>
    <col min="9745" max="9745" width="9.33203125" bestFit="1" customWidth="1"/>
    <col min="9746" max="9746" width="11.5546875" bestFit="1" customWidth="1"/>
    <col min="9747" max="9747" width="9.33203125" bestFit="1" customWidth="1"/>
    <col min="9748" max="9748" width="11.5546875" bestFit="1" customWidth="1"/>
    <col min="9749" max="9749" width="9.33203125" bestFit="1" customWidth="1"/>
    <col min="9750" max="9750" width="11.5546875" bestFit="1" customWidth="1"/>
    <col min="9751" max="9751" width="9.33203125" bestFit="1" customWidth="1"/>
    <col min="9752" max="9752" width="11.5546875" bestFit="1" customWidth="1"/>
    <col min="9753" max="9753" width="9.33203125" bestFit="1" customWidth="1"/>
    <col min="9754" max="9754" width="11.5546875" bestFit="1" customWidth="1"/>
    <col min="9755" max="9755" width="9.33203125" bestFit="1" customWidth="1"/>
    <col min="9756" max="9756" width="11.5546875" bestFit="1" customWidth="1"/>
    <col min="9757" max="9757" width="9.33203125" bestFit="1" customWidth="1"/>
    <col min="9758" max="9758" width="11.5546875" bestFit="1" customWidth="1"/>
    <col min="9759" max="9759" width="9.33203125" bestFit="1" customWidth="1"/>
    <col min="9760" max="9760" width="11.5546875" bestFit="1" customWidth="1"/>
    <col min="9761" max="9761" width="9.33203125" bestFit="1" customWidth="1"/>
    <col min="9762" max="9762" width="11.5546875" bestFit="1" customWidth="1"/>
    <col min="9763" max="9763" width="9.33203125" bestFit="1" customWidth="1"/>
    <col min="9764" max="9764" width="11.5546875" bestFit="1" customWidth="1"/>
    <col min="9765" max="9765" width="9.33203125" bestFit="1" customWidth="1"/>
    <col min="9766" max="9766" width="11.5546875" bestFit="1" customWidth="1"/>
    <col min="9767" max="9767" width="9.33203125" bestFit="1" customWidth="1"/>
    <col min="9768" max="9768" width="11.5546875" bestFit="1" customWidth="1"/>
    <col min="9769" max="9769" width="9.33203125" bestFit="1" customWidth="1"/>
    <col min="9770" max="9770" width="11.5546875" bestFit="1" customWidth="1"/>
    <col min="9771" max="9771" width="9.33203125" bestFit="1" customWidth="1"/>
    <col min="9772" max="9772" width="11.5546875" bestFit="1" customWidth="1"/>
    <col min="9773" max="9773" width="9.33203125" bestFit="1" customWidth="1"/>
    <col min="9774" max="9774" width="11.5546875" bestFit="1" customWidth="1"/>
    <col min="9775" max="9775" width="9.33203125" bestFit="1" customWidth="1"/>
    <col min="9776" max="9776" width="11.5546875" bestFit="1" customWidth="1"/>
    <col min="9777" max="9777" width="9.33203125" bestFit="1" customWidth="1"/>
    <col min="9778" max="9778" width="11.5546875" bestFit="1" customWidth="1"/>
    <col min="9779" max="9779" width="9.33203125" bestFit="1" customWidth="1"/>
    <col min="9987" max="9987" width="29.44140625" bestFit="1" customWidth="1"/>
    <col min="9988" max="9988" width="11.5546875" bestFit="1" customWidth="1"/>
    <col min="9989" max="9989" width="9.33203125" bestFit="1" customWidth="1"/>
    <col min="9990" max="9990" width="11.5546875" bestFit="1" customWidth="1"/>
    <col min="9991" max="9991" width="9.33203125" bestFit="1" customWidth="1"/>
    <col min="9992" max="9992" width="11.5546875" bestFit="1" customWidth="1"/>
    <col min="9993" max="9993" width="9.33203125" bestFit="1" customWidth="1"/>
    <col min="9994" max="9994" width="11.5546875" bestFit="1" customWidth="1"/>
    <col min="9995" max="9995" width="9.33203125" bestFit="1" customWidth="1"/>
    <col min="9996" max="9996" width="11.5546875" bestFit="1" customWidth="1"/>
    <col min="9997" max="9997" width="9.33203125" bestFit="1" customWidth="1"/>
    <col min="9998" max="9998" width="11.5546875" bestFit="1" customWidth="1"/>
    <col min="9999" max="9999" width="9.33203125" bestFit="1" customWidth="1"/>
    <col min="10000" max="10000" width="11.5546875" bestFit="1" customWidth="1"/>
    <col min="10001" max="10001" width="9.33203125" bestFit="1" customWidth="1"/>
    <col min="10002" max="10002" width="11.5546875" bestFit="1" customWidth="1"/>
    <col min="10003" max="10003" width="9.33203125" bestFit="1" customWidth="1"/>
    <col min="10004" max="10004" width="11.5546875" bestFit="1" customWidth="1"/>
    <col min="10005" max="10005" width="9.33203125" bestFit="1" customWidth="1"/>
    <col min="10006" max="10006" width="11.5546875" bestFit="1" customWidth="1"/>
    <col min="10007" max="10007" width="9.33203125" bestFit="1" customWidth="1"/>
    <col min="10008" max="10008" width="11.5546875" bestFit="1" customWidth="1"/>
    <col min="10009" max="10009" width="9.33203125" bestFit="1" customWidth="1"/>
    <col min="10010" max="10010" width="11.5546875" bestFit="1" customWidth="1"/>
    <col min="10011" max="10011" width="9.33203125" bestFit="1" customWidth="1"/>
    <col min="10012" max="10012" width="11.5546875" bestFit="1" customWidth="1"/>
    <col min="10013" max="10013" width="9.33203125" bestFit="1" customWidth="1"/>
    <col min="10014" max="10014" width="11.5546875" bestFit="1" customWidth="1"/>
    <col min="10015" max="10015" width="9.33203125" bestFit="1" customWidth="1"/>
    <col min="10016" max="10016" width="11.5546875" bestFit="1" customWidth="1"/>
    <col min="10017" max="10017" width="9.33203125" bestFit="1" customWidth="1"/>
    <col min="10018" max="10018" width="11.5546875" bestFit="1" customWidth="1"/>
    <col min="10019" max="10019" width="9.33203125" bestFit="1" customWidth="1"/>
    <col min="10020" max="10020" width="11.5546875" bestFit="1" customWidth="1"/>
    <col min="10021" max="10021" width="9.33203125" bestFit="1" customWidth="1"/>
    <col min="10022" max="10022" width="11.5546875" bestFit="1" customWidth="1"/>
    <col min="10023" max="10023" width="9.33203125" bestFit="1" customWidth="1"/>
    <col min="10024" max="10024" width="11.5546875" bestFit="1" customWidth="1"/>
    <col min="10025" max="10025" width="9.33203125" bestFit="1" customWidth="1"/>
    <col min="10026" max="10026" width="11.5546875" bestFit="1" customWidth="1"/>
    <col min="10027" max="10027" width="9.33203125" bestFit="1" customWidth="1"/>
    <col min="10028" max="10028" width="11.5546875" bestFit="1" customWidth="1"/>
    <col min="10029" max="10029" width="9.33203125" bestFit="1" customWidth="1"/>
    <col min="10030" max="10030" width="11.5546875" bestFit="1" customWidth="1"/>
    <col min="10031" max="10031" width="9.33203125" bestFit="1" customWidth="1"/>
    <col min="10032" max="10032" width="11.5546875" bestFit="1" customWidth="1"/>
    <col min="10033" max="10033" width="9.33203125" bestFit="1" customWidth="1"/>
    <col min="10034" max="10034" width="11.5546875" bestFit="1" customWidth="1"/>
    <col min="10035" max="10035" width="9.33203125" bestFit="1" customWidth="1"/>
    <col min="10243" max="10243" width="29.44140625" bestFit="1" customWidth="1"/>
    <col min="10244" max="10244" width="11.5546875" bestFit="1" customWidth="1"/>
    <col min="10245" max="10245" width="9.33203125" bestFit="1" customWidth="1"/>
    <col min="10246" max="10246" width="11.5546875" bestFit="1" customWidth="1"/>
    <col min="10247" max="10247" width="9.33203125" bestFit="1" customWidth="1"/>
    <col min="10248" max="10248" width="11.5546875" bestFit="1" customWidth="1"/>
    <col min="10249" max="10249" width="9.33203125" bestFit="1" customWidth="1"/>
    <col min="10250" max="10250" width="11.5546875" bestFit="1" customWidth="1"/>
    <col min="10251" max="10251" width="9.33203125" bestFit="1" customWidth="1"/>
    <col min="10252" max="10252" width="11.5546875" bestFit="1" customWidth="1"/>
    <col min="10253" max="10253" width="9.33203125" bestFit="1" customWidth="1"/>
    <col min="10254" max="10254" width="11.5546875" bestFit="1" customWidth="1"/>
    <col min="10255" max="10255" width="9.33203125" bestFit="1" customWidth="1"/>
    <col min="10256" max="10256" width="11.5546875" bestFit="1" customWidth="1"/>
    <col min="10257" max="10257" width="9.33203125" bestFit="1" customWidth="1"/>
    <col min="10258" max="10258" width="11.5546875" bestFit="1" customWidth="1"/>
    <col min="10259" max="10259" width="9.33203125" bestFit="1" customWidth="1"/>
    <col min="10260" max="10260" width="11.5546875" bestFit="1" customWidth="1"/>
    <col min="10261" max="10261" width="9.33203125" bestFit="1" customWidth="1"/>
    <col min="10262" max="10262" width="11.5546875" bestFit="1" customWidth="1"/>
    <col min="10263" max="10263" width="9.33203125" bestFit="1" customWidth="1"/>
    <col min="10264" max="10264" width="11.5546875" bestFit="1" customWidth="1"/>
    <col min="10265" max="10265" width="9.33203125" bestFit="1" customWidth="1"/>
    <col min="10266" max="10266" width="11.5546875" bestFit="1" customWidth="1"/>
    <col min="10267" max="10267" width="9.33203125" bestFit="1" customWidth="1"/>
    <col min="10268" max="10268" width="11.5546875" bestFit="1" customWidth="1"/>
    <col min="10269" max="10269" width="9.33203125" bestFit="1" customWidth="1"/>
    <col min="10270" max="10270" width="11.5546875" bestFit="1" customWidth="1"/>
    <col min="10271" max="10271" width="9.33203125" bestFit="1" customWidth="1"/>
    <col min="10272" max="10272" width="11.5546875" bestFit="1" customWidth="1"/>
    <col min="10273" max="10273" width="9.33203125" bestFit="1" customWidth="1"/>
    <col min="10274" max="10274" width="11.5546875" bestFit="1" customWidth="1"/>
    <col min="10275" max="10275" width="9.33203125" bestFit="1" customWidth="1"/>
    <col min="10276" max="10276" width="11.5546875" bestFit="1" customWidth="1"/>
    <col min="10277" max="10277" width="9.33203125" bestFit="1" customWidth="1"/>
    <col min="10278" max="10278" width="11.5546875" bestFit="1" customWidth="1"/>
    <col min="10279" max="10279" width="9.33203125" bestFit="1" customWidth="1"/>
    <col min="10280" max="10280" width="11.5546875" bestFit="1" customWidth="1"/>
    <col min="10281" max="10281" width="9.33203125" bestFit="1" customWidth="1"/>
    <col min="10282" max="10282" width="11.5546875" bestFit="1" customWidth="1"/>
    <col min="10283" max="10283" width="9.33203125" bestFit="1" customWidth="1"/>
    <col min="10284" max="10284" width="11.5546875" bestFit="1" customWidth="1"/>
    <col min="10285" max="10285" width="9.33203125" bestFit="1" customWidth="1"/>
    <col min="10286" max="10286" width="11.5546875" bestFit="1" customWidth="1"/>
    <col min="10287" max="10287" width="9.33203125" bestFit="1" customWidth="1"/>
    <col min="10288" max="10288" width="11.5546875" bestFit="1" customWidth="1"/>
    <col min="10289" max="10289" width="9.33203125" bestFit="1" customWidth="1"/>
    <col min="10290" max="10290" width="11.5546875" bestFit="1" customWidth="1"/>
    <col min="10291" max="10291" width="9.33203125" bestFit="1" customWidth="1"/>
    <col min="10499" max="10499" width="29.44140625" bestFit="1" customWidth="1"/>
    <col min="10500" max="10500" width="11.5546875" bestFit="1" customWidth="1"/>
    <col min="10501" max="10501" width="9.33203125" bestFit="1" customWidth="1"/>
    <col min="10502" max="10502" width="11.5546875" bestFit="1" customWidth="1"/>
    <col min="10503" max="10503" width="9.33203125" bestFit="1" customWidth="1"/>
    <col min="10504" max="10504" width="11.5546875" bestFit="1" customWidth="1"/>
    <col min="10505" max="10505" width="9.33203125" bestFit="1" customWidth="1"/>
    <col min="10506" max="10506" width="11.5546875" bestFit="1" customWidth="1"/>
    <col min="10507" max="10507" width="9.33203125" bestFit="1" customWidth="1"/>
    <col min="10508" max="10508" width="11.5546875" bestFit="1" customWidth="1"/>
    <col min="10509" max="10509" width="9.33203125" bestFit="1" customWidth="1"/>
    <col min="10510" max="10510" width="11.5546875" bestFit="1" customWidth="1"/>
    <col min="10511" max="10511" width="9.33203125" bestFit="1" customWidth="1"/>
    <col min="10512" max="10512" width="11.5546875" bestFit="1" customWidth="1"/>
    <col min="10513" max="10513" width="9.33203125" bestFit="1" customWidth="1"/>
    <col min="10514" max="10514" width="11.5546875" bestFit="1" customWidth="1"/>
    <col min="10515" max="10515" width="9.33203125" bestFit="1" customWidth="1"/>
    <col min="10516" max="10516" width="11.5546875" bestFit="1" customWidth="1"/>
    <col min="10517" max="10517" width="9.33203125" bestFit="1" customWidth="1"/>
    <col min="10518" max="10518" width="11.5546875" bestFit="1" customWidth="1"/>
    <col min="10519" max="10519" width="9.33203125" bestFit="1" customWidth="1"/>
    <col min="10520" max="10520" width="11.5546875" bestFit="1" customWidth="1"/>
    <col min="10521" max="10521" width="9.33203125" bestFit="1" customWidth="1"/>
    <col min="10522" max="10522" width="11.5546875" bestFit="1" customWidth="1"/>
    <col min="10523" max="10523" width="9.33203125" bestFit="1" customWidth="1"/>
    <col min="10524" max="10524" width="11.5546875" bestFit="1" customWidth="1"/>
    <col min="10525" max="10525" width="9.33203125" bestFit="1" customWidth="1"/>
    <col min="10526" max="10526" width="11.5546875" bestFit="1" customWidth="1"/>
    <col min="10527" max="10527" width="9.33203125" bestFit="1" customWidth="1"/>
    <col min="10528" max="10528" width="11.5546875" bestFit="1" customWidth="1"/>
    <col min="10529" max="10529" width="9.33203125" bestFit="1" customWidth="1"/>
    <col min="10530" max="10530" width="11.5546875" bestFit="1" customWidth="1"/>
    <col min="10531" max="10531" width="9.33203125" bestFit="1" customWidth="1"/>
    <col min="10532" max="10532" width="11.5546875" bestFit="1" customWidth="1"/>
    <col min="10533" max="10533" width="9.33203125" bestFit="1" customWidth="1"/>
    <col min="10534" max="10534" width="11.5546875" bestFit="1" customWidth="1"/>
    <col min="10535" max="10535" width="9.33203125" bestFit="1" customWidth="1"/>
    <col min="10536" max="10536" width="11.5546875" bestFit="1" customWidth="1"/>
    <col min="10537" max="10537" width="9.33203125" bestFit="1" customWidth="1"/>
    <col min="10538" max="10538" width="11.5546875" bestFit="1" customWidth="1"/>
    <col min="10539" max="10539" width="9.33203125" bestFit="1" customWidth="1"/>
    <col min="10540" max="10540" width="11.5546875" bestFit="1" customWidth="1"/>
    <col min="10541" max="10541" width="9.33203125" bestFit="1" customWidth="1"/>
    <col min="10542" max="10542" width="11.5546875" bestFit="1" customWidth="1"/>
    <col min="10543" max="10543" width="9.33203125" bestFit="1" customWidth="1"/>
    <col min="10544" max="10544" width="11.5546875" bestFit="1" customWidth="1"/>
    <col min="10545" max="10545" width="9.33203125" bestFit="1" customWidth="1"/>
    <col min="10546" max="10546" width="11.5546875" bestFit="1" customWidth="1"/>
    <col min="10547" max="10547" width="9.33203125" bestFit="1" customWidth="1"/>
    <col min="10755" max="10755" width="29.44140625" bestFit="1" customWidth="1"/>
    <col min="10756" max="10756" width="11.5546875" bestFit="1" customWidth="1"/>
    <col min="10757" max="10757" width="9.33203125" bestFit="1" customWidth="1"/>
    <col min="10758" max="10758" width="11.5546875" bestFit="1" customWidth="1"/>
    <col min="10759" max="10759" width="9.33203125" bestFit="1" customWidth="1"/>
    <col min="10760" max="10760" width="11.5546875" bestFit="1" customWidth="1"/>
    <col min="10761" max="10761" width="9.33203125" bestFit="1" customWidth="1"/>
    <col min="10762" max="10762" width="11.5546875" bestFit="1" customWidth="1"/>
    <col min="10763" max="10763" width="9.33203125" bestFit="1" customWidth="1"/>
    <col min="10764" max="10764" width="11.5546875" bestFit="1" customWidth="1"/>
    <col min="10765" max="10765" width="9.33203125" bestFit="1" customWidth="1"/>
    <col min="10766" max="10766" width="11.5546875" bestFit="1" customWidth="1"/>
    <col min="10767" max="10767" width="9.33203125" bestFit="1" customWidth="1"/>
    <col min="10768" max="10768" width="11.5546875" bestFit="1" customWidth="1"/>
    <col min="10769" max="10769" width="9.33203125" bestFit="1" customWidth="1"/>
    <col min="10770" max="10770" width="11.5546875" bestFit="1" customWidth="1"/>
    <col min="10771" max="10771" width="9.33203125" bestFit="1" customWidth="1"/>
    <col min="10772" max="10772" width="11.5546875" bestFit="1" customWidth="1"/>
    <col min="10773" max="10773" width="9.33203125" bestFit="1" customWidth="1"/>
    <col min="10774" max="10774" width="11.5546875" bestFit="1" customWidth="1"/>
    <col min="10775" max="10775" width="9.33203125" bestFit="1" customWidth="1"/>
    <col min="10776" max="10776" width="11.5546875" bestFit="1" customWidth="1"/>
    <col min="10777" max="10777" width="9.33203125" bestFit="1" customWidth="1"/>
    <col min="10778" max="10778" width="11.5546875" bestFit="1" customWidth="1"/>
    <col min="10779" max="10779" width="9.33203125" bestFit="1" customWidth="1"/>
    <col min="10780" max="10780" width="11.5546875" bestFit="1" customWidth="1"/>
    <col min="10781" max="10781" width="9.33203125" bestFit="1" customWidth="1"/>
    <col min="10782" max="10782" width="11.5546875" bestFit="1" customWidth="1"/>
    <col min="10783" max="10783" width="9.33203125" bestFit="1" customWidth="1"/>
    <col min="10784" max="10784" width="11.5546875" bestFit="1" customWidth="1"/>
    <col min="10785" max="10785" width="9.33203125" bestFit="1" customWidth="1"/>
    <col min="10786" max="10786" width="11.5546875" bestFit="1" customWidth="1"/>
    <col min="10787" max="10787" width="9.33203125" bestFit="1" customWidth="1"/>
    <col min="10788" max="10788" width="11.5546875" bestFit="1" customWidth="1"/>
    <col min="10789" max="10789" width="9.33203125" bestFit="1" customWidth="1"/>
    <col min="10790" max="10790" width="11.5546875" bestFit="1" customWidth="1"/>
    <col min="10791" max="10791" width="9.33203125" bestFit="1" customWidth="1"/>
    <col min="10792" max="10792" width="11.5546875" bestFit="1" customWidth="1"/>
    <col min="10793" max="10793" width="9.33203125" bestFit="1" customWidth="1"/>
    <col min="10794" max="10794" width="11.5546875" bestFit="1" customWidth="1"/>
    <col min="10795" max="10795" width="9.33203125" bestFit="1" customWidth="1"/>
    <col min="10796" max="10796" width="11.5546875" bestFit="1" customWidth="1"/>
    <col min="10797" max="10797" width="9.33203125" bestFit="1" customWidth="1"/>
    <col min="10798" max="10798" width="11.5546875" bestFit="1" customWidth="1"/>
    <col min="10799" max="10799" width="9.33203125" bestFit="1" customWidth="1"/>
    <col min="10800" max="10800" width="11.5546875" bestFit="1" customWidth="1"/>
    <col min="10801" max="10801" width="9.33203125" bestFit="1" customWidth="1"/>
    <col min="10802" max="10802" width="11.5546875" bestFit="1" customWidth="1"/>
    <col min="10803" max="10803" width="9.33203125" bestFit="1" customWidth="1"/>
    <col min="11011" max="11011" width="29.44140625" bestFit="1" customWidth="1"/>
    <col min="11012" max="11012" width="11.5546875" bestFit="1" customWidth="1"/>
    <col min="11013" max="11013" width="9.33203125" bestFit="1" customWidth="1"/>
    <col min="11014" max="11014" width="11.5546875" bestFit="1" customWidth="1"/>
    <col min="11015" max="11015" width="9.33203125" bestFit="1" customWidth="1"/>
    <col min="11016" max="11016" width="11.5546875" bestFit="1" customWidth="1"/>
    <col min="11017" max="11017" width="9.33203125" bestFit="1" customWidth="1"/>
    <col min="11018" max="11018" width="11.5546875" bestFit="1" customWidth="1"/>
    <col min="11019" max="11019" width="9.33203125" bestFit="1" customWidth="1"/>
    <col min="11020" max="11020" width="11.5546875" bestFit="1" customWidth="1"/>
    <col min="11021" max="11021" width="9.33203125" bestFit="1" customWidth="1"/>
    <col min="11022" max="11022" width="11.5546875" bestFit="1" customWidth="1"/>
    <col min="11023" max="11023" width="9.33203125" bestFit="1" customWidth="1"/>
    <col min="11024" max="11024" width="11.5546875" bestFit="1" customWidth="1"/>
    <col min="11025" max="11025" width="9.33203125" bestFit="1" customWidth="1"/>
    <col min="11026" max="11026" width="11.5546875" bestFit="1" customWidth="1"/>
    <col min="11027" max="11027" width="9.33203125" bestFit="1" customWidth="1"/>
    <col min="11028" max="11028" width="11.5546875" bestFit="1" customWidth="1"/>
    <col min="11029" max="11029" width="9.33203125" bestFit="1" customWidth="1"/>
    <col min="11030" max="11030" width="11.5546875" bestFit="1" customWidth="1"/>
    <col min="11031" max="11031" width="9.33203125" bestFit="1" customWidth="1"/>
    <col min="11032" max="11032" width="11.5546875" bestFit="1" customWidth="1"/>
    <col min="11033" max="11033" width="9.33203125" bestFit="1" customWidth="1"/>
    <col min="11034" max="11034" width="11.5546875" bestFit="1" customWidth="1"/>
    <col min="11035" max="11035" width="9.33203125" bestFit="1" customWidth="1"/>
    <col min="11036" max="11036" width="11.5546875" bestFit="1" customWidth="1"/>
    <col min="11037" max="11037" width="9.33203125" bestFit="1" customWidth="1"/>
    <col min="11038" max="11038" width="11.5546875" bestFit="1" customWidth="1"/>
    <col min="11039" max="11039" width="9.33203125" bestFit="1" customWidth="1"/>
    <col min="11040" max="11040" width="11.5546875" bestFit="1" customWidth="1"/>
    <col min="11041" max="11041" width="9.33203125" bestFit="1" customWidth="1"/>
    <col min="11042" max="11042" width="11.5546875" bestFit="1" customWidth="1"/>
    <col min="11043" max="11043" width="9.33203125" bestFit="1" customWidth="1"/>
    <col min="11044" max="11044" width="11.5546875" bestFit="1" customWidth="1"/>
    <col min="11045" max="11045" width="9.33203125" bestFit="1" customWidth="1"/>
    <col min="11046" max="11046" width="11.5546875" bestFit="1" customWidth="1"/>
    <col min="11047" max="11047" width="9.33203125" bestFit="1" customWidth="1"/>
    <col min="11048" max="11048" width="11.5546875" bestFit="1" customWidth="1"/>
    <col min="11049" max="11049" width="9.33203125" bestFit="1" customWidth="1"/>
    <col min="11050" max="11050" width="11.5546875" bestFit="1" customWidth="1"/>
    <col min="11051" max="11051" width="9.33203125" bestFit="1" customWidth="1"/>
    <col min="11052" max="11052" width="11.5546875" bestFit="1" customWidth="1"/>
    <col min="11053" max="11053" width="9.33203125" bestFit="1" customWidth="1"/>
    <col min="11054" max="11054" width="11.5546875" bestFit="1" customWidth="1"/>
    <col min="11055" max="11055" width="9.33203125" bestFit="1" customWidth="1"/>
    <col min="11056" max="11056" width="11.5546875" bestFit="1" customWidth="1"/>
    <col min="11057" max="11057" width="9.33203125" bestFit="1" customWidth="1"/>
    <col min="11058" max="11058" width="11.5546875" bestFit="1" customWidth="1"/>
    <col min="11059" max="11059" width="9.33203125" bestFit="1" customWidth="1"/>
    <col min="11267" max="11267" width="29.44140625" bestFit="1" customWidth="1"/>
    <col min="11268" max="11268" width="11.5546875" bestFit="1" customWidth="1"/>
    <col min="11269" max="11269" width="9.33203125" bestFit="1" customWidth="1"/>
    <col min="11270" max="11270" width="11.5546875" bestFit="1" customWidth="1"/>
    <col min="11271" max="11271" width="9.33203125" bestFit="1" customWidth="1"/>
    <col min="11272" max="11272" width="11.5546875" bestFit="1" customWidth="1"/>
    <col min="11273" max="11273" width="9.33203125" bestFit="1" customWidth="1"/>
    <col min="11274" max="11274" width="11.5546875" bestFit="1" customWidth="1"/>
    <col min="11275" max="11275" width="9.33203125" bestFit="1" customWidth="1"/>
    <col min="11276" max="11276" width="11.5546875" bestFit="1" customWidth="1"/>
    <col min="11277" max="11277" width="9.33203125" bestFit="1" customWidth="1"/>
    <col min="11278" max="11278" width="11.5546875" bestFit="1" customWidth="1"/>
    <col min="11279" max="11279" width="9.33203125" bestFit="1" customWidth="1"/>
    <col min="11280" max="11280" width="11.5546875" bestFit="1" customWidth="1"/>
    <col min="11281" max="11281" width="9.33203125" bestFit="1" customWidth="1"/>
    <col min="11282" max="11282" width="11.5546875" bestFit="1" customWidth="1"/>
    <col min="11283" max="11283" width="9.33203125" bestFit="1" customWidth="1"/>
    <col min="11284" max="11284" width="11.5546875" bestFit="1" customWidth="1"/>
    <col min="11285" max="11285" width="9.33203125" bestFit="1" customWidth="1"/>
    <col min="11286" max="11286" width="11.5546875" bestFit="1" customWidth="1"/>
    <col min="11287" max="11287" width="9.33203125" bestFit="1" customWidth="1"/>
    <col min="11288" max="11288" width="11.5546875" bestFit="1" customWidth="1"/>
    <col min="11289" max="11289" width="9.33203125" bestFit="1" customWidth="1"/>
    <col min="11290" max="11290" width="11.5546875" bestFit="1" customWidth="1"/>
    <col min="11291" max="11291" width="9.33203125" bestFit="1" customWidth="1"/>
    <col min="11292" max="11292" width="11.5546875" bestFit="1" customWidth="1"/>
    <col min="11293" max="11293" width="9.33203125" bestFit="1" customWidth="1"/>
    <col min="11294" max="11294" width="11.5546875" bestFit="1" customWidth="1"/>
    <col min="11295" max="11295" width="9.33203125" bestFit="1" customWidth="1"/>
    <col min="11296" max="11296" width="11.5546875" bestFit="1" customWidth="1"/>
    <col min="11297" max="11297" width="9.33203125" bestFit="1" customWidth="1"/>
    <col min="11298" max="11298" width="11.5546875" bestFit="1" customWidth="1"/>
    <col min="11299" max="11299" width="9.33203125" bestFit="1" customWidth="1"/>
    <col min="11300" max="11300" width="11.5546875" bestFit="1" customWidth="1"/>
    <col min="11301" max="11301" width="9.33203125" bestFit="1" customWidth="1"/>
    <col min="11302" max="11302" width="11.5546875" bestFit="1" customWidth="1"/>
    <col min="11303" max="11303" width="9.33203125" bestFit="1" customWidth="1"/>
    <col min="11304" max="11304" width="11.5546875" bestFit="1" customWidth="1"/>
    <col min="11305" max="11305" width="9.33203125" bestFit="1" customWidth="1"/>
    <col min="11306" max="11306" width="11.5546875" bestFit="1" customWidth="1"/>
    <col min="11307" max="11307" width="9.33203125" bestFit="1" customWidth="1"/>
    <col min="11308" max="11308" width="11.5546875" bestFit="1" customWidth="1"/>
    <col min="11309" max="11309" width="9.33203125" bestFit="1" customWidth="1"/>
    <col min="11310" max="11310" width="11.5546875" bestFit="1" customWidth="1"/>
    <col min="11311" max="11311" width="9.33203125" bestFit="1" customWidth="1"/>
    <col min="11312" max="11312" width="11.5546875" bestFit="1" customWidth="1"/>
    <col min="11313" max="11313" width="9.33203125" bestFit="1" customWidth="1"/>
    <col min="11314" max="11314" width="11.5546875" bestFit="1" customWidth="1"/>
    <col min="11315" max="11315" width="9.33203125" bestFit="1" customWidth="1"/>
    <col min="11523" max="11523" width="29.44140625" bestFit="1" customWidth="1"/>
    <col min="11524" max="11524" width="11.5546875" bestFit="1" customWidth="1"/>
    <col min="11525" max="11525" width="9.33203125" bestFit="1" customWidth="1"/>
    <col min="11526" max="11526" width="11.5546875" bestFit="1" customWidth="1"/>
    <col min="11527" max="11527" width="9.33203125" bestFit="1" customWidth="1"/>
    <col min="11528" max="11528" width="11.5546875" bestFit="1" customWidth="1"/>
    <col min="11529" max="11529" width="9.33203125" bestFit="1" customWidth="1"/>
    <col min="11530" max="11530" width="11.5546875" bestFit="1" customWidth="1"/>
    <col min="11531" max="11531" width="9.33203125" bestFit="1" customWidth="1"/>
    <col min="11532" max="11532" width="11.5546875" bestFit="1" customWidth="1"/>
    <col min="11533" max="11533" width="9.33203125" bestFit="1" customWidth="1"/>
    <col min="11534" max="11534" width="11.5546875" bestFit="1" customWidth="1"/>
    <col min="11535" max="11535" width="9.33203125" bestFit="1" customWidth="1"/>
    <col min="11536" max="11536" width="11.5546875" bestFit="1" customWidth="1"/>
    <col min="11537" max="11537" width="9.33203125" bestFit="1" customWidth="1"/>
    <col min="11538" max="11538" width="11.5546875" bestFit="1" customWidth="1"/>
    <col min="11539" max="11539" width="9.33203125" bestFit="1" customWidth="1"/>
    <col min="11540" max="11540" width="11.5546875" bestFit="1" customWidth="1"/>
    <col min="11541" max="11541" width="9.33203125" bestFit="1" customWidth="1"/>
    <col min="11542" max="11542" width="11.5546875" bestFit="1" customWidth="1"/>
    <col min="11543" max="11543" width="9.33203125" bestFit="1" customWidth="1"/>
    <col min="11544" max="11544" width="11.5546875" bestFit="1" customWidth="1"/>
    <col min="11545" max="11545" width="9.33203125" bestFit="1" customWidth="1"/>
    <col min="11546" max="11546" width="11.5546875" bestFit="1" customWidth="1"/>
    <col min="11547" max="11547" width="9.33203125" bestFit="1" customWidth="1"/>
    <col min="11548" max="11548" width="11.5546875" bestFit="1" customWidth="1"/>
    <col min="11549" max="11549" width="9.33203125" bestFit="1" customWidth="1"/>
    <col min="11550" max="11550" width="11.5546875" bestFit="1" customWidth="1"/>
    <col min="11551" max="11551" width="9.33203125" bestFit="1" customWidth="1"/>
    <col min="11552" max="11552" width="11.5546875" bestFit="1" customWidth="1"/>
    <col min="11553" max="11553" width="9.33203125" bestFit="1" customWidth="1"/>
    <col min="11554" max="11554" width="11.5546875" bestFit="1" customWidth="1"/>
    <col min="11555" max="11555" width="9.33203125" bestFit="1" customWidth="1"/>
    <col min="11556" max="11556" width="11.5546875" bestFit="1" customWidth="1"/>
    <col min="11557" max="11557" width="9.33203125" bestFit="1" customWidth="1"/>
    <col min="11558" max="11558" width="11.5546875" bestFit="1" customWidth="1"/>
    <col min="11559" max="11559" width="9.33203125" bestFit="1" customWidth="1"/>
    <col min="11560" max="11560" width="11.5546875" bestFit="1" customWidth="1"/>
    <col min="11561" max="11561" width="9.33203125" bestFit="1" customWidth="1"/>
    <col min="11562" max="11562" width="11.5546875" bestFit="1" customWidth="1"/>
    <col min="11563" max="11563" width="9.33203125" bestFit="1" customWidth="1"/>
    <col min="11564" max="11564" width="11.5546875" bestFit="1" customWidth="1"/>
    <col min="11565" max="11565" width="9.33203125" bestFit="1" customWidth="1"/>
    <col min="11566" max="11566" width="11.5546875" bestFit="1" customWidth="1"/>
    <col min="11567" max="11567" width="9.33203125" bestFit="1" customWidth="1"/>
    <col min="11568" max="11568" width="11.5546875" bestFit="1" customWidth="1"/>
    <col min="11569" max="11569" width="9.33203125" bestFit="1" customWidth="1"/>
    <col min="11570" max="11570" width="11.5546875" bestFit="1" customWidth="1"/>
    <col min="11571" max="11571" width="9.33203125" bestFit="1" customWidth="1"/>
    <col min="11779" max="11779" width="29.44140625" bestFit="1" customWidth="1"/>
    <col min="11780" max="11780" width="11.5546875" bestFit="1" customWidth="1"/>
    <col min="11781" max="11781" width="9.33203125" bestFit="1" customWidth="1"/>
    <col min="11782" max="11782" width="11.5546875" bestFit="1" customWidth="1"/>
    <col min="11783" max="11783" width="9.33203125" bestFit="1" customWidth="1"/>
    <col min="11784" max="11784" width="11.5546875" bestFit="1" customWidth="1"/>
    <col min="11785" max="11785" width="9.33203125" bestFit="1" customWidth="1"/>
    <col min="11786" max="11786" width="11.5546875" bestFit="1" customWidth="1"/>
    <col min="11787" max="11787" width="9.33203125" bestFit="1" customWidth="1"/>
    <col min="11788" max="11788" width="11.5546875" bestFit="1" customWidth="1"/>
    <col min="11789" max="11789" width="9.33203125" bestFit="1" customWidth="1"/>
    <col min="11790" max="11790" width="11.5546875" bestFit="1" customWidth="1"/>
    <col min="11791" max="11791" width="9.33203125" bestFit="1" customWidth="1"/>
    <col min="11792" max="11792" width="11.5546875" bestFit="1" customWidth="1"/>
    <col min="11793" max="11793" width="9.33203125" bestFit="1" customWidth="1"/>
    <col min="11794" max="11794" width="11.5546875" bestFit="1" customWidth="1"/>
    <col min="11795" max="11795" width="9.33203125" bestFit="1" customWidth="1"/>
    <col min="11796" max="11796" width="11.5546875" bestFit="1" customWidth="1"/>
    <col min="11797" max="11797" width="9.33203125" bestFit="1" customWidth="1"/>
    <col min="11798" max="11798" width="11.5546875" bestFit="1" customWidth="1"/>
    <col min="11799" max="11799" width="9.33203125" bestFit="1" customWidth="1"/>
    <col min="11800" max="11800" width="11.5546875" bestFit="1" customWidth="1"/>
    <col min="11801" max="11801" width="9.33203125" bestFit="1" customWidth="1"/>
    <col min="11802" max="11802" width="11.5546875" bestFit="1" customWidth="1"/>
    <col min="11803" max="11803" width="9.33203125" bestFit="1" customWidth="1"/>
    <col min="11804" max="11804" width="11.5546875" bestFit="1" customWidth="1"/>
    <col min="11805" max="11805" width="9.33203125" bestFit="1" customWidth="1"/>
    <col min="11806" max="11806" width="11.5546875" bestFit="1" customWidth="1"/>
    <col min="11807" max="11807" width="9.33203125" bestFit="1" customWidth="1"/>
    <col min="11808" max="11808" width="11.5546875" bestFit="1" customWidth="1"/>
    <col min="11809" max="11809" width="9.33203125" bestFit="1" customWidth="1"/>
    <col min="11810" max="11810" width="11.5546875" bestFit="1" customWidth="1"/>
    <col min="11811" max="11811" width="9.33203125" bestFit="1" customWidth="1"/>
    <col min="11812" max="11812" width="11.5546875" bestFit="1" customWidth="1"/>
    <col min="11813" max="11813" width="9.33203125" bestFit="1" customWidth="1"/>
    <col min="11814" max="11814" width="11.5546875" bestFit="1" customWidth="1"/>
    <col min="11815" max="11815" width="9.33203125" bestFit="1" customWidth="1"/>
    <col min="11816" max="11816" width="11.5546875" bestFit="1" customWidth="1"/>
    <col min="11817" max="11817" width="9.33203125" bestFit="1" customWidth="1"/>
    <col min="11818" max="11818" width="11.5546875" bestFit="1" customWidth="1"/>
    <col min="11819" max="11819" width="9.33203125" bestFit="1" customWidth="1"/>
    <col min="11820" max="11820" width="11.5546875" bestFit="1" customWidth="1"/>
    <col min="11821" max="11821" width="9.33203125" bestFit="1" customWidth="1"/>
    <col min="11822" max="11822" width="11.5546875" bestFit="1" customWidth="1"/>
    <col min="11823" max="11823" width="9.33203125" bestFit="1" customWidth="1"/>
    <col min="11824" max="11824" width="11.5546875" bestFit="1" customWidth="1"/>
    <col min="11825" max="11825" width="9.33203125" bestFit="1" customWidth="1"/>
    <col min="11826" max="11826" width="11.5546875" bestFit="1" customWidth="1"/>
    <col min="11827" max="11827" width="9.33203125" bestFit="1" customWidth="1"/>
    <col min="12035" max="12035" width="29.44140625" bestFit="1" customWidth="1"/>
    <col min="12036" max="12036" width="11.5546875" bestFit="1" customWidth="1"/>
    <col min="12037" max="12037" width="9.33203125" bestFit="1" customWidth="1"/>
    <col min="12038" max="12038" width="11.5546875" bestFit="1" customWidth="1"/>
    <col min="12039" max="12039" width="9.33203125" bestFit="1" customWidth="1"/>
    <col min="12040" max="12040" width="11.5546875" bestFit="1" customWidth="1"/>
    <col min="12041" max="12041" width="9.33203125" bestFit="1" customWidth="1"/>
    <col min="12042" max="12042" width="11.5546875" bestFit="1" customWidth="1"/>
    <col min="12043" max="12043" width="9.33203125" bestFit="1" customWidth="1"/>
    <col min="12044" max="12044" width="11.5546875" bestFit="1" customWidth="1"/>
    <col min="12045" max="12045" width="9.33203125" bestFit="1" customWidth="1"/>
    <col min="12046" max="12046" width="11.5546875" bestFit="1" customWidth="1"/>
    <col min="12047" max="12047" width="9.33203125" bestFit="1" customWidth="1"/>
    <col min="12048" max="12048" width="11.5546875" bestFit="1" customWidth="1"/>
    <col min="12049" max="12049" width="9.33203125" bestFit="1" customWidth="1"/>
    <col min="12050" max="12050" width="11.5546875" bestFit="1" customWidth="1"/>
    <col min="12051" max="12051" width="9.33203125" bestFit="1" customWidth="1"/>
    <col min="12052" max="12052" width="11.5546875" bestFit="1" customWidth="1"/>
    <col min="12053" max="12053" width="9.33203125" bestFit="1" customWidth="1"/>
    <col min="12054" max="12054" width="11.5546875" bestFit="1" customWidth="1"/>
    <col min="12055" max="12055" width="9.33203125" bestFit="1" customWidth="1"/>
    <col min="12056" max="12056" width="11.5546875" bestFit="1" customWidth="1"/>
    <col min="12057" max="12057" width="9.33203125" bestFit="1" customWidth="1"/>
    <col min="12058" max="12058" width="11.5546875" bestFit="1" customWidth="1"/>
    <col min="12059" max="12059" width="9.33203125" bestFit="1" customWidth="1"/>
    <col min="12060" max="12060" width="11.5546875" bestFit="1" customWidth="1"/>
    <col min="12061" max="12061" width="9.33203125" bestFit="1" customWidth="1"/>
    <col min="12062" max="12062" width="11.5546875" bestFit="1" customWidth="1"/>
    <col min="12063" max="12063" width="9.33203125" bestFit="1" customWidth="1"/>
    <col min="12064" max="12064" width="11.5546875" bestFit="1" customWidth="1"/>
    <col min="12065" max="12065" width="9.33203125" bestFit="1" customWidth="1"/>
    <col min="12066" max="12066" width="11.5546875" bestFit="1" customWidth="1"/>
    <col min="12067" max="12067" width="9.33203125" bestFit="1" customWidth="1"/>
    <col min="12068" max="12068" width="11.5546875" bestFit="1" customWidth="1"/>
    <col min="12069" max="12069" width="9.33203125" bestFit="1" customWidth="1"/>
    <col min="12070" max="12070" width="11.5546875" bestFit="1" customWidth="1"/>
    <col min="12071" max="12071" width="9.33203125" bestFit="1" customWidth="1"/>
    <col min="12072" max="12072" width="11.5546875" bestFit="1" customWidth="1"/>
    <col min="12073" max="12073" width="9.33203125" bestFit="1" customWidth="1"/>
    <col min="12074" max="12074" width="11.5546875" bestFit="1" customWidth="1"/>
    <col min="12075" max="12075" width="9.33203125" bestFit="1" customWidth="1"/>
    <col min="12076" max="12076" width="11.5546875" bestFit="1" customWidth="1"/>
    <col min="12077" max="12077" width="9.33203125" bestFit="1" customWidth="1"/>
    <col min="12078" max="12078" width="11.5546875" bestFit="1" customWidth="1"/>
    <col min="12079" max="12079" width="9.33203125" bestFit="1" customWidth="1"/>
    <col min="12080" max="12080" width="11.5546875" bestFit="1" customWidth="1"/>
    <col min="12081" max="12081" width="9.33203125" bestFit="1" customWidth="1"/>
    <col min="12082" max="12082" width="11.5546875" bestFit="1" customWidth="1"/>
    <col min="12083" max="12083" width="9.33203125" bestFit="1" customWidth="1"/>
    <col min="12291" max="12291" width="29.44140625" bestFit="1" customWidth="1"/>
    <col min="12292" max="12292" width="11.5546875" bestFit="1" customWidth="1"/>
    <col min="12293" max="12293" width="9.33203125" bestFit="1" customWidth="1"/>
    <col min="12294" max="12294" width="11.5546875" bestFit="1" customWidth="1"/>
    <col min="12295" max="12295" width="9.33203125" bestFit="1" customWidth="1"/>
    <col min="12296" max="12296" width="11.5546875" bestFit="1" customWidth="1"/>
    <col min="12297" max="12297" width="9.33203125" bestFit="1" customWidth="1"/>
    <col min="12298" max="12298" width="11.5546875" bestFit="1" customWidth="1"/>
    <col min="12299" max="12299" width="9.33203125" bestFit="1" customWidth="1"/>
    <col min="12300" max="12300" width="11.5546875" bestFit="1" customWidth="1"/>
    <col min="12301" max="12301" width="9.33203125" bestFit="1" customWidth="1"/>
    <col min="12302" max="12302" width="11.5546875" bestFit="1" customWidth="1"/>
    <col min="12303" max="12303" width="9.33203125" bestFit="1" customWidth="1"/>
    <col min="12304" max="12304" width="11.5546875" bestFit="1" customWidth="1"/>
    <col min="12305" max="12305" width="9.33203125" bestFit="1" customWidth="1"/>
    <col min="12306" max="12306" width="11.5546875" bestFit="1" customWidth="1"/>
    <col min="12307" max="12307" width="9.33203125" bestFit="1" customWidth="1"/>
    <col min="12308" max="12308" width="11.5546875" bestFit="1" customWidth="1"/>
    <col min="12309" max="12309" width="9.33203125" bestFit="1" customWidth="1"/>
    <col min="12310" max="12310" width="11.5546875" bestFit="1" customWidth="1"/>
    <col min="12311" max="12311" width="9.33203125" bestFit="1" customWidth="1"/>
    <col min="12312" max="12312" width="11.5546875" bestFit="1" customWidth="1"/>
    <col min="12313" max="12313" width="9.33203125" bestFit="1" customWidth="1"/>
    <col min="12314" max="12314" width="11.5546875" bestFit="1" customWidth="1"/>
    <col min="12315" max="12315" width="9.33203125" bestFit="1" customWidth="1"/>
    <col min="12316" max="12316" width="11.5546875" bestFit="1" customWidth="1"/>
    <col min="12317" max="12317" width="9.33203125" bestFit="1" customWidth="1"/>
    <col min="12318" max="12318" width="11.5546875" bestFit="1" customWidth="1"/>
    <col min="12319" max="12319" width="9.33203125" bestFit="1" customWidth="1"/>
    <col min="12320" max="12320" width="11.5546875" bestFit="1" customWidth="1"/>
    <col min="12321" max="12321" width="9.33203125" bestFit="1" customWidth="1"/>
    <col min="12322" max="12322" width="11.5546875" bestFit="1" customWidth="1"/>
    <col min="12323" max="12323" width="9.33203125" bestFit="1" customWidth="1"/>
    <col min="12324" max="12324" width="11.5546875" bestFit="1" customWidth="1"/>
    <col min="12325" max="12325" width="9.33203125" bestFit="1" customWidth="1"/>
    <col min="12326" max="12326" width="11.5546875" bestFit="1" customWidth="1"/>
    <col min="12327" max="12327" width="9.33203125" bestFit="1" customWidth="1"/>
    <col min="12328" max="12328" width="11.5546875" bestFit="1" customWidth="1"/>
    <col min="12329" max="12329" width="9.33203125" bestFit="1" customWidth="1"/>
    <col min="12330" max="12330" width="11.5546875" bestFit="1" customWidth="1"/>
    <col min="12331" max="12331" width="9.33203125" bestFit="1" customWidth="1"/>
    <col min="12332" max="12332" width="11.5546875" bestFit="1" customWidth="1"/>
    <col min="12333" max="12333" width="9.33203125" bestFit="1" customWidth="1"/>
    <col min="12334" max="12334" width="11.5546875" bestFit="1" customWidth="1"/>
    <col min="12335" max="12335" width="9.33203125" bestFit="1" customWidth="1"/>
    <col min="12336" max="12336" width="11.5546875" bestFit="1" customWidth="1"/>
    <col min="12337" max="12337" width="9.33203125" bestFit="1" customWidth="1"/>
    <col min="12338" max="12338" width="11.5546875" bestFit="1" customWidth="1"/>
    <col min="12339" max="12339" width="9.33203125" bestFit="1" customWidth="1"/>
    <col min="12547" max="12547" width="29.44140625" bestFit="1" customWidth="1"/>
    <col min="12548" max="12548" width="11.5546875" bestFit="1" customWidth="1"/>
    <col min="12549" max="12549" width="9.33203125" bestFit="1" customWidth="1"/>
    <col min="12550" max="12550" width="11.5546875" bestFit="1" customWidth="1"/>
    <col min="12551" max="12551" width="9.33203125" bestFit="1" customWidth="1"/>
    <col min="12552" max="12552" width="11.5546875" bestFit="1" customWidth="1"/>
    <col min="12553" max="12553" width="9.33203125" bestFit="1" customWidth="1"/>
    <col min="12554" max="12554" width="11.5546875" bestFit="1" customWidth="1"/>
    <col min="12555" max="12555" width="9.33203125" bestFit="1" customWidth="1"/>
    <col min="12556" max="12556" width="11.5546875" bestFit="1" customWidth="1"/>
    <col min="12557" max="12557" width="9.33203125" bestFit="1" customWidth="1"/>
    <col min="12558" max="12558" width="11.5546875" bestFit="1" customWidth="1"/>
    <col min="12559" max="12559" width="9.33203125" bestFit="1" customWidth="1"/>
    <col min="12560" max="12560" width="11.5546875" bestFit="1" customWidth="1"/>
    <col min="12561" max="12561" width="9.33203125" bestFit="1" customWidth="1"/>
    <col min="12562" max="12562" width="11.5546875" bestFit="1" customWidth="1"/>
    <col min="12563" max="12563" width="9.33203125" bestFit="1" customWidth="1"/>
    <col min="12564" max="12564" width="11.5546875" bestFit="1" customWidth="1"/>
    <col min="12565" max="12565" width="9.33203125" bestFit="1" customWidth="1"/>
    <col min="12566" max="12566" width="11.5546875" bestFit="1" customWidth="1"/>
    <col min="12567" max="12567" width="9.33203125" bestFit="1" customWidth="1"/>
    <col min="12568" max="12568" width="11.5546875" bestFit="1" customWidth="1"/>
    <col min="12569" max="12569" width="9.33203125" bestFit="1" customWidth="1"/>
    <col min="12570" max="12570" width="11.5546875" bestFit="1" customWidth="1"/>
    <col min="12571" max="12571" width="9.33203125" bestFit="1" customWidth="1"/>
    <col min="12572" max="12572" width="11.5546875" bestFit="1" customWidth="1"/>
    <col min="12573" max="12573" width="9.33203125" bestFit="1" customWidth="1"/>
    <col min="12574" max="12574" width="11.5546875" bestFit="1" customWidth="1"/>
    <col min="12575" max="12575" width="9.33203125" bestFit="1" customWidth="1"/>
    <col min="12576" max="12576" width="11.5546875" bestFit="1" customWidth="1"/>
    <col min="12577" max="12577" width="9.33203125" bestFit="1" customWidth="1"/>
    <col min="12578" max="12578" width="11.5546875" bestFit="1" customWidth="1"/>
    <col min="12579" max="12579" width="9.33203125" bestFit="1" customWidth="1"/>
    <col min="12580" max="12580" width="11.5546875" bestFit="1" customWidth="1"/>
    <col min="12581" max="12581" width="9.33203125" bestFit="1" customWidth="1"/>
    <col min="12582" max="12582" width="11.5546875" bestFit="1" customWidth="1"/>
    <col min="12583" max="12583" width="9.33203125" bestFit="1" customWidth="1"/>
    <col min="12584" max="12584" width="11.5546875" bestFit="1" customWidth="1"/>
    <col min="12585" max="12585" width="9.33203125" bestFit="1" customWidth="1"/>
    <col min="12586" max="12586" width="11.5546875" bestFit="1" customWidth="1"/>
    <col min="12587" max="12587" width="9.33203125" bestFit="1" customWidth="1"/>
    <col min="12588" max="12588" width="11.5546875" bestFit="1" customWidth="1"/>
    <col min="12589" max="12589" width="9.33203125" bestFit="1" customWidth="1"/>
    <col min="12590" max="12590" width="11.5546875" bestFit="1" customWidth="1"/>
    <col min="12591" max="12591" width="9.33203125" bestFit="1" customWidth="1"/>
    <col min="12592" max="12592" width="11.5546875" bestFit="1" customWidth="1"/>
    <col min="12593" max="12593" width="9.33203125" bestFit="1" customWidth="1"/>
    <col min="12594" max="12594" width="11.5546875" bestFit="1" customWidth="1"/>
    <col min="12595" max="12595" width="9.33203125" bestFit="1" customWidth="1"/>
    <col min="12803" max="12803" width="29.44140625" bestFit="1" customWidth="1"/>
    <col min="12804" max="12804" width="11.5546875" bestFit="1" customWidth="1"/>
    <col min="12805" max="12805" width="9.33203125" bestFit="1" customWidth="1"/>
    <col min="12806" max="12806" width="11.5546875" bestFit="1" customWidth="1"/>
    <col min="12807" max="12807" width="9.33203125" bestFit="1" customWidth="1"/>
    <col min="12808" max="12808" width="11.5546875" bestFit="1" customWidth="1"/>
    <col min="12809" max="12809" width="9.33203125" bestFit="1" customWidth="1"/>
    <col min="12810" max="12810" width="11.5546875" bestFit="1" customWidth="1"/>
    <col min="12811" max="12811" width="9.33203125" bestFit="1" customWidth="1"/>
    <col min="12812" max="12812" width="11.5546875" bestFit="1" customWidth="1"/>
    <col min="12813" max="12813" width="9.33203125" bestFit="1" customWidth="1"/>
    <col min="12814" max="12814" width="11.5546875" bestFit="1" customWidth="1"/>
    <col min="12815" max="12815" width="9.33203125" bestFit="1" customWidth="1"/>
    <col min="12816" max="12816" width="11.5546875" bestFit="1" customWidth="1"/>
    <col min="12817" max="12817" width="9.33203125" bestFit="1" customWidth="1"/>
    <col min="12818" max="12818" width="11.5546875" bestFit="1" customWidth="1"/>
    <col min="12819" max="12819" width="9.33203125" bestFit="1" customWidth="1"/>
    <col min="12820" max="12820" width="11.5546875" bestFit="1" customWidth="1"/>
    <col min="12821" max="12821" width="9.33203125" bestFit="1" customWidth="1"/>
    <col min="12822" max="12822" width="11.5546875" bestFit="1" customWidth="1"/>
    <col min="12823" max="12823" width="9.33203125" bestFit="1" customWidth="1"/>
    <col min="12824" max="12824" width="11.5546875" bestFit="1" customWidth="1"/>
    <col min="12825" max="12825" width="9.33203125" bestFit="1" customWidth="1"/>
    <col min="12826" max="12826" width="11.5546875" bestFit="1" customWidth="1"/>
    <col min="12827" max="12827" width="9.33203125" bestFit="1" customWidth="1"/>
    <col min="12828" max="12828" width="11.5546875" bestFit="1" customWidth="1"/>
    <col min="12829" max="12829" width="9.33203125" bestFit="1" customWidth="1"/>
    <col min="12830" max="12830" width="11.5546875" bestFit="1" customWidth="1"/>
    <col min="12831" max="12831" width="9.33203125" bestFit="1" customWidth="1"/>
    <col min="12832" max="12832" width="11.5546875" bestFit="1" customWidth="1"/>
    <col min="12833" max="12833" width="9.33203125" bestFit="1" customWidth="1"/>
    <col min="12834" max="12834" width="11.5546875" bestFit="1" customWidth="1"/>
    <col min="12835" max="12835" width="9.33203125" bestFit="1" customWidth="1"/>
    <col min="12836" max="12836" width="11.5546875" bestFit="1" customWidth="1"/>
    <col min="12837" max="12837" width="9.33203125" bestFit="1" customWidth="1"/>
    <col min="12838" max="12838" width="11.5546875" bestFit="1" customWidth="1"/>
    <col min="12839" max="12839" width="9.33203125" bestFit="1" customWidth="1"/>
    <col min="12840" max="12840" width="11.5546875" bestFit="1" customWidth="1"/>
    <col min="12841" max="12841" width="9.33203125" bestFit="1" customWidth="1"/>
    <col min="12842" max="12842" width="11.5546875" bestFit="1" customWidth="1"/>
    <col min="12843" max="12843" width="9.33203125" bestFit="1" customWidth="1"/>
    <col min="12844" max="12844" width="11.5546875" bestFit="1" customWidth="1"/>
    <col min="12845" max="12845" width="9.33203125" bestFit="1" customWidth="1"/>
    <col min="12846" max="12846" width="11.5546875" bestFit="1" customWidth="1"/>
    <col min="12847" max="12847" width="9.33203125" bestFit="1" customWidth="1"/>
    <col min="12848" max="12848" width="11.5546875" bestFit="1" customWidth="1"/>
    <col min="12849" max="12849" width="9.33203125" bestFit="1" customWidth="1"/>
    <col min="12850" max="12850" width="11.5546875" bestFit="1" customWidth="1"/>
    <col min="12851" max="12851" width="9.33203125" bestFit="1" customWidth="1"/>
    <col min="13059" max="13059" width="29.44140625" bestFit="1" customWidth="1"/>
    <col min="13060" max="13060" width="11.5546875" bestFit="1" customWidth="1"/>
    <col min="13061" max="13061" width="9.33203125" bestFit="1" customWidth="1"/>
    <col min="13062" max="13062" width="11.5546875" bestFit="1" customWidth="1"/>
    <col min="13063" max="13063" width="9.33203125" bestFit="1" customWidth="1"/>
    <col min="13064" max="13064" width="11.5546875" bestFit="1" customWidth="1"/>
    <col min="13065" max="13065" width="9.33203125" bestFit="1" customWidth="1"/>
    <col min="13066" max="13066" width="11.5546875" bestFit="1" customWidth="1"/>
    <col min="13067" max="13067" width="9.33203125" bestFit="1" customWidth="1"/>
    <col min="13068" max="13068" width="11.5546875" bestFit="1" customWidth="1"/>
    <col min="13069" max="13069" width="9.33203125" bestFit="1" customWidth="1"/>
    <col min="13070" max="13070" width="11.5546875" bestFit="1" customWidth="1"/>
    <col min="13071" max="13071" width="9.33203125" bestFit="1" customWidth="1"/>
    <col min="13072" max="13072" width="11.5546875" bestFit="1" customWidth="1"/>
    <col min="13073" max="13073" width="9.33203125" bestFit="1" customWidth="1"/>
    <col min="13074" max="13074" width="11.5546875" bestFit="1" customWidth="1"/>
    <col min="13075" max="13075" width="9.33203125" bestFit="1" customWidth="1"/>
    <col min="13076" max="13076" width="11.5546875" bestFit="1" customWidth="1"/>
    <col min="13077" max="13077" width="9.33203125" bestFit="1" customWidth="1"/>
    <col min="13078" max="13078" width="11.5546875" bestFit="1" customWidth="1"/>
    <col min="13079" max="13079" width="9.33203125" bestFit="1" customWidth="1"/>
    <col min="13080" max="13080" width="11.5546875" bestFit="1" customWidth="1"/>
    <col min="13081" max="13081" width="9.33203125" bestFit="1" customWidth="1"/>
    <col min="13082" max="13082" width="11.5546875" bestFit="1" customWidth="1"/>
    <col min="13083" max="13083" width="9.33203125" bestFit="1" customWidth="1"/>
    <col min="13084" max="13084" width="11.5546875" bestFit="1" customWidth="1"/>
    <col min="13085" max="13085" width="9.33203125" bestFit="1" customWidth="1"/>
    <col min="13086" max="13086" width="11.5546875" bestFit="1" customWidth="1"/>
    <col min="13087" max="13087" width="9.33203125" bestFit="1" customWidth="1"/>
    <col min="13088" max="13088" width="11.5546875" bestFit="1" customWidth="1"/>
    <col min="13089" max="13089" width="9.33203125" bestFit="1" customWidth="1"/>
    <col min="13090" max="13090" width="11.5546875" bestFit="1" customWidth="1"/>
    <col min="13091" max="13091" width="9.33203125" bestFit="1" customWidth="1"/>
    <col min="13092" max="13092" width="11.5546875" bestFit="1" customWidth="1"/>
    <col min="13093" max="13093" width="9.33203125" bestFit="1" customWidth="1"/>
    <col min="13094" max="13094" width="11.5546875" bestFit="1" customWidth="1"/>
    <col min="13095" max="13095" width="9.33203125" bestFit="1" customWidth="1"/>
    <col min="13096" max="13096" width="11.5546875" bestFit="1" customWidth="1"/>
    <col min="13097" max="13097" width="9.33203125" bestFit="1" customWidth="1"/>
    <col min="13098" max="13098" width="11.5546875" bestFit="1" customWidth="1"/>
    <col min="13099" max="13099" width="9.33203125" bestFit="1" customWidth="1"/>
    <col min="13100" max="13100" width="11.5546875" bestFit="1" customWidth="1"/>
    <col min="13101" max="13101" width="9.33203125" bestFit="1" customWidth="1"/>
    <col min="13102" max="13102" width="11.5546875" bestFit="1" customWidth="1"/>
    <col min="13103" max="13103" width="9.33203125" bestFit="1" customWidth="1"/>
    <col min="13104" max="13104" width="11.5546875" bestFit="1" customWidth="1"/>
    <col min="13105" max="13105" width="9.33203125" bestFit="1" customWidth="1"/>
    <col min="13106" max="13106" width="11.5546875" bestFit="1" customWidth="1"/>
    <col min="13107" max="13107" width="9.33203125" bestFit="1" customWidth="1"/>
    <col min="13315" max="13315" width="29.44140625" bestFit="1" customWidth="1"/>
    <col min="13316" max="13316" width="11.5546875" bestFit="1" customWidth="1"/>
    <col min="13317" max="13317" width="9.33203125" bestFit="1" customWidth="1"/>
    <col min="13318" max="13318" width="11.5546875" bestFit="1" customWidth="1"/>
    <col min="13319" max="13319" width="9.33203125" bestFit="1" customWidth="1"/>
    <col min="13320" max="13320" width="11.5546875" bestFit="1" customWidth="1"/>
    <col min="13321" max="13321" width="9.33203125" bestFit="1" customWidth="1"/>
    <col min="13322" max="13322" width="11.5546875" bestFit="1" customWidth="1"/>
    <col min="13323" max="13323" width="9.33203125" bestFit="1" customWidth="1"/>
    <col min="13324" max="13324" width="11.5546875" bestFit="1" customWidth="1"/>
    <col min="13325" max="13325" width="9.33203125" bestFit="1" customWidth="1"/>
    <col min="13326" max="13326" width="11.5546875" bestFit="1" customWidth="1"/>
    <col min="13327" max="13327" width="9.33203125" bestFit="1" customWidth="1"/>
    <col min="13328" max="13328" width="11.5546875" bestFit="1" customWidth="1"/>
    <col min="13329" max="13329" width="9.33203125" bestFit="1" customWidth="1"/>
    <col min="13330" max="13330" width="11.5546875" bestFit="1" customWidth="1"/>
    <col min="13331" max="13331" width="9.33203125" bestFit="1" customWidth="1"/>
    <col min="13332" max="13332" width="11.5546875" bestFit="1" customWidth="1"/>
    <col min="13333" max="13333" width="9.33203125" bestFit="1" customWidth="1"/>
    <col min="13334" max="13334" width="11.5546875" bestFit="1" customWidth="1"/>
    <col min="13335" max="13335" width="9.33203125" bestFit="1" customWidth="1"/>
    <col min="13336" max="13336" width="11.5546875" bestFit="1" customWidth="1"/>
    <col min="13337" max="13337" width="9.33203125" bestFit="1" customWidth="1"/>
    <col min="13338" max="13338" width="11.5546875" bestFit="1" customWidth="1"/>
    <col min="13339" max="13339" width="9.33203125" bestFit="1" customWidth="1"/>
    <col min="13340" max="13340" width="11.5546875" bestFit="1" customWidth="1"/>
    <col min="13341" max="13341" width="9.33203125" bestFit="1" customWidth="1"/>
    <col min="13342" max="13342" width="11.5546875" bestFit="1" customWidth="1"/>
    <col min="13343" max="13343" width="9.33203125" bestFit="1" customWidth="1"/>
    <col min="13344" max="13344" width="11.5546875" bestFit="1" customWidth="1"/>
    <col min="13345" max="13345" width="9.33203125" bestFit="1" customWidth="1"/>
    <col min="13346" max="13346" width="11.5546875" bestFit="1" customWidth="1"/>
    <col min="13347" max="13347" width="9.33203125" bestFit="1" customWidth="1"/>
    <col min="13348" max="13348" width="11.5546875" bestFit="1" customWidth="1"/>
    <col min="13349" max="13349" width="9.33203125" bestFit="1" customWidth="1"/>
    <col min="13350" max="13350" width="11.5546875" bestFit="1" customWidth="1"/>
    <col min="13351" max="13351" width="9.33203125" bestFit="1" customWidth="1"/>
    <col min="13352" max="13352" width="11.5546875" bestFit="1" customWidth="1"/>
    <col min="13353" max="13353" width="9.33203125" bestFit="1" customWidth="1"/>
    <col min="13354" max="13354" width="11.5546875" bestFit="1" customWidth="1"/>
    <col min="13355" max="13355" width="9.33203125" bestFit="1" customWidth="1"/>
    <col min="13356" max="13356" width="11.5546875" bestFit="1" customWidth="1"/>
    <col min="13357" max="13357" width="9.33203125" bestFit="1" customWidth="1"/>
    <col min="13358" max="13358" width="11.5546875" bestFit="1" customWidth="1"/>
    <col min="13359" max="13359" width="9.33203125" bestFit="1" customWidth="1"/>
    <col min="13360" max="13360" width="11.5546875" bestFit="1" customWidth="1"/>
    <col min="13361" max="13361" width="9.33203125" bestFit="1" customWidth="1"/>
    <col min="13362" max="13362" width="11.5546875" bestFit="1" customWidth="1"/>
    <col min="13363" max="13363" width="9.33203125" bestFit="1" customWidth="1"/>
    <col min="13571" max="13571" width="29.44140625" bestFit="1" customWidth="1"/>
    <col min="13572" max="13572" width="11.5546875" bestFit="1" customWidth="1"/>
    <col min="13573" max="13573" width="9.33203125" bestFit="1" customWidth="1"/>
    <col min="13574" max="13574" width="11.5546875" bestFit="1" customWidth="1"/>
    <col min="13575" max="13575" width="9.33203125" bestFit="1" customWidth="1"/>
    <col min="13576" max="13576" width="11.5546875" bestFit="1" customWidth="1"/>
    <col min="13577" max="13577" width="9.33203125" bestFit="1" customWidth="1"/>
    <col min="13578" max="13578" width="11.5546875" bestFit="1" customWidth="1"/>
    <col min="13579" max="13579" width="9.33203125" bestFit="1" customWidth="1"/>
    <col min="13580" max="13580" width="11.5546875" bestFit="1" customWidth="1"/>
    <col min="13581" max="13581" width="9.33203125" bestFit="1" customWidth="1"/>
    <col min="13582" max="13582" width="11.5546875" bestFit="1" customWidth="1"/>
    <col min="13583" max="13583" width="9.33203125" bestFit="1" customWidth="1"/>
    <col min="13584" max="13584" width="11.5546875" bestFit="1" customWidth="1"/>
    <col min="13585" max="13585" width="9.33203125" bestFit="1" customWidth="1"/>
    <col min="13586" max="13586" width="11.5546875" bestFit="1" customWidth="1"/>
    <col min="13587" max="13587" width="9.33203125" bestFit="1" customWidth="1"/>
    <col min="13588" max="13588" width="11.5546875" bestFit="1" customWidth="1"/>
    <col min="13589" max="13589" width="9.33203125" bestFit="1" customWidth="1"/>
    <col min="13590" max="13590" width="11.5546875" bestFit="1" customWidth="1"/>
    <col min="13591" max="13591" width="9.33203125" bestFit="1" customWidth="1"/>
    <col min="13592" max="13592" width="11.5546875" bestFit="1" customWidth="1"/>
    <col min="13593" max="13593" width="9.33203125" bestFit="1" customWidth="1"/>
    <col min="13594" max="13594" width="11.5546875" bestFit="1" customWidth="1"/>
    <col min="13595" max="13595" width="9.33203125" bestFit="1" customWidth="1"/>
    <col min="13596" max="13596" width="11.5546875" bestFit="1" customWidth="1"/>
    <col min="13597" max="13597" width="9.33203125" bestFit="1" customWidth="1"/>
    <col min="13598" max="13598" width="11.5546875" bestFit="1" customWidth="1"/>
    <col min="13599" max="13599" width="9.33203125" bestFit="1" customWidth="1"/>
    <col min="13600" max="13600" width="11.5546875" bestFit="1" customWidth="1"/>
    <col min="13601" max="13601" width="9.33203125" bestFit="1" customWidth="1"/>
    <col min="13602" max="13602" width="11.5546875" bestFit="1" customWidth="1"/>
    <col min="13603" max="13603" width="9.33203125" bestFit="1" customWidth="1"/>
    <col min="13604" max="13604" width="11.5546875" bestFit="1" customWidth="1"/>
    <col min="13605" max="13605" width="9.33203125" bestFit="1" customWidth="1"/>
    <col min="13606" max="13606" width="11.5546875" bestFit="1" customWidth="1"/>
    <col min="13607" max="13607" width="9.33203125" bestFit="1" customWidth="1"/>
    <col min="13608" max="13608" width="11.5546875" bestFit="1" customWidth="1"/>
    <col min="13609" max="13609" width="9.33203125" bestFit="1" customWidth="1"/>
    <col min="13610" max="13610" width="11.5546875" bestFit="1" customWidth="1"/>
    <col min="13611" max="13611" width="9.33203125" bestFit="1" customWidth="1"/>
    <col min="13612" max="13612" width="11.5546875" bestFit="1" customWidth="1"/>
    <col min="13613" max="13613" width="9.33203125" bestFit="1" customWidth="1"/>
    <col min="13614" max="13614" width="11.5546875" bestFit="1" customWidth="1"/>
    <col min="13615" max="13615" width="9.33203125" bestFit="1" customWidth="1"/>
    <col min="13616" max="13616" width="11.5546875" bestFit="1" customWidth="1"/>
    <col min="13617" max="13617" width="9.33203125" bestFit="1" customWidth="1"/>
    <col min="13618" max="13618" width="11.5546875" bestFit="1" customWidth="1"/>
    <col min="13619" max="13619" width="9.33203125" bestFit="1" customWidth="1"/>
    <col min="13827" max="13827" width="29.44140625" bestFit="1" customWidth="1"/>
    <col min="13828" max="13828" width="11.5546875" bestFit="1" customWidth="1"/>
    <col min="13829" max="13829" width="9.33203125" bestFit="1" customWidth="1"/>
    <col min="13830" max="13830" width="11.5546875" bestFit="1" customWidth="1"/>
    <col min="13831" max="13831" width="9.33203125" bestFit="1" customWidth="1"/>
    <col min="13832" max="13832" width="11.5546875" bestFit="1" customWidth="1"/>
    <col min="13833" max="13833" width="9.33203125" bestFit="1" customWidth="1"/>
    <col min="13834" max="13834" width="11.5546875" bestFit="1" customWidth="1"/>
    <col min="13835" max="13835" width="9.33203125" bestFit="1" customWidth="1"/>
    <col min="13836" max="13836" width="11.5546875" bestFit="1" customWidth="1"/>
    <col min="13837" max="13837" width="9.33203125" bestFit="1" customWidth="1"/>
    <col min="13838" max="13838" width="11.5546875" bestFit="1" customWidth="1"/>
    <col min="13839" max="13839" width="9.33203125" bestFit="1" customWidth="1"/>
    <col min="13840" max="13840" width="11.5546875" bestFit="1" customWidth="1"/>
    <col min="13841" max="13841" width="9.33203125" bestFit="1" customWidth="1"/>
    <col min="13842" max="13842" width="11.5546875" bestFit="1" customWidth="1"/>
    <col min="13843" max="13843" width="9.33203125" bestFit="1" customWidth="1"/>
    <col min="13844" max="13844" width="11.5546875" bestFit="1" customWidth="1"/>
    <col min="13845" max="13845" width="9.33203125" bestFit="1" customWidth="1"/>
    <col min="13846" max="13846" width="11.5546875" bestFit="1" customWidth="1"/>
    <col min="13847" max="13847" width="9.33203125" bestFit="1" customWidth="1"/>
    <col min="13848" max="13848" width="11.5546875" bestFit="1" customWidth="1"/>
    <col min="13849" max="13849" width="9.33203125" bestFit="1" customWidth="1"/>
    <col min="13850" max="13850" width="11.5546875" bestFit="1" customWidth="1"/>
    <col min="13851" max="13851" width="9.33203125" bestFit="1" customWidth="1"/>
    <col min="13852" max="13852" width="11.5546875" bestFit="1" customWidth="1"/>
    <col min="13853" max="13853" width="9.33203125" bestFit="1" customWidth="1"/>
    <col min="13854" max="13854" width="11.5546875" bestFit="1" customWidth="1"/>
    <col min="13855" max="13855" width="9.33203125" bestFit="1" customWidth="1"/>
    <col min="13856" max="13856" width="11.5546875" bestFit="1" customWidth="1"/>
    <col min="13857" max="13857" width="9.33203125" bestFit="1" customWidth="1"/>
    <col min="13858" max="13858" width="11.5546875" bestFit="1" customWidth="1"/>
    <col min="13859" max="13859" width="9.33203125" bestFit="1" customWidth="1"/>
    <col min="13860" max="13860" width="11.5546875" bestFit="1" customWidth="1"/>
    <col min="13861" max="13861" width="9.33203125" bestFit="1" customWidth="1"/>
    <col min="13862" max="13862" width="11.5546875" bestFit="1" customWidth="1"/>
    <col min="13863" max="13863" width="9.33203125" bestFit="1" customWidth="1"/>
    <col min="13864" max="13864" width="11.5546875" bestFit="1" customWidth="1"/>
    <col min="13865" max="13865" width="9.33203125" bestFit="1" customWidth="1"/>
    <col min="13866" max="13866" width="11.5546875" bestFit="1" customWidth="1"/>
    <col min="13867" max="13867" width="9.33203125" bestFit="1" customWidth="1"/>
    <col min="13868" max="13868" width="11.5546875" bestFit="1" customWidth="1"/>
    <col min="13869" max="13869" width="9.33203125" bestFit="1" customWidth="1"/>
    <col min="13870" max="13870" width="11.5546875" bestFit="1" customWidth="1"/>
    <col min="13871" max="13871" width="9.33203125" bestFit="1" customWidth="1"/>
    <col min="13872" max="13872" width="11.5546875" bestFit="1" customWidth="1"/>
    <col min="13873" max="13873" width="9.33203125" bestFit="1" customWidth="1"/>
    <col min="13874" max="13874" width="11.5546875" bestFit="1" customWidth="1"/>
    <col min="13875" max="13875" width="9.33203125" bestFit="1" customWidth="1"/>
    <col min="14083" max="14083" width="29.44140625" bestFit="1" customWidth="1"/>
    <col min="14084" max="14084" width="11.5546875" bestFit="1" customWidth="1"/>
    <col min="14085" max="14085" width="9.33203125" bestFit="1" customWidth="1"/>
    <col min="14086" max="14086" width="11.5546875" bestFit="1" customWidth="1"/>
    <col min="14087" max="14087" width="9.33203125" bestFit="1" customWidth="1"/>
    <col min="14088" max="14088" width="11.5546875" bestFit="1" customWidth="1"/>
    <col min="14089" max="14089" width="9.33203125" bestFit="1" customWidth="1"/>
    <col min="14090" max="14090" width="11.5546875" bestFit="1" customWidth="1"/>
    <col min="14091" max="14091" width="9.33203125" bestFit="1" customWidth="1"/>
    <col min="14092" max="14092" width="11.5546875" bestFit="1" customWidth="1"/>
    <col min="14093" max="14093" width="9.33203125" bestFit="1" customWidth="1"/>
    <col min="14094" max="14094" width="11.5546875" bestFit="1" customWidth="1"/>
    <col min="14095" max="14095" width="9.33203125" bestFit="1" customWidth="1"/>
    <col min="14096" max="14096" width="11.5546875" bestFit="1" customWidth="1"/>
    <col min="14097" max="14097" width="9.33203125" bestFit="1" customWidth="1"/>
    <col min="14098" max="14098" width="11.5546875" bestFit="1" customWidth="1"/>
    <col min="14099" max="14099" width="9.33203125" bestFit="1" customWidth="1"/>
    <col min="14100" max="14100" width="11.5546875" bestFit="1" customWidth="1"/>
    <col min="14101" max="14101" width="9.33203125" bestFit="1" customWidth="1"/>
    <col min="14102" max="14102" width="11.5546875" bestFit="1" customWidth="1"/>
    <col min="14103" max="14103" width="9.33203125" bestFit="1" customWidth="1"/>
    <col min="14104" max="14104" width="11.5546875" bestFit="1" customWidth="1"/>
    <col min="14105" max="14105" width="9.33203125" bestFit="1" customWidth="1"/>
    <col min="14106" max="14106" width="11.5546875" bestFit="1" customWidth="1"/>
    <col min="14107" max="14107" width="9.33203125" bestFit="1" customWidth="1"/>
    <col min="14108" max="14108" width="11.5546875" bestFit="1" customWidth="1"/>
    <col min="14109" max="14109" width="9.33203125" bestFit="1" customWidth="1"/>
    <col min="14110" max="14110" width="11.5546875" bestFit="1" customWidth="1"/>
    <col min="14111" max="14111" width="9.33203125" bestFit="1" customWidth="1"/>
    <col min="14112" max="14112" width="11.5546875" bestFit="1" customWidth="1"/>
    <col min="14113" max="14113" width="9.33203125" bestFit="1" customWidth="1"/>
    <col min="14114" max="14114" width="11.5546875" bestFit="1" customWidth="1"/>
    <col min="14115" max="14115" width="9.33203125" bestFit="1" customWidth="1"/>
    <col min="14116" max="14116" width="11.5546875" bestFit="1" customWidth="1"/>
    <col min="14117" max="14117" width="9.33203125" bestFit="1" customWidth="1"/>
    <col min="14118" max="14118" width="11.5546875" bestFit="1" customWidth="1"/>
    <col min="14119" max="14119" width="9.33203125" bestFit="1" customWidth="1"/>
    <col min="14120" max="14120" width="11.5546875" bestFit="1" customWidth="1"/>
    <col min="14121" max="14121" width="9.33203125" bestFit="1" customWidth="1"/>
    <col min="14122" max="14122" width="11.5546875" bestFit="1" customWidth="1"/>
    <col min="14123" max="14123" width="9.33203125" bestFit="1" customWidth="1"/>
    <col min="14124" max="14124" width="11.5546875" bestFit="1" customWidth="1"/>
    <col min="14125" max="14125" width="9.33203125" bestFit="1" customWidth="1"/>
    <col min="14126" max="14126" width="11.5546875" bestFit="1" customWidth="1"/>
    <col min="14127" max="14127" width="9.33203125" bestFit="1" customWidth="1"/>
    <col min="14128" max="14128" width="11.5546875" bestFit="1" customWidth="1"/>
    <col min="14129" max="14129" width="9.33203125" bestFit="1" customWidth="1"/>
    <col min="14130" max="14130" width="11.5546875" bestFit="1" customWidth="1"/>
    <col min="14131" max="14131" width="9.33203125" bestFit="1" customWidth="1"/>
    <col min="14339" max="14339" width="29.44140625" bestFit="1" customWidth="1"/>
    <col min="14340" max="14340" width="11.5546875" bestFit="1" customWidth="1"/>
    <col min="14341" max="14341" width="9.33203125" bestFit="1" customWidth="1"/>
    <col min="14342" max="14342" width="11.5546875" bestFit="1" customWidth="1"/>
    <col min="14343" max="14343" width="9.33203125" bestFit="1" customWidth="1"/>
    <col min="14344" max="14344" width="11.5546875" bestFit="1" customWidth="1"/>
    <col min="14345" max="14345" width="9.33203125" bestFit="1" customWidth="1"/>
    <col min="14346" max="14346" width="11.5546875" bestFit="1" customWidth="1"/>
    <col min="14347" max="14347" width="9.33203125" bestFit="1" customWidth="1"/>
    <col min="14348" max="14348" width="11.5546875" bestFit="1" customWidth="1"/>
    <col min="14349" max="14349" width="9.33203125" bestFit="1" customWidth="1"/>
    <col min="14350" max="14350" width="11.5546875" bestFit="1" customWidth="1"/>
    <col min="14351" max="14351" width="9.33203125" bestFit="1" customWidth="1"/>
    <col min="14352" max="14352" width="11.5546875" bestFit="1" customWidth="1"/>
    <col min="14353" max="14353" width="9.33203125" bestFit="1" customWidth="1"/>
    <col min="14354" max="14354" width="11.5546875" bestFit="1" customWidth="1"/>
    <col min="14355" max="14355" width="9.33203125" bestFit="1" customWidth="1"/>
    <col min="14356" max="14356" width="11.5546875" bestFit="1" customWidth="1"/>
    <col min="14357" max="14357" width="9.33203125" bestFit="1" customWidth="1"/>
    <col min="14358" max="14358" width="11.5546875" bestFit="1" customWidth="1"/>
    <col min="14359" max="14359" width="9.33203125" bestFit="1" customWidth="1"/>
    <col min="14360" max="14360" width="11.5546875" bestFit="1" customWidth="1"/>
    <col min="14361" max="14361" width="9.33203125" bestFit="1" customWidth="1"/>
    <col min="14362" max="14362" width="11.5546875" bestFit="1" customWidth="1"/>
    <col min="14363" max="14363" width="9.33203125" bestFit="1" customWidth="1"/>
    <col min="14364" max="14364" width="11.5546875" bestFit="1" customWidth="1"/>
    <col min="14365" max="14365" width="9.33203125" bestFit="1" customWidth="1"/>
    <col min="14366" max="14366" width="11.5546875" bestFit="1" customWidth="1"/>
    <col min="14367" max="14367" width="9.33203125" bestFit="1" customWidth="1"/>
    <col min="14368" max="14368" width="11.5546875" bestFit="1" customWidth="1"/>
    <col min="14369" max="14369" width="9.33203125" bestFit="1" customWidth="1"/>
    <col min="14370" max="14370" width="11.5546875" bestFit="1" customWidth="1"/>
    <col min="14371" max="14371" width="9.33203125" bestFit="1" customWidth="1"/>
    <col min="14372" max="14372" width="11.5546875" bestFit="1" customWidth="1"/>
    <col min="14373" max="14373" width="9.33203125" bestFit="1" customWidth="1"/>
    <col min="14374" max="14374" width="11.5546875" bestFit="1" customWidth="1"/>
    <col min="14375" max="14375" width="9.33203125" bestFit="1" customWidth="1"/>
    <col min="14376" max="14376" width="11.5546875" bestFit="1" customWidth="1"/>
    <col min="14377" max="14377" width="9.33203125" bestFit="1" customWidth="1"/>
    <col min="14378" max="14378" width="11.5546875" bestFit="1" customWidth="1"/>
    <col min="14379" max="14379" width="9.33203125" bestFit="1" customWidth="1"/>
    <col min="14380" max="14380" width="11.5546875" bestFit="1" customWidth="1"/>
    <col min="14381" max="14381" width="9.33203125" bestFit="1" customWidth="1"/>
    <col min="14382" max="14382" width="11.5546875" bestFit="1" customWidth="1"/>
    <col min="14383" max="14383" width="9.33203125" bestFit="1" customWidth="1"/>
    <col min="14384" max="14384" width="11.5546875" bestFit="1" customWidth="1"/>
    <col min="14385" max="14385" width="9.33203125" bestFit="1" customWidth="1"/>
    <col min="14386" max="14386" width="11.5546875" bestFit="1" customWidth="1"/>
    <col min="14387" max="14387" width="9.33203125" bestFit="1" customWidth="1"/>
    <col min="14595" max="14595" width="29.44140625" bestFit="1" customWidth="1"/>
    <col min="14596" max="14596" width="11.5546875" bestFit="1" customWidth="1"/>
    <col min="14597" max="14597" width="9.33203125" bestFit="1" customWidth="1"/>
    <col min="14598" max="14598" width="11.5546875" bestFit="1" customWidth="1"/>
    <col min="14599" max="14599" width="9.33203125" bestFit="1" customWidth="1"/>
    <col min="14600" max="14600" width="11.5546875" bestFit="1" customWidth="1"/>
    <col min="14601" max="14601" width="9.33203125" bestFit="1" customWidth="1"/>
    <col min="14602" max="14602" width="11.5546875" bestFit="1" customWidth="1"/>
    <col min="14603" max="14603" width="9.33203125" bestFit="1" customWidth="1"/>
    <col min="14604" max="14604" width="11.5546875" bestFit="1" customWidth="1"/>
    <col min="14605" max="14605" width="9.33203125" bestFit="1" customWidth="1"/>
    <col min="14606" max="14606" width="11.5546875" bestFit="1" customWidth="1"/>
    <col min="14607" max="14607" width="9.33203125" bestFit="1" customWidth="1"/>
    <col min="14608" max="14608" width="11.5546875" bestFit="1" customWidth="1"/>
    <col min="14609" max="14609" width="9.33203125" bestFit="1" customWidth="1"/>
    <col min="14610" max="14610" width="11.5546875" bestFit="1" customWidth="1"/>
    <col min="14611" max="14611" width="9.33203125" bestFit="1" customWidth="1"/>
    <col min="14612" max="14612" width="11.5546875" bestFit="1" customWidth="1"/>
    <col min="14613" max="14613" width="9.33203125" bestFit="1" customWidth="1"/>
    <col min="14614" max="14614" width="11.5546875" bestFit="1" customWidth="1"/>
    <col min="14615" max="14615" width="9.33203125" bestFit="1" customWidth="1"/>
    <col min="14616" max="14616" width="11.5546875" bestFit="1" customWidth="1"/>
    <col min="14617" max="14617" width="9.33203125" bestFit="1" customWidth="1"/>
    <col min="14618" max="14618" width="11.5546875" bestFit="1" customWidth="1"/>
    <col min="14619" max="14619" width="9.33203125" bestFit="1" customWidth="1"/>
    <col min="14620" max="14620" width="11.5546875" bestFit="1" customWidth="1"/>
    <col min="14621" max="14621" width="9.33203125" bestFit="1" customWidth="1"/>
    <col min="14622" max="14622" width="11.5546875" bestFit="1" customWidth="1"/>
    <col min="14623" max="14623" width="9.33203125" bestFit="1" customWidth="1"/>
    <col min="14624" max="14624" width="11.5546875" bestFit="1" customWidth="1"/>
    <col min="14625" max="14625" width="9.33203125" bestFit="1" customWidth="1"/>
    <col min="14626" max="14626" width="11.5546875" bestFit="1" customWidth="1"/>
    <col min="14627" max="14627" width="9.33203125" bestFit="1" customWidth="1"/>
    <col min="14628" max="14628" width="11.5546875" bestFit="1" customWidth="1"/>
    <col min="14629" max="14629" width="9.33203125" bestFit="1" customWidth="1"/>
    <col min="14630" max="14630" width="11.5546875" bestFit="1" customWidth="1"/>
    <col min="14631" max="14631" width="9.33203125" bestFit="1" customWidth="1"/>
    <col min="14632" max="14632" width="11.5546875" bestFit="1" customWidth="1"/>
    <col min="14633" max="14633" width="9.33203125" bestFit="1" customWidth="1"/>
    <col min="14634" max="14634" width="11.5546875" bestFit="1" customWidth="1"/>
    <col min="14635" max="14635" width="9.33203125" bestFit="1" customWidth="1"/>
    <col min="14636" max="14636" width="11.5546875" bestFit="1" customWidth="1"/>
    <col min="14637" max="14637" width="9.33203125" bestFit="1" customWidth="1"/>
    <col min="14638" max="14638" width="11.5546875" bestFit="1" customWidth="1"/>
    <col min="14639" max="14639" width="9.33203125" bestFit="1" customWidth="1"/>
    <col min="14640" max="14640" width="11.5546875" bestFit="1" customWidth="1"/>
    <col min="14641" max="14641" width="9.33203125" bestFit="1" customWidth="1"/>
    <col min="14642" max="14642" width="11.5546875" bestFit="1" customWidth="1"/>
    <col min="14643" max="14643" width="9.33203125" bestFit="1" customWidth="1"/>
    <col min="14851" max="14851" width="29.44140625" bestFit="1" customWidth="1"/>
    <col min="14852" max="14852" width="11.5546875" bestFit="1" customWidth="1"/>
    <col min="14853" max="14853" width="9.33203125" bestFit="1" customWidth="1"/>
    <col min="14854" max="14854" width="11.5546875" bestFit="1" customWidth="1"/>
    <col min="14855" max="14855" width="9.33203125" bestFit="1" customWidth="1"/>
    <col min="14856" max="14856" width="11.5546875" bestFit="1" customWidth="1"/>
    <col min="14857" max="14857" width="9.33203125" bestFit="1" customWidth="1"/>
    <col min="14858" max="14858" width="11.5546875" bestFit="1" customWidth="1"/>
    <col min="14859" max="14859" width="9.33203125" bestFit="1" customWidth="1"/>
    <col min="14860" max="14860" width="11.5546875" bestFit="1" customWidth="1"/>
    <col min="14861" max="14861" width="9.33203125" bestFit="1" customWidth="1"/>
    <col min="14862" max="14862" width="11.5546875" bestFit="1" customWidth="1"/>
    <col min="14863" max="14863" width="9.33203125" bestFit="1" customWidth="1"/>
    <col min="14864" max="14864" width="11.5546875" bestFit="1" customWidth="1"/>
    <col min="14865" max="14865" width="9.33203125" bestFit="1" customWidth="1"/>
    <col min="14866" max="14866" width="11.5546875" bestFit="1" customWidth="1"/>
    <col min="14867" max="14867" width="9.33203125" bestFit="1" customWidth="1"/>
    <col min="14868" max="14868" width="11.5546875" bestFit="1" customWidth="1"/>
    <col min="14869" max="14869" width="9.33203125" bestFit="1" customWidth="1"/>
    <col min="14870" max="14870" width="11.5546875" bestFit="1" customWidth="1"/>
    <col min="14871" max="14871" width="9.33203125" bestFit="1" customWidth="1"/>
    <col min="14872" max="14872" width="11.5546875" bestFit="1" customWidth="1"/>
    <col min="14873" max="14873" width="9.33203125" bestFit="1" customWidth="1"/>
    <col min="14874" max="14874" width="11.5546875" bestFit="1" customWidth="1"/>
    <col min="14875" max="14875" width="9.33203125" bestFit="1" customWidth="1"/>
    <col min="14876" max="14876" width="11.5546875" bestFit="1" customWidth="1"/>
    <col min="14877" max="14877" width="9.33203125" bestFit="1" customWidth="1"/>
    <col min="14878" max="14878" width="11.5546875" bestFit="1" customWidth="1"/>
    <col min="14879" max="14879" width="9.33203125" bestFit="1" customWidth="1"/>
    <col min="14880" max="14880" width="11.5546875" bestFit="1" customWidth="1"/>
    <col min="14881" max="14881" width="9.33203125" bestFit="1" customWidth="1"/>
    <col min="14882" max="14882" width="11.5546875" bestFit="1" customWidth="1"/>
    <col min="14883" max="14883" width="9.33203125" bestFit="1" customWidth="1"/>
    <col min="14884" max="14884" width="11.5546875" bestFit="1" customWidth="1"/>
    <col min="14885" max="14885" width="9.33203125" bestFit="1" customWidth="1"/>
    <col min="14886" max="14886" width="11.5546875" bestFit="1" customWidth="1"/>
    <col min="14887" max="14887" width="9.33203125" bestFit="1" customWidth="1"/>
    <col min="14888" max="14888" width="11.5546875" bestFit="1" customWidth="1"/>
    <col min="14889" max="14889" width="9.33203125" bestFit="1" customWidth="1"/>
    <col min="14890" max="14890" width="11.5546875" bestFit="1" customWidth="1"/>
    <col min="14891" max="14891" width="9.33203125" bestFit="1" customWidth="1"/>
    <col min="14892" max="14892" width="11.5546875" bestFit="1" customWidth="1"/>
    <col min="14893" max="14893" width="9.33203125" bestFit="1" customWidth="1"/>
    <col min="14894" max="14894" width="11.5546875" bestFit="1" customWidth="1"/>
    <col min="14895" max="14895" width="9.33203125" bestFit="1" customWidth="1"/>
    <col min="14896" max="14896" width="11.5546875" bestFit="1" customWidth="1"/>
    <col min="14897" max="14897" width="9.33203125" bestFit="1" customWidth="1"/>
    <col min="14898" max="14898" width="11.5546875" bestFit="1" customWidth="1"/>
    <col min="14899" max="14899" width="9.33203125" bestFit="1" customWidth="1"/>
    <col min="15107" max="15107" width="29.44140625" bestFit="1" customWidth="1"/>
    <col min="15108" max="15108" width="11.5546875" bestFit="1" customWidth="1"/>
    <col min="15109" max="15109" width="9.33203125" bestFit="1" customWidth="1"/>
    <col min="15110" max="15110" width="11.5546875" bestFit="1" customWidth="1"/>
    <col min="15111" max="15111" width="9.33203125" bestFit="1" customWidth="1"/>
    <col min="15112" max="15112" width="11.5546875" bestFit="1" customWidth="1"/>
    <col min="15113" max="15113" width="9.33203125" bestFit="1" customWidth="1"/>
    <col min="15114" max="15114" width="11.5546875" bestFit="1" customWidth="1"/>
    <col min="15115" max="15115" width="9.33203125" bestFit="1" customWidth="1"/>
    <col min="15116" max="15116" width="11.5546875" bestFit="1" customWidth="1"/>
    <col min="15117" max="15117" width="9.33203125" bestFit="1" customWidth="1"/>
    <col min="15118" max="15118" width="11.5546875" bestFit="1" customWidth="1"/>
    <col min="15119" max="15119" width="9.33203125" bestFit="1" customWidth="1"/>
    <col min="15120" max="15120" width="11.5546875" bestFit="1" customWidth="1"/>
    <col min="15121" max="15121" width="9.33203125" bestFit="1" customWidth="1"/>
    <col min="15122" max="15122" width="11.5546875" bestFit="1" customWidth="1"/>
    <col min="15123" max="15123" width="9.33203125" bestFit="1" customWidth="1"/>
    <col min="15124" max="15124" width="11.5546875" bestFit="1" customWidth="1"/>
    <col min="15125" max="15125" width="9.33203125" bestFit="1" customWidth="1"/>
    <col min="15126" max="15126" width="11.5546875" bestFit="1" customWidth="1"/>
    <col min="15127" max="15127" width="9.33203125" bestFit="1" customWidth="1"/>
    <col min="15128" max="15128" width="11.5546875" bestFit="1" customWidth="1"/>
    <col min="15129" max="15129" width="9.33203125" bestFit="1" customWidth="1"/>
    <col min="15130" max="15130" width="11.5546875" bestFit="1" customWidth="1"/>
    <col min="15131" max="15131" width="9.33203125" bestFit="1" customWidth="1"/>
    <col min="15132" max="15132" width="11.5546875" bestFit="1" customWidth="1"/>
    <col min="15133" max="15133" width="9.33203125" bestFit="1" customWidth="1"/>
    <col min="15134" max="15134" width="11.5546875" bestFit="1" customWidth="1"/>
    <col min="15135" max="15135" width="9.33203125" bestFit="1" customWidth="1"/>
    <col min="15136" max="15136" width="11.5546875" bestFit="1" customWidth="1"/>
    <col min="15137" max="15137" width="9.33203125" bestFit="1" customWidth="1"/>
    <col min="15138" max="15138" width="11.5546875" bestFit="1" customWidth="1"/>
    <col min="15139" max="15139" width="9.33203125" bestFit="1" customWidth="1"/>
    <col min="15140" max="15140" width="11.5546875" bestFit="1" customWidth="1"/>
    <col min="15141" max="15141" width="9.33203125" bestFit="1" customWidth="1"/>
    <col min="15142" max="15142" width="11.5546875" bestFit="1" customWidth="1"/>
    <col min="15143" max="15143" width="9.33203125" bestFit="1" customWidth="1"/>
    <col min="15144" max="15144" width="11.5546875" bestFit="1" customWidth="1"/>
    <col min="15145" max="15145" width="9.33203125" bestFit="1" customWidth="1"/>
    <col min="15146" max="15146" width="11.5546875" bestFit="1" customWidth="1"/>
    <col min="15147" max="15147" width="9.33203125" bestFit="1" customWidth="1"/>
    <col min="15148" max="15148" width="11.5546875" bestFit="1" customWidth="1"/>
    <col min="15149" max="15149" width="9.33203125" bestFit="1" customWidth="1"/>
    <col min="15150" max="15150" width="11.5546875" bestFit="1" customWidth="1"/>
    <col min="15151" max="15151" width="9.33203125" bestFit="1" customWidth="1"/>
    <col min="15152" max="15152" width="11.5546875" bestFit="1" customWidth="1"/>
    <col min="15153" max="15153" width="9.33203125" bestFit="1" customWidth="1"/>
    <col min="15154" max="15154" width="11.5546875" bestFit="1" customWidth="1"/>
    <col min="15155" max="15155" width="9.33203125" bestFit="1" customWidth="1"/>
    <col min="15363" max="15363" width="29.44140625" bestFit="1" customWidth="1"/>
    <col min="15364" max="15364" width="11.5546875" bestFit="1" customWidth="1"/>
    <col min="15365" max="15365" width="9.33203125" bestFit="1" customWidth="1"/>
    <col min="15366" max="15366" width="11.5546875" bestFit="1" customWidth="1"/>
    <col min="15367" max="15367" width="9.33203125" bestFit="1" customWidth="1"/>
    <col min="15368" max="15368" width="11.5546875" bestFit="1" customWidth="1"/>
    <col min="15369" max="15369" width="9.33203125" bestFit="1" customWidth="1"/>
    <col min="15370" max="15370" width="11.5546875" bestFit="1" customWidth="1"/>
    <col min="15371" max="15371" width="9.33203125" bestFit="1" customWidth="1"/>
    <col min="15372" max="15372" width="11.5546875" bestFit="1" customWidth="1"/>
    <col min="15373" max="15373" width="9.33203125" bestFit="1" customWidth="1"/>
    <col min="15374" max="15374" width="11.5546875" bestFit="1" customWidth="1"/>
    <col min="15375" max="15375" width="9.33203125" bestFit="1" customWidth="1"/>
    <col min="15376" max="15376" width="11.5546875" bestFit="1" customWidth="1"/>
    <col min="15377" max="15377" width="9.33203125" bestFit="1" customWidth="1"/>
    <col min="15378" max="15378" width="11.5546875" bestFit="1" customWidth="1"/>
    <col min="15379" max="15379" width="9.33203125" bestFit="1" customWidth="1"/>
    <col min="15380" max="15380" width="11.5546875" bestFit="1" customWidth="1"/>
    <col min="15381" max="15381" width="9.33203125" bestFit="1" customWidth="1"/>
    <col min="15382" max="15382" width="11.5546875" bestFit="1" customWidth="1"/>
    <col min="15383" max="15383" width="9.33203125" bestFit="1" customWidth="1"/>
    <col min="15384" max="15384" width="11.5546875" bestFit="1" customWidth="1"/>
    <col min="15385" max="15385" width="9.33203125" bestFit="1" customWidth="1"/>
    <col min="15386" max="15386" width="11.5546875" bestFit="1" customWidth="1"/>
    <col min="15387" max="15387" width="9.33203125" bestFit="1" customWidth="1"/>
    <col min="15388" max="15388" width="11.5546875" bestFit="1" customWidth="1"/>
    <col min="15389" max="15389" width="9.33203125" bestFit="1" customWidth="1"/>
    <col min="15390" max="15390" width="11.5546875" bestFit="1" customWidth="1"/>
    <col min="15391" max="15391" width="9.33203125" bestFit="1" customWidth="1"/>
    <col min="15392" max="15392" width="11.5546875" bestFit="1" customWidth="1"/>
    <col min="15393" max="15393" width="9.33203125" bestFit="1" customWidth="1"/>
    <col min="15394" max="15394" width="11.5546875" bestFit="1" customWidth="1"/>
    <col min="15395" max="15395" width="9.33203125" bestFit="1" customWidth="1"/>
    <col min="15396" max="15396" width="11.5546875" bestFit="1" customWidth="1"/>
    <col min="15397" max="15397" width="9.33203125" bestFit="1" customWidth="1"/>
    <col min="15398" max="15398" width="11.5546875" bestFit="1" customWidth="1"/>
    <col min="15399" max="15399" width="9.33203125" bestFit="1" customWidth="1"/>
    <col min="15400" max="15400" width="11.5546875" bestFit="1" customWidth="1"/>
    <col min="15401" max="15401" width="9.33203125" bestFit="1" customWidth="1"/>
    <col min="15402" max="15402" width="11.5546875" bestFit="1" customWidth="1"/>
    <col min="15403" max="15403" width="9.33203125" bestFit="1" customWidth="1"/>
    <col min="15404" max="15404" width="11.5546875" bestFit="1" customWidth="1"/>
    <col min="15405" max="15405" width="9.33203125" bestFit="1" customWidth="1"/>
    <col min="15406" max="15406" width="11.5546875" bestFit="1" customWidth="1"/>
    <col min="15407" max="15407" width="9.33203125" bestFit="1" customWidth="1"/>
    <col min="15408" max="15408" width="11.5546875" bestFit="1" customWidth="1"/>
    <col min="15409" max="15409" width="9.33203125" bestFit="1" customWidth="1"/>
    <col min="15410" max="15410" width="11.5546875" bestFit="1" customWidth="1"/>
    <col min="15411" max="15411" width="9.33203125" bestFit="1" customWidth="1"/>
    <col min="15619" max="15619" width="29.44140625" bestFit="1" customWidth="1"/>
    <col min="15620" max="15620" width="11.5546875" bestFit="1" customWidth="1"/>
    <col min="15621" max="15621" width="9.33203125" bestFit="1" customWidth="1"/>
    <col min="15622" max="15622" width="11.5546875" bestFit="1" customWidth="1"/>
    <col min="15623" max="15623" width="9.33203125" bestFit="1" customWidth="1"/>
    <col min="15624" max="15624" width="11.5546875" bestFit="1" customWidth="1"/>
    <col min="15625" max="15625" width="9.33203125" bestFit="1" customWidth="1"/>
    <col min="15626" max="15626" width="11.5546875" bestFit="1" customWidth="1"/>
    <col min="15627" max="15627" width="9.33203125" bestFit="1" customWidth="1"/>
    <col min="15628" max="15628" width="11.5546875" bestFit="1" customWidth="1"/>
    <col min="15629" max="15629" width="9.33203125" bestFit="1" customWidth="1"/>
    <col min="15630" max="15630" width="11.5546875" bestFit="1" customWidth="1"/>
    <col min="15631" max="15631" width="9.33203125" bestFit="1" customWidth="1"/>
    <col min="15632" max="15632" width="11.5546875" bestFit="1" customWidth="1"/>
    <col min="15633" max="15633" width="9.33203125" bestFit="1" customWidth="1"/>
    <col min="15634" max="15634" width="11.5546875" bestFit="1" customWidth="1"/>
    <col min="15635" max="15635" width="9.33203125" bestFit="1" customWidth="1"/>
    <col min="15636" max="15636" width="11.5546875" bestFit="1" customWidth="1"/>
    <col min="15637" max="15637" width="9.33203125" bestFit="1" customWidth="1"/>
    <col min="15638" max="15638" width="11.5546875" bestFit="1" customWidth="1"/>
    <col min="15639" max="15639" width="9.33203125" bestFit="1" customWidth="1"/>
    <col min="15640" max="15640" width="11.5546875" bestFit="1" customWidth="1"/>
    <col min="15641" max="15641" width="9.33203125" bestFit="1" customWidth="1"/>
    <col min="15642" max="15642" width="11.5546875" bestFit="1" customWidth="1"/>
    <col min="15643" max="15643" width="9.33203125" bestFit="1" customWidth="1"/>
    <col min="15644" max="15644" width="11.5546875" bestFit="1" customWidth="1"/>
    <col min="15645" max="15645" width="9.33203125" bestFit="1" customWidth="1"/>
    <col min="15646" max="15646" width="11.5546875" bestFit="1" customWidth="1"/>
    <col min="15647" max="15647" width="9.33203125" bestFit="1" customWidth="1"/>
    <col min="15648" max="15648" width="11.5546875" bestFit="1" customWidth="1"/>
    <col min="15649" max="15649" width="9.33203125" bestFit="1" customWidth="1"/>
    <col min="15650" max="15650" width="11.5546875" bestFit="1" customWidth="1"/>
    <col min="15651" max="15651" width="9.33203125" bestFit="1" customWidth="1"/>
    <col min="15652" max="15652" width="11.5546875" bestFit="1" customWidth="1"/>
    <col min="15653" max="15653" width="9.33203125" bestFit="1" customWidth="1"/>
    <col min="15654" max="15654" width="11.5546875" bestFit="1" customWidth="1"/>
    <col min="15655" max="15655" width="9.33203125" bestFit="1" customWidth="1"/>
    <col min="15656" max="15656" width="11.5546875" bestFit="1" customWidth="1"/>
    <col min="15657" max="15657" width="9.33203125" bestFit="1" customWidth="1"/>
    <col min="15658" max="15658" width="11.5546875" bestFit="1" customWidth="1"/>
    <col min="15659" max="15659" width="9.33203125" bestFit="1" customWidth="1"/>
    <col min="15660" max="15660" width="11.5546875" bestFit="1" customWidth="1"/>
    <col min="15661" max="15661" width="9.33203125" bestFit="1" customWidth="1"/>
    <col min="15662" max="15662" width="11.5546875" bestFit="1" customWidth="1"/>
    <col min="15663" max="15663" width="9.33203125" bestFit="1" customWidth="1"/>
    <col min="15664" max="15664" width="11.5546875" bestFit="1" customWidth="1"/>
    <col min="15665" max="15665" width="9.33203125" bestFit="1" customWidth="1"/>
    <col min="15666" max="15666" width="11.5546875" bestFit="1" customWidth="1"/>
    <col min="15667" max="15667" width="9.33203125" bestFit="1" customWidth="1"/>
    <col min="15875" max="15875" width="29.44140625" bestFit="1" customWidth="1"/>
    <col min="15876" max="15876" width="11.5546875" bestFit="1" customWidth="1"/>
    <col min="15877" max="15877" width="9.33203125" bestFit="1" customWidth="1"/>
    <col min="15878" max="15878" width="11.5546875" bestFit="1" customWidth="1"/>
    <col min="15879" max="15879" width="9.33203125" bestFit="1" customWidth="1"/>
    <col min="15880" max="15880" width="11.5546875" bestFit="1" customWidth="1"/>
    <col min="15881" max="15881" width="9.33203125" bestFit="1" customWidth="1"/>
    <col min="15882" max="15882" width="11.5546875" bestFit="1" customWidth="1"/>
    <col min="15883" max="15883" width="9.33203125" bestFit="1" customWidth="1"/>
    <col min="15884" max="15884" width="11.5546875" bestFit="1" customWidth="1"/>
    <col min="15885" max="15885" width="9.33203125" bestFit="1" customWidth="1"/>
    <col min="15886" max="15886" width="11.5546875" bestFit="1" customWidth="1"/>
    <col min="15887" max="15887" width="9.33203125" bestFit="1" customWidth="1"/>
    <col min="15888" max="15888" width="11.5546875" bestFit="1" customWidth="1"/>
    <col min="15889" max="15889" width="9.33203125" bestFit="1" customWidth="1"/>
    <col min="15890" max="15890" width="11.5546875" bestFit="1" customWidth="1"/>
    <col min="15891" max="15891" width="9.33203125" bestFit="1" customWidth="1"/>
    <col min="15892" max="15892" width="11.5546875" bestFit="1" customWidth="1"/>
    <col min="15893" max="15893" width="9.33203125" bestFit="1" customWidth="1"/>
    <col min="15894" max="15894" width="11.5546875" bestFit="1" customWidth="1"/>
    <col min="15895" max="15895" width="9.33203125" bestFit="1" customWidth="1"/>
    <col min="15896" max="15896" width="11.5546875" bestFit="1" customWidth="1"/>
    <col min="15897" max="15897" width="9.33203125" bestFit="1" customWidth="1"/>
    <col min="15898" max="15898" width="11.5546875" bestFit="1" customWidth="1"/>
    <col min="15899" max="15899" width="9.33203125" bestFit="1" customWidth="1"/>
    <col min="15900" max="15900" width="11.5546875" bestFit="1" customWidth="1"/>
    <col min="15901" max="15901" width="9.33203125" bestFit="1" customWidth="1"/>
    <col min="15902" max="15902" width="11.5546875" bestFit="1" customWidth="1"/>
    <col min="15903" max="15903" width="9.33203125" bestFit="1" customWidth="1"/>
    <col min="15904" max="15904" width="11.5546875" bestFit="1" customWidth="1"/>
    <col min="15905" max="15905" width="9.33203125" bestFit="1" customWidth="1"/>
    <col min="15906" max="15906" width="11.5546875" bestFit="1" customWidth="1"/>
    <col min="15907" max="15907" width="9.33203125" bestFit="1" customWidth="1"/>
    <col min="15908" max="15908" width="11.5546875" bestFit="1" customWidth="1"/>
    <col min="15909" max="15909" width="9.33203125" bestFit="1" customWidth="1"/>
    <col min="15910" max="15910" width="11.5546875" bestFit="1" customWidth="1"/>
    <col min="15911" max="15911" width="9.33203125" bestFit="1" customWidth="1"/>
    <col min="15912" max="15912" width="11.5546875" bestFit="1" customWidth="1"/>
    <col min="15913" max="15913" width="9.33203125" bestFit="1" customWidth="1"/>
    <col min="15914" max="15914" width="11.5546875" bestFit="1" customWidth="1"/>
    <col min="15915" max="15915" width="9.33203125" bestFit="1" customWidth="1"/>
    <col min="15916" max="15916" width="11.5546875" bestFit="1" customWidth="1"/>
    <col min="15917" max="15917" width="9.33203125" bestFit="1" customWidth="1"/>
    <col min="15918" max="15918" width="11.5546875" bestFit="1" customWidth="1"/>
    <col min="15919" max="15919" width="9.33203125" bestFit="1" customWidth="1"/>
    <col min="15920" max="15920" width="11.5546875" bestFit="1" customWidth="1"/>
    <col min="15921" max="15921" width="9.33203125" bestFit="1" customWidth="1"/>
    <col min="15922" max="15922" width="11.5546875" bestFit="1" customWidth="1"/>
    <col min="15923" max="15923" width="9.33203125" bestFit="1" customWidth="1"/>
    <col min="16131" max="16131" width="29.44140625" bestFit="1" customWidth="1"/>
    <col min="16132" max="16132" width="11.5546875" bestFit="1" customWidth="1"/>
    <col min="16133" max="16133" width="9.33203125" bestFit="1" customWidth="1"/>
    <col min="16134" max="16134" width="11.5546875" bestFit="1" customWidth="1"/>
    <col min="16135" max="16135" width="9.33203125" bestFit="1" customWidth="1"/>
    <col min="16136" max="16136" width="11.5546875" bestFit="1" customWidth="1"/>
    <col min="16137" max="16137" width="9.33203125" bestFit="1" customWidth="1"/>
    <col min="16138" max="16138" width="11.5546875" bestFit="1" customWidth="1"/>
    <col min="16139" max="16139" width="9.33203125" bestFit="1" customWidth="1"/>
    <col min="16140" max="16140" width="11.5546875" bestFit="1" customWidth="1"/>
    <col min="16141" max="16141" width="9.33203125" bestFit="1" customWidth="1"/>
    <col min="16142" max="16142" width="11.5546875" bestFit="1" customWidth="1"/>
    <col min="16143" max="16143" width="9.33203125" bestFit="1" customWidth="1"/>
    <col min="16144" max="16144" width="11.5546875" bestFit="1" customWidth="1"/>
    <col min="16145" max="16145" width="9.33203125" bestFit="1" customWidth="1"/>
    <col min="16146" max="16146" width="11.5546875" bestFit="1" customWidth="1"/>
    <col min="16147" max="16147" width="9.33203125" bestFit="1" customWidth="1"/>
    <col min="16148" max="16148" width="11.5546875" bestFit="1" customWidth="1"/>
    <col min="16149" max="16149" width="9.33203125" bestFit="1" customWidth="1"/>
    <col min="16150" max="16150" width="11.5546875" bestFit="1" customWidth="1"/>
    <col min="16151" max="16151" width="9.33203125" bestFit="1" customWidth="1"/>
    <col min="16152" max="16152" width="11.5546875" bestFit="1" customWidth="1"/>
    <col min="16153" max="16153" width="9.33203125" bestFit="1" customWidth="1"/>
    <col min="16154" max="16154" width="11.5546875" bestFit="1" customWidth="1"/>
    <col min="16155" max="16155" width="9.33203125" bestFit="1" customWidth="1"/>
    <col min="16156" max="16156" width="11.5546875" bestFit="1" customWidth="1"/>
    <col min="16157" max="16157" width="9.33203125" bestFit="1" customWidth="1"/>
    <col min="16158" max="16158" width="11.5546875" bestFit="1" customWidth="1"/>
    <col min="16159" max="16159" width="9.33203125" bestFit="1" customWidth="1"/>
    <col min="16160" max="16160" width="11.5546875" bestFit="1" customWidth="1"/>
    <col min="16161" max="16161" width="9.33203125" bestFit="1" customWidth="1"/>
    <col min="16162" max="16162" width="11.5546875" bestFit="1" customWidth="1"/>
    <col min="16163" max="16163" width="9.33203125" bestFit="1" customWidth="1"/>
    <col min="16164" max="16164" width="11.5546875" bestFit="1" customWidth="1"/>
    <col min="16165" max="16165" width="9.33203125" bestFit="1" customWidth="1"/>
    <col min="16166" max="16166" width="11.5546875" bestFit="1" customWidth="1"/>
    <col min="16167" max="16167" width="9.33203125" bestFit="1" customWidth="1"/>
    <col min="16168" max="16168" width="11.5546875" bestFit="1" customWidth="1"/>
    <col min="16169" max="16169" width="9.33203125" bestFit="1" customWidth="1"/>
    <col min="16170" max="16170" width="11.5546875" bestFit="1" customWidth="1"/>
    <col min="16171" max="16171" width="9.33203125" bestFit="1" customWidth="1"/>
    <col min="16172" max="16172" width="11.5546875" bestFit="1" customWidth="1"/>
    <col min="16173" max="16173" width="9.33203125" bestFit="1" customWidth="1"/>
    <col min="16174" max="16174" width="11.5546875" bestFit="1" customWidth="1"/>
    <col min="16175" max="16175" width="9.33203125" bestFit="1" customWidth="1"/>
    <col min="16176" max="16176" width="11.5546875" bestFit="1" customWidth="1"/>
    <col min="16177" max="16177" width="9.33203125" bestFit="1" customWidth="1"/>
    <col min="16178" max="16178" width="11.5546875" bestFit="1" customWidth="1"/>
    <col min="16179" max="16179" width="9.33203125" bestFit="1" customWidth="1"/>
  </cols>
  <sheetData>
    <row r="1" spans="1:51" s="23" customFormat="1">
      <c r="A1" s="116"/>
      <c r="B1" s="117" t="s">
        <v>145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</row>
    <row r="2" spans="1:51" s="23" customFormat="1">
      <c r="A2" s="118"/>
      <c r="B2" s="223"/>
      <c r="C2" s="223"/>
      <c r="D2" s="226">
        <v>44470</v>
      </c>
      <c r="E2" s="227">
        <v>44470</v>
      </c>
      <c r="F2" s="226">
        <v>44501</v>
      </c>
      <c r="G2" s="227">
        <v>44501</v>
      </c>
      <c r="H2" s="226">
        <v>44531</v>
      </c>
      <c r="I2" s="227">
        <v>44531</v>
      </c>
      <c r="J2" s="226">
        <v>44562</v>
      </c>
      <c r="K2" s="227">
        <v>44562</v>
      </c>
      <c r="L2" s="226">
        <v>44593</v>
      </c>
      <c r="M2" s="227">
        <v>44593</v>
      </c>
      <c r="N2" s="226">
        <v>44621</v>
      </c>
      <c r="O2" s="227">
        <v>44621</v>
      </c>
      <c r="P2" s="226">
        <v>44652</v>
      </c>
      <c r="Q2" s="227">
        <v>44652</v>
      </c>
      <c r="R2" s="226">
        <v>44682</v>
      </c>
      <c r="S2" s="227">
        <v>44682</v>
      </c>
      <c r="T2" s="226">
        <v>44713</v>
      </c>
      <c r="U2" s="227">
        <v>44713</v>
      </c>
      <c r="V2" s="226">
        <v>44743</v>
      </c>
      <c r="W2" s="227">
        <v>44743</v>
      </c>
      <c r="X2" s="226">
        <v>44774</v>
      </c>
      <c r="Y2" s="227">
        <v>44774</v>
      </c>
      <c r="Z2" s="226">
        <v>44805</v>
      </c>
      <c r="AA2" s="227">
        <v>44805</v>
      </c>
      <c r="AB2" s="226">
        <v>44835</v>
      </c>
      <c r="AC2" s="227">
        <v>44835</v>
      </c>
      <c r="AD2" s="226">
        <v>44866</v>
      </c>
      <c r="AE2" s="227">
        <v>44866</v>
      </c>
      <c r="AF2" s="226">
        <v>44896</v>
      </c>
      <c r="AG2" s="227">
        <v>44896</v>
      </c>
      <c r="AH2" s="226">
        <v>44927</v>
      </c>
      <c r="AI2" s="227">
        <v>44927</v>
      </c>
      <c r="AJ2" s="226">
        <v>44958</v>
      </c>
      <c r="AK2" s="227">
        <v>44958</v>
      </c>
      <c r="AL2" s="226">
        <v>44986</v>
      </c>
      <c r="AM2" s="227">
        <v>44986</v>
      </c>
      <c r="AN2" s="226">
        <v>45017</v>
      </c>
      <c r="AO2" s="227">
        <v>45017</v>
      </c>
      <c r="AP2" s="226">
        <v>45047</v>
      </c>
      <c r="AQ2" s="227">
        <v>45047</v>
      </c>
      <c r="AR2" s="226">
        <v>45078</v>
      </c>
      <c r="AS2" s="227">
        <v>45078</v>
      </c>
      <c r="AT2" s="226">
        <v>45108</v>
      </c>
      <c r="AU2" s="227">
        <v>45108</v>
      </c>
      <c r="AV2" s="226">
        <v>45139</v>
      </c>
      <c r="AW2" s="227">
        <v>45139</v>
      </c>
      <c r="AX2" s="226">
        <v>45170</v>
      </c>
      <c r="AY2" s="227">
        <v>45170</v>
      </c>
    </row>
    <row r="3" spans="1:51" s="23" customFormat="1">
      <c r="A3" s="116"/>
      <c r="B3" s="224" t="s">
        <v>2</v>
      </c>
      <c r="C3" s="224" t="s">
        <v>147</v>
      </c>
      <c r="D3" s="228" t="s">
        <v>143</v>
      </c>
      <c r="E3" s="229" t="s">
        <v>144</v>
      </c>
      <c r="F3" s="228" t="s">
        <v>143</v>
      </c>
      <c r="G3" s="229" t="s">
        <v>144</v>
      </c>
      <c r="H3" s="228" t="s">
        <v>143</v>
      </c>
      <c r="I3" s="229" t="s">
        <v>144</v>
      </c>
      <c r="J3" s="228" t="s">
        <v>143</v>
      </c>
      <c r="K3" s="229" t="s">
        <v>144</v>
      </c>
      <c r="L3" s="228" t="s">
        <v>143</v>
      </c>
      <c r="M3" s="229" t="s">
        <v>144</v>
      </c>
      <c r="N3" s="228" t="s">
        <v>143</v>
      </c>
      <c r="O3" s="229" t="s">
        <v>144</v>
      </c>
      <c r="P3" s="228" t="s">
        <v>143</v>
      </c>
      <c r="Q3" s="229" t="s">
        <v>144</v>
      </c>
      <c r="R3" s="228" t="s">
        <v>143</v>
      </c>
      <c r="S3" s="229" t="s">
        <v>144</v>
      </c>
      <c r="T3" s="228" t="s">
        <v>143</v>
      </c>
      <c r="U3" s="229" t="s">
        <v>144</v>
      </c>
      <c r="V3" s="228" t="s">
        <v>143</v>
      </c>
      <c r="W3" s="229" t="s">
        <v>144</v>
      </c>
      <c r="X3" s="228" t="s">
        <v>143</v>
      </c>
      <c r="Y3" s="229" t="s">
        <v>144</v>
      </c>
      <c r="Z3" s="228" t="s">
        <v>143</v>
      </c>
      <c r="AA3" s="229" t="s">
        <v>144</v>
      </c>
      <c r="AB3" s="228" t="s">
        <v>143</v>
      </c>
      <c r="AC3" s="229" t="s">
        <v>144</v>
      </c>
      <c r="AD3" s="228" t="s">
        <v>143</v>
      </c>
      <c r="AE3" s="229" t="s">
        <v>144</v>
      </c>
      <c r="AF3" s="228" t="s">
        <v>143</v>
      </c>
      <c r="AG3" s="229" t="s">
        <v>144</v>
      </c>
      <c r="AH3" s="228" t="s">
        <v>143</v>
      </c>
      <c r="AI3" s="229" t="s">
        <v>144</v>
      </c>
      <c r="AJ3" s="228" t="s">
        <v>143</v>
      </c>
      <c r="AK3" s="229" t="s">
        <v>144</v>
      </c>
      <c r="AL3" s="228" t="s">
        <v>143</v>
      </c>
      <c r="AM3" s="229" t="s">
        <v>144</v>
      </c>
      <c r="AN3" s="228" t="s">
        <v>143</v>
      </c>
      <c r="AO3" s="229" t="s">
        <v>144</v>
      </c>
      <c r="AP3" s="228" t="s">
        <v>143</v>
      </c>
      <c r="AQ3" s="229" t="s">
        <v>144</v>
      </c>
      <c r="AR3" s="228" t="s">
        <v>143</v>
      </c>
      <c r="AS3" s="229" t="s">
        <v>144</v>
      </c>
      <c r="AT3" s="228" t="s">
        <v>143</v>
      </c>
      <c r="AU3" s="229" t="s">
        <v>144</v>
      </c>
      <c r="AV3" s="228" t="s">
        <v>143</v>
      </c>
      <c r="AW3" s="229" t="s">
        <v>144</v>
      </c>
      <c r="AX3" s="228" t="s">
        <v>143</v>
      </c>
      <c r="AY3" s="229" t="s">
        <v>144</v>
      </c>
    </row>
    <row r="4" spans="1:51" s="23" customFormat="1">
      <c r="A4" s="116"/>
      <c r="B4" s="223">
        <v>10005</v>
      </c>
      <c r="C4" s="223" t="s">
        <v>7</v>
      </c>
      <c r="D4" s="225">
        <v>154.01442307692304</v>
      </c>
      <c r="E4" s="254">
        <v>0</v>
      </c>
      <c r="F4" s="254">
        <v>92.4375</v>
      </c>
      <c r="G4" s="254">
        <v>0</v>
      </c>
      <c r="H4" s="254">
        <v>75.682692307692477</v>
      </c>
      <c r="I4" s="254">
        <v>0</v>
      </c>
      <c r="J4" s="254">
        <v>81.485000000000142</v>
      </c>
      <c r="K4" s="254">
        <v>0</v>
      </c>
      <c r="L4" s="254">
        <v>105.42968750000003</v>
      </c>
      <c r="M4" s="254">
        <v>0</v>
      </c>
      <c r="N4" s="254">
        <v>161.84953703703718</v>
      </c>
      <c r="O4" s="254">
        <v>0</v>
      </c>
      <c r="P4" s="254">
        <v>118.02884615384629</v>
      </c>
      <c r="Q4" s="254">
        <v>0</v>
      </c>
      <c r="R4" s="254">
        <v>61.117499999999936</v>
      </c>
      <c r="S4" s="254">
        <v>0</v>
      </c>
      <c r="T4" s="254">
        <v>101.80288461538454</v>
      </c>
      <c r="U4" s="254">
        <v>0</v>
      </c>
      <c r="V4" s="254">
        <v>98.172500000000085</v>
      </c>
      <c r="W4" s="254">
        <v>0</v>
      </c>
      <c r="X4" s="254">
        <v>139.8240740740741</v>
      </c>
      <c r="Y4" s="254">
        <v>0</v>
      </c>
      <c r="Z4" s="254">
        <v>95.555000000000007</v>
      </c>
      <c r="AA4" s="254">
        <v>0</v>
      </c>
      <c r="AB4" s="254">
        <v>157.20192307692292</v>
      </c>
      <c r="AC4" s="254">
        <v>0</v>
      </c>
      <c r="AD4" s="254">
        <v>94.192500000000067</v>
      </c>
      <c r="AE4" s="254">
        <v>0</v>
      </c>
      <c r="AF4" s="254">
        <v>76.048076923077076</v>
      </c>
      <c r="AG4" s="254">
        <v>0</v>
      </c>
      <c r="AH4" s="254">
        <v>81.485000000000142</v>
      </c>
      <c r="AI4" s="254">
        <v>0</v>
      </c>
      <c r="AJ4" s="254">
        <v>105.42968750000003</v>
      </c>
      <c r="AK4" s="254">
        <v>0</v>
      </c>
      <c r="AL4" s="254">
        <v>161.84953703703718</v>
      </c>
      <c r="AM4" s="254">
        <v>0</v>
      </c>
      <c r="AN4" s="254">
        <v>120.37250000000016</v>
      </c>
      <c r="AO4" s="254">
        <v>0</v>
      </c>
      <c r="AP4" s="254">
        <v>59.83653846153836</v>
      </c>
      <c r="AQ4" s="254">
        <v>0</v>
      </c>
      <c r="AR4" s="254">
        <v>101.80288461538454</v>
      </c>
      <c r="AS4" s="254">
        <v>0</v>
      </c>
      <c r="AT4" s="254">
        <v>98.172500000000085</v>
      </c>
      <c r="AU4" s="254">
        <v>0</v>
      </c>
      <c r="AV4" s="254">
        <v>139.8240740740741</v>
      </c>
      <c r="AW4" s="254">
        <v>0</v>
      </c>
      <c r="AX4" s="254">
        <v>95.555000000000007</v>
      </c>
      <c r="AY4" s="254">
        <v>0</v>
      </c>
    </row>
    <row r="5" spans="1:51">
      <c r="A5" s="116"/>
      <c r="B5" s="223">
        <v>10015</v>
      </c>
      <c r="C5" s="223" t="s">
        <v>8</v>
      </c>
      <c r="D5" s="254">
        <v>242.92067307692301</v>
      </c>
      <c r="E5" s="254">
        <v>0</v>
      </c>
      <c r="F5" s="254">
        <v>0</v>
      </c>
      <c r="G5" s="254">
        <v>0</v>
      </c>
      <c r="H5" s="254">
        <v>0</v>
      </c>
      <c r="I5" s="254">
        <v>0</v>
      </c>
      <c r="J5" s="254">
        <v>92.374999999999986</v>
      </c>
      <c r="K5" s="254">
        <v>0</v>
      </c>
      <c r="L5" s="254">
        <v>180.67968749999997</v>
      </c>
      <c r="M5" s="254">
        <v>0</v>
      </c>
      <c r="N5" s="254">
        <v>173.90046296296291</v>
      </c>
      <c r="O5" s="254">
        <v>0</v>
      </c>
      <c r="P5" s="254">
        <v>509.63701923076911</v>
      </c>
      <c r="Q5" s="254">
        <v>0</v>
      </c>
      <c r="R5" s="254">
        <v>404.8075</v>
      </c>
      <c r="S5" s="254">
        <v>0</v>
      </c>
      <c r="T5" s="254">
        <v>433.05288461538447</v>
      </c>
      <c r="U5" s="254">
        <v>0</v>
      </c>
      <c r="V5" s="254">
        <v>540.24999999999989</v>
      </c>
      <c r="W5" s="254">
        <v>0</v>
      </c>
      <c r="X5" s="254">
        <v>318.54629629629636</v>
      </c>
      <c r="Y5" s="254">
        <v>0</v>
      </c>
      <c r="Z5" s="254">
        <v>470.45000000000005</v>
      </c>
      <c r="AA5" s="254">
        <v>0</v>
      </c>
      <c r="AB5" s="254">
        <v>242.92067307692301</v>
      </c>
      <c r="AC5" s="254">
        <v>0</v>
      </c>
      <c r="AD5" s="254">
        <v>0</v>
      </c>
      <c r="AE5" s="254">
        <v>0</v>
      </c>
      <c r="AF5" s="254">
        <v>0</v>
      </c>
      <c r="AG5" s="254">
        <v>0</v>
      </c>
      <c r="AH5" s="254">
        <v>92.374999999999986</v>
      </c>
      <c r="AI5" s="254">
        <v>0</v>
      </c>
      <c r="AJ5" s="254">
        <v>180.67968749999997</v>
      </c>
      <c r="AK5" s="254">
        <v>0</v>
      </c>
      <c r="AL5" s="254">
        <v>173.90046296296291</v>
      </c>
      <c r="AM5" s="254">
        <v>0</v>
      </c>
      <c r="AN5" s="254">
        <v>494.3024999999999</v>
      </c>
      <c r="AO5" s="254">
        <v>0</v>
      </c>
      <c r="AP5" s="254">
        <v>430.08413461538476</v>
      </c>
      <c r="AQ5" s="254">
        <v>0</v>
      </c>
      <c r="AR5" s="254">
        <v>433.05288461538447</v>
      </c>
      <c r="AS5" s="254">
        <v>0</v>
      </c>
      <c r="AT5" s="254">
        <v>540.24999999999989</v>
      </c>
      <c r="AU5" s="254">
        <v>0</v>
      </c>
      <c r="AV5" s="254">
        <v>318.54629629629636</v>
      </c>
      <c r="AW5" s="254">
        <v>0</v>
      </c>
      <c r="AX5" s="254">
        <v>470.45000000000005</v>
      </c>
      <c r="AY5" s="254">
        <v>0</v>
      </c>
    </row>
    <row r="6" spans="1:51">
      <c r="A6" s="116"/>
      <c r="B6" s="223">
        <v>10024</v>
      </c>
      <c r="C6" s="223" t="s">
        <v>9</v>
      </c>
      <c r="D6" s="254">
        <v>0</v>
      </c>
      <c r="E6" s="254">
        <v>0</v>
      </c>
      <c r="F6" s="254">
        <v>0</v>
      </c>
      <c r="G6" s="254">
        <v>0</v>
      </c>
      <c r="H6" s="254">
        <v>0</v>
      </c>
      <c r="I6" s="254">
        <v>0</v>
      </c>
      <c r="J6" s="254">
        <v>0</v>
      </c>
      <c r="K6" s="254">
        <v>0</v>
      </c>
      <c r="L6" s="254">
        <v>0</v>
      </c>
      <c r="M6" s="254">
        <v>0</v>
      </c>
      <c r="N6" s="254">
        <v>0</v>
      </c>
      <c r="O6" s="254">
        <v>0</v>
      </c>
      <c r="P6" s="254">
        <v>0</v>
      </c>
      <c r="Q6" s="254">
        <v>0</v>
      </c>
      <c r="R6" s="254">
        <v>0</v>
      </c>
      <c r="S6" s="254">
        <v>0</v>
      </c>
      <c r="T6" s="254">
        <v>0</v>
      </c>
      <c r="U6" s="254">
        <v>0</v>
      </c>
      <c r="V6" s="254">
        <v>0</v>
      </c>
      <c r="W6" s="254">
        <v>0</v>
      </c>
      <c r="X6" s="254">
        <v>0</v>
      </c>
      <c r="Y6" s="254">
        <v>0</v>
      </c>
      <c r="Z6" s="254">
        <v>0</v>
      </c>
      <c r="AA6" s="254">
        <v>0</v>
      </c>
      <c r="AB6" s="254">
        <v>0</v>
      </c>
      <c r="AC6" s="254">
        <v>0</v>
      </c>
      <c r="AD6" s="254">
        <v>0</v>
      </c>
      <c r="AE6" s="254">
        <v>0</v>
      </c>
      <c r="AF6" s="254">
        <v>0</v>
      </c>
      <c r="AG6" s="254">
        <v>0</v>
      </c>
      <c r="AH6" s="254">
        <v>0</v>
      </c>
      <c r="AI6" s="254">
        <v>0</v>
      </c>
      <c r="AJ6" s="254">
        <v>0</v>
      </c>
      <c r="AK6" s="254">
        <v>0</v>
      </c>
      <c r="AL6" s="254">
        <v>0</v>
      </c>
      <c r="AM6" s="254">
        <v>0</v>
      </c>
      <c r="AN6" s="254">
        <v>0</v>
      </c>
      <c r="AO6" s="254">
        <v>0</v>
      </c>
      <c r="AP6" s="254">
        <v>0</v>
      </c>
      <c r="AQ6" s="254">
        <v>0</v>
      </c>
      <c r="AR6" s="254">
        <v>0</v>
      </c>
      <c r="AS6" s="254">
        <v>0</v>
      </c>
      <c r="AT6" s="254">
        <v>0</v>
      </c>
      <c r="AU6" s="254">
        <v>0</v>
      </c>
      <c r="AV6" s="254">
        <v>0</v>
      </c>
      <c r="AW6" s="254">
        <v>0</v>
      </c>
      <c r="AX6" s="254">
        <v>0</v>
      </c>
      <c r="AY6" s="254">
        <v>0</v>
      </c>
    </row>
    <row r="7" spans="1:51">
      <c r="A7" s="116"/>
      <c r="B7" s="223">
        <v>10025</v>
      </c>
      <c r="C7" s="223" t="s">
        <v>10</v>
      </c>
      <c r="D7" s="254">
        <v>0</v>
      </c>
      <c r="E7" s="254">
        <v>0</v>
      </c>
      <c r="F7" s="254">
        <v>722.51749999999151</v>
      </c>
      <c r="G7" s="254">
        <v>0</v>
      </c>
      <c r="H7" s="254">
        <v>20539.093750000007</v>
      </c>
      <c r="I7" s="254">
        <v>0</v>
      </c>
      <c r="J7" s="254">
        <v>6812.7949999999946</v>
      </c>
      <c r="K7" s="254">
        <v>0</v>
      </c>
      <c r="L7" s="254">
        <v>67.161458333345081</v>
      </c>
      <c r="M7" s="254">
        <v>0</v>
      </c>
      <c r="N7" s="254">
        <v>5811.7476851851852</v>
      </c>
      <c r="O7" s="254">
        <v>0</v>
      </c>
      <c r="P7" s="254">
        <v>0</v>
      </c>
      <c r="Q7" s="254">
        <v>0</v>
      </c>
      <c r="R7" s="254">
        <v>959.92000000000394</v>
      </c>
      <c r="S7" s="254">
        <v>0</v>
      </c>
      <c r="T7" s="254">
        <v>14013.379807692309</v>
      </c>
      <c r="U7" s="254">
        <v>0</v>
      </c>
      <c r="V7" s="254">
        <v>13742.362499999994</v>
      </c>
      <c r="W7" s="254">
        <v>0</v>
      </c>
      <c r="X7" s="254">
        <v>21362.238425925923</v>
      </c>
      <c r="Y7" s="254">
        <v>0</v>
      </c>
      <c r="Z7" s="254">
        <v>11509.267499999998</v>
      </c>
      <c r="AA7" s="254">
        <v>0</v>
      </c>
      <c r="AB7" s="254">
        <v>0</v>
      </c>
      <c r="AC7" s="254">
        <v>0</v>
      </c>
      <c r="AD7" s="254">
        <v>1532.7499999999966</v>
      </c>
      <c r="AE7" s="254">
        <v>0</v>
      </c>
      <c r="AF7" s="254">
        <v>21799.956730769238</v>
      </c>
      <c r="AG7" s="254">
        <v>0</v>
      </c>
      <c r="AH7" s="254">
        <v>7208.4650000000038</v>
      </c>
      <c r="AI7" s="254">
        <v>0</v>
      </c>
      <c r="AJ7" s="254">
        <v>178.64843750000148</v>
      </c>
      <c r="AK7" s="254">
        <v>0</v>
      </c>
      <c r="AL7" s="254">
        <v>5884.3865740740821</v>
      </c>
      <c r="AM7" s="254">
        <v>0</v>
      </c>
      <c r="AN7" s="254">
        <v>0</v>
      </c>
      <c r="AO7" s="254">
        <v>0</v>
      </c>
      <c r="AP7" s="254">
        <v>3803.6706730769297</v>
      </c>
      <c r="AQ7" s="254">
        <v>0</v>
      </c>
      <c r="AR7" s="254">
        <v>14050.262019230762</v>
      </c>
      <c r="AS7" s="254">
        <v>0</v>
      </c>
      <c r="AT7" s="254">
        <v>13746.997500000001</v>
      </c>
      <c r="AU7" s="254">
        <v>0</v>
      </c>
      <c r="AV7" s="254">
        <v>21474.733796296292</v>
      </c>
      <c r="AW7" s="254">
        <v>0</v>
      </c>
      <c r="AX7" s="254">
        <v>11464.302499999993</v>
      </c>
      <c r="AY7" s="254">
        <v>0</v>
      </c>
    </row>
    <row r="8" spans="1:51">
      <c r="A8" s="116"/>
      <c r="B8" s="223">
        <v>10027</v>
      </c>
      <c r="C8" s="223" t="s">
        <v>11</v>
      </c>
      <c r="D8" s="254">
        <v>11466.615384615394</v>
      </c>
      <c r="E8" s="254">
        <v>0</v>
      </c>
      <c r="F8" s="254">
        <v>5535.662500000004</v>
      </c>
      <c r="G8" s="254">
        <v>0</v>
      </c>
      <c r="H8" s="254">
        <v>10404.786057692309</v>
      </c>
      <c r="I8" s="254">
        <v>0</v>
      </c>
      <c r="J8" s="254">
        <v>4282.607500000001</v>
      </c>
      <c r="K8" s="254">
        <v>0</v>
      </c>
      <c r="L8" s="254">
        <v>2654.6067708333326</v>
      </c>
      <c r="M8" s="254">
        <v>0</v>
      </c>
      <c r="N8" s="254">
        <v>9005.923611111115</v>
      </c>
      <c r="O8" s="254">
        <v>0</v>
      </c>
      <c r="P8" s="254">
        <v>28010.72596153845</v>
      </c>
      <c r="Q8" s="254">
        <v>0</v>
      </c>
      <c r="R8" s="254">
        <v>8850.79000000001</v>
      </c>
      <c r="S8" s="254">
        <v>0</v>
      </c>
      <c r="T8" s="254">
        <v>7060.6514423076769</v>
      </c>
      <c r="U8" s="254">
        <v>0</v>
      </c>
      <c r="V8" s="254">
        <v>10291.350000000002</v>
      </c>
      <c r="W8" s="254">
        <v>0</v>
      </c>
      <c r="X8" s="254">
        <v>23625.768518518507</v>
      </c>
      <c r="Y8" s="254">
        <v>0</v>
      </c>
      <c r="Z8" s="254">
        <v>13855.057500000014</v>
      </c>
      <c r="AA8" s="254">
        <v>0</v>
      </c>
      <c r="AB8" s="254">
        <v>11931.870192307699</v>
      </c>
      <c r="AC8" s="254">
        <v>0</v>
      </c>
      <c r="AD8" s="254">
        <v>6001.02</v>
      </c>
      <c r="AE8" s="254">
        <v>0</v>
      </c>
      <c r="AF8" s="254">
        <v>10882.749999999998</v>
      </c>
      <c r="AG8" s="254">
        <v>0</v>
      </c>
      <c r="AH8" s="254">
        <v>4747.1050000000014</v>
      </c>
      <c r="AI8" s="254">
        <v>0</v>
      </c>
      <c r="AJ8" s="254">
        <v>3096.6197916666688</v>
      </c>
      <c r="AK8" s="254">
        <v>0</v>
      </c>
      <c r="AL8" s="254">
        <v>9481.8356481481496</v>
      </c>
      <c r="AM8" s="254">
        <v>0</v>
      </c>
      <c r="AN8" s="254">
        <v>26547.8325</v>
      </c>
      <c r="AO8" s="254">
        <v>0</v>
      </c>
      <c r="AP8" s="254">
        <v>12929.341346153855</v>
      </c>
      <c r="AQ8" s="254">
        <v>0</v>
      </c>
      <c r="AR8" s="254">
        <v>7528.5024038461652</v>
      </c>
      <c r="AS8" s="254">
        <v>0</v>
      </c>
      <c r="AT8" s="254">
        <v>10758.137499999997</v>
      </c>
      <c r="AU8" s="254">
        <v>0</v>
      </c>
      <c r="AV8" s="254">
        <v>24102.86111111112</v>
      </c>
      <c r="AW8" s="254">
        <v>0</v>
      </c>
      <c r="AX8" s="254">
        <v>14322.050000000003</v>
      </c>
      <c r="AY8" s="254">
        <v>0</v>
      </c>
    </row>
    <row r="9" spans="1:51">
      <c r="A9" s="116"/>
      <c r="B9" s="223">
        <v>10029</v>
      </c>
      <c r="C9" s="223" t="s">
        <v>12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v>0</v>
      </c>
      <c r="T9" s="254">
        <v>0</v>
      </c>
      <c r="U9" s="254">
        <v>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v>0</v>
      </c>
      <c r="AI9" s="254">
        <v>0</v>
      </c>
      <c r="AJ9" s="254">
        <v>0</v>
      </c>
      <c r="AK9" s="254">
        <v>0</v>
      </c>
      <c r="AL9" s="254">
        <v>0</v>
      </c>
      <c r="AM9" s="254">
        <v>0</v>
      </c>
      <c r="AN9" s="254">
        <v>0</v>
      </c>
      <c r="AO9" s="254">
        <v>0</v>
      </c>
      <c r="AP9" s="254">
        <v>0</v>
      </c>
      <c r="AQ9" s="254">
        <v>0</v>
      </c>
      <c r="AR9" s="254">
        <v>0</v>
      </c>
      <c r="AS9" s="254">
        <v>0</v>
      </c>
      <c r="AT9" s="254">
        <v>0</v>
      </c>
      <c r="AU9" s="254">
        <v>0</v>
      </c>
      <c r="AV9" s="254">
        <v>0</v>
      </c>
      <c r="AW9" s="254">
        <v>0</v>
      </c>
      <c r="AX9" s="254">
        <v>0</v>
      </c>
      <c r="AY9" s="254">
        <v>0</v>
      </c>
    </row>
    <row r="10" spans="1:51">
      <c r="A10" s="116"/>
      <c r="B10" s="223">
        <v>10044</v>
      </c>
      <c r="C10" s="223" t="s">
        <v>13</v>
      </c>
      <c r="D10" s="254">
        <v>203.73076923077127</v>
      </c>
      <c r="E10" s="254">
        <v>0</v>
      </c>
      <c r="F10" s="254">
        <v>3463.5499999999988</v>
      </c>
      <c r="G10" s="254">
        <v>0</v>
      </c>
      <c r="H10" s="254">
        <v>2195.673076923078</v>
      </c>
      <c r="I10" s="254">
        <v>0</v>
      </c>
      <c r="J10" s="254">
        <v>2410.1549999999988</v>
      </c>
      <c r="K10" s="254">
        <v>0</v>
      </c>
      <c r="L10" s="254">
        <v>2027.8125000000023</v>
      </c>
      <c r="M10" s="254">
        <v>0</v>
      </c>
      <c r="N10" s="254">
        <v>3331.976851851854</v>
      </c>
      <c r="O10" s="254">
        <v>0</v>
      </c>
      <c r="P10" s="254">
        <v>231.03605769230828</v>
      </c>
      <c r="Q10" s="254">
        <v>0</v>
      </c>
      <c r="R10" s="254">
        <v>2716.085</v>
      </c>
      <c r="S10" s="254">
        <v>0</v>
      </c>
      <c r="T10" s="254">
        <v>7109.3341346153866</v>
      </c>
      <c r="U10" s="254">
        <v>0</v>
      </c>
      <c r="V10" s="254">
        <v>2597.1350000000016</v>
      </c>
      <c r="W10" s="254">
        <v>0</v>
      </c>
      <c r="X10" s="254">
        <v>5618.6921296296314</v>
      </c>
      <c r="Y10" s="254">
        <v>0</v>
      </c>
      <c r="Z10" s="254">
        <v>3430.2749999999992</v>
      </c>
      <c r="AA10" s="254">
        <v>0</v>
      </c>
      <c r="AB10" s="254">
        <v>123.49519230768769</v>
      </c>
      <c r="AC10" s="254">
        <v>0</v>
      </c>
      <c r="AD10" s="254">
        <v>3307.3274999999967</v>
      </c>
      <c r="AE10" s="254">
        <v>0</v>
      </c>
      <c r="AF10" s="254">
        <v>2022.8653846153816</v>
      </c>
      <c r="AG10" s="254">
        <v>0</v>
      </c>
      <c r="AH10" s="254">
        <v>2237.3325</v>
      </c>
      <c r="AI10" s="254">
        <v>0</v>
      </c>
      <c r="AJ10" s="254">
        <v>1872.9583333333358</v>
      </c>
      <c r="AK10" s="254">
        <v>0</v>
      </c>
      <c r="AL10" s="254">
        <v>3185.7777777777815</v>
      </c>
      <c r="AM10" s="254">
        <v>0</v>
      </c>
      <c r="AN10" s="254">
        <v>0</v>
      </c>
      <c r="AO10" s="254">
        <v>0</v>
      </c>
      <c r="AP10" s="254">
        <v>2686.973557692309</v>
      </c>
      <c r="AQ10" s="254">
        <v>0</v>
      </c>
      <c r="AR10" s="254">
        <v>7025.0552884615363</v>
      </c>
      <c r="AS10" s="254">
        <v>0</v>
      </c>
      <c r="AT10" s="254">
        <v>2497.7900000000018</v>
      </c>
      <c r="AU10" s="254">
        <v>0</v>
      </c>
      <c r="AV10" s="254">
        <v>5521.8912037037016</v>
      </c>
      <c r="AW10" s="254">
        <v>0</v>
      </c>
      <c r="AX10" s="254">
        <v>3339.755000000001</v>
      </c>
      <c r="AY10" s="254">
        <v>0</v>
      </c>
    </row>
    <row r="11" spans="1:51">
      <c r="A11" s="116"/>
      <c r="B11" s="223">
        <v>10046</v>
      </c>
      <c r="C11" s="223" t="s">
        <v>14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v>0</v>
      </c>
      <c r="AI11" s="254">
        <v>0</v>
      </c>
      <c r="AJ11" s="254">
        <v>0</v>
      </c>
      <c r="AK11" s="254">
        <v>0</v>
      </c>
      <c r="AL11" s="254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0</v>
      </c>
      <c r="AY11" s="254">
        <v>0</v>
      </c>
    </row>
    <row r="12" spans="1:51">
      <c r="A12" s="116"/>
      <c r="B12" s="223">
        <v>10047</v>
      </c>
      <c r="C12" s="223" t="s">
        <v>15</v>
      </c>
      <c r="D12" s="254">
        <v>1368.0745192307454</v>
      </c>
      <c r="E12" s="254">
        <v>0</v>
      </c>
      <c r="F12" s="254">
        <v>630.23750000001405</v>
      </c>
      <c r="G12" s="254">
        <v>0</v>
      </c>
      <c r="H12" s="254">
        <v>12309.17307692306</v>
      </c>
      <c r="I12" s="254">
        <v>0</v>
      </c>
      <c r="J12" s="254">
        <v>11707.797500000011</v>
      </c>
      <c r="K12" s="254">
        <v>0</v>
      </c>
      <c r="L12" s="254">
        <v>0</v>
      </c>
      <c r="M12" s="254">
        <v>0</v>
      </c>
      <c r="N12" s="254">
        <v>21793.870370370372</v>
      </c>
      <c r="O12" s="254">
        <v>0</v>
      </c>
      <c r="P12" s="254">
        <v>24235.391826923056</v>
      </c>
      <c r="Q12" s="254">
        <v>0</v>
      </c>
      <c r="R12" s="254">
        <v>15289.212500000009</v>
      </c>
      <c r="S12" s="254">
        <v>0</v>
      </c>
      <c r="T12" s="254">
        <v>4912.456730769215</v>
      </c>
      <c r="U12" s="254">
        <v>0</v>
      </c>
      <c r="V12" s="254">
        <v>8656.6874999999964</v>
      </c>
      <c r="W12" s="254">
        <v>0</v>
      </c>
      <c r="X12" s="254">
        <v>11873.59722222223</v>
      </c>
      <c r="Y12" s="254">
        <v>0</v>
      </c>
      <c r="Z12" s="254">
        <v>9357.0925000000243</v>
      </c>
      <c r="AA12" s="254">
        <v>0</v>
      </c>
      <c r="AB12" s="254">
        <v>1117.7572115384605</v>
      </c>
      <c r="AC12" s="254">
        <v>0</v>
      </c>
      <c r="AD12" s="254">
        <v>365.74499999999688</v>
      </c>
      <c r="AE12" s="254">
        <v>0</v>
      </c>
      <c r="AF12" s="254">
        <v>11993.951923076907</v>
      </c>
      <c r="AG12" s="254">
        <v>0</v>
      </c>
      <c r="AH12" s="254">
        <v>11409.457500000017</v>
      </c>
      <c r="AI12" s="254">
        <v>0</v>
      </c>
      <c r="AJ12" s="254">
        <v>0</v>
      </c>
      <c r="AK12" s="254">
        <v>0</v>
      </c>
      <c r="AL12" s="254">
        <v>21522.275462962967</v>
      </c>
      <c r="AM12" s="254">
        <v>0</v>
      </c>
      <c r="AN12" s="254">
        <v>23954.527500000004</v>
      </c>
      <c r="AO12" s="254">
        <v>0</v>
      </c>
      <c r="AP12" s="254">
        <v>15109.858173076891</v>
      </c>
      <c r="AQ12" s="254">
        <v>0</v>
      </c>
      <c r="AR12" s="254">
        <v>4693.6033653846107</v>
      </c>
      <c r="AS12" s="254">
        <v>0</v>
      </c>
      <c r="AT12" s="254">
        <v>8434.607499999991</v>
      </c>
      <c r="AU12" s="254">
        <v>0</v>
      </c>
      <c r="AV12" s="254">
        <v>11647.314814814819</v>
      </c>
      <c r="AW12" s="254">
        <v>0</v>
      </c>
      <c r="AX12" s="254">
        <v>9137.1500000000233</v>
      </c>
      <c r="AY12" s="254">
        <v>0</v>
      </c>
    </row>
    <row r="13" spans="1:51">
      <c r="A13" s="116"/>
      <c r="B13" s="223">
        <v>10055</v>
      </c>
      <c r="C13" s="223" t="s">
        <v>16</v>
      </c>
      <c r="D13" s="254">
        <v>117.21634615384619</v>
      </c>
      <c r="E13" s="254">
        <v>0</v>
      </c>
      <c r="F13" s="254">
        <v>26.902499999999939</v>
      </c>
      <c r="G13" s="254">
        <v>0</v>
      </c>
      <c r="H13" s="254">
        <v>251.03846153846143</v>
      </c>
      <c r="I13" s="254">
        <v>0</v>
      </c>
      <c r="J13" s="254">
        <v>203.68999999999997</v>
      </c>
      <c r="K13" s="254">
        <v>0</v>
      </c>
      <c r="L13" s="254">
        <v>92.059895833333371</v>
      </c>
      <c r="M13" s="254">
        <v>0</v>
      </c>
      <c r="N13" s="254">
        <v>99.97453703703701</v>
      </c>
      <c r="O13" s="254">
        <v>0</v>
      </c>
      <c r="P13" s="254">
        <v>0</v>
      </c>
      <c r="Q13" s="254">
        <v>0</v>
      </c>
      <c r="R13" s="254">
        <v>31.947500000000019</v>
      </c>
      <c r="S13" s="254">
        <v>0</v>
      </c>
      <c r="T13" s="254">
        <v>30.978365384615376</v>
      </c>
      <c r="U13" s="254">
        <v>0</v>
      </c>
      <c r="V13" s="254">
        <v>58.115000000000023</v>
      </c>
      <c r="W13" s="254">
        <v>0</v>
      </c>
      <c r="X13" s="254">
        <v>68.543981481481495</v>
      </c>
      <c r="Y13" s="254">
        <v>0</v>
      </c>
      <c r="Z13" s="254">
        <v>0</v>
      </c>
      <c r="AA13" s="254">
        <v>0</v>
      </c>
      <c r="AB13" s="254">
        <v>117.21634615384619</v>
      </c>
      <c r="AC13" s="254">
        <v>0</v>
      </c>
      <c r="AD13" s="254">
        <v>26.902499999999939</v>
      </c>
      <c r="AE13" s="254">
        <v>0</v>
      </c>
      <c r="AF13" s="254">
        <v>251.03846153846143</v>
      </c>
      <c r="AG13" s="254">
        <v>0</v>
      </c>
      <c r="AH13" s="254">
        <v>203.68999999999997</v>
      </c>
      <c r="AI13" s="254">
        <v>0</v>
      </c>
      <c r="AJ13" s="254">
        <v>92.059895833333371</v>
      </c>
      <c r="AK13" s="254">
        <v>0</v>
      </c>
      <c r="AL13" s="254">
        <v>99.97453703703701</v>
      </c>
      <c r="AM13" s="254">
        <v>0</v>
      </c>
      <c r="AN13" s="254">
        <v>0</v>
      </c>
      <c r="AO13" s="254">
        <v>0</v>
      </c>
      <c r="AP13" s="254">
        <v>32.115384615384656</v>
      </c>
      <c r="AQ13" s="254">
        <v>0</v>
      </c>
      <c r="AR13" s="254">
        <v>30.978365384615376</v>
      </c>
      <c r="AS13" s="254">
        <v>0</v>
      </c>
      <c r="AT13" s="254">
        <v>58.115000000000023</v>
      </c>
      <c r="AU13" s="254">
        <v>0</v>
      </c>
      <c r="AV13" s="254">
        <v>68.543981481481495</v>
      </c>
      <c r="AW13" s="254">
        <v>0</v>
      </c>
      <c r="AX13" s="254">
        <v>0</v>
      </c>
      <c r="AY13" s="254">
        <v>0</v>
      </c>
    </row>
    <row r="14" spans="1:51">
      <c r="A14" s="116"/>
      <c r="B14" s="223">
        <v>10057</v>
      </c>
      <c r="C14" s="223" t="s">
        <v>17</v>
      </c>
      <c r="D14" s="254">
        <v>1255.951923076921</v>
      </c>
      <c r="E14" s="254">
        <v>0</v>
      </c>
      <c r="F14" s="254">
        <v>0</v>
      </c>
      <c r="G14" s="254">
        <v>0</v>
      </c>
      <c r="H14" s="254">
        <v>2819.6634615384646</v>
      </c>
      <c r="I14" s="254">
        <v>0</v>
      </c>
      <c r="J14" s="254">
        <v>1660.5424999999991</v>
      </c>
      <c r="K14" s="254">
        <v>0</v>
      </c>
      <c r="L14" s="254">
        <v>2602.2161458333348</v>
      </c>
      <c r="M14" s="254">
        <v>0</v>
      </c>
      <c r="N14" s="254">
        <v>4086.9490740740762</v>
      </c>
      <c r="O14" s="254">
        <v>0</v>
      </c>
      <c r="P14" s="254">
        <v>2593.0384615384592</v>
      </c>
      <c r="Q14" s="254">
        <v>0</v>
      </c>
      <c r="R14" s="254">
        <v>0</v>
      </c>
      <c r="S14" s="254">
        <v>0</v>
      </c>
      <c r="T14" s="254">
        <v>3917.009615384613</v>
      </c>
      <c r="U14" s="254">
        <v>0</v>
      </c>
      <c r="V14" s="254">
        <v>4274.887499999998</v>
      </c>
      <c r="W14" s="254">
        <v>0</v>
      </c>
      <c r="X14" s="254">
        <v>3611.8981481481514</v>
      </c>
      <c r="Y14" s="254">
        <v>0</v>
      </c>
      <c r="Z14" s="254">
        <v>5048.7</v>
      </c>
      <c r="AA14" s="254">
        <v>0</v>
      </c>
      <c r="AB14" s="254">
        <v>1255.951923076921</v>
      </c>
      <c r="AC14" s="254">
        <v>0</v>
      </c>
      <c r="AD14" s="254">
        <v>0</v>
      </c>
      <c r="AE14" s="254">
        <v>0</v>
      </c>
      <c r="AF14" s="254">
        <v>2819.6634615384646</v>
      </c>
      <c r="AG14" s="254">
        <v>0</v>
      </c>
      <c r="AH14" s="254">
        <v>1660.5424999999991</v>
      </c>
      <c r="AI14" s="254">
        <v>0</v>
      </c>
      <c r="AJ14" s="254">
        <v>2602.2161458333348</v>
      </c>
      <c r="AK14" s="254">
        <v>0</v>
      </c>
      <c r="AL14" s="254">
        <v>4086.9490740740762</v>
      </c>
      <c r="AM14" s="254">
        <v>0</v>
      </c>
      <c r="AN14" s="254">
        <v>2579.4349999999968</v>
      </c>
      <c r="AO14" s="254">
        <v>0</v>
      </c>
      <c r="AP14" s="254">
        <v>0</v>
      </c>
      <c r="AQ14" s="254">
        <v>0</v>
      </c>
      <c r="AR14" s="254">
        <v>3917.009615384613</v>
      </c>
      <c r="AS14" s="254">
        <v>0</v>
      </c>
      <c r="AT14" s="254">
        <v>4274.887499999998</v>
      </c>
      <c r="AU14" s="254">
        <v>0</v>
      </c>
      <c r="AV14" s="254">
        <v>3611.8981481481514</v>
      </c>
      <c r="AW14" s="254">
        <v>0</v>
      </c>
      <c r="AX14" s="254">
        <v>5048.7</v>
      </c>
      <c r="AY14" s="254">
        <v>0</v>
      </c>
    </row>
    <row r="15" spans="1:51">
      <c r="A15" s="116"/>
      <c r="B15" s="223">
        <v>10059</v>
      </c>
      <c r="C15" s="223" t="s">
        <v>18</v>
      </c>
      <c r="D15" s="254">
        <v>71.170673076923492</v>
      </c>
      <c r="E15" s="254">
        <v>0</v>
      </c>
      <c r="F15" s="254">
        <v>202.24999999999937</v>
      </c>
      <c r="G15" s="254">
        <v>0</v>
      </c>
      <c r="H15" s="254">
        <v>1698.3870192307688</v>
      </c>
      <c r="I15" s="254">
        <v>0</v>
      </c>
      <c r="J15" s="254">
        <v>2881.8750000000018</v>
      </c>
      <c r="K15" s="254">
        <v>0</v>
      </c>
      <c r="L15" s="254">
        <v>992.0364583333336</v>
      </c>
      <c r="M15" s="254">
        <v>0</v>
      </c>
      <c r="N15" s="254">
        <v>2183.2453703703704</v>
      </c>
      <c r="O15" s="254">
        <v>0</v>
      </c>
      <c r="P15" s="254">
        <v>1274.3437500000002</v>
      </c>
      <c r="Q15" s="254">
        <v>0</v>
      </c>
      <c r="R15" s="254">
        <v>24.934999999999707</v>
      </c>
      <c r="S15" s="254">
        <v>0</v>
      </c>
      <c r="T15" s="254">
        <v>757.54567307692344</v>
      </c>
      <c r="U15" s="254">
        <v>0</v>
      </c>
      <c r="V15" s="254">
        <v>519.29749999999967</v>
      </c>
      <c r="W15" s="254">
        <v>0</v>
      </c>
      <c r="X15" s="254">
        <v>565.87037037037157</v>
      </c>
      <c r="Y15" s="254">
        <v>0</v>
      </c>
      <c r="Z15" s="254">
        <v>363.9874999999999</v>
      </c>
      <c r="AA15" s="254">
        <v>0</v>
      </c>
      <c r="AB15" s="254">
        <v>99.170673076923947</v>
      </c>
      <c r="AC15" s="254">
        <v>0</v>
      </c>
      <c r="AD15" s="254">
        <v>233.24999999999994</v>
      </c>
      <c r="AE15" s="254">
        <v>0</v>
      </c>
      <c r="AF15" s="254">
        <v>1737.3870192307704</v>
      </c>
      <c r="AG15" s="254">
        <v>0</v>
      </c>
      <c r="AH15" s="254">
        <v>2923.875</v>
      </c>
      <c r="AI15" s="254">
        <v>0</v>
      </c>
      <c r="AJ15" s="254">
        <v>1030.0364583333339</v>
      </c>
      <c r="AK15" s="254">
        <v>0</v>
      </c>
      <c r="AL15" s="254">
        <v>2218.2453703703704</v>
      </c>
      <c r="AM15" s="254">
        <v>0</v>
      </c>
      <c r="AN15" s="254">
        <v>1325.6974999999991</v>
      </c>
      <c r="AO15" s="254">
        <v>0</v>
      </c>
      <c r="AP15" s="254">
        <v>38.728365384616211</v>
      </c>
      <c r="AQ15" s="254">
        <v>0</v>
      </c>
      <c r="AR15" s="254">
        <v>779.54567307692366</v>
      </c>
      <c r="AS15" s="254">
        <v>0</v>
      </c>
      <c r="AT15" s="254">
        <v>539.29749999999922</v>
      </c>
      <c r="AU15" s="254">
        <v>0</v>
      </c>
      <c r="AV15" s="254">
        <v>586.87037037037055</v>
      </c>
      <c r="AW15" s="254">
        <v>0</v>
      </c>
      <c r="AX15" s="254">
        <v>385.98750000000013</v>
      </c>
      <c r="AY15" s="254">
        <v>0</v>
      </c>
    </row>
    <row r="16" spans="1:51">
      <c r="A16" s="116"/>
      <c r="B16" s="223">
        <v>10061</v>
      </c>
      <c r="C16" s="223" t="s">
        <v>19</v>
      </c>
      <c r="D16" s="254">
        <v>890.05528846154027</v>
      </c>
      <c r="E16" s="254">
        <v>0</v>
      </c>
      <c r="F16" s="254">
        <v>1093.4650000000011</v>
      </c>
      <c r="G16" s="254">
        <v>0</v>
      </c>
      <c r="H16" s="254">
        <v>1867.8389423076912</v>
      </c>
      <c r="I16" s="254">
        <v>0</v>
      </c>
      <c r="J16" s="254">
        <v>1487.42</v>
      </c>
      <c r="K16" s="254">
        <v>0</v>
      </c>
      <c r="L16" s="254">
        <v>1533.5546875</v>
      </c>
      <c r="M16" s="254">
        <v>0</v>
      </c>
      <c r="N16" s="254">
        <v>1740.5254629629617</v>
      </c>
      <c r="O16" s="254">
        <v>0</v>
      </c>
      <c r="P16" s="254">
        <v>1135.2331730769231</v>
      </c>
      <c r="Q16" s="254">
        <v>0</v>
      </c>
      <c r="R16" s="254">
        <v>1248.8799999999997</v>
      </c>
      <c r="S16" s="254">
        <v>0</v>
      </c>
      <c r="T16" s="254">
        <v>1348.2572115384614</v>
      </c>
      <c r="U16" s="254">
        <v>0</v>
      </c>
      <c r="V16" s="254">
        <v>1191.2925000000005</v>
      </c>
      <c r="W16" s="254">
        <v>0</v>
      </c>
      <c r="X16" s="254">
        <v>1508.8449074074076</v>
      </c>
      <c r="Y16" s="254">
        <v>0</v>
      </c>
      <c r="Z16" s="254">
        <v>1281.5224999999989</v>
      </c>
      <c r="AA16" s="254">
        <v>0</v>
      </c>
      <c r="AB16" s="254">
        <v>912.52644230769329</v>
      </c>
      <c r="AC16" s="254">
        <v>0</v>
      </c>
      <c r="AD16" s="254">
        <v>1120.2625000000016</v>
      </c>
      <c r="AE16" s="254">
        <v>0</v>
      </c>
      <c r="AF16" s="254">
        <v>1891.9807692307691</v>
      </c>
      <c r="AG16" s="254">
        <v>0</v>
      </c>
      <c r="AH16" s="254">
        <v>1497.0024999999989</v>
      </c>
      <c r="AI16" s="254">
        <v>0</v>
      </c>
      <c r="AJ16" s="254">
        <v>1546.6875000000002</v>
      </c>
      <c r="AK16" s="254">
        <v>0</v>
      </c>
      <c r="AL16" s="254">
        <v>1750.5972222222215</v>
      </c>
      <c r="AM16" s="254">
        <v>0</v>
      </c>
      <c r="AN16" s="254">
        <v>1150.5100000000009</v>
      </c>
      <c r="AO16" s="254">
        <v>0</v>
      </c>
      <c r="AP16" s="254">
        <v>1250.4855769230776</v>
      </c>
      <c r="AQ16" s="254">
        <v>0</v>
      </c>
      <c r="AR16" s="254">
        <v>1350.0576923076915</v>
      </c>
      <c r="AS16" s="254">
        <v>0</v>
      </c>
      <c r="AT16" s="254">
        <v>1191.8649999999993</v>
      </c>
      <c r="AU16" s="254">
        <v>0</v>
      </c>
      <c r="AV16" s="254">
        <v>1509.247685185185</v>
      </c>
      <c r="AW16" s="254">
        <v>0</v>
      </c>
      <c r="AX16" s="254">
        <v>1279.6099999999992</v>
      </c>
      <c r="AY16" s="254">
        <v>0</v>
      </c>
    </row>
    <row r="17" spans="2:51">
      <c r="B17" s="223">
        <v>10062</v>
      </c>
      <c r="C17" s="223" t="s">
        <v>20</v>
      </c>
      <c r="D17" s="254">
        <v>0</v>
      </c>
      <c r="E17" s="254">
        <v>0</v>
      </c>
      <c r="F17" s="254">
        <v>490.06250000000074</v>
      </c>
      <c r="G17" s="254">
        <v>0</v>
      </c>
      <c r="H17" s="254">
        <v>1993.2740384615377</v>
      </c>
      <c r="I17" s="254">
        <v>0</v>
      </c>
      <c r="J17" s="254">
        <v>708.21000000000333</v>
      </c>
      <c r="K17" s="254">
        <v>0</v>
      </c>
      <c r="L17" s="254">
        <v>1062.1041666666686</v>
      </c>
      <c r="M17" s="254">
        <v>0</v>
      </c>
      <c r="N17" s="254">
        <v>543.37499999999989</v>
      </c>
      <c r="O17" s="254">
        <v>0</v>
      </c>
      <c r="P17" s="254">
        <v>950.05048076923072</v>
      </c>
      <c r="Q17" s="254">
        <v>0</v>
      </c>
      <c r="R17" s="254">
        <v>184.32499999999962</v>
      </c>
      <c r="S17" s="254">
        <v>0</v>
      </c>
      <c r="T17" s="254">
        <v>918.84375000000171</v>
      </c>
      <c r="U17" s="254">
        <v>0</v>
      </c>
      <c r="V17" s="254">
        <v>110.87250000000104</v>
      </c>
      <c r="W17" s="254">
        <v>0</v>
      </c>
      <c r="X17" s="254">
        <v>390.40740740740773</v>
      </c>
      <c r="Y17" s="254">
        <v>0</v>
      </c>
      <c r="Z17" s="254">
        <v>778.5349999999986</v>
      </c>
      <c r="AA17" s="254">
        <v>0</v>
      </c>
      <c r="AB17" s="254">
        <v>0</v>
      </c>
      <c r="AC17" s="254">
        <v>0</v>
      </c>
      <c r="AD17" s="254">
        <v>465.77749999999997</v>
      </c>
      <c r="AE17" s="254">
        <v>0</v>
      </c>
      <c r="AF17" s="254">
        <v>1975.14423076923</v>
      </c>
      <c r="AG17" s="254">
        <v>0</v>
      </c>
      <c r="AH17" s="254">
        <v>692.17750000000012</v>
      </c>
      <c r="AI17" s="254">
        <v>0</v>
      </c>
      <c r="AJ17" s="254">
        <v>1037.6328124999991</v>
      </c>
      <c r="AK17" s="254">
        <v>0</v>
      </c>
      <c r="AL17" s="254">
        <v>533.75694444444366</v>
      </c>
      <c r="AM17" s="254">
        <v>0</v>
      </c>
      <c r="AN17" s="254">
        <v>551.34500000000037</v>
      </c>
      <c r="AO17" s="254">
        <v>0</v>
      </c>
      <c r="AP17" s="254">
        <v>523.30048076922981</v>
      </c>
      <c r="AQ17" s="254">
        <v>0</v>
      </c>
      <c r="AR17" s="254">
        <v>895.10817307692321</v>
      </c>
      <c r="AS17" s="254">
        <v>0</v>
      </c>
      <c r="AT17" s="254">
        <v>89.080000000000936</v>
      </c>
      <c r="AU17" s="254">
        <v>0</v>
      </c>
      <c r="AV17" s="254">
        <v>370.48379629629721</v>
      </c>
      <c r="AW17" s="254">
        <v>0</v>
      </c>
      <c r="AX17" s="254">
        <v>756.44250000000102</v>
      </c>
      <c r="AY17" s="254">
        <v>0</v>
      </c>
    </row>
    <row r="18" spans="2:51">
      <c r="B18" s="223">
        <v>10064</v>
      </c>
      <c r="C18" s="223" t="s">
        <v>21</v>
      </c>
      <c r="D18" s="254">
        <v>2003.2788461538455</v>
      </c>
      <c r="E18" s="254">
        <v>0</v>
      </c>
      <c r="F18" s="254">
        <v>0</v>
      </c>
      <c r="G18" s="254">
        <v>0</v>
      </c>
      <c r="H18" s="254">
        <v>1384.5024038461556</v>
      </c>
      <c r="I18" s="254">
        <v>0</v>
      </c>
      <c r="J18" s="254">
        <v>1633.2299999999987</v>
      </c>
      <c r="K18" s="254">
        <v>0</v>
      </c>
      <c r="L18" s="254">
        <v>489.54947916666526</v>
      </c>
      <c r="M18" s="254">
        <v>0</v>
      </c>
      <c r="N18" s="254">
        <v>1689.2800925925947</v>
      </c>
      <c r="O18" s="254">
        <v>0</v>
      </c>
      <c r="P18" s="254">
        <v>1062.1850961538485</v>
      </c>
      <c r="Q18" s="254">
        <v>0</v>
      </c>
      <c r="R18" s="254">
        <v>328.18500000000131</v>
      </c>
      <c r="S18" s="254">
        <v>0</v>
      </c>
      <c r="T18" s="254">
        <v>2370.088942307691</v>
      </c>
      <c r="U18" s="254">
        <v>0</v>
      </c>
      <c r="V18" s="254">
        <v>2354.3125</v>
      </c>
      <c r="W18" s="254">
        <v>0</v>
      </c>
      <c r="X18" s="254">
        <v>2013.2476851851857</v>
      </c>
      <c r="Y18" s="254">
        <v>0</v>
      </c>
      <c r="Z18" s="254">
        <v>1043.3175000000006</v>
      </c>
      <c r="AA18" s="254">
        <v>0</v>
      </c>
      <c r="AB18" s="254">
        <v>2028.9855769230787</v>
      </c>
      <c r="AC18" s="254">
        <v>0</v>
      </c>
      <c r="AD18" s="254">
        <v>0</v>
      </c>
      <c r="AE18" s="254">
        <v>0</v>
      </c>
      <c r="AF18" s="254">
        <v>1414.5432692307688</v>
      </c>
      <c r="AG18" s="254">
        <v>0</v>
      </c>
      <c r="AH18" s="254">
        <v>1662.3774999999991</v>
      </c>
      <c r="AI18" s="254">
        <v>0</v>
      </c>
      <c r="AJ18" s="254">
        <v>518.36979166666765</v>
      </c>
      <c r="AK18" s="254">
        <v>0</v>
      </c>
      <c r="AL18" s="254">
        <v>1717.6967592592614</v>
      </c>
      <c r="AM18" s="254">
        <v>0</v>
      </c>
      <c r="AN18" s="254">
        <v>1044.112500000002</v>
      </c>
      <c r="AO18" s="254">
        <v>0</v>
      </c>
      <c r="AP18" s="254">
        <v>397.90384615384687</v>
      </c>
      <c r="AQ18" s="254">
        <v>0</v>
      </c>
      <c r="AR18" s="254">
        <v>2399.3942307692309</v>
      </c>
      <c r="AS18" s="254">
        <v>0</v>
      </c>
      <c r="AT18" s="254">
        <v>2384.8450000000012</v>
      </c>
      <c r="AU18" s="254">
        <v>0</v>
      </c>
      <c r="AV18" s="254">
        <v>2042.6388888888889</v>
      </c>
      <c r="AW18" s="254">
        <v>0</v>
      </c>
      <c r="AX18" s="254">
        <v>1067.4349999999997</v>
      </c>
      <c r="AY18" s="254">
        <v>0</v>
      </c>
    </row>
    <row r="19" spans="2:51">
      <c r="B19" s="223">
        <v>10065</v>
      </c>
      <c r="C19" s="223" t="s">
        <v>22</v>
      </c>
      <c r="D19" s="254">
        <v>0</v>
      </c>
      <c r="E19" s="254">
        <v>0</v>
      </c>
      <c r="F19" s="254">
        <v>0</v>
      </c>
      <c r="G19" s="254">
        <v>0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54">
        <v>0</v>
      </c>
      <c r="T19" s="254">
        <v>0</v>
      </c>
      <c r="U19" s="254">
        <v>0</v>
      </c>
      <c r="V19" s="254">
        <v>0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0</v>
      </c>
      <c r="AD19" s="254">
        <v>0</v>
      </c>
      <c r="AE19" s="254">
        <v>0</v>
      </c>
      <c r="AF19" s="254">
        <v>0</v>
      </c>
      <c r="AG19" s="254">
        <v>0</v>
      </c>
      <c r="AH19" s="254">
        <v>0</v>
      </c>
      <c r="AI19" s="254">
        <v>0</v>
      </c>
      <c r="AJ19" s="254">
        <v>0</v>
      </c>
      <c r="AK19" s="254">
        <v>0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0</v>
      </c>
      <c r="AU19" s="254">
        <v>0</v>
      </c>
      <c r="AV19" s="254">
        <v>0</v>
      </c>
      <c r="AW19" s="254">
        <v>0</v>
      </c>
      <c r="AX19" s="254">
        <v>0</v>
      </c>
      <c r="AY19" s="254">
        <v>0</v>
      </c>
    </row>
    <row r="20" spans="2:51">
      <c r="B20" s="223">
        <v>10066</v>
      </c>
      <c r="C20" s="223" t="s">
        <v>23</v>
      </c>
      <c r="D20" s="254">
        <v>0</v>
      </c>
      <c r="E20" s="254">
        <v>0</v>
      </c>
      <c r="F20" s="254">
        <v>0</v>
      </c>
      <c r="G20" s="254">
        <v>0</v>
      </c>
      <c r="H20" s="254">
        <v>6897.6490384615308</v>
      </c>
      <c r="I20" s="254">
        <v>0</v>
      </c>
      <c r="J20" s="254">
        <v>2508.7549999999987</v>
      </c>
      <c r="K20" s="254">
        <v>0</v>
      </c>
      <c r="L20" s="254">
        <v>450.19531249999824</v>
      </c>
      <c r="M20" s="254">
        <v>0</v>
      </c>
      <c r="N20" s="254">
        <v>28.854166666667069</v>
      </c>
      <c r="O20" s="254">
        <v>0</v>
      </c>
      <c r="P20" s="254">
        <v>997.32932692307588</v>
      </c>
      <c r="Q20" s="254">
        <v>0</v>
      </c>
      <c r="R20" s="254">
        <v>0</v>
      </c>
      <c r="S20" s="254">
        <v>0</v>
      </c>
      <c r="T20" s="254">
        <v>1668.8557692307677</v>
      </c>
      <c r="U20" s="254">
        <v>0</v>
      </c>
      <c r="V20" s="254">
        <v>0</v>
      </c>
      <c r="W20" s="254">
        <v>0</v>
      </c>
      <c r="X20" s="254">
        <v>961.37500000000296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7179.817307692304</v>
      </c>
      <c r="AG20" s="254">
        <v>0</v>
      </c>
      <c r="AH20" s="254">
        <v>2779.3325000000004</v>
      </c>
      <c r="AI20" s="254">
        <v>0</v>
      </c>
      <c r="AJ20" s="254">
        <v>735.63281249999159</v>
      </c>
      <c r="AK20" s="254">
        <v>0</v>
      </c>
      <c r="AL20" s="254">
        <v>316.71990740740875</v>
      </c>
      <c r="AM20" s="254">
        <v>0</v>
      </c>
      <c r="AN20" s="254">
        <v>1060.6400000000028</v>
      </c>
      <c r="AO20" s="254">
        <v>0</v>
      </c>
      <c r="AP20" s="254">
        <v>70.649038461538368</v>
      </c>
      <c r="AQ20" s="254">
        <v>0</v>
      </c>
      <c r="AR20" s="254">
        <v>1913.7932692307702</v>
      </c>
      <c r="AS20" s="254">
        <v>0</v>
      </c>
      <c r="AT20" s="254">
        <v>0</v>
      </c>
      <c r="AU20" s="254">
        <v>0</v>
      </c>
      <c r="AV20" s="254">
        <v>1054.0995370370351</v>
      </c>
      <c r="AW20" s="254">
        <v>0</v>
      </c>
      <c r="AX20" s="254">
        <v>0</v>
      </c>
      <c r="AY20" s="254">
        <v>0</v>
      </c>
    </row>
    <row r="21" spans="2:51">
      <c r="B21" s="223">
        <v>10067</v>
      </c>
      <c r="C21" s="223" t="s">
        <v>24</v>
      </c>
      <c r="D21" s="254">
        <v>2950.0817307692328</v>
      </c>
      <c r="E21" s="254">
        <v>0</v>
      </c>
      <c r="F21" s="254">
        <v>5866.8149999999969</v>
      </c>
      <c r="G21" s="254">
        <v>0</v>
      </c>
      <c r="H21" s="254">
        <v>4840.5625000000009</v>
      </c>
      <c r="I21" s="254">
        <v>0</v>
      </c>
      <c r="J21" s="254">
        <v>6049.9500000000025</v>
      </c>
      <c r="K21" s="254">
        <v>0</v>
      </c>
      <c r="L21" s="254">
        <v>2852.4296875</v>
      </c>
      <c r="M21" s="254">
        <v>0</v>
      </c>
      <c r="N21" s="254">
        <v>5100.0185185185201</v>
      </c>
      <c r="O21" s="254">
        <v>0</v>
      </c>
      <c r="P21" s="254">
        <v>5385.2524038461543</v>
      </c>
      <c r="Q21" s="254">
        <v>0</v>
      </c>
      <c r="R21" s="254">
        <v>5038.7575000000006</v>
      </c>
      <c r="S21" s="254">
        <v>0</v>
      </c>
      <c r="T21" s="254">
        <v>3682.7019230769206</v>
      </c>
      <c r="U21" s="254">
        <v>0</v>
      </c>
      <c r="V21" s="254">
        <v>5827.3125</v>
      </c>
      <c r="W21" s="254">
        <v>0</v>
      </c>
      <c r="X21" s="254">
        <v>4363.9212962962965</v>
      </c>
      <c r="Y21" s="254">
        <v>0</v>
      </c>
      <c r="Z21" s="254">
        <v>6012.4775000000018</v>
      </c>
      <c r="AA21" s="254">
        <v>0</v>
      </c>
      <c r="AB21" s="254">
        <v>3091.7764423076919</v>
      </c>
      <c r="AC21" s="254">
        <v>0</v>
      </c>
      <c r="AD21" s="254">
        <v>6045.942500000001</v>
      </c>
      <c r="AE21" s="254">
        <v>0</v>
      </c>
      <c r="AF21" s="254">
        <v>5016.2668269230753</v>
      </c>
      <c r="AG21" s="254">
        <v>0</v>
      </c>
      <c r="AH21" s="254">
        <v>6255.4724999999999</v>
      </c>
      <c r="AI21" s="254">
        <v>0</v>
      </c>
      <c r="AJ21" s="254">
        <v>4003.0963541666661</v>
      </c>
      <c r="AK21" s="254">
        <v>0</v>
      </c>
      <c r="AL21" s="254">
        <v>5281.3819444444471</v>
      </c>
      <c r="AM21" s="254">
        <v>0</v>
      </c>
      <c r="AN21" s="254">
        <v>4857.9925000000003</v>
      </c>
      <c r="AO21" s="254">
        <v>0</v>
      </c>
      <c r="AP21" s="254">
        <v>5785.6201923076915</v>
      </c>
      <c r="AQ21" s="254">
        <v>0</v>
      </c>
      <c r="AR21" s="254">
        <v>3830.6201923076956</v>
      </c>
      <c r="AS21" s="254">
        <v>0</v>
      </c>
      <c r="AT21" s="254">
        <v>5997.6824999999981</v>
      </c>
      <c r="AU21" s="254">
        <v>0</v>
      </c>
      <c r="AV21" s="254">
        <v>4520.0231481481469</v>
      </c>
      <c r="AW21" s="254">
        <v>0</v>
      </c>
      <c r="AX21" s="254">
        <v>6164.717499999997</v>
      </c>
      <c r="AY21" s="254">
        <v>0</v>
      </c>
    </row>
    <row r="22" spans="2:51">
      <c r="B22" s="223">
        <v>10068</v>
      </c>
      <c r="C22" s="223" t="s">
        <v>25</v>
      </c>
      <c r="D22" s="254">
        <v>0</v>
      </c>
      <c r="E22" s="254">
        <v>0</v>
      </c>
      <c r="F22" s="254">
        <v>159.73250000000004</v>
      </c>
      <c r="G22" s="254">
        <v>0</v>
      </c>
      <c r="H22" s="254">
        <v>361.21153846153874</v>
      </c>
      <c r="I22" s="254">
        <v>0</v>
      </c>
      <c r="J22" s="254">
        <v>398.97249999999997</v>
      </c>
      <c r="K22" s="254">
        <v>0</v>
      </c>
      <c r="L22" s="254">
        <v>183.17708333333326</v>
      </c>
      <c r="M22" s="254">
        <v>0</v>
      </c>
      <c r="N22" s="254">
        <v>296.62268518518545</v>
      </c>
      <c r="O22" s="254">
        <v>0</v>
      </c>
      <c r="P22" s="254">
        <v>345.49519230769209</v>
      </c>
      <c r="Q22" s="254">
        <v>0</v>
      </c>
      <c r="R22" s="254">
        <v>143.11999999999975</v>
      </c>
      <c r="S22" s="254">
        <v>0</v>
      </c>
      <c r="T22" s="254">
        <v>56.103365384615579</v>
      </c>
      <c r="U22" s="254">
        <v>0</v>
      </c>
      <c r="V22" s="254">
        <v>625.6574999999998</v>
      </c>
      <c r="W22" s="254">
        <v>0</v>
      </c>
      <c r="X22" s="254">
        <v>578.39120370370335</v>
      </c>
      <c r="Y22" s="254">
        <v>0</v>
      </c>
      <c r="Z22" s="254">
        <v>245.78500000000008</v>
      </c>
      <c r="AA22" s="254">
        <v>0</v>
      </c>
      <c r="AB22" s="254">
        <v>0</v>
      </c>
      <c r="AC22" s="254">
        <v>0</v>
      </c>
      <c r="AD22" s="254">
        <v>159.73250000000004</v>
      </c>
      <c r="AE22" s="254">
        <v>0</v>
      </c>
      <c r="AF22" s="254">
        <v>361.21153846153874</v>
      </c>
      <c r="AG22" s="254">
        <v>0</v>
      </c>
      <c r="AH22" s="254">
        <v>398.97249999999997</v>
      </c>
      <c r="AI22" s="254">
        <v>0</v>
      </c>
      <c r="AJ22" s="254">
        <v>183.17708333333326</v>
      </c>
      <c r="AK22" s="254">
        <v>0</v>
      </c>
      <c r="AL22" s="254">
        <v>296.62268518518545</v>
      </c>
      <c r="AM22" s="254">
        <v>0</v>
      </c>
      <c r="AN22" s="254">
        <v>245.91500000000011</v>
      </c>
      <c r="AO22" s="254">
        <v>0</v>
      </c>
      <c r="AP22" s="254">
        <v>229.19230769230754</v>
      </c>
      <c r="AQ22" s="254">
        <v>0</v>
      </c>
      <c r="AR22" s="254">
        <v>56.103365384615579</v>
      </c>
      <c r="AS22" s="254">
        <v>0</v>
      </c>
      <c r="AT22" s="254">
        <v>625.6574999999998</v>
      </c>
      <c r="AU22" s="254">
        <v>0</v>
      </c>
      <c r="AV22" s="254">
        <v>578.39120370370335</v>
      </c>
      <c r="AW22" s="254">
        <v>0</v>
      </c>
      <c r="AX22" s="254">
        <v>245.78500000000008</v>
      </c>
      <c r="AY22" s="254">
        <v>0</v>
      </c>
    </row>
    <row r="23" spans="2:51">
      <c r="B23" s="223">
        <v>10070</v>
      </c>
      <c r="C23" s="223" t="s">
        <v>26</v>
      </c>
      <c r="D23" s="254">
        <v>68.036057692307693</v>
      </c>
      <c r="E23" s="254">
        <v>0</v>
      </c>
      <c r="F23" s="254">
        <v>26.124999999999982</v>
      </c>
      <c r="G23" s="254">
        <v>0</v>
      </c>
      <c r="H23" s="254">
        <v>108.33173076923075</v>
      </c>
      <c r="I23" s="254">
        <v>0</v>
      </c>
      <c r="J23" s="254">
        <v>72.867499999999978</v>
      </c>
      <c r="K23" s="254">
        <v>0</v>
      </c>
      <c r="L23" s="254">
        <v>49.283854166666671</v>
      </c>
      <c r="M23" s="254">
        <v>0</v>
      </c>
      <c r="N23" s="254">
        <v>74.604166666666643</v>
      </c>
      <c r="O23" s="254">
        <v>0</v>
      </c>
      <c r="P23" s="254">
        <v>38.528846153846139</v>
      </c>
      <c r="Q23" s="254">
        <v>0</v>
      </c>
      <c r="R23" s="254">
        <v>24.915000000000049</v>
      </c>
      <c r="S23" s="254">
        <v>0</v>
      </c>
      <c r="T23" s="254">
        <v>58.237980769230788</v>
      </c>
      <c r="U23" s="254">
        <v>0</v>
      </c>
      <c r="V23" s="254">
        <v>62.992500000000049</v>
      </c>
      <c r="W23" s="254">
        <v>0</v>
      </c>
      <c r="X23" s="254">
        <v>77.162037037036981</v>
      </c>
      <c r="Y23" s="254">
        <v>0</v>
      </c>
      <c r="Z23" s="254">
        <v>63.265000000000001</v>
      </c>
      <c r="AA23" s="254">
        <v>0</v>
      </c>
      <c r="AB23" s="254">
        <v>68.663461538461533</v>
      </c>
      <c r="AC23" s="254">
        <v>0</v>
      </c>
      <c r="AD23" s="254">
        <v>25.702499999999933</v>
      </c>
      <c r="AE23" s="254">
        <v>0</v>
      </c>
      <c r="AF23" s="254">
        <v>108.80769230769238</v>
      </c>
      <c r="AG23" s="254">
        <v>0</v>
      </c>
      <c r="AH23" s="254">
        <v>73.334999999999923</v>
      </c>
      <c r="AI23" s="254">
        <v>0</v>
      </c>
      <c r="AJ23" s="254">
        <v>49.812500000000064</v>
      </c>
      <c r="AK23" s="254">
        <v>0</v>
      </c>
      <c r="AL23" s="254">
        <v>74.199074074074062</v>
      </c>
      <c r="AM23" s="254">
        <v>0</v>
      </c>
      <c r="AN23" s="254">
        <v>38.287499999999945</v>
      </c>
      <c r="AO23" s="254">
        <v>0</v>
      </c>
      <c r="AP23" s="254">
        <v>26.569711538461522</v>
      </c>
      <c r="AQ23" s="254">
        <v>0</v>
      </c>
      <c r="AR23" s="254">
        <v>58.903846153846111</v>
      </c>
      <c r="AS23" s="254">
        <v>0</v>
      </c>
      <c r="AT23" s="254">
        <v>62.620000000000047</v>
      </c>
      <c r="AU23" s="254">
        <v>0</v>
      </c>
      <c r="AV23" s="254">
        <v>76.789351851851805</v>
      </c>
      <c r="AW23" s="254">
        <v>0</v>
      </c>
      <c r="AX23" s="254">
        <v>63.910000000000011</v>
      </c>
      <c r="AY23" s="254">
        <v>0</v>
      </c>
    </row>
    <row r="24" spans="2:51">
      <c r="B24" s="223">
        <v>10071</v>
      </c>
      <c r="C24" s="223" t="s">
        <v>27</v>
      </c>
      <c r="D24" s="254">
        <v>7.2572115384615943</v>
      </c>
      <c r="E24" s="254">
        <v>0</v>
      </c>
      <c r="F24" s="254">
        <v>133.43499999999986</v>
      </c>
      <c r="G24" s="254">
        <v>0</v>
      </c>
      <c r="H24" s="254">
        <v>353.34855769230745</v>
      </c>
      <c r="I24" s="254">
        <v>0</v>
      </c>
      <c r="J24" s="254">
        <v>219.68000000000032</v>
      </c>
      <c r="K24" s="254">
        <v>0</v>
      </c>
      <c r="L24" s="254">
        <v>150.23437500000026</v>
      </c>
      <c r="M24" s="254">
        <v>0</v>
      </c>
      <c r="N24" s="254">
        <v>377.29398148148152</v>
      </c>
      <c r="O24" s="254">
        <v>0</v>
      </c>
      <c r="P24" s="254">
        <v>318.78846153846155</v>
      </c>
      <c r="Q24" s="254">
        <v>0</v>
      </c>
      <c r="R24" s="254">
        <v>0</v>
      </c>
      <c r="S24" s="254">
        <v>0</v>
      </c>
      <c r="T24" s="254">
        <v>101.96875000000027</v>
      </c>
      <c r="U24" s="254">
        <v>0</v>
      </c>
      <c r="V24" s="254">
        <v>76.192499999999995</v>
      </c>
      <c r="W24" s="254">
        <v>0</v>
      </c>
      <c r="X24" s="254">
        <v>215.77314814814812</v>
      </c>
      <c r="Y24" s="254">
        <v>0</v>
      </c>
      <c r="Z24" s="254">
        <v>0</v>
      </c>
      <c r="AA24" s="254">
        <v>0</v>
      </c>
      <c r="AB24" s="254">
        <v>7.2572115384615943</v>
      </c>
      <c r="AC24" s="254">
        <v>0</v>
      </c>
      <c r="AD24" s="254">
        <v>133.43499999999986</v>
      </c>
      <c r="AE24" s="254">
        <v>0</v>
      </c>
      <c r="AF24" s="254">
        <v>353.34855769230745</v>
      </c>
      <c r="AG24" s="254">
        <v>0</v>
      </c>
      <c r="AH24" s="254">
        <v>219.68000000000032</v>
      </c>
      <c r="AI24" s="254">
        <v>0</v>
      </c>
      <c r="AJ24" s="254">
        <v>150.23437500000026</v>
      </c>
      <c r="AK24" s="254">
        <v>0</v>
      </c>
      <c r="AL24" s="254">
        <v>377.29398148148152</v>
      </c>
      <c r="AM24" s="254">
        <v>0</v>
      </c>
      <c r="AN24" s="254">
        <v>309.70749999999981</v>
      </c>
      <c r="AO24" s="254">
        <v>0</v>
      </c>
      <c r="AP24" s="254">
        <v>6.1802884615386189</v>
      </c>
      <c r="AQ24" s="254">
        <v>0</v>
      </c>
      <c r="AR24" s="254">
        <v>101.96875000000027</v>
      </c>
      <c r="AS24" s="254">
        <v>0</v>
      </c>
      <c r="AT24" s="254">
        <v>76.192499999999995</v>
      </c>
      <c r="AU24" s="254">
        <v>0</v>
      </c>
      <c r="AV24" s="254">
        <v>215.77314814814812</v>
      </c>
      <c r="AW24" s="254">
        <v>0</v>
      </c>
      <c r="AX24" s="254">
        <v>0</v>
      </c>
      <c r="AY24" s="254">
        <v>0</v>
      </c>
    </row>
    <row r="25" spans="2:51">
      <c r="B25" s="223">
        <v>10072</v>
      </c>
      <c r="C25" s="223" t="s">
        <v>28</v>
      </c>
      <c r="D25" s="254">
        <v>515.8317307692331</v>
      </c>
      <c r="E25" s="254">
        <v>0</v>
      </c>
      <c r="F25" s="254">
        <v>1785.0925000000011</v>
      </c>
      <c r="G25" s="254">
        <v>0</v>
      </c>
      <c r="H25" s="254">
        <v>3870.7596153846216</v>
      </c>
      <c r="I25" s="254">
        <v>0</v>
      </c>
      <c r="J25" s="254">
        <v>3978.35</v>
      </c>
      <c r="K25" s="254">
        <v>0</v>
      </c>
      <c r="L25" s="254">
        <v>3568.1640625000009</v>
      </c>
      <c r="M25" s="254">
        <v>0</v>
      </c>
      <c r="N25" s="254">
        <v>3552.9027777777796</v>
      </c>
      <c r="O25" s="254">
        <v>0</v>
      </c>
      <c r="P25" s="254">
        <v>3231.3485576923067</v>
      </c>
      <c r="Q25" s="254">
        <v>0</v>
      </c>
      <c r="R25" s="254">
        <v>2519.8575000000019</v>
      </c>
      <c r="S25" s="254">
        <v>0</v>
      </c>
      <c r="T25" s="254">
        <v>3753.2716346153866</v>
      </c>
      <c r="U25" s="254">
        <v>0</v>
      </c>
      <c r="V25" s="254">
        <v>2369.0300000000011</v>
      </c>
      <c r="W25" s="254">
        <v>0</v>
      </c>
      <c r="X25" s="254">
        <v>5292.5370370370383</v>
      </c>
      <c r="Y25" s="254">
        <v>0</v>
      </c>
      <c r="Z25" s="254">
        <v>5945.279999999997</v>
      </c>
      <c r="AA25" s="254">
        <v>0</v>
      </c>
      <c r="AB25" s="254">
        <v>530.96875000000045</v>
      </c>
      <c r="AC25" s="254">
        <v>0</v>
      </c>
      <c r="AD25" s="254">
        <v>1808.0175000000017</v>
      </c>
      <c r="AE25" s="254">
        <v>0</v>
      </c>
      <c r="AF25" s="254">
        <v>3891.5072115384642</v>
      </c>
      <c r="AG25" s="254">
        <v>0</v>
      </c>
      <c r="AH25" s="254">
        <v>4001.5599999999986</v>
      </c>
      <c r="AI25" s="254">
        <v>0</v>
      </c>
      <c r="AJ25" s="254">
        <v>3589.6302083333308</v>
      </c>
      <c r="AK25" s="254">
        <v>0</v>
      </c>
      <c r="AL25" s="254">
        <v>3575.7662037037062</v>
      </c>
      <c r="AM25" s="254">
        <v>0</v>
      </c>
      <c r="AN25" s="254">
        <v>2267.6899999999978</v>
      </c>
      <c r="AO25" s="254">
        <v>0</v>
      </c>
      <c r="AP25" s="254">
        <v>3412.0216346153829</v>
      </c>
      <c r="AQ25" s="254">
        <v>0</v>
      </c>
      <c r="AR25" s="254">
        <v>3779.0240384615349</v>
      </c>
      <c r="AS25" s="254">
        <v>0</v>
      </c>
      <c r="AT25" s="254">
        <v>2397.6849999999981</v>
      </c>
      <c r="AU25" s="254">
        <v>0</v>
      </c>
      <c r="AV25" s="254">
        <v>5321.1921296296287</v>
      </c>
      <c r="AW25" s="254">
        <v>0</v>
      </c>
      <c r="AX25" s="254">
        <v>5972.9974999999986</v>
      </c>
      <c r="AY25" s="254">
        <v>0</v>
      </c>
    </row>
    <row r="26" spans="2:51">
      <c r="B26" s="223">
        <v>10074</v>
      </c>
      <c r="C26" s="223" t="s">
        <v>29</v>
      </c>
      <c r="D26" s="254">
        <v>0</v>
      </c>
      <c r="E26" s="254">
        <v>0</v>
      </c>
      <c r="F26" s="254">
        <v>3421.0799999999981</v>
      </c>
      <c r="G26" s="254">
        <v>0</v>
      </c>
      <c r="H26" s="254">
        <v>344.64423076923902</v>
      </c>
      <c r="I26" s="254">
        <v>0</v>
      </c>
      <c r="J26" s="254">
        <v>0</v>
      </c>
      <c r="K26" s="254">
        <v>0</v>
      </c>
      <c r="L26" s="254">
        <v>6804.7994791666624</v>
      </c>
      <c r="M26" s="254">
        <v>0</v>
      </c>
      <c r="N26" s="254">
        <v>9367.9768518518576</v>
      </c>
      <c r="O26" s="254">
        <v>0</v>
      </c>
      <c r="P26" s="254">
        <v>0</v>
      </c>
      <c r="Q26" s="254">
        <v>0</v>
      </c>
      <c r="R26" s="254">
        <v>1292.9574999999991</v>
      </c>
      <c r="S26" s="254">
        <v>0</v>
      </c>
      <c r="T26" s="254">
        <v>10981.141826923078</v>
      </c>
      <c r="U26" s="254">
        <v>0</v>
      </c>
      <c r="V26" s="254">
        <v>3489.6099999999988</v>
      </c>
      <c r="W26" s="254">
        <v>0</v>
      </c>
      <c r="X26" s="254">
        <v>8225.3958333333376</v>
      </c>
      <c r="Y26" s="254">
        <v>0</v>
      </c>
      <c r="Z26" s="254">
        <v>8370.9699999999975</v>
      </c>
      <c r="AA26" s="254">
        <v>0</v>
      </c>
      <c r="AB26" s="254">
        <v>0</v>
      </c>
      <c r="AC26" s="254">
        <v>0</v>
      </c>
      <c r="AD26" s="254">
        <v>3186.0175000000004</v>
      </c>
      <c r="AE26" s="254">
        <v>0</v>
      </c>
      <c r="AF26" s="254">
        <v>0</v>
      </c>
      <c r="AG26" s="254">
        <v>0</v>
      </c>
      <c r="AH26" s="254">
        <v>0</v>
      </c>
      <c r="AI26" s="254">
        <v>0</v>
      </c>
      <c r="AJ26" s="254">
        <v>4858.6276041666724</v>
      </c>
      <c r="AK26" s="254">
        <v>0</v>
      </c>
      <c r="AL26" s="254">
        <v>7685.050925925927</v>
      </c>
      <c r="AM26" s="254">
        <v>0</v>
      </c>
      <c r="AN26" s="254">
        <v>0</v>
      </c>
      <c r="AO26" s="254">
        <v>0</v>
      </c>
      <c r="AP26" s="254">
        <v>1722.2596153846146</v>
      </c>
      <c r="AQ26" s="254">
        <v>0</v>
      </c>
      <c r="AR26" s="254">
        <v>10717.137019230762</v>
      </c>
      <c r="AS26" s="254">
        <v>0</v>
      </c>
      <c r="AT26" s="254">
        <v>3238.8649999999971</v>
      </c>
      <c r="AU26" s="254">
        <v>0</v>
      </c>
      <c r="AV26" s="254">
        <v>7972.2268518518567</v>
      </c>
      <c r="AW26" s="254">
        <v>0</v>
      </c>
      <c r="AX26" s="254">
        <v>8111.6575000000048</v>
      </c>
      <c r="AY26" s="254">
        <v>0</v>
      </c>
    </row>
    <row r="27" spans="2:51">
      <c r="B27" s="223">
        <v>10076</v>
      </c>
      <c r="C27" s="223" t="s">
        <v>30</v>
      </c>
      <c r="D27" s="254">
        <v>583.56971153846098</v>
      </c>
      <c r="E27" s="254">
        <v>0</v>
      </c>
      <c r="F27" s="254">
        <v>0</v>
      </c>
      <c r="G27" s="254">
        <v>0</v>
      </c>
      <c r="H27" s="254">
        <v>331.67548076922901</v>
      </c>
      <c r="I27" s="254">
        <v>0</v>
      </c>
      <c r="J27" s="254">
        <v>383.78000000000077</v>
      </c>
      <c r="K27" s="254">
        <v>0</v>
      </c>
      <c r="L27" s="254">
        <v>0</v>
      </c>
      <c r="M27" s="254">
        <v>0</v>
      </c>
      <c r="N27" s="254">
        <v>261.87731481481347</v>
      </c>
      <c r="O27" s="254">
        <v>0</v>
      </c>
      <c r="P27" s="254">
        <v>262.31009615384562</v>
      </c>
      <c r="Q27" s="254">
        <v>0</v>
      </c>
      <c r="R27" s="254">
        <v>224.48749999999933</v>
      </c>
      <c r="S27" s="254">
        <v>0</v>
      </c>
      <c r="T27" s="254">
        <v>809.20432692307679</v>
      </c>
      <c r="U27" s="254">
        <v>0</v>
      </c>
      <c r="V27" s="254">
        <v>748.02250000000015</v>
      </c>
      <c r="W27" s="254">
        <v>0</v>
      </c>
      <c r="X27" s="254">
        <v>676.31944444444332</v>
      </c>
      <c r="Y27" s="254">
        <v>0</v>
      </c>
      <c r="Z27" s="254">
        <v>625.08749999999998</v>
      </c>
      <c r="AA27" s="254">
        <v>0</v>
      </c>
      <c r="AB27" s="254">
        <v>588.84855769230808</v>
      </c>
      <c r="AC27" s="254">
        <v>0</v>
      </c>
      <c r="AD27" s="254">
        <v>0</v>
      </c>
      <c r="AE27" s="254">
        <v>0</v>
      </c>
      <c r="AF27" s="254">
        <v>334.22596153846263</v>
      </c>
      <c r="AG27" s="254">
        <v>0</v>
      </c>
      <c r="AH27" s="254">
        <v>385.53000000000026</v>
      </c>
      <c r="AI27" s="254">
        <v>0</v>
      </c>
      <c r="AJ27" s="254">
        <v>0</v>
      </c>
      <c r="AK27" s="254">
        <v>0</v>
      </c>
      <c r="AL27" s="254">
        <v>266.12037037037072</v>
      </c>
      <c r="AM27" s="254">
        <v>0</v>
      </c>
      <c r="AN27" s="254">
        <v>264.52249999999952</v>
      </c>
      <c r="AO27" s="254">
        <v>0</v>
      </c>
      <c r="AP27" s="254">
        <v>232.85576923077028</v>
      </c>
      <c r="AQ27" s="254">
        <v>0</v>
      </c>
      <c r="AR27" s="254">
        <v>812.64423076923129</v>
      </c>
      <c r="AS27" s="254">
        <v>0</v>
      </c>
      <c r="AT27" s="254">
        <v>751.49499999999921</v>
      </c>
      <c r="AU27" s="254">
        <v>0</v>
      </c>
      <c r="AV27" s="254">
        <v>679.32870370370233</v>
      </c>
      <c r="AW27" s="254">
        <v>0</v>
      </c>
      <c r="AX27" s="254">
        <v>629.59000000000094</v>
      </c>
      <c r="AY27" s="254">
        <v>0</v>
      </c>
    </row>
    <row r="28" spans="2:51">
      <c r="B28" s="223">
        <v>10078</v>
      </c>
      <c r="C28" s="223" t="s">
        <v>31</v>
      </c>
      <c r="D28" s="254">
        <v>949.97836538461524</v>
      </c>
      <c r="E28" s="254">
        <v>0</v>
      </c>
      <c r="F28" s="254">
        <v>1240.6425000000004</v>
      </c>
      <c r="G28" s="254">
        <v>0</v>
      </c>
      <c r="H28" s="254">
        <v>1407.2764423076926</v>
      </c>
      <c r="I28" s="254">
        <v>0</v>
      </c>
      <c r="J28" s="254">
        <v>1649.6850000000002</v>
      </c>
      <c r="K28" s="254">
        <v>0</v>
      </c>
      <c r="L28" s="254">
        <v>964.69010416666686</v>
      </c>
      <c r="M28" s="254">
        <v>0</v>
      </c>
      <c r="N28" s="254">
        <v>929.45138888888869</v>
      </c>
      <c r="O28" s="254">
        <v>0</v>
      </c>
      <c r="P28" s="254">
        <v>1379.6418269230767</v>
      </c>
      <c r="Q28" s="254">
        <v>0</v>
      </c>
      <c r="R28" s="254">
        <v>839.4625000000002</v>
      </c>
      <c r="S28" s="254">
        <v>0</v>
      </c>
      <c r="T28" s="254">
        <v>544.80048076923015</v>
      </c>
      <c r="U28" s="254">
        <v>0</v>
      </c>
      <c r="V28" s="254">
        <v>84.257500000000093</v>
      </c>
      <c r="W28" s="254">
        <v>0</v>
      </c>
      <c r="X28" s="254">
        <v>677.5300925925925</v>
      </c>
      <c r="Y28" s="254">
        <v>0</v>
      </c>
      <c r="Z28" s="254">
        <v>564.64500000000032</v>
      </c>
      <c r="AA28" s="254">
        <v>0</v>
      </c>
      <c r="AB28" s="254">
        <v>979.40624999999977</v>
      </c>
      <c r="AC28" s="254">
        <v>0</v>
      </c>
      <c r="AD28" s="254">
        <v>1272.6799999999998</v>
      </c>
      <c r="AE28" s="254">
        <v>0</v>
      </c>
      <c r="AF28" s="254">
        <v>1441.3725961538462</v>
      </c>
      <c r="AG28" s="254">
        <v>0</v>
      </c>
      <c r="AH28" s="254">
        <v>1684.6499999999999</v>
      </c>
      <c r="AI28" s="254">
        <v>0</v>
      </c>
      <c r="AJ28" s="254">
        <v>1003.3567708333328</v>
      </c>
      <c r="AK28" s="254">
        <v>0</v>
      </c>
      <c r="AL28" s="254">
        <v>963.18981481481478</v>
      </c>
      <c r="AM28" s="254">
        <v>0</v>
      </c>
      <c r="AN28" s="254">
        <v>1381.5450000000005</v>
      </c>
      <c r="AO28" s="254">
        <v>0</v>
      </c>
      <c r="AP28" s="254">
        <v>892.39423076923026</v>
      </c>
      <c r="AQ28" s="254">
        <v>0</v>
      </c>
      <c r="AR28" s="254">
        <v>560.93269230769181</v>
      </c>
      <c r="AS28" s="254">
        <v>0</v>
      </c>
      <c r="AT28" s="254">
        <v>95.447500000000574</v>
      </c>
      <c r="AU28" s="254">
        <v>0</v>
      </c>
      <c r="AV28" s="254">
        <v>687.53703703703707</v>
      </c>
      <c r="AW28" s="254">
        <v>0</v>
      </c>
      <c r="AX28" s="254">
        <v>582.15250000000003</v>
      </c>
      <c r="AY28" s="254">
        <v>0</v>
      </c>
    </row>
    <row r="29" spans="2:51">
      <c r="B29" s="223">
        <v>10079</v>
      </c>
      <c r="C29" s="223" t="s">
        <v>32</v>
      </c>
      <c r="D29" s="254">
        <v>26013.483173076922</v>
      </c>
      <c r="E29" s="254">
        <v>0</v>
      </c>
      <c r="F29" s="254">
        <v>25632.317499999997</v>
      </c>
      <c r="G29" s="254">
        <v>0</v>
      </c>
      <c r="H29" s="254">
        <v>20774.598557692294</v>
      </c>
      <c r="I29" s="254">
        <v>0</v>
      </c>
      <c r="J29" s="254">
        <v>19005.49500000001</v>
      </c>
      <c r="K29" s="254">
        <v>0</v>
      </c>
      <c r="L29" s="254">
        <v>2915.354166666667</v>
      </c>
      <c r="M29" s="254">
        <v>0</v>
      </c>
      <c r="N29" s="254">
        <v>25386.321759259274</v>
      </c>
      <c r="O29" s="254">
        <v>0</v>
      </c>
      <c r="P29" s="254">
        <v>20443.288461538472</v>
      </c>
      <c r="Q29" s="254">
        <v>0</v>
      </c>
      <c r="R29" s="254">
        <v>19974.004999999997</v>
      </c>
      <c r="S29" s="254">
        <v>0</v>
      </c>
      <c r="T29" s="254">
        <v>29785.942307692301</v>
      </c>
      <c r="U29" s="254">
        <v>0</v>
      </c>
      <c r="V29" s="254">
        <v>23275.42249999999</v>
      </c>
      <c r="W29" s="254">
        <v>0</v>
      </c>
      <c r="X29" s="254">
        <v>26649.835648148153</v>
      </c>
      <c r="Y29" s="254">
        <v>0</v>
      </c>
      <c r="Z29" s="254">
        <v>16515.602500000001</v>
      </c>
      <c r="AA29" s="254">
        <v>0</v>
      </c>
      <c r="AB29" s="254">
        <v>26142.774038461539</v>
      </c>
      <c r="AC29" s="254">
        <v>0</v>
      </c>
      <c r="AD29" s="254">
        <v>25760.194999999996</v>
      </c>
      <c r="AE29" s="254">
        <v>0</v>
      </c>
      <c r="AF29" s="254">
        <v>20917.550480769216</v>
      </c>
      <c r="AG29" s="254">
        <v>0</v>
      </c>
      <c r="AH29" s="254">
        <v>19137.047499999993</v>
      </c>
      <c r="AI29" s="254">
        <v>0</v>
      </c>
      <c r="AJ29" s="254">
        <v>3043.4453124999905</v>
      </c>
      <c r="AK29" s="254">
        <v>0</v>
      </c>
      <c r="AL29" s="254">
        <v>25519.467592592577</v>
      </c>
      <c r="AM29" s="254">
        <v>0</v>
      </c>
      <c r="AN29" s="254">
        <v>19393.842500000006</v>
      </c>
      <c r="AO29" s="254">
        <v>0</v>
      </c>
      <c r="AP29" s="254">
        <v>21248.088942307681</v>
      </c>
      <c r="AQ29" s="254">
        <v>0</v>
      </c>
      <c r="AR29" s="254">
        <v>29898.689903846167</v>
      </c>
      <c r="AS29" s="254">
        <v>0</v>
      </c>
      <c r="AT29" s="254">
        <v>23402.62</v>
      </c>
      <c r="AU29" s="254">
        <v>0</v>
      </c>
      <c r="AV29" s="254">
        <v>26777.791666666672</v>
      </c>
      <c r="AW29" s="254">
        <v>0</v>
      </c>
      <c r="AX29" s="254">
        <v>16623.757499999996</v>
      </c>
      <c r="AY29" s="254">
        <v>0</v>
      </c>
    </row>
    <row r="30" spans="2:51">
      <c r="B30" s="223">
        <v>10080</v>
      </c>
      <c r="C30" s="223" t="s">
        <v>33</v>
      </c>
      <c r="D30" s="254">
        <v>0</v>
      </c>
      <c r="E30" s="254">
        <v>0</v>
      </c>
      <c r="F30" s="254">
        <v>0</v>
      </c>
      <c r="G30" s="254">
        <v>0</v>
      </c>
      <c r="H30" s="254">
        <v>1596.4639423076908</v>
      </c>
      <c r="I30" s="254">
        <v>0</v>
      </c>
      <c r="J30" s="254">
        <v>1406.6825000000001</v>
      </c>
      <c r="K30" s="254">
        <v>0</v>
      </c>
      <c r="L30" s="254">
        <v>553.89843750000091</v>
      </c>
      <c r="M30" s="254">
        <v>0</v>
      </c>
      <c r="N30" s="254">
        <v>199.32407407407317</v>
      </c>
      <c r="O30" s="254">
        <v>0</v>
      </c>
      <c r="P30" s="254">
        <v>571.30288461538487</v>
      </c>
      <c r="Q30" s="254">
        <v>0</v>
      </c>
      <c r="R30" s="254">
        <v>1084.6950000000004</v>
      </c>
      <c r="S30" s="254">
        <v>0</v>
      </c>
      <c r="T30" s="254">
        <v>1865.1490384615377</v>
      </c>
      <c r="U30" s="254">
        <v>0</v>
      </c>
      <c r="V30" s="254">
        <v>1574.0649999999998</v>
      </c>
      <c r="W30" s="254">
        <v>0</v>
      </c>
      <c r="X30" s="254">
        <v>1849.0300925925931</v>
      </c>
      <c r="Y30" s="254">
        <v>0</v>
      </c>
      <c r="Z30" s="254">
        <v>1152.7974999999997</v>
      </c>
      <c r="AA30" s="254">
        <v>0</v>
      </c>
      <c r="AB30" s="254">
        <v>0</v>
      </c>
      <c r="AC30" s="254">
        <v>0</v>
      </c>
      <c r="AD30" s="254">
        <v>0</v>
      </c>
      <c r="AE30" s="254">
        <v>0</v>
      </c>
      <c r="AF30" s="254">
        <v>1589.3966346153843</v>
      </c>
      <c r="AG30" s="254">
        <v>0</v>
      </c>
      <c r="AH30" s="254">
        <v>1399.6650000000002</v>
      </c>
      <c r="AI30" s="254">
        <v>0</v>
      </c>
      <c r="AJ30" s="254">
        <v>544.30468750000034</v>
      </c>
      <c r="AK30" s="254">
        <v>0</v>
      </c>
      <c r="AL30" s="254">
        <v>191.89814814814653</v>
      </c>
      <c r="AM30" s="254">
        <v>0</v>
      </c>
      <c r="AN30" s="254">
        <v>547.5224999999997</v>
      </c>
      <c r="AO30" s="254">
        <v>0</v>
      </c>
      <c r="AP30" s="254">
        <v>1109.0144230769235</v>
      </c>
      <c r="AQ30" s="254">
        <v>0</v>
      </c>
      <c r="AR30" s="254">
        <v>1874.6057692307695</v>
      </c>
      <c r="AS30" s="254">
        <v>0</v>
      </c>
      <c r="AT30" s="254">
        <v>1583.6624999999997</v>
      </c>
      <c r="AU30" s="254">
        <v>0</v>
      </c>
      <c r="AV30" s="254">
        <v>1858.5856481481483</v>
      </c>
      <c r="AW30" s="254">
        <v>0</v>
      </c>
      <c r="AX30" s="254">
        <v>1162.4874999999997</v>
      </c>
      <c r="AY30" s="254">
        <v>0</v>
      </c>
    </row>
    <row r="31" spans="2:51">
      <c r="B31" s="223">
        <v>10081</v>
      </c>
      <c r="C31" s="223" t="s">
        <v>34</v>
      </c>
      <c r="D31" s="254">
        <v>0</v>
      </c>
      <c r="E31" s="254">
        <v>0</v>
      </c>
      <c r="F31" s="254">
        <v>0</v>
      </c>
      <c r="G31" s="254">
        <v>0</v>
      </c>
      <c r="H31" s="254">
        <v>3409.4495192307695</v>
      </c>
      <c r="I31" s="254">
        <v>0</v>
      </c>
      <c r="J31" s="254">
        <v>671.81250000000057</v>
      </c>
      <c r="K31" s="254">
        <v>0</v>
      </c>
      <c r="L31" s="254">
        <v>870.09374999999966</v>
      </c>
      <c r="M31" s="254">
        <v>0</v>
      </c>
      <c r="N31" s="254">
        <v>2077.5995370370374</v>
      </c>
      <c r="O31" s="254">
        <v>0</v>
      </c>
      <c r="P31" s="254">
        <v>1470.1899038461538</v>
      </c>
      <c r="Q31" s="254">
        <v>0</v>
      </c>
      <c r="R31" s="254">
        <v>0</v>
      </c>
      <c r="S31" s="254">
        <v>0</v>
      </c>
      <c r="T31" s="254">
        <v>3234.51923076923</v>
      </c>
      <c r="U31" s="254">
        <v>0</v>
      </c>
      <c r="V31" s="254">
        <v>2140.9850000000015</v>
      </c>
      <c r="W31" s="254">
        <v>0</v>
      </c>
      <c r="X31" s="254">
        <v>2002.3726851851861</v>
      </c>
      <c r="Y31" s="254">
        <v>0</v>
      </c>
      <c r="Z31" s="254">
        <v>877.40249999999969</v>
      </c>
      <c r="AA31" s="254">
        <v>0</v>
      </c>
      <c r="AB31" s="254">
        <v>0</v>
      </c>
      <c r="AC31" s="254">
        <v>0</v>
      </c>
      <c r="AD31" s="254">
        <v>0</v>
      </c>
      <c r="AE31" s="254">
        <v>0</v>
      </c>
      <c r="AF31" s="254">
        <v>3409.4495192307695</v>
      </c>
      <c r="AG31" s="254">
        <v>0</v>
      </c>
      <c r="AH31" s="254">
        <v>671.81250000000057</v>
      </c>
      <c r="AI31" s="254">
        <v>0</v>
      </c>
      <c r="AJ31" s="254">
        <v>870.09374999999966</v>
      </c>
      <c r="AK31" s="254">
        <v>0</v>
      </c>
      <c r="AL31" s="254">
        <v>2077.5995370370374</v>
      </c>
      <c r="AM31" s="254">
        <v>0</v>
      </c>
      <c r="AN31" s="254">
        <v>1521.2375000000006</v>
      </c>
      <c r="AO31" s="254">
        <v>0</v>
      </c>
      <c r="AP31" s="254">
        <v>0</v>
      </c>
      <c r="AQ31" s="254">
        <v>0</v>
      </c>
      <c r="AR31" s="254">
        <v>3234.51923076923</v>
      </c>
      <c r="AS31" s="254">
        <v>0</v>
      </c>
      <c r="AT31" s="254">
        <v>2140.9850000000015</v>
      </c>
      <c r="AU31" s="254">
        <v>0</v>
      </c>
      <c r="AV31" s="254">
        <v>2002.3726851851861</v>
      </c>
      <c r="AW31" s="254">
        <v>0</v>
      </c>
      <c r="AX31" s="254">
        <v>877.40249999999969</v>
      </c>
      <c r="AY31" s="254">
        <v>0</v>
      </c>
    </row>
    <row r="32" spans="2:51">
      <c r="B32" s="223">
        <v>10082</v>
      </c>
      <c r="C32" s="223" t="s">
        <v>35</v>
      </c>
      <c r="D32" s="254">
        <v>16.137019230769241</v>
      </c>
      <c r="E32" s="254">
        <v>0</v>
      </c>
      <c r="F32" s="254">
        <v>2.0174999999999916</v>
      </c>
      <c r="G32" s="254">
        <v>0</v>
      </c>
      <c r="H32" s="254">
        <v>8.1875000000000071</v>
      </c>
      <c r="I32" s="254">
        <v>0</v>
      </c>
      <c r="J32" s="254">
        <v>33.18249999999999</v>
      </c>
      <c r="K32" s="254">
        <v>0</v>
      </c>
      <c r="L32" s="254">
        <v>9.158854166666675</v>
      </c>
      <c r="M32" s="254">
        <v>0</v>
      </c>
      <c r="N32" s="254">
        <v>0</v>
      </c>
      <c r="O32" s="254">
        <v>0</v>
      </c>
      <c r="P32" s="254">
        <v>0.53365384615385036</v>
      </c>
      <c r="Q32" s="254">
        <v>0</v>
      </c>
      <c r="R32" s="254">
        <v>0</v>
      </c>
      <c r="S32" s="254">
        <v>0</v>
      </c>
      <c r="T32" s="254">
        <v>0</v>
      </c>
      <c r="U32" s="254">
        <v>0</v>
      </c>
      <c r="V32" s="254">
        <v>12.952500000000002</v>
      </c>
      <c r="W32" s="254">
        <v>0</v>
      </c>
      <c r="X32" s="254">
        <v>12.349537037037035</v>
      </c>
      <c r="Y32" s="254">
        <v>0</v>
      </c>
      <c r="Z32" s="254">
        <v>3.6225000000000005</v>
      </c>
      <c r="AA32" s="254">
        <v>0</v>
      </c>
      <c r="AB32" s="254">
        <v>16.137019230769241</v>
      </c>
      <c r="AC32" s="254">
        <v>0</v>
      </c>
      <c r="AD32" s="254">
        <v>2.0174999999999916</v>
      </c>
      <c r="AE32" s="254">
        <v>0</v>
      </c>
      <c r="AF32" s="254">
        <v>8.1875000000000071</v>
      </c>
      <c r="AG32" s="254">
        <v>0</v>
      </c>
      <c r="AH32" s="254">
        <v>33.18249999999999</v>
      </c>
      <c r="AI32" s="254">
        <v>0</v>
      </c>
      <c r="AJ32" s="254">
        <v>9.158854166666675</v>
      </c>
      <c r="AK32" s="254">
        <v>0</v>
      </c>
      <c r="AL32" s="254">
        <v>0</v>
      </c>
      <c r="AM32" s="254">
        <v>0</v>
      </c>
      <c r="AN32" s="254">
        <v>0.50000000000001432</v>
      </c>
      <c r="AO32" s="254">
        <v>0</v>
      </c>
      <c r="AP32" s="254">
        <v>0</v>
      </c>
      <c r="AQ32" s="254">
        <v>0</v>
      </c>
      <c r="AR32" s="254">
        <v>0</v>
      </c>
      <c r="AS32" s="254">
        <v>0</v>
      </c>
      <c r="AT32" s="254">
        <v>12.952500000000002</v>
      </c>
      <c r="AU32" s="254">
        <v>0</v>
      </c>
      <c r="AV32" s="254">
        <v>12.349537037037035</v>
      </c>
      <c r="AW32" s="254">
        <v>0</v>
      </c>
      <c r="AX32" s="254">
        <v>3.6225000000000005</v>
      </c>
      <c r="AY32" s="254">
        <v>0</v>
      </c>
    </row>
    <row r="33" spans="2:51">
      <c r="B33" s="223">
        <v>10083</v>
      </c>
      <c r="C33" s="223" t="s">
        <v>36</v>
      </c>
      <c r="D33" s="254">
        <v>85.894230769230973</v>
      </c>
      <c r="E33" s="254">
        <v>0</v>
      </c>
      <c r="F33" s="254">
        <v>0</v>
      </c>
      <c r="G33" s="254">
        <v>0</v>
      </c>
      <c r="H33" s="254">
        <v>1327.454326923076</v>
      </c>
      <c r="I33" s="254">
        <v>0</v>
      </c>
      <c r="J33" s="254">
        <v>313.03499999999974</v>
      </c>
      <c r="K33" s="254">
        <v>0</v>
      </c>
      <c r="L33" s="254">
        <v>738.30989583333428</v>
      </c>
      <c r="M33" s="254">
        <v>0</v>
      </c>
      <c r="N33" s="254">
        <v>1356.8657407407406</v>
      </c>
      <c r="O33" s="254">
        <v>0</v>
      </c>
      <c r="P33" s="254">
        <v>715.62740384615381</v>
      </c>
      <c r="Q33" s="254">
        <v>0</v>
      </c>
      <c r="R33" s="254">
        <v>1072.7600000000004</v>
      </c>
      <c r="S33" s="254">
        <v>0</v>
      </c>
      <c r="T33" s="254">
        <v>2707.7307692307686</v>
      </c>
      <c r="U33" s="254">
        <v>0</v>
      </c>
      <c r="V33" s="254">
        <v>2879.5149999999985</v>
      </c>
      <c r="W33" s="254">
        <v>0</v>
      </c>
      <c r="X33" s="254">
        <v>3002.2685185185178</v>
      </c>
      <c r="Y33" s="254">
        <v>0</v>
      </c>
      <c r="Z33" s="254">
        <v>2544.7575000000002</v>
      </c>
      <c r="AA33" s="254">
        <v>0</v>
      </c>
      <c r="AB33" s="254">
        <v>54.704326923076252</v>
      </c>
      <c r="AC33" s="254">
        <v>0</v>
      </c>
      <c r="AD33" s="254">
        <v>0</v>
      </c>
      <c r="AE33" s="254">
        <v>0</v>
      </c>
      <c r="AF33" s="254">
        <v>1304.4375000000002</v>
      </c>
      <c r="AG33" s="254">
        <v>0</v>
      </c>
      <c r="AH33" s="254">
        <v>288.40750000000037</v>
      </c>
      <c r="AI33" s="254">
        <v>0</v>
      </c>
      <c r="AJ33" s="254">
        <v>709.10416666666663</v>
      </c>
      <c r="AK33" s="254">
        <v>0</v>
      </c>
      <c r="AL33" s="254">
        <v>1329.8217592592571</v>
      </c>
      <c r="AM33" s="254">
        <v>0</v>
      </c>
      <c r="AN33" s="254">
        <v>691.25499999999954</v>
      </c>
      <c r="AO33" s="254">
        <v>0</v>
      </c>
      <c r="AP33" s="254">
        <v>1040.8774038461536</v>
      </c>
      <c r="AQ33" s="254">
        <v>0</v>
      </c>
      <c r="AR33" s="254">
        <v>2716.8365384615372</v>
      </c>
      <c r="AS33" s="254">
        <v>0</v>
      </c>
      <c r="AT33" s="254">
        <v>2895.6624999999995</v>
      </c>
      <c r="AU33" s="254">
        <v>0</v>
      </c>
      <c r="AV33" s="254">
        <v>3015.4837962962961</v>
      </c>
      <c r="AW33" s="254">
        <v>0</v>
      </c>
      <c r="AX33" s="254">
        <v>2550.3824999999997</v>
      </c>
      <c r="AY33" s="254">
        <v>0</v>
      </c>
    </row>
    <row r="34" spans="2:51">
      <c r="B34" s="223">
        <v>10086</v>
      </c>
      <c r="C34" s="223" t="s">
        <v>37</v>
      </c>
      <c r="D34" s="254">
        <v>477.99278846153845</v>
      </c>
      <c r="E34" s="254">
        <v>0</v>
      </c>
      <c r="F34" s="254">
        <v>529.09999999999991</v>
      </c>
      <c r="G34" s="254">
        <v>0</v>
      </c>
      <c r="H34" s="254">
        <v>632.16586538461513</v>
      </c>
      <c r="I34" s="254">
        <v>0</v>
      </c>
      <c r="J34" s="254">
        <v>836.51500000000055</v>
      </c>
      <c r="K34" s="254">
        <v>0</v>
      </c>
      <c r="L34" s="254">
        <v>641.85677083333337</v>
      </c>
      <c r="M34" s="254">
        <v>0</v>
      </c>
      <c r="N34" s="254">
        <v>739.18518518518522</v>
      </c>
      <c r="O34" s="254">
        <v>0</v>
      </c>
      <c r="P34" s="254">
        <v>1133.5673076923076</v>
      </c>
      <c r="Q34" s="254">
        <v>0</v>
      </c>
      <c r="R34" s="254">
        <v>527.0374999999998</v>
      </c>
      <c r="S34" s="254">
        <v>0</v>
      </c>
      <c r="T34" s="254">
        <v>453.57692307692309</v>
      </c>
      <c r="U34" s="254">
        <v>0</v>
      </c>
      <c r="V34" s="254">
        <v>472.47250000000031</v>
      </c>
      <c r="W34" s="254">
        <v>0</v>
      </c>
      <c r="X34" s="254">
        <v>607.95601851851848</v>
      </c>
      <c r="Y34" s="254">
        <v>0</v>
      </c>
      <c r="Z34" s="254">
        <v>589.15249999999969</v>
      </c>
      <c r="AA34" s="254">
        <v>0</v>
      </c>
      <c r="AB34" s="254">
        <v>481.99278846153805</v>
      </c>
      <c r="AC34" s="254">
        <v>0</v>
      </c>
      <c r="AD34" s="254">
        <v>533.2099999999997</v>
      </c>
      <c r="AE34" s="254">
        <v>0</v>
      </c>
      <c r="AF34" s="254">
        <v>636.49759615384573</v>
      </c>
      <c r="AG34" s="254">
        <v>0</v>
      </c>
      <c r="AH34" s="254">
        <v>840.7025000000001</v>
      </c>
      <c r="AI34" s="254">
        <v>0</v>
      </c>
      <c r="AJ34" s="254">
        <v>645.91666666666606</v>
      </c>
      <c r="AK34" s="254">
        <v>0</v>
      </c>
      <c r="AL34" s="254">
        <v>742.95601851851848</v>
      </c>
      <c r="AM34" s="254">
        <v>0</v>
      </c>
      <c r="AN34" s="254">
        <v>1123.6074999999996</v>
      </c>
      <c r="AO34" s="254">
        <v>0</v>
      </c>
      <c r="AP34" s="254">
        <v>546.08173076923117</v>
      </c>
      <c r="AQ34" s="254">
        <v>0</v>
      </c>
      <c r="AR34" s="254">
        <v>456.70192307692247</v>
      </c>
      <c r="AS34" s="254">
        <v>0</v>
      </c>
      <c r="AT34" s="254">
        <v>474.61749999999989</v>
      </c>
      <c r="AU34" s="254">
        <v>0</v>
      </c>
      <c r="AV34" s="254">
        <v>610.07638888888846</v>
      </c>
      <c r="AW34" s="254">
        <v>0</v>
      </c>
      <c r="AX34" s="254">
        <v>592.27749999999946</v>
      </c>
      <c r="AY34" s="254">
        <v>0</v>
      </c>
    </row>
    <row r="35" spans="2:51">
      <c r="B35" s="223">
        <v>10087</v>
      </c>
      <c r="C35" s="223" t="s">
        <v>38</v>
      </c>
      <c r="D35" s="254">
        <v>0</v>
      </c>
      <c r="E35" s="254">
        <v>0</v>
      </c>
      <c r="F35" s="254">
        <v>0</v>
      </c>
      <c r="G35" s="254">
        <v>0</v>
      </c>
      <c r="H35" s="254">
        <v>134.63221153846305</v>
      </c>
      <c r="I35" s="254">
        <v>0</v>
      </c>
      <c r="J35" s="254">
        <v>0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  <c r="Q35" s="254">
        <v>0</v>
      </c>
      <c r="R35" s="254">
        <v>0</v>
      </c>
      <c r="S35" s="254">
        <v>0</v>
      </c>
      <c r="T35" s="254">
        <v>0</v>
      </c>
      <c r="U35" s="254">
        <v>0</v>
      </c>
      <c r="V35" s="254">
        <v>0</v>
      </c>
      <c r="W35" s="254">
        <v>0</v>
      </c>
      <c r="X35" s="254">
        <v>0</v>
      </c>
      <c r="Y35" s="254">
        <v>0</v>
      </c>
      <c r="Z35" s="254">
        <v>0</v>
      </c>
      <c r="AA35" s="254">
        <v>0</v>
      </c>
      <c r="AB35" s="254">
        <v>0</v>
      </c>
      <c r="AC35" s="254">
        <v>0</v>
      </c>
      <c r="AD35" s="254">
        <v>0</v>
      </c>
      <c r="AE35" s="254">
        <v>0</v>
      </c>
      <c r="AF35" s="254">
        <v>134.63221153846305</v>
      </c>
      <c r="AG35" s="254">
        <v>0</v>
      </c>
      <c r="AH35" s="254">
        <v>0</v>
      </c>
      <c r="AI35" s="254">
        <v>0</v>
      </c>
      <c r="AJ35" s="254">
        <v>0</v>
      </c>
      <c r="AK35" s="254">
        <v>0</v>
      </c>
      <c r="AL35" s="254">
        <v>0</v>
      </c>
      <c r="AM35" s="254">
        <v>0</v>
      </c>
      <c r="AN35" s="254">
        <v>0</v>
      </c>
      <c r="AO35" s="254">
        <v>0</v>
      </c>
      <c r="AP35" s="254">
        <v>0</v>
      </c>
      <c r="AQ35" s="254">
        <v>0</v>
      </c>
      <c r="AR35" s="254">
        <v>0</v>
      </c>
      <c r="AS35" s="254">
        <v>0</v>
      </c>
      <c r="AT35" s="254">
        <v>0</v>
      </c>
      <c r="AU35" s="254">
        <v>0</v>
      </c>
      <c r="AV35" s="254">
        <v>0</v>
      </c>
      <c r="AW35" s="254">
        <v>0</v>
      </c>
      <c r="AX35" s="254">
        <v>0</v>
      </c>
      <c r="AY35" s="254">
        <v>0</v>
      </c>
    </row>
    <row r="36" spans="2:51">
      <c r="B36" s="223">
        <v>10089</v>
      </c>
      <c r="C36" s="223" t="s">
        <v>39</v>
      </c>
      <c r="D36" s="254">
        <v>2137.9759615384587</v>
      </c>
      <c r="E36" s="254">
        <v>0</v>
      </c>
      <c r="F36" s="254">
        <v>3609.7999999999856</v>
      </c>
      <c r="G36" s="254">
        <v>0</v>
      </c>
      <c r="H36" s="254">
        <v>21873.668269230762</v>
      </c>
      <c r="I36" s="254">
        <v>0</v>
      </c>
      <c r="J36" s="254">
        <v>11334.029999999992</v>
      </c>
      <c r="K36" s="254">
        <v>0</v>
      </c>
      <c r="L36" s="254">
        <v>1165.1927083333433</v>
      </c>
      <c r="M36" s="254">
        <v>0</v>
      </c>
      <c r="N36" s="254">
        <v>16457.398148148157</v>
      </c>
      <c r="O36" s="254">
        <v>0</v>
      </c>
      <c r="P36" s="254">
        <v>16506.218749999996</v>
      </c>
      <c r="Q36" s="254">
        <v>0</v>
      </c>
      <c r="R36" s="254">
        <v>6112.4449999999906</v>
      </c>
      <c r="S36" s="254">
        <v>0</v>
      </c>
      <c r="T36" s="254">
        <v>27895.586538461543</v>
      </c>
      <c r="U36" s="254">
        <v>0</v>
      </c>
      <c r="V36" s="254">
        <v>22555.825000000004</v>
      </c>
      <c r="W36" s="254">
        <v>0</v>
      </c>
      <c r="X36" s="254">
        <v>27035.331018518529</v>
      </c>
      <c r="Y36" s="254">
        <v>0</v>
      </c>
      <c r="Z36" s="254">
        <v>16400.242500000004</v>
      </c>
      <c r="AA36" s="254">
        <v>0</v>
      </c>
      <c r="AB36" s="254">
        <v>2320.1778846153902</v>
      </c>
      <c r="AC36" s="254">
        <v>0</v>
      </c>
      <c r="AD36" s="254">
        <v>3874.1325000000088</v>
      </c>
      <c r="AE36" s="254">
        <v>0</v>
      </c>
      <c r="AF36" s="254">
        <v>22187.591346153851</v>
      </c>
      <c r="AG36" s="254">
        <v>0</v>
      </c>
      <c r="AH36" s="254">
        <v>11649.622499999999</v>
      </c>
      <c r="AI36" s="254">
        <v>0</v>
      </c>
      <c r="AJ36" s="254">
        <v>1479.3203125000005</v>
      </c>
      <c r="AK36" s="254">
        <v>0</v>
      </c>
      <c r="AL36" s="254">
        <v>16747.402777777792</v>
      </c>
      <c r="AM36" s="254">
        <v>0</v>
      </c>
      <c r="AN36" s="254">
        <v>16852.470000000005</v>
      </c>
      <c r="AO36" s="254">
        <v>0</v>
      </c>
      <c r="AP36" s="254">
        <v>6306.7211538461652</v>
      </c>
      <c r="AQ36" s="254">
        <v>0</v>
      </c>
      <c r="AR36" s="254">
        <v>28306.48798076922</v>
      </c>
      <c r="AS36" s="254">
        <v>0</v>
      </c>
      <c r="AT36" s="254">
        <v>22891.737499999985</v>
      </c>
      <c r="AU36" s="254">
        <v>0</v>
      </c>
      <c r="AV36" s="254">
        <v>27402.428240740745</v>
      </c>
      <c r="AW36" s="254">
        <v>0</v>
      </c>
      <c r="AX36" s="254">
        <v>16666.120000000006</v>
      </c>
      <c r="AY36" s="254">
        <v>0</v>
      </c>
    </row>
    <row r="37" spans="2:51">
      <c r="B37" s="223">
        <v>10091</v>
      </c>
      <c r="C37" s="223" t="s">
        <v>40</v>
      </c>
      <c r="D37" s="254">
        <v>740.82692307692355</v>
      </c>
      <c r="E37" s="254">
        <v>0</v>
      </c>
      <c r="F37" s="254">
        <v>618.51500000000124</v>
      </c>
      <c r="G37" s="254">
        <v>0</v>
      </c>
      <c r="H37" s="254">
        <v>2479.9014423076942</v>
      </c>
      <c r="I37" s="254">
        <v>0</v>
      </c>
      <c r="J37" s="254">
        <v>1232.0875000000026</v>
      </c>
      <c r="K37" s="254">
        <v>0</v>
      </c>
      <c r="L37" s="254">
        <v>949.82552083333439</v>
      </c>
      <c r="M37" s="254">
        <v>0</v>
      </c>
      <c r="N37" s="254">
        <v>790.40740740740705</v>
      </c>
      <c r="O37" s="254">
        <v>0</v>
      </c>
      <c r="P37" s="254">
        <v>1630.2259615384628</v>
      </c>
      <c r="Q37" s="254">
        <v>0</v>
      </c>
      <c r="R37" s="254">
        <v>961.92250000000024</v>
      </c>
      <c r="S37" s="254">
        <v>0</v>
      </c>
      <c r="T37" s="254">
        <v>2430.3389423076924</v>
      </c>
      <c r="U37" s="254">
        <v>0</v>
      </c>
      <c r="V37" s="254">
        <v>2358.8100000000009</v>
      </c>
      <c r="W37" s="254">
        <v>0</v>
      </c>
      <c r="X37" s="254">
        <v>2550.1805555555557</v>
      </c>
      <c r="Y37" s="254">
        <v>0</v>
      </c>
      <c r="Z37" s="254">
        <v>1710.4299999999994</v>
      </c>
      <c r="AA37" s="254">
        <v>0</v>
      </c>
      <c r="AB37" s="254">
        <v>673.08653846153811</v>
      </c>
      <c r="AC37" s="254">
        <v>0</v>
      </c>
      <c r="AD37" s="254">
        <v>544.71749999999997</v>
      </c>
      <c r="AE37" s="254">
        <v>0</v>
      </c>
      <c r="AF37" s="254">
        <v>2424.4014423076924</v>
      </c>
      <c r="AG37" s="254">
        <v>0</v>
      </c>
      <c r="AH37" s="254">
        <v>1187.717500000002</v>
      </c>
      <c r="AI37" s="254">
        <v>0</v>
      </c>
      <c r="AJ37" s="254">
        <v>895.79427083333303</v>
      </c>
      <c r="AK37" s="254">
        <v>0</v>
      </c>
      <c r="AL37" s="254">
        <v>722.62268518518761</v>
      </c>
      <c r="AM37" s="254">
        <v>0</v>
      </c>
      <c r="AN37" s="254">
        <v>1218.2299999999989</v>
      </c>
      <c r="AO37" s="254">
        <v>0</v>
      </c>
      <c r="AP37" s="254">
        <v>1221.0937499999998</v>
      </c>
      <c r="AQ37" s="254">
        <v>0</v>
      </c>
      <c r="AR37" s="254">
        <v>2355.8725961538462</v>
      </c>
      <c r="AS37" s="254">
        <v>0</v>
      </c>
      <c r="AT37" s="254">
        <v>2297.2975000000001</v>
      </c>
      <c r="AU37" s="254">
        <v>0</v>
      </c>
      <c r="AV37" s="254">
        <v>2475.8148148148152</v>
      </c>
      <c r="AW37" s="254">
        <v>0</v>
      </c>
      <c r="AX37" s="254">
        <v>1644.3300000000008</v>
      </c>
      <c r="AY37" s="254">
        <v>0</v>
      </c>
    </row>
    <row r="38" spans="2:51">
      <c r="B38" s="223">
        <v>10094</v>
      </c>
      <c r="C38" s="223" t="s">
        <v>41</v>
      </c>
      <c r="D38" s="254">
        <v>458.09134615384642</v>
      </c>
      <c r="E38" s="254">
        <v>0</v>
      </c>
      <c r="F38" s="254">
        <v>248.78000000000034</v>
      </c>
      <c r="G38" s="254">
        <v>0</v>
      </c>
      <c r="H38" s="254">
        <v>478.16826923076883</v>
      </c>
      <c r="I38" s="254">
        <v>0</v>
      </c>
      <c r="J38" s="254">
        <v>465.49249999999984</v>
      </c>
      <c r="K38" s="254">
        <v>0</v>
      </c>
      <c r="L38" s="254">
        <v>453.10677083333275</v>
      </c>
      <c r="M38" s="254">
        <v>0</v>
      </c>
      <c r="N38" s="254">
        <v>615.85416666666674</v>
      </c>
      <c r="O38" s="254">
        <v>0</v>
      </c>
      <c r="P38" s="254">
        <v>565.8413461538463</v>
      </c>
      <c r="Q38" s="254">
        <v>0</v>
      </c>
      <c r="R38" s="254">
        <v>379.88750000000067</v>
      </c>
      <c r="S38" s="254">
        <v>0</v>
      </c>
      <c r="T38" s="254">
        <v>468.41826923076968</v>
      </c>
      <c r="U38" s="254">
        <v>0</v>
      </c>
      <c r="V38" s="254">
        <v>495.92499999999961</v>
      </c>
      <c r="W38" s="254">
        <v>0</v>
      </c>
      <c r="X38" s="254">
        <v>538.53703703703707</v>
      </c>
      <c r="Y38" s="254">
        <v>0</v>
      </c>
      <c r="Z38" s="254">
        <v>455.31749999999994</v>
      </c>
      <c r="AA38" s="254">
        <v>0</v>
      </c>
      <c r="AB38" s="254">
        <v>458.09134615384642</v>
      </c>
      <c r="AC38" s="254">
        <v>0</v>
      </c>
      <c r="AD38" s="254">
        <v>248.78000000000034</v>
      </c>
      <c r="AE38" s="254">
        <v>0</v>
      </c>
      <c r="AF38" s="254">
        <v>478.16826923076883</v>
      </c>
      <c r="AG38" s="254">
        <v>0</v>
      </c>
      <c r="AH38" s="254">
        <v>465.49249999999984</v>
      </c>
      <c r="AI38" s="254">
        <v>0</v>
      </c>
      <c r="AJ38" s="254">
        <v>453.10677083333275</v>
      </c>
      <c r="AK38" s="254">
        <v>0</v>
      </c>
      <c r="AL38" s="254">
        <v>615.85416666666674</v>
      </c>
      <c r="AM38" s="254">
        <v>0</v>
      </c>
      <c r="AN38" s="254">
        <v>435.6750000000003</v>
      </c>
      <c r="AO38" s="254">
        <v>0</v>
      </c>
      <c r="AP38" s="254">
        <v>496.73798076923123</v>
      </c>
      <c r="AQ38" s="254">
        <v>0</v>
      </c>
      <c r="AR38" s="254">
        <v>468.41826923076968</v>
      </c>
      <c r="AS38" s="254">
        <v>0</v>
      </c>
      <c r="AT38" s="254">
        <v>495.92499999999961</v>
      </c>
      <c r="AU38" s="254">
        <v>0</v>
      </c>
      <c r="AV38" s="254">
        <v>538.53703703703707</v>
      </c>
      <c r="AW38" s="254">
        <v>0</v>
      </c>
      <c r="AX38" s="254">
        <v>455.31749999999994</v>
      </c>
      <c r="AY38" s="254">
        <v>0</v>
      </c>
    </row>
    <row r="39" spans="2:51">
      <c r="B39" s="223">
        <v>10095</v>
      </c>
      <c r="C39" s="223" t="s">
        <v>42</v>
      </c>
      <c r="D39" s="254">
        <v>429.92548076923151</v>
      </c>
      <c r="E39" s="254">
        <v>0</v>
      </c>
      <c r="F39" s="254">
        <v>242.96499999999986</v>
      </c>
      <c r="G39" s="254">
        <v>0</v>
      </c>
      <c r="H39" s="254">
        <v>602.86538461538532</v>
      </c>
      <c r="I39" s="254">
        <v>0</v>
      </c>
      <c r="J39" s="254">
        <v>377.14500000000049</v>
      </c>
      <c r="K39" s="254">
        <v>0</v>
      </c>
      <c r="L39" s="254">
        <v>234.36979166666671</v>
      </c>
      <c r="M39" s="254">
        <v>0</v>
      </c>
      <c r="N39" s="254">
        <v>157.18055555555588</v>
      </c>
      <c r="O39" s="254">
        <v>0</v>
      </c>
      <c r="P39" s="254">
        <v>474.68990384615415</v>
      </c>
      <c r="Q39" s="254">
        <v>0</v>
      </c>
      <c r="R39" s="254">
        <v>185.15000000000015</v>
      </c>
      <c r="S39" s="254">
        <v>0</v>
      </c>
      <c r="T39" s="254">
        <v>116.03125000000003</v>
      </c>
      <c r="U39" s="254">
        <v>0</v>
      </c>
      <c r="V39" s="254">
        <v>125.87250000000006</v>
      </c>
      <c r="W39" s="254">
        <v>0</v>
      </c>
      <c r="X39" s="254">
        <v>155.34027777777715</v>
      </c>
      <c r="Y39" s="254">
        <v>0</v>
      </c>
      <c r="Z39" s="254">
        <v>214.89500000000072</v>
      </c>
      <c r="AA39" s="254">
        <v>0</v>
      </c>
      <c r="AB39" s="254">
        <v>436.38221153846155</v>
      </c>
      <c r="AC39" s="254">
        <v>0</v>
      </c>
      <c r="AD39" s="254">
        <v>248.8450000000002</v>
      </c>
      <c r="AE39" s="254">
        <v>0</v>
      </c>
      <c r="AF39" s="254">
        <v>602.30528846153857</v>
      </c>
      <c r="AG39" s="254">
        <v>0</v>
      </c>
      <c r="AH39" s="254">
        <v>381.88999999999942</v>
      </c>
      <c r="AI39" s="254">
        <v>0</v>
      </c>
      <c r="AJ39" s="254">
        <v>237.94010416666666</v>
      </c>
      <c r="AK39" s="254">
        <v>0</v>
      </c>
      <c r="AL39" s="254">
        <v>160.0208333333326</v>
      </c>
      <c r="AM39" s="254">
        <v>0</v>
      </c>
      <c r="AN39" s="254">
        <v>440.30749999999949</v>
      </c>
      <c r="AO39" s="254">
        <v>0</v>
      </c>
      <c r="AP39" s="254">
        <v>226.17307692307696</v>
      </c>
      <c r="AQ39" s="254">
        <v>0</v>
      </c>
      <c r="AR39" s="254">
        <v>115.31009615384602</v>
      </c>
      <c r="AS39" s="254">
        <v>0</v>
      </c>
      <c r="AT39" s="254">
        <v>123.85749999999906</v>
      </c>
      <c r="AU39" s="254">
        <v>0</v>
      </c>
      <c r="AV39" s="254">
        <v>151.89583333333411</v>
      </c>
      <c r="AW39" s="254">
        <v>0</v>
      </c>
      <c r="AX39" s="254">
        <v>210.34250000000031</v>
      </c>
      <c r="AY39" s="254">
        <v>0</v>
      </c>
    </row>
    <row r="40" spans="2:51">
      <c r="B40" s="223">
        <v>10097</v>
      </c>
      <c r="C40" s="223" t="s">
        <v>43</v>
      </c>
      <c r="D40" s="254">
        <v>404.52884615384596</v>
      </c>
      <c r="E40" s="254">
        <v>0</v>
      </c>
      <c r="F40" s="254">
        <v>304.73250000000036</v>
      </c>
      <c r="G40" s="254">
        <v>0</v>
      </c>
      <c r="H40" s="254">
        <v>769.55769230769261</v>
      </c>
      <c r="I40" s="254">
        <v>0</v>
      </c>
      <c r="J40" s="254">
        <v>521.70499999999959</v>
      </c>
      <c r="K40" s="254">
        <v>0</v>
      </c>
      <c r="L40" s="254">
        <v>234.52604166666623</v>
      </c>
      <c r="M40" s="254">
        <v>0</v>
      </c>
      <c r="N40" s="254">
        <v>431.0694444444444</v>
      </c>
      <c r="O40" s="254">
        <v>0</v>
      </c>
      <c r="P40" s="254">
        <v>454.66586538461564</v>
      </c>
      <c r="Q40" s="254">
        <v>0</v>
      </c>
      <c r="R40" s="254">
        <v>249.02250000000015</v>
      </c>
      <c r="S40" s="254">
        <v>0</v>
      </c>
      <c r="T40" s="254">
        <v>263.57451923076906</v>
      </c>
      <c r="U40" s="254">
        <v>0</v>
      </c>
      <c r="V40" s="254">
        <v>181.02749999999992</v>
      </c>
      <c r="W40" s="254">
        <v>0</v>
      </c>
      <c r="X40" s="254">
        <v>256.58796296296316</v>
      </c>
      <c r="Y40" s="254">
        <v>0</v>
      </c>
      <c r="Z40" s="254">
        <v>299.93500000000006</v>
      </c>
      <c r="AA40" s="254">
        <v>0</v>
      </c>
      <c r="AB40" s="254">
        <v>407.36778846153845</v>
      </c>
      <c r="AC40" s="254">
        <v>0</v>
      </c>
      <c r="AD40" s="254">
        <v>306.04250000000008</v>
      </c>
      <c r="AE40" s="254">
        <v>0</v>
      </c>
      <c r="AF40" s="254">
        <v>771.49519230769204</v>
      </c>
      <c r="AG40" s="254">
        <v>0</v>
      </c>
      <c r="AH40" s="254">
        <v>523.19749999999954</v>
      </c>
      <c r="AI40" s="254">
        <v>0</v>
      </c>
      <c r="AJ40" s="254">
        <v>236.067708333333</v>
      </c>
      <c r="AK40" s="254">
        <v>0</v>
      </c>
      <c r="AL40" s="254">
        <v>433.37499999999994</v>
      </c>
      <c r="AM40" s="254">
        <v>0</v>
      </c>
      <c r="AN40" s="254">
        <v>375.43500000000017</v>
      </c>
      <c r="AO40" s="254">
        <v>0</v>
      </c>
      <c r="AP40" s="254">
        <v>312.07692307692292</v>
      </c>
      <c r="AQ40" s="254">
        <v>0</v>
      </c>
      <c r="AR40" s="254">
        <v>264.62980769230774</v>
      </c>
      <c r="AS40" s="254">
        <v>0</v>
      </c>
      <c r="AT40" s="254">
        <v>180.92500000000024</v>
      </c>
      <c r="AU40" s="254">
        <v>0</v>
      </c>
      <c r="AV40" s="254">
        <v>257.63194444444446</v>
      </c>
      <c r="AW40" s="254">
        <v>0</v>
      </c>
      <c r="AX40" s="254">
        <v>300.97499999999997</v>
      </c>
      <c r="AY40" s="254">
        <v>0</v>
      </c>
    </row>
    <row r="41" spans="2:51">
      <c r="B41" s="223">
        <v>10101</v>
      </c>
      <c r="C41" s="223" t="s">
        <v>44</v>
      </c>
      <c r="D41" s="254">
        <v>0</v>
      </c>
      <c r="E41" s="254">
        <v>0</v>
      </c>
      <c r="F41" s="254">
        <v>0</v>
      </c>
      <c r="G41" s="254">
        <v>0</v>
      </c>
      <c r="H41" s="254">
        <v>29116.716346153829</v>
      </c>
      <c r="I41" s="254">
        <v>0</v>
      </c>
      <c r="J41" s="254">
        <v>19506.404999999995</v>
      </c>
      <c r="K41" s="254">
        <v>0</v>
      </c>
      <c r="L41" s="254">
        <v>19428.757812500018</v>
      </c>
      <c r="M41" s="254">
        <v>0</v>
      </c>
      <c r="N41" s="254">
        <v>15772.942129629619</v>
      </c>
      <c r="O41" s="254">
        <v>0</v>
      </c>
      <c r="P41" s="254">
        <v>15881.78605769231</v>
      </c>
      <c r="Q41" s="254">
        <v>0</v>
      </c>
      <c r="R41" s="254">
        <v>13913.444999999989</v>
      </c>
      <c r="S41" s="254">
        <v>0</v>
      </c>
      <c r="T41" s="254">
        <v>9094.0913461538421</v>
      </c>
      <c r="U41" s="254">
        <v>0</v>
      </c>
      <c r="V41" s="254">
        <v>4324.4099999999917</v>
      </c>
      <c r="W41" s="254">
        <v>0</v>
      </c>
      <c r="X41" s="254">
        <v>8287.1782407407318</v>
      </c>
      <c r="Y41" s="254">
        <v>0</v>
      </c>
      <c r="Z41" s="254">
        <v>10957.242499999993</v>
      </c>
      <c r="AA41" s="254">
        <v>0</v>
      </c>
      <c r="AB41" s="254">
        <v>0</v>
      </c>
      <c r="AC41" s="254">
        <v>0</v>
      </c>
      <c r="AD41" s="254">
        <v>0</v>
      </c>
      <c r="AE41" s="254">
        <v>0</v>
      </c>
      <c r="AF41" s="254">
        <v>30155.716346153844</v>
      </c>
      <c r="AG41" s="254">
        <v>0</v>
      </c>
      <c r="AH41" s="254">
        <v>20545.40500000001</v>
      </c>
      <c r="AI41" s="254">
        <v>0</v>
      </c>
      <c r="AJ41" s="254">
        <v>20466.757812500015</v>
      </c>
      <c r="AK41" s="254">
        <v>0</v>
      </c>
      <c r="AL41" s="254">
        <v>16811.942129629635</v>
      </c>
      <c r="AM41" s="254">
        <v>0</v>
      </c>
      <c r="AN41" s="254">
        <v>13623.97750000001</v>
      </c>
      <c r="AO41" s="254">
        <v>0</v>
      </c>
      <c r="AP41" s="254">
        <v>17414.774038461539</v>
      </c>
      <c r="AQ41" s="254">
        <v>0</v>
      </c>
      <c r="AR41" s="254">
        <v>9955.0913461538457</v>
      </c>
      <c r="AS41" s="254">
        <v>0</v>
      </c>
      <c r="AT41" s="254">
        <v>5196.4099999999917</v>
      </c>
      <c r="AU41" s="254">
        <v>0</v>
      </c>
      <c r="AV41" s="254">
        <v>9160.1782407407354</v>
      </c>
      <c r="AW41" s="254">
        <v>0</v>
      </c>
      <c r="AX41" s="254">
        <v>11890.242499999986</v>
      </c>
      <c r="AY41" s="254">
        <v>0</v>
      </c>
    </row>
    <row r="42" spans="2:51">
      <c r="B42" s="223">
        <v>10103</v>
      </c>
      <c r="C42" s="223" t="s">
        <v>45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  <c r="Q42" s="254">
        <v>0</v>
      </c>
      <c r="R42" s="254">
        <v>0</v>
      </c>
      <c r="S42" s="254">
        <v>0</v>
      </c>
      <c r="T42" s="254">
        <v>0</v>
      </c>
      <c r="U42" s="254">
        <v>0</v>
      </c>
      <c r="V42" s="254">
        <v>0</v>
      </c>
      <c r="W42" s="254">
        <v>0</v>
      </c>
      <c r="X42" s="254">
        <v>0</v>
      </c>
      <c r="Y42" s="254">
        <v>0</v>
      </c>
      <c r="Z42" s="254">
        <v>0</v>
      </c>
      <c r="AA42" s="254">
        <v>0</v>
      </c>
      <c r="AB42" s="254">
        <v>0</v>
      </c>
      <c r="AC42" s="254">
        <v>0</v>
      </c>
      <c r="AD42" s="254">
        <v>0</v>
      </c>
      <c r="AE42" s="254">
        <v>0</v>
      </c>
      <c r="AF42" s="254">
        <v>0</v>
      </c>
      <c r="AG42" s="254">
        <v>0</v>
      </c>
      <c r="AH42" s="254">
        <v>0</v>
      </c>
      <c r="AI42" s="254">
        <v>0</v>
      </c>
      <c r="AJ42" s="254">
        <v>0</v>
      </c>
      <c r="AK42" s="254">
        <v>0</v>
      </c>
      <c r="AL42" s="254">
        <v>0</v>
      </c>
      <c r="AM42" s="254">
        <v>0</v>
      </c>
      <c r="AN42" s="254">
        <v>0</v>
      </c>
      <c r="AO42" s="254">
        <v>0</v>
      </c>
      <c r="AP42" s="254">
        <v>0</v>
      </c>
      <c r="AQ42" s="254">
        <v>0</v>
      </c>
      <c r="AR42" s="254">
        <v>0</v>
      </c>
      <c r="AS42" s="254">
        <v>0</v>
      </c>
      <c r="AT42" s="254">
        <v>0</v>
      </c>
      <c r="AU42" s="254">
        <v>0</v>
      </c>
      <c r="AV42" s="254">
        <v>0</v>
      </c>
      <c r="AW42" s="254">
        <v>0</v>
      </c>
      <c r="AX42" s="254">
        <v>0</v>
      </c>
      <c r="AY42" s="254">
        <v>0</v>
      </c>
    </row>
    <row r="43" spans="2:51">
      <c r="B43" s="223">
        <v>10105</v>
      </c>
      <c r="C43" s="223" t="s">
        <v>46</v>
      </c>
      <c r="D43" s="254">
        <v>0</v>
      </c>
      <c r="E43" s="254">
        <v>0</v>
      </c>
      <c r="F43" s="254">
        <v>0</v>
      </c>
      <c r="G43" s="254">
        <v>0</v>
      </c>
      <c r="H43" s="254">
        <v>0</v>
      </c>
      <c r="I43" s="254">
        <v>0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4">
        <v>0</v>
      </c>
      <c r="Q43" s="254">
        <v>0</v>
      </c>
      <c r="R43" s="254">
        <v>0</v>
      </c>
      <c r="S43" s="254">
        <v>0</v>
      </c>
      <c r="T43" s="254">
        <v>0</v>
      </c>
      <c r="U43" s="254">
        <v>0</v>
      </c>
      <c r="V43" s="254">
        <v>0</v>
      </c>
      <c r="W43" s="254">
        <v>0</v>
      </c>
      <c r="X43" s="254">
        <v>0</v>
      </c>
      <c r="Y43" s="254">
        <v>0</v>
      </c>
      <c r="Z43" s="254">
        <v>0</v>
      </c>
      <c r="AA43" s="254">
        <v>0</v>
      </c>
      <c r="AB43" s="254">
        <v>0</v>
      </c>
      <c r="AC43" s="254">
        <v>0</v>
      </c>
      <c r="AD43" s="254">
        <v>0</v>
      </c>
      <c r="AE43" s="254">
        <v>0</v>
      </c>
      <c r="AF43" s="254">
        <v>0</v>
      </c>
      <c r="AG43" s="254">
        <v>0</v>
      </c>
      <c r="AH43" s="254">
        <v>0</v>
      </c>
      <c r="AI43" s="254">
        <v>0</v>
      </c>
      <c r="AJ43" s="254">
        <v>0</v>
      </c>
      <c r="AK43" s="254">
        <v>0</v>
      </c>
      <c r="AL43" s="254">
        <v>0</v>
      </c>
      <c r="AM43" s="254">
        <v>0</v>
      </c>
      <c r="AN43" s="254">
        <v>0</v>
      </c>
      <c r="AO43" s="254">
        <v>0</v>
      </c>
      <c r="AP43" s="254">
        <v>0</v>
      </c>
      <c r="AQ43" s="254">
        <v>0</v>
      </c>
      <c r="AR43" s="254">
        <v>0</v>
      </c>
      <c r="AS43" s="254">
        <v>0</v>
      </c>
      <c r="AT43" s="254">
        <v>0</v>
      </c>
      <c r="AU43" s="254">
        <v>0</v>
      </c>
      <c r="AV43" s="254">
        <v>0</v>
      </c>
      <c r="AW43" s="254">
        <v>0</v>
      </c>
      <c r="AX43" s="254">
        <v>0</v>
      </c>
      <c r="AY43" s="254">
        <v>0</v>
      </c>
    </row>
    <row r="44" spans="2:51">
      <c r="B44" s="223">
        <v>10106</v>
      </c>
      <c r="C44" s="223" t="s">
        <v>47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254">
        <v>0</v>
      </c>
      <c r="T44" s="254">
        <v>0</v>
      </c>
      <c r="U44" s="254">
        <v>0</v>
      </c>
      <c r="V44" s="254">
        <v>0</v>
      </c>
      <c r="W44" s="254">
        <v>0</v>
      </c>
      <c r="X44" s="254">
        <v>0</v>
      </c>
      <c r="Y44" s="254">
        <v>0</v>
      </c>
      <c r="Z44" s="254">
        <v>0</v>
      </c>
      <c r="AA44" s="254">
        <v>0</v>
      </c>
      <c r="AB44" s="254">
        <v>0</v>
      </c>
      <c r="AC44" s="254">
        <v>0</v>
      </c>
      <c r="AD44" s="254">
        <v>0</v>
      </c>
      <c r="AE44" s="254">
        <v>0</v>
      </c>
      <c r="AF44" s="254">
        <v>0</v>
      </c>
      <c r="AG44" s="254">
        <v>0</v>
      </c>
      <c r="AH44" s="254">
        <v>0</v>
      </c>
      <c r="AI44" s="254">
        <v>0</v>
      </c>
      <c r="AJ44" s="254">
        <v>0</v>
      </c>
      <c r="AK44" s="254">
        <v>0</v>
      </c>
      <c r="AL44" s="254">
        <v>0</v>
      </c>
      <c r="AM44" s="254">
        <v>0</v>
      </c>
      <c r="AN44" s="254">
        <v>0</v>
      </c>
      <c r="AO44" s="254">
        <v>0</v>
      </c>
      <c r="AP44" s="254">
        <v>0</v>
      </c>
      <c r="AQ44" s="254">
        <v>0</v>
      </c>
      <c r="AR44" s="254">
        <v>0</v>
      </c>
      <c r="AS44" s="254">
        <v>0</v>
      </c>
      <c r="AT44" s="254">
        <v>0</v>
      </c>
      <c r="AU44" s="254">
        <v>0</v>
      </c>
      <c r="AV44" s="254">
        <v>0</v>
      </c>
      <c r="AW44" s="254">
        <v>0</v>
      </c>
      <c r="AX44" s="254">
        <v>0</v>
      </c>
      <c r="AY44" s="254">
        <v>0</v>
      </c>
    </row>
    <row r="45" spans="2:51">
      <c r="B45" s="223">
        <v>10109</v>
      </c>
      <c r="C45" s="223" t="s">
        <v>48</v>
      </c>
      <c r="D45" s="254">
        <v>5774.6850961538448</v>
      </c>
      <c r="E45" s="254">
        <v>0</v>
      </c>
      <c r="F45" s="254">
        <v>3071.0474999999997</v>
      </c>
      <c r="G45" s="254">
        <v>0</v>
      </c>
      <c r="H45" s="254">
        <v>4385.2524038461497</v>
      </c>
      <c r="I45" s="254">
        <v>0</v>
      </c>
      <c r="J45" s="254">
        <v>6336.3524999999981</v>
      </c>
      <c r="K45" s="254">
        <v>0</v>
      </c>
      <c r="L45" s="254">
        <v>4964.6171874999991</v>
      </c>
      <c r="M45" s="254">
        <v>0</v>
      </c>
      <c r="N45" s="254">
        <v>5556.9212962962974</v>
      </c>
      <c r="O45" s="254">
        <v>0</v>
      </c>
      <c r="P45" s="254">
        <v>5210.3653846153848</v>
      </c>
      <c r="Q45" s="254">
        <v>0</v>
      </c>
      <c r="R45" s="254">
        <v>3107.4400000000019</v>
      </c>
      <c r="S45" s="254">
        <v>0</v>
      </c>
      <c r="T45" s="254">
        <v>3568.3725961538448</v>
      </c>
      <c r="U45" s="254">
        <v>0</v>
      </c>
      <c r="V45" s="254">
        <v>4599.3525000000009</v>
      </c>
      <c r="W45" s="254">
        <v>0</v>
      </c>
      <c r="X45" s="254">
        <v>4408.5787037037044</v>
      </c>
      <c r="Y45" s="254">
        <v>0</v>
      </c>
      <c r="Z45" s="254">
        <v>4854.505000000001</v>
      </c>
      <c r="AA45" s="254">
        <v>0</v>
      </c>
      <c r="AB45" s="254">
        <v>5726.764423076921</v>
      </c>
      <c r="AC45" s="254">
        <v>0</v>
      </c>
      <c r="AD45" s="254">
        <v>3055.4600000000009</v>
      </c>
      <c r="AE45" s="254">
        <v>0</v>
      </c>
      <c r="AF45" s="254">
        <v>4408.1995192307677</v>
      </c>
      <c r="AG45" s="254">
        <v>0</v>
      </c>
      <c r="AH45" s="254">
        <v>6332.7500000000027</v>
      </c>
      <c r="AI45" s="254">
        <v>0</v>
      </c>
      <c r="AJ45" s="254">
        <v>4952.9375</v>
      </c>
      <c r="AK45" s="254">
        <v>0</v>
      </c>
      <c r="AL45" s="254">
        <v>5512.3518518518513</v>
      </c>
      <c r="AM45" s="254">
        <v>0</v>
      </c>
      <c r="AN45" s="254">
        <v>5157.5000000000027</v>
      </c>
      <c r="AO45" s="254">
        <v>0</v>
      </c>
      <c r="AP45" s="254">
        <v>3049.2331730769256</v>
      </c>
      <c r="AQ45" s="254">
        <v>0</v>
      </c>
      <c r="AR45" s="254">
        <v>3504.7331730769197</v>
      </c>
      <c r="AS45" s="254">
        <v>0</v>
      </c>
      <c r="AT45" s="254">
        <v>4552.8924999999981</v>
      </c>
      <c r="AU45" s="254">
        <v>0</v>
      </c>
      <c r="AV45" s="254">
        <v>4361.6504629629608</v>
      </c>
      <c r="AW45" s="254">
        <v>0</v>
      </c>
      <c r="AX45" s="254">
        <v>4795.1724999999979</v>
      </c>
      <c r="AY45" s="254">
        <v>0</v>
      </c>
    </row>
    <row r="46" spans="2:51">
      <c r="B46" s="223">
        <v>10111</v>
      </c>
      <c r="C46" s="223" t="s">
        <v>49</v>
      </c>
      <c r="D46" s="254">
        <v>387.89663461538436</v>
      </c>
      <c r="E46" s="254">
        <v>0</v>
      </c>
      <c r="F46" s="254">
        <v>0</v>
      </c>
      <c r="G46" s="254">
        <v>0</v>
      </c>
      <c r="H46" s="254">
        <v>864.36538461538453</v>
      </c>
      <c r="I46" s="254">
        <v>0</v>
      </c>
      <c r="J46" s="254">
        <v>914.52250000000015</v>
      </c>
      <c r="K46" s="254">
        <v>0</v>
      </c>
      <c r="L46" s="254">
        <v>66.528645833332732</v>
      </c>
      <c r="M46" s="254">
        <v>0</v>
      </c>
      <c r="N46" s="254">
        <v>686.81249999999977</v>
      </c>
      <c r="O46" s="254">
        <v>0</v>
      </c>
      <c r="P46" s="254">
        <v>397.25480769230813</v>
      </c>
      <c r="Q46" s="254">
        <v>0</v>
      </c>
      <c r="R46" s="254">
        <v>172.33250000000055</v>
      </c>
      <c r="S46" s="254">
        <v>0</v>
      </c>
      <c r="T46" s="254">
        <v>439.18509615384596</v>
      </c>
      <c r="U46" s="254">
        <v>0</v>
      </c>
      <c r="V46" s="254">
        <v>595.03999999999974</v>
      </c>
      <c r="W46" s="254">
        <v>0</v>
      </c>
      <c r="X46" s="254">
        <v>696.32870370370313</v>
      </c>
      <c r="Y46" s="254">
        <v>0</v>
      </c>
      <c r="Z46" s="254">
        <v>492.19499999999954</v>
      </c>
      <c r="AA46" s="254">
        <v>0</v>
      </c>
      <c r="AB46" s="254">
        <v>391.34375</v>
      </c>
      <c r="AC46" s="254">
        <v>0</v>
      </c>
      <c r="AD46" s="254">
        <v>0</v>
      </c>
      <c r="AE46" s="254">
        <v>0</v>
      </c>
      <c r="AF46" s="254">
        <v>846.87980769230739</v>
      </c>
      <c r="AG46" s="254">
        <v>0</v>
      </c>
      <c r="AH46" s="254">
        <v>900.50499999999965</v>
      </c>
      <c r="AI46" s="254">
        <v>0</v>
      </c>
      <c r="AJ46" s="254">
        <v>63.729166666667282</v>
      </c>
      <c r="AK46" s="254">
        <v>0</v>
      </c>
      <c r="AL46" s="254">
        <v>683.58101851851848</v>
      </c>
      <c r="AM46" s="254">
        <v>0</v>
      </c>
      <c r="AN46" s="254">
        <v>405.20250000000033</v>
      </c>
      <c r="AO46" s="254">
        <v>0</v>
      </c>
      <c r="AP46" s="254">
        <v>169.27884615384602</v>
      </c>
      <c r="AQ46" s="254">
        <v>0</v>
      </c>
      <c r="AR46" s="254">
        <v>443.35817307692338</v>
      </c>
      <c r="AS46" s="254">
        <v>0</v>
      </c>
      <c r="AT46" s="254">
        <v>597.3075</v>
      </c>
      <c r="AU46" s="254">
        <v>0</v>
      </c>
      <c r="AV46" s="254">
        <v>698.38425925925924</v>
      </c>
      <c r="AW46" s="254">
        <v>0</v>
      </c>
      <c r="AX46" s="254">
        <v>494.59999999999957</v>
      </c>
      <c r="AY46" s="254">
        <v>0</v>
      </c>
    </row>
    <row r="47" spans="2:51">
      <c r="B47" s="223">
        <v>10112</v>
      </c>
      <c r="C47" s="223" t="s">
        <v>50</v>
      </c>
      <c r="D47" s="254">
        <v>2982.2668269230794</v>
      </c>
      <c r="E47" s="254">
        <v>0</v>
      </c>
      <c r="F47" s="254">
        <v>5070.5575000000017</v>
      </c>
      <c r="G47" s="254">
        <v>0</v>
      </c>
      <c r="H47" s="254">
        <v>11892.475961538457</v>
      </c>
      <c r="I47" s="254">
        <v>0</v>
      </c>
      <c r="J47" s="254">
        <v>3633.8149999999969</v>
      </c>
      <c r="K47" s="254">
        <v>0</v>
      </c>
      <c r="L47" s="254">
        <v>6033.2994791666597</v>
      </c>
      <c r="M47" s="254">
        <v>0</v>
      </c>
      <c r="N47" s="254">
        <v>2178.3148148148152</v>
      </c>
      <c r="O47" s="254">
        <v>0</v>
      </c>
      <c r="P47" s="254">
        <v>10762.579326923087</v>
      </c>
      <c r="Q47" s="254">
        <v>0</v>
      </c>
      <c r="R47" s="254">
        <v>6200.0399999999909</v>
      </c>
      <c r="S47" s="254">
        <v>0</v>
      </c>
      <c r="T47" s="254">
        <v>9506.3990384615372</v>
      </c>
      <c r="U47" s="254">
        <v>0</v>
      </c>
      <c r="V47" s="254">
        <v>7764.1249999999973</v>
      </c>
      <c r="W47" s="254">
        <v>0</v>
      </c>
      <c r="X47" s="254">
        <v>17054.023148148153</v>
      </c>
      <c r="Y47" s="254">
        <v>0</v>
      </c>
      <c r="Z47" s="254">
        <v>5130.3075000000017</v>
      </c>
      <c r="AA47" s="254">
        <v>0</v>
      </c>
      <c r="AB47" s="254">
        <v>2648.0528846153952</v>
      </c>
      <c r="AC47" s="254">
        <v>0</v>
      </c>
      <c r="AD47" s="254">
        <v>4734.3174999999974</v>
      </c>
      <c r="AE47" s="254">
        <v>0</v>
      </c>
      <c r="AF47" s="254">
        <v>11528.134615384606</v>
      </c>
      <c r="AG47" s="254">
        <v>0</v>
      </c>
      <c r="AH47" s="254">
        <v>3201.387500000008</v>
      </c>
      <c r="AI47" s="254">
        <v>0</v>
      </c>
      <c r="AJ47" s="254">
        <v>5678.442708333323</v>
      </c>
      <c r="AK47" s="254">
        <v>0</v>
      </c>
      <c r="AL47" s="254">
        <v>1842.19675925927</v>
      </c>
      <c r="AM47" s="254">
        <v>0</v>
      </c>
      <c r="AN47" s="254">
        <v>8050.4074999999966</v>
      </c>
      <c r="AO47" s="254">
        <v>0</v>
      </c>
      <c r="AP47" s="254">
        <v>8141.0360576923149</v>
      </c>
      <c r="AQ47" s="254">
        <v>0</v>
      </c>
      <c r="AR47" s="254">
        <v>9209.2980769230835</v>
      </c>
      <c r="AS47" s="254">
        <v>0</v>
      </c>
      <c r="AT47" s="254">
        <v>7749.6525000000011</v>
      </c>
      <c r="AU47" s="254">
        <v>0</v>
      </c>
      <c r="AV47" s="254">
        <v>17090.675925925923</v>
      </c>
      <c r="AW47" s="254">
        <v>0</v>
      </c>
      <c r="AX47" s="254">
        <v>4814.2325000000037</v>
      </c>
      <c r="AY47" s="254">
        <v>0</v>
      </c>
    </row>
    <row r="48" spans="2:51">
      <c r="B48" s="223">
        <v>10113</v>
      </c>
      <c r="C48" s="223" t="s">
        <v>51</v>
      </c>
      <c r="D48" s="254">
        <v>0</v>
      </c>
      <c r="E48" s="254">
        <v>0</v>
      </c>
      <c r="F48" s="254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>
        <v>0</v>
      </c>
      <c r="R48" s="254">
        <v>0</v>
      </c>
      <c r="S48" s="254">
        <v>0</v>
      </c>
      <c r="T48" s="254">
        <v>11862.317307692307</v>
      </c>
      <c r="U48" s="254">
        <v>0</v>
      </c>
      <c r="V48" s="254">
        <v>3946.5799999999936</v>
      </c>
      <c r="W48" s="254">
        <v>0</v>
      </c>
      <c r="X48" s="254">
        <v>10038.379629629631</v>
      </c>
      <c r="Y48" s="254">
        <v>0</v>
      </c>
      <c r="Z48" s="254">
        <v>0</v>
      </c>
      <c r="AA48" s="254">
        <v>0</v>
      </c>
      <c r="AB48" s="254">
        <v>0</v>
      </c>
      <c r="AC48" s="254">
        <v>0</v>
      </c>
      <c r="AD48" s="254">
        <v>0</v>
      </c>
      <c r="AE48" s="254">
        <v>0</v>
      </c>
      <c r="AF48" s="254">
        <v>0</v>
      </c>
      <c r="AG48" s="254">
        <v>0</v>
      </c>
      <c r="AH48" s="254">
        <v>0</v>
      </c>
      <c r="AI48" s="254">
        <v>0</v>
      </c>
      <c r="AJ48" s="254">
        <v>0</v>
      </c>
      <c r="AK48" s="254">
        <v>0</v>
      </c>
      <c r="AL48" s="254">
        <v>0</v>
      </c>
      <c r="AM48" s="254">
        <v>0</v>
      </c>
      <c r="AN48" s="254">
        <v>345.14250000000146</v>
      </c>
      <c r="AO48" s="254">
        <v>0</v>
      </c>
      <c r="AP48" s="254">
        <v>0</v>
      </c>
      <c r="AQ48" s="254">
        <v>0</v>
      </c>
      <c r="AR48" s="254">
        <v>12605.382211538466</v>
      </c>
      <c r="AS48" s="254">
        <v>0</v>
      </c>
      <c r="AT48" s="254">
        <v>4950.1950000000043</v>
      </c>
      <c r="AU48" s="254">
        <v>0</v>
      </c>
      <c r="AV48" s="254">
        <v>11305.252314814823</v>
      </c>
      <c r="AW48" s="254">
        <v>0</v>
      </c>
      <c r="AX48" s="254">
        <v>0</v>
      </c>
      <c r="AY48" s="254">
        <v>0</v>
      </c>
    </row>
    <row r="49" spans="2:51">
      <c r="B49" s="223">
        <v>10116</v>
      </c>
      <c r="C49" s="223" t="s">
        <v>52</v>
      </c>
      <c r="D49" s="254">
        <v>0</v>
      </c>
      <c r="E49" s="254">
        <v>0</v>
      </c>
      <c r="F49" s="254">
        <v>0</v>
      </c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0</v>
      </c>
      <c r="P49" s="254">
        <v>0</v>
      </c>
      <c r="Q49" s="254">
        <v>0</v>
      </c>
      <c r="R49" s="254">
        <v>0</v>
      </c>
      <c r="S49" s="254">
        <v>0</v>
      </c>
      <c r="T49" s="254">
        <v>0</v>
      </c>
      <c r="U49" s="254">
        <v>0</v>
      </c>
      <c r="V49" s="254">
        <v>0</v>
      </c>
      <c r="W49" s="254">
        <v>0</v>
      </c>
      <c r="X49" s="254">
        <v>0</v>
      </c>
      <c r="Y49" s="254">
        <v>0</v>
      </c>
      <c r="Z49" s="254">
        <v>0</v>
      </c>
      <c r="AA49" s="254">
        <v>0</v>
      </c>
      <c r="AB49" s="254">
        <v>0</v>
      </c>
      <c r="AC49" s="254">
        <v>0</v>
      </c>
      <c r="AD49" s="254">
        <v>0</v>
      </c>
      <c r="AE49" s="254">
        <v>0</v>
      </c>
      <c r="AF49" s="254">
        <v>0</v>
      </c>
      <c r="AG49" s="254">
        <v>0</v>
      </c>
      <c r="AH49" s="254">
        <v>0</v>
      </c>
      <c r="AI49" s="254">
        <v>0</v>
      </c>
      <c r="AJ49" s="254">
        <v>0</v>
      </c>
      <c r="AK49" s="254">
        <v>0</v>
      </c>
      <c r="AL49" s="254">
        <v>0</v>
      </c>
      <c r="AM49" s="254">
        <v>0</v>
      </c>
      <c r="AN49" s="254">
        <v>0</v>
      </c>
      <c r="AO49" s="254">
        <v>0</v>
      </c>
      <c r="AP49" s="254">
        <v>0</v>
      </c>
      <c r="AQ49" s="254">
        <v>0</v>
      </c>
      <c r="AR49" s="254">
        <v>0</v>
      </c>
      <c r="AS49" s="254">
        <v>0</v>
      </c>
      <c r="AT49" s="254">
        <v>0</v>
      </c>
      <c r="AU49" s="254">
        <v>0</v>
      </c>
      <c r="AV49" s="254">
        <v>0</v>
      </c>
      <c r="AW49" s="254">
        <v>0</v>
      </c>
      <c r="AX49" s="254">
        <v>0</v>
      </c>
      <c r="AY49" s="254">
        <v>0</v>
      </c>
    </row>
    <row r="50" spans="2:51">
      <c r="B50" s="223">
        <v>10118</v>
      </c>
      <c r="C50" s="223" t="s">
        <v>53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>
        <v>0</v>
      </c>
      <c r="R50" s="254">
        <v>0</v>
      </c>
      <c r="S50" s="254">
        <v>0</v>
      </c>
      <c r="T50" s="254">
        <v>0</v>
      </c>
      <c r="U50" s="254">
        <v>0</v>
      </c>
      <c r="V50" s="254">
        <v>0</v>
      </c>
      <c r="W50" s="254">
        <v>0</v>
      </c>
      <c r="X50" s="254">
        <v>0</v>
      </c>
      <c r="Y50" s="254">
        <v>0</v>
      </c>
      <c r="Z50" s="254">
        <v>0</v>
      </c>
      <c r="AA50" s="254">
        <v>0</v>
      </c>
      <c r="AB50" s="254">
        <v>0</v>
      </c>
      <c r="AC50" s="254">
        <v>0</v>
      </c>
      <c r="AD50" s="254">
        <v>0</v>
      </c>
      <c r="AE50" s="254">
        <v>0</v>
      </c>
      <c r="AF50" s="254">
        <v>0</v>
      </c>
      <c r="AG50" s="254">
        <v>0</v>
      </c>
      <c r="AH50" s="254">
        <v>0</v>
      </c>
      <c r="AI50" s="254">
        <v>0</v>
      </c>
      <c r="AJ50" s="254">
        <v>0</v>
      </c>
      <c r="AK50" s="254">
        <v>0</v>
      </c>
      <c r="AL50" s="254">
        <v>0</v>
      </c>
      <c r="AM50" s="254">
        <v>0</v>
      </c>
      <c r="AN50" s="254">
        <v>0</v>
      </c>
      <c r="AO50" s="254">
        <v>0</v>
      </c>
      <c r="AP50" s="254">
        <v>0</v>
      </c>
      <c r="AQ50" s="254">
        <v>0</v>
      </c>
      <c r="AR50" s="254">
        <v>0</v>
      </c>
      <c r="AS50" s="254">
        <v>0</v>
      </c>
      <c r="AT50" s="254">
        <v>0</v>
      </c>
      <c r="AU50" s="254">
        <v>0</v>
      </c>
      <c r="AV50" s="254">
        <v>0</v>
      </c>
      <c r="AW50" s="254">
        <v>0</v>
      </c>
      <c r="AX50" s="254">
        <v>0</v>
      </c>
      <c r="AY50" s="254">
        <v>0</v>
      </c>
    </row>
    <row r="51" spans="2:51">
      <c r="B51" s="223">
        <v>10121</v>
      </c>
      <c r="C51" s="223" t="s">
        <v>54</v>
      </c>
      <c r="D51" s="254">
        <v>0</v>
      </c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0</v>
      </c>
      <c r="Y51" s="254">
        <v>0</v>
      </c>
      <c r="Z51" s="254">
        <v>0</v>
      </c>
      <c r="AA51" s="254">
        <v>0</v>
      </c>
      <c r="AB51" s="254">
        <v>0</v>
      </c>
      <c r="AC51" s="254">
        <v>0</v>
      </c>
      <c r="AD51" s="254">
        <v>0</v>
      </c>
      <c r="AE51" s="254">
        <v>0</v>
      </c>
      <c r="AF51" s="254">
        <v>0</v>
      </c>
      <c r="AG51" s="254">
        <v>0</v>
      </c>
      <c r="AH51" s="254">
        <v>0</v>
      </c>
      <c r="AI51" s="254">
        <v>0</v>
      </c>
      <c r="AJ51" s="254">
        <v>0</v>
      </c>
      <c r="AK51" s="254">
        <v>0</v>
      </c>
      <c r="AL51" s="254">
        <v>0</v>
      </c>
      <c r="AM51" s="254">
        <v>0</v>
      </c>
      <c r="AN51" s="254">
        <v>0</v>
      </c>
      <c r="AO51" s="254">
        <v>0</v>
      </c>
      <c r="AP51" s="254">
        <v>0</v>
      </c>
      <c r="AQ51" s="254">
        <v>0</v>
      </c>
      <c r="AR51" s="254">
        <v>0</v>
      </c>
      <c r="AS51" s="254">
        <v>0</v>
      </c>
      <c r="AT51" s="254">
        <v>0</v>
      </c>
      <c r="AU51" s="254">
        <v>0</v>
      </c>
      <c r="AV51" s="254">
        <v>0</v>
      </c>
      <c r="AW51" s="254">
        <v>0</v>
      </c>
      <c r="AX51" s="254">
        <v>0</v>
      </c>
      <c r="AY51" s="254">
        <v>0</v>
      </c>
    </row>
    <row r="52" spans="2:51">
      <c r="B52" s="223">
        <v>10123</v>
      </c>
      <c r="C52" s="223" t="s">
        <v>55</v>
      </c>
      <c r="D52" s="254">
        <v>0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0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0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0</v>
      </c>
      <c r="AU52" s="254">
        <v>0</v>
      </c>
      <c r="AV52" s="254">
        <v>0</v>
      </c>
      <c r="AW52" s="254">
        <v>0</v>
      </c>
      <c r="AX52" s="254">
        <v>0</v>
      </c>
      <c r="AY52" s="254">
        <v>0</v>
      </c>
    </row>
    <row r="53" spans="2:51">
      <c r="B53" s="223">
        <v>10136</v>
      </c>
      <c r="C53" s="223" t="s">
        <v>56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4">
        <v>0</v>
      </c>
      <c r="Q53" s="254">
        <v>0</v>
      </c>
      <c r="R53" s="254">
        <v>0</v>
      </c>
      <c r="S53" s="254">
        <v>0</v>
      </c>
      <c r="T53" s="254">
        <v>0</v>
      </c>
      <c r="U53" s="254">
        <v>0</v>
      </c>
      <c r="V53" s="254">
        <v>0</v>
      </c>
      <c r="W53" s="254">
        <v>0</v>
      </c>
      <c r="X53" s="254">
        <v>0</v>
      </c>
      <c r="Y53" s="254">
        <v>0</v>
      </c>
      <c r="Z53" s="254">
        <v>0</v>
      </c>
      <c r="AA53" s="254">
        <v>0</v>
      </c>
      <c r="AB53" s="254">
        <v>0</v>
      </c>
      <c r="AC53" s="254">
        <v>0</v>
      </c>
      <c r="AD53" s="254">
        <v>0</v>
      </c>
      <c r="AE53" s="254">
        <v>0</v>
      </c>
      <c r="AF53" s="254">
        <v>0</v>
      </c>
      <c r="AG53" s="254">
        <v>0</v>
      </c>
      <c r="AH53" s="254">
        <v>0</v>
      </c>
      <c r="AI53" s="254">
        <v>0</v>
      </c>
      <c r="AJ53" s="254">
        <v>0</v>
      </c>
      <c r="AK53" s="254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</v>
      </c>
      <c r="AU53" s="254">
        <v>0</v>
      </c>
      <c r="AV53" s="254">
        <v>0</v>
      </c>
      <c r="AW53" s="254">
        <v>0</v>
      </c>
      <c r="AX53" s="254">
        <v>0</v>
      </c>
      <c r="AY53" s="254">
        <v>0</v>
      </c>
    </row>
    <row r="54" spans="2:51">
      <c r="B54" s="223">
        <v>10142</v>
      </c>
      <c r="C54" s="223" t="s">
        <v>57</v>
      </c>
      <c r="D54" s="254">
        <v>497.49278846153857</v>
      </c>
      <c r="E54" s="254">
        <v>0</v>
      </c>
      <c r="F54" s="254">
        <v>62.064999999999927</v>
      </c>
      <c r="G54" s="254">
        <v>0</v>
      </c>
      <c r="H54" s="254">
        <v>689.44230769230751</v>
      </c>
      <c r="I54" s="254">
        <v>0</v>
      </c>
      <c r="J54" s="254">
        <v>205.60000000000022</v>
      </c>
      <c r="K54" s="254">
        <v>0</v>
      </c>
      <c r="L54" s="254">
        <v>43.460937500000128</v>
      </c>
      <c r="M54" s="254">
        <v>0</v>
      </c>
      <c r="N54" s="254">
        <v>26.166666666666451</v>
      </c>
      <c r="O54" s="254">
        <v>0</v>
      </c>
      <c r="P54" s="254">
        <v>314.4807692307694</v>
      </c>
      <c r="Q54" s="254">
        <v>0</v>
      </c>
      <c r="R54" s="254">
        <v>229.76000000000042</v>
      </c>
      <c r="S54" s="254">
        <v>0</v>
      </c>
      <c r="T54" s="254">
        <v>663.34615384615358</v>
      </c>
      <c r="U54" s="254">
        <v>0</v>
      </c>
      <c r="V54" s="254">
        <v>1050.0750000000005</v>
      </c>
      <c r="W54" s="254">
        <v>0</v>
      </c>
      <c r="X54" s="254">
        <v>749.88194444444491</v>
      </c>
      <c r="Y54" s="254">
        <v>0</v>
      </c>
      <c r="Z54" s="254">
        <v>518.97250000000008</v>
      </c>
      <c r="AA54" s="254">
        <v>0</v>
      </c>
      <c r="AB54" s="254">
        <v>500.22115384615387</v>
      </c>
      <c r="AC54" s="254">
        <v>0</v>
      </c>
      <c r="AD54" s="254">
        <v>64.605000000000132</v>
      </c>
      <c r="AE54" s="254">
        <v>0</v>
      </c>
      <c r="AF54" s="254">
        <v>693.52163461538498</v>
      </c>
      <c r="AG54" s="254">
        <v>0</v>
      </c>
      <c r="AH54" s="254">
        <v>207.78000000000029</v>
      </c>
      <c r="AI54" s="254">
        <v>0</v>
      </c>
      <c r="AJ54" s="254">
        <v>46.473958333333563</v>
      </c>
      <c r="AK54" s="254">
        <v>0</v>
      </c>
      <c r="AL54" s="254">
        <v>28.118055555555578</v>
      </c>
      <c r="AM54" s="254">
        <v>0</v>
      </c>
      <c r="AN54" s="254">
        <v>299.56750000000022</v>
      </c>
      <c r="AO54" s="254">
        <v>0</v>
      </c>
      <c r="AP54" s="254">
        <v>262.28846153846177</v>
      </c>
      <c r="AQ54" s="254">
        <v>0</v>
      </c>
      <c r="AR54" s="254">
        <v>667.05288461538476</v>
      </c>
      <c r="AS54" s="254">
        <v>0</v>
      </c>
      <c r="AT54" s="254">
        <v>1053.3550000000007</v>
      </c>
      <c r="AU54" s="254">
        <v>0</v>
      </c>
      <c r="AV54" s="254">
        <v>752.33101851851927</v>
      </c>
      <c r="AW54" s="254">
        <v>0</v>
      </c>
      <c r="AX54" s="254">
        <v>522.19499999999971</v>
      </c>
      <c r="AY54" s="254">
        <v>0</v>
      </c>
    </row>
    <row r="55" spans="2:51">
      <c r="B55" s="223">
        <v>10144</v>
      </c>
      <c r="C55" s="223" t="s">
        <v>58</v>
      </c>
      <c r="D55" s="254">
        <v>621.4663461538463</v>
      </c>
      <c r="E55" s="254">
        <v>0</v>
      </c>
      <c r="F55" s="254">
        <v>696.44249999999988</v>
      </c>
      <c r="G55" s="254">
        <v>0</v>
      </c>
      <c r="H55" s="254">
        <v>1420.7307692307686</v>
      </c>
      <c r="I55" s="254">
        <v>0</v>
      </c>
      <c r="J55" s="254">
        <v>1374.3749999999995</v>
      </c>
      <c r="K55" s="254">
        <v>0</v>
      </c>
      <c r="L55" s="254">
        <v>1111.6015625000005</v>
      </c>
      <c r="M55" s="254">
        <v>0</v>
      </c>
      <c r="N55" s="254">
        <v>1350.9884259259256</v>
      </c>
      <c r="O55" s="254">
        <v>0</v>
      </c>
      <c r="P55" s="254">
        <v>735.98076923076894</v>
      </c>
      <c r="Q55" s="254">
        <v>0</v>
      </c>
      <c r="R55" s="254">
        <v>466.06499999999949</v>
      </c>
      <c r="S55" s="254">
        <v>0</v>
      </c>
      <c r="T55" s="254">
        <v>582.08653846153834</v>
      </c>
      <c r="U55" s="254">
        <v>0</v>
      </c>
      <c r="V55" s="254">
        <v>534.47999999999968</v>
      </c>
      <c r="W55" s="254">
        <v>0</v>
      </c>
      <c r="X55" s="254">
        <v>606.17361111111063</v>
      </c>
      <c r="Y55" s="254">
        <v>0</v>
      </c>
      <c r="Z55" s="254">
        <v>505.17000000000036</v>
      </c>
      <c r="AA55" s="254">
        <v>0</v>
      </c>
      <c r="AB55" s="254">
        <v>628.03125000000023</v>
      </c>
      <c r="AC55" s="254">
        <v>0</v>
      </c>
      <c r="AD55" s="254">
        <v>700.89000000000021</v>
      </c>
      <c r="AE55" s="254">
        <v>0</v>
      </c>
      <c r="AF55" s="254">
        <v>1428.3389423076933</v>
      </c>
      <c r="AG55" s="254">
        <v>0</v>
      </c>
      <c r="AH55" s="254">
        <v>1390.9975000000009</v>
      </c>
      <c r="AI55" s="254">
        <v>0</v>
      </c>
      <c r="AJ55" s="254">
        <v>1117.8151041666665</v>
      </c>
      <c r="AK55" s="254">
        <v>0</v>
      </c>
      <c r="AL55" s="254">
        <v>1366.645833333333</v>
      </c>
      <c r="AM55" s="254">
        <v>0</v>
      </c>
      <c r="AN55" s="254">
        <v>757.8225000000001</v>
      </c>
      <c r="AO55" s="254">
        <v>0</v>
      </c>
      <c r="AP55" s="254">
        <v>464.01442307692253</v>
      </c>
      <c r="AQ55" s="254">
        <v>0</v>
      </c>
      <c r="AR55" s="254">
        <v>587.42788461538487</v>
      </c>
      <c r="AS55" s="254">
        <v>0</v>
      </c>
      <c r="AT55" s="254">
        <v>539.9475000000001</v>
      </c>
      <c r="AU55" s="254">
        <v>0</v>
      </c>
      <c r="AV55" s="254">
        <v>611.59490740740716</v>
      </c>
      <c r="AW55" s="254">
        <v>0</v>
      </c>
      <c r="AX55" s="254">
        <v>510.43999999999977</v>
      </c>
      <c r="AY55" s="254">
        <v>0</v>
      </c>
    </row>
    <row r="56" spans="2:51">
      <c r="B56" s="223">
        <v>10156</v>
      </c>
      <c r="C56" s="223" t="s">
        <v>59</v>
      </c>
      <c r="D56" s="254">
        <v>0</v>
      </c>
      <c r="E56" s="254">
        <v>0</v>
      </c>
      <c r="F56" s="254">
        <v>783.57250000000181</v>
      </c>
      <c r="G56" s="254">
        <v>0</v>
      </c>
      <c r="H56" s="254">
        <v>11032.925480769223</v>
      </c>
      <c r="I56" s="254">
        <v>0</v>
      </c>
      <c r="J56" s="254">
        <v>6999.5249999999969</v>
      </c>
      <c r="K56" s="254">
        <v>0</v>
      </c>
      <c r="L56" s="254">
        <v>5405.0937499999973</v>
      </c>
      <c r="M56" s="254">
        <v>0</v>
      </c>
      <c r="N56" s="254">
        <v>1812.0555555555527</v>
      </c>
      <c r="O56" s="254">
        <v>0</v>
      </c>
      <c r="P56" s="254">
        <v>3126.8966346153848</v>
      </c>
      <c r="Q56" s="254">
        <v>0</v>
      </c>
      <c r="R56" s="254">
        <v>0</v>
      </c>
      <c r="S56" s="254">
        <v>0</v>
      </c>
      <c r="T56" s="254">
        <v>7599.8725961538494</v>
      </c>
      <c r="U56" s="254">
        <v>0</v>
      </c>
      <c r="V56" s="254">
        <v>4930.807499999999</v>
      </c>
      <c r="W56" s="254">
        <v>0</v>
      </c>
      <c r="X56" s="254">
        <v>7183.5717592592555</v>
      </c>
      <c r="Y56" s="254">
        <v>0</v>
      </c>
      <c r="Z56" s="254">
        <v>4370.5975000000044</v>
      </c>
      <c r="AA56" s="254">
        <v>0</v>
      </c>
      <c r="AB56" s="254">
        <v>0</v>
      </c>
      <c r="AC56" s="254">
        <v>0</v>
      </c>
      <c r="AD56" s="254">
        <v>1064.1500000000015</v>
      </c>
      <c r="AE56" s="254">
        <v>0</v>
      </c>
      <c r="AF56" s="254">
        <v>11325.432692307688</v>
      </c>
      <c r="AG56" s="254">
        <v>0</v>
      </c>
      <c r="AH56" s="254">
        <v>7287.3399999999983</v>
      </c>
      <c r="AI56" s="254">
        <v>0</v>
      </c>
      <c r="AJ56" s="254">
        <v>5673.0052083333276</v>
      </c>
      <c r="AK56" s="254">
        <v>0</v>
      </c>
      <c r="AL56" s="254">
        <v>2075.1365740740794</v>
      </c>
      <c r="AM56" s="254">
        <v>0</v>
      </c>
      <c r="AN56" s="254">
        <v>2055.1050000000046</v>
      </c>
      <c r="AO56" s="254">
        <v>0</v>
      </c>
      <c r="AP56" s="254">
        <v>1200.3725961538426</v>
      </c>
      <c r="AQ56" s="254">
        <v>0</v>
      </c>
      <c r="AR56" s="254">
        <v>7886.600961538461</v>
      </c>
      <c r="AS56" s="254">
        <v>0</v>
      </c>
      <c r="AT56" s="254">
        <v>5211.8299999999981</v>
      </c>
      <c r="AU56" s="254">
        <v>0</v>
      </c>
      <c r="AV56" s="254">
        <v>7461.5486111111086</v>
      </c>
      <c r="AW56" s="254">
        <v>0</v>
      </c>
      <c r="AX56" s="254">
        <v>4658.6149999999989</v>
      </c>
      <c r="AY56" s="254">
        <v>0</v>
      </c>
    </row>
    <row r="57" spans="2:51">
      <c r="B57" s="223">
        <v>10157</v>
      </c>
      <c r="C57" s="223" t="s">
        <v>60</v>
      </c>
      <c r="D57" s="254">
        <v>0</v>
      </c>
      <c r="E57" s="254">
        <v>0</v>
      </c>
      <c r="F57" s="254">
        <v>0</v>
      </c>
      <c r="G57" s="254">
        <v>0</v>
      </c>
      <c r="H57" s="254">
        <v>0</v>
      </c>
      <c r="I57" s="254">
        <v>0</v>
      </c>
      <c r="J57" s="254">
        <v>0</v>
      </c>
      <c r="K57" s="254">
        <v>0</v>
      </c>
      <c r="L57" s="254">
        <v>0</v>
      </c>
      <c r="M57" s="254">
        <v>0</v>
      </c>
      <c r="N57" s="254">
        <v>0</v>
      </c>
      <c r="O57" s="254">
        <v>0</v>
      </c>
      <c r="P57" s="254">
        <v>0</v>
      </c>
      <c r="Q57" s="254">
        <v>0</v>
      </c>
      <c r="R57" s="254">
        <v>0</v>
      </c>
      <c r="S57" s="254">
        <v>0</v>
      </c>
      <c r="T57" s="254">
        <v>0</v>
      </c>
      <c r="U57" s="254">
        <v>0</v>
      </c>
      <c r="V57" s="254">
        <v>0</v>
      </c>
      <c r="W57" s="254">
        <v>0</v>
      </c>
      <c r="X57" s="254">
        <v>0</v>
      </c>
      <c r="Y57" s="254">
        <v>0</v>
      </c>
      <c r="Z57" s="254">
        <v>0</v>
      </c>
      <c r="AA57" s="254">
        <v>0</v>
      </c>
      <c r="AB57" s="254">
        <v>0</v>
      </c>
      <c r="AC57" s="254">
        <v>0</v>
      </c>
      <c r="AD57" s="254">
        <v>0</v>
      </c>
      <c r="AE57" s="254">
        <v>0</v>
      </c>
      <c r="AF57" s="254">
        <v>0</v>
      </c>
      <c r="AG57" s="254">
        <v>0</v>
      </c>
      <c r="AH57" s="254">
        <v>0</v>
      </c>
      <c r="AI57" s="254">
        <v>0</v>
      </c>
      <c r="AJ57" s="254">
        <v>0</v>
      </c>
      <c r="AK57" s="254">
        <v>0</v>
      </c>
      <c r="AL57" s="254">
        <v>0</v>
      </c>
      <c r="AM57" s="254">
        <v>0</v>
      </c>
      <c r="AN57" s="254">
        <v>0</v>
      </c>
      <c r="AO57" s="254">
        <v>0</v>
      </c>
      <c r="AP57" s="254">
        <v>0</v>
      </c>
      <c r="AQ57" s="254">
        <v>0</v>
      </c>
      <c r="AR57" s="254">
        <v>0</v>
      </c>
      <c r="AS57" s="254">
        <v>0</v>
      </c>
      <c r="AT57" s="254">
        <v>0</v>
      </c>
      <c r="AU57" s="254">
        <v>0</v>
      </c>
      <c r="AV57" s="254">
        <v>0</v>
      </c>
      <c r="AW57" s="254">
        <v>0</v>
      </c>
      <c r="AX57" s="254">
        <v>0</v>
      </c>
      <c r="AY57" s="254">
        <v>0</v>
      </c>
    </row>
    <row r="58" spans="2:51">
      <c r="B58" s="223">
        <v>10158</v>
      </c>
      <c r="C58" s="223" t="s">
        <v>61</v>
      </c>
      <c r="D58" s="254">
        <v>254.32692307692329</v>
      </c>
      <c r="E58" s="254">
        <v>0</v>
      </c>
      <c r="F58" s="254">
        <v>0</v>
      </c>
      <c r="G58" s="254">
        <v>0</v>
      </c>
      <c r="H58" s="254">
        <v>710.77403846153891</v>
      </c>
      <c r="I58" s="254">
        <v>0</v>
      </c>
      <c r="J58" s="254">
        <v>636.36749999999938</v>
      </c>
      <c r="K58" s="254">
        <v>0</v>
      </c>
      <c r="L58" s="254">
        <v>339.32031250000006</v>
      </c>
      <c r="M58" s="254">
        <v>0</v>
      </c>
      <c r="N58" s="254">
        <v>571.37500000000034</v>
      </c>
      <c r="O58" s="254">
        <v>0</v>
      </c>
      <c r="P58" s="254">
        <v>440.5745192307694</v>
      </c>
      <c r="Q58" s="254">
        <v>0</v>
      </c>
      <c r="R58" s="254">
        <v>205.53500000000031</v>
      </c>
      <c r="S58" s="254">
        <v>0</v>
      </c>
      <c r="T58" s="254">
        <v>132.50961538461542</v>
      </c>
      <c r="U58" s="254">
        <v>0</v>
      </c>
      <c r="V58" s="254">
        <v>302.44749999999999</v>
      </c>
      <c r="W58" s="254">
        <v>0</v>
      </c>
      <c r="X58" s="254">
        <v>320.79398148148141</v>
      </c>
      <c r="Y58" s="254">
        <v>0</v>
      </c>
      <c r="Z58" s="254">
        <v>0</v>
      </c>
      <c r="AA58" s="254">
        <v>0</v>
      </c>
      <c r="AB58" s="254">
        <v>254.32692307692329</v>
      </c>
      <c r="AC58" s="254">
        <v>0</v>
      </c>
      <c r="AD58" s="254">
        <v>0</v>
      </c>
      <c r="AE58" s="254">
        <v>0</v>
      </c>
      <c r="AF58" s="254">
        <v>710.77403846153891</v>
      </c>
      <c r="AG58" s="254">
        <v>0</v>
      </c>
      <c r="AH58" s="254">
        <v>636.36749999999938</v>
      </c>
      <c r="AI58" s="254">
        <v>0</v>
      </c>
      <c r="AJ58" s="254">
        <v>339.32031250000006</v>
      </c>
      <c r="AK58" s="254">
        <v>0</v>
      </c>
      <c r="AL58" s="254">
        <v>571.37500000000034</v>
      </c>
      <c r="AM58" s="254">
        <v>0</v>
      </c>
      <c r="AN58" s="254">
        <v>441.96000000000004</v>
      </c>
      <c r="AO58" s="254">
        <v>0</v>
      </c>
      <c r="AP58" s="254">
        <v>207.07211538461539</v>
      </c>
      <c r="AQ58" s="254">
        <v>0</v>
      </c>
      <c r="AR58" s="254">
        <v>132.50961538461542</v>
      </c>
      <c r="AS58" s="254">
        <v>0</v>
      </c>
      <c r="AT58" s="254">
        <v>302.44749999999999</v>
      </c>
      <c r="AU58" s="254">
        <v>0</v>
      </c>
      <c r="AV58" s="254">
        <v>320.79398148148141</v>
      </c>
      <c r="AW58" s="254">
        <v>0</v>
      </c>
      <c r="AX58" s="254">
        <v>0</v>
      </c>
      <c r="AY58" s="254">
        <v>0</v>
      </c>
    </row>
    <row r="59" spans="2:51">
      <c r="B59" s="223">
        <v>10170</v>
      </c>
      <c r="C59" s="223" t="s">
        <v>62</v>
      </c>
      <c r="D59" s="254">
        <v>0</v>
      </c>
      <c r="E59" s="254">
        <v>0</v>
      </c>
      <c r="F59" s="254">
        <v>0</v>
      </c>
      <c r="G59" s="254">
        <v>0</v>
      </c>
      <c r="H59" s="254">
        <v>0</v>
      </c>
      <c r="I59" s="254">
        <v>0</v>
      </c>
      <c r="J59" s="254">
        <v>0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0</v>
      </c>
      <c r="R59" s="254">
        <v>0</v>
      </c>
      <c r="S59" s="254">
        <v>0</v>
      </c>
      <c r="T59" s="254">
        <v>0</v>
      </c>
      <c r="U59" s="254">
        <v>0</v>
      </c>
      <c r="V59" s="254">
        <v>0</v>
      </c>
      <c r="W59" s="254">
        <v>0</v>
      </c>
      <c r="X59" s="254">
        <v>0</v>
      </c>
      <c r="Y59" s="254">
        <v>0</v>
      </c>
      <c r="Z59" s="254">
        <v>0</v>
      </c>
      <c r="AA59" s="254">
        <v>0</v>
      </c>
      <c r="AB59" s="254">
        <v>0</v>
      </c>
      <c r="AC59" s="254">
        <v>0</v>
      </c>
      <c r="AD59" s="254">
        <v>0</v>
      </c>
      <c r="AE59" s="254">
        <v>0</v>
      </c>
      <c r="AF59" s="254">
        <v>0</v>
      </c>
      <c r="AG59" s="254">
        <v>0</v>
      </c>
      <c r="AH59" s="254">
        <v>0</v>
      </c>
      <c r="AI59" s="254">
        <v>0</v>
      </c>
      <c r="AJ59" s="254">
        <v>0</v>
      </c>
      <c r="AK59" s="254">
        <v>0</v>
      </c>
      <c r="AL59" s="254">
        <v>0</v>
      </c>
      <c r="AM59" s="254">
        <v>0</v>
      </c>
      <c r="AN59" s="254">
        <v>0</v>
      </c>
      <c r="AO59" s="254">
        <v>0</v>
      </c>
      <c r="AP59" s="254">
        <v>0</v>
      </c>
      <c r="AQ59" s="254">
        <v>0</v>
      </c>
      <c r="AR59" s="254">
        <v>0</v>
      </c>
      <c r="AS59" s="254">
        <v>0</v>
      </c>
      <c r="AT59" s="254">
        <v>0</v>
      </c>
      <c r="AU59" s="254">
        <v>0</v>
      </c>
      <c r="AV59" s="254">
        <v>0</v>
      </c>
      <c r="AW59" s="254">
        <v>0</v>
      </c>
      <c r="AX59" s="254">
        <v>0</v>
      </c>
      <c r="AY59" s="254">
        <v>0</v>
      </c>
    </row>
    <row r="60" spans="2:51">
      <c r="B60" s="223">
        <v>10172</v>
      </c>
      <c r="C60" s="223" t="s">
        <v>63</v>
      </c>
      <c r="D60" s="254">
        <v>932.05288461538464</v>
      </c>
      <c r="E60" s="254">
        <v>0</v>
      </c>
      <c r="F60" s="254">
        <v>1338.46</v>
      </c>
      <c r="G60" s="254">
        <v>0</v>
      </c>
      <c r="H60" s="254">
        <v>1306.6778846153843</v>
      </c>
      <c r="I60" s="254">
        <v>0</v>
      </c>
      <c r="J60" s="254">
        <v>1197.7150000000008</v>
      </c>
      <c r="K60" s="254">
        <v>0</v>
      </c>
      <c r="L60" s="254">
        <v>1666.692708333333</v>
      </c>
      <c r="M60" s="254">
        <v>0</v>
      </c>
      <c r="N60" s="254">
        <v>1372.0462962962972</v>
      </c>
      <c r="O60" s="254">
        <v>0</v>
      </c>
      <c r="P60" s="254">
        <v>1260.9495192307695</v>
      </c>
      <c r="Q60" s="254">
        <v>0</v>
      </c>
      <c r="R60" s="254">
        <v>1290.5024999999998</v>
      </c>
      <c r="S60" s="254">
        <v>0</v>
      </c>
      <c r="T60" s="254">
        <v>993.13701923076985</v>
      </c>
      <c r="U60" s="254">
        <v>0</v>
      </c>
      <c r="V60" s="254">
        <v>919.7025000000001</v>
      </c>
      <c r="W60" s="254">
        <v>0</v>
      </c>
      <c r="X60" s="254">
        <v>1437.1527777777774</v>
      </c>
      <c r="Y60" s="254">
        <v>0</v>
      </c>
      <c r="Z60" s="254">
        <v>699.50749999999994</v>
      </c>
      <c r="AA60" s="254">
        <v>0</v>
      </c>
      <c r="AB60" s="254">
        <v>934.7307692307694</v>
      </c>
      <c r="AC60" s="254">
        <v>0</v>
      </c>
      <c r="AD60" s="254">
        <v>1343.0300000000002</v>
      </c>
      <c r="AE60" s="254">
        <v>0</v>
      </c>
      <c r="AF60" s="254">
        <v>1310.6778846153848</v>
      </c>
      <c r="AG60" s="254">
        <v>0</v>
      </c>
      <c r="AH60" s="254">
        <v>1200.8175000000006</v>
      </c>
      <c r="AI60" s="254">
        <v>0</v>
      </c>
      <c r="AJ60" s="254">
        <v>1671.1510416666661</v>
      </c>
      <c r="AK60" s="254">
        <v>0</v>
      </c>
      <c r="AL60" s="254">
        <v>1376.0810185185178</v>
      </c>
      <c r="AM60" s="254">
        <v>0</v>
      </c>
      <c r="AN60" s="254">
        <v>1052.5474999999992</v>
      </c>
      <c r="AO60" s="254">
        <v>0</v>
      </c>
      <c r="AP60" s="254">
        <v>1507.360576923076</v>
      </c>
      <c r="AQ60" s="254">
        <v>0</v>
      </c>
      <c r="AR60" s="254">
        <v>999.22836538461638</v>
      </c>
      <c r="AS60" s="254">
        <v>0</v>
      </c>
      <c r="AT60" s="254">
        <v>924.4825000000003</v>
      </c>
      <c r="AU60" s="254">
        <v>0</v>
      </c>
      <c r="AV60" s="254">
        <v>1443.8564814814813</v>
      </c>
      <c r="AW60" s="254">
        <v>0</v>
      </c>
      <c r="AX60" s="254">
        <v>703.60249999999951</v>
      </c>
      <c r="AY60" s="254">
        <v>0</v>
      </c>
    </row>
    <row r="61" spans="2:51">
      <c r="B61" s="223">
        <v>10173</v>
      </c>
      <c r="C61" s="223" t="s">
        <v>64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4">
        <v>0</v>
      </c>
      <c r="AD61" s="254">
        <v>0</v>
      </c>
      <c r="AE61" s="254">
        <v>0</v>
      </c>
      <c r="AF61" s="254">
        <v>0</v>
      </c>
      <c r="AG61" s="254">
        <v>0</v>
      </c>
      <c r="AH61" s="254">
        <v>0</v>
      </c>
      <c r="AI61" s="254">
        <v>0</v>
      </c>
      <c r="AJ61" s="254">
        <v>0</v>
      </c>
      <c r="AK61" s="254">
        <v>0</v>
      </c>
      <c r="AL61" s="254">
        <v>0</v>
      </c>
      <c r="AM61" s="254">
        <v>0</v>
      </c>
      <c r="AN61" s="254">
        <v>0</v>
      </c>
      <c r="AO61" s="254">
        <v>0</v>
      </c>
      <c r="AP61" s="254">
        <v>0</v>
      </c>
      <c r="AQ61" s="254">
        <v>0</v>
      </c>
      <c r="AR61" s="254">
        <v>0</v>
      </c>
      <c r="AS61" s="254">
        <v>0</v>
      </c>
      <c r="AT61" s="254">
        <v>0</v>
      </c>
      <c r="AU61" s="254">
        <v>0</v>
      </c>
      <c r="AV61" s="254">
        <v>0</v>
      </c>
      <c r="AW61" s="254">
        <v>0</v>
      </c>
      <c r="AX61" s="254">
        <v>0</v>
      </c>
      <c r="AY61" s="254">
        <v>0</v>
      </c>
    </row>
    <row r="62" spans="2:51">
      <c r="B62" s="223">
        <v>10174</v>
      </c>
      <c r="C62" s="223" t="s">
        <v>65</v>
      </c>
      <c r="D62" s="254">
        <v>88.180288461538495</v>
      </c>
      <c r="E62" s="254">
        <v>0</v>
      </c>
      <c r="F62" s="254">
        <v>0</v>
      </c>
      <c r="G62" s="254">
        <v>0</v>
      </c>
      <c r="H62" s="254">
        <v>180.05769230769235</v>
      </c>
      <c r="I62" s="254">
        <v>0</v>
      </c>
      <c r="J62" s="254">
        <v>177.19999999999996</v>
      </c>
      <c r="K62" s="254">
        <v>0</v>
      </c>
      <c r="L62" s="254">
        <v>58.257812500000036</v>
      </c>
      <c r="M62" s="254">
        <v>0</v>
      </c>
      <c r="N62" s="254">
        <v>91.976851851851862</v>
      </c>
      <c r="O62" s="254">
        <v>0</v>
      </c>
      <c r="P62" s="254">
        <v>41.663461538461512</v>
      </c>
      <c r="Q62" s="254">
        <v>0</v>
      </c>
      <c r="R62" s="254">
        <v>56.924999999999947</v>
      </c>
      <c r="S62" s="254">
        <v>0</v>
      </c>
      <c r="T62" s="254">
        <v>84.663461538461533</v>
      </c>
      <c r="U62" s="254">
        <v>0</v>
      </c>
      <c r="V62" s="254">
        <v>64.97000000000007</v>
      </c>
      <c r="W62" s="254">
        <v>0</v>
      </c>
      <c r="X62" s="254">
        <v>40.689814814814817</v>
      </c>
      <c r="Y62" s="254">
        <v>0</v>
      </c>
      <c r="Z62" s="254">
        <v>10.215000000000057</v>
      </c>
      <c r="AA62" s="254">
        <v>0</v>
      </c>
      <c r="AB62" s="254">
        <v>88.180288461538495</v>
      </c>
      <c r="AC62" s="254">
        <v>0</v>
      </c>
      <c r="AD62" s="254">
        <v>0</v>
      </c>
      <c r="AE62" s="254">
        <v>0</v>
      </c>
      <c r="AF62" s="254">
        <v>180.05769230769235</v>
      </c>
      <c r="AG62" s="254">
        <v>0</v>
      </c>
      <c r="AH62" s="254">
        <v>177.19999999999996</v>
      </c>
      <c r="AI62" s="254">
        <v>0</v>
      </c>
      <c r="AJ62" s="254">
        <v>58.257812500000036</v>
      </c>
      <c r="AK62" s="254">
        <v>0</v>
      </c>
      <c r="AL62" s="254">
        <v>91.976851851851862</v>
      </c>
      <c r="AM62" s="254">
        <v>0</v>
      </c>
      <c r="AN62" s="254">
        <v>42.327499999999965</v>
      </c>
      <c r="AO62" s="254">
        <v>0</v>
      </c>
      <c r="AP62" s="254">
        <v>56.915865384615351</v>
      </c>
      <c r="AQ62" s="254">
        <v>0</v>
      </c>
      <c r="AR62" s="254">
        <v>84.663461538461533</v>
      </c>
      <c r="AS62" s="254">
        <v>0</v>
      </c>
      <c r="AT62" s="254">
        <v>64.97000000000007</v>
      </c>
      <c r="AU62" s="254">
        <v>0</v>
      </c>
      <c r="AV62" s="254">
        <v>40.689814814814817</v>
      </c>
      <c r="AW62" s="254">
        <v>0</v>
      </c>
      <c r="AX62" s="254">
        <v>10.215000000000057</v>
      </c>
      <c r="AY62" s="254">
        <v>0</v>
      </c>
    </row>
    <row r="63" spans="2:51">
      <c r="B63" s="223">
        <v>10177</v>
      </c>
      <c r="C63" s="223" t="s">
        <v>66</v>
      </c>
      <c r="D63" s="254">
        <v>0</v>
      </c>
      <c r="E63" s="254">
        <v>0</v>
      </c>
      <c r="F63" s="254">
        <v>0</v>
      </c>
      <c r="G63" s="254">
        <v>0</v>
      </c>
      <c r="H63" s="254">
        <v>1068.7908653846168</v>
      </c>
      <c r="I63" s="254">
        <v>0</v>
      </c>
      <c r="J63" s="254">
        <v>406.4800000000015</v>
      </c>
      <c r="K63" s="254">
        <v>0</v>
      </c>
      <c r="L63" s="254">
        <v>950.82031250000125</v>
      </c>
      <c r="M63" s="254">
        <v>0</v>
      </c>
      <c r="N63" s="254">
        <v>144.96064814814912</v>
      </c>
      <c r="O63" s="254">
        <v>0</v>
      </c>
      <c r="P63" s="254">
        <v>693.9975961538463</v>
      </c>
      <c r="Q63" s="254">
        <v>0</v>
      </c>
      <c r="R63" s="254">
        <v>131.55499999999964</v>
      </c>
      <c r="S63" s="254">
        <v>0</v>
      </c>
      <c r="T63" s="254">
        <v>644.01923076922981</v>
      </c>
      <c r="U63" s="254">
        <v>0</v>
      </c>
      <c r="V63" s="254">
        <v>397.55750000000046</v>
      </c>
      <c r="W63" s="254">
        <v>0</v>
      </c>
      <c r="X63" s="254">
        <v>1441.3148148148139</v>
      </c>
      <c r="Y63" s="254">
        <v>0</v>
      </c>
      <c r="Z63" s="254">
        <v>0</v>
      </c>
      <c r="AA63" s="254">
        <v>0</v>
      </c>
      <c r="AB63" s="254">
        <v>0</v>
      </c>
      <c r="AC63" s="254">
        <v>0</v>
      </c>
      <c r="AD63" s="254">
        <v>0</v>
      </c>
      <c r="AE63" s="254">
        <v>0</v>
      </c>
      <c r="AF63" s="254">
        <v>1077.5168269230746</v>
      </c>
      <c r="AG63" s="254">
        <v>0</v>
      </c>
      <c r="AH63" s="254">
        <v>413.8650000000008</v>
      </c>
      <c r="AI63" s="254">
        <v>0</v>
      </c>
      <c r="AJ63" s="254">
        <v>961.9635416666697</v>
      </c>
      <c r="AK63" s="254">
        <v>0</v>
      </c>
      <c r="AL63" s="254">
        <v>152.31250000000028</v>
      </c>
      <c r="AM63" s="254">
        <v>0</v>
      </c>
      <c r="AN63" s="254">
        <v>369.63750000000005</v>
      </c>
      <c r="AO63" s="254">
        <v>0</v>
      </c>
      <c r="AP63" s="254">
        <v>398.73798076923083</v>
      </c>
      <c r="AQ63" s="254">
        <v>0</v>
      </c>
      <c r="AR63" s="254">
        <v>648.51442307692355</v>
      </c>
      <c r="AS63" s="254">
        <v>0</v>
      </c>
      <c r="AT63" s="254">
        <v>401.29750000000007</v>
      </c>
      <c r="AU63" s="254">
        <v>0</v>
      </c>
      <c r="AV63" s="254">
        <v>1446.3055555555557</v>
      </c>
      <c r="AW63" s="254">
        <v>0</v>
      </c>
      <c r="AX63" s="254">
        <v>0</v>
      </c>
      <c r="AY63" s="254">
        <v>0</v>
      </c>
    </row>
    <row r="64" spans="2:51">
      <c r="B64" s="223">
        <v>10179</v>
      </c>
      <c r="C64" s="223" t="s">
        <v>67</v>
      </c>
      <c r="D64" s="254">
        <v>34634.004807692334</v>
      </c>
      <c r="E64" s="254">
        <v>0</v>
      </c>
      <c r="F64" s="254">
        <v>56467.554999999993</v>
      </c>
      <c r="G64" s="254">
        <v>0</v>
      </c>
      <c r="H64" s="254">
        <v>39217.262019230766</v>
      </c>
      <c r="I64" s="254">
        <v>0</v>
      </c>
      <c r="J64" s="254">
        <v>34476.042499999989</v>
      </c>
      <c r="K64" s="254">
        <v>0</v>
      </c>
      <c r="L64" s="254">
        <v>43006.429687500015</v>
      </c>
      <c r="M64" s="254">
        <v>0</v>
      </c>
      <c r="N64" s="254">
        <v>36761.724537037036</v>
      </c>
      <c r="O64" s="254">
        <v>0</v>
      </c>
      <c r="P64" s="254">
        <v>49166.579326923049</v>
      </c>
      <c r="Q64" s="254">
        <v>0</v>
      </c>
      <c r="R64" s="254">
        <v>39440.039999999994</v>
      </c>
      <c r="S64" s="254">
        <v>0</v>
      </c>
      <c r="T64" s="254">
        <v>33597.319711538476</v>
      </c>
      <c r="U64" s="254">
        <v>0</v>
      </c>
      <c r="V64" s="254">
        <v>42915.0075</v>
      </c>
      <c r="W64" s="254">
        <v>0</v>
      </c>
      <c r="X64" s="254">
        <v>43144.18055555554</v>
      </c>
      <c r="Y64" s="254">
        <v>0</v>
      </c>
      <c r="Z64" s="254">
        <v>44489.969999999994</v>
      </c>
      <c r="AA64" s="254">
        <v>0</v>
      </c>
      <c r="AB64" s="254">
        <v>35588.617788461517</v>
      </c>
      <c r="AC64" s="254">
        <v>0</v>
      </c>
      <c r="AD64" s="254">
        <v>57932.362500000025</v>
      </c>
      <c r="AE64" s="254">
        <v>0</v>
      </c>
      <c r="AF64" s="254">
        <v>40940.442307692312</v>
      </c>
      <c r="AG64" s="254">
        <v>0</v>
      </c>
      <c r="AH64" s="254">
        <v>36179.867500000044</v>
      </c>
      <c r="AI64" s="254">
        <v>0</v>
      </c>
      <c r="AJ64" s="254">
        <v>44517.848958333343</v>
      </c>
      <c r="AK64" s="254">
        <v>0</v>
      </c>
      <c r="AL64" s="254">
        <v>38010.372685185204</v>
      </c>
      <c r="AM64" s="254">
        <v>0</v>
      </c>
      <c r="AN64" s="254">
        <v>42495.167499999974</v>
      </c>
      <c r="AO64" s="254">
        <v>0</v>
      </c>
      <c r="AP64" s="254">
        <v>46707.538461538476</v>
      </c>
      <c r="AQ64" s="254">
        <v>0</v>
      </c>
      <c r="AR64" s="254">
        <v>34104.201923076958</v>
      </c>
      <c r="AS64" s="254">
        <v>0</v>
      </c>
      <c r="AT64" s="254">
        <v>43762.105000000018</v>
      </c>
      <c r="AU64" s="254">
        <v>0</v>
      </c>
      <c r="AV64" s="254">
        <v>43990.55092592592</v>
      </c>
      <c r="AW64" s="254">
        <v>0</v>
      </c>
      <c r="AX64" s="254">
        <v>45241.665000000008</v>
      </c>
      <c r="AY64" s="254">
        <v>0</v>
      </c>
    </row>
    <row r="65" spans="2:51">
      <c r="B65" s="223">
        <v>10183</v>
      </c>
      <c r="C65" s="223" t="s">
        <v>68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54">
        <v>0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>
        <v>0</v>
      </c>
      <c r="Q65" s="254">
        <v>0</v>
      </c>
      <c r="R65" s="254">
        <v>0</v>
      </c>
      <c r="S65" s="254">
        <v>0</v>
      </c>
      <c r="T65" s="254">
        <v>0</v>
      </c>
      <c r="U65" s="254">
        <v>0</v>
      </c>
      <c r="V65" s="254">
        <v>0</v>
      </c>
      <c r="W65" s="254">
        <v>0</v>
      </c>
      <c r="X65" s="254">
        <v>0</v>
      </c>
      <c r="Y65" s="254">
        <v>0</v>
      </c>
      <c r="Z65" s="254">
        <v>0</v>
      </c>
      <c r="AA65" s="254">
        <v>0</v>
      </c>
      <c r="AB65" s="254">
        <v>0</v>
      </c>
      <c r="AC65" s="254">
        <v>0</v>
      </c>
      <c r="AD65" s="254">
        <v>0</v>
      </c>
      <c r="AE65" s="254">
        <v>0</v>
      </c>
      <c r="AF65" s="254">
        <v>0</v>
      </c>
      <c r="AG65" s="254">
        <v>0</v>
      </c>
      <c r="AH65" s="254">
        <v>0</v>
      </c>
      <c r="AI65" s="254">
        <v>0</v>
      </c>
      <c r="AJ65" s="254">
        <v>0</v>
      </c>
      <c r="AK65" s="254">
        <v>0</v>
      </c>
      <c r="AL65" s="254">
        <v>0</v>
      </c>
      <c r="AM65" s="254">
        <v>0</v>
      </c>
      <c r="AN65" s="254">
        <v>0</v>
      </c>
      <c r="AO65" s="254">
        <v>0</v>
      </c>
      <c r="AP65" s="254">
        <v>0</v>
      </c>
      <c r="AQ65" s="254">
        <v>0</v>
      </c>
      <c r="AR65" s="254">
        <v>0</v>
      </c>
      <c r="AS65" s="254">
        <v>0</v>
      </c>
      <c r="AT65" s="254">
        <v>0</v>
      </c>
      <c r="AU65" s="254">
        <v>0</v>
      </c>
      <c r="AV65" s="254">
        <v>0</v>
      </c>
      <c r="AW65" s="254">
        <v>0</v>
      </c>
      <c r="AX65" s="254">
        <v>0</v>
      </c>
      <c r="AY65" s="254">
        <v>0</v>
      </c>
    </row>
    <row r="66" spans="2:51">
      <c r="B66" s="223">
        <v>10186</v>
      </c>
      <c r="C66" s="223" t="s">
        <v>69</v>
      </c>
      <c r="D66" s="254">
        <v>1813.3605769230753</v>
      </c>
      <c r="E66" s="254">
        <v>0</v>
      </c>
      <c r="F66" s="254">
        <v>387.5275000000027</v>
      </c>
      <c r="G66" s="254">
        <v>0</v>
      </c>
      <c r="H66" s="254">
        <v>2904.9783653846162</v>
      </c>
      <c r="I66" s="254">
        <v>0</v>
      </c>
      <c r="J66" s="254">
        <v>3436.5499999999943</v>
      </c>
      <c r="K66" s="254">
        <v>0</v>
      </c>
      <c r="L66" s="254">
        <v>4662.8828125000009</v>
      </c>
      <c r="M66" s="254">
        <v>0</v>
      </c>
      <c r="N66" s="254">
        <v>3879.5439814814808</v>
      </c>
      <c r="O66" s="254">
        <v>0</v>
      </c>
      <c r="P66" s="254">
        <v>3659.7115384615404</v>
      </c>
      <c r="Q66" s="254">
        <v>0</v>
      </c>
      <c r="R66" s="254">
        <v>1721.8875</v>
      </c>
      <c r="S66" s="254">
        <v>0</v>
      </c>
      <c r="T66" s="254">
        <v>1923.7572115384619</v>
      </c>
      <c r="U66" s="254">
        <v>0</v>
      </c>
      <c r="V66" s="254">
        <v>4526.1150000000016</v>
      </c>
      <c r="W66" s="254">
        <v>0</v>
      </c>
      <c r="X66" s="254">
        <v>2883.4861111111095</v>
      </c>
      <c r="Y66" s="254">
        <v>0</v>
      </c>
      <c r="Z66" s="254">
        <v>1837.2975000000008</v>
      </c>
      <c r="AA66" s="254">
        <v>0</v>
      </c>
      <c r="AB66" s="254">
        <v>1852.0576923076937</v>
      </c>
      <c r="AC66" s="254">
        <v>0</v>
      </c>
      <c r="AD66" s="254">
        <v>426.59499999999719</v>
      </c>
      <c r="AE66" s="254">
        <v>0</v>
      </c>
      <c r="AF66" s="254">
        <v>2949.9999999999973</v>
      </c>
      <c r="AG66" s="254">
        <v>0</v>
      </c>
      <c r="AH66" s="254">
        <v>3479.3025000000039</v>
      </c>
      <c r="AI66" s="254">
        <v>0</v>
      </c>
      <c r="AJ66" s="254">
        <v>4695.994791666667</v>
      </c>
      <c r="AK66" s="254">
        <v>0</v>
      </c>
      <c r="AL66" s="254">
        <v>3927.1574074074051</v>
      </c>
      <c r="AM66" s="254">
        <v>0</v>
      </c>
      <c r="AN66" s="254">
        <v>2866.2324999999992</v>
      </c>
      <c r="AO66" s="254">
        <v>0</v>
      </c>
      <c r="AP66" s="254">
        <v>2509.4543269230762</v>
      </c>
      <c r="AQ66" s="254">
        <v>0</v>
      </c>
      <c r="AR66" s="254">
        <v>1965.348557692309</v>
      </c>
      <c r="AS66" s="254">
        <v>0</v>
      </c>
      <c r="AT66" s="254">
        <v>4576.845000000003</v>
      </c>
      <c r="AU66" s="254">
        <v>0</v>
      </c>
      <c r="AV66" s="254">
        <v>2941.1504629629649</v>
      </c>
      <c r="AW66" s="254">
        <v>0</v>
      </c>
      <c r="AX66" s="254">
        <v>1890.6875000000011</v>
      </c>
      <c r="AY66" s="254">
        <v>0</v>
      </c>
    </row>
    <row r="67" spans="2:51">
      <c r="B67" s="223">
        <v>10190</v>
      </c>
      <c r="C67" s="223" t="s">
        <v>70</v>
      </c>
      <c r="D67" s="254">
        <v>472.27403846153845</v>
      </c>
      <c r="E67" s="254">
        <v>0</v>
      </c>
      <c r="F67" s="254">
        <v>1545.5524999999993</v>
      </c>
      <c r="G67" s="254">
        <v>0</v>
      </c>
      <c r="H67" s="254">
        <v>2963.9663461538457</v>
      </c>
      <c r="I67" s="254">
        <v>0</v>
      </c>
      <c r="J67" s="254">
        <v>1895.1800000000003</v>
      </c>
      <c r="K67" s="254">
        <v>0</v>
      </c>
      <c r="L67" s="254">
        <v>1292.5312499999998</v>
      </c>
      <c r="M67" s="254">
        <v>0</v>
      </c>
      <c r="N67" s="254">
        <v>2385.8958333333335</v>
      </c>
      <c r="O67" s="254">
        <v>0</v>
      </c>
      <c r="P67" s="254">
        <v>1305.6899038461531</v>
      </c>
      <c r="Q67" s="254">
        <v>0</v>
      </c>
      <c r="R67" s="254">
        <v>804.50750000000039</v>
      </c>
      <c r="S67" s="254">
        <v>0</v>
      </c>
      <c r="T67" s="254">
        <v>772.86057692307827</v>
      </c>
      <c r="U67" s="254">
        <v>0</v>
      </c>
      <c r="V67" s="254">
        <v>816.80750000000035</v>
      </c>
      <c r="W67" s="254">
        <v>0</v>
      </c>
      <c r="X67" s="254">
        <v>1298.9467592592589</v>
      </c>
      <c r="Y67" s="254">
        <v>0</v>
      </c>
      <c r="Z67" s="254">
        <v>949.99500000000046</v>
      </c>
      <c r="AA67" s="254">
        <v>0</v>
      </c>
      <c r="AB67" s="254">
        <v>550.38701923077053</v>
      </c>
      <c r="AC67" s="254">
        <v>0</v>
      </c>
      <c r="AD67" s="254">
        <v>1540.7000000000012</v>
      </c>
      <c r="AE67" s="254">
        <v>0</v>
      </c>
      <c r="AF67" s="254">
        <v>3072.3749999999986</v>
      </c>
      <c r="AG67" s="254">
        <v>0</v>
      </c>
      <c r="AH67" s="254">
        <v>1909.6125000000002</v>
      </c>
      <c r="AI67" s="254">
        <v>0</v>
      </c>
      <c r="AJ67" s="254">
        <v>1383.0416666666672</v>
      </c>
      <c r="AK67" s="254">
        <v>0</v>
      </c>
      <c r="AL67" s="254">
        <v>2469.9236111111118</v>
      </c>
      <c r="AM67" s="254">
        <v>0</v>
      </c>
      <c r="AN67" s="254">
        <v>1112.4300000000012</v>
      </c>
      <c r="AO67" s="254">
        <v>0</v>
      </c>
      <c r="AP67" s="254">
        <v>1027.9927884615379</v>
      </c>
      <c r="AQ67" s="254">
        <v>0</v>
      </c>
      <c r="AR67" s="254">
        <v>772.86057692307827</v>
      </c>
      <c r="AS67" s="254">
        <v>0</v>
      </c>
      <c r="AT67" s="254">
        <v>816.80750000000035</v>
      </c>
      <c r="AU67" s="254">
        <v>0</v>
      </c>
      <c r="AV67" s="254">
        <v>1298.9467592592589</v>
      </c>
      <c r="AW67" s="254">
        <v>0</v>
      </c>
      <c r="AX67" s="254">
        <v>949.99500000000046</v>
      </c>
      <c r="AY67" s="254">
        <v>0</v>
      </c>
    </row>
    <row r="68" spans="2:51">
      <c r="B68" s="223">
        <v>10191</v>
      </c>
      <c r="C68" s="223" t="s">
        <v>71</v>
      </c>
      <c r="D68" s="254">
        <v>0</v>
      </c>
      <c r="E68" s="254">
        <v>0</v>
      </c>
      <c r="F68" s="254">
        <v>0</v>
      </c>
      <c r="G68" s="254">
        <v>0</v>
      </c>
      <c r="H68" s="254">
        <v>0</v>
      </c>
      <c r="I68" s="254">
        <v>0</v>
      </c>
      <c r="J68" s="254">
        <v>0</v>
      </c>
      <c r="K68" s="254">
        <v>0</v>
      </c>
      <c r="L68" s="254">
        <v>0</v>
      </c>
      <c r="M68" s="254">
        <v>0</v>
      </c>
      <c r="N68" s="254">
        <v>0</v>
      </c>
      <c r="O68" s="254">
        <v>0</v>
      </c>
      <c r="P68" s="254">
        <v>0</v>
      </c>
      <c r="Q68" s="254">
        <v>0</v>
      </c>
      <c r="R68" s="254">
        <v>0</v>
      </c>
      <c r="S68" s="254">
        <v>0</v>
      </c>
      <c r="T68" s="254">
        <v>0</v>
      </c>
      <c r="U68" s="254">
        <v>0</v>
      </c>
      <c r="V68" s="254">
        <v>0</v>
      </c>
      <c r="W68" s="254">
        <v>0</v>
      </c>
      <c r="X68" s="254">
        <v>0</v>
      </c>
      <c r="Y68" s="254">
        <v>0</v>
      </c>
      <c r="Z68" s="254">
        <v>0</v>
      </c>
      <c r="AA68" s="254">
        <v>0</v>
      </c>
      <c r="AB68" s="254">
        <v>0</v>
      </c>
      <c r="AC68" s="254">
        <v>0</v>
      </c>
      <c r="AD68" s="254">
        <v>0</v>
      </c>
      <c r="AE68" s="254">
        <v>0</v>
      </c>
      <c r="AF68" s="254">
        <v>0</v>
      </c>
      <c r="AG68" s="254">
        <v>0</v>
      </c>
      <c r="AH68" s="254">
        <v>0</v>
      </c>
      <c r="AI68" s="254">
        <v>0</v>
      </c>
      <c r="AJ68" s="254">
        <v>0</v>
      </c>
      <c r="AK68" s="254">
        <v>0</v>
      </c>
      <c r="AL68" s="254">
        <v>0</v>
      </c>
      <c r="AM68" s="254">
        <v>0</v>
      </c>
      <c r="AN68" s="254">
        <v>0</v>
      </c>
      <c r="AO68" s="254">
        <v>0</v>
      </c>
      <c r="AP68" s="254">
        <v>0</v>
      </c>
      <c r="AQ68" s="254">
        <v>0</v>
      </c>
      <c r="AR68" s="254">
        <v>0</v>
      </c>
      <c r="AS68" s="254">
        <v>0</v>
      </c>
      <c r="AT68" s="254">
        <v>0</v>
      </c>
      <c r="AU68" s="254">
        <v>0</v>
      </c>
      <c r="AV68" s="254">
        <v>0</v>
      </c>
      <c r="AW68" s="254">
        <v>0</v>
      </c>
      <c r="AX68" s="254">
        <v>0</v>
      </c>
      <c r="AY68" s="254">
        <v>0</v>
      </c>
    </row>
    <row r="69" spans="2:51">
      <c r="B69" s="223">
        <v>10197</v>
      </c>
      <c r="C69" s="223" t="s">
        <v>72</v>
      </c>
      <c r="D69" s="254">
        <v>3348.7572115384583</v>
      </c>
      <c r="E69" s="254">
        <v>0</v>
      </c>
      <c r="F69" s="254">
        <v>579.23499999999933</v>
      </c>
      <c r="G69" s="254">
        <v>0</v>
      </c>
      <c r="H69" s="254">
        <v>1863.4903846153845</v>
      </c>
      <c r="I69" s="254">
        <v>0</v>
      </c>
      <c r="J69" s="254">
        <v>1881.2275</v>
      </c>
      <c r="K69" s="254">
        <v>0</v>
      </c>
      <c r="L69" s="254">
        <v>360.45312499999983</v>
      </c>
      <c r="M69" s="254">
        <v>0</v>
      </c>
      <c r="N69" s="254">
        <v>1582.8680555555552</v>
      </c>
      <c r="O69" s="254">
        <v>0</v>
      </c>
      <c r="P69" s="254">
        <v>5325.8197115384628</v>
      </c>
      <c r="Q69" s="254">
        <v>0</v>
      </c>
      <c r="R69" s="254">
        <v>3199.5450000000042</v>
      </c>
      <c r="S69" s="254">
        <v>0</v>
      </c>
      <c r="T69" s="254">
        <v>9774.0144230769183</v>
      </c>
      <c r="U69" s="254">
        <v>0</v>
      </c>
      <c r="V69" s="254">
        <v>9850.0399999999972</v>
      </c>
      <c r="W69" s="254">
        <v>0</v>
      </c>
      <c r="X69" s="254">
        <v>9187.0509259259306</v>
      </c>
      <c r="Y69" s="254">
        <v>0</v>
      </c>
      <c r="Z69" s="254">
        <v>2552.1874999999986</v>
      </c>
      <c r="AA69" s="254">
        <v>0</v>
      </c>
      <c r="AB69" s="254">
        <v>3363.9014423076924</v>
      </c>
      <c r="AC69" s="254">
        <v>0</v>
      </c>
      <c r="AD69" s="254">
        <v>625.10999999999979</v>
      </c>
      <c r="AE69" s="254">
        <v>0</v>
      </c>
      <c r="AF69" s="254">
        <v>1958.2355769230758</v>
      </c>
      <c r="AG69" s="254">
        <v>0</v>
      </c>
      <c r="AH69" s="254">
        <v>1955.5574999999999</v>
      </c>
      <c r="AI69" s="254">
        <v>0</v>
      </c>
      <c r="AJ69" s="254">
        <v>412.86979166666748</v>
      </c>
      <c r="AK69" s="254">
        <v>0</v>
      </c>
      <c r="AL69" s="254">
        <v>1610.6180555555545</v>
      </c>
      <c r="AM69" s="254">
        <v>0</v>
      </c>
      <c r="AN69" s="254">
        <v>5408.2725000000009</v>
      </c>
      <c r="AO69" s="254">
        <v>0</v>
      </c>
      <c r="AP69" s="254">
        <v>3021.7932692307736</v>
      </c>
      <c r="AQ69" s="254">
        <v>0</v>
      </c>
      <c r="AR69" s="254">
        <v>9785.7235576923049</v>
      </c>
      <c r="AS69" s="254">
        <v>0</v>
      </c>
      <c r="AT69" s="254">
        <v>9863.1049999999959</v>
      </c>
      <c r="AU69" s="254">
        <v>0</v>
      </c>
      <c r="AV69" s="254">
        <v>9203.6087962963084</v>
      </c>
      <c r="AW69" s="254">
        <v>0</v>
      </c>
      <c r="AX69" s="254">
        <v>2567.0499999999984</v>
      </c>
      <c r="AY69" s="254">
        <v>0</v>
      </c>
    </row>
    <row r="70" spans="2:51">
      <c r="B70" s="223">
        <v>10202</v>
      </c>
      <c r="C70" s="223" t="s">
        <v>73</v>
      </c>
      <c r="D70" s="254">
        <v>1083.6081730769229</v>
      </c>
      <c r="E70" s="254">
        <v>0</v>
      </c>
      <c r="F70" s="254">
        <v>2086.7925000000009</v>
      </c>
      <c r="G70" s="254">
        <v>0</v>
      </c>
      <c r="H70" s="254">
        <v>1476.9951923076942</v>
      </c>
      <c r="I70" s="254">
        <v>0</v>
      </c>
      <c r="J70" s="254">
        <v>1937.149999999999</v>
      </c>
      <c r="K70" s="254">
        <v>0</v>
      </c>
      <c r="L70" s="254">
        <v>3868.8359375000009</v>
      </c>
      <c r="M70" s="254">
        <v>0</v>
      </c>
      <c r="N70" s="254">
        <v>1762.5856481481489</v>
      </c>
      <c r="O70" s="254">
        <v>0</v>
      </c>
      <c r="P70" s="254">
        <v>0</v>
      </c>
      <c r="Q70" s="254">
        <v>0</v>
      </c>
      <c r="R70" s="254">
        <v>628.20999999999924</v>
      </c>
      <c r="S70" s="254">
        <v>0</v>
      </c>
      <c r="T70" s="254">
        <v>1099.8317307692307</v>
      </c>
      <c r="U70" s="254">
        <v>0</v>
      </c>
      <c r="V70" s="254">
        <v>1186.3999999999994</v>
      </c>
      <c r="W70" s="254">
        <v>0</v>
      </c>
      <c r="X70" s="254">
        <v>1904.0439814814824</v>
      </c>
      <c r="Y70" s="254">
        <v>0</v>
      </c>
      <c r="Z70" s="254">
        <v>2302.6675</v>
      </c>
      <c r="AA70" s="254">
        <v>0</v>
      </c>
      <c r="AB70" s="254">
        <v>850.82211538461422</v>
      </c>
      <c r="AC70" s="254">
        <v>0</v>
      </c>
      <c r="AD70" s="254">
        <v>1840.3300000000011</v>
      </c>
      <c r="AE70" s="254">
        <v>0</v>
      </c>
      <c r="AF70" s="254">
        <v>1199.9038461538451</v>
      </c>
      <c r="AG70" s="254">
        <v>0</v>
      </c>
      <c r="AH70" s="254">
        <v>1663.170000000001</v>
      </c>
      <c r="AI70" s="254">
        <v>0</v>
      </c>
      <c r="AJ70" s="254">
        <v>3638.3671874999973</v>
      </c>
      <c r="AK70" s="254">
        <v>0</v>
      </c>
      <c r="AL70" s="254">
        <v>1536.7013888888889</v>
      </c>
      <c r="AM70" s="254">
        <v>0</v>
      </c>
      <c r="AN70" s="254">
        <v>0</v>
      </c>
      <c r="AO70" s="254">
        <v>0</v>
      </c>
      <c r="AP70" s="254">
        <v>492.39663461538362</v>
      </c>
      <c r="AQ70" s="254">
        <v>0</v>
      </c>
      <c r="AR70" s="254">
        <v>1013.7764423076916</v>
      </c>
      <c r="AS70" s="254">
        <v>0</v>
      </c>
      <c r="AT70" s="254">
        <v>1094.5525000000011</v>
      </c>
      <c r="AU70" s="254">
        <v>0</v>
      </c>
      <c r="AV70" s="254">
        <v>1793.7638888888898</v>
      </c>
      <c r="AW70" s="254">
        <v>0</v>
      </c>
      <c r="AX70" s="254">
        <v>2175.7074999999963</v>
      </c>
      <c r="AY70" s="254">
        <v>0</v>
      </c>
    </row>
    <row r="71" spans="2:51">
      <c r="B71" s="223">
        <v>10203</v>
      </c>
      <c r="C71" s="223" t="s">
        <v>74</v>
      </c>
      <c r="D71" s="254">
        <v>642.49278846153811</v>
      </c>
      <c r="E71" s="254">
        <v>0</v>
      </c>
      <c r="F71" s="254">
        <v>1253.8875000000003</v>
      </c>
      <c r="G71" s="254">
        <v>0</v>
      </c>
      <c r="H71" s="254">
        <v>1630.4278846153841</v>
      </c>
      <c r="I71" s="254">
        <v>0</v>
      </c>
      <c r="J71" s="254">
        <v>1553.4375000000016</v>
      </c>
      <c r="K71" s="254">
        <v>0</v>
      </c>
      <c r="L71" s="254">
        <v>630.59374999999966</v>
      </c>
      <c r="M71" s="254">
        <v>0</v>
      </c>
      <c r="N71" s="254">
        <v>1390.2870370370363</v>
      </c>
      <c r="O71" s="254">
        <v>0</v>
      </c>
      <c r="P71" s="254">
        <v>1074.9735576923069</v>
      </c>
      <c r="Q71" s="254">
        <v>0</v>
      </c>
      <c r="R71" s="254">
        <v>1297.4150000000004</v>
      </c>
      <c r="S71" s="254">
        <v>0</v>
      </c>
      <c r="T71" s="254">
        <v>1174.7475961538464</v>
      </c>
      <c r="U71" s="254">
        <v>0</v>
      </c>
      <c r="V71" s="254">
        <v>1272.3874999999991</v>
      </c>
      <c r="W71" s="254">
        <v>0</v>
      </c>
      <c r="X71" s="254">
        <v>1084.5231481481478</v>
      </c>
      <c r="Y71" s="254">
        <v>0</v>
      </c>
      <c r="Z71" s="254">
        <v>1197.482500000001</v>
      </c>
      <c r="AA71" s="254">
        <v>0</v>
      </c>
      <c r="AB71" s="254">
        <v>653.44951923076917</v>
      </c>
      <c r="AC71" s="254">
        <v>0</v>
      </c>
      <c r="AD71" s="254">
        <v>1268.3300000000015</v>
      </c>
      <c r="AE71" s="254">
        <v>0</v>
      </c>
      <c r="AF71" s="254">
        <v>1646.5793269230776</v>
      </c>
      <c r="AG71" s="254">
        <v>0</v>
      </c>
      <c r="AH71" s="254">
        <v>1569.4800000000009</v>
      </c>
      <c r="AI71" s="254">
        <v>0</v>
      </c>
      <c r="AJ71" s="254">
        <v>1074.3984375000016</v>
      </c>
      <c r="AK71" s="254">
        <v>0</v>
      </c>
      <c r="AL71" s="254">
        <v>1405.4513888888885</v>
      </c>
      <c r="AM71" s="254">
        <v>0</v>
      </c>
      <c r="AN71" s="254">
        <v>836.23250000000087</v>
      </c>
      <c r="AO71" s="254">
        <v>0</v>
      </c>
      <c r="AP71" s="254">
        <v>1528.908653846154</v>
      </c>
      <c r="AQ71" s="254">
        <v>0</v>
      </c>
      <c r="AR71" s="254">
        <v>1182.2788461538469</v>
      </c>
      <c r="AS71" s="254">
        <v>0</v>
      </c>
      <c r="AT71" s="254">
        <v>1281.0849999999994</v>
      </c>
      <c r="AU71" s="254">
        <v>0</v>
      </c>
      <c r="AV71" s="254">
        <v>1094.7638888888891</v>
      </c>
      <c r="AW71" s="254">
        <v>0</v>
      </c>
      <c r="AX71" s="254">
        <v>1205.1225000000004</v>
      </c>
      <c r="AY71" s="254">
        <v>0</v>
      </c>
    </row>
    <row r="72" spans="2:51">
      <c r="B72" s="223">
        <v>10204</v>
      </c>
      <c r="C72" s="223" t="s">
        <v>75</v>
      </c>
      <c r="D72" s="254">
        <v>0</v>
      </c>
      <c r="E72" s="254">
        <v>0</v>
      </c>
      <c r="F72" s="254">
        <v>0</v>
      </c>
      <c r="G72" s="254">
        <v>0</v>
      </c>
      <c r="H72" s="254">
        <v>0</v>
      </c>
      <c r="I72" s="254">
        <v>0</v>
      </c>
      <c r="J72" s="254">
        <v>0</v>
      </c>
      <c r="K72" s="254">
        <v>0</v>
      </c>
      <c r="L72" s="254">
        <v>0</v>
      </c>
      <c r="M72" s="254">
        <v>0</v>
      </c>
      <c r="N72" s="254">
        <v>0</v>
      </c>
      <c r="O72" s="254">
        <v>0</v>
      </c>
      <c r="P72" s="254">
        <v>0</v>
      </c>
      <c r="Q72" s="254">
        <v>0</v>
      </c>
      <c r="R72" s="254">
        <v>0</v>
      </c>
      <c r="S72" s="254">
        <v>0</v>
      </c>
      <c r="T72" s="254">
        <v>0</v>
      </c>
      <c r="U72" s="254">
        <v>0</v>
      </c>
      <c r="V72" s="254">
        <v>0</v>
      </c>
      <c r="W72" s="254">
        <v>0</v>
      </c>
      <c r="X72" s="254">
        <v>0</v>
      </c>
      <c r="Y72" s="254">
        <v>0</v>
      </c>
      <c r="Z72" s="254">
        <v>0</v>
      </c>
      <c r="AA72" s="254">
        <v>0</v>
      </c>
      <c r="AB72" s="254">
        <v>0</v>
      </c>
      <c r="AC72" s="254">
        <v>0</v>
      </c>
      <c r="AD72" s="254">
        <v>0</v>
      </c>
      <c r="AE72" s="254">
        <v>0</v>
      </c>
      <c r="AF72" s="254">
        <v>0</v>
      </c>
      <c r="AG72" s="254">
        <v>0</v>
      </c>
      <c r="AH72" s="254">
        <v>0</v>
      </c>
      <c r="AI72" s="254">
        <v>0</v>
      </c>
      <c r="AJ72" s="254">
        <v>0</v>
      </c>
      <c r="AK72" s="254">
        <v>0</v>
      </c>
      <c r="AL72" s="254">
        <v>0</v>
      </c>
      <c r="AM72" s="254">
        <v>0</v>
      </c>
      <c r="AN72" s="254">
        <v>0</v>
      </c>
      <c r="AO72" s="254">
        <v>0</v>
      </c>
      <c r="AP72" s="254">
        <v>0</v>
      </c>
      <c r="AQ72" s="254">
        <v>0</v>
      </c>
      <c r="AR72" s="254">
        <v>0</v>
      </c>
      <c r="AS72" s="254">
        <v>0</v>
      </c>
      <c r="AT72" s="254">
        <v>0</v>
      </c>
      <c r="AU72" s="254">
        <v>0</v>
      </c>
      <c r="AV72" s="254">
        <v>0</v>
      </c>
      <c r="AW72" s="254">
        <v>0</v>
      </c>
      <c r="AX72" s="254">
        <v>0</v>
      </c>
      <c r="AY72" s="254">
        <v>0</v>
      </c>
    </row>
    <row r="73" spans="2:51">
      <c r="B73" s="223">
        <v>10209</v>
      </c>
      <c r="C73" s="223" t="s">
        <v>76</v>
      </c>
      <c r="D73" s="254">
        <v>18291.93269230771</v>
      </c>
      <c r="E73" s="254">
        <v>0</v>
      </c>
      <c r="F73" s="254">
        <v>31127.682499999977</v>
      </c>
      <c r="G73" s="254">
        <v>0</v>
      </c>
      <c r="H73" s="254">
        <v>41364.524038461539</v>
      </c>
      <c r="I73" s="254">
        <v>0</v>
      </c>
      <c r="J73" s="254">
        <v>31093.339999999989</v>
      </c>
      <c r="K73" s="254">
        <v>0</v>
      </c>
      <c r="L73" s="254">
        <v>25730.249999999985</v>
      </c>
      <c r="M73" s="254">
        <v>0</v>
      </c>
      <c r="N73" s="254">
        <v>42026.965277777766</v>
      </c>
      <c r="O73" s="254">
        <v>0</v>
      </c>
      <c r="P73" s="254">
        <v>48499.016826923093</v>
      </c>
      <c r="Q73" s="254">
        <v>0</v>
      </c>
      <c r="R73" s="254">
        <v>27372.132499999985</v>
      </c>
      <c r="S73" s="254">
        <v>0</v>
      </c>
      <c r="T73" s="254">
        <v>40921.507211538468</v>
      </c>
      <c r="U73" s="254">
        <v>0</v>
      </c>
      <c r="V73" s="254">
        <v>38634.895000000011</v>
      </c>
      <c r="W73" s="254">
        <v>0</v>
      </c>
      <c r="X73" s="254">
        <v>38079.532407407416</v>
      </c>
      <c r="Y73" s="254">
        <v>0</v>
      </c>
      <c r="Z73" s="254">
        <v>33232.402499999989</v>
      </c>
      <c r="AA73" s="254">
        <v>0</v>
      </c>
      <c r="AB73" s="254">
        <v>18810.625000000015</v>
      </c>
      <c r="AC73" s="254">
        <v>0</v>
      </c>
      <c r="AD73" s="254">
        <v>31736.502500000013</v>
      </c>
      <c r="AE73" s="254">
        <v>0</v>
      </c>
      <c r="AF73" s="254">
        <v>41916.127403846149</v>
      </c>
      <c r="AG73" s="254">
        <v>0</v>
      </c>
      <c r="AH73" s="254">
        <v>31704.92500000001</v>
      </c>
      <c r="AI73" s="254">
        <v>0</v>
      </c>
      <c r="AJ73" s="254">
        <v>26366.539062500011</v>
      </c>
      <c r="AK73" s="254">
        <v>0</v>
      </c>
      <c r="AL73" s="254">
        <v>42749.668981481467</v>
      </c>
      <c r="AM73" s="254">
        <v>0</v>
      </c>
      <c r="AN73" s="254">
        <v>44653.709999999985</v>
      </c>
      <c r="AO73" s="254">
        <v>0</v>
      </c>
      <c r="AP73" s="254">
        <v>32327.213942307688</v>
      </c>
      <c r="AQ73" s="254">
        <v>0</v>
      </c>
      <c r="AR73" s="254">
        <v>41632.795673076915</v>
      </c>
      <c r="AS73" s="254">
        <v>0</v>
      </c>
      <c r="AT73" s="254">
        <v>39096.385000000009</v>
      </c>
      <c r="AU73" s="254">
        <v>0</v>
      </c>
      <c r="AV73" s="254">
        <v>38581.856481481482</v>
      </c>
      <c r="AW73" s="254">
        <v>0</v>
      </c>
      <c r="AX73" s="254">
        <v>33634.127499999973</v>
      </c>
      <c r="AY73" s="254">
        <v>0</v>
      </c>
    </row>
    <row r="74" spans="2:51">
      <c r="B74" s="223">
        <v>10230</v>
      </c>
      <c r="C74" s="223" t="s">
        <v>77</v>
      </c>
      <c r="D74" s="254">
        <v>5062.6947115384628</v>
      </c>
      <c r="E74" s="254">
        <v>0</v>
      </c>
      <c r="F74" s="254">
        <v>2517.5449999999992</v>
      </c>
      <c r="G74" s="254">
        <v>0</v>
      </c>
      <c r="H74" s="254">
        <v>3608.2596153846148</v>
      </c>
      <c r="I74" s="254">
        <v>0</v>
      </c>
      <c r="J74" s="254">
        <v>3147.1400000000012</v>
      </c>
      <c r="K74" s="254">
        <v>0</v>
      </c>
      <c r="L74" s="254">
        <v>4768.1953124999973</v>
      </c>
      <c r="M74" s="254">
        <v>0</v>
      </c>
      <c r="N74" s="254">
        <v>4067.7199074074101</v>
      </c>
      <c r="O74" s="254">
        <v>0</v>
      </c>
      <c r="P74" s="254">
        <v>2333.0048076923067</v>
      </c>
      <c r="Q74" s="254">
        <v>0</v>
      </c>
      <c r="R74" s="254">
        <v>2401.1450000000013</v>
      </c>
      <c r="S74" s="254">
        <v>0</v>
      </c>
      <c r="T74" s="254">
        <v>3007.0000000000009</v>
      </c>
      <c r="U74" s="254">
        <v>0</v>
      </c>
      <c r="V74" s="254">
        <v>2934.6100000000015</v>
      </c>
      <c r="W74" s="254">
        <v>0</v>
      </c>
      <c r="X74" s="254">
        <v>3541.7638888888896</v>
      </c>
      <c r="Y74" s="254">
        <v>0</v>
      </c>
      <c r="Z74" s="254">
        <v>2885.9574999999982</v>
      </c>
      <c r="AA74" s="254">
        <v>0</v>
      </c>
      <c r="AB74" s="254">
        <v>5108.7115384615399</v>
      </c>
      <c r="AC74" s="254">
        <v>0</v>
      </c>
      <c r="AD74" s="254">
        <v>2552.5274999999992</v>
      </c>
      <c r="AE74" s="254">
        <v>0</v>
      </c>
      <c r="AF74" s="254">
        <v>3642.2860576923063</v>
      </c>
      <c r="AG74" s="254">
        <v>0</v>
      </c>
      <c r="AH74" s="254">
        <v>3184.4050000000025</v>
      </c>
      <c r="AI74" s="254">
        <v>0</v>
      </c>
      <c r="AJ74" s="254">
        <v>4809.9557291666661</v>
      </c>
      <c r="AK74" s="254">
        <v>0</v>
      </c>
      <c r="AL74" s="254">
        <v>4110.5416666666679</v>
      </c>
      <c r="AM74" s="254">
        <v>0</v>
      </c>
      <c r="AN74" s="254">
        <v>1880.1774999999984</v>
      </c>
      <c r="AO74" s="254">
        <v>0</v>
      </c>
      <c r="AP74" s="254">
        <v>2895.8653846153857</v>
      </c>
      <c r="AQ74" s="254">
        <v>0</v>
      </c>
      <c r="AR74" s="254">
        <v>3029.7716346153838</v>
      </c>
      <c r="AS74" s="254">
        <v>0</v>
      </c>
      <c r="AT74" s="254">
        <v>2957.4574999999991</v>
      </c>
      <c r="AU74" s="254">
        <v>0</v>
      </c>
      <c r="AV74" s="254">
        <v>3569.3796296296305</v>
      </c>
      <c r="AW74" s="254">
        <v>0</v>
      </c>
      <c r="AX74" s="254">
        <v>2908.0975000000021</v>
      </c>
      <c r="AY74" s="254">
        <v>0</v>
      </c>
    </row>
    <row r="75" spans="2:51">
      <c r="B75" s="223">
        <v>10231</v>
      </c>
      <c r="C75" s="223" t="s">
        <v>78</v>
      </c>
      <c r="D75" s="254">
        <v>0</v>
      </c>
      <c r="E75" s="254">
        <v>0</v>
      </c>
      <c r="F75" s="254">
        <v>0</v>
      </c>
      <c r="G75" s="254">
        <v>0</v>
      </c>
      <c r="H75" s="254">
        <v>0</v>
      </c>
      <c r="I75" s="254">
        <v>0</v>
      </c>
      <c r="J75" s="254">
        <v>0</v>
      </c>
      <c r="K75" s="254">
        <v>0</v>
      </c>
      <c r="L75" s="254">
        <v>5508.7786458333385</v>
      </c>
      <c r="M75" s="254">
        <v>0</v>
      </c>
      <c r="N75" s="254">
        <v>0</v>
      </c>
      <c r="O75" s="254">
        <v>0</v>
      </c>
      <c r="P75" s="254">
        <v>3873.8750000000123</v>
      </c>
      <c r="Q75" s="254">
        <v>0</v>
      </c>
      <c r="R75" s="254">
        <v>0</v>
      </c>
      <c r="S75" s="254">
        <v>0</v>
      </c>
      <c r="T75" s="254">
        <v>1614.5504807692319</v>
      </c>
      <c r="U75" s="254">
        <v>0</v>
      </c>
      <c r="V75" s="254">
        <v>0</v>
      </c>
      <c r="W75" s="254">
        <v>0</v>
      </c>
      <c r="X75" s="254">
        <v>2123.8611111111181</v>
      </c>
      <c r="Y75" s="254">
        <v>0</v>
      </c>
      <c r="Z75" s="254">
        <v>0</v>
      </c>
      <c r="AA75" s="254">
        <v>0</v>
      </c>
      <c r="AB75" s="254">
        <v>0</v>
      </c>
      <c r="AC75" s="254">
        <v>0</v>
      </c>
      <c r="AD75" s="254">
        <v>0</v>
      </c>
      <c r="AE75" s="254">
        <v>0</v>
      </c>
      <c r="AF75" s="254">
        <v>0</v>
      </c>
      <c r="AG75" s="254">
        <v>0</v>
      </c>
      <c r="AH75" s="254">
        <v>0</v>
      </c>
      <c r="AI75" s="254">
        <v>0</v>
      </c>
      <c r="AJ75" s="254">
        <v>5662.0130208333348</v>
      </c>
      <c r="AK75" s="254">
        <v>0</v>
      </c>
      <c r="AL75" s="254">
        <v>0</v>
      </c>
      <c r="AM75" s="254">
        <v>0</v>
      </c>
      <c r="AN75" s="254">
        <v>4165.0674999999919</v>
      </c>
      <c r="AO75" s="254">
        <v>0</v>
      </c>
      <c r="AP75" s="254">
        <v>0</v>
      </c>
      <c r="AQ75" s="254">
        <v>0</v>
      </c>
      <c r="AR75" s="254">
        <v>1815.2956730769176</v>
      </c>
      <c r="AS75" s="254">
        <v>0</v>
      </c>
      <c r="AT75" s="254">
        <v>0</v>
      </c>
      <c r="AU75" s="254">
        <v>0</v>
      </c>
      <c r="AV75" s="254">
        <v>2513.2453703703773</v>
      </c>
      <c r="AW75" s="254">
        <v>0</v>
      </c>
      <c r="AX75" s="254">
        <v>0</v>
      </c>
      <c r="AY75" s="254">
        <v>0</v>
      </c>
    </row>
    <row r="76" spans="2:51">
      <c r="B76" s="223">
        <v>10234</v>
      </c>
      <c r="C76" s="223" t="s">
        <v>79</v>
      </c>
      <c r="D76" s="254">
        <v>6700.7884615384546</v>
      </c>
      <c r="E76" s="254">
        <v>0</v>
      </c>
      <c r="F76" s="254">
        <v>3055.7499999999964</v>
      </c>
      <c r="G76" s="254">
        <v>0</v>
      </c>
      <c r="H76" s="254">
        <v>11806.098557692309</v>
      </c>
      <c r="I76" s="254">
        <v>0</v>
      </c>
      <c r="J76" s="254">
        <v>10802.207500000002</v>
      </c>
      <c r="K76" s="254">
        <v>0</v>
      </c>
      <c r="L76" s="254">
        <v>7566.4999999999945</v>
      </c>
      <c r="M76" s="254">
        <v>0</v>
      </c>
      <c r="N76" s="254">
        <v>12380.393518518513</v>
      </c>
      <c r="O76" s="254">
        <v>0</v>
      </c>
      <c r="P76" s="254">
        <v>11070.617788461548</v>
      </c>
      <c r="Q76" s="254">
        <v>0</v>
      </c>
      <c r="R76" s="254">
        <v>6746.1574999999957</v>
      </c>
      <c r="S76" s="254">
        <v>0</v>
      </c>
      <c r="T76" s="254">
        <v>12339.372596153846</v>
      </c>
      <c r="U76" s="254">
        <v>0</v>
      </c>
      <c r="V76" s="254">
        <v>16670.285</v>
      </c>
      <c r="W76" s="254">
        <v>0</v>
      </c>
      <c r="X76" s="254">
        <v>18653.592592592606</v>
      </c>
      <c r="Y76" s="254">
        <v>0</v>
      </c>
      <c r="Z76" s="254">
        <v>10594.924999999999</v>
      </c>
      <c r="AA76" s="254">
        <v>0</v>
      </c>
      <c r="AB76" s="254">
        <v>7311.463942307686</v>
      </c>
      <c r="AC76" s="254">
        <v>0</v>
      </c>
      <c r="AD76" s="254">
        <v>3663.0199999999818</v>
      </c>
      <c r="AE76" s="254">
        <v>0</v>
      </c>
      <c r="AF76" s="254">
        <v>12493.507211538457</v>
      </c>
      <c r="AG76" s="254">
        <v>0</v>
      </c>
      <c r="AH76" s="254">
        <v>11466.342500000002</v>
      </c>
      <c r="AI76" s="254">
        <v>0</v>
      </c>
      <c r="AJ76" s="254">
        <v>8077.7656250000018</v>
      </c>
      <c r="AK76" s="254">
        <v>0</v>
      </c>
      <c r="AL76" s="254">
        <v>13051.738425925929</v>
      </c>
      <c r="AM76" s="254">
        <v>0</v>
      </c>
      <c r="AN76" s="254">
        <v>9217.8349999999955</v>
      </c>
      <c r="AO76" s="254">
        <v>0</v>
      </c>
      <c r="AP76" s="254">
        <v>9526.0841346153884</v>
      </c>
      <c r="AQ76" s="254">
        <v>0</v>
      </c>
      <c r="AR76" s="254">
        <v>12902.990384615381</v>
      </c>
      <c r="AS76" s="254">
        <v>0</v>
      </c>
      <c r="AT76" s="254">
        <v>17241.355000000007</v>
      </c>
      <c r="AU76" s="254">
        <v>0</v>
      </c>
      <c r="AV76" s="254">
        <v>19269.421296296303</v>
      </c>
      <c r="AW76" s="254">
        <v>0</v>
      </c>
      <c r="AX76" s="254">
        <v>11176.982499999991</v>
      </c>
      <c r="AY76" s="254">
        <v>0</v>
      </c>
    </row>
    <row r="77" spans="2:51">
      <c r="B77" s="223">
        <v>10235</v>
      </c>
      <c r="C77" s="223" t="s">
        <v>80</v>
      </c>
      <c r="D77" s="254">
        <v>2080.6995192307659</v>
      </c>
      <c r="E77" s="254">
        <v>0</v>
      </c>
      <c r="F77" s="254">
        <v>1668.6724999999942</v>
      </c>
      <c r="G77" s="254">
        <v>0</v>
      </c>
      <c r="H77" s="254">
        <v>7028.3990384615381</v>
      </c>
      <c r="I77" s="254">
        <v>0</v>
      </c>
      <c r="J77" s="254">
        <v>6080.7050000000008</v>
      </c>
      <c r="K77" s="254">
        <v>0</v>
      </c>
      <c r="L77" s="254">
        <v>3736.6432291666688</v>
      </c>
      <c r="M77" s="254">
        <v>0</v>
      </c>
      <c r="N77" s="254">
        <v>4139.4444444444462</v>
      </c>
      <c r="O77" s="254">
        <v>0</v>
      </c>
      <c r="P77" s="254">
        <v>5873.1057692307677</v>
      </c>
      <c r="Q77" s="254">
        <v>0</v>
      </c>
      <c r="R77" s="254">
        <v>3077.442500000001</v>
      </c>
      <c r="S77" s="254">
        <v>0</v>
      </c>
      <c r="T77" s="254">
        <v>4214.5865384615345</v>
      </c>
      <c r="U77" s="254">
        <v>0</v>
      </c>
      <c r="V77" s="254">
        <v>3498.257500000002</v>
      </c>
      <c r="W77" s="254">
        <v>0</v>
      </c>
      <c r="X77" s="254">
        <v>4406.5555555555566</v>
      </c>
      <c r="Y77" s="254">
        <v>0</v>
      </c>
      <c r="Z77" s="254">
        <v>4115.3850000000029</v>
      </c>
      <c r="AA77" s="254">
        <v>0</v>
      </c>
      <c r="AB77" s="254">
        <v>2137.1610576923104</v>
      </c>
      <c r="AC77" s="254">
        <v>0</v>
      </c>
      <c r="AD77" s="254">
        <v>1737.3824999999972</v>
      </c>
      <c r="AE77" s="254">
        <v>0</v>
      </c>
      <c r="AF77" s="254">
        <v>7105.8028846153811</v>
      </c>
      <c r="AG77" s="254">
        <v>0</v>
      </c>
      <c r="AH77" s="254">
        <v>6160.0549999999994</v>
      </c>
      <c r="AI77" s="254">
        <v>0</v>
      </c>
      <c r="AJ77" s="254">
        <v>3808.2656249999991</v>
      </c>
      <c r="AK77" s="254">
        <v>0</v>
      </c>
      <c r="AL77" s="254">
        <v>4202.9444444444434</v>
      </c>
      <c r="AM77" s="254">
        <v>0</v>
      </c>
      <c r="AN77" s="254">
        <v>5855.152500000002</v>
      </c>
      <c r="AO77" s="254">
        <v>0</v>
      </c>
      <c r="AP77" s="254">
        <v>3215.9927884615386</v>
      </c>
      <c r="AQ77" s="254">
        <v>0</v>
      </c>
      <c r="AR77" s="254">
        <v>4264.1562499999982</v>
      </c>
      <c r="AS77" s="254">
        <v>0</v>
      </c>
      <c r="AT77" s="254">
        <v>3551.4274999999998</v>
      </c>
      <c r="AU77" s="254">
        <v>0</v>
      </c>
      <c r="AV77" s="254">
        <v>4457.7037037037071</v>
      </c>
      <c r="AW77" s="254">
        <v>0</v>
      </c>
      <c r="AX77" s="254">
        <v>4161.6774999999989</v>
      </c>
      <c r="AY77" s="254">
        <v>0</v>
      </c>
    </row>
    <row r="78" spans="2:51">
      <c r="B78" s="223">
        <v>10236</v>
      </c>
      <c r="C78" s="223" t="s">
        <v>81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4">
        <v>0</v>
      </c>
      <c r="P78" s="254">
        <v>0</v>
      </c>
      <c r="Q78" s="254">
        <v>0</v>
      </c>
      <c r="R78" s="254">
        <v>0</v>
      </c>
      <c r="S78" s="254">
        <v>0</v>
      </c>
      <c r="T78" s="254">
        <v>0</v>
      </c>
      <c r="U78" s="254">
        <v>0</v>
      </c>
      <c r="V78" s="254">
        <v>0</v>
      </c>
      <c r="W78" s="254">
        <v>0</v>
      </c>
      <c r="X78" s="254">
        <v>0</v>
      </c>
      <c r="Y78" s="254">
        <v>0</v>
      </c>
      <c r="Z78" s="254">
        <v>0</v>
      </c>
      <c r="AA78" s="254">
        <v>0</v>
      </c>
      <c r="AB78" s="254">
        <v>0</v>
      </c>
      <c r="AC78" s="254">
        <v>0</v>
      </c>
      <c r="AD78" s="254">
        <v>0</v>
      </c>
      <c r="AE78" s="254">
        <v>0</v>
      </c>
      <c r="AF78" s="254">
        <v>0</v>
      </c>
      <c r="AG78" s="254">
        <v>0</v>
      </c>
      <c r="AH78" s="254">
        <v>0</v>
      </c>
      <c r="AI78" s="254">
        <v>0</v>
      </c>
      <c r="AJ78" s="254">
        <v>0</v>
      </c>
      <c r="AK78" s="254">
        <v>0</v>
      </c>
      <c r="AL78" s="254">
        <v>0</v>
      </c>
      <c r="AM78" s="254">
        <v>0</v>
      </c>
      <c r="AN78" s="254">
        <v>0</v>
      </c>
      <c r="AO78" s="254">
        <v>0</v>
      </c>
      <c r="AP78" s="254">
        <v>0</v>
      </c>
      <c r="AQ78" s="254">
        <v>0</v>
      </c>
      <c r="AR78" s="254">
        <v>0</v>
      </c>
      <c r="AS78" s="254">
        <v>0</v>
      </c>
      <c r="AT78" s="254">
        <v>0</v>
      </c>
      <c r="AU78" s="254">
        <v>0</v>
      </c>
      <c r="AV78" s="254">
        <v>0</v>
      </c>
      <c r="AW78" s="254">
        <v>0</v>
      </c>
      <c r="AX78" s="254">
        <v>0</v>
      </c>
      <c r="AY78" s="254">
        <v>0</v>
      </c>
    </row>
    <row r="79" spans="2:51">
      <c r="B79" s="223">
        <v>10237</v>
      </c>
      <c r="C79" s="223" t="s">
        <v>82</v>
      </c>
      <c r="D79" s="254">
        <v>0</v>
      </c>
      <c r="E79" s="254">
        <v>0</v>
      </c>
      <c r="F79" s="254">
        <v>0</v>
      </c>
      <c r="G79" s="254">
        <v>0</v>
      </c>
      <c r="H79" s="254">
        <v>0</v>
      </c>
      <c r="I79" s="254">
        <v>0</v>
      </c>
      <c r="J79" s="254">
        <v>0</v>
      </c>
      <c r="K79" s="254">
        <v>0</v>
      </c>
      <c r="L79" s="254">
        <v>0</v>
      </c>
      <c r="M79" s="254">
        <v>0</v>
      </c>
      <c r="N79" s="254">
        <v>0</v>
      </c>
      <c r="O79" s="254">
        <v>0</v>
      </c>
      <c r="P79" s="254">
        <v>0</v>
      </c>
      <c r="Q79" s="254">
        <v>0</v>
      </c>
      <c r="R79" s="254">
        <v>0</v>
      </c>
      <c r="S79" s="254">
        <v>0</v>
      </c>
      <c r="T79" s="254">
        <v>0</v>
      </c>
      <c r="U79" s="254">
        <v>0</v>
      </c>
      <c r="V79" s="254">
        <v>0</v>
      </c>
      <c r="W79" s="254">
        <v>0</v>
      </c>
      <c r="X79" s="254">
        <v>0</v>
      </c>
      <c r="Y79" s="254">
        <v>0</v>
      </c>
      <c r="Z79" s="254">
        <v>0</v>
      </c>
      <c r="AA79" s="254">
        <v>0</v>
      </c>
      <c r="AB79" s="254">
        <v>0</v>
      </c>
      <c r="AC79" s="254">
        <v>0</v>
      </c>
      <c r="AD79" s="254">
        <v>0</v>
      </c>
      <c r="AE79" s="254">
        <v>0</v>
      </c>
      <c r="AF79" s="254">
        <v>0</v>
      </c>
      <c r="AG79" s="254">
        <v>0</v>
      </c>
      <c r="AH79" s="254">
        <v>0</v>
      </c>
      <c r="AI79" s="254">
        <v>0</v>
      </c>
      <c r="AJ79" s="254">
        <v>0</v>
      </c>
      <c r="AK79" s="254">
        <v>0</v>
      </c>
      <c r="AL79" s="254">
        <v>0</v>
      </c>
      <c r="AM79" s="254">
        <v>0</v>
      </c>
      <c r="AN79" s="254">
        <v>0</v>
      </c>
      <c r="AO79" s="254">
        <v>0</v>
      </c>
      <c r="AP79" s="254">
        <v>0</v>
      </c>
      <c r="AQ79" s="254">
        <v>0</v>
      </c>
      <c r="AR79" s="254">
        <v>0</v>
      </c>
      <c r="AS79" s="254">
        <v>0</v>
      </c>
      <c r="AT79" s="254">
        <v>0</v>
      </c>
      <c r="AU79" s="254">
        <v>0</v>
      </c>
      <c r="AV79" s="254">
        <v>0</v>
      </c>
      <c r="AW79" s="254">
        <v>0</v>
      </c>
      <c r="AX79" s="254">
        <v>0</v>
      </c>
      <c r="AY79" s="254">
        <v>0</v>
      </c>
    </row>
    <row r="80" spans="2:51">
      <c r="B80" s="223">
        <v>10239</v>
      </c>
      <c r="C80" s="223" t="s">
        <v>83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0</v>
      </c>
      <c r="P80" s="254">
        <v>0</v>
      </c>
      <c r="Q80" s="254">
        <v>0</v>
      </c>
      <c r="R80" s="254">
        <v>0</v>
      </c>
      <c r="S80" s="254">
        <v>0</v>
      </c>
      <c r="T80" s="254">
        <v>0</v>
      </c>
      <c r="U80" s="254">
        <v>0</v>
      </c>
      <c r="V80" s="254">
        <v>0</v>
      </c>
      <c r="W80" s="254">
        <v>0</v>
      </c>
      <c r="X80" s="254">
        <v>0</v>
      </c>
      <c r="Y80" s="254">
        <v>0</v>
      </c>
      <c r="Z80" s="254">
        <v>0</v>
      </c>
      <c r="AA80" s="254">
        <v>0</v>
      </c>
      <c r="AB80" s="254">
        <v>0</v>
      </c>
      <c r="AC80" s="254">
        <v>0</v>
      </c>
      <c r="AD80" s="254">
        <v>0</v>
      </c>
      <c r="AE80" s="254">
        <v>0</v>
      </c>
      <c r="AF80" s="254">
        <v>0</v>
      </c>
      <c r="AG80" s="254">
        <v>0</v>
      </c>
      <c r="AH80" s="254">
        <v>0</v>
      </c>
      <c r="AI80" s="254">
        <v>0</v>
      </c>
      <c r="AJ80" s="254">
        <v>0</v>
      </c>
      <c r="AK80" s="254">
        <v>0</v>
      </c>
      <c r="AL80" s="254">
        <v>0</v>
      </c>
      <c r="AM80" s="254">
        <v>0</v>
      </c>
      <c r="AN80" s="254">
        <v>0</v>
      </c>
      <c r="AO80" s="254">
        <v>0</v>
      </c>
      <c r="AP80" s="254">
        <v>0</v>
      </c>
      <c r="AQ80" s="254">
        <v>0</v>
      </c>
      <c r="AR80" s="254">
        <v>0</v>
      </c>
      <c r="AS80" s="254">
        <v>0</v>
      </c>
      <c r="AT80" s="254">
        <v>0</v>
      </c>
      <c r="AU80" s="254">
        <v>0</v>
      </c>
      <c r="AV80" s="254">
        <v>0</v>
      </c>
      <c r="AW80" s="254">
        <v>0</v>
      </c>
      <c r="AX80" s="254">
        <v>0</v>
      </c>
      <c r="AY80" s="254">
        <v>0</v>
      </c>
    </row>
    <row r="81" spans="2:51">
      <c r="B81" s="223">
        <v>10242</v>
      </c>
      <c r="C81" s="223" t="s">
        <v>84</v>
      </c>
      <c r="D81" s="254">
        <v>1607.4663461538448</v>
      </c>
      <c r="E81" s="254">
        <v>0</v>
      </c>
      <c r="F81" s="254">
        <v>436.95749999999964</v>
      </c>
      <c r="G81" s="254">
        <v>0</v>
      </c>
      <c r="H81" s="254">
        <v>605.28605769230785</v>
      </c>
      <c r="I81" s="254">
        <v>0</v>
      </c>
      <c r="J81" s="254">
        <v>583.75750000000085</v>
      </c>
      <c r="K81" s="254">
        <v>0</v>
      </c>
      <c r="L81" s="254">
        <v>330.18489583333286</v>
      </c>
      <c r="M81" s="254">
        <v>0</v>
      </c>
      <c r="N81" s="254">
        <v>382.68981481481478</v>
      </c>
      <c r="O81" s="254">
        <v>0</v>
      </c>
      <c r="P81" s="254">
        <v>1119.9951923076926</v>
      </c>
      <c r="Q81" s="254">
        <v>0</v>
      </c>
      <c r="R81" s="254">
        <v>0</v>
      </c>
      <c r="S81" s="254">
        <v>0</v>
      </c>
      <c r="T81" s="254">
        <v>3886.5456730769201</v>
      </c>
      <c r="U81" s="254">
        <v>0</v>
      </c>
      <c r="V81" s="254">
        <v>2585.7725000000014</v>
      </c>
      <c r="W81" s="254">
        <v>0</v>
      </c>
      <c r="X81" s="254">
        <v>3674.652777777781</v>
      </c>
      <c r="Y81" s="254">
        <v>0</v>
      </c>
      <c r="Z81" s="254">
        <v>2141.6049999999987</v>
      </c>
      <c r="AA81" s="254">
        <v>0</v>
      </c>
      <c r="AB81" s="254">
        <v>1609.3004807692307</v>
      </c>
      <c r="AC81" s="254">
        <v>0</v>
      </c>
      <c r="AD81" s="254">
        <v>439.42250000000047</v>
      </c>
      <c r="AE81" s="254">
        <v>0</v>
      </c>
      <c r="AF81" s="254">
        <v>608.50000000000159</v>
      </c>
      <c r="AG81" s="254">
        <v>0</v>
      </c>
      <c r="AH81" s="254">
        <v>586.42999999999915</v>
      </c>
      <c r="AI81" s="254">
        <v>0</v>
      </c>
      <c r="AJ81" s="254">
        <v>331.75781250000023</v>
      </c>
      <c r="AK81" s="254">
        <v>0</v>
      </c>
      <c r="AL81" s="254">
        <v>386.29629629629568</v>
      </c>
      <c r="AM81" s="254">
        <v>0</v>
      </c>
      <c r="AN81" s="254">
        <v>921.36999999999841</v>
      </c>
      <c r="AO81" s="254">
        <v>0</v>
      </c>
      <c r="AP81" s="254">
        <v>0</v>
      </c>
      <c r="AQ81" s="254">
        <v>0</v>
      </c>
      <c r="AR81" s="254">
        <v>4006.16826923077</v>
      </c>
      <c r="AS81" s="254">
        <v>0</v>
      </c>
      <c r="AT81" s="254">
        <v>2705.1925000000028</v>
      </c>
      <c r="AU81" s="254">
        <v>0</v>
      </c>
      <c r="AV81" s="254">
        <v>3798.7986111111109</v>
      </c>
      <c r="AW81" s="254">
        <v>0</v>
      </c>
      <c r="AX81" s="254">
        <v>2261.3774999999982</v>
      </c>
      <c r="AY81" s="254">
        <v>0</v>
      </c>
    </row>
    <row r="82" spans="2:51">
      <c r="B82" s="223">
        <v>10244</v>
      </c>
      <c r="C82" s="223" t="s">
        <v>85</v>
      </c>
      <c r="D82" s="254">
        <v>10497.923076923091</v>
      </c>
      <c r="E82" s="254">
        <v>0</v>
      </c>
      <c r="F82" s="254">
        <v>15963.952500000012</v>
      </c>
      <c r="G82" s="254">
        <v>0</v>
      </c>
      <c r="H82" s="254">
        <v>32203.48798076923</v>
      </c>
      <c r="I82" s="254">
        <v>0</v>
      </c>
      <c r="J82" s="254">
        <v>38811.207500000011</v>
      </c>
      <c r="K82" s="254">
        <v>0</v>
      </c>
      <c r="L82" s="254">
        <v>12729.934895833352</v>
      </c>
      <c r="M82" s="254">
        <v>0</v>
      </c>
      <c r="N82" s="254">
        <v>26951.097222222215</v>
      </c>
      <c r="O82" s="254">
        <v>0</v>
      </c>
      <c r="P82" s="254">
        <v>21485.555288461546</v>
      </c>
      <c r="Q82" s="254">
        <v>0</v>
      </c>
      <c r="R82" s="254">
        <v>14335.587499999981</v>
      </c>
      <c r="S82" s="254">
        <v>0</v>
      </c>
      <c r="T82" s="254">
        <v>6896.8317307692287</v>
      </c>
      <c r="U82" s="254">
        <v>0</v>
      </c>
      <c r="V82" s="254">
        <v>6395.1975000000048</v>
      </c>
      <c r="W82" s="254">
        <v>0</v>
      </c>
      <c r="X82" s="254">
        <v>7740.7662037037126</v>
      </c>
      <c r="Y82" s="254">
        <v>0</v>
      </c>
      <c r="Z82" s="254">
        <v>11056.587500000003</v>
      </c>
      <c r="AA82" s="254">
        <v>0</v>
      </c>
      <c r="AB82" s="254">
        <v>11448.189903846131</v>
      </c>
      <c r="AC82" s="254">
        <v>0</v>
      </c>
      <c r="AD82" s="254">
        <v>16961.397499999995</v>
      </c>
      <c r="AE82" s="254">
        <v>0</v>
      </c>
      <c r="AF82" s="254">
        <v>33266.254807692312</v>
      </c>
      <c r="AG82" s="254">
        <v>0</v>
      </c>
      <c r="AH82" s="254">
        <v>39796.662499999984</v>
      </c>
      <c r="AI82" s="254">
        <v>0</v>
      </c>
      <c r="AJ82" s="254">
        <v>13617.281250000005</v>
      </c>
      <c r="AK82" s="254">
        <v>0</v>
      </c>
      <c r="AL82" s="254">
        <v>28026.178240740734</v>
      </c>
      <c r="AM82" s="254">
        <v>0</v>
      </c>
      <c r="AN82" s="254">
        <v>18648.084999999988</v>
      </c>
      <c r="AO82" s="254">
        <v>0</v>
      </c>
      <c r="AP82" s="254">
        <v>17722.709134615394</v>
      </c>
      <c r="AQ82" s="254">
        <v>0</v>
      </c>
      <c r="AR82" s="254">
        <v>7265.5576923077024</v>
      </c>
      <c r="AS82" s="254">
        <v>0</v>
      </c>
      <c r="AT82" s="254">
        <v>6759.5724999999857</v>
      </c>
      <c r="AU82" s="254">
        <v>0</v>
      </c>
      <c r="AV82" s="254">
        <v>8130.1944444444398</v>
      </c>
      <c r="AW82" s="254">
        <v>0</v>
      </c>
      <c r="AX82" s="254">
        <v>11431.919999999987</v>
      </c>
      <c r="AY82" s="254">
        <v>0</v>
      </c>
    </row>
    <row r="83" spans="2:51">
      <c r="B83" s="223">
        <v>10246</v>
      </c>
      <c r="C83" s="223" t="s">
        <v>86</v>
      </c>
      <c r="D83" s="254">
        <v>408.71153846153874</v>
      </c>
      <c r="E83" s="254">
        <v>0</v>
      </c>
      <c r="F83" s="254">
        <v>838.44250000000193</v>
      </c>
      <c r="G83" s="254">
        <v>0</v>
      </c>
      <c r="H83" s="254">
        <v>3036.5937499999986</v>
      </c>
      <c r="I83" s="254">
        <v>0</v>
      </c>
      <c r="J83" s="254">
        <v>2733.9099999999994</v>
      </c>
      <c r="K83" s="254">
        <v>0</v>
      </c>
      <c r="L83" s="254">
        <v>1948.9999999999998</v>
      </c>
      <c r="M83" s="254">
        <v>0</v>
      </c>
      <c r="N83" s="254">
        <v>3019.0486111111109</v>
      </c>
      <c r="O83" s="254">
        <v>0</v>
      </c>
      <c r="P83" s="254">
        <v>2141.1033653846157</v>
      </c>
      <c r="Q83" s="254">
        <v>0</v>
      </c>
      <c r="R83" s="254">
        <v>1372.5300000000011</v>
      </c>
      <c r="S83" s="254">
        <v>0</v>
      </c>
      <c r="T83" s="254">
        <v>2067.3245192307695</v>
      </c>
      <c r="U83" s="254">
        <v>0</v>
      </c>
      <c r="V83" s="254">
        <v>1409.37</v>
      </c>
      <c r="W83" s="254">
        <v>0</v>
      </c>
      <c r="X83" s="254">
        <v>1977.6226851851859</v>
      </c>
      <c r="Y83" s="254">
        <v>0</v>
      </c>
      <c r="Z83" s="254">
        <v>1174.6225000000004</v>
      </c>
      <c r="AA83" s="254">
        <v>0</v>
      </c>
      <c r="AB83" s="254">
        <v>439.51201923076866</v>
      </c>
      <c r="AC83" s="254">
        <v>0</v>
      </c>
      <c r="AD83" s="254">
        <v>864.21249999999804</v>
      </c>
      <c r="AE83" s="254">
        <v>0</v>
      </c>
      <c r="AF83" s="254">
        <v>3065.3846153846148</v>
      </c>
      <c r="AG83" s="254">
        <v>0</v>
      </c>
      <c r="AH83" s="254">
        <v>2763.2899999999991</v>
      </c>
      <c r="AI83" s="254">
        <v>0</v>
      </c>
      <c r="AJ83" s="254">
        <v>1974.4296875000007</v>
      </c>
      <c r="AK83" s="254">
        <v>0</v>
      </c>
      <c r="AL83" s="254">
        <v>3048.57175925926</v>
      </c>
      <c r="AM83" s="254">
        <v>0</v>
      </c>
      <c r="AN83" s="254">
        <v>2192.4474999999998</v>
      </c>
      <c r="AO83" s="254">
        <v>0</v>
      </c>
      <c r="AP83" s="254">
        <v>1386.5913461538462</v>
      </c>
      <c r="AQ83" s="254">
        <v>0</v>
      </c>
      <c r="AR83" s="254">
        <v>2093.7716346153843</v>
      </c>
      <c r="AS83" s="254">
        <v>0</v>
      </c>
      <c r="AT83" s="254">
        <v>1437.8025000000007</v>
      </c>
      <c r="AU83" s="254">
        <v>0</v>
      </c>
      <c r="AV83" s="254">
        <v>2004.6643518518508</v>
      </c>
      <c r="AW83" s="254">
        <v>0</v>
      </c>
      <c r="AX83" s="254">
        <v>1200.9000000000012</v>
      </c>
      <c r="AY83" s="254">
        <v>0</v>
      </c>
    </row>
    <row r="84" spans="2:51">
      <c r="B84" s="223">
        <v>10247</v>
      </c>
      <c r="C84" s="223" t="s">
        <v>87</v>
      </c>
      <c r="D84" s="254">
        <v>0</v>
      </c>
      <c r="E84" s="254">
        <v>0</v>
      </c>
      <c r="F84" s="254">
        <v>2140.0400000000132</v>
      </c>
      <c r="G84" s="254">
        <v>0</v>
      </c>
      <c r="H84" s="254">
        <v>20290.088942307677</v>
      </c>
      <c r="I84" s="254">
        <v>0</v>
      </c>
      <c r="J84" s="254">
        <v>13839.522499999997</v>
      </c>
      <c r="K84" s="254">
        <v>0</v>
      </c>
      <c r="L84" s="254">
        <v>14264.906249999985</v>
      </c>
      <c r="M84" s="254">
        <v>0</v>
      </c>
      <c r="N84" s="254">
        <v>19868.606481481485</v>
      </c>
      <c r="O84" s="254">
        <v>0</v>
      </c>
      <c r="P84" s="254">
        <v>11704.867788461548</v>
      </c>
      <c r="Q84" s="254">
        <v>0</v>
      </c>
      <c r="R84" s="254">
        <v>0</v>
      </c>
      <c r="S84" s="254">
        <v>0</v>
      </c>
      <c r="T84" s="254">
        <v>6079.9951923076787</v>
      </c>
      <c r="U84" s="254">
        <v>0</v>
      </c>
      <c r="V84" s="254">
        <v>11655.964999999993</v>
      </c>
      <c r="W84" s="254">
        <v>0</v>
      </c>
      <c r="X84" s="254">
        <v>21715.127314814814</v>
      </c>
      <c r="Y84" s="254">
        <v>0</v>
      </c>
      <c r="Z84" s="254">
        <v>213.61500000000078</v>
      </c>
      <c r="AA84" s="254">
        <v>0</v>
      </c>
      <c r="AB84" s="254">
        <v>0</v>
      </c>
      <c r="AC84" s="254">
        <v>0</v>
      </c>
      <c r="AD84" s="254">
        <v>2142.2699999999963</v>
      </c>
      <c r="AE84" s="254">
        <v>0</v>
      </c>
      <c r="AF84" s="254">
        <v>20374.367788461539</v>
      </c>
      <c r="AG84" s="254">
        <v>0</v>
      </c>
      <c r="AH84" s="254">
        <v>13894.092499999981</v>
      </c>
      <c r="AI84" s="254">
        <v>0</v>
      </c>
      <c r="AJ84" s="254">
        <v>14275.08072916665</v>
      </c>
      <c r="AK84" s="254">
        <v>0</v>
      </c>
      <c r="AL84" s="254">
        <v>19949.423611111109</v>
      </c>
      <c r="AM84" s="254">
        <v>0</v>
      </c>
      <c r="AN84" s="254">
        <v>8370.4150000000009</v>
      </c>
      <c r="AO84" s="254">
        <v>0</v>
      </c>
      <c r="AP84" s="254">
        <v>1475.634615384628</v>
      </c>
      <c r="AQ84" s="254">
        <v>0</v>
      </c>
      <c r="AR84" s="254">
        <v>6099.264423076932</v>
      </c>
      <c r="AS84" s="254">
        <v>0</v>
      </c>
      <c r="AT84" s="254">
        <v>11711.270000000011</v>
      </c>
      <c r="AU84" s="254">
        <v>0</v>
      </c>
      <c r="AV84" s="254">
        <v>21810.229166666664</v>
      </c>
      <c r="AW84" s="254">
        <v>0</v>
      </c>
      <c r="AX84" s="254">
        <v>206.23499999998884</v>
      </c>
      <c r="AY84" s="254">
        <v>0</v>
      </c>
    </row>
    <row r="85" spans="2:51">
      <c r="B85" s="223">
        <v>10256</v>
      </c>
      <c r="C85" s="223" t="s">
        <v>88</v>
      </c>
      <c r="D85" s="254">
        <v>8357.0384615384519</v>
      </c>
      <c r="E85" s="254">
        <v>0</v>
      </c>
      <c r="F85" s="254">
        <v>8585.7150000000074</v>
      </c>
      <c r="G85" s="254">
        <v>0</v>
      </c>
      <c r="H85" s="254">
        <v>21794.930288461543</v>
      </c>
      <c r="I85" s="254">
        <v>0</v>
      </c>
      <c r="J85" s="254">
        <v>13581.010000000006</v>
      </c>
      <c r="K85" s="254">
        <v>0</v>
      </c>
      <c r="L85" s="254">
        <v>9903.0338541666679</v>
      </c>
      <c r="M85" s="254">
        <v>0</v>
      </c>
      <c r="N85" s="254">
        <v>12274.717592592588</v>
      </c>
      <c r="O85" s="254">
        <v>0</v>
      </c>
      <c r="P85" s="254">
        <v>10645.286057692318</v>
      </c>
      <c r="Q85" s="254">
        <v>0</v>
      </c>
      <c r="R85" s="254">
        <v>5666.4425000000056</v>
      </c>
      <c r="S85" s="254">
        <v>0</v>
      </c>
      <c r="T85" s="254">
        <v>8750.5168269230708</v>
      </c>
      <c r="U85" s="254">
        <v>0</v>
      </c>
      <c r="V85" s="254">
        <v>8170.6475000000082</v>
      </c>
      <c r="W85" s="254">
        <v>0</v>
      </c>
      <c r="X85" s="254">
        <v>9680.7199074074106</v>
      </c>
      <c r="Y85" s="254">
        <v>0</v>
      </c>
      <c r="Z85" s="254">
        <v>7674.4249999999902</v>
      </c>
      <c r="AA85" s="254">
        <v>0</v>
      </c>
      <c r="AB85" s="254">
        <v>8707.3605769230726</v>
      </c>
      <c r="AC85" s="254">
        <v>0</v>
      </c>
      <c r="AD85" s="254">
        <v>8928.7725000000082</v>
      </c>
      <c r="AE85" s="254">
        <v>0</v>
      </c>
      <c r="AF85" s="254">
        <v>22152.016826923074</v>
      </c>
      <c r="AG85" s="254">
        <v>0</v>
      </c>
      <c r="AH85" s="254">
        <v>13867.257500000009</v>
      </c>
      <c r="AI85" s="254">
        <v>0</v>
      </c>
      <c r="AJ85" s="254">
        <v>10268.580729166675</v>
      </c>
      <c r="AK85" s="254">
        <v>0</v>
      </c>
      <c r="AL85" s="254">
        <v>12609.759259259255</v>
      </c>
      <c r="AM85" s="254">
        <v>0</v>
      </c>
      <c r="AN85" s="254">
        <v>9017.1524999999947</v>
      </c>
      <c r="AO85" s="254">
        <v>0</v>
      </c>
      <c r="AP85" s="254">
        <v>7999.0552884615445</v>
      </c>
      <c r="AQ85" s="254">
        <v>0</v>
      </c>
      <c r="AR85" s="254">
        <v>8924.7163461538548</v>
      </c>
      <c r="AS85" s="254">
        <v>0</v>
      </c>
      <c r="AT85" s="254">
        <v>8319.2325000000055</v>
      </c>
      <c r="AU85" s="254">
        <v>0</v>
      </c>
      <c r="AV85" s="254">
        <v>9825.7939814814781</v>
      </c>
      <c r="AW85" s="254">
        <v>0</v>
      </c>
      <c r="AX85" s="254">
        <v>7935.0900000000011</v>
      </c>
      <c r="AY85" s="254">
        <v>0</v>
      </c>
    </row>
    <row r="86" spans="2:51">
      <c r="B86" s="223">
        <v>10258</v>
      </c>
      <c r="C86" s="223" t="s">
        <v>89</v>
      </c>
      <c r="D86" s="254">
        <v>3480.1418269230826</v>
      </c>
      <c r="E86" s="254">
        <v>0</v>
      </c>
      <c r="F86" s="254">
        <v>5612.3799999999947</v>
      </c>
      <c r="G86" s="254">
        <v>0</v>
      </c>
      <c r="H86" s="254">
        <v>13053.73076923078</v>
      </c>
      <c r="I86" s="254">
        <v>0</v>
      </c>
      <c r="J86" s="254">
        <v>9703.5175000000072</v>
      </c>
      <c r="K86" s="254">
        <v>0</v>
      </c>
      <c r="L86" s="254">
        <v>10023.447916666662</v>
      </c>
      <c r="M86" s="254">
        <v>0</v>
      </c>
      <c r="N86" s="254">
        <v>8098.5879629629608</v>
      </c>
      <c r="O86" s="254">
        <v>0</v>
      </c>
      <c r="P86" s="254">
        <v>10116.038461538452</v>
      </c>
      <c r="Q86" s="254">
        <v>0</v>
      </c>
      <c r="R86" s="254">
        <v>0</v>
      </c>
      <c r="S86" s="254">
        <v>0</v>
      </c>
      <c r="T86" s="254">
        <v>5971.6634615384537</v>
      </c>
      <c r="U86" s="254">
        <v>0</v>
      </c>
      <c r="V86" s="254">
        <v>6875.7724999999928</v>
      </c>
      <c r="W86" s="254">
        <v>0</v>
      </c>
      <c r="X86" s="254">
        <v>6438.4953703703686</v>
      </c>
      <c r="Y86" s="254">
        <v>0</v>
      </c>
      <c r="Z86" s="254">
        <v>5355.7899999999936</v>
      </c>
      <c r="AA86" s="254">
        <v>0</v>
      </c>
      <c r="AB86" s="254">
        <v>3650.3293269230658</v>
      </c>
      <c r="AC86" s="254">
        <v>0</v>
      </c>
      <c r="AD86" s="254">
        <v>5794.3099999999959</v>
      </c>
      <c r="AE86" s="254">
        <v>0</v>
      </c>
      <c r="AF86" s="254">
        <v>13220.927884615376</v>
      </c>
      <c r="AG86" s="254">
        <v>0</v>
      </c>
      <c r="AH86" s="254">
        <v>9866.2375000000011</v>
      </c>
      <c r="AI86" s="254">
        <v>0</v>
      </c>
      <c r="AJ86" s="254">
        <v>10242.802083333338</v>
      </c>
      <c r="AK86" s="254">
        <v>0</v>
      </c>
      <c r="AL86" s="254">
        <v>8281.4189814814745</v>
      </c>
      <c r="AM86" s="254">
        <v>0</v>
      </c>
      <c r="AN86" s="254">
        <v>8529.4724999999962</v>
      </c>
      <c r="AO86" s="254">
        <v>0</v>
      </c>
      <c r="AP86" s="254">
        <v>1618.2211538461609</v>
      </c>
      <c r="AQ86" s="254">
        <v>0</v>
      </c>
      <c r="AR86" s="254">
        <v>6098.0793269230762</v>
      </c>
      <c r="AS86" s="254">
        <v>0</v>
      </c>
      <c r="AT86" s="254">
        <v>6979.2124999999987</v>
      </c>
      <c r="AU86" s="254">
        <v>0</v>
      </c>
      <c r="AV86" s="254">
        <v>6540.4490740740757</v>
      </c>
      <c r="AW86" s="254">
        <v>0</v>
      </c>
      <c r="AX86" s="254">
        <v>5482.1825000000026</v>
      </c>
      <c r="AY86" s="254">
        <v>0</v>
      </c>
    </row>
    <row r="87" spans="2:51">
      <c r="B87" s="223">
        <v>10259</v>
      </c>
      <c r="C87" s="223" t="s">
        <v>90</v>
      </c>
      <c r="D87" s="254">
        <v>1230.8028846153843</v>
      </c>
      <c r="E87" s="254">
        <v>0</v>
      </c>
      <c r="F87" s="254">
        <v>3257.4450000000006</v>
      </c>
      <c r="G87" s="254">
        <v>0</v>
      </c>
      <c r="H87" s="254">
        <v>3480.064903846147</v>
      </c>
      <c r="I87" s="254">
        <v>0</v>
      </c>
      <c r="J87" s="254">
        <v>2644.4924999999957</v>
      </c>
      <c r="K87" s="254">
        <v>0</v>
      </c>
      <c r="L87" s="254">
        <v>2900.3723958333321</v>
      </c>
      <c r="M87" s="254">
        <v>0</v>
      </c>
      <c r="N87" s="254">
        <v>5231.138888888886</v>
      </c>
      <c r="O87" s="254">
        <v>0</v>
      </c>
      <c r="P87" s="254">
        <v>6467.8413461538403</v>
      </c>
      <c r="Q87" s="254">
        <v>0</v>
      </c>
      <c r="R87" s="254">
        <v>3679.9749999999981</v>
      </c>
      <c r="S87" s="254">
        <v>0</v>
      </c>
      <c r="T87" s="254">
        <v>5029.5072115384601</v>
      </c>
      <c r="U87" s="254">
        <v>0</v>
      </c>
      <c r="V87" s="254">
        <v>5270.9449999999961</v>
      </c>
      <c r="W87" s="254">
        <v>0</v>
      </c>
      <c r="X87" s="254">
        <v>5680.5949074074033</v>
      </c>
      <c r="Y87" s="254">
        <v>0</v>
      </c>
      <c r="Z87" s="254">
        <v>4839.427499999998</v>
      </c>
      <c r="AA87" s="254">
        <v>0</v>
      </c>
      <c r="AB87" s="254">
        <v>1344.9302884615354</v>
      </c>
      <c r="AC87" s="254">
        <v>0</v>
      </c>
      <c r="AD87" s="254">
        <v>3385.8174999999983</v>
      </c>
      <c r="AE87" s="254">
        <v>0</v>
      </c>
      <c r="AF87" s="254">
        <v>3583.8798076923035</v>
      </c>
      <c r="AG87" s="254">
        <v>0</v>
      </c>
      <c r="AH87" s="254">
        <v>2735.0800000000008</v>
      </c>
      <c r="AI87" s="254">
        <v>0</v>
      </c>
      <c r="AJ87" s="254">
        <v>3035.7526041666629</v>
      </c>
      <c r="AK87" s="254">
        <v>0</v>
      </c>
      <c r="AL87" s="254">
        <v>5370.1296296296268</v>
      </c>
      <c r="AM87" s="254">
        <v>0</v>
      </c>
      <c r="AN87" s="254">
        <v>5470.8775000000014</v>
      </c>
      <c r="AO87" s="254">
        <v>0</v>
      </c>
      <c r="AP87" s="254">
        <v>4864.7403846153802</v>
      </c>
      <c r="AQ87" s="254">
        <v>0</v>
      </c>
      <c r="AR87" s="254">
        <v>5155.6586538461588</v>
      </c>
      <c r="AS87" s="254">
        <v>0</v>
      </c>
      <c r="AT87" s="254">
        <v>5383.8299999999981</v>
      </c>
      <c r="AU87" s="254">
        <v>0</v>
      </c>
      <c r="AV87" s="254">
        <v>5810.8472222222217</v>
      </c>
      <c r="AW87" s="254">
        <v>0</v>
      </c>
      <c r="AX87" s="254">
        <v>4956.5624999999991</v>
      </c>
      <c r="AY87" s="254">
        <v>0</v>
      </c>
    </row>
    <row r="88" spans="2:51">
      <c r="B88" s="223">
        <v>10260</v>
      </c>
      <c r="C88" s="223" t="s">
        <v>91</v>
      </c>
      <c r="D88" s="254">
        <v>3065.9903846153843</v>
      </c>
      <c r="E88" s="254">
        <v>0</v>
      </c>
      <c r="F88" s="254">
        <v>5124.427499999998</v>
      </c>
      <c r="G88" s="254">
        <v>0</v>
      </c>
      <c r="H88" s="254">
        <v>7503.8725961538439</v>
      </c>
      <c r="I88" s="254">
        <v>0</v>
      </c>
      <c r="J88" s="254">
        <v>3740.7725000000037</v>
      </c>
      <c r="K88" s="254">
        <v>0</v>
      </c>
      <c r="L88" s="254">
        <v>3992.0000000000027</v>
      </c>
      <c r="M88" s="254">
        <v>0</v>
      </c>
      <c r="N88" s="254">
        <v>4146.4629629629644</v>
      </c>
      <c r="O88" s="254">
        <v>0</v>
      </c>
      <c r="P88" s="254">
        <v>4092.9831730769256</v>
      </c>
      <c r="Q88" s="254">
        <v>0</v>
      </c>
      <c r="R88" s="254">
        <v>2776.2649999999999</v>
      </c>
      <c r="S88" s="254">
        <v>0</v>
      </c>
      <c r="T88" s="254">
        <v>4173.1418269230799</v>
      </c>
      <c r="U88" s="254">
        <v>0</v>
      </c>
      <c r="V88" s="254">
        <v>4441.6574999999966</v>
      </c>
      <c r="W88" s="254">
        <v>0</v>
      </c>
      <c r="X88" s="254">
        <v>4980.9861111111068</v>
      </c>
      <c r="Y88" s="254">
        <v>0</v>
      </c>
      <c r="Z88" s="254">
        <v>5636.8874999999998</v>
      </c>
      <c r="AA88" s="254">
        <v>0</v>
      </c>
      <c r="AB88" s="254">
        <v>3090.1850961538439</v>
      </c>
      <c r="AC88" s="254">
        <v>0</v>
      </c>
      <c r="AD88" s="254">
        <v>5158.2699999999995</v>
      </c>
      <c r="AE88" s="254">
        <v>0</v>
      </c>
      <c r="AF88" s="254">
        <v>7541.3846153846116</v>
      </c>
      <c r="AG88" s="254">
        <v>0</v>
      </c>
      <c r="AH88" s="254">
        <v>3772.0424999999959</v>
      </c>
      <c r="AI88" s="254">
        <v>0</v>
      </c>
      <c r="AJ88" s="254">
        <v>4021.3749999999973</v>
      </c>
      <c r="AK88" s="254">
        <v>0</v>
      </c>
      <c r="AL88" s="254">
        <v>4176.7546296296277</v>
      </c>
      <c r="AM88" s="254">
        <v>0</v>
      </c>
      <c r="AN88" s="254">
        <v>3080.134999999997</v>
      </c>
      <c r="AO88" s="254">
        <v>0</v>
      </c>
      <c r="AP88" s="254">
        <v>3757.072115384618</v>
      </c>
      <c r="AQ88" s="254">
        <v>0</v>
      </c>
      <c r="AR88" s="254">
        <v>4218.1081730769256</v>
      </c>
      <c r="AS88" s="254">
        <v>0</v>
      </c>
      <c r="AT88" s="254">
        <v>4482.6150000000007</v>
      </c>
      <c r="AU88" s="254">
        <v>0</v>
      </c>
      <c r="AV88" s="254">
        <v>5025.3055555555611</v>
      </c>
      <c r="AW88" s="254">
        <v>0</v>
      </c>
      <c r="AX88" s="254">
        <v>5674.9974999999959</v>
      </c>
      <c r="AY88" s="254">
        <v>0</v>
      </c>
    </row>
    <row r="89" spans="2:51">
      <c r="B89" s="223">
        <v>10273</v>
      </c>
      <c r="C89" s="223" t="s">
        <v>92</v>
      </c>
      <c r="D89" s="254">
        <v>3136.3701923076924</v>
      </c>
      <c r="E89" s="254">
        <v>0</v>
      </c>
      <c r="F89" s="254">
        <v>555.51500000000067</v>
      </c>
      <c r="G89" s="254">
        <v>0</v>
      </c>
      <c r="H89" s="254">
        <v>1961.7932692307684</v>
      </c>
      <c r="I89" s="254">
        <v>0</v>
      </c>
      <c r="J89" s="254">
        <v>1440.6375000000012</v>
      </c>
      <c r="K89" s="254">
        <v>0</v>
      </c>
      <c r="L89" s="254">
        <v>1138.6874999999995</v>
      </c>
      <c r="M89" s="254">
        <v>0</v>
      </c>
      <c r="N89" s="254">
        <v>1813.8495370370374</v>
      </c>
      <c r="O89" s="254">
        <v>0</v>
      </c>
      <c r="P89" s="254">
        <v>1486.7451923076924</v>
      </c>
      <c r="Q89" s="254">
        <v>0</v>
      </c>
      <c r="R89" s="254">
        <v>1232.0750000000019</v>
      </c>
      <c r="S89" s="254">
        <v>0</v>
      </c>
      <c r="T89" s="254">
        <v>2554.6105769230776</v>
      </c>
      <c r="U89" s="254">
        <v>0</v>
      </c>
      <c r="V89" s="254">
        <v>1610.0075000000002</v>
      </c>
      <c r="W89" s="254">
        <v>0</v>
      </c>
      <c r="X89" s="254">
        <v>3147.8449074074083</v>
      </c>
      <c r="Y89" s="254">
        <v>0</v>
      </c>
      <c r="Z89" s="254">
        <v>3646.6899999999982</v>
      </c>
      <c r="AA89" s="254">
        <v>0</v>
      </c>
      <c r="AB89" s="254">
        <v>3785.9663461538466</v>
      </c>
      <c r="AC89" s="254">
        <v>0</v>
      </c>
      <c r="AD89" s="254">
        <v>606.24499999999944</v>
      </c>
      <c r="AE89" s="254">
        <v>0</v>
      </c>
      <c r="AF89" s="254">
        <v>2012.7115384615388</v>
      </c>
      <c r="AG89" s="254">
        <v>0</v>
      </c>
      <c r="AH89" s="254">
        <v>1490.9474999999998</v>
      </c>
      <c r="AI89" s="254">
        <v>0</v>
      </c>
      <c r="AJ89" s="254">
        <v>1189.3984375000005</v>
      </c>
      <c r="AK89" s="254">
        <v>0</v>
      </c>
      <c r="AL89" s="254">
        <v>1865.2962962962949</v>
      </c>
      <c r="AM89" s="254">
        <v>0</v>
      </c>
      <c r="AN89" s="254">
        <v>1838.2624999999998</v>
      </c>
      <c r="AO89" s="254">
        <v>0</v>
      </c>
      <c r="AP89" s="254">
        <v>1916.8293269230787</v>
      </c>
      <c r="AQ89" s="254">
        <v>0</v>
      </c>
      <c r="AR89" s="254">
        <v>2841.8557692307695</v>
      </c>
      <c r="AS89" s="254">
        <v>0</v>
      </c>
      <c r="AT89" s="254">
        <v>1747.3675000000012</v>
      </c>
      <c r="AU89" s="254">
        <v>0</v>
      </c>
      <c r="AV89" s="254">
        <v>3449.2662037037021</v>
      </c>
      <c r="AW89" s="254">
        <v>0</v>
      </c>
      <c r="AX89" s="254">
        <v>4135.6724999999997</v>
      </c>
      <c r="AY89" s="254">
        <v>0</v>
      </c>
    </row>
    <row r="90" spans="2:51">
      <c r="B90" s="223">
        <v>10278</v>
      </c>
      <c r="C90" s="223" t="s">
        <v>93</v>
      </c>
      <c r="D90" s="254">
        <v>0</v>
      </c>
      <c r="E90" s="254">
        <v>0</v>
      </c>
      <c r="F90" s="254">
        <v>0</v>
      </c>
      <c r="G90" s="254">
        <v>0</v>
      </c>
      <c r="H90" s="254">
        <v>0</v>
      </c>
      <c r="I90" s="254">
        <v>0</v>
      </c>
      <c r="J90" s="254">
        <v>0</v>
      </c>
      <c r="K90" s="254">
        <v>0</v>
      </c>
      <c r="L90" s="254">
        <v>0</v>
      </c>
      <c r="M90" s="254">
        <v>0</v>
      </c>
      <c r="N90" s="254">
        <v>0</v>
      </c>
      <c r="O90" s="254">
        <v>0</v>
      </c>
      <c r="P90" s="254">
        <v>0</v>
      </c>
      <c r="Q90" s="254">
        <v>0</v>
      </c>
      <c r="R90" s="254">
        <v>0</v>
      </c>
      <c r="S90" s="254">
        <v>0</v>
      </c>
      <c r="T90" s="254">
        <v>0</v>
      </c>
      <c r="U90" s="254">
        <v>0</v>
      </c>
      <c r="V90" s="254">
        <v>0</v>
      </c>
      <c r="W90" s="254">
        <v>0</v>
      </c>
      <c r="X90" s="254">
        <v>0</v>
      </c>
      <c r="Y90" s="254">
        <v>0</v>
      </c>
      <c r="Z90" s="254">
        <v>0</v>
      </c>
      <c r="AA90" s="254">
        <v>0</v>
      </c>
      <c r="AB90" s="254">
        <v>0</v>
      </c>
      <c r="AC90" s="254">
        <v>0</v>
      </c>
      <c r="AD90" s="254">
        <v>0</v>
      </c>
      <c r="AE90" s="254">
        <v>0</v>
      </c>
      <c r="AF90" s="254">
        <v>0</v>
      </c>
      <c r="AG90" s="254">
        <v>0</v>
      </c>
      <c r="AH90" s="254">
        <v>0</v>
      </c>
      <c r="AI90" s="254">
        <v>0</v>
      </c>
      <c r="AJ90" s="254">
        <v>0</v>
      </c>
      <c r="AK90" s="254">
        <v>0</v>
      </c>
      <c r="AL90" s="254">
        <v>0</v>
      </c>
      <c r="AM90" s="254">
        <v>0</v>
      </c>
      <c r="AN90" s="254">
        <v>0</v>
      </c>
      <c r="AO90" s="254">
        <v>0</v>
      </c>
      <c r="AP90" s="254">
        <v>0</v>
      </c>
      <c r="AQ90" s="254">
        <v>0</v>
      </c>
      <c r="AR90" s="254">
        <v>0</v>
      </c>
      <c r="AS90" s="254">
        <v>0</v>
      </c>
      <c r="AT90" s="254">
        <v>0</v>
      </c>
      <c r="AU90" s="254">
        <v>0</v>
      </c>
      <c r="AV90" s="254">
        <v>0</v>
      </c>
      <c r="AW90" s="254">
        <v>0</v>
      </c>
      <c r="AX90" s="254">
        <v>0</v>
      </c>
      <c r="AY90" s="254">
        <v>0</v>
      </c>
    </row>
    <row r="91" spans="2:51">
      <c r="B91" s="223">
        <v>10279</v>
      </c>
      <c r="C91" s="223" t="s">
        <v>94</v>
      </c>
      <c r="D91" s="254">
        <v>0</v>
      </c>
      <c r="E91" s="254">
        <v>0</v>
      </c>
      <c r="F91" s="254">
        <v>0</v>
      </c>
      <c r="G91" s="254">
        <v>0</v>
      </c>
      <c r="H91" s="254">
        <v>0</v>
      </c>
      <c r="I91" s="254">
        <v>0</v>
      </c>
      <c r="J91" s="254">
        <v>0</v>
      </c>
      <c r="K91" s="254">
        <v>0</v>
      </c>
      <c r="L91" s="254">
        <v>0</v>
      </c>
      <c r="M91" s="254">
        <v>0</v>
      </c>
      <c r="N91" s="254">
        <v>0</v>
      </c>
      <c r="O91" s="254">
        <v>0</v>
      </c>
      <c r="P91" s="254">
        <v>0</v>
      </c>
      <c r="Q91" s="254">
        <v>0</v>
      </c>
      <c r="R91" s="254">
        <v>0</v>
      </c>
      <c r="S91" s="254">
        <v>0</v>
      </c>
      <c r="T91" s="254">
        <v>0</v>
      </c>
      <c r="U91" s="254">
        <v>0</v>
      </c>
      <c r="V91" s="254">
        <v>0</v>
      </c>
      <c r="W91" s="254">
        <v>0</v>
      </c>
      <c r="X91" s="254">
        <v>0</v>
      </c>
      <c r="Y91" s="254">
        <v>0</v>
      </c>
      <c r="Z91" s="254">
        <v>0</v>
      </c>
      <c r="AA91" s="254">
        <v>0</v>
      </c>
      <c r="AB91" s="254">
        <v>0</v>
      </c>
      <c r="AC91" s="254">
        <v>0</v>
      </c>
      <c r="AD91" s="254">
        <v>0</v>
      </c>
      <c r="AE91" s="254">
        <v>0</v>
      </c>
      <c r="AF91" s="254">
        <v>0</v>
      </c>
      <c r="AG91" s="254">
        <v>0</v>
      </c>
      <c r="AH91" s="254">
        <v>0</v>
      </c>
      <c r="AI91" s="254">
        <v>0</v>
      </c>
      <c r="AJ91" s="254">
        <v>0</v>
      </c>
      <c r="AK91" s="254">
        <v>0</v>
      </c>
      <c r="AL91" s="254">
        <v>0</v>
      </c>
      <c r="AM91" s="254">
        <v>0</v>
      </c>
      <c r="AN91" s="254">
        <v>0</v>
      </c>
      <c r="AO91" s="254">
        <v>0</v>
      </c>
      <c r="AP91" s="254">
        <v>0</v>
      </c>
      <c r="AQ91" s="254">
        <v>0</v>
      </c>
      <c r="AR91" s="254">
        <v>0</v>
      </c>
      <c r="AS91" s="254">
        <v>0</v>
      </c>
      <c r="AT91" s="254">
        <v>0</v>
      </c>
      <c r="AU91" s="254">
        <v>0</v>
      </c>
      <c r="AV91" s="254">
        <v>0</v>
      </c>
      <c r="AW91" s="254">
        <v>0</v>
      </c>
      <c r="AX91" s="254">
        <v>0</v>
      </c>
      <c r="AY91" s="254">
        <v>0</v>
      </c>
    </row>
    <row r="92" spans="2:51">
      <c r="B92" s="223">
        <v>10284</v>
      </c>
      <c r="C92" s="223" t="s">
        <v>95</v>
      </c>
      <c r="D92" s="254">
        <v>1467.6250000000009</v>
      </c>
      <c r="E92" s="254">
        <v>0</v>
      </c>
      <c r="F92" s="254">
        <v>1369.1000000000004</v>
      </c>
      <c r="G92" s="254">
        <v>0</v>
      </c>
      <c r="H92" s="254">
        <v>3362.8581730769238</v>
      </c>
      <c r="I92" s="254">
        <v>0</v>
      </c>
      <c r="J92" s="254">
        <v>3338.5500000000034</v>
      </c>
      <c r="K92" s="254">
        <v>0</v>
      </c>
      <c r="L92" s="254">
        <v>1481.7473958333344</v>
      </c>
      <c r="M92" s="254">
        <v>0</v>
      </c>
      <c r="N92" s="254">
        <v>1707.0324074074072</v>
      </c>
      <c r="O92" s="254">
        <v>0</v>
      </c>
      <c r="P92" s="254">
        <v>1708.483173076922</v>
      </c>
      <c r="Q92" s="254">
        <v>0</v>
      </c>
      <c r="R92" s="254">
        <v>0</v>
      </c>
      <c r="S92" s="254">
        <v>0</v>
      </c>
      <c r="T92" s="254">
        <v>1881.5048076923069</v>
      </c>
      <c r="U92" s="254">
        <v>0</v>
      </c>
      <c r="V92" s="254">
        <v>1847.0399999999993</v>
      </c>
      <c r="W92" s="254">
        <v>0</v>
      </c>
      <c r="X92" s="254">
        <v>2741.6550925925926</v>
      </c>
      <c r="Y92" s="254">
        <v>0</v>
      </c>
      <c r="Z92" s="254">
        <v>932.71249999999964</v>
      </c>
      <c r="AA92" s="254">
        <v>0</v>
      </c>
      <c r="AB92" s="254">
        <v>1526.6225961538487</v>
      </c>
      <c r="AC92" s="254">
        <v>0</v>
      </c>
      <c r="AD92" s="254">
        <v>1418.2150000000008</v>
      </c>
      <c r="AE92" s="254">
        <v>0</v>
      </c>
      <c r="AF92" s="254">
        <v>3404.2500000000018</v>
      </c>
      <c r="AG92" s="254">
        <v>0</v>
      </c>
      <c r="AH92" s="254">
        <v>3378.137500000003</v>
      </c>
      <c r="AI92" s="254">
        <v>0</v>
      </c>
      <c r="AJ92" s="254">
        <v>1522.8281249999984</v>
      </c>
      <c r="AK92" s="254">
        <v>0</v>
      </c>
      <c r="AL92" s="254">
        <v>1743.5439814814818</v>
      </c>
      <c r="AM92" s="254">
        <v>0</v>
      </c>
      <c r="AN92" s="254">
        <v>1797.4225000000024</v>
      </c>
      <c r="AO92" s="254">
        <v>0</v>
      </c>
      <c r="AP92" s="254">
        <v>0</v>
      </c>
      <c r="AQ92" s="254">
        <v>0</v>
      </c>
      <c r="AR92" s="254">
        <v>1900.6514423076922</v>
      </c>
      <c r="AS92" s="254">
        <v>0</v>
      </c>
      <c r="AT92" s="254">
        <v>1862.4849999999999</v>
      </c>
      <c r="AU92" s="254">
        <v>0</v>
      </c>
      <c r="AV92" s="254">
        <v>2755.5972222222222</v>
      </c>
      <c r="AW92" s="254">
        <v>0</v>
      </c>
      <c r="AX92" s="254">
        <v>944.19499999999925</v>
      </c>
      <c r="AY92" s="254">
        <v>0</v>
      </c>
    </row>
    <row r="93" spans="2:51">
      <c r="B93" s="223">
        <v>10285</v>
      </c>
      <c r="C93" s="223" t="s">
        <v>96</v>
      </c>
      <c r="D93" s="254">
        <v>0</v>
      </c>
      <c r="E93" s="254">
        <v>0</v>
      </c>
      <c r="F93" s="254">
        <v>0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0</v>
      </c>
      <c r="P93" s="254">
        <v>0</v>
      </c>
      <c r="Q93" s="254">
        <v>0</v>
      </c>
      <c r="R93" s="254">
        <v>0</v>
      </c>
      <c r="S93" s="254">
        <v>0</v>
      </c>
      <c r="T93" s="254">
        <v>0</v>
      </c>
      <c r="U93" s="254">
        <v>0</v>
      </c>
      <c r="V93" s="254">
        <v>0</v>
      </c>
      <c r="W93" s="254">
        <v>0</v>
      </c>
      <c r="X93" s="254">
        <v>0</v>
      </c>
      <c r="Y93" s="254">
        <v>0</v>
      </c>
      <c r="Z93" s="254">
        <v>0</v>
      </c>
      <c r="AA93" s="254">
        <v>0</v>
      </c>
      <c r="AB93" s="254">
        <v>0</v>
      </c>
      <c r="AC93" s="254">
        <v>0</v>
      </c>
      <c r="AD93" s="254">
        <v>0</v>
      </c>
      <c r="AE93" s="254">
        <v>0</v>
      </c>
      <c r="AF93" s="254">
        <v>0</v>
      </c>
      <c r="AG93" s="254">
        <v>0</v>
      </c>
      <c r="AH93" s="254">
        <v>0</v>
      </c>
      <c r="AI93" s="254">
        <v>0</v>
      </c>
      <c r="AJ93" s="254">
        <v>0</v>
      </c>
      <c r="AK93" s="254">
        <v>0</v>
      </c>
      <c r="AL93" s="254">
        <v>0</v>
      </c>
      <c r="AM93" s="254">
        <v>0</v>
      </c>
      <c r="AN93" s="254">
        <v>0</v>
      </c>
      <c r="AO93" s="254">
        <v>0</v>
      </c>
      <c r="AP93" s="254">
        <v>0</v>
      </c>
      <c r="AQ93" s="254">
        <v>0</v>
      </c>
      <c r="AR93" s="254">
        <v>0</v>
      </c>
      <c r="AS93" s="254">
        <v>0</v>
      </c>
      <c r="AT93" s="254">
        <v>0</v>
      </c>
      <c r="AU93" s="254">
        <v>0</v>
      </c>
      <c r="AV93" s="254">
        <v>0</v>
      </c>
      <c r="AW93" s="254">
        <v>0</v>
      </c>
      <c r="AX93" s="254">
        <v>0</v>
      </c>
      <c r="AY93" s="254">
        <v>0</v>
      </c>
    </row>
    <row r="94" spans="2:51">
      <c r="B94" s="223">
        <v>10286</v>
      </c>
      <c r="C94" s="223" t="s">
        <v>97</v>
      </c>
      <c r="D94" s="254">
        <v>0</v>
      </c>
      <c r="E94" s="254">
        <v>0</v>
      </c>
      <c r="F94" s="254">
        <v>0</v>
      </c>
      <c r="G94" s="254">
        <v>0</v>
      </c>
      <c r="H94" s="254">
        <v>0</v>
      </c>
      <c r="I94" s="254">
        <v>0</v>
      </c>
      <c r="J94" s="254">
        <v>0</v>
      </c>
      <c r="K94" s="254">
        <v>0</v>
      </c>
      <c r="L94" s="254">
        <v>0</v>
      </c>
      <c r="M94" s="254">
        <v>0</v>
      </c>
      <c r="N94" s="254">
        <v>0</v>
      </c>
      <c r="O94" s="254">
        <v>0</v>
      </c>
      <c r="P94" s="254">
        <v>0</v>
      </c>
      <c r="Q94" s="254">
        <v>0</v>
      </c>
      <c r="R94" s="254">
        <v>0</v>
      </c>
      <c r="S94" s="254">
        <v>0</v>
      </c>
      <c r="T94" s="254">
        <v>0</v>
      </c>
      <c r="U94" s="254">
        <v>0</v>
      </c>
      <c r="V94" s="254">
        <v>0</v>
      </c>
      <c r="W94" s="254">
        <v>0</v>
      </c>
      <c r="X94" s="254">
        <v>0</v>
      </c>
      <c r="Y94" s="254">
        <v>0</v>
      </c>
      <c r="Z94" s="254">
        <v>0</v>
      </c>
      <c r="AA94" s="254">
        <v>0</v>
      </c>
      <c r="AB94" s="254">
        <v>0</v>
      </c>
      <c r="AC94" s="254">
        <v>0</v>
      </c>
      <c r="AD94" s="254">
        <v>0</v>
      </c>
      <c r="AE94" s="254">
        <v>0</v>
      </c>
      <c r="AF94" s="254">
        <v>0</v>
      </c>
      <c r="AG94" s="254">
        <v>0</v>
      </c>
      <c r="AH94" s="254">
        <v>0</v>
      </c>
      <c r="AI94" s="254">
        <v>0</v>
      </c>
      <c r="AJ94" s="254">
        <v>0</v>
      </c>
      <c r="AK94" s="254">
        <v>0</v>
      </c>
      <c r="AL94" s="254">
        <v>0</v>
      </c>
      <c r="AM94" s="254">
        <v>0</v>
      </c>
      <c r="AN94" s="254">
        <v>0</v>
      </c>
      <c r="AO94" s="254">
        <v>0</v>
      </c>
      <c r="AP94" s="254">
        <v>0</v>
      </c>
      <c r="AQ94" s="254">
        <v>0</v>
      </c>
      <c r="AR94" s="254">
        <v>0</v>
      </c>
      <c r="AS94" s="254">
        <v>0</v>
      </c>
      <c r="AT94" s="254">
        <v>0</v>
      </c>
      <c r="AU94" s="254">
        <v>0</v>
      </c>
      <c r="AV94" s="254">
        <v>0</v>
      </c>
      <c r="AW94" s="254">
        <v>0</v>
      </c>
      <c r="AX94" s="254">
        <v>0</v>
      </c>
      <c r="AY94" s="254">
        <v>0</v>
      </c>
    </row>
    <row r="95" spans="2:51">
      <c r="B95" s="223">
        <v>10288</v>
      </c>
      <c r="C95" s="223" t="s">
        <v>98</v>
      </c>
      <c r="D95" s="254">
        <v>0</v>
      </c>
      <c r="E95" s="254">
        <v>0</v>
      </c>
      <c r="F95" s="254">
        <v>0</v>
      </c>
      <c r="G95" s="254">
        <v>0</v>
      </c>
      <c r="H95" s="254">
        <v>0</v>
      </c>
      <c r="I95" s="254">
        <v>0</v>
      </c>
      <c r="J95" s="254">
        <v>0</v>
      </c>
      <c r="K95" s="254">
        <v>0</v>
      </c>
      <c r="L95" s="254">
        <v>0</v>
      </c>
      <c r="M95" s="254">
        <v>0</v>
      </c>
      <c r="N95" s="254">
        <v>0</v>
      </c>
      <c r="O95" s="254">
        <v>0</v>
      </c>
      <c r="P95" s="254">
        <v>0</v>
      </c>
      <c r="Q95" s="254">
        <v>0</v>
      </c>
      <c r="R95" s="254">
        <v>0</v>
      </c>
      <c r="S95" s="254">
        <v>0</v>
      </c>
      <c r="T95" s="254">
        <v>0</v>
      </c>
      <c r="U95" s="254">
        <v>0</v>
      </c>
      <c r="V95" s="254">
        <v>0</v>
      </c>
      <c r="W95" s="254">
        <v>0</v>
      </c>
      <c r="X95" s="254">
        <v>0</v>
      </c>
      <c r="Y95" s="254">
        <v>0</v>
      </c>
      <c r="Z95" s="254">
        <v>0</v>
      </c>
      <c r="AA95" s="254">
        <v>0</v>
      </c>
      <c r="AB95" s="254">
        <v>0</v>
      </c>
      <c r="AC95" s="254">
        <v>0</v>
      </c>
      <c r="AD95" s="254">
        <v>0</v>
      </c>
      <c r="AE95" s="254">
        <v>0</v>
      </c>
      <c r="AF95" s="254">
        <v>0</v>
      </c>
      <c r="AG95" s="254">
        <v>0</v>
      </c>
      <c r="AH95" s="254">
        <v>0</v>
      </c>
      <c r="AI95" s="254">
        <v>0</v>
      </c>
      <c r="AJ95" s="254">
        <v>0</v>
      </c>
      <c r="AK95" s="254">
        <v>0</v>
      </c>
      <c r="AL95" s="254">
        <v>0</v>
      </c>
      <c r="AM95" s="254">
        <v>0</v>
      </c>
      <c r="AN95" s="254">
        <v>0</v>
      </c>
      <c r="AO95" s="254">
        <v>0</v>
      </c>
      <c r="AP95" s="254">
        <v>0</v>
      </c>
      <c r="AQ95" s="254">
        <v>0</v>
      </c>
      <c r="AR95" s="254">
        <v>0</v>
      </c>
      <c r="AS95" s="254">
        <v>0</v>
      </c>
      <c r="AT95" s="254">
        <v>0</v>
      </c>
      <c r="AU95" s="254">
        <v>0</v>
      </c>
      <c r="AV95" s="254">
        <v>0</v>
      </c>
      <c r="AW95" s="254">
        <v>0</v>
      </c>
      <c r="AX95" s="254">
        <v>0</v>
      </c>
      <c r="AY95" s="254">
        <v>0</v>
      </c>
    </row>
    <row r="96" spans="2:51">
      <c r="B96" s="223">
        <v>10291</v>
      </c>
      <c r="C96" s="223" t="s">
        <v>99</v>
      </c>
      <c r="D96" s="254">
        <v>11928.552884615377</v>
      </c>
      <c r="E96" s="254">
        <v>0</v>
      </c>
      <c r="F96" s="254">
        <v>4210.4999999999964</v>
      </c>
      <c r="G96" s="254">
        <v>0</v>
      </c>
      <c r="H96" s="254">
        <v>16428.531249999993</v>
      </c>
      <c r="I96" s="254">
        <v>0</v>
      </c>
      <c r="J96" s="254">
        <v>13160.289999999999</v>
      </c>
      <c r="K96" s="254">
        <v>0</v>
      </c>
      <c r="L96" s="254">
        <v>13792.328125000004</v>
      </c>
      <c r="M96" s="254">
        <v>0</v>
      </c>
      <c r="N96" s="254">
        <v>13635.86342592592</v>
      </c>
      <c r="O96" s="254">
        <v>0</v>
      </c>
      <c r="P96" s="254">
        <v>14510.463942307684</v>
      </c>
      <c r="Q96" s="254">
        <v>0</v>
      </c>
      <c r="R96" s="254">
        <v>7226.8175000000083</v>
      </c>
      <c r="S96" s="254">
        <v>0</v>
      </c>
      <c r="T96" s="254">
        <v>10619.572115384612</v>
      </c>
      <c r="U96" s="254">
        <v>0</v>
      </c>
      <c r="V96" s="254">
        <v>9646.4400000000041</v>
      </c>
      <c r="W96" s="254">
        <v>0</v>
      </c>
      <c r="X96" s="254">
        <v>14232.895833333332</v>
      </c>
      <c r="Y96" s="254">
        <v>0</v>
      </c>
      <c r="Z96" s="254">
        <v>13255.20000000001</v>
      </c>
      <c r="AA96" s="254">
        <v>0</v>
      </c>
      <c r="AB96" s="254">
        <v>12082.656249999993</v>
      </c>
      <c r="AC96" s="254">
        <v>0</v>
      </c>
      <c r="AD96" s="254">
        <v>4335.5299999999916</v>
      </c>
      <c r="AE96" s="254">
        <v>0</v>
      </c>
      <c r="AF96" s="254">
        <v>16481.336538461521</v>
      </c>
      <c r="AG96" s="254">
        <v>0</v>
      </c>
      <c r="AH96" s="254">
        <v>13139.587500000016</v>
      </c>
      <c r="AI96" s="254">
        <v>0</v>
      </c>
      <c r="AJ96" s="254">
        <v>13849.94010416667</v>
      </c>
      <c r="AK96" s="254">
        <v>0</v>
      </c>
      <c r="AL96" s="254">
        <v>13662.662037037024</v>
      </c>
      <c r="AM96" s="254">
        <v>0</v>
      </c>
      <c r="AN96" s="254">
        <v>14700.147500000003</v>
      </c>
      <c r="AO96" s="254">
        <v>0</v>
      </c>
      <c r="AP96" s="254">
        <v>7110.415865384608</v>
      </c>
      <c r="AQ96" s="254">
        <v>0</v>
      </c>
      <c r="AR96" s="254">
        <v>10605.175480769218</v>
      </c>
      <c r="AS96" s="254">
        <v>0</v>
      </c>
      <c r="AT96" s="254">
        <v>9622.4849999999878</v>
      </c>
      <c r="AU96" s="254">
        <v>0</v>
      </c>
      <c r="AV96" s="254">
        <v>14181.171296296287</v>
      </c>
      <c r="AW96" s="254">
        <v>0</v>
      </c>
      <c r="AX96" s="254">
        <v>13201.029999999995</v>
      </c>
      <c r="AY96" s="254">
        <v>0</v>
      </c>
    </row>
    <row r="97" spans="2:51">
      <c r="B97" s="223">
        <v>10294</v>
      </c>
      <c r="C97" s="223" t="s">
        <v>100</v>
      </c>
      <c r="D97" s="254">
        <v>0</v>
      </c>
      <c r="E97" s="254">
        <v>0</v>
      </c>
      <c r="F97" s="254">
        <v>0</v>
      </c>
      <c r="G97" s="254">
        <v>0</v>
      </c>
      <c r="H97" s="254">
        <v>0</v>
      </c>
      <c r="I97" s="254">
        <v>0</v>
      </c>
      <c r="J97" s="254">
        <v>0</v>
      </c>
      <c r="K97" s="254">
        <v>0</v>
      </c>
      <c r="L97" s="254">
        <v>0</v>
      </c>
      <c r="M97" s="254">
        <v>0</v>
      </c>
      <c r="N97" s="254">
        <v>0</v>
      </c>
      <c r="O97" s="254">
        <v>0</v>
      </c>
      <c r="P97" s="254">
        <v>0</v>
      </c>
      <c r="Q97" s="254">
        <v>0</v>
      </c>
      <c r="R97" s="254">
        <v>0</v>
      </c>
      <c r="S97" s="254">
        <v>0</v>
      </c>
      <c r="T97" s="254">
        <v>0</v>
      </c>
      <c r="U97" s="254">
        <v>0</v>
      </c>
      <c r="V97" s="254">
        <v>0</v>
      </c>
      <c r="W97" s="254">
        <v>0</v>
      </c>
      <c r="X97" s="254">
        <v>0</v>
      </c>
      <c r="Y97" s="254">
        <v>0</v>
      </c>
      <c r="Z97" s="254">
        <v>0</v>
      </c>
      <c r="AA97" s="254">
        <v>0</v>
      </c>
      <c r="AB97" s="254">
        <v>0</v>
      </c>
      <c r="AC97" s="254">
        <v>0</v>
      </c>
      <c r="AD97" s="254">
        <v>0</v>
      </c>
      <c r="AE97" s="254">
        <v>0</v>
      </c>
      <c r="AF97" s="254">
        <v>0</v>
      </c>
      <c r="AG97" s="254">
        <v>0</v>
      </c>
      <c r="AH97" s="254">
        <v>0</v>
      </c>
      <c r="AI97" s="254">
        <v>0</v>
      </c>
      <c r="AJ97" s="254">
        <v>0</v>
      </c>
      <c r="AK97" s="254">
        <v>0</v>
      </c>
      <c r="AL97" s="254">
        <v>0</v>
      </c>
      <c r="AM97" s="254">
        <v>0</v>
      </c>
      <c r="AN97" s="254">
        <v>0</v>
      </c>
      <c r="AO97" s="254">
        <v>0</v>
      </c>
      <c r="AP97" s="254">
        <v>0</v>
      </c>
      <c r="AQ97" s="254">
        <v>0</v>
      </c>
      <c r="AR97" s="254">
        <v>0</v>
      </c>
      <c r="AS97" s="254">
        <v>0</v>
      </c>
      <c r="AT97" s="254">
        <v>0</v>
      </c>
      <c r="AU97" s="254">
        <v>0</v>
      </c>
      <c r="AV97" s="254">
        <v>0</v>
      </c>
      <c r="AW97" s="254">
        <v>0</v>
      </c>
      <c r="AX97" s="254">
        <v>0</v>
      </c>
      <c r="AY97" s="254">
        <v>0</v>
      </c>
    </row>
    <row r="98" spans="2:51">
      <c r="B98" s="223">
        <v>10304</v>
      </c>
      <c r="C98" s="223" t="s">
        <v>101</v>
      </c>
      <c r="D98" s="254">
        <v>0</v>
      </c>
      <c r="E98" s="254">
        <v>0</v>
      </c>
      <c r="F98" s="254">
        <v>210.48500000000115</v>
      </c>
      <c r="G98" s="254">
        <v>0</v>
      </c>
      <c r="H98" s="254">
        <v>4081.1658653846157</v>
      </c>
      <c r="I98" s="254">
        <v>0</v>
      </c>
      <c r="J98" s="254">
        <v>2276.922500000001</v>
      </c>
      <c r="K98" s="254">
        <v>0</v>
      </c>
      <c r="L98" s="254">
        <v>1757.1458333333326</v>
      </c>
      <c r="M98" s="254">
        <v>0</v>
      </c>
      <c r="N98" s="254">
        <v>0</v>
      </c>
      <c r="O98" s="254">
        <v>0</v>
      </c>
      <c r="P98" s="254">
        <v>880.34855769230887</v>
      </c>
      <c r="Q98" s="254">
        <v>0</v>
      </c>
      <c r="R98" s="254">
        <v>1628.1474999999994</v>
      </c>
      <c r="S98" s="254">
        <v>0</v>
      </c>
      <c r="T98" s="254">
        <v>2137.0240384615372</v>
      </c>
      <c r="U98" s="254">
        <v>0</v>
      </c>
      <c r="V98" s="254">
        <v>974.96249999999952</v>
      </c>
      <c r="W98" s="254">
        <v>0</v>
      </c>
      <c r="X98" s="254">
        <v>1813.7430555555561</v>
      </c>
      <c r="Y98" s="254">
        <v>0</v>
      </c>
      <c r="Z98" s="254">
        <v>2598.5699999999997</v>
      </c>
      <c r="AA98" s="254">
        <v>0</v>
      </c>
      <c r="AB98" s="254">
        <v>0</v>
      </c>
      <c r="AC98" s="254">
        <v>0</v>
      </c>
      <c r="AD98" s="254">
        <v>280.42249999999933</v>
      </c>
      <c r="AE98" s="254">
        <v>0</v>
      </c>
      <c r="AF98" s="254">
        <v>4151.5288461538485</v>
      </c>
      <c r="AG98" s="254">
        <v>0</v>
      </c>
      <c r="AH98" s="254">
        <v>2345.7124999999974</v>
      </c>
      <c r="AI98" s="254">
        <v>0</v>
      </c>
      <c r="AJ98" s="254">
        <v>1823.1250000000009</v>
      </c>
      <c r="AK98" s="254">
        <v>0</v>
      </c>
      <c r="AL98" s="254">
        <v>60.333333333334238</v>
      </c>
      <c r="AM98" s="254">
        <v>0</v>
      </c>
      <c r="AN98" s="254">
        <v>391.97249999999872</v>
      </c>
      <c r="AO98" s="254">
        <v>0</v>
      </c>
      <c r="AP98" s="254">
        <v>2143.8389423076924</v>
      </c>
      <c r="AQ98" s="254">
        <v>0</v>
      </c>
      <c r="AR98" s="254">
        <v>2206.0072115384619</v>
      </c>
      <c r="AS98" s="254">
        <v>0</v>
      </c>
      <c r="AT98" s="254">
        <v>1041.0899999999999</v>
      </c>
      <c r="AU98" s="254">
        <v>0</v>
      </c>
      <c r="AV98" s="254">
        <v>1880.1157407407422</v>
      </c>
      <c r="AW98" s="254">
        <v>0</v>
      </c>
      <c r="AX98" s="254">
        <v>2668.3474999999985</v>
      </c>
      <c r="AY98" s="254">
        <v>0</v>
      </c>
    </row>
    <row r="99" spans="2:51">
      <c r="B99" s="223">
        <v>10306</v>
      </c>
      <c r="C99" s="223" t="s">
        <v>102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4">
        <v>0</v>
      </c>
      <c r="P99" s="254">
        <v>0</v>
      </c>
      <c r="Q99" s="254">
        <v>0</v>
      </c>
      <c r="R99" s="254">
        <v>0</v>
      </c>
      <c r="S99" s="254">
        <v>0</v>
      </c>
      <c r="T99" s="254">
        <v>0</v>
      </c>
      <c r="U99" s="254">
        <v>0</v>
      </c>
      <c r="V99" s="254">
        <v>0</v>
      </c>
      <c r="W99" s="254">
        <v>0</v>
      </c>
      <c r="X99" s="254">
        <v>0</v>
      </c>
      <c r="Y99" s="254">
        <v>0</v>
      </c>
      <c r="Z99" s="254">
        <v>0</v>
      </c>
      <c r="AA99" s="254">
        <v>0</v>
      </c>
      <c r="AB99" s="254">
        <v>0</v>
      </c>
      <c r="AC99" s="254">
        <v>0</v>
      </c>
      <c r="AD99" s="254">
        <v>0</v>
      </c>
      <c r="AE99" s="254">
        <v>0</v>
      </c>
      <c r="AF99" s="254">
        <v>0</v>
      </c>
      <c r="AG99" s="254">
        <v>0</v>
      </c>
      <c r="AH99" s="254">
        <v>0</v>
      </c>
      <c r="AI99" s="254">
        <v>0</v>
      </c>
      <c r="AJ99" s="254">
        <v>0</v>
      </c>
      <c r="AK99" s="254">
        <v>0</v>
      </c>
      <c r="AL99" s="254">
        <v>0</v>
      </c>
      <c r="AM99" s="254">
        <v>0</v>
      </c>
      <c r="AN99" s="254">
        <v>0</v>
      </c>
      <c r="AO99" s="254">
        <v>0</v>
      </c>
      <c r="AP99" s="254">
        <v>0</v>
      </c>
      <c r="AQ99" s="254">
        <v>0</v>
      </c>
      <c r="AR99" s="254">
        <v>0</v>
      </c>
      <c r="AS99" s="254">
        <v>0</v>
      </c>
      <c r="AT99" s="254">
        <v>0</v>
      </c>
      <c r="AU99" s="254">
        <v>0</v>
      </c>
      <c r="AV99" s="254">
        <v>0</v>
      </c>
      <c r="AW99" s="254">
        <v>0</v>
      </c>
      <c r="AX99" s="254">
        <v>0</v>
      </c>
      <c r="AY99" s="254">
        <v>0</v>
      </c>
    </row>
    <row r="100" spans="2:51">
      <c r="B100" s="223">
        <v>10307</v>
      </c>
      <c r="C100" s="223" t="s">
        <v>103</v>
      </c>
      <c r="D100" s="254">
        <v>0</v>
      </c>
      <c r="E100" s="254">
        <v>0</v>
      </c>
      <c r="F100" s="254">
        <v>1936.9874999999936</v>
      </c>
      <c r="G100" s="254">
        <v>0</v>
      </c>
      <c r="H100" s="254">
        <v>20153.052884615372</v>
      </c>
      <c r="I100" s="254">
        <v>0</v>
      </c>
      <c r="J100" s="254">
        <v>16246.769999999991</v>
      </c>
      <c r="K100" s="254">
        <v>0</v>
      </c>
      <c r="L100" s="254">
        <v>7641.4296874999973</v>
      </c>
      <c r="M100" s="254">
        <v>0</v>
      </c>
      <c r="N100" s="254">
        <v>10844.715277777785</v>
      </c>
      <c r="O100" s="254">
        <v>0</v>
      </c>
      <c r="P100" s="254">
        <v>9639.4278846154011</v>
      </c>
      <c r="Q100" s="254">
        <v>0</v>
      </c>
      <c r="R100" s="254">
        <v>14168.012499999999</v>
      </c>
      <c r="S100" s="254">
        <v>0</v>
      </c>
      <c r="T100" s="254">
        <v>16518.139423076933</v>
      </c>
      <c r="U100" s="254">
        <v>0</v>
      </c>
      <c r="V100" s="254">
        <v>15103.759999999998</v>
      </c>
      <c r="W100" s="254">
        <v>0</v>
      </c>
      <c r="X100" s="254">
        <v>17526.636574074077</v>
      </c>
      <c r="Y100" s="254">
        <v>0</v>
      </c>
      <c r="Z100" s="254">
        <v>10188.062500000002</v>
      </c>
      <c r="AA100" s="254">
        <v>0</v>
      </c>
      <c r="AB100" s="254">
        <v>0</v>
      </c>
      <c r="AC100" s="254">
        <v>0</v>
      </c>
      <c r="AD100" s="254">
        <v>2953.6124999999843</v>
      </c>
      <c r="AE100" s="254">
        <v>0</v>
      </c>
      <c r="AF100" s="254">
        <v>21122.25721153845</v>
      </c>
      <c r="AG100" s="254">
        <v>0</v>
      </c>
      <c r="AH100" s="254">
        <v>17213.329999999991</v>
      </c>
      <c r="AI100" s="254">
        <v>0</v>
      </c>
      <c r="AJ100" s="254">
        <v>8592.3802083333285</v>
      </c>
      <c r="AK100" s="254">
        <v>0</v>
      </c>
      <c r="AL100" s="254">
        <v>11807.398148148157</v>
      </c>
      <c r="AM100" s="254">
        <v>0</v>
      </c>
      <c r="AN100" s="254">
        <v>10490.427500000009</v>
      </c>
      <c r="AO100" s="254">
        <v>0</v>
      </c>
      <c r="AP100" s="254">
        <v>15237.793269230775</v>
      </c>
      <c r="AQ100" s="254">
        <v>0</v>
      </c>
      <c r="AR100" s="254">
        <v>17516.074519230777</v>
      </c>
      <c r="AS100" s="254">
        <v>0</v>
      </c>
      <c r="AT100" s="254">
        <v>16151.542500000001</v>
      </c>
      <c r="AU100" s="254">
        <v>0</v>
      </c>
      <c r="AV100" s="254">
        <v>18571.462962962967</v>
      </c>
      <c r="AW100" s="254">
        <v>0</v>
      </c>
      <c r="AX100" s="254">
        <v>11124.524999999987</v>
      </c>
      <c r="AY100" s="254">
        <v>0</v>
      </c>
    </row>
    <row r="101" spans="2:51">
      <c r="B101" s="223">
        <v>10326</v>
      </c>
      <c r="C101" s="223" t="s">
        <v>104</v>
      </c>
      <c r="D101" s="254">
        <v>2534.0072115384605</v>
      </c>
      <c r="E101" s="254">
        <v>0</v>
      </c>
      <c r="F101" s="254">
        <v>0</v>
      </c>
      <c r="G101" s="254">
        <v>0</v>
      </c>
      <c r="H101" s="254">
        <v>4987.7572115384655</v>
      </c>
      <c r="I101" s="254">
        <v>0</v>
      </c>
      <c r="J101" s="254">
        <v>1763.2725000000064</v>
      </c>
      <c r="K101" s="254">
        <v>0</v>
      </c>
      <c r="L101" s="254">
        <v>5628.6276041666606</v>
      </c>
      <c r="M101" s="254">
        <v>0</v>
      </c>
      <c r="N101" s="254">
        <v>4533.9907407407409</v>
      </c>
      <c r="O101" s="254">
        <v>0</v>
      </c>
      <c r="P101" s="254">
        <v>717.97596153846393</v>
      </c>
      <c r="Q101" s="254">
        <v>0</v>
      </c>
      <c r="R101" s="254">
        <v>1138.874999999997</v>
      </c>
      <c r="S101" s="254">
        <v>0</v>
      </c>
      <c r="T101" s="254">
        <v>1419.2740384615429</v>
      </c>
      <c r="U101" s="254">
        <v>0</v>
      </c>
      <c r="V101" s="254">
        <v>2802.1024999999968</v>
      </c>
      <c r="W101" s="254">
        <v>0</v>
      </c>
      <c r="X101" s="254">
        <v>2289.5833333333294</v>
      </c>
      <c r="Y101" s="254">
        <v>0</v>
      </c>
      <c r="Z101" s="254">
        <v>4518.3525000000018</v>
      </c>
      <c r="AA101" s="254">
        <v>0</v>
      </c>
      <c r="AB101" s="254">
        <v>1967.4567307692303</v>
      </c>
      <c r="AC101" s="254">
        <v>0</v>
      </c>
      <c r="AD101" s="254">
        <v>0</v>
      </c>
      <c r="AE101" s="254">
        <v>0</v>
      </c>
      <c r="AF101" s="254">
        <v>5185.5240384615408</v>
      </c>
      <c r="AG101" s="254">
        <v>0</v>
      </c>
      <c r="AH101" s="254">
        <v>1943.1875000000005</v>
      </c>
      <c r="AI101" s="254">
        <v>0</v>
      </c>
      <c r="AJ101" s="254">
        <v>5735.9531249999991</v>
      </c>
      <c r="AK101" s="254">
        <v>0</v>
      </c>
      <c r="AL101" s="254">
        <v>4519.4768518518522</v>
      </c>
      <c r="AM101" s="254">
        <v>0</v>
      </c>
      <c r="AN101" s="254">
        <v>1052.7425000000044</v>
      </c>
      <c r="AO101" s="254">
        <v>0</v>
      </c>
      <c r="AP101" s="254">
        <v>1175.632211538458</v>
      </c>
      <c r="AQ101" s="254">
        <v>0</v>
      </c>
      <c r="AR101" s="254">
        <v>1934.0937500000007</v>
      </c>
      <c r="AS101" s="254">
        <v>0</v>
      </c>
      <c r="AT101" s="254">
        <v>3379.5150000000012</v>
      </c>
      <c r="AU101" s="254">
        <v>0</v>
      </c>
      <c r="AV101" s="254">
        <v>2921.3287037037076</v>
      </c>
      <c r="AW101" s="254">
        <v>0</v>
      </c>
      <c r="AX101" s="254">
        <v>5546.4700000000021</v>
      </c>
      <c r="AY101" s="254">
        <v>0</v>
      </c>
    </row>
    <row r="102" spans="2:51">
      <c r="B102" s="223">
        <v>10331</v>
      </c>
      <c r="C102" s="223" t="s">
        <v>105</v>
      </c>
      <c r="D102" s="254">
        <v>0</v>
      </c>
      <c r="E102" s="254">
        <v>0</v>
      </c>
      <c r="F102" s="254">
        <v>0</v>
      </c>
      <c r="G102" s="254">
        <v>0</v>
      </c>
      <c r="H102" s="254">
        <v>0</v>
      </c>
      <c r="I102" s="254">
        <v>0</v>
      </c>
      <c r="J102" s="254">
        <v>0</v>
      </c>
      <c r="K102" s="254">
        <v>0</v>
      </c>
      <c r="L102" s="254">
        <v>0</v>
      </c>
      <c r="M102" s="254">
        <v>0</v>
      </c>
      <c r="N102" s="254">
        <v>0</v>
      </c>
      <c r="O102" s="254">
        <v>0</v>
      </c>
      <c r="P102" s="254">
        <v>0</v>
      </c>
      <c r="Q102" s="254">
        <v>0</v>
      </c>
      <c r="R102" s="254">
        <v>0</v>
      </c>
      <c r="S102" s="254">
        <v>0</v>
      </c>
      <c r="T102" s="254">
        <v>0</v>
      </c>
      <c r="U102" s="254">
        <v>0</v>
      </c>
      <c r="V102" s="254">
        <v>0</v>
      </c>
      <c r="W102" s="254">
        <v>0</v>
      </c>
      <c r="X102" s="254">
        <v>0</v>
      </c>
      <c r="Y102" s="254">
        <v>0</v>
      </c>
      <c r="Z102" s="254">
        <v>0</v>
      </c>
      <c r="AA102" s="254">
        <v>0</v>
      </c>
      <c r="AB102" s="254">
        <v>0</v>
      </c>
      <c r="AC102" s="254">
        <v>0</v>
      </c>
      <c r="AD102" s="254">
        <v>0</v>
      </c>
      <c r="AE102" s="254">
        <v>0</v>
      </c>
      <c r="AF102" s="254">
        <v>0</v>
      </c>
      <c r="AG102" s="254">
        <v>0</v>
      </c>
      <c r="AH102" s="254">
        <v>0</v>
      </c>
      <c r="AI102" s="254">
        <v>0</v>
      </c>
      <c r="AJ102" s="254">
        <v>0</v>
      </c>
      <c r="AK102" s="254">
        <v>0</v>
      </c>
      <c r="AL102" s="254">
        <v>0</v>
      </c>
      <c r="AM102" s="254">
        <v>0</v>
      </c>
      <c r="AN102" s="254">
        <v>0</v>
      </c>
      <c r="AO102" s="254">
        <v>0</v>
      </c>
      <c r="AP102" s="254">
        <v>0</v>
      </c>
      <c r="AQ102" s="254">
        <v>0</v>
      </c>
      <c r="AR102" s="254">
        <v>0</v>
      </c>
      <c r="AS102" s="254">
        <v>0</v>
      </c>
      <c r="AT102" s="254">
        <v>0</v>
      </c>
      <c r="AU102" s="254">
        <v>0</v>
      </c>
      <c r="AV102" s="254">
        <v>0</v>
      </c>
      <c r="AW102" s="254">
        <v>0</v>
      </c>
      <c r="AX102" s="254">
        <v>0</v>
      </c>
      <c r="AY102" s="254">
        <v>0</v>
      </c>
    </row>
    <row r="103" spans="2:51">
      <c r="B103" s="223">
        <v>10333</v>
      </c>
      <c r="C103" s="223" t="s">
        <v>106</v>
      </c>
      <c r="D103" s="254">
        <v>0</v>
      </c>
      <c r="E103" s="254">
        <v>0</v>
      </c>
      <c r="F103" s="254">
        <v>0</v>
      </c>
      <c r="G103" s="254">
        <v>0</v>
      </c>
      <c r="H103" s="254">
        <v>0</v>
      </c>
      <c r="I103" s="254">
        <v>0</v>
      </c>
      <c r="J103" s="254">
        <v>0</v>
      </c>
      <c r="K103" s="254">
        <v>0</v>
      </c>
      <c r="L103" s="254">
        <v>0</v>
      </c>
      <c r="M103" s="254">
        <v>0</v>
      </c>
      <c r="N103" s="254">
        <v>0</v>
      </c>
      <c r="O103" s="254">
        <v>0</v>
      </c>
      <c r="P103" s="254">
        <v>0</v>
      </c>
      <c r="Q103" s="254">
        <v>0</v>
      </c>
      <c r="R103" s="254">
        <v>0</v>
      </c>
      <c r="S103" s="254">
        <v>0</v>
      </c>
      <c r="T103" s="254">
        <v>0</v>
      </c>
      <c r="U103" s="254">
        <v>0</v>
      </c>
      <c r="V103" s="254">
        <v>0</v>
      </c>
      <c r="W103" s="254">
        <v>0</v>
      </c>
      <c r="X103" s="254">
        <v>0</v>
      </c>
      <c r="Y103" s="254">
        <v>0</v>
      </c>
      <c r="Z103" s="254">
        <v>0</v>
      </c>
      <c r="AA103" s="254">
        <v>0</v>
      </c>
      <c r="AB103" s="254">
        <v>0</v>
      </c>
      <c r="AC103" s="254">
        <v>0</v>
      </c>
      <c r="AD103" s="254">
        <v>0</v>
      </c>
      <c r="AE103" s="254">
        <v>0</v>
      </c>
      <c r="AF103" s="254">
        <v>0</v>
      </c>
      <c r="AG103" s="254">
        <v>0</v>
      </c>
      <c r="AH103" s="254">
        <v>0</v>
      </c>
      <c r="AI103" s="254">
        <v>0</v>
      </c>
      <c r="AJ103" s="254">
        <v>0</v>
      </c>
      <c r="AK103" s="254">
        <v>0</v>
      </c>
      <c r="AL103" s="254">
        <v>0</v>
      </c>
      <c r="AM103" s="254">
        <v>0</v>
      </c>
      <c r="AN103" s="254">
        <v>0</v>
      </c>
      <c r="AO103" s="254">
        <v>0</v>
      </c>
      <c r="AP103" s="254">
        <v>0</v>
      </c>
      <c r="AQ103" s="254">
        <v>0</v>
      </c>
      <c r="AR103" s="254">
        <v>0</v>
      </c>
      <c r="AS103" s="254">
        <v>0</v>
      </c>
      <c r="AT103" s="254">
        <v>0</v>
      </c>
      <c r="AU103" s="254">
        <v>0</v>
      </c>
      <c r="AV103" s="254">
        <v>0</v>
      </c>
      <c r="AW103" s="254">
        <v>0</v>
      </c>
      <c r="AX103" s="254">
        <v>0</v>
      </c>
      <c r="AY103" s="254">
        <v>0</v>
      </c>
    </row>
    <row r="104" spans="2:51">
      <c r="B104" s="223">
        <v>10338</v>
      </c>
      <c r="C104" s="223" t="s">
        <v>107</v>
      </c>
      <c r="D104" s="254">
        <v>0</v>
      </c>
      <c r="E104" s="254">
        <v>0</v>
      </c>
      <c r="F104" s="254">
        <v>0</v>
      </c>
      <c r="G104" s="254">
        <v>0</v>
      </c>
      <c r="H104" s="254">
        <v>256.04807692307708</v>
      </c>
      <c r="I104" s="254">
        <v>0</v>
      </c>
      <c r="J104" s="254">
        <v>271.45499999999959</v>
      </c>
      <c r="K104" s="254">
        <v>0</v>
      </c>
      <c r="L104" s="254">
        <v>0</v>
      </c>
      <c r="M104" s="254">
        <v>0</v>
      </c>
      <c r="N104" s="254">
        <v>97.018518518518619</v>
      </c>
      <c r="O104" s="254">
        <v>0</v>
      </c>
      <c r="P104" s="254">
        <v>47.766826923076877</v>
      </c>
      <c r="Q104" s="254">
        <v>0</v>
      </c>
      <c r="R104" s="254">
        <v>599.59249999999963</v>
      </c>
      <c r="S104" s="254">
        <v>0</v>
      </c>
      <c r="T104" s="254">
        <v>263.91346153846149</v>
      </c>
      <c r="U104" s="254">
        <v>0</v>
      </c>
      <c r="V104" s="254">
        <v>431.46750000000003</v>
      </c>
      <c r="W104" s="254">
        <v>0</v>
      </c>
      <c r="X104" s="254">
        <v>350.51620370370341</v>
      </c>
      <c r="Y104" s="254">
        <v>0</v>
      </c>
      <c r="Z104" s="254">
        <v>158.89500000000001</v>
      </c>
      <c r="AA104" s="254">
        <v>0</v>
      </c>
      <c r="AB104" s="254">
        <v>0</v>
      </c>
      <c r="AC104" s="254">
        <v>0</v>
      </c>
      <c r="AD104" s="254">
        <v>0</v>
      </c>
      <c r="AE104" s="254">
        <v>0</v>
      </c>
      <c r="AF104" s="254">
        <v>260.39903846153845</v>
      </c>
      <c r="AG104" s="254">
        <v>0</v>
      </c>
      <c r="AH104" s="254">
        <v>275.83499999999981</v>
      </c>
      <c r="AI104" s="254">
        <v>0</v>
      </c>
      <c r="AJ104" s="254">
        <v>0</v>
      </c>
      <c r="AK104" s="254">
        <v>0</v>
      </c>
      <c r="AL104" s="254">
        <v>100.22916666666681</v>
      </c>
      <c r="AM104" s="254">
        <v>0</v>
      </c>
      <c r="AN104" s="254">
        <v>50.117500000000263</v>
      </c>
      <c r="AO104" s="254">
        <v>0</v>
      </c>
      <c r="AP104" s="254">
        <v>608.88221153846143</v>
      </c>
      <c r="AQ104" s="254">
        <v>0</v>
      </c>
      <c r="AR104" s="254">
        <v>267.9591346153851</v>
      </c>
      <c r="AS104" s="254">
        <v>0</v>
      </c>
      <c r="AT104" s="254">
        <v>434.42999999999978</v>
      </c>
      <c r="AU104" s="254">
        <v>0</v>
      </c>
      <c r="AV104" s="254">
        <v>353.49768518518579</v>
      </c>
      <c r="AW104" s="254">
        <v>0</v>
      </c>
      <c r="AX104" s="254">
        <v>163.41999999999967</v>
      </c>
      <c r="AY104" s="254">
        <v>0</v>
      </c>
    </row>
    <row r="105" spans="2:51">
      <c r="B105" s="223">
        <v>10342</v>
      </c>
      <c r="C105" s="223" t="s">
        <v>108</v>
      </c>
      <c r="D105" s="254">
        <v>2485.0384615384628</v>
      </c>
      <c r="E105" s="254">
        <v>0</v>
      </c>
      <c r="F105" s="254">
        <v>0</v>
      </c>
      <c r="G105" s="254">
        <v>0</v>
      </c>
      <c r="H105" s="254">
        <v>2318.1081730769133</v>
      </c>
      <c r="I105" s="254">
        <v>0</v>
      </c>
      <c r="J105" s="254">
        <v>5258.9774999999954</v>
      </c>
      <c r="K105" s="254">
        <v>0</v>
      </c>
      <c r="L105" s="254">
        <v>0</v>
      </c>
      <c r="M105" s="254">
        <v>0</v>
      </c>
      <c r="N105" s="254">
        <v>6380.0925925925894</v>
      </c>
      <c r="O105" s="254">
        <v>0</v>
      </c>
      <c r="P105" s="254">
        <v>2596.6153846153829</v>
      </c>
      <c r="Q105" s="254">
        <v>0</v>
      </c>
      <c r="R105" s="254">
        <v>6832.6349999999966</v>
      </c>
      <c r="S105" s="254">
        <v>0</v>
      </c>
      <c r="T105" s="254">
        <v>15345.362980769227</v>
      </c>
      <c r="U105" s="254">
        <v>0</v>
      </c>
      <c r="V105" s="254">
        <v>8991.3999999999978</v>
      </c>
      <c r="W105" s="254">
        <v>0</v>
      </c>
      <c r="X105" s="254">
        <v>14673.0949074074</v>
      </c>
      <c r="Y105" s="254">
        <v>0</v>
      </c>
      <c r="Z105" s="254">
        <v>15063.567500000001</v>
      </c>
      <c r="AA105" s="254">
        <v>0</v>
      </c>
      <c r="AB105" s="254">
        <v>2329.8076923076865</v>
      </c>
      <c r="AC105" s="254">
        <v>0</v>
      </c>
      <c r="AD105" s="254">
        <v>0</v>
      </c>
      <c r="AE105" s="254">
        <v>0</v>
      </c>
      <c r="AF105" s="254">
        <v>2123.0937499999936</v>
      </c>
      <c r="AG105" s="254">
        <v>0</v>
      </c>
      <c r="AH105" s="254">
        <v>5104.7875000000022</v>
      </c>
      <c r="AI105" s="254">
        <v>0</v>
      </c>
      <c r="AJ105" s="254">
        <v>0</v>
      </c>
      <c r="AK105" s="254">
        <v>0</v>
      </c>
      <c r="AL105" s="254">
        <v>6251.6018518518522</v>
      </c>
      <c r="AM105" s="254">
        <v>0</v>
      </c>
      <c r="AN105" s="254">
        <v>2441.3425000000047</v>
      </c>
      <c r="AO105" s="254">
        <v>0</v>
      </c>
      <c r="AP105" s="254">
        <v>6768.4278846153848</v>
      </c>
      <c r="AQ105" s="254">
        <v>0</v>
      </c>
      <c r="AR105" s="254">
        <v>15438.54567307692</v>
      </c>
      <c r="AS105" s="254">
        <v>0</v>
      </c>
      <c r="AT105" s="254">
        <v>9050.6750000000029</v>
      </c>
      <c r="AU105" s="254">
        <v>0</v>
      </c>
      <c r="AV105" s="254">
        <v>14742.47222222223</v>
      </c>
      <c r="AW105" s="254">
        <v>0</v>
      </c>
      <c r="AX105" s="254">
        <v>15138.310000000001</v>
      </c>
      <c r="AY105" s="254">
        <v>0</v>
      </c>
    </row>
    <row r="106" spans="2:51">
      <c r="B106" s="223">
        <v>10343</v>
      </c>
      <c r="C106" s="223" t="s">
        <v>109</v>
      </c>
      <c r="D106" s="254">
        <v>0</v>
      </c>
      <c r="E106" s="254">
        <v>0</v>
      </c>
      <c r="F106" s="254">
        <v>0</v>
      </c>
      <c r="G106" s="254">
        <v>0</v>
      </c>
      <c r="H106" s="254">
        <v>0</v>
      </c>
      <c r="I106" s="254">
        <v>0</v>
      </c>
      <c r="J106" s="254">
        <v>0</v>
      </c>
      <c r="K106" s="254">
        <v>0</v>
      </c>
      <c r="L106" s="254">
        <v>0</v>
      </c>
      <c r="M106" s="254">
        <v>0</v>
      </c>
      <c r="N106" s="254">
        <v>0</v>
      </c>
      <c r="O106" s="254">
        <v>0</v>
      </c>
      <c r="P106" s="254">
        <v>0</v>
      </c>
      <c r="Q106" s="254">
        <v>0</v>
      </c>
      <c r="R106" s="254">
        <v>0</v>
      </c>
      <c r="S106" s="254">
        <v>0</v>
      </c>
      <c r="T106" s="254">
        <v>0</v>
      </c>
      <c r="U106" s="254">
        <v>0</v>
      </c>
      <c r="V106" s="254">
        <v>0</v>
      </c>
      <c r="W106" s="254">
        <v>0</v>
      </c>
      <c r="X106" s="254">
        <v>0</v>
      </c>
      <c r="Y106" s="254">
        <v>0</v>
      </c>
      <c r="Z106" s="254">
        <v>0</v>
      </c>
      <c r="AA106" s="254">
        <v>0</v>
      </c>
      <c r="AB106" s="254">
        <v>0</v>
      </c>
      <c r="AC106" s="254">
        <v>0</v>
      </c>
      <c r="AD106" s="254">
        <v>0</v>
      </c>
      <c r="AE106" s="254">
        <v>0</v>
      </c>
      <c r="AF106" s="254">
        <v>0</v>
      </c>
      <c r="AG106" s="254">
        <v>0</v>
      </c>
      <c r="AH106" s="254">
        <v>0</v>
      </c>
      <c r="AI106" s="254">
        <v>0</v>
      </c>
      <c r="AJ106" s="254">
        <v>0</v>
      </c>
      <c r="AK106" s="254">
        <v>0</v>
      </c>
      <c r="AL106" s="254">
        <v>0</v>
      </c>
      <c r="AM106" s="254">
        <v>0</v>
      </c>
      <c r="AN106" s="254">
        <v>0</v>
      </c>
      <c r="AO106" s="254">
        <v>0</v>
      </c>
      <c r="AP106" s="254">
        <v>0</v>
      </c>
      <c r="AQ106" s="254">
        <v>0</v>
      </c>
      <c r="AR106" s="254">
        <v>0</v>
      </c>
      <c r="AS106" s="254">
        <v>0</v>
      </c>
      <c r="AT106" s="254">
        <v>0</v>
      </c>
      <c r="AU106" s="254">
        <v>0</v>
      </c>
      <c r="AV106" s="254">
        <v>0</v>
      </c>
      <c r="AW106" s="254">
        <v>0</v>
      </c>
      <c r="AX106" s="254">
        <v>0</v>
      </c>
      <c r="AY106" s="254">
        <v>0</v>
      </c>
    </row>
    <row r="107" spans="2:51">
      <c r="B107" s="223">
        <v>10349</v>
      </c>
      <c r="C107" s="223" t="s">
        <v>110</v>
      </c>
      <c r="D107" s="254">
        <v>0</v>
      </c>
      <c r="E107" s="254">
        <v>0</v>
      </c>
      <c r="F107" s="254">
        <v>0</v>
      </c>
      <c r="G107" s="254">
        <v>0</v>
      </c>
      <c r="H107" s="254">
        <v>0</v>
      </c>
      <c r="I107" s="254">
        <v>0</v>
      </c>
      <c r="J107" s="254">
        <v>0</v>
      </c>
      <c r="K107" s="254">
        <v>0</v>
      </c>
      <c r="L107" s="254">
        <v>0</v>
      </c>
      <c r="M107" s="254">
        <v>0</v>
      </c>
      <c r="N107" s="254">
        <v>0</v>
      </c>
      <c r="O107" s="254">
        <v>0</v>
      </c>
      <c r="P107" s="254">
        <v>0</v>
      </c>
      <c r="Q107" s="254">
        <v>0</v>
      </c>
      <c r="R107" s="254">
        <v>0</v>
      </c>
      <c r="S107" s="254">
        <v>0</v>
      </c>
      <c r="T107" s="254">
        <v>0</v>
      </c>
      <c r="U107" s="254">
        <v>0</v>
      </c>
      <c r="V107" s="254">
        <v>0</v>
      </c>
      <c r="W107" s="254">
        <v>0</v>
      </c>
      <c r="X107" s="254">
        <v>0</v>
      </c>
      <c r="Y107" s="254">
        <v>0</v>
      </c>
      <c r="Z107" s="254">
        <v>0</v>
      </c>
      <c r="AA107" s="254">
        <v>0</v>
      </c>
      <c r="AB107" s="254">
        <v>0</v>
      </c>
      <c r="AC107" s="254">
        <v>0</v>
      </c>
      <c r="AD107" s="254">
        <v>0</v>
      </c>
      <c r="AE107" s="254">
        <v>0</v>
      </c>
      <c r="AF107" s="254">
        <v>0</v>
      </c>
      <c r="AG107" s="254">
        <v>0</v>
      </c>
      <c r="AH107" s="254">
        <v>0</v>
      </c>
      <c r="AI107" s="254">
        <v>0</v>
      </c>
      <c r="AJ107" s="254">
        <v>0</v>
      </c>
      <c r="AK107" s="254">
        <v>0</v>
      </c>
      <c r="AL107" s="254">
        <v>0</v>
      </c>
      <c r="AM107" s="254">
        <v>0</v>
      </c>
      <c r="AN107" s="254">
        <v>0</v>
      </c>
      <c r="AO107" s="254">
        <v>0</v>
      </c>
      <c r="AP107" s="254">
        <v>0</v>
      </c>
      <c r="AQ107" s="254">
        <v>0</v>
      </c>
      <c r="AR107" s="254">
        <v>0</v>
      </c>
      <c r="AS107" s="254">
        <v>0</v>
      </c>
      <c r="AT107" s="254">
        <v>0</v>
      </c>
      <c r="AU107" s="254">
        <v>0</v>
      </c>
      <c r="AV107" s="254">
        <v>0</v>
      </c>
      <c r="AW107" s="254">
        <v>0</v>
      </c>
      <c r="AX107" s="254">
        <v>0</v>
      </c>
      <c r="AY107" s="254">
        <v>0</v>
      </c>
    </row>
    <row r="108" spans="2:51">
      <c r="B108" s="223">
        <v>10352</v>
      </c>
      <c r="C108" s="223" t="s">
        <v>111</v>
      </c>
      <c r="D108" s="254">
        <v>0</v>
      </c>
      <c r="E108" s="254">
        <v>0</v>
      </c>
      <c r="F108" s="254">
        <v>102.68749999999915</v>
      </c>
      <c r="G108" s="254">
        <v>0</v>
      </c>
      <c r="H108" s="254">
        <v>2164.6490384615381</v>
      </c>
      <c r="I108" s="254">
        <v>0</v>
      </c>
      <c r="J108" s="254">
        <v>1681.6375000000007</v>
      </c>
      <c r="K108" s="254">
        <v>0</v>
      </c>
      <c r="L108" s="254">
        <v>4234.1927083333321</v>
      </c>
      <c r="M108" s="254">
        <v>0</v>
      </c>
      <c r="N108" s="254">
        <v>2863.5601851851816</v>
      </c>
      <c r="O108" s="254">
        <v>0</v>
      </c>
      <c r="P108" s="254">
        <v>1252.9783653846148</v>
      </c>
      <c r="Q108" s="254">
        <v>0</v>
      </c>
      <c r="R108" s="254">
        <v>488.54249999999763</v>
      </c>
      <c r="S108" s="254">
        <v>0</v>
      </c>
      <c r="T108" s="254">
        <v>1671.8846153846162</v>
      </c>
      <c r="U108" s="254">
        <v>0</v>
      </c>
      <c r="V108" s="254">
        <v>740.9999999999992</v>
      </c>
      <c r="W108" s="254">
        <v>0</v>
      </c>
      <c r="X108" s="254">
        <v>3476.4560185185173</v>
      </c>
      <c r="Y108" s="254">
        <v>0</v>
      </c>
      <c r="Z108" s="254">
        <v>967.81250000000171</v>
      </c>
      <c r="AA108" s="254">
        <v>0</v>
      </c>
      <c r="AB108" s="254">
        <v>0</v>
      </c>
      <c r="AC108" s="254">
        <v>0</v>
      </c>
      <c r="AD108" s="254">
        <v>160.37249999999847</v>
      </c>
      <c r="AE108" s="254">
        <v>0</v>
      </c>
      <c r="AF108" s="254">
        <v>2226.1009615384614</v>
      </c>
      <c r="AG108" s="254">
        <v>0</v>
      </c>
      <c r="AH108" s="254">
        <v>1746.1474999999994</v>
      </c>
      <c r="AI108" s="254">
        <v>0</v>
      </c>
      <c r="AJ108" s="254">
        <v>4328.0260416666679</v>
      </c>
      <c r="AK108" s="254">
        <v>0</v>
      </c>
      <c r="AL108" s="254">
        <v>2936.7384259259265</v>
      </c>
      <c r="AM108" s="254">
        <v>0</v>
      </c>
      <c r="AN108" s="254">
        <v>1322.2025000000003</v>
      </c>
      <c r="AO108" s="254">
        <v>0</v>
      </c>
      <c r="AP108" s="254">
        <v>540.31971153846212</v>
      </c>
      <c r="AQ108" s="254">
        <v>0</v>
      </c>
      <c r="AR108" s="254">
        <v>1674.9206730769238</v>
      </c>
      <c r="AS108" s="254">
        <v>0</v>
      </c>
      <c r="AT108" s="254">
        <v>742.44750000000033</v>
      </c>
      <c r="AU108" s="254">
        <v>0</v>
      </c>
      <c r="AV108" s="254">
        <v>3482.5300925925903</v>
      </c>
      <c r="AW108" s="254">
        <v>0</v>
      </c>
      <c r="AX108" s="254">
        <v>970.51</v>
      </c>
      <c r="AY108" s="254">
        <v>0</v>
      </c>
    </row>
    <row r="109" spans="2:51">
      <c r="B109" s="223">
        <v>10354</v>
      </c>
      <c r="C109" s="223" t="s">
        <v>112</v>
      </c>
      <c r="D109" s="254">
        <v>0</v>
      </c>
      <c r="E109" s="254">
        <v>0</v>
      </c>
      <c r="F109" s="254">
        <v>0</v>
      </c>
      <c r="G109" s="254">
        <v>0</v>
      </c>
      <c r="H109" s="254">
        <v>0</v>
      </c>
      <c r="I109" s="254">
        <v>0</v>
      </c>
      <c r="J109" s="254">
        <v>0</v>
      </c>
      <c r="K109" s="254">
        <v>0</v>
      </c>
      <c r="L109" s="254">
        <v>0</v>
      </c>
      <c r="M109" s="254">
        <v>0</v>
      </c>
      <c r="N109" s="254">
        <v>0</v>
      </c>
      <c r="O109" s="254">
        <v>0</v>
      </c>
      <c r="P109" s="254">
        <v>0</v>
      </c>
      <c r="Q109" s="254">
        <v>0</v>
      </c>
      <c r="R109" s="254">
        <v>0</v>
      </c>
      <c r="S109" s="254">
        <v>0</v>
      </c>
      <c r="T109" s="254">
        <v>0</v>
      </c>
      <c r="U109" s="254">
        <v>0</v>
      </c>
      <c r="V109" s="254">
        <v>0</v>
      </c>
      <c r="W109" s="254">
        <v>0</v>
      </c>
      <c r="X109" s="254">
        <v>0</v>
      </c>
      <c r="Y109" s="254">
        <v>0</v>
      </c>
      <c r="Z109" s="254">
        <v>0</v>
      </c>
      <c r="AA109" s="254">
        <v>0</v>
      </c>
      <c r="AB109" s="254">
        <v>0</v>
      </c>
      <c r="AC109" s="254">
        <v>0</v>
      </c>
      <c r="AD109" s="254">
        <v>0</v>
      </c>
      <c r="AE109" s="254">
        <v>0</v>
      </c>
      <c r="AF109" s="254">
        <v>0</v>
      </c>
      <c r="AG109" s="254">
        <v>0</v>
      </c>
      <c r="AH109" s="254">
        <v>0</v>
      </c>
      <c r="AI109" s="254">
        <v>0</v>
      </c>
      <c r="AJ109" s="254">
        <v>0</v>
      </c>
      <c r="AK109" s="254">
        <v>0</v>
      </c>
      <c r="AL109" s="254">
        <v>0</v>
      </c>
      <c r="AM109" s="254">
        <v>0</v>
      </c>
      <c r="AN109" s="254">
        <v>0</v>
      </c>
      <c r="AO109" s="254">
        <v>0</v>
      </c>
      <c r="AP109" s="254">
        <v>0</v>
      </c>
      <c r="AQ109" s="254">
        <v>0</v>
      </c>
      <c r="AR109" s="254">
        <v>0</v>
      </c>
      <c r="AS109" s="254">
        <v>0</v>
      </c>
      <c r="AT109" s="254">
        <v>0</v>
      </c>
      <c r="AU109" s="254">
        <v>0</v>
      </c>
      <c r="AV109" s="254">
        <v>0</v>
      </c>
      <c r="AW109" s="254">
        <v>0</v>
      </c>
      <c r="AX109" s="254">
        <v>0</v>
      </c>
      <c r="AY109" s="254">
        <v>0</v>
      </c>
    </row>
    <row r="110" spans="2:51">
      <c r="B110" s="223">
        <v>10360</v>
      </c>
      <c r="C110" s="223" t="s">
        <v>113</v>
      </c>
      <c r="D110" s="254">
        <v>993.29567307692355</v>
      </c>
      <c r="E110" s="254">
        <v>0</v>
      </c>
      <c r="F110" s="254">
        <v>376.34250000000071</v>
      </c>
      <c r="G110" s="254">
        <v>0</v>
      </c>
      <c r="H110" s="254">
        <v>834.7331730769223</v>
      </c>
      <c r="I110" s="254">
        <v>0</v>
      </c>
      <c r="J110" s="254">
        <v>878.60999999999945</v>
      </c>
      <c r="K110" s="254">
        <v>0</v>
      </c>
      <c r="L110" s="254">
        <v>345.08072916666646</v>
      </c>
      <c r="M110" s="254">
        <v>0</v>
      </c>
      <c r="N110" s="254">
        <v>396.73842592592655</v>
      </c>
      <c r="O110" s="254">
        <v>0</v>
      </c>
      <c r="P110" s="254">
        <v>1421.1274038461536</v>
      </c>
      <c r="Q110" s="254">
        <v>0</v>
      </c>
      <c r="R110" s="254">
        <v>895.61499999999899</v>
      </c>
      <c r="S110" s="254">
        <v>0</v>
      </c>
      <c r="T110" s="254">
        <v>1933.6874999999982</v>
      </c>
      <c r="U110" s="254">
        <v>0</v>
      </c>
      <c r="V110" s="254">
        <v>2411.1299999999974</v>
      </c>
      <c r="W110" s="254">
        <v>0</v>
      </c>
      <c r="X110" s="254">
        <v>1198.1643518518504</v>
      </c>
      <c r="Y110" s="254">
        <v>0</v>
      </c>
      <c r="Z110" s="254">
        <v>1363.2124999999999</v>
      </c>
      <c r="AA110" s="254">
        <v>0</v>
      </c>
      <c r="AB110" s="254">
        <v>1000.4278846153844</v>
      </c>
      <c r="AC110" s="254">
        <v>0</v>
      </c>
      <c r="AD110" s="254">
        <v>384.32250000000056</v>
      </c>
      <c r="AE110" s="254">
        <v>0</v>
      </c>
      <c r="AF110" s="254">
        <v>843.02644230769249</v>
      </c>
      <c r="AG110" s="254">
        <v>0</v>
      </c>
      <c r="AH110" s="254">
        <v>887.08749999999998</v>
      </c>
      <c r="AI110" s="254">
        <v>0</v>
      </c>
      <c r="AJ110" s="254">
        <v>352.8203125</v>
      </c>
      <c r="AK110" s="254">
        <v>0</v>
      </c>
      <c r="AL110" s="254">
        <v>404.00925925926015</v>
      </c>
      <c r="AM110" s="254">
        <v>0</v>
      </c>
      <c r="AN110" s="254">
        <v>1430.9500000000014</v>
      </c>
      <c r="AO110" s="254">
        <v>0</v>
      </c>
      <c r="AP110" s="254">
        <v>917.35576923076815</v>
      </c>
      <c r="AQ110" s="254">
        <v>0</v>
      </c>
      <c r="AR110" s="254">
        <v>1947.2740384615386</v>
      </c>
      <c r="AS110" s="254">
        <v>0</v>
      </c>
      <c r="AT110" s="254">
        <v>2422.2649999999985</v>
      </c>
      <c r="AU110" s="254">
        <v>0</v>
      </c>
      <c r="AV110" s="254">
        <v>1204.046296296297</v>
      </c>
      <c r="AW110" s="254">
        <v>0</v>
      </c>
      <c r="AX110" s="254">
        <v>1375.9849999999997</v>
      </c>
      <c r="AY110" s="254">
        <v>0</v>
      </c>
    </row>
    <row r="111" spans="2:51">
      <c r="B111" s="223">
        <v>10363</v>
      </c>
      <c r="C111" s="223" t="s">
        <v>114</v>
      </c>
      <c r="D111" s="254">
        <v>0</v>
      </c>
      <c r="E111" s="254">
        <v>0</v>
      </c>
      <c r="F111" s="254">
        <v>3117.96</v>
      </c>
      <c r="G111" s="254">
        <v>0</v>
      </c>
      <c r="H111" s="254">
        <v>12858.608173076942</v>
      </c>
      <c r="I111" s="254">
        <v>0</v>
      </c>
      <c r="J111" s="254">
        <v>6350.0500000000065</v>
      </c>
      <c r="K111" s="254">
        <v>0</v>
      </c>
      <c r="L111" s="254">
        <v>0</v>
      </c>
      <c r="M111" s="254">
        <v>0</v>
      </c>
      <c r="N111" s="254">
        <v>12693.666666666672</v>
      </c>
      <c r="O111" s="254">
        <v>0</v>
      </c>
      <c r="P111" s="254">
        <v>5904.0552884615454</v>
      </c>
      <c r="Q111" s="254">
        <v>0</v>
      </c>
      <c r="R111" s="254">
        <v>2139.7249999999808</v>
      </c>
      <c r="S111" s="254">
        <v>0</v>
      </c>
      <c r="T111" s="254">
        <v>15373.581730769234</v>
      </c>
      <c r="U111" s="254">
        <v>0</v>
      </c>
      <c r="V111" s="254">
        <v>7303.8075000000017</v>
      </c>
      <c r="W111" s="254">
        <v>0</v>
      </c>
      <c r="X111" s="254">
        <v>15080.196759259265</v>
      </c>
      <c r="Y111" s="254">
        <v>0</v>
      </c>
      <c r="Z111" s="254">
        <v>8244.2949999999873</v>
      </c>
      <c r="AA111" s="254">
        <v>0</v>
      </c>
      <c r="AB111" s="254">
        <v>0</v>
      </c>
      <c r="AC111" s="254">
        <v>0</v>
      </c>
      <c r="AD111" s="254">
        <v>3200.7999999999902</v>
      </c>
      <c r="AE111" s="254">
        <v>0</v>
      </c>
      <c r="AF111" s="254">
        <v>12940.752403846143</v>
      </c>
      <c r="AG111" s="254">
        <v>0</v>
      </c>
      <c r="AH111" s="254">
        <v>6429.632500000007</v>
      </c>
      <c r="AI111" s="254">
        <v>0</v>
      </c>
      <c r="AJ111" s="254">
        <v>0</v>
      </c>
      <c r="AK111" s="254">
        <v>0</v>
      </c>
      <c r="AL111" s="254">
        <v>12791.270833333328</v>
      </c>
      <c r="AM111" s="254">
        <v>0</v>
      </c>
      <c r="AN111" s="254">
        <v>6107.6850000000004</v>
      </c>
      <c r="AO111" s="254">
        <v>0</v>
      </c>
      <c r="AP111" s="254">
        <v>2143.7403846153807</v>
      </c>
      <c r="AQ111" s="254">
        <v>0</v>
      </c>
      <c r="AR111" s="254">
        <v>15441.456730769234</v>
      </c>
      <c r="AS111" s="254">
        <v>0</v>
      </c>
      <c r="AT111" s="254">
        <v>7367.8449999999993</v>
      </c>
      <c r="AU111" s="254">
        <v>0</v>
      </c>
      <c r="AV111" s="254">
        <v>15147.872685185175</v>
      </c>
      <c r="AW111" s="254">
        <v>0</v>
      </c>
      <c r="AX111" s="254">
        <v>8287.5699999999961</v>
      </c>
      <c r="AY111" s="254">
        <v>0</v>
      </c>
    </row>
    <row r="112" spans="2:51">
      <c r="B112" s="223">
        <v>10369</v>
      </c>
      <c r="C112" s="223" t="s">
        <v>115</v>
      </c>
      <c r="D112" s="254">
        <v>3625.3701923076928</v>
      </c>
      <c r="E112" s="254">
        <v>0</v>
      </c>
      <c r="F112" s="254">
        <v>1101.4349999999995</v>
      </c>
      <c r="G112" s="254">
        <v>0</v>
      </c>
      <c r="H112" s="254">
        <v>1021.58894230769</v>
      </c>
      <c r="I112" s="254">
        <v>0</v>
      </c>
      <c r="J112" s="254">
        <v>551.84500000000151</v>
      </c>
      <c r="K112" s="254">
        <v>0</v>
      </c>
      <c r="L112" s="254">
        <v>2507.2812500000009</v>
      </c>
      <c r="M112" s="254">
        <v>0</v>
      </c>
      <c r="N112" s="254">
        <v>2638.9953703703709</v>
      </c>
      <c r="O112" s="254">
        <v>0</v>
      </c>
      <c r="P112" s="254">
        <v>2177.4471153846157</v>
      </c>
      <c r="Q112" s="254">
        <v>0</v>
      </c>
      <c r="R112" s="254">
        <v>3994.392499999999</v>
      </c>
      <c r="S112" s="254">
        <v>0</v>
      </c>
      <c r="T112" s="254">
        <v>3801.1634615384555</v>
      </c>
      <c r="U112" s="254">
        <v>0</v>
      </c>
      <c r="V112" s="254">
        <v>2258.2599999999966</v>
      </c>
      <c r="W112" s="254">
        <v>0</v>
      </c>
      <c r="X112" s="254">
        <v>3296.7754629629608</v>
      </c>
      <c r="Y112" s="254">
        <v>0</v>
      </c>
      <c r="Z112" s="254">
        <v>5634.6324999999979</v>
      </c>
      <c r="AA112" s="254">
        <v>0</v>
      </c>
      <c r="AB112" s="254">
        <v>3625.3701923076928</v>
      </c>
      <c r="AC112" s="254">
        <v>0</v>
      </c>
      <c r="AD112" s="254">
        <v>1101.4349999999995</v>
      </c>
      <c r="AE112" s="254">
        <v>0</v>
      </c>
      <c r="AF112" s="254">
        <v>1021.58894230769</v>
      </c>
      <c r="AG112" s="254">
        <v>0</v>
      </c>
      <c r="AH112" s="254">
        <v>551.84500000000151</v>
      </c>
      <c r="AI112" s="254">
        <v>0</v>
      </c>
      <c r="AJ112" s="254">
        <v>2507.2812500000009</v>
      </c>
      <c r="AK112" s="254">
        <v>0</v>
      </c>
      <c r="AL112" s="254">
        <v>2638.9953703703709</v>
      </c>
      <c r="AM112" s="254">
        <v>0</v>
      </c>
      <c r="AN112" s="254">
        <v>2171.6299999999978</v>
      </c>
      <c r="AO112" s="254">
        <v>0</v>
      </c>
      <c r="AP112" s="254">
        <v>4007.6081730769201</v>
      </c>
      <c r="AQ112" s="254">
        <v>0</v>
      </c>
      <c r="AR112" s="254">
        <v>3801.1634615384555</v>
      </c>
      <c r="AS112" s="254">
        <v>0</v>
      </c>
      <c r="AT112" s="254">
        <v>2258.2599999999966</v>
      </c>
      <c r="AU112" s="254">
        <v>0</v>
      </c>
      <c r="AV112" s="254">
        <v>3296.7754629629608</v>
      </c>
      <c r="AW112" s="254">
        <v>0</v>
      </c>
      <c r="AX112" s="254">
        <v>5634.6324999999979</v>
      </c>
      <c r="AY112" s="254">
        <v>0</v>
      </c>
    </row>
    <row r="113" spans="2:51">
      <c r="B113" s="223">
        <v>10370</v>
      </c>
      <c r="C113" s="223" t="s">
        <v>116</v>
      </c>
      <c r="D113" s="254">
        <v>0</v>
      </c>
      <c r="E113" s="254">
        <v>0</v>
      </c>
      <c r="F113" s="254">
        <v>0</v>
      </c>
      <c r="G113" s="254">
        <v>0</v>
      </c>
      <c r="H113" s="254">
        <v>0</v>
      </c>
      <c r="I113" s="254">
        <v>0</v>
      </c>
      <c r="J113" s="254">
        <v>0</v>
      </c>
      <c r="K113" s="254">
        <v>0</v>
      </c>
      <c r="L113" s="254">
        <v>0</v>
      </c>
      <c r="M113" s="254">
        <v>0</v>
      </c>
      <c r="N113" s="254">
        <v>0</v>
      </c>
      <c r="O113" s="254">
        <v>0</v>
      </c>
      <c r="P113" s="254">
        <v>0</v>
      </c>
      <c r="Q113" s="254">
        <v>0</v>
      </c>
      <c r="R113" s="254">
        <v>0</v>
      </c>
      <c r="S113" s="254">
        <v>0</v>
      </c>
      <c r="T113" s="254">
        <v>0</v>
      </c>
      <c r="U113" s="254">
        <v>0</v>
      </c>
      <c r="V113" s="254">
        <v>0</v>
      </c>
      <c r="W113" s="254">
        <v>0</v>
      </c>
      <c r="X113" s="254">
        <v>0</v>
      </c>
      <c r="Y113" s="254">
        <v>0</v>
      </c>
      <c r="Z113" s="254">
        <v>0</v>
      </c>
      <c r="AA113" s="254">
        <v>0</v>
      </c>
      <c r="AB113" s="254">
        <v>0</v>
      </c>
      <c r="AC113" s="254">
        <v>0</v>
      </c>
      <c r="AD113" s="254">
        <v>0</v>
      </c>
      <c r="AE113" s="254">
        <v>0</v>
      </c>
      <c r="AF113" s="254">
        <v>0</v>
      </c>
      <c r="AG113" s="254">
        <v>0</v>
      </c>
      <c r="AH113" s="254">
        <v>0</v>
      </c>
      <c r="AI113" s="254">
        <v>0</v>
      </c>
      <c r="AJ113" s="254">
        <v>0</v>
      </c>
      <c r="AK113" s="254">
        <v>0</v>
      </c>
      <c r="AL113" s="254">
        <v>0</v>
      </c>
      <c r="AM113" s="254">
        <v>0</v>
      </c>
      <c r="AN113" s="254">
        <v>0</v>
      </c>
      <c r="AO113" s="254">
        <v>0</v>
      </c>
      <c r="AP113" s="254">
        <v>0</v>
      </c>
      <c r="AQ113" s="254">
        <v>0</v>
      </c>
      <c r="AR113" s="254">
        <v>0</v>
      </c>
      <c r="AS113" s="254">
        <v>0</v>
      </c>
      <c r="AT113" s="254">
        <v>0</v>
      </c>
      <c r="AU113" s="254">
        <v>0</v>
      </c>
      <c r="AV113" s="254">
        <v>0</v>
      </c>
      <c r="AW113" s="254">
        <v>0</v>
      </c>
      <c r="AX113" s="254">
        <v>0</v>
      </c>
      <c r="AY113" s="254">
        <v>0</v>
      </c>
    </row>
    <row r="114" spans="2:51">
      <c r="B114" s="223">
        <v>10371</v>
      </c>
      <c r="C114" s="223" t="s">
        <v>117</v>
      </c>
      <c r="D114" s="254">
        <v>0</v>
      </c>
      <c r="E114" s="254">
        <v>0</v>
      </c>
      <c r="F114" s="254">
        <v>0</v>
      </c>
      <c r="G114" s="254">
        <v>0</v>
      </c>
      <c r="H114" s="254">
        <v>0</v>
      </c>
      <c r="I114" s="254">
        <v>0</v>
      </c>
      <c r="J114" s="254">
        <v>139.38000000000005</v>
      </c>
      <c r="K114" s="254">
        <v>0</v>
      </c>
      <c r="L114" s="254">
        <v>129.00260416666498</v>
      </c>
      <c r="M114" s="254">
        <v>0</v>
      </c>
      <c r="N114" s="254">
        <v>0</v>
      </c>
      <c r="O114" s="254">
        <v>0</v>
      </c>
      <c r="P114" s="254">
        <v>594.89182692307634</v>
      </c>
      <c r="Q114" s="254">
        <v>0</v>
      </c>
      <c r="R114" s="254">
        <v>133.25249999999977</v>
      </c>
      <c r="S114" s="254">
        <v>0</v>
      </c>
      <c r="T114" s="254">
        <v>1669.0649038461556</v>
      </c>
      <c r="U114" s="254">
        <v>0</v>
      </c>
      <c r="V114" s="254">
        <v>1033.2925000000002</v>
      </c>
      <c r="W114" s="254">
        <v>0</v>
      </c>
      <c r="X114" s="254">
        <v>1653.7546296296302</v>
      </c>
      <c r="Y114" s="254">
        <v>0</v>
      </c>
      <c r="Z114" s="254">
        <v>215.10500000000121</v>
      </c>
      <c r="AA114" s="254">
        <v>0</v>
      </c>
      <c r="AB114" s="254">
        <v>0</v>
      </c>
      <c r="AC114" s="254">
        <v>0</v>
      </c>
      <c r="AD114" s="254">
        <v>0</v>
      </c>
      <c r="AE114" s="254">
        <v>0</v>
      </c>
      <c r="AF114" s="254">
        <v>30.298076923075179</v>
      </c>
      <c r="AG114" s="254">
        <v>0</v>
      </c>
      <c r="AH114" s="254">
        <v>213.44249999999843</v>
      </c>
      <c r="AI114" s="254">
        <v>0</v>
      </c>
      <c r="AJ114" s="254">
        <v>198.94010416666498</v>
      </c>
      <c r="AK114" s="254">
        <v>0</v>
      </c>
      <c r="AL114" s="254">
        <v>0</v>
      </c>
      <c r="AM114" s="254">
        <v>0</v>
      </c>
      <c r="AN114" s="254">
        <v>234.76250000000044</v>
      </c>
      <c r="AO114" s="254">
        <v>0</v>
      </c>
      <c r="AP114" s="254">
        <v>606.17548076922969</v>
      </c>
      <c r="AQ114" s="254">
        <v>0</v>
      </c>
      <c r="AR114" s="254">
        <v>1765.8677884615377</v>
      </c>
      <c r="AS114" s="254">
        <v>0</v>
      </c>
      <c r="AT114" s="254">
        <v>1125.0675000000003</v>
      </c>
      <c r="AU114" s="254">
        <v>0</v>
      </c>
      <c r="AV114" s="254">
        <v>1747.0694444444443</v>
      </c>
      <c r="AW114" s="254">
        <v>0</v>
      </c>
      <c r="AX114" s="254">
        <v>301.44749999999829</v>
      </c>
      <c r="AY114" s="254">
        <v>0</v>
      </c>
    </row>
    <row r="115" spans="2:51">
      <c r="B115" s="223">
        <v>10376</v>
      </c>
      <c r="C115" s="223" t="s">
        <v>118</v>
      </c>
      <c r="D115" s="254">
        <v>0</v>
      </c>
      <c r="E115" s="254">
        <v>0</v>
      </c>
      <c r="F115" s="254">
        <v>168.09000000000296</v>
      </c>
      <c r="G115" s="254">
        <v>0</v>
      </c>
      <c r="H115" s="254">
        <v>7352.8653846153811</v>
      </c>
      <c r="I115" s="254">
        <v>0</v>
      </c>
      <c r="J115" s="254">
        <v>10815.344999999994</v>
      </c>
      <c r="K115" s="254">
        <v>0</v>
      </c>
      <c r="L115" s="254">
        <v>0</v>
      </c>
      <c r="M115" s="254">
        <v>0</v>
      </c>
      <c r="N115" s="254">
        <v>15804.293981481489</v>
      </c>
      <c r="O115" s="254">
        <v>0</v>
      </c>
      <c r="P115" s="254">
        <v>4842.1875000000018</v>
      </c>
      <c r="Q115" s="254">
        <v>0</v>
      </c>
      <c r="R115" s="254">
        <v>1954.9999999999982</v>
      </c>
      <c r="S115" s="254">
        <v>0</v>
      </c>
      <c r="T115" s="254">
        <v>764.7716346153901</v>
      </c>
      <c r="U115" s="254">
        <v>0</v>
      </c>
      <c r="V115" s="254">
        <v>3467.7725000000019</v>
      </c>
      <c r="W115" s="254">
        <v>0</v>
      </c>
      <c r="X115" s="254">
        <v>2807.465277777776</v>
      </c>
      <c r="Y115" s="254">
        <v>0</v>
      </c>
      <c r="Z115" s="254">
        <v>4845.2999999999947</v>
      </c>
      <c r="AA115" s="254">
        <v>0</v>
      </c>
      <c r="AB115" s="254">
        <v>0</v>
      </c>
      <c r="AC115" s="254">
        <v>0</v>
      </c>
      <c r="AD115" s="254">
        <v>232.98249999999499</v>
      </c>
      <c r="AE115" s="254">
        <v>0</v>
      </c>
      <c r="AF115" s="254">
        <v>7429.7451923076887</v>
      </c>
      <c r="AG115" s="254">
        <v>0</v>
      </c>
      <c r="AH115" s="254">
        <v>10899.177499999993</v>
      </c>
      <c r="AI115" s="254">
        <v>0</v>
      </c>
      <c r="AJ115" s="254">
        <v>0</v>
      </c>
      <c r="AK115" s="254">
        <v>0</v>
      </c>
      <c r="AL115" s="254">
        <v>15896.793981481491</v>
      </c>
      <c r="AM115" s="254">
        <v>0</v>
      </c>
      <c r="AN115" s="254">
        <v>5196.7549999999956</v>
      </c>
      <c r="AO115" s="254">
        <v>0</v>
      </c>
      <c r="AP115" s="254">
        <v>1792.1947115384498</v>
      </c>
      <c r="AQ115" s="254">
        <v>0</v>
      </c>
      <c r="AR115" s="254">
        <v>786.81971153846769</v>
      </c>
      <c r="AS115" s="254">
        <v>0</v>
      </c>
      <c r="AT115" s="254">
        <v>3487.0524999999966</v>
      </c>
      <c r="AU115" s="254">
        <v>0</v>
      </c>
      <c r="AV115" s="254">
        <v>2823.4097222222263</v>
      </c>
      <c r="AW115" s="254">
        <v>0</v>
      </c>
      <c r="AX115" s="254">
        <v>4886.7349999999942</v>
      </c>
      <c r="AY115" s="254">
        <v>0</v>
      </c>
    </row>
    <row r="116" spans="2:51">
      <c r="B116" s="223">
        <v>10378</v>
      </c>
      <c r="C116" s="223" t="s">
        <v>119</v>
      </c>
      <c r="D116" s="254">
        <v>0</v>
      </c>
      <c r="E116" s="254">
        <v>0</v>
      </c>
      <c r="F116" s="254">
        <v>276.19499999999999</v>
      </c>
      <c r="G116" s="254">
        <v>0</v>
      </c>
      <c r="H116" s="254">
        <v>977.72115384615427</v>
      </c>
      <c r="I116" s="254">
        <v>0</v>
      </c>
      <c r="J116" s="254">
        <v>1285.4824999999996</v>
      </c>
      <c r="K116" s="254">
        <v>0</v>
      </c>
      <c r="L116" s="254">
        <v>626.92708333333383</v>
      </c>
      <c r="M116" s="254">
        <v>0</v>
      </c>
      <c r="N116" s="254">
        <v>605.21527777777783</v>
      </c>
      <c r="O116" s="254">
        <v>0</v>
      </c>
      <c r="P116" s="254">
        <v>444.0384615384616</v>
      </c>
      <c r="Q116" s="254">
        <v>0</v>
      </c>
      <c r="R116" s="254">
        <v>0</v>
      </c>
      <c r="S116" s="254">
        <v>0</v>
      </c>
      <c r="T116" s="254">
        <v>245.08653846153859</v>
      </c>
      <c r="U116" s="254">
        <v>0</v>
      </c>
      <c r="V116" s="254">
        <v>294.19750000000005</v>
      </c>
      <c r="W116" s="254">
        <v>0</v>
      </c>
      <c r="X116" s="254">
        <v>296.86111111111137</v>
      </c>
      <c r="Y116" s="254">
        <v>0</v>
      </c>
      <c r="Z116" s="254">
        <v>364.93250000000018</v>
      </c>
      <c r="AA116" s="254">
        <v>0</v>
      </c>
      <c r="AB116" s="254">
        <v>0</v>
      </c>
      <c r="AC116" s="254">
        <v>0</v>
      </c>
      <c r="AD116" s="254">
        <v>287.83000000000004</v>
      </c>
      <c r="AE116" s="254">
        <v>0</v>
      </c>
      <c r="AF116" s="254">
        <v>995.69230769230751</v>
      </c>
      <c r="AG116" s="254">
        <v>0</v>
      </c>
      <c r="AH116" s="254">
        <v>1307.1974999999995</v>
      </c>
      <c r="AI116" s="254">
        <v>0</v>
      </c>
      <c r="AJ116" s="254">
        <v>642.14583333333314</v>
      </c>
      <c r="AK116" s="254">
        <v>0</v>
      </c>
      <c r="AL116" s="254">
        <v>617.21527777777783</v>
      </c>
      <c r="AM116" s="254">
        <v>0</v>
      </c>
      <c r="AN116" s="254">
        <v>377.72249999999997</v>
      </c>
      <c r="AO116" s="254">
        <v>0</v>
      </c>
      <c r="AP116" s="254">
        <v>52.656249999999908</v>
      </c>
      <c r="AQ116" s="254">
        <v>0</v>
      </c>
      <c r="AR116" s="254">
        <v>248.3509615384616</v>
      </c>
      <c r="AS116" s="254">
        <v>0</v>
      </c>
      <c r="AT116" s="254">
        <v>298.44249999999965</v>
      </c>
      <c r="AU116" s="254">
        <v>0</v>
      </c>
      <c r="AV116" s="254">
        <v>300.34490740740705</v>
      </c>
      <c r="AW116" s="254">
        <v>0</v>
      </c>
      <c r="AX116" s="254">
        <v>367.20000000000005</v>
      </c>
      <c r="AY116" s="254">
        <v>0</v>
      </c>
    </row>
    <row r="117" spans="2:51">
      <c r="B117" s="223">
        <v>10379</v>
      </c>
      <c r="C117" s="223" t="s">
        <v>120</v>
      </c>
      <c r="D117" s="254">
        <v>309.10336538461536</v>
      </c>
      <c r="E117" s="254">
        <v>0</v>
      </c>
      <c r="F117" s="254">
        <v>6.5350000000004016</v>
      </c>
      <c r="G117" s="254">
        <v>0</v>
      </c>
      <c r="H117" s="254">
        <v>1249.7884615384621</v>
      </c>
      <c r="I117" s="254">
        <v>0</v>
      </c>
      <c r="J117" s="254">
        <v>848.03500000000008</v>
      </c>
      <c r="K117" s="254">
        <v>0</v>
      </c>
      <c r="L117" s="254">
        <v>733.57552083333303</v>
      </c>
      <c r="M117" s="254">
        <v>0</v>
      </c>
      <c r="N117" s="254">
        <v>886.96064814814918</v>
      </c>
      <c r="O117" s="254">
        <v>0</v>
      </c>
      <c r="P117" s="254">
        <v>266.68028846153823</v>
      </c>
      <c r="Q117" s="254">
        <v>0</v>
      </c>
      <c r="R117" s="254">
        <v>433.22000000000037</v>
      </c>
      <c r="S117" s="254">
        <v>0</v>
      </c>
      <c r="T117" s="254">
        <v>1216.3197115384614</v>
      </c>
      <c r="U117" s="254">
        <v>0</v>
      </c>
      <c r="V117" s="254">
        <v>834.52750000000015</v>
      </c>
      <c r="W117" s="254">
        <v>0</v>
      </c>
      <c r="X117" s="254">
        <v>1128.3101851851852</v>
      </c>
      <c r="Y117" s="254">
        <v>0</v>
      </c>
      <c r="Z117" s="254">
        <v>974.39500000000021</v>
      </c>
      <c r="AA117" s="254">
        <v>0</v>
      </c>
      <c r="AB117" s="254">
        <v>321.51682692307747</v>
      </c>
      <c r="AC117" s="254">
        <v>0</v>
      </c>
      <c r="AD117" s="254">
        <v>17.514999999999503</v>
      </c>
      <c r="AE117" s="254">
        <v>0</v>
      </c>
      <c r="AF117" s="254">
        <v>1261.1874999999991</v>
      </c>
      <c r="AG117" s="254">
        <v>0</v>
      </c>
      <c r="AH117" s="254">
        <v>859.54750000000035</v>
      </c>
      <c r="AI117" s="254">
        <v>0</v>
      </c>
      <c r="AJ117" s="254">
        <v>743.63020833333326</v>
      </c>
      <c r="AK117" s="254">
        <v>0</v>
      </c>
      <c r="AL117" s="254">
        <v>901.6921296296299</v>
      </c>
      <c r="AM117" s="254">
        <v>0</v>
      </c>
      <c r="AN117" s="254">
        <v>89.059999999999917</v>
      </c>
      <c r="AO117" s="254">
        <v>0</v>
      </c>
      <c r="AP117" s="254">
        <v>599.05528846153857</v>
      </c>
      <c r="AQ117" s="254">
        <v>0</v>
      </c>
      <c r="AR117" s="254">
        <v>1231.1586538461543</v>
      </c>
      <c r="AS117" s="254">
        <v>0</v>
      </c>
      <c r="AT117" s="254">
        <v>848.35499999999979</v>
      </c>
      <c r="AU117" s="254">
        <v>0</v>
      </c>
      <c r="AV117" s="254">
        <v>1143.0069444444446</v>
      </c>
      <c r="AW117" s="254">
        <v>0</v>
      </c>
      <c r="AX117" s="254">
        <v>986.82749999999987</v>
      </c>
      <c r="AY117" s="254">
        <v>0</v>
      </c>
    </row>
    <row r="118" spans="2:51">
      <c r="B118" s="223">
        <v>10388</v>
      </c>
      <c r="C118" s="223" t="s">
        <v>121</v>
      </c>
      <c r="D118" s="254">
        <v>0</v>
      </c>
      <c r="E118" s="254">
        <v>0</v>
      </c>
      <c r="F118" s="254">
        <v>0</v>
      </c>
      <c r="G118" s="254">
        <v>0</v>
      </c>
      <c r="H118" s="254">
        <v>0</v>
      </c>
      <c r="I118" s="254">
        <v>0</v>
      </c>
      <c r="J118" s="254">
        <v>0</v>
      </c>
      <c r="K118" s="254">
        <v>0</v>
      </c>
      <c r="L118" s="254">
        <v>0</v>
      </c>
      <c r="M118" s="254">
        <v>0</v>
      </c>
      <c r="N118" s="254">
        <v>0</v>
      </c>
      <c r="O118" s="254">
        <v>0</v>
      </c>
      <c r="P118" s="254">
        <v>0</v>
      </c>
      <c r="Q118" s="254">
        <v>0</v>
      </c>
      <c r="R118" s="254">
        <v>0</v>
      </c>
      <c r="S118" s="254">
        <v>0</v>
      </c>
      <c r="T118" s="254">
        <v>0</v>
      </c>
      <c r="U118" s="254">
        <v>0</v>
      </c>
      <c r="V118" s="254">
        <v>0</v>
      </c>
      <c r="W118" s="254">
        <v>0</v>
      </c>
      <c r="X118" s="254">
        <v>0</v>
      </c>
      <c r="Y118" s="254">
        <v>0</v>
      </c>
      <c r="Z118" s="254">
        <v>0</v>
      </c>
      <c r="AA118" s="254">
        <v>0</v>
      </c>
      <c r="AB118" s="254">
        <v>0</v>
      </c>
      <c r="AC118" s="254">
        <v>0</v>
      </c>
      <c r="AD118" s="254">
        <v>0</v>
      </c>
      <c r="AE118" s="254">
        <v>0</v>
      </c>
      <c r="AF118" s="254">
        <v>0</v>
      </c>
      <c r="AG118" s="254">
        <v>0</v>
      </c>
      <c r="AH118" s="254">
        <v>0</v>
      </c>
      <c r="AI118" s="254">
        <v>0</v>
      </c>
      <c r="AJ118" s="254">
        <v>0</v>
      </c>
      <c r="AK118" s="254">
        <v>0</v>
      </c>
      <c r="AL118" s="254">
        <v>0</v>
      </c>
      <c r="AM118" s="254">
        <v>0</v>
      </c>
      <c r="AN118" s="254">
        <v>0</v>
      </c>
      <c r="AO118" s="254">
        <v>0</v>
      </c>
      <c r="AP118" s="254">
        <v>0</v>
      </c>
      <c r="AQ118" s="254">
        <v>0</v>
      </c>
      <c r="AR118" s="254">
        <v>0</v>
      </c>
      <c r="AS118" s="254">
        <v>0</v>
      </c>
      <c r="AT118" s="254">
        <v>0</v>
      </c>
      <c r="AU118" s="254">
        <v>0</v>
      </c>
      <c r="AV118" s="254">
        <v>0</v>
      </c>
      <c r="AW118" s="254">
        <v>0</v>
      </c>
      <c r="AX118" s="254">
        <v>0</v>
      </c>
      <c r="AY118" s="254">
        <v>0</v>
      </c>
    </row>
    <row r="119" spans="2:51">
      <c r="B119" s="223">
        <v>10391</v>
      </c>
      <c r="C119" s="223" t="s">
        <v>122</v>
      </c>
      <c r="D119" s="254">
        <v>489.93990384615762</v>
      </c>
      <c r="E119" s="254">
        <v>0</v>
      </c>
      <c r="F119" s="254">
        <v>2444.3700000000013</v>
      </c>
      <c r="G119" s="254">
        <v>0</v>
      </c>
      <c r="H119" s="254">
        <v>6056.1442307692296</v>
      </c>
      <c r="I119" s="254">
        <v>0</v>
      </c>
      <c r="J119" s="254">
        <v>3885.7600000000029</v>
      </c>
      <c r="K119" s="254">
        <v>0</v>
      </c>
      <c r="L119" s="254">
        <v>150.59895833333849</v>
      </c>
      <c r="M119" s="254">
        <v>0</v>
      </c>
      <c r="N119" s="254">
        <v>1636.7615740740716</v>
      </c>
      <c r="O119" s="254">
        <v>0</v>
      </c>
      <c r="P119" s="254">
        <v>679.79807692307577</v>
      </c>
      <c r="Q119" s="254">
        <v>0</v>
      </c>
      <c r="R119" s="254">
        <v>2694.9775000000013</v>
      </c>
      <c r="S119" s="254">
        <v>0</v>
      </c>
      <c r="T119" s="254">
        <v>3966.141826923078</v>
      </c>
      <c r="U119" s="254">
        <v>0</v>
      </c>
      <c r="V119" s="254">
        <v>8310.600000000004</v>
      </c>
      <c r="W119" s="254">
        <v>0</v>
      </c>
      <c r="X119" s="254">
        <v>7500.7662037036998</v>
      </c>
      <c r="Y119" s="254">
        <v>0</v>
      </c>
      <c r="Z119" s="254">
        <v>109.70000000000013</v>
      </c>
      <c r="AA119" s="254">
        <v>0</v>
      </c>
      <c r="AB119" s="254">
        <v>716.42307692307929</v>
      </c>
      <c r="AC119" s="254">
        <v>0</v>
      </c>
      <c r="AD119" s="254">
        <v>2683.2900000000013</v>
      </c>
      <c r="AE119" s="254">
        <v>0</v>
      </c>
      <c r="AF119" s="254">
        <v>6312.1081730769238</v>
      </c>
      <c r="AG119" s="254">
        <v>0</v>
      </c>
      <c r="AH119" s="254">
        <v>4121.0325000000039</v>
      </c>
      <c r="AI119" s="254">
        <v>0</v>
      </c>
      <c r="AJ119" s="254">
        <v>351.98437500000955</v>
      </c>
      <c r="AK119" s="254">
        <v>0</v>
      </c>
      <c r="AL119" s="254">
        <v>1893.3101851851859</v>
      </c>
      <c r="AM119" s="254">
        <v>0</v>
      </c>
      <c r="AN119" s="254">
        <v>0</v>
      </c>
      <c r="AO119" s="254">
        <v>0</v>
      </c>
      <c r="AP119" s="254">
        <v>4339.0865384615372</v>
      </c>
      <c r="AQ119" s="254">
        <v>0</v>
      </c>
      <c r="AR119" s="254">
        <v>4195.2740384615408</v>
      </c>
      <c r="AS119" s="254">
        <v>0</v>
      </c>
      <c r="AT119" s="254">
        <v>8539.215000000002</v>
      </c>
      <c r="AU119" s="254">
        <v>0</v>
      </c>
      <c r="AV119" s="254">
        <v>7743.2662037036998</v>
      </c>
      <c r="AW119" s="254">
        <v>0</v>
      </c>
      <c r="AX119" s="254">
        <v>333.19499999999994</v>
      </c>
      <c r="AY119" s="254">
        <v>0</v>
      </c>
    </row>
    <row r="120" spans="2:51">
      <c r="B120" s="223">
        <v>10406</v>
      </c>
      <c r="C120" s="223" t="s">
        <v>123</v>
      </c>
      <c r="D120" s="254">
        <v>103.24278846153842</v>
      </c>
      <c r="E120" s="254">
        <v>0</v>
      </c>
      <c r="F120" s="254">
        <v>165.05750000000003</v>
      </c>
      <c r="G120" s="254">
        <v>0</v>
      </c>
      <c r="H120" s="254">
        <v>34.807692307692371</v>
      </c>
      <c r="I120" s="254">
        <v>0</v>
      </c>
      <c r="J120" s="254">
        <v>127.1700000000002</v>
      </c>
      <c r="K120" s="254">
        <v>0</v>
      </c>
      <c r="L120" s="254">
        <v>96.812499999999972</v>
      </c>
      <c r="M120" s="254">
        <v>0</v>
      </c>
      <c r="N120" s="254">
        <v>213.42824074074068</v>
      </c>
      <c r="O120" s="254">
        <v>0</v>
      </c>
      <c r="P120" s="254">
        <v>68.180288461538396</v>
      </c>
      <c r="Q120" s="254">
        <v>0</v>
      </c>
      <c r="R120" s="254">
        <v>5.1724999999999133</v>
      </c>
      <c r="S120" s="254">
        <v>0</v>
      </c>
      <c r="T120" s="254">
        <v>0</v>
      </c>
      <c r="U120" s="254">
        <v>0</v>
      </c>
      <c r="V120" s="254">
        <v>0</v>
      </c>
      <c r="W120" s="254">
        <v>0</v>
      </c>
      <c r="X120" s="254">
        <v>0</v>
      </c>
      <c r="Y120" s="254">
        <v>0</v>
      </c>
      <c r="Z120" s="254">
        <v>0</v>
      </c>
      <c r="AA120" s="254">
        <v>0</v>
      </c>
      <c r="AB120" s="254">
        <v>110.78846153846153</v>
      </c>
      <c r="AC120" s="254">
        <v>0</v>
      </c>
      <c r="AD120" s="254">
        <v>175.38749999999996</v>
      </c>
      <c r="AE120" s="254">
        <v>0</v>
      </c>
      <c r="AF120" s="254">
        <v>50.526442307692157</v>
      </c>
      <c r="AG120" s="254">
        <v>0</v>
      </c>
      <c r="AH120" s="254">
        <v>143.97500000000016</v>
      </c>
      <c r="AI120" s="254">
        <v>0</v>
      </c>
      <c r="AJ120" s="254">
        <v>109.21614583333339</v>
      </c>
      <c r="AK120" s="254">
        <v>0</v>
      </c>
      <c r="AL120" s="254">
        <v>225.33564814814815</v>
      </c>
      <c r="AM120" s="254">
        <v>0</v>
      </c>
      <c r="AN120" s="254">
        <v>78.16749999999989</v>
      </c>
      <c r="AO120" s="254">
        <v>0</v>
      </c>
      <c r="AP120" s="254">
        <v>9.8533653846153424</v>
      </c>
      <c r="AQ120" s="254">
        <v>0</v>
      </c>
      <c r="AR120" s="254">
        <v>0</v>
      </c>
      <c r="AS120" s="254">
        <v>0</v>
      </c>
      <c r="AT120" s="254">
        <v>0</v>
      </c>
      <c r="AU120" s="254">
        <v>0</v>
      </c>
      <c r="AV120" s="254">
        <v>0</v>
      </c>
      <c r="AW120" s="254">
        <v>0</v>
      </c>
      <c r="AX120" s="254">
        <v>0</v>
      </c>
      <c r="AY120" s="254">
        <v>0</v>
      </c>
    </row>
    <row r="121" spans="2:51">
      <c r="B121" s="223">
        <v>10408</v>
      </c>
      <c r="C121" s="223" t="s">
        <v>124</v>
      </c>
      <c r="D121" s="254">
        <v>145.06730769230776</v>
      </c>
      <c r="E121" s="254">
        <v>0</v>
      </c>
      <c r="F121" s="254">
        <v>214.36499999999992</v>
      </c>
      <c r="G121" s="254">
        <v>0</v>
      </c>
      <c r="H121" s="254">
        <v>144.91586538461561</v>
      </c>
      <c r="I121" s="254">
        <v>0</v>
      </c>
      <c r="J121" s="254">
        <v>153.60750000000013</v>
      </c>
      <c r="K121" s="254">
        <v>0</v>
      </c>
      <c r="L121" s="254">
        <v>324.99739583333337</v>
      </c>
      <c r="M121" s="254">
        <v>0</v>
      </c>
      <c r="N121" s="254">
        <v>198.21064814814812</v>
      </c>
      <c r="O121" s="254">
        <v>0</v>
      </c>
      <c r="P121" s="254">
        <v>145.94230769230776</v>
      </c>
      <c r="Q121" s="254">
        <v>0</v>
      </c>
      <c r="R121" s="254">
        <v>254.91750000000025</v>
      </c>
      <c r="S121" s="254">
        <v>0</v>
      </c>
      <c r="T121" s="254">
        <v>226.30528846153825</v>
      </c>
      <c r="U121" s="254">
        <v>0</v>
      </c>
      <c r="V121" s="254">
        <v>188.40000000000018</v>
      </c>
      <c r="W121" s="254">
        <v>0</v>
      </c>
      <c r="X121" s="254">
        <v>197.74768518518522</v>
      </c>
      <c r="Y121" s="254">
        <v>0</v>
      </c>
      <c r="Z121" s="254">
        <v>463.38250000000028</v>
      </c>
      <c r="AA121" s="254">
        <v>0</v>
      </c>
      <c r="AB121" s="254">
        <v>145.06730769230776</v>
      </c>
      <c r="AC121" s="254">
        <v>0</v>
      </c>
      <c r="AD121" s="254">
        <v>214.36499999999992</v>
      </c>
      <c r="AE121" s="254">
        <v>0</v>
      </c>
      <c r="AF121" s="254">
        <v>144.91586538461561</v>
      </c>
      <c r="AG121" s="254">
        <v>0</v>
      </c>
      <c r="AH121" s="254">
        <v>153.60750000000013</v>
      </c>
      <c r="AI121" s="254">
        <v>0</v>
      </c>
      <c r="AJ121" s="254">
        <v>324.99739583333337</v>
      </c>
      <c r="AK121" s="254">
        <v>0</v>
      </c>
      <c r="AL121" s="254">
        <v>198.21064814814812</v>
      </c>
      <c r="AM121" s="254">
        <v>0</v>
      </c>
      <c r="AN121" s="254">
        <v>168.0100000000001</v>
      </c>
      <c r="AO121" s="254">
        <v>0</v>
      </c>
      <c r="AP121" s="254">
        <v>235.22836538461556</v>
      </c>
      <c r="AQ121" s="254">
        <v>0</v>
      </c>
      <c r="AR121" s="254">
        <v>226.30528846153825</v>
      </c>
      <c r="AS121" s="254">
        <v>0</v>
      </c>
      <c r="AT121" s="254">
        <v>188.40000000000018</v>
      </c>
      <c r="AU121" s="254">
        <v>0</v>
      </c>
      <c r="AV121" s="254">
        <v>197.74768518518522</v>
      </c>
      <c r="AW121" s="254">
        <v>0</v>
      </c>
      <c r="AX121" s="254">
        <v>463.38250000000028</v>
      </c>
      <c r="AY121" s="254">
        <v>0</v>
      </c>
    </row>
    <row r="122" spans="2:51">
      <c r="B122" s="223">
        <v>10409</v>
      </c>
      <c r="C122" s="223" t="s">
        <v>125</v>
      </c>
      <c r="D122" s="254">
        <v>1170.3413461538462</v>
      </c>
      <c r="E122" s="254">
        <v>0</v>
      </c>
      <c r="F122" s="254">
        <v>242.55250000000129</v>
      </c>
      <c r="G122" s="254">
        <v>0</v>
      </c>
      <c r="H122" s="254">
        <v>2539.0096153846139</v>
      </c>
      <c r="I122" s="254">
        <v>0</v>
      </c>
      <c r="J122" s="254">
        <v>2428.3200000000029</v>
      </c>
      <c r="K122" s="254">
        <v>0</v>
      </c>
      <c r="L122" s="254">
        <v>2694.473958333333</v>
      </c>
      <c r="M122" s="254">
        <v>0</v>
      </c>
      <c r="N122" s="254">
        <v>1933.9236111111143</v>
      </c>
      <c r="O122" s="254">
        <v>0</v>
      </c>
      <c r="P122" s="254">
        <v>1174.5192307692346</v>
      </c>
      <c r="Q122" s="254">
        <v>0</v>
      </c>
      <c r="R122" s="254">
        <v>704.88250000000005</v>
      </c>
      <c r="S122" s="254">
        <v>0</v>
      </c>
      <c r="T122" s="254">
        <v>4314.2139423076933</v>
      </c>
      <c r="U122" s="254">
        <v>0</v>
      </c>
      <c r="V122" s="254">
        <v>2030.6674999999964</v>
      </c>
      <c r="W122" s="254">
        <v>0</v>
      </c>
      <c r="X122" s="254">
        <v>3534.9050925925944</v>
      </c>
      <c r="Y122" s="254">
        <v>0</v>
      </c>
      <c r="Z122" s="254">
        <v>2697.2949999999983</v>
      </c>
      <c r="AA122" s="254">
        <v>0</v>
      </c>
      <c r="AB122" s="254">
        <v>2325.8341346153866</v>
      </c>
      <c r="AC122" s="254">
        <v>0</v>
      </c>
      <c r="AD122" s="254">
        <v>1573.4375000000034</v>
      </c>
      <c r="AE122" s="254">
        <v>0</v>
      </c>
      <c r="AF122" s="254">
        <v>1866.223557692304</v>
      </c>
      <c r="AG122" s="254">
        <v>0</v>
      </c>
      <c r="AH122" s="254">
        <v>3585.0975000000035</v>
      </c>
      <c r="AI122" s="254">
        <v>0</v>
      </c>
      <c r="AJ122" s="254">
        <v>4014.2369791666715</v>
      </c>
      <c r="AK122" s="254">
        <v>0</v>
      </c>
      <c r="AL122" s="254">
        <v>3405.6180555555557</v>
      </c>
      <c r="AM122" s="254">
        <v>0</v>
      </c>
      <c r="AN122" s="254">
        <v>2230.3725000000045</v>
      </c>
      <c r="AO122" s="254">
        <v>0</v>
      </c>
      <c r="AP122" s="254">
        <v>2203.1538461538462</v>
      </c>
      <c r="AQ122" s="254">
        <v>0</v>
      </c>
      <c r="AR122" s="254">
        <v>4314.2139423076933</v>
      </c>
      <c r="AS122" s="254">
        <v>0</v>
      </c>
      <c r="AT122" s="254">
        <v>2030.6674999999964</v>
      </c>
      <c r="AU122" s="254">
        <v>0</v>
      </c>
      <c r="AV122" s="254">
        <v>3534.9050925925944</v>
      </c>
      <c r="AW122" s="254">
        <v>0</v>
      </c>
      <c r="AX122" s="254">
        <v>2697.2949999999983</v>
      </c>
      <c r="AY122" s="254">
        <v>0</v>
      </c>
    </row>
    <row r="123" spans="2:51">
      <c r="B123" s="223">
        <v>10426</v>
      </c>
      <c r="C123" s="223" t="s">
        <v>126</v>
      </c>
      <c r="D123" s="254">
        <v>4623.0625000000009</v>
      </c>
      <c r="E123" s="254">
        <v>0</v>
      </c>
      <c r="F123" s="254">
        <v>3240.1550000000025</v>
      </c>
      <c r="G123" s="254">
        <v>0</v>
      </c>
      <c r="H123" s="254">
        <v>5789.9375000000009</v>
      </c>
      <c r="I123" s="254">
        <v>0</v>
      </c>
      <c r="J123" s="254">
        <v>4851.6249999999991</v>
      </c>
      <c r="K123" s="254">
        <v>0</v>
      </c>
      <c r="L123" s="254">
        <v>3445.6510416666665</v>
      </c>
      <c r="M123" s="254">
        <v>0</v>
      </c>
      <c r="N123" s="254">
        <v>7523.7685185185192</v>
      </c>
      <c r="O123" s="254">
        <v>0</v>
      </c>
      <c r="P123" s="254">
        <v>6865.5625000000009</v>
      </c>
      <c r="Q123" s="254">
        <v>0</v>
      </c>
      <c r="R123" s="254">
        <v>3768.4549999999981</v>
      </c>
      <c r="S123" s="254">
        <v>0</v>
      </c>
      <c r="T123" s="254">
        <v>4515.2067307692314</v>
      </c>
      <c r="U123" s="254">
        <v>0</v>
      </c>
      <c r="V123" s="254">
        <v>4426.5774999999976</v>
      </c>
      <c r="W123" s="254">
        <v>0</v>
      </c>
      <c r="X123" s="254">
        <v>5982.2731481481487</v>
      </c>
      <c r="Y123" s="254">
        <v>0</v>
      </c>
      <c r="Z123" s="254">
        <v>4771.9399999999987</v>
      </c>
      <c r="AA123" s="254">
        <v>0</v>
      </c>
      <c r="AB123" s="254">
        <v>4623.0625000000009</v>
      </c>
      <c r="AC123" s="254">
        <v>0</v>
      </c>
      <c r="AD123" s="254">
        <v>3240.1550000000025</v>
      </c>
      <c r="AE123" s="254">
        <v>0</v>
      </c>
      <c r="AF123" s="254">
        <v>5789.9375000000009</v>
      </c>
      <c r="AG123" s="254">
        <v>0</v>
      </c>
      <c r="AH123" s="254">
        <v>4851.6249999999991</v>
      </c>
      <c r="AI123" s="254">
        <v>0</v>
      </c>
      <c r="AJ123" s="254">
        <v>3445.6510416666665</v>
      </c>
      <c r="AK123" s="254">
        <v>0</v>
      </c>
      <c r="AL123" s="254">
        <v>7523.7685185185192</v>
      </c>
      <c r="AM123" s="254">
        <v>0</v>
      </c>
      <c r="AN123" s="254">
        <v>6344.5450000000001</v>
      </c>
      <c r="AO123" s="254">
        <v>0</v>
      </c>
      <c r="AP123" s="254">
        <v>4252.4759615384583</v>
      </c>
      <c r="AQ123" s="254">
        <v>0</v>
      </c>
      <c r="AR123" s="254">
        <v>4515.2067307692314</v>
      </c>
      <c r="AS123" s="254">
        <v>0</v>
      </c>
      <c r="AT123" s="254">
        <v>4426.5774999999976</v>
      </c>
      <c r="AU123" s="254">
        <v>0</v>
      </c>
      <c r="AV123" s="254">
        <v>5982.2731481481487</v>
      </c>
      <c r="AW123" s="254">
        <v>0</v>
      </c>
      <c r="AX123" s="254">
        <v>4771.9399999999987</v>
      </c>
      <c r="AY123" s="254">
        <v>0</v>
      </c>
    </row>
    <row r="124" spans="2:51">
      <c r="B124" s="223">
        <v>10434</v>
      </c>
      <c r="C124" s="223" t="s">
        <v>127</v>
      </c>
      <c r="D124" s="254">
        <v>0</v>
      </c>
      <c r="E124" s="254">
        <v>0</v>
      </c>
      <c r="F124" s="254">
        <v>614.45500000000129</v>
      </c>
      <c r="G124" s="254">
        <v>0</v>
      </c>
      <c r="H124" s="254">
        <v>3451.5144230769279</v>
      </c>
      <c r="I124" s="254">
        <v>0</v>
      </c>
      <c r="J124" s="254">
        <v>7480.6749999999984</v>
      </c>
      <c r="K124" s="254">
        <v>0</v>
      </c>
      <c r="L124" s="254">
        <v>691.01041666666242</v>
      </c>
      <c r="M124" s="254">
        <v>0</v>
      </c>
      <c r="N124" s="254">
        <v>2005.027777777781</v>
      </c>
      <c r="O124" s="254">
        <v>0</v>
      </c>
      <c r="P124" s="254">
        <v>3792.7740384615395</v>
      </c>
      <c r="Q124" s="254">
        <v>0</v>
      </c>
      <c r="R124" s="254">
        <v>4375.9225000000006</v>
      </c>
      <c r="S124" s="254">
        <v>0</v>
      </c>
      <c r="T124" s="254">
        <v>6406.7740384615345</v>
      </c>
      <c r="U124" s="254">
        <v>0</v>
      </c>
      <c r="V124" s="254">
        <v>7478.3175000000019</v>
      </c>
      <c r="W124" s="254">
        <v>0</v>
      </c>
      <c r="X124" s="254">
        <v>12729.469907407407</v>
      </c>
      <c r="Y124" s="254">
        <v>0</v>
      </c>
      <c r="Z124" s="254">
        <v>7613.9399999999951</v>
      </c>
      <c r="AA124" s="254">
        <v>0</v>
      </c>
      <c r="AB124" s="254">
        <v>0</v>
      </c>
      <c r="AC124" s="254">
        <v>0</v>
      </c>
      <c r="AD124" s="254">
        <v>658.82749999999919</v>
      </c>
      <c r="AE124" s="254">
        <v>0</v>
      </c>
      <c r="AF124" s="254">
        <v>3492.2043269230708</v>
      </c>
      <c r="AG124" s="254">
        <v>0</v>
      </c>
      <c r="AH124" s="254">
        <v>7547.2625000000025</v>
      </c>
      <c r="AI124" s="254">
        <v>0</v>
      </c>
      <c r="AJ124" s="254">
        <v>728.65104166666401</v>
      </c>
      <c r="AK124" s="254">
        <v>0</v>
      </c>
      <c r="AL124" s="254">
        <v>2045.8611111111163</v>
      </c>
      <c r="AM124" s="254">
        <v>0</v>
      </c>
      <c r="AN124" s="254">
        <v>2814.8649999999993</v>
      </c>
      <c r="AO124" s="254">
        <v>0</v>
      </c>
      <c r="AP124" s="254">
        <v>5362.1153846153811</v>
      </c>
      <c r="AQ124" s="254">
        <v>0</v>
      </c>
      <c r="AR124" s="254">
        <v>6482.3413461538448</v>
      </c>
      <c r="AS124" s="254">
        <v>0</v>
      </c>
      <c r="AT124" s="254">
        <v>7553.6925000000028</v>
      </c>
      <c r="AU124" s="254">
        <v>0</v>
      </c>
      <c r="AV124" s="254">
        <v>12839.456018518516</v>
      </c>
      <c r="AW124" s="254">
        <v>0</v>
      </c>
      <c r="AX124" s="254">
        <v>7680.8624999999956</v>
      </c>
      <c r="AY124" s="254">
        <v>0</v>
      </c>
    </row>
    <row r="125" spans="2:51">
      <c r="B125" s="223">
        <v>10436</v>
      </c>
      <c r="C125" s="223" t="s">
        <v>128</v>
      </c>
      <c r="D125" s="254">
        <v>2995.4326923076924</v>
      </c>
      <c r="E125" s="254">
        <v>0</v>
      </c>
      <c r="F125" s="254">
        <v>767.48500000000331</v>
      </c>
      <c r="G125" s="254">
        <v>0</v>
      </c>
      <c r="H125" s="254">
        <v>814.19230769231012</v>
      </c>
      <c r="I125" s="254">
        <v>0</v>
      </c>
      <c r="J125" s="254">
        <v>1310.0900000000076</v>
      </c>
      <c r="K125" s="254">
        <v>0</v>
      </c>
      <c r="L125" s="254">
        <v>995.04947916666356</v>
      </c>
      <c r="M125" s="254">
        <v>0</v>
      </c>
      <c r="N125" s="254">
        <v>2454.0393518518499</v>
      </c>
      <c r="O125" s="254">
        <v>0</v>
      </c>
      <c r="P125" s="254">
        <v>3973.766826923078</v>
      </c>
      <c r="Q125" s="254">
        <v>0</v>
      </c>
      <c r="R125" s="254">
        <v>2776.3825000000006</v>
      </c>
      <c r="S125" s="254">
        <v>0</v>
      </c>
      <c r="T125" s="254">
        <v>4190.9062500000055</v>
      </c>
      <c r="U125" s="254">
        <v>0</v>
      </c>
      <c r="V125" s="254">
        <v>4481.3650000000052</v>
      </c>
      <c r="W125" s="254">
        <v>0</v>
      </c>
      <c r="X125" s="254">
        <v>4705.6759259259252</v>
      </c>
      <c r="Y125" s="254">
        <v>0</v>
      </c>
      <c r="Z125" s="254">
        <v>5821.5950000000003</v>
      </c>
      <c r="AA125" s="254">
        <v>0</v>
      </c>
      <c r="AB125" s="254">
        <v>3096.858173076922</v>
      </c>
      <c r="AC125" s="254">
        <v>0</v>
      </c>
      <c r="AD125" s="254">
        <v>873.15499999999963</v>
      </c>
      <c r="AE125" s="254">
        <v>0</v>
      </c>
      <c r="AF125" s="254">
        <v>928.0096153846182</v>
      </c>
      <c r="AG125" s="254">
        <v>0</v>
      </c>
      <c r="AH125" s="254">
        <v>1416.1024999999956</v>
      </c>
      <c r="AI125" s="254">
        <v>0</v>
      </c>
      <c r="AJ125" s="254">
        <v>1086.2786458333317</v>
      </c>
      <c r="AK125" s="254">
        <v>0</v>
      </c>
      <c r="AL125" s="254">
        <v>2570.2152777777796</v>
      </c>
      <c r="AM125" s="254">
        <v>0</v>
      </c>
      <c r="AN125" s="254">
        <v>3333.4324999999999</v>
      </c>
      <c r="AO125" s="254">
        <v>0</v>
      </c>
      <c r="AP125" s="254">
        <v>3867.3653846153861</v>
      </c>
      <c r="AQ125" s="254">
        <v>0</v>
      </c>
      <c r="AR125" s="254">
        <v>4293.211538461539</v>
      </c>
      <c r="AS125" s="254">
        <v>0</v>
      </c>
      <c r="AT125" s="254">
        <v>4583.3875000000025</v>
      </c>
      <c r="AU125" s="254">
        <v>0</v>
      </c>
      <c r="AV125" s="254">
        <v>4815.6296296296314</v>
      </c>
      <c r="AW125" s="254">
        <v>0</v>
      </c>
      <c r="AX125" s="254">
        <v>5925.6299999999965</v>
      </c>
      <c r="AY125" s="254">
        <v>0</v>
      </c>
    </row>
    <row r="126" spans="2:51">
      <c r="B126" s="223">
        <v>10440</v>
      </c>
      <c r="C126" s="223" t="s">
        <v>129</v>
      </c>
      <c r="D126" s="254">
        <v>120.17067307692342</v>
      </c>
      <c r="E126" s="254">
        <v>0</v>
      </c>
      <c r="F126" s="254">
        <v>391.07249999999863</v>
      </c>
      <c r="G126" s="254">
        <v>0</v>
      </c>
      <c r="H126" s="254">
        <v>974.18028846153868</v>
      </c>
      <c r="I126" s="254">
        <v>0</v>
      </c>
      <c r="J126" s="254">
        <v>536.5925000000002</v>
      </c>
      <c r="K126" s="254">
        <v>0</v>
      </c>
      <c r="L126" s="254">
        <v>1114.3281249999998</v>
      </c>
      <c r="M126" s="254">
        <v>0</v>
      </c>
      <c r="N126" s="254">
        <v>961.923611111112</v>
      </c>
      <c r="O126" s="254">
        <v>0</v>
      </c>
      <c r="P126" s="254">
        <v>318.79086538461542</v>
      </c>
      <c r="Q126" s="254">
        <v>0</v>
      </c>
      <c r="R126" s="254">
        <v>173.04999999999993</v>
      </c>
      <c r="S126" s="254">
        <v>0</v>
      </c>
      <c r="T126" s="254">
        <v>138.6274038461539</v>
      </c>
      <c r="U126" s="254">
        <v>0</v>
      </c>
      <c r="V126" s="254">
        <v>356.10500000000025</v>
      </c>
      <c r="W126" s="254">
        <v>0</v>
      </c>
      <c r="X126" s="254">
        <v>652.99537037036987</v>
      </c>
      <c r="Y126" s="254">
        <v>0</v>
      </c>
      <c r="Z126" s="254">
        <v>187.27749999999978</v>
      </c>
      <c r="AA126" s="254">
        <v>0</v>
      </c>
      <c r="AB126" s="254">
        <v>95.247596153846374</v>
      </c>
      <c r="AC126" s="254">
        <v>0</v>
      </c>
      <c r="AD126" s="254">
        <v>359.31749999999909</v>
      </c>
      <c r="AE126" s="254">
        <v>0</v>
      </c>
      <c r="AF126" s="254">
        <v>934.21874999999943</v>
      </c>
      <c r="AG126" s="254">
        <v>0</v>
      </c>
      <c r="AH126" s="254">
        <v>496.59750000000093</v>
      </c>
      <c r="AI126" s="254">
        <v>0</v>
      </c>
      <c r="AJ126" s="254">
        <v>1074.8880208333333</v>
      </c>
      <c r="AK126" s="254">
        <v>0</v>
      </c>
      <c r="AL126" s="254">
        <v>928.0023148148158</v>
      </c>
      <c r="AM126" s="254">
        <v>0</v>
      </c>
      <c r="AN126" s="254">
        <v>298.35749999999894</v>
      </c>
      <c r="AO126" s="254">
        <v>0</v>
      </c>
      <c r="AP126" s="254">
        <v>149.1850961538459</v>
      </c>
      <c r="AQ126" s="254">
        <v>0</v>
      </c>
      <c r="AR126" s="254">
        <v>118.68028846153855</v>
      </c>
      <c r="AS126" s="254">
        <v>0</v>
      </c>
      <c r="AT126" s="254">
        <v>337.09250000000014</v>
      </c>
      <c r="AU126" s="254">
        <v>0</v>
      </c>
      <c r="AV126" s="254">
        <v>633.62268518518476</v>
      </c>
      <c r="AW126" s="254">
        <v>0</v>
      </c>
      <c r="AX126" s="254">
        <v>167.22250000000005</v>
      </c>
      <c r="AY126" s="254">
        <v>0</v>
      </c>
    </row>
    <row r="127" spans="2:51">
      <c r="B127" s="223">
        <v>10442</v>
      </c>
      <c r="C127" s="223" t="s">
        <v>130</v>
      </c>
      <c r="D127" s="254">
        <v>1078.2331730769242</v>
      </c>
      <c r="E127" s="254">
        <v>0</v>
      </c>
      <c r="F127" s="254">
        <v>2112.4124999999976</v>
      </c>
      <c r="G127" s="254">
        <v>0</v>
      </c>
      <c r="H127" s="254">
        <v>2942.4375000000014</v>
      </c>
      <c r="I127" s="254">
        <v>0</v>
      </c>
      <c r="J127" s="254">
        <v>2355.6625000000022</v>
      </c>
      <c r="K127" s="254">
        <v>0</v>
      </c>
      <c r="L127" s="254">
        <v>0</v>
      </c>
      <c r="M127" s="254">
        <v>0</v>
      </c>
      <c r="N127" s="254">
        <v>2427.856481481479</v>
      </c>
      <c r="O127" s="254">
        <v>0</v>
      </c>
      <c r="P127" s="254">
        <v>980.95673076923083</v>
      </c>
      <c r="Q127" s="254">
        <v>0</v>
      </c>
      <c r="R127" s="254">
        <v>744.82250000000022</v>
      </c>
      <c r="S127" s="254">
        <v>0</v>
      </c>
      <c r="T127" s="254">
        <v>2705.0552884615372</v>
      </c>
      <c r="U127" s="254">
        <v>0</v>
      </c>
      <c r="V127" s="254">
        <v>1716.46</v>
      </c>
      <c r="W127" s="254">
        <v>0</v>
      </c>
      <c r="X127" s="254">
        <v>2423.108796296297</v>
      </c>
      <c r="Y127" s="254">
        <v>0</v>
      </c>
      <c r="Z127" s="254">
        <v>2603.2274999999986</v>
      </c>
      <c r="AA127" s="254">
        <v>0</v>
      </c>
      <c r="AB127" s="254">
        <v>966.83413461538419</v>
      </c>
      <c r="AC127" s="254">
        <v>0</v>
      </c>
      <c r="AD127" s="254">
        <v>1992.3374999999996</v>
      </c>
      <c r="AE127" s="254">
        <v>0</v>
      </c>
      <c r="AF127" s="254">
        <v>2860.7019230769229</v>
      </c>
      <c r="AG127" s="254">
        <v>0</v>
      </c>
      <c r="AH127" s="254">
        <v>2270.6774999999989</v>
      </c>
      <c r="AI127" s="254">
        <v>0</v>
      </c>
      <c r="AJ127" s="254">
        <v>0</v>
      </c>
      <c r="AK127" s="254">
        <v>0</v>
      </c>
      <c r="AL127" s="254">
        <v>2336.641203703703</v>
      </c>
      <c r="AM127" s="254">
        <v>0</v>
      </c>
      <c r="AN127" s="254">
        <v>909.5025000000021</v>
      </c>
      <c r="AO127" s="254">
        <v>0</v>
      </c>
      <c r="AP127" s="254">
        <v>708.15384615384551</v>
      </c>
      <c r="AQ127" s="254">
        <v>0</v>
      </c>
      <c r="AR127" s="254">
        <v>2660.3822115384619</v>
      </c>
      <c r="AS127" s="254">
        <v>0</v>
      </c>
      <c r="AT127" s="254">
        <v>1690.2774999999992</v>
      </c>
      <c r="AU127" s="254">
        <v>0</v>
      </c>
      <c r="AV127" s="254">
        <v>2394.4560185185196</v>
      </c>
      <c r="AW127" s="254">
        <v>0</v>
      </c>
      <c r="AX127" s="254">
        <v>2574.1399999999994</v>
      </c>
      <c r="AY127" s="254">
        <v>0</v>
      </c>
    </row>
    <row r="128" spans="2:51">
      <c r="B128" s="223">
        <v>10446</v>
      </c>
      <c r="C128" s="223" t="s">
        <v>131</v>
      </c>
      <c r="D128" s="254">
        <v>6385.7524038461579</v>
      </c>
      <c r="E128" s="254">
        <v>0</v>
      </c>
      <c r="F128" s="254">
        <v>8757.5925000000079</v>
      </c>
      <c r="G128" s="254">
        <v>0</v>
      </c>
      <c r="H128" s="254">
        <v>10441.612980769241</v>
      </c>
      <c r="I128" s="254">
        <v>0</v>
      </c>
      <c r="J128" s="254">
        <v>8679.5175000000163</v>
      </c>
      <c r="K128" s="254">
        <v>0</v>
      </c>
      <c r="L128" s="254">
        <v>4741.8880208333339</v>
      </c>
      <c r="M128" s="254">
        <v>0</v>
      </c>
      <c r="N128" s="254">
        <v>9200.0833333333267</v>
      </c>
      <c r="O128" s="254">
        <v>0</v>
      </c>
      <c r="P128" s="254">
        <v>4275.3052884615299</v>
      </c>
      <c r="Q128" s="254">
        <v>0</v>
      </c>
      <c r="R128" s="254">
        <v>6817.9949999999999</v>
      </c>
      <c r="S128" s="254">
        <v>0</v>
      </c>
      <c r="T128" s="254">
        <v>8164.0240384615463</v>
      </c>
      <c r="U128" s="254">
        <v>0</v>
      </c>
      <c r="V128" s="254">
        <v>9642.8325000000114</v>
      </c>
      <c r="W128" s="254">
        <v>0</v>
      </c>
      <c r="X128" s="254">
        <v>8142.6620370370274</v>
      </c>
      <c r="Y128" s="254">
        <v>0</v>
      </c>
      <c r="Z128" s="254">
        <v>9694.9599999999937</v>
      </c>
      <c r="AA128" s="254">
        <v>0</v>
      </c>
      <c r="AB128" s="254">
        <v>6986.3028846153866</v>
      </c>
      <c r="AC128" s="254">
        <v>0</v>
      </c>
      <c r="AD128" s="254">
        <v>9468.8624999999938</v>
      </c>
      <c r="AE128" s="254">
        <v>0</v>
      </c>
      <c r="AF128" s="254">
        <v>11194.329326923073</v>
      </c>
      <c r="AG128" s="254">
        <v>0</v>
      </c>
      <c r="AH128" s="254">
        <v>7534.08499999999</v>
      </c>
      <c r="AI128" s="254">
        <v>0</v>
      </c>
      <c r="AJ128" s="254">
        <v>3643.5130208333294</v>
      </c>
      <c r="AK128" s="254">
        <v>0</v>
      </c>
      <c r="AL128" s="254">
        <v>8330.5347222222135</v>
      </c>
      <c r="AM128" s="254">
        <v>0</v>
      </c>
      <c r="AN128" s="254">
        <v>2896.5624999999927</v>
      </c>
      <c r="AO128" s="254">
        <v>0</v>
      </c>
      <c r="AP128" s="254">
        <v>5967.9158653846298</v>
      </c>
      <c r="AQ128" s="254">
        <v>0</v>
      </c>
      <c r="AR128" s="254">
        <v>7046.1778846153866</v>
      </c>
      <c r="AS128" s="254">
        <v>0</v>
      </c>
      <c r="AT128" s="254">
        <v>10345.387500000001</v>
      </c>
      <c r="AU128" s="254">
        <v>0</v>
      </c>
      <c r="AV128" s="254">
        <v>6714.4097222222144</v>
      </c>
      <c r="AW128" s="254">
        <v>0</v>
      </c>
      <c r="AX128" s="254">
        <v>8269.6200000000008</v>
      </c>
      <c r="AY128" s="254">
        <v>0</v>
      </c>
    </row>
    <row r="129" spans="2:51">
      <c r="B129" s="223">
        <v>10448</v>
      </c>
      <c r="C129" s="223" t="s">
        <v>132</v>
      </c>
      <c r="D129" s="254">
        <v>0</v>
      </c>
      <c r="E129" s="254">
        <v>0</v>
      </c>
      <c r="F129" s="254">
        <v>0</v>
      </c>
      <c r="G129" s="254">
        <v>0</v>
      </c>
      <c r="H129" s="254">
        <v>0</v>
      </c>
      <c r="I129" s="254">
        <v>0</v>
      </c>
      <c r="J129" s="254">
        <v>0</v>
      </c>
      <c r="K129" s="254">
        <v>0</v>
      </c>
      <c r="L129" s="254">
        <v>0</v>
      </c>
      <c r="M129" s="254">
        <v>0</v>
      </c>
      <c r="N129" s="254">
        <v>0</v>
      </c>
      <c r="O129" s="254">
        <v>0</v>
      </c>
      <c r="P129" s="254">
        <v>0</v>
      </c>
      <c r="Q129" s="254">
        <v>0</v>
      </c>
      <c r="R129" s="254">
        <v>0</v>
      </c>
      <c r="S129" s="254">
        <v>0</v>
      </c>
      <c r="T129" s="254">
        <v>0</v>
      </c>
      <c r="U129" s="254">
        <v>0</v>
      </c>
      <c r="V129" s="254">
        <v>0</v>
      </c>
      <c r="W129" s="254">
        <v>0</v>
      </c>
      <c r="X129" s="254">
        <v>0</v>
      </c>
      <c r="Y129" s="254">
        <v>0</v>
      </c>
      <c r="Z129" s="254">
        <v>0</v>
      </c>
      <c r="AA129" s="254">
        <v>0</v>
      </c>
      <c r="AB129" s="254">
        <v>0</v>
      </c>
      <c r="AC129" s="254">
        <v>0</v>
      </c>
      <c r="AD129" s="254">
        <v>0</v>
      </c>
      <c r="AE129" s="254">
        <v>0</v>
      </c>
      <c r="AF129" s="254">
        <v>0</v>
      </c>
      <c r="AG129" s="254">
        <v>0</v>
      </c>
      <c r="AH129" s="254">
        <v>0</v>
      </c>
      <c r="AI129" s="254">
        <v>0</v>
      </c>
      <c r="AJ129" s="254">
        <v>0</v>
      </c>
      <c r="AK129" s="254">
        <v>0</v>
      </c>
      <c r="AL129" s="254">
        <v>0</v>
      </c>
      <c r="AM129" s="254">
        <v>0</v>
      </c>
      <c r="AN129" s="254">
        <v>0</v>
      </c>
      <c r="AO129" s="254">
        <v>0</v>
      </c>
      <c r="AP129" s="254">
        <v>0</v>
      </c>
      <c r="AQ129" s="254">
        <v>0</v>
      </c>
      <c r="AR129" s="254">
        <v>0</v>
      </c>
      <c r="AS129" s="254">
        <v>0</v>
      </c>
      <c r="AT129" s="254">
        <v>0</v>
      </c>
      <c r="AU129" s="254">
        <v>0</v>
      </c>
      <c r="AV129" s="254">
        <v>0</v>
      </c>
      <c r="AW129" s="254">
        <v>0</v>
      </c>
      <c r="AX129" s="254">
        <v>0</v>
      </c>
      <c r="AY129" s="254">
        <v>0</v>
      </c>
    </row>
    <row r="130" spans="2:51">
      <c r="B130" s="223">
        <v>10451</v>
      </c>
      <c r="C130" s="223" t="s">
        <v>133</v>
      </c>
      <c r="D130" s="254">
        <v>2431.2980769230776</v>
      </c>
      <c r="E130" s="254">
        <v>0</v>
      </c>
      <c r="F130" s="254">
        <v>2854.1650000000018</v>
      </c>
      <c r="G130" s="254">
        <v>0</v>
      </c>
      <c r="H130" s="254">
        <v>3056.9783653846157</v>
      </c>
      <c r="I130" s="254">
        <v>0</v>
      </c>
      <c r="J130" s="254">
        <v>2852.9999999999982</v>
      </c>
      <c r="K130" s="254">
        <v>0</v>
      </c>
      <c r="L130" s="254">
        <v>0</v>
      </c>
      <c r="M130" s="254">
        <v>0</v>
      </c>
      <c r="N130" s="254">
        <v>0</v>
      </c>
      <c r="O130" s="254">
        <v>0</v>
      </c>
      <c r="P130" s="254">
        <v>2512.6322115384596</v>
      </c>
      <c r="Q130" s="254">
        <v>0</v>
      </c>
      <c r="R130" s="254">
        <v>2415.9775000000004</v>
      </c>
      <c r="S130" s="254">
        <v>0</v>
      </c>
      <c r="T130" s="254">
        <v>4110.8124999999982</v>
      </c>
      <c r="U130" s="254">
        <v>0</v>
      </c>
      <c r="V130" s="254">
        <v>4762.8149999999996</v>
      </c>
      <c r="W130" s="254">
        <v>0</v>
      </c>
      <c r="X130" s="254">
        <v>4928.1018518518495</v>
      </c>
      <c r="Y130" s="254">
        <v>0</v>
      </c>
      <c r="Z130" s="254">
        <v>19625.680000000004</v>
      </c>
      <c r="AA130" s="254">
        <v>0</v>
      </c>
      <c r="AB130" s="254">
        <v>15648.257211538461</v>
      </c>
      <c r="AC130" s="254">
        <v>0</v>
      </c>
      <c r="AD130" s="254">
        <v>3168.810000000004</v>
      </c>
      <c r="AE130" s="254">
        <v>0</v>
      </c>
      <c r="AF130" s="254">
        <v>3387.0889423076919</v>
      </c>
      <c r="AG130" s="254">
        <v>0</v>
      </c>
      <c r="AH130" s="254">
        <v>3022.8974999999991</v>
      </c>
      <c r="AI130" s="254">
        <v>0</v>
      </c>
      <c r="AJ130" s="254">
        <v>0</v>
      </c>
      <c r="AK130" s="254">
        <v>0</v>
      </c>
      <c r="AL130" s="254">
        <v>0</v>
      </c>
      <c r="AM130" s="254">
        <v>0</v>
      </c>
      <c r="AN130" s="254">
        <v>2635.0950000000066</v>
      </c>
      <c r="AO130" s="254">
        <v>0</v>
      </c>
      <c r="AP130" s="254">
        <v>3040.1658653846084</v>
      </c>
      <c r="AQ130" s="254">
        <v>0</v>
      </c>
      <c r="AR130" s="254">
        <v>3537.4447115384628</v>
      </c>
      <c r="AS130" s="254">
        <v>0</v>
      </c>
      <c r="AT130" s="254">
        <v>2562.2024999999981</v>
      </c>
      <c r="AU130" s="254">
        <v>0</v>
      </c>
      <c r="AV130" s="254">
        <v>3119.5555555555502</v>
      </c>
      <c r="AW130" s="254">
        <v>0</v>
      </c>
      <c r="AX130" s="254">
        <v>3162.6150000000025</v>
      </c>
      <c r="AY130" s="254">
        <v>0</v>
      </c>
    </row>
    <row r="131" spans="2:51">
      <c r="B131" s="223">
        <v>10482</v>
      </c>
      <c r="C131" s="223" t="s">
        <v>134</v>
      </c>
      <c r="D131" s="254">
        <v>93.865384615384514</v>
      </c>
      <c r="E131" s="254">
        <v>0</v>
      </c>
      <c r="F131" s="254">
        <v>229.5024999999998</v>
      </c>
      <c r="G131" s="254">
        <v>0</v>
      </c>
      <c r="H131" s="254">
        <v>250.99999999999955</v>
      </c>
      <c r="I131" s="254">
        <v>0</v>
      </c>
      <c r="J131" s="254">
        <v>288.21500000000043</v>
      </c>
      <c r="K131" s="254">
        <v>0</v>
      </c>
      <c r="L131" s="254">
        <v>125.94531249999963</v>
      </c>
      <c r="M131" s="254">
        <v>0</v>
      </c>
      <c r="N131" s="254">
        <v>156.83101851851865</v>
      </c>
      <c r="O131" s="254">
        <v>0</v>
      </c>
      <c r="P131" s="254">
        <v>150.06730769230771</v>
      </c>
      <c r="Q131" s="254">
        <v>0</v>
      </c>
      <c r="R131" s="254">
        <v>229.45499999999984</v>
      </c>
      <c r="S131" s="254">
        <v>0</v>
      </c>
      <c r="T131" s="254">
        <v>432.75240384615381</v>
      </c>
      <c r="U131" s="254">
        <v>0</v>
      </c>
      <c r="V131" s="254">
        <v>303.09250000000003</v>
      </c>
      <c r="W131" s="254">
        <v>0</v>
      </c>
      <c r="X131" s="254">
        <v>565.92592592592587</v>
      </c>
      <c r="Y131" s="254">
        <v>0</v>
      </c>
      <c r="Z131" s="254">
        <v>299.69</v>
      </c>
      <c r="AA131" s="254">
        <v>0</v>
      </c>
      <c r="AB131" s="254">
        <v>93.865384615384514</v>
      </c>
      <c r="AC131" s="254">
        <v>0</v>
      </c>
      <c r="AD131" s="254">
        <v>229.5024999999998</v>
      </c>
      <c r="AE131" s="254">
        <v>0</v>
      </c>
      <c r="AF131" s="254">
        <v>250.99999999999955</v>
      </c>
      <c r="AG131" s="254">
        <v>0</v>
      </c>
      <c r="AH131" s="254">
        <v>288.21500000000043</v>
      </c>
      <c r="AI131" s="254">
        <v>0</v>
      </c>
      <c r="AJ131" s="254">
        <v>125.94531249999963</v>
      </c>
      <c r="AK131" s="254">
        <v>0</v>
      </c>
      <c r="AL131" s="254">
        <v>156.83101851851865</v>
      </c>
      <c r="AM131" s="254">
        <v>0</v>
      </c>
      <c r="AN131" s="254">
        <v>162.89750000000026</v>
      </c>
      <c r="AO131" s="254">
        <v>0</v>
      </c>
      <c r="AP131" s="254">
        <v>217.96394230769212</v>
      </c>
      <c r="AQ131" s="254">
        <v>0</v>
      </c>
      <c r="AR131" s="254">
        <v>432.75240384615381</v>
      </c>
      <c r="AS131" s="254">
        <v>0</v>
      </c>
      <c r="AT131" s="254">
        <v>303.09250000000003</v>
      </c>
      <c r="AU131" s="254">
        <v>0</v>
      </c>
      <c r="AV131" s="254">
        <v>565.92592592592587</v>
      </c>
      <c r="AW131" s="254">
        <v>0</v>
      </c>
      <c r="AX131" s="254">
        <v>299.69</v>
      </c>
      <c r="AY131" s="254">
        <v>0</v>
      </c>
    </row>
    <row r="132" spans="2:51">
      <c r="B132" s="223">
        <v>10502</v>
      </c>
      <c r="C132" s="223" t="s">
        <v>135</v>
      </c>
      <c r="D132" s="254">
        <v>3816.2451923076956</v>
      </c>
      <c r="E132" s="254">
        <v>0</v>
      </c>
      <c r="F132" s="254">
        <v>4173.2925000000023</v>
      </c>
      <c r="G132" s="254">
        <v>0</v>
      </c>
      <c r="H132" s="254">
        <v>2246.7091346153829</v>
      </c>
      <c r="I132" s="254">
        <v>0</v>
      </c>
      <c r="J132" s="254">
        <v>2634.7549999999997</v>
      </c>
      <c r="K132" s="254">
        <v>0</v>
      </c>
      <c r="L132" s="254">
        <v>2484.9401041666679</v>
      </c>
      <c r="M132" s="254">
        <v>0</v>
      </c>
      <c r="N132" s="254">
        <v>2930.7175925925926</v>
      </c>
      <c r="O132" s="254">
        <v>0</v>
      </c>
      <c r="P132" s="254">
        <v>4496.0913461538476</v>
      </c>
      <c r="Q132" s="254">
        <v>0</v>
      </c>
      <c r="R132" s="254">
        <v>3657.6025000000013</v>
      </c>
      <c r="S132" s="254">
        <v>0</v>
      </c>
      <c r="T132" s="254">
        <v>5553.382211538461</v>
      </c>
      <c r="U132" s="254">
        <v>0</v>
      </c>
      <c r="V132" s="254">
        <v>2514.684999999999</v>
      </c>
      <c r="W132" s="254">
        <v>0</v>
      </c>
      <c r="X132" s="254">
        <v>1571.6898148148114</v>
      </c>
      <c r="Y132" s="254">
        <v>0</v>
      </c>
      <c r="Z132" s="254">
        <v>6279.71</v>
      </c>
      <c r="AA132" s="254">
        <v>0</v>
      </c>
      <c r="AB132" s="254">
        <v>4268.9879807692305</v>
      </c>
      <c r="AC132" s="254">
        <v>0</v>
      </c>
      <c r="AD132" s="254">
        <v>4552.4475000000011</v>
      </c>
      <c r="AE132" s="254">
        <v>0</v>
      </c>
      <c r="AF132" s="254">
        <v>2585.2668269230767</v>
      </c>
      <c r="AG132" s="254">
        <v>0</v>
      </c>
      <c r="AH132" s="254">
        <v>2984.4324999999999</v>
      </c>
      <c r="AI132" s="254">
        <v>0</v>
      </c>
      <c r="AJ132" s="254">
        <v>2797.2187500000023</v>
      </c>
      <c r="AK132" s="254">
        <v>0</v>
      </c>
      <c r="AL132" s="254">
        <v>3237.9282407407409</v>
      </c>
      <c r="AM132" s="254">
        <v>0</v>
      </c>
      <c r="AN132" s="254">
        <v>4054.412499999999</v>
      </c>
      <c r="AO132" s="254">
        <v>0</v>
      </c>
      <c r="AP132" s="254">
        <v>4756.3798076923067</v>
      </c>
      <c r="AQ132" s="254">
        <v>0</v>
      </c>
      <c r="AR132" s="254">
        <v>5754.2908653846134</v>
      </c>
      <c r="AS132" s="254">
        <v>0</v>
      </c>
      <c r="AT132" s="254">
        <v>2636.8250000000007</v>
      </c>
      <c r="AU132" s="254">
        <v>0</v>
      </c>
      <c r="AV132" s="254">
        <v>1683.7662037036987</v>
      </c>
      <c r="AW132" s="254">
        <v>0</v>
      </c>
      <c r="AX132" s="254">
        <v>6379.5100000000011</v>
      </c>
      <c r="AY132" s="254">
        <v>0</v>
      </c>
    </row>
    <row r="133" spans="2:51">
      <c r="B133" s="223">
        <v>13927</v>
      </c>
      <c r="C133" s="223" t="s">
        <v>238</v>
      </c>
      <c r="D133" s="254">
        <v>0</v>
      </c>
      <c r="E133" s="254">
        <v>0</v>
      </c>
      <c r="F133" s="254">
        <v>0</v>
      </c>
      <c r="G133" s="254">
        <v>0</v>
      </c>
      <c r="H133" s="254">
        <v>0</v>
      </c>
      <c r="I133" s="254">
        <v>0</v>
      </c>
      <c r="J133" s="254">
        <v>0</v>
      </c>
      <c r="K133" s="254">
        <v>0</v>
      </c>
      <c r="L133" s="254">
        <v>0</v>
      </c>
      <c r="M133" s="254">
        <v>0</v>
      </c>
      <c r="N133" s="254">
        <v>0</v>
      </c>
      <c r="O133" s="254">
        <v>0</v>
      </c>
      <c r="P133" s="254">
        <v>0</v>
      </c>
      <c r="Q133" s="254">
        <v>0</v>
      </c>
      <c r="R133" s="254">
        <v>0</v>
      </c>
      <c r="S133" s="254">
        <v>0</v>
      </c>
      <c r="T133" s="254">
        <v>0</v>
      </c>
      <c r="U133" s="254">
        <v>0</v>
      </c>
      <c r="V133" s="254">
        <v>23.205000000000474</v>
      </c>
      <c r="W133" s="254">
        <v>0</v>
      </c>
      <c r="X133" s="254">
        <v>608.12731481481478</v>
      </c>
      <c r="Y133" s="254">
        <v>0</v>
      </c>
      <c r="Z133" s="254">
        <v>0</v>
      </c>
      <c r="AA133" s="254">
        <v>0</v>
      </c>
      <c r="AB133" s="254">
        <v>0</v>
      </c>
      <c r="AC133" s="254">
        <v>0</v>
      </c>
      <c r="AD133" s="254">
        <v>0</v>
      </c>
      <c r="AE133" s="254">
        <v>0</v>
      </c>
      <c r="AF133" s="254">
        <v>0</v>
      </c>
      <c r="AG133" s="254">
        <v>0</v>
      </c>
      <c r="AH133" s="254">
        <v>0</v>
      </c>
      <c r="AI133" s="254">
        <v>0</v>
      </c>
      <c r="AJ133" s="254">
        <v>0</v>
      </c>
      <c r="AK133" s="254">
        <v>0</v>
      </c>
      <c r="AL133" s="254">
        <v>0</v>
      </c>
      <c r="AM133" s="254">
        <v>0</v>
      </c>
      <c r="AN133" s="254">
        <v>0</v>
      </c>
      <c r="AO133" s="254">
        <v>0</v>
      </c>
      <c r="AP133" s="254">
        <v>0</v>
      </c>
      <c r="AQ133" s="254">
        <v>0</v>
      </c>
      <c r="AR133" s="254">
        <v>0</v>
      </c>
      <c r="AS133" s="254">
        <v>0</v>
      </c>
      <c r="AT133" s="254">
        <v>38.314999999999991</v>
      </c>
      <c r="AU133" s="254">
        <v>0</v>
      </c>
      <c r="AV133" s="254">
        <v>628.17592592592632</v>
      </c>
      <c r="AW133" s="254">
        <v>0</v>
      </c>
      <c r="AX133" s="254">
        <v>0</v>
      </c>
      <c r="AY133" s="254">
        <v>0</v>
      </c>
    </row>
    <row r="134" spans="2:51">
      <c r="B134" s="223">
        <v>10597</v>
      </c>
      <c r="C134" s="223" t="s">
        <v>136</v>
      </c>
      <c r="D134" s="254">
        <v>1784.3004807692316</v>
      </c>
      <c r="E134" s="254">
        <v>0</v>
      </c>
      <c r="F134" s="254">
        <v>1193.1099999999976</v>
      </c>
      <c r="G134" s="254">
        <v>0</v>
      </c>
      <c r="H134" s="254">
        <v>2726.850961538461</v>
      </c>
      <c r="I134" s="254">
        <v>0</v>
      </c>
      <c r="J134" s="254">
        <v>1271.7975000000013</v>
      </c>
      <c r="K134" s="254">
        <v>0</v>
      </c>
      <c r="L134" s="254">
        <v>1052.1536458333323</v>
      </c>
      <c r="M134" s="254">
        <v>0</v>
      </c>
      <c r="N134" s="254">
        <v>2233.083333333333</v>
      </c>
      <c r="O134" s="254">
        <v>0</v>
      </c>
      <c r="P134" s="254">
        <v>1638.9495192307704</v>
      </c>
      <c r="Q134" s="254">
        <v>0</v>
      </c>
      <c r="R134" s="254">
        <v>758.64499999999873</v>
      </c>
      <c r="S134" s="254">
        <v>0</v>
      </c>
      <c r="T134" s="254">
        <v>2268.6442307692305</v>
      </c>
      <c r="U134" s="254">
        <v>0</v>
      </c>
      <c r="V134" s="254">
        <v>2515.447499999997</v>
      </c>
      <c r="W134" s="254">
        <v>0</v>
      </c>
      <c r="X134" s="254">
        <v>2295.7754629629621</v>
      </c>
      <c r="Y134" s="254">
        <v>0</v>
      </c>
      <c r="Z134" s="254">
        <v>1705.0425000000021</v>
      </c>
      <c r="AA134" s="254">
        <v>0</v>
      </c>
      <c r="AB134" s="254">
        <v>1783.4302884615392</v>
      </c>
      <c r="AC134" s="254">
        <v>0</v>
      </c>
      <c r="AD134" s="254">
        <v>1187.1149999999973</v>
      </c>
      <c r="AE134" s="254">
        <v>0</v>
      </c>
      <c r="AF134" s="254">
        <v>2716.579326923079</v>
      </c>
      <c r="AG134" s="254">
        <v>0</v>
      </c>
      <c r="AH134" s="254">
        <v>1253.18</v>
      </c>
      <c r="AI134" s="254">
        <v>0</v>
      </c>
      <c r="AJ134" s="254">
        <v>1036.6718749999998</v>
      </c>
      <c r="AK134" s="254">
        <v>0</v>
      </c>
      <c r="AL134" s="254">
        <v>2222.712962962964</v>
      </c>
      <c r="AM134" s="254">
        <v>0</v>
      </c>
      <c r="AN134" s="254">
        <v>1178.4299999999985</v>
      </c>
      <c r="AO134" s="254">
        <v>0</v>
      </c>
      <c r="AP134" s="254">
        <v>1222.2067307692273</v>
      </c>
      <c r="AQ134" s="254">
        <v>0</v>
      </c>
      <c r="AR134" s="254">
        <v>2262.1201923076919</v>
      </c>
      <c r="AS134" s="254">
        <v>0</v>
      </c>
      <c r="AT134" s="254">
        <v>2512.5424999999987</v>
      </c>
      <c r="AU134" s="254">
        <v>0</v>
      </c>
      <c r="AV134" s="254">
        <v>2292.4444444444425</v>
      </c>
      <c r="AW134" s="254">
        <v>0</v>
      </c>
      <c r="AX134" s="254">
        <v>1698.1600000000005</v>
      </c>
      <c r="AY134" s="254">
        <v>0</v>
      </c>
    </row>
    <row r="135" spans="2:51">
      <c r="B135" s="223">
        <v>10706</v>
      </c>
      <c r="C135" s="223" t="s">
        <v>137</v>
      </c>
      <c r="D135" s="254">
        <v>2423.8894230769238</v>
      </c>
      <c r="E135" s="254">
        <v>0</v>
      </c>
      <c r="F135" s="254">
        <v>3024.9724999999989</v>
      </c>
      <c r="G135" s="254">
        <v>0</v>
      </c>
      <c r="H135" s="254">
        <v>3356.7644230769247</v>
      </c>
      <c r="I135" s="254">
        <v>0</v>
      </c>
      <c r="J135" s="254">
        <v>2654.7750000000005</v>
      </c>
      <c r="K135" s="254">
        <v>0</v>
      </c>
      <c r="L135" s="254">
        <v>2974.541666666667</v>
      </c>
      <c r="M135" s="254">
        <v>0</v>
      </c>
      <c r="N135" s="254">
        <v>3496.3032407407404</v>
      </c>
      <c r="O135" s="254">
        <v>0</v>
      </c>
      <c r="P135" s="254">
        <v>3021.9471153846157</v>
      </c>
      <c r="Q135" s="254">
        <v>0</v>
      </c>
      <c r="R135" s="254">
        <v>2283.6149999999993</v>
      </c>
      <c r="S135" s="254">
        <v>0</v>
      </c>
      <c r="T135" s="254">
        <v>2984.1947115384614</v>
      </c>
      <c r="U135" s="254">
        <v>0</v>
      </c>
      <c r="V135" s="254">
        <v>1632.4550000000002</v>
      </c>
      <c r="W135" s="254">
        <v>0</v>
      </c>
      <c r="X135" s="254">
        <v>3355.0115740740753</v>
      </c>
      <c r="Y135" s="254">
        <v>0</v>
      </c>
      <c r="Z135" s="254">
        <v>3039.9274999999993</v>
      </c>
      <c r="AA135" s="254">
        <v>0</v>
      </c>
      <c r="AB135" s="254">
        <v>2003.084134615385</v>
      </c>
      <c r="AC135" s="254">
        <v>0</v>
      </c>
      <c r="AD135" s="254">
        <v>2623.0649999999987</v>
      </c>
      <c r="AE135" s="254">
        <v>0</v>
      </c>
      <c r="AF135" s="254">
        <v>2953.1730769230771</v>
      </c>
      <c r="AG135" s="254">
        <v>0</v>
      </c>
      <c r="AH135" s="254">
        <v>2232.0099999999989</v>
      </c>
      <c r="AI135" s="254">
        <v>0</v>
      </c>
      <c r="AJ135" s="254">
        <v>2570.078125</v>
      </c>
      <c r="AK135" s="254">
        <v>0</v>
      </c>
      <c r="AL135" s="254">
        <v>3102.3564814814808</v>
      </c>
      <c r="AM135" s="254">
        <v>0</v>
      </c>
      <c r="AN135" s="254">
        <v>2000.3424999999995</v>
      </c>
      <c r="AO135" s="254">
        <v>0</v>
      </c>
      <c r="AP135" s="254">
        <v>2492.5697115384633</v>
      </c>
      <c r="AQ135" s="254">
        <v>0</v>
      </c>
      <c r="AR135" s="254">
        <v>2765.3870192307695</v>
      </c>
      <c r="AS135" s="254">
        <v>0</v>
      </c>
      <c r="AT135" s="254">
        <v>1375.612499999999</v>
      </c>
      <c r="AU135" s="254">
        <v>0</v>
      </c>
      <c r="AV135" s="254">
        <v>3107.2430555555593</v>
      </c>
      <c r="AW135" s="254">
        <v>0</v>
      </c>
      <c r="AX135" s="254">
        <v>2611.7024999999981</v>
      </c>
      <c r="AY135" s="254">
        <v>0</v>
      </c>
    </row>
    <row r="136" spans="2:51">
      <c r="B136" s="223">
        <v>11680</v>
      </c>
      <c r="C136" s="223" t="s">
        <v>138</v>
      </c>
      <c r="D136" s="254">
        <v>344.22115384615392</v>
      </c>
      <c r="E136" s="254">
        <v>0</v>
      </c>
      <c r="F136" s="254">
        <v>348.11499999999995</v>
      </c>
      <c r="G136" s="254">
        <v>0</v>
      </c>
      <c r="H136" s="254">
        <v>483.88461538461678</v>
      </c>
      <c r="I136" s="254">
        <v>0</v>
      </c>
      <c r="J136" s="254">
        <v>0</v>
      </c>
      <c r="K136" s="254">
        <v>0</v>
      </c>
      <c r="L136" s="254">
        <v>57.572916666666529</v>
      </c>
      <c r="M136" s="254">
        <v>0</v>
      </c>
      <c r="N136" s="254">
        <v>530.07175925925901</v>
      </c>
      <c r="O136" s="254">
        <v>0</v>
      </c>
      <c r="P136" s="254">
        <v>591.58894230769147</v>
      </c>
      <c r="Q136" s="254">
        <v>0</v>
      </c>
      <c r="R136" s="254">
        <v>0</v>
      </c>
      <c r="S136" s="254">
        <v>0</v>
      </c>
      <c r="T136" s="254">
        <v>1293.6610576923076</v>
      </c>
      <c r="U136" s="254">
        <v>0</v>
      </c>
      <c r="V136" s="254">
        <v>824.51749999999845</v>
      </c>
      <c r="W136" s="254">
        <v>0</v>
      </c>
      <c r="X136" s="254">
        <v>52.363425925925355</v>
      </c>
      <c r="Y136" s="254">
        <v>0</v>
      </c>
      <c r="Z136" s="254">
        <v>0</v>
      </c>
      <c r="AA136" s="254">
        <v>0</v>
      </c>
      <c r="AB136" s="254">
        <v>347.10576923076997</v>
      </c>
      <c r="AC136" s="254">
        <v>0</v>
      </c>
      <c r="AD136" s="254">
        <v>352.32499999999868</v>
      </c>
      <c r="AE136" s="254">
        <v>0</v>
      </c>
      <c r="AF136" s="254">
        <v>486.89423076923168</v>
      </c>
      <c r="AG136" s="254">
        <v>0</v>
      </c>
      <c r="AH136" s="254">
        <v>0</v>
      </c>
      <c r="AI136" s="254">
        <v>0</v>
      </c>
      <c r="AJ136" s="254">
        <v>60.927083333334409</v>
      </c>
      <c r="AK136" s="254">
        <v>0</v>
      </c>
      <c r="AL136" s="254">
        <v>534.31481481481535</v>
      </c>
      <c r="AM136" s="254">
        <v>0</v>
      </c>
      <c r="AN136" s="254">
        <v>571.94000000000074</v>
      </c>
      <c r="AO136" s="254">
        <v>0</v>
      </c>
      <c r="AP136" s="254">
        <v>3.5240384615382592</v>
      </c>
      <c r="AQ136" s="254">
        <v>0</v>
      </c>
      <c r="AR136" s="254">
        <v>1300.5192307692303</v>
      </c>
      <c r="AS136" s="254">
        <v>0</v>
      </c>
      <c r="AT136" s="254">
        <v>829.79250000000127</v>
      </c>
      <c r="AU136" s="254">
        <v>0</v>
      </c>
      <c r="AV136" s="254">
        <v>57.627314814816089</v>
      </c>
      <c r="AW136" s="254">
        <v>0</v>
      </c>
      <c r="AX136" s="254">
        <v>0</v>
      </c>
      <c r="AY136" s="254">
        <v>0</v>
      </c>
    </row>
    <row r="137" spans="2:51">
      <c r="B137" s="223">
        <v>12026</v>
      </c>
      <c r="C137" s="223" t="s">
        <v>139</v>
      </c>
      <c r="D137" s="254">
        <v>0</v>
      </c>
      <c r="E137" s="254">
        <v>0</v>
      </c>
      <c r="F137" s="254">
        <v>6808.2324999999955</v>
      </c>
      <c r="G137" s="254">
        <v>0</v>
      </c>
      <c r="H137" s="254">
        <v>8611.1370192307568</v>
      </c>
      <c r="I137" s="254">
        <v>0</v>
      </c>
      <c r="J137" s="254">
        <v>13684.330000000004</v>
      </c>
      <c r="K137" s="254">
        <v>0</v>
      </c>
      <c r="L137" s="254">
        <v>5966.0286458333367</v>
      </c>
      <c r="M137" s="254">
        <v>0</v>
      </c>
      <c r="N137" s="254">
        <v>5591.4629629629644</v>
      </c>
      <c r="O137" s="254">
        <v>0</v>
      </c>
      <c r="P137" s="254">
        <v>5296.4759615384555</v>
      </c>
      <c r="Q137" s="254">
        <v>0</v>
      </c>
      <c r="R137" s="254">
        <v>3337.1100000000029</v>
      </c>
      <c r="S137" s="254">
        <v>0</v>
      </c>
      <c r="T137" s="254">
        <v>4013.6826923076906</v>
      </c>
      <c r="U137" s="254">
        <v>0</v>
      </c>
      <c r="V137" s="254">
        <v>2600.0024999999955</v>
      </c>
      <c r="W137" s="254">
        <v>0</v>
      </c>
      <c r="X137" s="254">
        <v>3349.6597222222267</v>
      </c>
      <c r="Y137" s="254">
        <v>0</v>
      </c>
      <c r="Z137" s="254">
        <v>5498.6574999999984</v>
      </c>
      <c r="AA137" s="254">
        <v>0</v>
      </c>
      <c r="AB137" s="254">
        <v>0</v>
      </c>
      <c r="AC137" s="254">
        <v>0</v>
      </c>
      <c r="AD137" s="254">
        <v>6840.6699999999892</v>
      </c>
      <c r="AE137" s="254">
        <v>0</v>
      </c>
      <c r="AF137" s="254">
        <v>8862.7163461538348</v>
      </c>
      <c r="AG137" s="254">
        <v>0</v>
      </c>
      <c r="AH137" s="254">
        <v>13995.657500000007</v>
      </c>
      <c r="AI137" s="254">
        <v>0</v>
      </c>
      <c r="AJ137" s="254">
        <v>6166.1223958333303</v>
      </c>
      <c r="AK137" s="254">
        <v>0</v>
      </c>
      <c r="AL137" s="254">
        <v>5710.9120370370401</v>
      </c>
      <c r="AM137" s="254">
        <v>0</v>
      </c>
      <c r="AN137" s="254">
        <v>5198.077500000004</v>
      </c>
      <c r="AO137" s="254">
        <v>0</v>
      </c>
      <c r="AP137" s="254">
        <v>3557.9663461538544</v>
      </c>
      <c r="AQ137" s="254">
        <v>0</v>
      </c>
      <c r="AR137" s="254">
        <v>4057.4206730769201</v>
      </c>
      <c r="AS137" s="254">
        <v>0</v>
      </c>
      <c r="AT137" s="254">
        <v>2606.6250000000014</v>
      </c>
      <c r="AU137" s="254">
        <v>0</v>
      </c>
      <c r="AV137" s="254">
        <v>3378.7754629629621</v>
      </c>
      <c r="AW137" s="254">
        <v>0</v>
      </c>
      <c r="AX137" s="254">
        <v>5533.3249999999962</v>
      </c>
      <c r="AY137" s="254">
        <v>0</v>
      </c>
    </row>
    <row r="138" spans="2:51" s="83" customFormat="1">
      <c r="B138" s="223">
        <v>10298</v>
      </c>
      <c r="C138" s="223" t="s">
        <v>140</v>
      </c>
      <c r="D138" s="254">
        <v>17942.36298076919</v>
      </c>
      <c r="E138" s="254">
        <v>0</v>
      </c>
      <c r="F138" s="254">
        <v>50603.32</v>
      </c>
      <c r="G138" s="254">
        <v>0</v>
      </c>
      <c r="H138" s="254">
        <v>121832.90625000001</v>
      </c>
      <c r="I138" s="254">
        <v>0</v>
      </c>
      <c r="J138" s="254">
        <v>82799.007499999992</v>
      </c>
      <c r="K138" s="254">
        <v>0</v>
      </c>
      <c r="L138" s="254">
        <v>47744.929687500022</v>
      </c>
      <c r="M138" s="254">
        <v>0</v>
      </c>
      <c r="N138" s="254">
        <v>92038.819444444467</v>
      </c>
      <c r="O138" s="254">
        <v>0</v>
      </c>
      <c r="P138" s="254">
        <v>60839.007211538446</v>
      </c>
      <c r="Q138" s="254">
        <v>0</v>
      </c>
      <c r="R138" s="254">
        <v>41370.1325</v>
      </c>
      <c r="S138" s="254">
        <v>0</v>
      </c>
      <c r="T138" s="254">
        <v>58951.543269230729</v>
      </c>
      <c r="U138" s="254">
        <v>0</v>
      </c>
      <c r="V138" s="254">
        <v>63602.570000000029</v>
      </c>
      <c r="W138" s="254">
        <v>0</v>
      </c>
      <c r="X138" s="254">
        <v>89900.678240740846</v>
      </c>
      <c r="Y138" s="254">
        <v>0</v>
      </c>
      <c r="Z138" s="254">
        <v>52785.05499999992</v>
      </c>
      <c r="AA138" s="254">
        <v>0</v>
      </c>
      <c r="AB138" s="254">
        <v>19591.935096153917</v>
      </c>
      <c r="AC138" s="254">
        <v>0</v>
      </c>
      <c r="AD138" s="254">
        <v>52332.654999999992</v>
      </c>
      <c r="AE138" s="254">
        <v>0</v>
      </c>
      <c r="AF138" s="254">
        <v>123700.37259615384</v>
      </c>
      <c r="AG138" s="254">
        <v>0</v>
      </c>
      <c r="AH138" s="254">
        <v>84557.882499999978</v>
      </c>
      <c r="AI138" s="254">
        <v>0</v>
      </c>
      <c r="AJ138" s="254">
        <v>49276.729166666715</v>
      </c>
      <c r="AK138" s="254">
        <v>0</v>
      </c>
      <c r="AL138" s="254">
        <v>93978.606481481445</v>
      </c>
      <c r="AM138" s="254">
        <v>0</v>
      </c>
      <c r="AN138" s="254">
        <v>52388.172500000052</v>
      </c>
      <c r="AO138" s="254">
        <v>0</v>
      </c>
      <c r="AP138" s="254">
        <v>53744.27884615396</v>
      </c>
      <c r="AQ138" s="254">
        <v>0</v>
      </c>
      <c r="AR138" s="254">
        <v>60530.887019230751</v>
      </c>
      <c r="AS138" s="254">
        <v>0</v>
      </c>
      <c r="AT138" s="254">
        <v>65169.297500000095</v>
      </c>
      <c r="AU138" s="254">
        <v>0</v>
      </c>
      <c r="AV138" s="254">
        <v>91592.946759259255</v>
      </c>
      <c r="AW138" s="254">
        <v>0</v>
      </c>
      <c r="AX138" s="254">
        <v>54351.984999999993</v>
      </c>
      <c r="AY138" s="254">
        <v>0</v>
      </c>
    </row>
    <row r="140" spans="2:51">
      <c r="B140" s="24"/>
      <c r="C140" s="25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  <c r="Z140" s="26"/>
      <c r="AA140" s="27"/>
      <c r="AB140" s="26"/>
      <c r="AC140" s="27"/>
      <c r="AD140" s="26"/>
      <c r="AE140" s="27"/>
      <c r="AF140" s="26"/>
      <c r="AG140" s="27"/>
      <c r="AH140" s="26"/>
      <c r="AI140" s="27"/>
      <c r="AJ140" s="26"/>
      <c r="AK140" s="27"/>
      <c r="AL140" s="26"/>
      <c r="AM140" s="27"/>
      <c r="AN140" s="26"/>
      <c r="AO140" s="27"/>
      <c r="AP140" s="26"/>
      <c r="AQ140" s="27"/>
      <c r="AR140" s="26"/>
      <c r="AS140" s="27"/>
      <c r="AT140" s="26"/>
      <c r="AU140" s="27"/>
      <c r="AV140" s="26"/>
      <c r="AW140" s="27"/>
      <c r="AX140" s="26"/>
      <c r="AY140" s="27"/>
    </row>
    <row r="141" spans="2:51">
      <c r="B141" s="24"/>
      <c r="C141" s="25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  <c r="Z141" s="26"/>
      <c r="AA141" s="27"/>
      <c r="AB141" s="26"/>
      <c r="AC141" s="27"/>
      <c r="AD141" s="26"/>
      <c r="AE141" s="27"/>
      <c r="AF141" s="26"/>
      <c r="AG141" s="27"/>
      <c r="AH141" s="26"/>
      <c r="AI141" s="27"/>
      <c r="AJ141" s="26"/>
      <c r="AK141" s="27"/>
      <c r="AL141" s="26"/>
      <c r="AM141" s="27"/>
      <c r="AN141" s="26"/>
      <c r="AO141" s="27"/>
      <c r="AP141" s="26"/>
      <c r="AQ141" s="27"/>
      <c r="AR141" s="26"/>
      <c r="AS141" s="27"/>
      <c r="AT141" s="26"/>
      <c r="AU141" s="27"/>
      <c r="AV141" s="26"/>
      <c r="AW141" s="27"/>
      <c r="AX141" s="26"/>
      <c r="AY141" s="27"/>
    </row>
    <row r="142" spans="2:51">
      <c r="B142" s="24"/>
      <c r="C142" s="25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  <c r="Z142" s="26"/>
      <c r="AA142" s="27"/>
      <c r="AB142" s="26"/>
      <c r="AC142" s="27"/>
      <c r="AD142" s="26"/>
      <c r="AE142" s="27"/>
      <c r="AF142" s="26"/>
      <c r="AG142" s="27"/>
      <c r="AH142" s="26"/>
      <c r="AI142" s="27"/>
      <c r="AJ142" s="26"/>
      <c r="AK142" s="27"/>
      <c r="AL142" s="26"/>
      <c r="AM142" s="27"/>
      <c r="AN142" s="26"/>
      <c r="AO142" s="27"/>
      <c r="AP142" s="26"/>
      <c r="AQ142" s="27"/>
      <c r="AR142" s="26"/>
      <c r="AS142" s="27"/>
      <c r="AT142" s="26"/>
      <c r="AU142" s="27"/>
      <c r="AV142" s="26"/>
      <c r="AW142" s="27"/>
      <c r="AX142" s="26"/>
      <c r="AY142" s="27"/>
    </row>
    <row r="143" spans="2:51">
      <c r="B143" s="24"/>
      <c r="C143" s="25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6"/>
      <c r="AC143" s="27"/>
      <c r="AD143" s="26"/>
      <c r="AE143" s="27"/>
      <c r="AF143" s="26"/>
      <c r="AG143" s="27"/>
      <c r="AH143" s="26"/>
      <c r="AI143" s="27"/>
      <c r="AJ143" s="26"/>
      <c r="AK143" s="27"/>
      <c r="AL143" s="26"/>
      <c r="AM143" s="27"/>
      <c r="AN143" s="26"/>
      <c r="AO143" s="27"/>
      <c r="AP143" s="26"/>
      <c r="AQ143" s="27"/>
      <c r="AR143" s="26"/>
      <c r="AS143" s="27"/>
      <c r="AT143" s="26"/>
      <c r="AU143" s="27"/>
      <c r="AV143" s="26"/>
      <c r="AW143" s="27"/>
      <c r="AX143" s="26"/>
      <c r="AY143" s="27"/>
    </row>
    <row r="144" spans="2:51">
      <c r="B144" s="24"/>
      <c r="C144" s="25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  <c r="Z144" s="26"/>
      <c r="AA144" s="27"/>
      <c r="AB144" s="26"/>
      <c r="AC144" s="27"/>
      <c r="AD144" s="26"/>
      <c r="AE144" s="27"/>
      <c r="AF144" s="26"/>
      <c r="AG144" s="27"/>
      <c r="AH144" s="26"/>
      <c r="AI144" s="27"/>
      <c r="AJ144" s="26"/>
      <c r="AK144" s="27"/>
      <c r="AL144" s="26"/>
      <c r="AM144" s="27"/>
      <c r="AN144" s="26"/>
      <c r="AO144" s="27"/>
      <c r="AP144" s="26"/>
      <c r="AQ144" s="27"/>
      <c r="AR144" s="26"/>
      <c r="AS144" s="27"/>
      <c r="AT144" s="26"/>
      <c r="AU144" s="27"/>
      <c r="AV144" s="26"/>
      <c r="AW144" s="27"/>
      <c r="AX144" s="26"/>
      <c r="AY144" s="27"/>
    </row>
    <row r="145" spans="2:51">
      <c r="B145" s="24"/>
      <c r="C145" s="25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  <c r="Z145" s="26"/>
      <c r="AA145" s="27"/>
      <c r="AB145" s="26"/>
      <c r="AC145" s="27"/>
      <c r="AD145" s="26"/>
      <c r="AE145" s="27"/>
      <c r="AF145" s="26"/>
      <c r="AG145" s="27"/>
      <c r="AH145" s="26"/>
      <c r="AI145" s="27"/>
      <c r="AJ145" s="26"/>
      <c r="AK145" s="27"/>
      <c r="AL145" s="26"/>
      <c r="AM145" s="27"/>
      <c r="AN145" s="26"/>
      <c r="AO145" s="27"/>
      <c r="AP145" s="26"/>
      <c r="AQ145" s="27"/>
      <c r="AR145" s="26"/>
      <c r="AS145" s="27"/>
      <c r="AT145" s="26"/>
      <c r="AU145" s="27"/>
      <c r="AV145" s="26"/>
      <c r="AW145" s="27"/>
      <c r="AX145" s="26"/>
      <c r="AY145" s="27"/>
    </row>
    <row r="146" spans="2:51">
      <c r="B146" s="24"/>
      <c r="C146" s="25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6"/>
      <c r="AC146" s="27"/>
      <c r="AD146" s="26"/>
      <c r="AE146" s="27"/>
      <c r="AF146" s="26"/>
      <c r="AG146" s="27"/>
      <c r="AH146" s="26"/>
      <c r="AI146" s="27"/>
      <c r="AJ146" s="26"/>
      <c r="AK146" s="27"/>
      <c r="AL146" s="26"/>
      <c r="AM146" s="27"/>
      <c r="AN146" s="26"/>
      <c r="AO146" s="27"/>
      <c r="AP146" s="26"/>
      <c r="AQ146" s="27"/>
      <c r="AR146" s="26"/>
      <c r="AS146" s="27"/>
      <c r="AT146" s="26"/>
      <c r="AU146" s="27"/>
      <c r="AV146" s="26"/>
      <c r="AW146" s="27"/>
      <c r="AX146" s="26"/>
      <c r="AY146" s="27"/>
    </row>
    <row r="147" spans="2:51">
      <c r="B147" s="24"/>
      <c r="C147" s="25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  <c r="Z147" s="26"/>
      <c r="AA147" s="27"/>
      <c r="AB147" s="26"/>
      <c r="AC147" s="27"/>
      <c r="AD147" s="26"/>
      <c r="AE147" s="27"/>
      <c r="AF147" s="26"/>
      <c r="AG147" s="27"/>
      <c r="AH147" s="26"/>
      <c r="AI147" s="27"/>
      <c r="AJ147" s="26"/>
      <c r="AK147" s="27"/>
      <c r="AL147" s="26"/>
      <c r="AM147" s="27"/>
      <c r="AN147" s="26"/>
      <c r="AO147" s="27"/>
      <c r="AP147" s="26"/>
      <c r="AQ147" s="27"/>
      <c r="AR147" s="26"/>
      <c r="AS147" s="27"/>
      <c r="AT147" s="26"/>
      <c r="AU147" s="27"/>
      <c r="AV147" s="26"/>
      <c r="AW147" s="27"/>
      <c r="AX147" s="26"/>
      <c r="AY147" s="27"/>
    </row>
    <row r="148" spans="2:51">
      <c r="B148" s="155">
        <v>1</v>
      </c>
      <c r="C148" s="156">
        <v>2</v>
      </c>
      <c r="D148" s="157">
        <v>3</v>
      </c>
      <c r="E148" s="158">
        <v>4</v>
      </c>
      <c r="F148" s="157">
        <v>5</v>
      </c>
      <c r="G148" s="158">
        <v>6</v>
      </c>
      <c r="H148" s="157">
        <v>7</v>
      </c>
      <c r="I148" s="158">
        <v>8</v>
      </c>
      <c r="J148" s="157">
        <v>9</v>
      </c>
      <c r="K148" s="158">
        <v>10</v>
      </c>
      <c r="L148" s="157">
        <v>11</v>
      </c>
      <c r="M148" s="158">
        <v>12</v>
      </c>
      <c r="N148" s="157">
        <v>13</v>
      </c>
      <c r="O148" s="158">
        <v>14</v>
      </c>
      <c r="P148" s="157">
        <v>15</v>
      </c>
      <c r="Q148" s="158">
        <v>16</v>
      </c>
      <c r="R148" s="157">
        <v>17</v>
      </c>
      <c r="S148" s="158">
        <v>18</v>
      </c>
      <c r="T148" s="157">
        <v>19</v>
      </c>
      <c r="U148" s="158">
        <v>20</v>
      </c>
      <c r="V148" s="157">
        <v>21</v>
      </c>
      <c r="W148" s="158">
        <v>22</v>
      </c>
      <c r="X148" s="157">
        <v>23</v>
      </c>
      <c r="Y148" s="158">
        <v>24</v>
      </c>
      <c r="Z148" s="157">
        <v>25</v>
      </c>
      <c r="AA148" s="158">
        <v>26</v>
      </c>
      <c r="AB148" s="157">
        <v>27</v>
      </c>
      <c r="AC148" s="158">
        <v>28</v>
      </c>
      <c r="AD148" s="157">
        <v>29</v>
      </c>
      <c r="AE148" s="158">
        <v>30</v>
      </c>
      <c r="AF148" s="157">
        <v>31</v>
      </c>
      <c r="AG148" s="158">
        <v>32</v>
      </c>
      <c r="AH148" s="157">
        <v>33</v>
      </c>
      <c r="AI148" s="158">
        <v>34</v>
      </c>
      <c r="AJ148" s="157">
        <v>35</v>
      </c>
      <c r="AK148" s="158">
        <v>36</v>
      </c>
      <c r="AL148" s="157">
        <v>37</v>
      </c>
      <c r="AM148" s="158">
        <v>38</v>
      </c>
      <c r="AN148" s="157">
        <v>39</v>
      </c>
      <c r="AO148" s="158">
        <v>40</v>
      </c>
      <c r="AP148" s="157">
        <v>41</v>
      </c>
      <c r="AQ148" s="158">
        <v>42</v>
      </c>
      <c r="AR148" s="157">
        <v>43</v>
      </c>
      <c r="AS148" s="158">
        <v>44</v>
      </c>
      <c r="AT148" s="157">
        <v>45</v>
      </c>
      <c r="AU148" s="158">
        <v>46</v>
      </c>
      <c r="AV148" s="157">
        <v>47</v>
      </c>
      <c r="AW148" s="158">
        <v>48</v>
      </c>
      <c r="AX148" s="157">
        <v>49</v>
      </c>
      <c r="AY148" s="158">
        <v>50</v>
      </c>
    </row>
    <row r="149" spans="2:51">
      <c r="B149" s="24"/>
      <c r="C149" s="25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  <c r="Z149" s="26"/>
      <c r="AA149" s="27"/>
      <c r="AB149" s="26"/>
      <c r="AC149" s="27"/>
      <c r="AD149" s="26"/>
      <c r="AE149" s="27"/>
      <c r="AF149" s="26"/>
      <c r="AG149" s="27"/>
      <c r="AH149" s="26"/>
      <c r="AI149" s="27"/>
      <c r="AJ149" s="26"/>
      <c r="AK149" s="27"/>
      <c r="AL149" s="26"/>
      <c r="AM149" s="27"/>
      <c r="AN149" s="26"/>
      <c r="AO149" s="27"/>
      <c r="AP149" s="26"/>
      <c r="AQ149" s="27"/>
      <c r="AR149" s="26"/>
      <c r="AS149" s="27"/>
      <c r="AT149" s="26"/>
      <c r="AU149" s="27"/>
      <c r="AV149" s="26"/>
      <c r="AW149" s="27"/>
      <c r="AX149" s="26"/>
      <c r="AY149" s="27"/>
    </row>
    <row r="150" spans="2:51">
      <c r="B150" s="24"/>
      <c r="C150" s="25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6"/>
      <c r="AC150" s="27"/>
      <c r="AD150" s="26"/>
      <c r="AE150" s="27"/>
      <c r="AF150" s="26"/>
      <c r="AG150" s="27"/>
      <c r="AH150" s="26"/>
      <c r="AI150" s="27"/>
      <c r="AJ150" s="26"/>
      <c r="AK150" s="27"/>
      <c r="AL150" s="26"/>
      <c r="AM150" s="27"/>
      <c r="AN150" s="26"/>
      <c r="AO150" s="27"/>
      <c r="AP150" s="26"/>
      <c r="AQ150" s="27"/>
      <c r="AR150" s="26"/>
      <c r="AS150" s="27"/>
      <c r="AT150" s="26"/>
      <c r="AU150" s="27"/>
      <c r="AV150" s="26"/>
      <c r="AW150" s="27"/>
      <c r="AX150" s="26"/>
      <c r="AY150" s="27"/>
    </row>
    <row r="151" spans="2:51">
      <c r="B151" s="24"/>
      <c r="C151" s="25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  <c r="Z151" s="26"/>
      <c r="AA151" s="27"/>
      <c r="AB151" s="26"/>
      <c r="AC151" s="27"/>
      <c r="AD151" s="26"/>
      <c r="AE151" s="27"/>
      <c r="AF151" s="26"/>
      <c r="AG151" s="27"/>
      <c r="AH151" s="26"/>
      <c r="AI151" s="27"/>
      <c r="AJ151" s="26"/>
      <c r="AK151" s="27"/>
      <c r="AL151" s="26"/>
      <c r="AM151" s="27"/>
      <c r="AN151" s="26"/>
      <c r="AO151" s="27"/>
      <c r="AP151" s="26"/>
      <c r="AQ151" s="27"/>
      <c r="AR151" s="26"/>
      <c r="AS151" s="27"/>
      <c r="AT151" s="26"/>
      <c r="AU151" s="27"/>
      <c r="AV151" s="26"/>
      <c r="AW151" s="27"/>
      <c r="AX151" s="26"/>
      <c r="AY151" s="27"/>
    </row>
    <row r="152" spans="2:51">
      <c r="B152" s="24"/>
      <c r="C152" s="25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  <c r="Z152" s="26"/>
      <c r="AA152" s="27"/>
      <c r="AB152" s="26"/>
      <c r="AC152" s="27"/>
      <c r="AD152" s="26"/>
      <c r="AE152" s="27"/>
      <c r="AF152" s="26"/>
      <c r="AG152" s="27"/>
      <c r="AH152" s="26"/>
      <c r="AI152" s="27"/>
      <c r="AJ152" s="26"/>
      <c r="AK152" s="27"/>
      <c r="AL152" s="26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7"/>
    </row>
    <row r="153" spans="2:51">
      <c r="B153" s="24"/>
      <c r="C153" s="25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  <c r="Z153" s="26"/>
      <c r="AA153" s="27"/>
      <c r="AB153" s="26"/>
      <c r="AC153" s="27"/>
      <c r="AD153" s="26"/>
      <c r="AE153" s="27"/>
      <c r="AF153" s="26"/>
      <c r="AG153" s="27"/>
      <c r="AH153" s="26"/>
      <c r="AI153" s="27"/>
      <c r="AJ153" s="26"/>
      <c r="AK153" s="27"/>
      <c r="AL153" s="26"/>
      <c r="AM153" s="27"/>
      <c r="AN153" s="26"/>
      <c r="AO153" s="27"/>
      <c r="AP153" s="26"/>
      <c r="AQ153" s="27"/>
      <c r="AR153" s="26"/>
      <c r="AS153" s="27"/>
      <c r="AT153" s="26"/>
      <c r="AU153" s="27"/>
      <c r="AV153" s="26"/>
      <c r="AW153" s="27"/>
      <c r="AX153" s="26"/>
      <c r="AY153" s="27"/>
    </row>
    <row r="154" spans="2:51">
      <c r="B154" s="24"/>
      <c r="C154" s="25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6"/>
      <c r="S154" s="27"/>
      <c r="T154" s="26"/>
      <c r="U154" s="27"/>
      <c r="V154" s="26"/>
      <c r="W154" s="27"/>
      <c r="X154" s="26"/>
      <c r="Y154" s="27"/>
      <c r="Z154" s="26"/>
      <c r="AA154" s="27"/>
      <c r="AB154" s="26"/>
      <c r="AC154" s="27"/>
      <c r="AD154" s="26"/>
      <c r="AE154" s="27"/>
      <c r="AF154" s="26"/>
      <c r="AG154" s="27"/>
      <c r="AH154" s="26"/>
      <c r="AI154" s="27"/>
      <c r="AJ154" s="26"/>
      <c r="AK154" s="27"/>
      <c r="AL154" s="26"/>
      <c r="AM154" s="27"/>
      <c r="AN154" s="26"/>
      <c r="AO154" s="27"/>
      <c r="AP154" s="26"/>
      <c r="AQ154" s="27"/>
      <c r="AR154" s="26"/>
      <c r="AS154" s="27"/>
      <c r="AT154" s="26"/>
      <c r="AU154" s="27"/>
      <c r="AV154" s="26"/>
      <c r="AW154" s="27"/>
      <c r="AX154" s="26"/>
      <c r="AY154" s="27"/>
    </row>
    <row r="155" spans="2:51">
      <c r="B155" s="24"/>
      <c r="C155" s="25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6"/>
      <c r="S155" s="27"/>
      <c r="T155" s="26"/>
      <c r="U155" s="27"/>
      <c r="V155" s="26"/>
      <c r="W155" s="27"/>
      <c r="X155" s="26"/>
      <c r="Y155" s="27"/>
      <c r="Z155" s="26"/>
      <c r="AA155" s="27"/>
      <c r="AB155" s="26"/>
      <c r="AC155" s="27"/>
      <c r="AD155" s="26"/>
      <c r="AE155" s="27"/>
      <c r="AF155" s="26"/>
      <c r="AG155" s="27"/>
      <c r="AH155" s="26"/>
      <c r="AI155" s="27"/>
      <c r="AJ155" s="26"/>
      <c r="AK155" s="27"/>
      <c r="AL155" s="26"/>
      <c r="AM155" s="27"/>
      <c r="AN155" s="26"/>
      <c r="AO155" s="27"/>
      <c r="AP155" s="26"/>
      <c r="AQ155" s="27"/>
      <c r="AR155" s="26"/>
      <c r="AS155" s="27"/>
      <c r="AT155" s="26"/>
      <c r="AU155" s="27"/>
      <c r="AV155" s="26"/>
      <c r="AW155" s="27"/>
      <c r="AX155" s="26"/>
      <c r="AY155" s="27"/>
    </row>
    <row r="156" spans="2:51">
      <c r="B156" s="24"/>
      <c r="C156" s="25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6"/>
      <c r="S156" s="27"/>
      <c r="T156" s="26"/>
      <c r="U156" s="27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26"/>
      <c r="AK156" s="27"/>
      <c r="AL156" s="26"/>
      <c r="AM156" s="27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</row>
    <row r="157" spans="2:51">
      <c r="B157" s="24"/>
      <c r="C157" s="25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6"/>
      <c r="S157" s="27"/>
      <c r="T157" s="26"/>
      <c r="U157" s="27"/>
      <c r="V157" s="26"/>
      <c r="W157" s="27"/>
      <c r="X157" s="26"/>
      <c r="Y157" s="27"/>
      <c r="Z157" s="26"/>
      <c r="AA157" s="27"/>
      <c r="AB157" s="26"/>
      <c r="AC157" s="27"/>
      <c r="AD157" s="26"/>
      <c r="AE157" s="27"/>
      <c r="AF157" s="26"/>
      <c r="AG157" s="27"/>
      <c r="AH157" s="26"/>
      <c r="AI157" s="27"/>
      <c r="AJ157" s="26"/>
      <c r="AK157" s="27"/>
      <c r="AL157" s="26"/>
      <c r="AM157" s="27"/>
      <c r="AN157" s="26"/>
      <c r="AO157" s="27"/>
      <c r="AP157" s="26"/>
      <c r="AQ157" s="27"/>
      <c r="AR157" s="26"/>
      <c r="AS157" s="27"/>
      <c r="AT157" s="26"/>
      <c r="AU157" s="27"/>
      <c r="AV157" s="26"/>
      <c r="AW157" s="27"/>
      <c r="AX157" s="26"/>
      <c r="AY157" s="27"/>
    </row>
    <row r="158" spans="2:51">
      <c r="B158" s="24"/>
      <c r="C158" s="25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7"/>
      <c r="AD158" s="26"/>
      <c r="AE158" s="27"/>
      <c r="AF158" s="26"/>
      <c r="AG158" s="27"/>
      <c r="AH158" s="26"/>
      <c r="AI158" s="27"/>
      <c r="AJ158" s="26"/>
      <c r="AK158" s="27"/>
      <c r="AL158" s="26"/>
      <c r="AM158" s="27"/>
      <c r="AN158" s="26"/>
      <c r="AO158" s="27"/>
      <c r="AP158" s="26"/>
      <c r="AQ158" s="27"/>
      <c r="AR158" s="26"/>
      <c r="AS158" s="27"/>
      <c r="AT158" s="26"/>
      <c r="AU158" s="27"/>
      <c r="AV158" s="26"/>
      <c r="AW158" s="27"/>
      <c r="AX158" s="26"/>
      <c r="AY158" s="27"/>
    </row>
    <row r="159" spans="2:51">
      <c r="B159" s="24"/>
      <c r="C159" s="25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6"/>
      <c r="S159" s="27"/>
      <c r="T159" s="26"/>
      <c r="U159" s="27"/>
      <c r="V159" s="26"/>
      <c r="W159" s="27"/>
      <c r="X159" s="26"/>
      <c r="Y159" s="27"/>
      <c r="Z159" s="26"/>
      <c r="AA159" s="27"/>
      <c r="AB159" s="26"/>
      <c r="AC159" s="27"/>
      <c r="AD159" s="26"/>
      <c r="AE159" s="27"/>
      <c r="AF159" s="26"/>
      <c r="AG159" s="27"/>
      <c r="AH159" s="26"/>
      <c r="AI159" s="27"/>
      <c r="AJ159" s="26"/>
      <c r="AK159" s="27"/>
      <c r="AL159" s="26"/>
      <c r="AM159" s="27"/>
      <c r="AN159" s="26"/>
      <c r="AO159" s="27"/>
      <c r="AP159" s="26"/>
      <c r="AQ159" s="27"/>
      <c r="AR159" s="26"/>
      <c r="AS159" s="27"/>
      <c r="AT159" s="26"/>
      <c r="AU159" s="27"/>
      <c r="AV159" s="26"/>
      <c r="AW159" s="27"/>
      <c r="AX159" s="26"/>
      <c r="AY159" s="27"/>
    </row>
    <row r="160" spans="2:51">
      <c r="B160" s="24"/>
      <c r="C160" s="25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6"/>
      <c r="S160" s="27"/>
      <c r="T160" s="26"/>
      <c r="U160" s="27"/>
      <c r="V160" s="26"/>
      <c r="W160" s="27"/>
      <c r="X160" s="26"/>
      <c r="Y160" s="27"/>
      <c r="Z160" s="26"/>
      <c r="AA160" s="27"/>
      <c r="AB160" s="26"/>
      <c r="AC160" s="27"/>
      <c r="AD160" s="26"/>
      <c r="AE160" s="27"/>
      <c r="AF160" s="26"/>
      <c r="AG160" s="27"/>
      <c r="AH160" s="26"/>
      <c r="AI160" s="27"/>
      <c r="AJ160" s="26"/>
      <c r="AK160" s="27"/>
      <c r="AL160" s="26"/>
      <c r="AM160" s="27"/>
      <c r="AN160" s="26"/>
      <c r="AO160" s="27"/>
      <c r="AP160" s="26"/>
      <c r="AQ160" s="27"/>
      <c r="AR160" s="26"/>
      <c r="AS160" s="27"/>
      <c r="AT160" s="26"/>
      <c r="AU160" s="27"/>
      <c r="AV160" s="26"/>
      <c r="AW160" s="27"/>
      <c r="AX160" s="26"/>
      <c r="AY160" s="27"/>
    </row>
    <row r="161" spans="2:51">
      <c r="B161" s="24"/>
      <c r="C161" s="25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6"/>
      <c r="S161" s="27"/>
      <c r="T161" s="26"/>
      <c r="U161" s="27"/>
      <c r="V161" s="26"/>
      <c r="W161" s="27"/>
      <c r="X161" s="26"/>
      <c r="Y161" s="27"/>
      <c r="Z161" s="26"/>
      <c r="AA161" s="27"/>
      <c r="AB161" s="26"/>
      <c r="AC161" s="27"/>
      <c r="AD161" s="26"/>
      <c r="AE161" s="27"/>
      <c r="AF161" s="26"/>
      <c r="AG161" s="27"/>
      <c r="AH161" s="26"/>
      <c r="AI161" s="27"/>
      <c r="AJ161" s="26"/>
      <c r="AK161" s="27"/>
      <c r="AL161" s="26"/>
      <c r="AM161" s="27"/>
      <c r="AN161" s="26"/>
      <c r="AO161" s="27"/>
      <c r="AP161" s="26"/>
      <c r="AQ161" s="27"/>
      <c r="AR161" s="26"/>
      <c r="AS161" s="27"/>
      <c r="AT161" s="26"/>
      <c r="AU161" s="27"/>
      <c r="AV161" s="26"/>
      <c r="AW161" s="27"/>
      <c r="AX161" s="26"/>
      <c r="AY161" s="27"/>
    </row>
    <row r="162" spans="2:51">
      <c r="B162" s="24"/>
      <c r="C162" s="25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6"/>
      <c r="S162" s="27"/>
      <c r="T162" s="26"/>
      <c r="U162" s="27"/>
      <c r="V162" s="26"/>
      <c r="W162" s="27"/>
      <c r="X162" s="26"/>
      <c r="Y162" s="27"/>
      <c r="Z162" s="26"/>
      <c r="AA162" s="27"/>
      <c r="AB162" s="26"/>
      <c r="AC162" s="27"/>
      <c r="AD162" s="26"/>
      <c r="AE162" s="27"/>
      <c r="AF162" s="26"/>
      <c r="AG162" s="27"/>
      <c r="AH162" s="26"/>
      <c r="AI162" s="27"/>
      <c r="AJ162" s="26"/>
      <c r="AK162" s="27"/>
      <c r="AL162" s="26"/>
      <c r="AM162" s="27"/>
      <c r="AN162" s="26"/>
      <c r="AO162" s="27"/>
      <c r="AP162" s="26"/>
      <c r="AQ162" s="27"/>
      <c r="AR162" s="26"/>
      <c r="AS162" s="27"/>
      <c r="AT162" s="26"/>
      <c r="AU162" s="27"/>
      <c r="AV162" s="26"/>
      <c r="AW162" s="27"/>
      <c r="AX162" s="26"/>
      <c r="AY162" s="27"/>
    </row>
    <row r="163" spans="2:51">
      <c r="B163" s="24"/>
      <c r="C163" s="25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6"/>
      <c r="S163" s="27"/>
      <c r="T163" s="26"/>
      <c r="U163" s="27"/>
      <c r="V163" s="26"/>
      <c r="W163" s="27"/>
      <c r="X163" s="26"/>
      <c r="Y163" s="27"/>
      <c r="Z163" s="26"/>
      <c r="AA163" s="27"/>
      <c r="AB163" s="26"/>
      <c r="AC163" s="27"/>
      <c r="AD163" s="26"/>
      <c r="AE163" s="27"/>
      <c r="AF163" s="26"/>
      <c r="AG163" s="27"/>
      <c r="AH163" s="26"/>
      <c r="AI163" s="27"/>
      <c r="AJ163" s="26"/>
      <c r="AK163" s="27"/>
      <c r="AL163" s="26"/>
      <c r="AM163" s="27"/>
      <c r="AN163" s="26"/>
      <c r="AO163" s="27"/>
      <c r="AP163" s="26"/>
      <c r="AQ163" s="27"/>
      <c r="AR163" s="26"/>
      <c r="AS163" s="27"/>
      <c r="AT163" s="26"/>
      <c r="AU163" s="27"/>
      <c r="AV163" s="26"/>
      <c r="AW163" s="27"/>
      <c r="AX163" s="26"/>
      <c r="AY163" s="27"/>
    </row>
    <row r="164" spans="2:51">
      <c r="B164" s="24"/>
      <c r="C164" s="25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6"/>
      <c r="AC164" s="27"/>
      <c r="AD164" s="26"/>
      <c r="AE164" s="27"/>
      <c r="AF164" s="26"/>
      <c r="AG164" s="27"/>
      <c r="AH164" s="26"/>
      <c r="AI164" s="27"/>
      <c r="AJ164" s="26"/>
      <c r="AK164" s="27"/>
      <c r="AL164" s="26"/>
      <c r="AM164" s="27"/>
      <c r="AN164" s="26"/>
      <c r="AO164" s="27"/>
      <c r="AP164" s="26"/>
      <c r="AQ164" s="27"/>
      <c r="AR164" s="26"/>
      <c r="AS164" s="27"/>
      <c r="AT164" s="26"/>
      <c r="AU164" s="27"/>
      <c r="AV164" s="26"/>
      <c r="AW164" s="27"/>
      <c r="AX164" s="26"/>
      <c r="AY164" s="27"/>
    </row>
    <row r="165" spans="2:51">
      <c r="B165" s="24"/>
      <c r="C165" s="25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6"/>
      <c r="S165" s="27"/>
      <c r="T165" s="26"/>
      <c r="U165" s="27"/>
      <c r="V165" s="26"/>
      <c r="W165" s="27"/>
      <c r="X165" s="26"/>
      <c r="Y165" s="27"/>
      <c r="Z165" s="26"/>
      <c r="AA165" s="27"/>
      <c r="AB165" s="26"/>
      <c r="AC165" s="27"/>
      <c r="AD165" s="26"/>
      <c r="AE165" s="27"/>
      <c r="AF165" s="26"/>
      <c r="AG165" s="27"/>
      <c r="AH165" s="26"/>
      <c r="AI165" s="27"/>
      <c r="AJ165" s="26"/>
      <c r="AK165" s="27"/>
      <c r="AL165" s="26"/>
      <c r="AM165" s="27"/>
      <c r="AN165" s="26"/>
      <c r="AO165" s="27"/>
      <c r="AP165" s="26"/>
      <c r="AQ165" s="27"/>
      <c r="AR165" s="26"/>
      <c r="AS165" s="27"/>
      <c r="AT165" s="26"/>
      <c r="AU165" s="27"/>
      <c r="AV165" s="26"/>
      <c r="AW165" s="27"/>
      <c r="AX165" s="26"/>
      <c r="AY165" s="27"/>
    </row>
    <row r="166" spans="2:51">
      <c r="B166" s="24"/>
      <c r="C166" s="25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6"/>
      <c r="S166" s="27"/>
      <c r="T166" s="26"/>
      <c r="U166" s="27"/>
      <c r="V166" s="26"/>
      <c r="W166" s="27"/>
      <c r="X166" s="26"/>
      <c r="Y166" s="27"/>
      <c r="Z166" s="26"/>
      <c r="AA166" s="27"/>
      <c r="AB166" s="26"/>
      <c r="AC166" s="27"/>
      <c r="AD166" s="26"/>
      <c r="AE166" s="27"/>
      <c r="AF166" s="26"/>
      <c r="AG166" s="27"/>
      <c r="AH166" s="26"/>
      <c r="AI166" s="27"/>
      <c r="AJ166" s="26"/>
      <c r="AK166" s="27"/>
      <c r="AL166" s="26"/>
      <c r="AM166" s="27"/>
      <c r="AN166" s="26"/>
      <c r="AO166" s="27"/>
      <c r="AP166" s="26"/>
      <c r="AQ166" s="27"/>
      <c r="AR166" s="26"/>
      <c r="AS166" s="27"/>
      <c r="AT166" s="26"/>
      <c r="AU166" s="27"/>
      <c r="AV166" s="26"/>
      <c r="AW166" s="27"/>
      <c r="AX166" s="26"/>
      <c r="AY166" s="27"/>
    </row>
    <row r="167" spans="2:51">
      <c r="B167" s="24"/>
      <c r="C167" s="25"/>
      <c r="D167" s="26"/>
      <c r="E167" s="27"/>
      <c r="F167" s="26"/>
      <c r="G167" s="27"/>
      <c r="H167" s="26"/>
      <c r="I167" s="27"/>
      <c r="J167" s="26"/>
      <c r="K167" s="27"/>
      <c r="L167" s="26"/>
      <c r="M167" s="27"/>
      <c r="N167" s="26"/>
      <c r="O167" s="27"/>
      <c r="P167" s="26"/>
      <c r="Q167" s="27"/>
      <c r="R167" s="26"/>
      <c r="S167" s="27"/>
      <c r="T167" s="26"/>
      <c r="U167" s="27"/>
      <c r="V167" s="26"/>
      <c r="W167" s="27"/>
      <c r="X167" s="26"/>
      <c r="Y167" s="27"/>
      <c r="Z167" s="26"/>
      <c r="AA167" s="27"/>
      <c r="AB167" s="26"/>
      <c r="AC167" s="27"/>
      <c r="AD167" s="26"/>
      <c r="AE167" s="27"/>
      <c r="AF167" s="26"/>
      <c r="AG167" s="27"/>
      <c r="AH167" s="26"/>
      <c r="AI167" s="27"/>
      <c r="AJ167" s="26"/>
      <c r="AK167" s="27"/>
      <c r="AL167" s="26"/>
      <c r="AM167" s="27"/>
      <c r="AN167" s="26"/>
      <c r="AO167" s="27"/>
      <c r="AP167" s="26"/>
      <c r="AQ167" s="27"/>
      <c r="AR167" s="26"/>
      <c r="AS167" s="27"/>
      <c r="AT167" s="26"/>
      <c r="AU167" s="27"/>
      <c r="AV167" s="26"/>
      <c r="AW167" s="27"/>
      <c r="AX167" s="26"/>
      <c r="AY167" s="27"/>
    </row>
  </sheetData>
  <conditionalFormatting sqref="C2:M2">
    <cfRule type="expression" dxfId="7" priority="1" stopIfTrue="1">
      <formula>#REF! &gt; 30</formula>
    </cfRule>
  </conditionalFormatting>
  <conditionalFormatting sqref="B2">
    <cfRule type="expression" dxfId="6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S88"/>
  <sheetViews>
    <sheetView zoomScale="80" zoomScaleNormal="80" workbookViewId="0">
      <selection activeCell="H95" sqref="H95"/>
    </sheetView>
  </sheetViews>
  <sheetFormatPr defaultColWidth="9.109375" defaultRowHeight="14.4"/>
  <cols>
    <col min="1" max="1" width="9.109375" style="263"/>
    <col min="2" max="2" width="58.5546875" style="264" customWidth="1"/>
    <col min="3" max="3" width="17.6640625" style="264" bestFit="1" customWidth="1"/>
    <col min="4" max="5" width="18.33203125" style="264" bestFit="1" customWidth="1"/>
    <col min="6" max="6" width="9.109375" style="264"/>
    <col min="7" max="7" width="10.5546875" style="264" bestFit="1" customWidth="1"/>
    <col min="8" max="16" width="13.88671875" style="264" customWidth="1"/>
    <col min="17" max="17" width="12.5546875" style="264" customWidth="1"/>
    <col min="18" max="16384" width="9.109375" style="264"/>
  </cols>
  <sheetData>
    <row r="1" spans="1:19">
      <c r="A1" s="262"/>
      <c r="B1" s="274" t="s">
        <v>156</v>
      </c>
      <c r="C1" s="263"/>
      <c r="D1" s="263"/>
      <c r="E1" s="263"/>
    </row>
    <row r="2" spans="1:19">
      <c r="A2" s="275"/>
      <c r="B2" s="276" t="s">
        <v>339</v>
      </c>
      <c r="C2" s="263"/>
      <c r="D2" s="263"/>
      <c r="E2" s="263"/>
    </row>
    <row r="3" spans="1:19">
      <c r="A3" s="277"/>
      <c r="B3" s="263"/>
      <c r="C3" s="263"/>
      <c r="D3" s="263"/>
      <c r="E3" s="263"/>
    </row>
    <row r="4" spans="1:19" ht="7.5" customHeight="1"/>
    <row r="5" spans="1:19" ht="43.8" thickBot="1">
      <c r="B5" s="371" t="s">
        <v>157</v>
      </c>
      <c r="C5" s="372">
        <v>2020</v>
      </c>
      <c r="D5" s="372">
        <v>2021</v>
      </c>
      <c r="E5" s="373" t="s">
        <v>158</v>
      </c>
      <c r="G5" s="278"/>
      <c r="H5" s="279" t="s">
        <v>201</v>
      </c>
      <c r="I5" s="279" t="s">
        <v>202</v>
      </c>
      <c r="J5" s="279" t="s">
        <v>203</v>
      </c>
      <c r="K5" s="279" t="s">
        <v>204</v>
      </c>
      <c r="L5" s="279" t="s">
        <v>205</v>
      </c>
      <c r="M5" s="279" t="s">
        <v>206</v>
      </c>
      <c r="N5" s="279" t="s">
        <v>207</v>
      </c>
      <c r="O5" s="279" t="s">
        <v>208</v>
      </c>
      <c r="P5" s="279" t="s">
        <v>337</v>
      </c>
      <c r="Q5" s="279" t="s">
        <v>338</v>
      </c>
      <c r="R5" s="279" t="s">
        <v>143</v>
      </c>
      <c r="S5" s="279" t="s">
        <v>144</v>
      </c>
    </row>
    <row r="6" spans="1:19" ht="15" thickTop="1">
      <c r="B6" s="370" t="s">
        <v>296</v>
      </c>
      <c r="C6" s="374">
        <v>2520146</v>
      </c>
      <c r="D6" s="374">
        <v>2581759</v>
      </c>
      <c r="E6" s="374">
        <v>5101905</v>
      </c>
      <c r="G6" s="306">
        <v>43739</v>
      </c>
      <c r="H6" s="357">
        <v>364236.2</v>
      </c>
      <c r="I6" s="358">
        <v>11.42</v>
      </c>
      <c r="J6" s="359">
        <v>4159577.4040000001</v>
      </c>
      <c r="K6" s="357">
        <v>-144533</v>
      </c>
      <c r="L6" s="357">
        <v>131712.6</v>
      </c>
      <c r="M6" s="358">
        <v>23.84</v>
      </c>
      <c r="N6" s="358">
        <v>18.88</v>
      </c>
      <c r="O6" s="360">
        <v>-958932.8320000004</v>
      </c>
      <c r="P6" s="361">
        <v>3009065.3879999998</v>
      </c>
      <c r="Q6" s="361">
        <v>1608251.808</v>
      </c>
      <c r="R6" s="367">
        <f>VLOOKUP($G6,Init!$C$5:$H$232, 2,FALSE)</f>
        <v>432</v>
      </c>
      <c r="S6" s="367">
        <f>VLOOKUP($G6,Init!$C$5:$H$232, 3,FALSE)</f>
        <v>312</v>
      </c>
    </row>
    <row r="7" spans="1:19">
      <c r="B7" s="370" t="s">
        <v>297</v>
      </c>
      <c r="C7" s="374">
        <v>147762</v>
      </c>
      <c r="D7" s="374">
        <v>125780</v>
      </c>
      <c r="E7" s="374">
        <v>273541</v>
      </c>
      <c r="G7" s="306">
        <v>43770</v>
      </c>
      <c r="H7" s="357">
        <v>326801.7</v>
      </c>
      <c r="I7" s="358">
        <v>12.07</v>
      </c>
      <c r="J7" s="359">
        <v>3944496.5190000003</v>
      </c>
      <c r="K7" s="357">
        <v>-305552</v>
      </c>
      <c r="L7" s="357">
        <v>96012.66</v>
      </c>
      <c r="M7" s="358">
        <v>25.19</v>
      </c>
      <c r="N7" s="358">
        <v>21.84</v>
      </c>
      <c r="O7" s="360">
        <v>-5599938.3856000006</v>
      </c>
      <c r="P7" s="361">
        <v>3677367.5279999999</v>
      </c>
      <c r="Q7" s="361">
        <v>2188065.7110000001</v>
      </c>
      <c r="R7" s="367">
        <f>VLOOKUP($G7,Init!$C$5:$H$232, 2,FALSE)</f>
        <v>400</v>
      </c>
      <c r="S7" s="367">
        <f>VLOOKUP($G7,Init!$C$5:$H$232, 3,FALSE)</f>
        <v>321</v>
      </c>
    </row>
    <row r="8" spans="1:19">
      <c r="B8" s="370" t="s">
        <v>298</v>
      </c>
      <c r="C8" s="374" t="s">
        <v>299</v>
      </c>
      <c r="D8" s="374" t="s">
        <v>300</v>
      </c>
      <c r="E8" s="374" t="s">
        <v>300</v>
      </c>
      <c r="G8" s="306">
        <v>43800</v>
      </c>
      <c r="H8" s="357">
        <v>532035</v>
      </c>
      <c r="I8" s="358">
        <v>13.45</v>
      </c>
      <c r="J8" s="359">
        <v>7155870.75</v>
      </c>
      <c r="K8" s="357">
        <v>88032.51</v>
      </c>
      <c r="L8" s="357">
        <v>406126.5</v>
      </c>
      <c r="M8" s="358">
        <v>28.09</v>
      </c>
      <c r="N8" s="358">
        <v>23.56</v>
      </c>
      <c r="O8" s="360">
        <v>12041173.5459</v>
      </c>
      <c r="P8" s="361">
        <v>3598456.6720000003</v>
      </c>
      <c r="Q8" s="361">
        <v>2196143.5240000002</v>
      </c>
      <c r="R8" s="367">
        <f>VLOOKUP($G8,Init!$C$5:$H$232, 2,FALSE)</f>
        <v>400</v>
      </c>
      <c r="S8" s="367">
        <f>VLOOKUP($G8,Init!$C$5:$H$232, 3,FALSE)</f>
        <v>344</v>
      </c>
    </row>
    <row r="9" spans="1:19">
      <c r="B9" s="375" t="s">
        <v>301</v>
      </c>
      <c r="C9" s="376">
        <v>12993</v>
      </c>
      <c r="D9" s="376">
        <v>16879</v>
      </c>
      <c r="E9" s="376">
        <v>29872</v>
      </c>
      <c r="G9" s="306">
        <v>43831</v>
      </c>
      <c r="H9" s="357">
        <v>595108.4</v>
      </c>
      <c r="I9" s="358">
        <v>12.1</v>
      </c>
      <c r="J9" s="359">
        <v>7200811.6399999997</v>
      </c>
      <c r="K9" s="357">
        <v>553248.69999999995</v>
      </c>
      <c r="L9" s="357">
        <v>659501.80000000005</v>
      </c>
      <c r="M9" s="358">
        <v>25.24</v>
      </c>
      <c r="N9" s="358">
        <v>19.21</v>
      </c>
      <c r="O9" s="360">
        <v>26633026.765999999</v>
      </c>
      <c r="P9" s="361">
        <v>3035580.6720000003</v>
      </c>
      <c r="Q9" s="361">
        <v>1794571.524</v>
      </c>
      <c r="R9" s="367">
        <f>VLOOKUP($G9,Init!$C$5:$H$232, 2,FALSE)</f>
        <v>416</v>
      </c>
      <c r="S9" s="367">
        <f>VLOOKUP($G9,Init!$C$5:$H$232, 3,FALSE)</f>
        <v>328</v>
      </c>
    </row>
    <row r="10" spans="1:19">
      <c r="B10" s="377" t="s">
        <v>163</v>
      </c>
      <c r="C10" s="378">
        <v>2680900</v>
      </c>
      <c r="D10" s="378">
        <v>2724417</v>
      </c>
      <c r="E10" s="378">
        <v>5405318</v>
      </c>
      <c r="G10" s="306">
        <v>43862</v>
      </c>
      <c r="H10" s="357">
        <v>400694.6</v>
      </c>
      <c r="I10" s="358">
        <v>11.66</v>
      </c>
      <c r="J10" s="359">
        <v>4672099.0359999994</v>
      </c>
      <c r="K10" s="357">
        <v>415878</v>
      </c>
      <c r="L10" s="357">
        <v>458422.1</v>
      </c>
      <c r="M10" s="358">
        <v>24.36</v>
      </c>
      <c r="N10" s="358">
        <v>19.28</v>
      </c>
      <c r="O10" s="360">
        <v>18969166.167999998</v>
      </c>
      <c r="P10" s="361">
        <v>2760597.1239999998</v>
      </c>
      <c r="Q10" s="361">
        <v>1615019.676</v>
      </c>
      <c r="R10" s="367">
        <f>VLOOKUP($G10,Init!$C$5:$H$232, 2,FALSE)</f>
        <v>400</v>
      </c>
      <c r="S10" s="367">
        <f>VLOOKUP($G10,Init!$C$5:$H$232, 3,FALSE)</f>
        <v>296</v>
      </c>
    </row>
    <row r="11" spans="1:19">
      <c r="B11" s="379"/>
      <c r="C11" s="380"/>
      <c r="D11" s="380"/>
      <c r="E11" s="380"/>
      <c r="G11" s="306">
        <v>43891</v>
      </c>
      <c r="H11" s="357">
        <v>461567.8</v>
      </c>
      <c r="I11" s="358">
        <v>9.19</v>
      </c>
      <c r="J11" s="359">
        <v>4241808.0819999995</v>
      </c>
      <c r="K11" s="357">
        <v>84799.8</v>
      </c>
      <c r="L11" s="357">
        <v>323737.3</v>
      </c>
      <c r="M11" s="358">
        <v>19.190000000000001</v>
      </c>
      <c r="N11" s="358">
        <v>16.11</v>
      </c>
      <c r="O11" s="360">
        <v>6842716.0650000004</v>
      </c>
      <c r="P11" s="361">
        <v>3094593.8159999996</v>
      </c>
      <c r="Q11" s="361">
        <v>1772482.121</v>
      </c>
      <c r="R11" s="367">
        <f>VLOOKUP($G11,Init!$C$5:$H$232, 2,FALSE)</f>
        <v>416</v>
      </c>
      <c r="S11" s="367">
        <f>VLOOKUP($G11,Init!$C$5:$H$232, 3,FALSE)</f>
        <v>327</v>
      </c>
    </row>
    <row r="12" spans="1:19" ht="15" thickBot="1">
      <c r="B12" s="371" t="s">
        <v>164</v>
      </c>
      <c r="C12" s="381"/>
      <c r="D12" s="382"/>
      <c r="E12" s="381"/>
      <c r="G12" s="306">
        <v>43922</v>
      </c>
      <c r="H12" s="357">
        <v>425980.9</v>
      </c>
      <c r="I12" s="358">
        <v>8.61</v>
      </c>
      <c r="J12" s="359">
        <v>3667695.5490000001</v>
      </c>
      <c r="K12" s="357">
        <v>195569.1</v>
      </c>
      <c r="L12" s="357">
        <v>250659.4</v>
      </c>
      <c r="M12" s="358">
        <v>17.98</v>
      </c>
      <c r="N12" s="358">
        <v>14.4</v>
      </c>
      <c r="O12" s="360">
        <v>7125827.7779999999</v>
      </c>
      <c r="P12" s="361">
        <v>2493584.7439999999</v>
      </c>
      <c r="Q12" s="361">
        <v>1469193.736</v>
      </c>
      <c r="R12" s="367">
        <f>VLOOKUP($G12,Init!$C$5:$H$232, 2,FALSE)</f>
        <v>416</v>
      </c>
      <c r="S12" s="367">
        <f>VLOOKUP($G12,Init!$C$5:$H$232, 3,FALSE)</f>
        <v>304</v>
      </c>
    </row>
    <row r="13" spans="1:19" ht="15" thickTop="1">
      <c r="B13" s="379"/>
      <c r="C13" s="379"/>
      <c r="D13" s="379"/>
      <c r="E13" s="379"/>
      <c r="G13" s="306">
        <v>43952</v>
      </c>
      <c r="H13" s="357">
        <v>265600.90000000002</v>
      </c>
      <c r="I13" s="358">
        <v>5.6</v>
      </c>
      <c r="J13" s="359">
        <v>1487365.04</v>
      </c>
      <c r="K13" s="357">
        <v>-705510</v>
      </c>
      <c r="L13" s="357">
        <v>-25887.4</v>
      </c>
      <c r="M13" s="358">
        <v>11.71</v>
      </c>
      <c r="N13" s="358">
        <v>6.55</v>
      </c>
      <c r="O13" s="360">
        <v>-8431084.5700000003</v>
      </c>
      <c r="P13" s="361">
        <v>3468087.1</v>
      </c>
      <c r="Q13" s="361">
        <v>1876310.5959999999</v>
      </c>
      <c r="R13" s="367">
        <f>VLOOKUP($G13,Init!$C$5:$H$232, 2,FALSE)</f>
        <v>400</v>
      </c>
      <c r="S13" s="367">
        <f>VLOOKUP($G13,Init!$C$5:$H$232, 3,FALSE)</f>
        <v>344</v>
      </c>
    </row>
    <row r="14" spans="1:19" ht="15" thickBot="1">
      <c r="B14" s="383" t="s">
        <v>165</v>
      </c>
      <c r="C14" s="384">
        <v>2020</v>
      </c>
      <c r="D14" s="384">
        <v>2021</v>
      </c>
      <c r="E14" s="385" t="s">
        <v>158</v>
      </c>
      <c r="G14" s="306">
        <v>43983</v>
      </c>
      <c r="H14" s="357">
        <v>394534.1</v>
      </c>
      <c r="I14" s="358">
        <v>5.04</v>
      </c>
      <c r="J14" s="359">
        <v>1988451.8639999998</v>
      </c>
      <c r="K14" s="357">
        <v>-1334634</v>
      </c>
      <c r="L14" s="357">
        <v>-534027</v>
      </c>
      <c r="M14" s="358">
        <v>10.52</v>
      </c>
      <c r="N14" s="358">
        <v>1.68</v>
      </c>
      <c r="O14" s="360">
        <v>-14937515.039999999</v>
      </c>
      <c r="P14" s="361">
        <v>4425608.2439999999</v>
      </c>
      <c r="Q14" s="361">
        <v>2393479.736</v>
      </c>
      <c r="R14" s="367">
        <f>VLOOKUP($G14,Init!$C$5:$H$232, 2,FALSE)</f>
        <v>416</v>
      </c>
      <c r="S14" s="367">
        <f>VLOOKUP($G14,Init!$C$5:$H$232, 3,FALSE)</f>
        <v>304</v>
      </c>
    </row>
    <row r="15" spans="1:19" ht="15" thickTop="1">
      <c r="B15" s="368" t="s">
        <v>302</v>
      </c>
      <c r="C15" s="389">
        <v>-4303</v>
      </c>
      <c r="D15" s="389">
        <v>-4291</v>
      </c>
      <c r="E15" s="389">
        <v>-8594</v>
      </c>
      <c r="G15" s="306">
        <v>44013</v>
      </c>
      <c r="H15" s="357">
        <v>469560.8</v>
      </c>
      <c r="I15" s="358">
        <v>10.27</v>
      </c>
      <c r="J15" s="359">
        <v>4822389.4159999993</v>
      </c>
      <c r="K15" s="357">
        <v>-524430</v>
      </c>
      <c r="L15" s="357">
        <v>262190.5</v>
      </c>
      <c r="M15" s="358">
        <v>21.45</v>
      </c>
      <c r="N15" s="358">
        <v>15.31</v>
      </c>
      <c r="O15" s="360">
        <v>-7234886.9450000003</v>
      </c>
      <c r="P15" s="361">
        <v>3680313.2439999999</v>
      </c>
      <c r="Q15" s="361">
        <v>1666067.952</v>
      </c>
      <c r="R15" s="367">
        <f>VLOOKUP($G15,Init!$C$5:$H$232, 2,FALSE)</f>
        <v>416</v>
      </c>
      <c r="S15" s="367">
        <f>VLOOKUP($G15,Init!$C$5:$H$232, 3,FALSE)</f>
        <v>328</v>
      </c>
    </row>
    <row r="16" spans="1:19">
      <c r="B16" s="368" t="s">
        <v>303</v>
      </c>
      <c r="C16" s="389" t="s">
        <v>299</v>
      </c>
      <c r="D16" s="389" t="s">
        <v>300</v>
      </c>
      <c r="E16" s="389" t="s">
        <v>300</v>
      </c>
      <c r="G16" s="306">
        <v>44044</v>
      </c>
      <c r="H16" s="357">
        <v>435329.6</v>
      </c>
      <c r="I16" s="358">
        <v>12.1</v>
      </c>
      <c r="J16" s="359">
        <v>5267488.1599999992</v>
      </c>
      <c r="K16" s="357">
        <v>-444584</v>
      </c>
      <c r="L16" s="357">
        <v>227502.5</v>
      </c>
      <c r="M16" s="358">
        <v>25.24</v>
      </c>
      <c r="N16" s="358">
        <v>20.21</v>
      </c>
      <c r="O16" s="360">
        <v>-6623474.6349999998</v>
      </c>
      <c r="P16" s="361">
        <v>3567762.7439999999</v>
      </c>
      <c r="Q16" s="361">
        <v>1638547.952</v>
      </c>
      <c r="R16" s="367">
        <f>VLOOKUP($G16,Init!$C$5:$H$232, 2,FALSE)</f>
        <v>416</v>
      </c>
      <c r="S16" s="367">
        <f>VLOOKUP($G16,Init!$C$5:$H$232, 3,FALSE)</f>
        <v>328</v>
      </c>
    </row>
    <row r="17" spans="1:19">
      <c r="A17" s="264"/>
      <c r="B17" s="368" t="s">
        <v>304</v>
      </c>
      <c r="C17" s="415">
        <v>-0.78</v>
      </c>
      <c r="D17" s="415">
        <v>-0.78</v>
      </c>
      <c r="E17" s="389">
        <v>-2</v>
      </c>
      <c r="G17" s="307">
        <v>44075</v>
      </c>
      <c r="H17" s="362">
        <v>385640.6</v>
      </c>
      <c r="I17" s="363">
        <v>11.91</v>
      </c>
      <c r="J17" s="364">
        <v>4592979.5460000001</v>
      </c>
      <c r="K17" s="362">
        <v>-196873</v>
      </c>
      <c r="L17" s="362">
        <v>148662.1</v>
      </c>
      <c r="M17" s="363">
        <v>24.86</v>
      </c>
      <c r="N17" s="363">
        <v>19.98</v>
      </c>
      <c r="O17" s="365">
        <v>-1923994.0219999999</v>
      </c>
      <c r="P17" s="361">
        <v>2993385.6</v>
      </c>
      <c r="Q17" s="361">
        <v>1680773.88</v>
      </c>
      <c r="R17" s="367">
        <f>VLOOKUP($G17,Init!$C$5:$H$232, 2,FALSE)</f>
        <v>400</v>
      </c>
      <c r="S17" s="367">
        <f>VLOOKUP($G17,Init!$C$5:$H$232, 3,FALSE)</f>
        <v>320</v>
      </c>
    </row>
    <row r="18" spans="1:19">
      <c r="A18" s="264"/>
      <c r="B18" s="368" t="s">
        <v>305</v>
      </c>
      <c r="C18" s="265">
        <v>-9499</v>
      </c>
      <c r="D18" s="265">
        <v>-9458</v>
      </c>
      <c r="E18" s="265">
        <v>-18957</v>
      </c>
      <c r="G18" s="306">
        <v>44105</v>
      </c>
      <c r="H18" s="357">
        <v>369691.2</v>
      </c>
      <c r="I18" s="358">
        <v>11.42</v>
      </c>
      <c r="J18" s="359">
        <v>4221873.5039999997</v>
      </c>
      <c r="K18" s="357">
        <v>-132732</v>
      </c>
      <c r="L18" s="357">
        <v>139180.29999999999</v>
      </c>
      <c r="M18" s="358">
        <v>23.84</v>
      </c>
      <c r="N18" s="358">
        <v>18.88</v>
      </c>
      <c r="O18" s="360">
        <v>-536606.81600000011</v>
      </c>
      <c r="P18" s="361">
        <v>3009065.3879999998</v>
      </c>
      <c r="Q18" s="366">
        <v>1608251.808</v>
      </c>
      <c r="R18" s="367">
        <f>VLOOKUP($G18,Init!$C$5:$H$232, 2,FALSE)</f>
        <v>432</v>
      </c>
      <c r="S18" s="367">
        <f>VLOOKUP($G18,Init!$C$5:$H$232, 3,FALSE)</f>
        <v>312</v>
      </c>
    </row>
    <row r="19" spans="1:19">
      <c r="A19" s="264"/>
      <c r="B19" s="368" t="s">
        <v>306</v>
      </c>
      <c r="C19" s="265">
        <v>-1008</v>
      </c>
      <c r="D19" s="265">
        <v>-1084</v>
      </c>
      <c r="E19" s="265">
        <v>-2092</v>
      </c>
      <c r="G19" s="306">
        <v>44136</v>
      </c>
      <c r="H19" s="357">
        <v>278105.7</v>
      </c>
      <c r="I19" s="358">
        <v>12.07</v>
      </c>
      <c r="J19" s="359">
        <v>3356735.7990000001</v>
      </c>
      <c r="K19" s="357">
        <v>-349173</v>
      </c>
      <c r="L19" s="357">
        <v>148592.5</v>
      </c>
      <c r="M19" s="358">
        <v>25.19</v>
      </c>
      <c r="N19" s="358">
        <v>21.84</v>
      </c>
      <c r="O19" s="360">
        <v>-5550407.6700000009</v>
      </c>
      <c r="P19" s="361">
        <v>3677367.5279999999</v>
      </c>
      <c r="Q19" s="361">
        <v>2188065.7110000001</v>
      </c>
      <c r="R19" s="367">
        <f>VLOOKUP($G19,Init!$C$5:$H$232, 2,FALSE)</f>
        <v>384</v>
      </c>
      <c r="S19" s="367">
        <f>VLOOKUP($G19,Init!$C$5:$H$232, 3,FALSE)</f>
        <v>337</v>
      </c>
    </row>
    <row r="20" spans="1:19">
      <c r="A20" s="264"/>
      <c r="B20" s="368" t="s">
        <v>307</v>
      </c>
      <c r="C20" s="265">
        <v>-250744</v>
      </c>
      <c r="D20" s="265">
        <v>-251375</v>
      </c>
      <c r="E20" s="265">
        <v>-502119</v>
      </c>
      <c r="G20" s="306">
        <v>44166</v>
      </c>
      <c r="H20" s="357">
        <v>625035.19999999995</v>
      </c>
      <c r="I20" s="358">
        <v>13.45</v>
      </c>
      <c r="J20" s="359">
        <v>8406723.4399999995</v>
      </c>
      <c r="K20" s="357">
        <v>145553</v>
      </c>
      <c r="L20" s="357">
        <v>358286.6</v>
      </c>
      <c r="M20" s="358">
        <v>28.09</v>
      </c>
      <c r="N20" s="358">
        <v>23.56</v>
      </c>
      <c r="O20" s="360">
        <v>12529816.065999998</v>
      </c>
      <c r="P20" s="361">
        <v>3598456.6720000003</v>
      </c>
      <c r="Q20" s="361">
        <v>2196143.5240000002</v>
      </c>
      <c r="R20" s="367">
        <f>VLOOKUP($G20,Init!$C$5:$H$232, 2,FALSE)</f>
        <v>416</v>
      </c>
      <c r="S20" s="367">
        <f>VLOOKUP($G20,Init!$C$5:$H$232, 3,FALSE)</f>
        <v>328</v>
      </c>
    </row>
    <row r="21" spans="1:19">
      <c r="A21" s="264"/>
      <c r="B21" s="368" t="s">
        <v>308</v>
      </c>
      <c r="C21" s="265"/>
      <c r="D21" s="265"/>
      <c r="E21" s="265" t="s">
        <v>300</v>
      </c>
      <c r="G21" s="306">
        <v>44197</v>
      </c>
      <c r="H21" s="357">
        <v>537494.5</v>
      </c>
      <c r="I21" s="358">
        <v>12.1</v>
      </c>
      <c r="J21" s="359">
        <v>6503683.4500000002</v>
      </c>
      <c r="K21" s="357">
        <v>510504.5</v>
      </c>
      <c r="L21" s="357">
        <v>723480.9</v>
      </c>
      <c r="M21" s="358">
        <v>25.24</v>
      </c>
      <c r="N21" s="358">
        <v>19.21</v>
      </c>
      <c r="O21" s="360">
        <v>26783201.669</v>
      </c>
      <c r="P21" s="361">
        <v>3035580.6720000003</v>
      </c>
      <c r="Q21" s="361">
        <v>1794571.524</v>
      </c>
      <c r="R21" s="367">
        <f>VLOOKUP($G21,Init!$C$5:$H$232, 2,FALSE)</f>
        <v>400</v>
      </c>
      <c r="S21" s="367">
        <f>VLOOKUP($G21,Init!$C$5:$H$232, 3,FALSE)</f>
        <v>344</v>
      </c>
    </row>
    <row r="22" spans="1:19">
      <c r="A22" s="264"/>
      <c r="B22" s="386" t="s">
        <v>309</v>
      </c>
      <c r="C22" s="265">
        <v>-68746</v>
      </c>
      <c r="D22" s="265">
        <v>-61756</v>
      </c>
      <c r="E22" s="265">
        <v>-130502</v>
      </c>
      <c r="G22" s="306">
        <v>44228</v>
      </c>
      <c r="H22" s="357">
        <v>352384.4</v>
      </c>
      <c r="I22" s="358">
        <v>11.66</v>
      </c>
      <c r="J22" s="359">
        <v>4108802.1040000003</v>
      </c>
      <c r="K22" s="357">
        <v>465111.6</v>
      </c>
      <c r="L22" s="357">
        <v>490437.3</v>
      </c>
      <c r="M22" s="358">
        <v>24.36</v>
      </c>
      <c r="N22" s="358">
        <v>19.28</v>
      </c>
      <c r="O22" s="360">
        <v>20785749.719999999</v>
      </c>
      <c r="P22" s="361">
        <v>2648204.932</v>
      </c>
      <c r="Q22" s="361">
        <v>1558823.58</v>
      </c>
      <c r="R22" s="367">
        <f>VLOOKUP($G22,Init!$C$5:$H$232, 2,FALSE)</f>
        <v>384</v>
      </c>
      <c r="S22" s="367">
        <f>VLOOKUP($G22,Init!$C$5:$H$232, 3,FALSE)</f>
        <v>288</v>
      </c>
    </row>
    <row r="23" spans="1:19">
      <c r="A23" s="264"/>
      <c r="B23" s="386" t="s">
        <v>310</v>
      </c>
      <c r="C23" s="265">
        <v>-1213</v>
      </c>
      <c r="D23" s="265">
        <v>-4273</v>
      </c>
      <c r="E23" s="265">
        <v>-5486</v>
      </c>
      <c r="G23" s="306">
        <v>44256</v>
      </c>
      <c r="H23" s="357">
        <v>527904.1</v>
      </c>
      <c r="I23" s="358">
        <v>9.19</v>
      </c>
      <c r="J23" s="359">
        <v>4851438.6789999995</v>
      </c>
      <c r="K23" s="357">
        <v>131561</v>
      </c>
      <c r="L23" s="357">
        <v>281087.7</v>
      </c>
      <c r="M23" s="358">
        <v>19.190000000000001</v>
      </c>
      <c r="N23" s="358">
        <v>16.11</v>
      </c>
      <c r="O23" s="360">
        <v>7052978.4370000008</v>
      </c>
      <c r="P23" s="361">
        <v>3094593.8159999996</v>
      </c>
      <c r="Q23" s="361">
        <v>1772482.121</v>
      </c>
      <c r="R23" s="367">
        <f>VLOOKUP($G23,Init!$C$5:$H$232, 2,FALSE)</f>
        <v>432</v>
      </c>
      <c r="S23" s="367">
        <f>VLOOKUP($G23,Init!$C$5:$H$232, 3,FALSE)</f>
        <v>311</v>
      </c>
    </row>
    <row r="24" spans="1:19">
      <c r="A24" s="264"/>
      <c r="B24" s="386" t="s">
        <v>311</v>
      </c>
      <c r="C24" s="265">
        <v>-1668</v>
      </c>
      <c r="D24" s="265">
        <v>-1668</v>
      </c>
      <c r="E24" s="265">
        <v>-3336</v>
      </c>
      <c r="G24" s="306">
        <v>44287</v>
      </c>
      <c r="H24" s="357">
        <v>439681</v>
      </c>
      <c r="I24" s="358">
        <v>8.61</v>
      </c>
      <c r="J24" s="359">
        <v>3785653.4099999997</v>
      </c>
      <c r="K24" s="357">
        <v>206217.1</v>
      </c>
      <c r="L24" s="357">
        <v>258150.1</v>
      </c>
      <c r="M24" s="358">
        <v>17.98</v>
      </c>
      <c r="N24" s="358">
        <v>14.4</v>
      </c>
      <c r="O24" s="360">
        <v>7425144.898</v>
      </c>
      <c r="P24" s="361">
        <v>2493584.7439999999</v>
      </c>
      <c r="Q24" s="361">
        <v>1469193.736</v>
      </c>
      <c r="R24" s="367">
        <f>VLOOKUP($G24,Init!$C$5:$H$232, 2,FALSE)</f>
        <v>416</v>
      </c>
      <c r="S24" s="367">
        <f>VLOOKUP($G24,Init!$C$5:$H$232, 3,FALSE)</f>
        <v>304</v>
      </c>
    </row>
    <row r="25" spans="1:19">
      <c r="A25" s="264"/>
      <c r="B25" s="386" t="s">
        <v>312</v>
      </c>
      <c r="C25" s="265">
        <v>-52</v>
      </c>
      <c r="D25" s="265">
        <v>-61</v>
      </c>
      <c r="E25" s="265">
        <v>-114</v>
      </c>
      <c r="G25" s="306">
        <v>44317</v>
      </c>
      <c r="H25" s="357">
        <v>274864.59999999998</v>
      </c>
      <c r="I25" s="358">
        <v>5.6</v>
      </c>
      <c r="J25" s="359">
        <v>1539241.7599999998</v>
      </c>
      <c r="K25" s="357">
        <v>-699704</v>
      </c>
      <c r="L25" s="357">
        <v>-17827.7</v>
      </c>
      <c r="M25" s="358">
        <v>11.71</v>
      </c>
      <c r="N25" s="358">
        <v>6.55</v>
      </c>
      <c r="O25" s="360">
        <v>-8310305.2750000004</v>
      </c>
      <c r="P25" s="361">
        <v>3468087.1</v>
      </c>
      <c r="Q25" s="361">
        <v>1876310.5959999999</v>
      </c>
      <c r="R25" s="367">
        <f>VLOOKUP($G25,Init!$C$5:$H$232, 2,FALSE)</f>
        <v>400</v>
      </c>
      <c r="S25" s="367">
        <f>VLOOKUP($G25,Init!$C$5:$H$232, 3,FALSE)</f>
        <v>344</v>
      </c>
    </row>
    <row r="26" spans="1:19">
      <c r="A26" s="264"/>
      <c r="B26" s="386" t="s">
        <v>313</v>
      </c>
      <c r="C26" s="265">
        <v>-510</v>
      </c>
      <c r="D26" s="265">
        <v>-615</v>
      </c>
      <c r="E26" s="265">
        <v>-1125</v>
      </c>
      <c r="G26" s="306">
        <v>44348</v>
      </c>
      <c r="H26" s="357">
        <v>399880.3</v>
      </c>
      <c r="I26" s="358">
        <v>5.04</v>
      </c>
      <c r="J26" s="359">
        <v>2015396.7120000001</v>
      </c>
      <c r="K26" s="357">
        <v>-1329043</v>
      </c>
      <c r="L26" s="357">
        <v>-529140</v>
      </c>
      <c r="M26" s="358">
        <v>10.52</v>
      </c>
      <c r="N26" s="358">
        <v>1.68</v>
      </c>
      <c r="O26" s="360">
        <v>-14870487.559999999</v>
      </c>
      <c r="P26" s="361">
        <v>4425608.2439999999</v>
      </c>
      <c r="Q26" s="361">
        <v>2393479.736</v>
      </c>
      <c r="R26" s="367">
        <f>VLOOKUP($G26,Init!$C$5:$H$232, 2,FALSE)</f>
        <v>416</v>
      </c>
      <c r="S26" s="367">
        <f>VLOOKUP($G26,Init!$C$5:$H$232, 3,FALSE)</f>
        <v>304</v>
      </c>
    </row>
    <row r="27" spans="1:19">
      <c r="A27" s="264"/>
      <c r="B27" s="387" t="s">
        <v>314</v>
      </c>
      <c r="C27" s="388">
        <v>-30066</v>
      </c>
      <c r="D27" s="388">
        <v>-30308</v>
      </c>
      <c r="E27" s="388">
        <v>-60373</v>
      </c>
      <c r="G27" s="306">
        <v>44378</v>
      </c>
      <c r="H27" s="357">
        <v>478332.5</v>
      </c>
      <c r="I27" s="358">
        <v>10.27</v>
      </c>
      <c r="J27" s="359">
        <v>4912474.7749999994</v>
      </c>
      <c r="K27" s="357">
        <v>-519057</v>
      </c>
      <c r="L27" s="357">
        <v>270314.59999999998</v>
      </c>
      <c r="M27" s="358">
        <v>21.45</v>
      </c>
      <c r="N27" s="358">
        <v>15.31</v>
      </c>
      <c r="O27" s="360">
        <v>-6995256.1240000008</v>
      </c>
      <c r="P27" s="361">
        <v>3680313.2439999999</v>
      </c>
      <c r="Q27" s="361">
        <v>1666067.952</v>
      </c>
      <c r="R27" s="367">
        <f>VLOOKUP($G27,Init!$C$5:$H$232, 2,FALSE)</f>
        <v>416</v>
      </c>
      <c r="S27" s="367">
        <f>VLOOKUP($G27,Init!$C$5:$H$232, 3,FALSE)</f>
        <v>328</v>
      </c>
    </row>
    <row r="28" spans="1:19">
      <c r="A28" s="264"/>
      <c r="B28" s="368" t="s">
        <v>315</v>
      </c>
      <c r="C28" s="389">
        <v>-367810</v>
      </c>
      <c r="D28" s="389">
        <v>-364889</v>
      </c>
      <c r="E28" s="389">
        <v>-732699</v>
      </c>
      <c r="G28" s="306">
        <v>44409</v>
      </c>
      <c r="H28" s="357">
        <v>444471.5</v>
      </c>
      <c r="I28" s="358">
        <v>12.1</v>
      </c>
      <c r="J28" s="359">
        <v>5378105.1499999994</v>
      </c>
      <c r="K28" s="357">
        <v>-438601</v>
      </c>
      <c r="L28" s="357">
        <v>233394.5</v>
      </c>
      <c r="M28" s="358">
        <v>25.24</v>
      </c>
      <c r="N28" s="358">
        <v>20.21</v>
      </c>
      <c r="O28" s="360">
        <v>-6353386.3950000005</v>
      </c>
      <c r="P28" s="361">
        <v>3567762.7439999999</v>
      </c>
      <c r="Q28" s="361">
        <v>1638547.952</v>
      </c>
      <c r="R28" s="367">
        <f>VLOOKUP($G28,Init!$C$5:$H$232, 2,FALSE)</f>
        <v>416</v>
      </c>
      <c r="S28" s="367">
        <f>VLOOKUP($G28,Init!$C$5:$H$232, 3,FALSE)</f>
        <v>328</v>
      </c>
    </row>
    <row r="29" spans="1:19">
      <c r="A29" s="264"/>
      <c r="B29" s="379"/>
      <c r="C29" s="380"/>
      <c r="D29" s="379"/>
      <c r="E29" s="379"/>
      <c r="G29" s="307">
        <v>44440</v>
      </c>
      <c r="H29" s="362">
        <v>401072.5</v>
      </c>
      <c r="I29" s="363">
        <v>11.91</v>
      </c>
      <c r="J29" s="364">
        <v>4776773.4749999996</v>
      </c>
      <c r="K29" s="362">
        <v>-194323</v>
      </c>
      <c r="L29" s="362">
        <v>152757.6</v>
      </c>
      <c r="M29" s="363">
        <v>24.86</v>
      </c>
      <c r="N29" s="363">
        <v>19.98</v>
      </c>
      <c r="O29" s="365">
        <v>-1778772.932</v>
      </c>
      <c r="P29" s="361">
        <v>2993385.6</v>
      </c>
      <c r="Q29" s="361">
        <v>1680773.88</v>
      </c>
      <c r="R29" s="367">
        <f>VLOOKUP($G29,Init!$C$5:$H$232, 2,FALSE)</f>
        <v>400</v>
      </c>
      <c r="S29" s="367">
        <f>VLOOKUP($G29,Init!$C$5:$H$232, 3,FALSE)</f>
        <v>320</v>
      </c>
    </row>
    <row r="30" spans="1:19" ht="15" thickBot="1">
      <c r="A30" s="264"/>
      <c r="B30" s="383" t="s">
        <v>180</v>
      </c>
      <c r="C30" s="390">
        <v>2020</v>
      </c>
      <c r="D30" s="390">
        <v>2021</v>
      </c>
      <c r="E30" s="391" t="s">
        <v>158</v>
      </c>
    </row>
    <row r="31" spans="1:19" ht="15" thickTop="1">
      <c r="A31" s="264"/>
      <c r="B31" s="368" t="s">
        <v>316</v>
      </c>
      <c r="C31" s="267">
        <v>20905</v>
      </c>
      <c r="D31" s="267">
        <v>20905</v>
      </c>
      <c r="E31" s="267">
        <v>41809</v>
      </c>
      <c r="G31" s="255"/>
      <c r="H31" s="259" t="s">
        <v>638</v>
      </c>
    </row>
    <row r="32" spans="1:19">
      <c r="A32" s="264"/>
      <c r="B32" s="369" t="s">
        <v>317</v>
      </c>
      <c r="C32" s="269">
        <v>38505</v>
      </c>
      <c r="D32" s="269">
        <v>39107</v>
      </c>
      <c r="E32" s="269">
        <v>77612</v>
      </c>
      <c r="G32" s="259" t="s">
        <v>215</v>
      </c>
      <c r="H32" s="260">
        <v>11.11</v>
      </c>
      <c r="I32" s="255"/>
      <c r="M32" s="305"/>
    </row>
    <row r="33" spans="1:16">
      <c r="A33" s="264"/>
      <c r="B33" s="368" t="s">
        <v>315</v>
      </c>
      <c r="C33" s="267">
        <v>59410</v>
      </c>
      <c r="D33" s="267">
        <v>60011</v>
      </c>
      <c r="E33" s="267">
        <v>119422</v>
      </c>
      <c r="G33" s="259" t="s">
        <v>223</v>
      </c>
      <c r="H33" s="261">
        <v>-15.19</v>
      </c>
      <c r="I33" s="257"/>
      <c r="M33" s="305"/>
      <c r="N33" s="305"/>
    </row>
    <row r="34" spans="1:16">
      <c r="A34" s="264"/>
      <c r="B34" s="379"/>
      <c r="C34" s="380"/>
      <c r="D34" s="379"/>
      <c r="E34" s="379"/>
      <c r="G34" s="259" t="s">
        <v>240</v>
      </c>
      <c r="H34" s="259">
        <f>(SUMPRODUCT(M6:M17,R6:R17)+SUMPRODUCT(N6:N17,S6:S17))/SUM(R6:S17)</f>
        <v>19.263666894353367</v>
      </c>
      <c r="I34" s="255"/>
    </row>
    <row r="35" spans="1:16" ht="15" thickBot="1">
      <c r="A35" s="264"/>
      <c r="B35" s="371"/>
      <c r="C35" s="392">
        <v>2020</v>
      </c>
      <c r="D35" s="392">
        <v>2021</v>
      </c>
      <c r="E35" s="393" t="s">
        <v>158</v>
      </c>
      <c r="G35" s="259" t="s">
        <v>639</v>
      </c>
      <c r="H35" s="244">
        <v>7024.5119999999997</v>
      </c>
      <c r="I35" s="255"/>
    </row>
    <row r="36" spans="1:16" ht="15" thickTop="1">
      <c r="A36" s="264"/>
      <c r="B36" s="370" t="s">
        <v>641</v>
      </c>
      <c r="C36" s="394">
        <v>2211745</v>
      </c>
      <c r="D36" s="394">
        <v>2276882</v>
      </c>
      <c r="E36" s="394">
        <v>4488627</v>
      </c>
      <c r="G36" s="259" t="s">
        <v>640</v>
      </c>
      <c r="H36" s="244">
        <v>7024.5150000000003</v>
      </c>
    </row>
    <row r="37" spans="1:16">
      <c r="A37" s="264"/>
      <c r="B37" s="379"/>
      <c r="C37" s="380"/>
      <c r="D37" s="379"/>
      <c r="E37" s="379"/>
      <c r="J37" s="270"/>
      <c r="K37" s="270"/>
      <c r="L37" s="270"/>
      <c r="M37" s="270"/>
      <c r="N37" s="270"/>
      <c r="O37" s="270"/>
      <c r="P37" s="270"/>
    </row>
    <row r="38" spans="1:16" ht="15" thickBot="1">
      <c r="A38" s="264"/>
      <c r="B38" s="383" t="s">
        <v>183</v>
      </c>
      <c r="C38" s="395">
        <v>2020</v>
      </c>
      <c r="D38" s="395">
        <v>2021</v>
      </c>
      <c r="E38" s="396" t="s">
        <v>158</v>
      </c>
      <c r="J38" s="270"/>
      <c r="K38" s="270"/>
      <c r="L38" s="270"/>
      <c r="M38" s="270"/>
      <c r="N38" s="270"/>
      <c r="O38" s="270"/>
      <c r="P38" s="270"/>
    </row>
    <row r="39" spans="1:16" ht="15" thickTop="1">
      <c r="A39" s="264"/>
      <c r="B39" s="368" t="s">
        <v>318</v>
      </c>
      <c r="C39" s="271">
        <v>-346862</v>
      </c>
      <c r="D39" s="271">
        <v>-305234</v>
      </c>
      <c r="E39" s="271">
        <v>-652096</v>
      </c>
      <c r="J39" s="302"/>
      <c r="K39" s="297"/>
      <c r="L39" s="297"/>
      <c r="M39" s="298"/>
      <c r="N39" s="298"/>
      <c r="O39" s="299"/>
      <c r="P39" s="270"/>
    </row>
    <row r="40" spans="1:16">
      <c r="A40" s="264"/>
      <c r="B40" s="386" t="s">
        <v>309</v>
      </c>
      <c r="C40" s="271">
        <v>68746</v>
      </c>
      <c r="D40" s="271">
        <v>61756</v>
      </c>
      <c r="E40" s="271">
        <v>130502</v>
      </c>
      <c r="J40" s="302"/>
      <c r="K40" s="297"/>
      <c r="L40" s="297"/>
      <c r="M40" s="298"/>
      <c r="N40" s="298"/>
      <c r="O40" s="299"/>
      <c r="P40" s="270"/>
    </row>
    <row r="41" spans="1:16">
      <c r="A41" s="264"/>
      <c r="B41" s="368" t="s">
        <v>319</v>
      </c>
      <c r="C41" s="271" t="s">
        <v>299</v>
      </c>
      <c r="D41" s="271" t="s">
        <v>300</v>
      </c>
      <c r="E41" s="271" t="s">
        <v>300</v>
      </c>
      <c r="G41" s="300"/>
      <c r="H41" s="297"/>
      <c r="I41" s="301"/>
      <c r="J41" s="302"/>
      <c r="K41" s="297"/>
      <c r="L41" s="297"/>
      <c r="M41" s="298"/>
      <c r="N41" s="298"/>
      <c r="O41" s="299"/>
      <c r="P41" s="270"/>
    </row>
    <row r="42" spans="1:16">
      <c r="A42" s="264"/>
      <c r="B42" s="368" t="s">
        <v>320</v>
      </c>
      <c r="C42" s="271">
        <v>43</v>
      </c>
      <c r="D42" s="271">
        <v>34</v>
      </c>
      <c r="E42" s="271">
        <v>77</v>
      </c>
      <c r="G42" s="300"/>
      <c r="H42" s="297"/>
      <c r="I42" s="301"/>
      <c r="J42" s="302"/>
      <c r="K42" s="297"/>
      <c r="L42" s="297"/>
      <c r="M42" s="298"/>
      <c r="N42" s="298"/>
      <c r="O42" s="299"/>
      <c r="P42" s="270"/>
    </row>
    <row r="43" spans="1:16">
      <c r="A43" s="264"/>
      <c r="B43" s="368" t="s">
        <v>321</v>
      </c>
      <c r="C43" s="271" t="s">
        <v>299</v>
      </c>
      <c r="D43" s="271" t="s">
        <v>300</v>
      </c>
      <c r="E43" s="271" t="s">
        <v>300</v>
      </c>
      <c r="G43" s="300"/>
      <c r="H43" s="297"/>
      <c r="I43" s="301"/>
      <c r="J43" s="302"/>
      <c r="K43" s="297"/>
      <c r="L43" s="297"/>
      <c r="M43" s="298"/>
      <c r="N43" s="298"/>
      <c r="O43" s="299"/>
      <c r="P43" s="270"/>
    </row>
    <row r="44" spans="1:16">
      <c r="A44" s="264"/>
      <c r="B44" s="368" t="s">
        <v>322</v>
      </c>
      <c r="C44" s="271">
        <v>-25902</v>
      </c>
      <c r="D44" s="271">
        <v>-30182</v>
      </c>
      <c r="E44" s="271">
        <v>-56084</v>
      </c>
      <c r="G44" s="300"/>
      <c r="H44" s="297"/>
      <c r="I44" s="301"/>
      <c r="J44" s="302"/>
      <c r="K44" s="297"/>
      <c r="L44" s="297"/>
      <c r="M44" s="298"/>
      <c r="N44" s="298"/>
      <c r="O44" s="299"/>
      <c r="P44" s="270"/>
    </row>
    <row r="45" spans="1:16">
      <c r="A45" s="264"/>
      <c r="B45" s="368" t="s">
        <v>310</v>
      </c>
      <c r="C45" s="271">
        <v>1213</v>
      </c>
      <c r="D45" s="271">
        <v>4273</v>
      </c>
      <c r="E45" s="271">
        <v>5486</v>
      </c>
      <c r="G45" s="300"/>
      <c r="H45" s="297"/>
      <c r="I45" s="301"/>
      <c r="J45" s="302"/>
      <c r="K45" s="297"/>
      <c r="L45" s="297"/>
      <c r="M45" s="298"/>
      <c r="N45" s="298"/>
      <c r="O45" s="299"/>
      <c r="P45" s="270"/>
    </row>
    <row r="46" spans="1:16">
      <c r="A46" s="264"/>
      <c r="B46" s="386" t="s">
        <v>323</v>
      </c>
      <c r="C46" s="271">
        <v>-53201</v>
      </c>
      <c r="D46" s="271">
        <v>-53857</v>
      </c>
      <c r="E46" s="271">
        <v>-107058</v>
      </c>
      <c r="G46" s="300"/>
      <c r="H46" s="297"/>
      <c r="I46" s="301"/>
      <c r="J46" s="302"/>
      <c r="K46" s="297"/>
      <c r="L46" s="297"/>
      <c r="M46" s="298"/>
      <c r="N46" s="298"/>
      <c r="O46" s="299"/>
      <c r="P46" s="270"/>
    </row>
    <row r="47" spans="1:16">
      <c r="A47" s="264"/>
      <c r="B47" s="397" t="s">
        <v>324</v>
      </c>
      <c r="C47" s="271">
        <v>-651</v>
      </c>
      <c r="D47" s="271">
        <v>-651</v>
      </c>
      <c r="E47" s="271">
        <v>-1302</v>
      </c>
      <c r="G47" s="300"/>
      <c r="H47" s="297"/>
      <c r="I47" s="301"/>
      <c r="J47" s="302"/>
      <c r="K47" s="297"/>
      <c r="L47" s="297"/>
      <c r="M47" s="298"/>
      <c r="N47" s="298"/>
      <c r="O47" s="299"/>
      <c r="P47" s="270"/>
    </row>
    <row r="48" spans="1:16">
      <c r="A48" s="264"/>
      <c r="B48" s="397" t="s">
        <v>325</v>
      </c>
      <c r="C48" s="398" t="s">
        <v>299</v>
      </c>
      <c r="D48" s="398" t="s">
        <v>300</v>
      </c>
      <c r="E48" s="398" t="s">
        <v>300</v>
      </c>
      <c r="G48" s="300"/>
      <c r="H48" s="297"/>
      <c r="I48" s="301"/>
      <c r="J48" s="302"/>
      <c r="K48" s="297"/>
      <c r="L48" s="297"/>
      <c r="M48" s="298"/>
      <c r="N48" s="298"/>
      <c r="O48" s="299"/>
      <c r="P48" s="270"/>
    </row>
    <row r="49" spans="1:16">
      <c r="A49" s="264"/>
      <c r="B49" s="397" t="s">
        <v>326</v>
      </c>
      <c r="C49" s="398" t="s">
        <v>299</v>
      </c>
      <c r="D49" s="398" t="s">
        <v>300</v>
      </c>
      <c r="E49" s="398" t="s">
        <v>300</v>
      </c>
      <c r="G49" s="300"/>
      <c r="H49" s="297"/>
      <c r="I49" s="301"/>
      <c r="J49" s="302"/>
      <c r="K49" s="297"/>
      <c r="L49" s="297"/>
      <c r="M49" s="298"/>
      <c r="N49" s="298"/>
      <c r="O49" s="299"/>
      <c r="P49" s="270"/>
    </row>
    <row r="50" spans="1:16">
      <c r="A50" s="264"/>
      <c r="B50" s="397" t="s">
        <v>327</v>
      </c>
      <c r="C50" s="398">
        <v>30066</v>
      </c>
      <c r="D50" s="398">
        <v>30308</v>
      </c>
      <c r="E50" s="398">
        <v>60373</v>
      </c>
      <c r="G50" s="300"/>
      <c r="H50" s="297"/>
      <c r="I50" s="301"/>
      <c r="J50" s="302"/>
      <c r="K50" s="297"/>
      <c r="L50" s="297"/>
      <c r="M50" s="298"/>
      <c r="N50" s="298"/>
      <c r="O50" s="299"/>
      <c r="P50" s="270"/>
    </row>
    <row r="51" spans="1:16">
      <c r="A51" s="264"/>
      <c r="B51" s="397"/>
      <c r="C51" s="398"/>
      <c r="D51" s="398"/>
      <c r="E51" s="398"/>
      <c r="G51" s="303"/>
      <c r="H51" s="297"/>
      <c r="I51" s="301"/>
      <c r="J51" s="302"/>
      <c r="K51" s="297"/>
      <c r="L51" s="297"/>
      <c r="M51" s="301"/>
      <c r="N51" s="301"/>
      <c r="O51" s="304"/>
      <c r="P51" s="270"/>
    </row>
    <row r="52" spans="1:16">
      <c r="A52" s="264"/>
      <c r="B52" s="369"/>
      <c r="C52" s="399"/>
      <c r="D52" s="399"/>
      <c r="E52" s="399"/>
      <c r="G52" s="270"/>
      <c r="H52" s="270"/>
      <c r="I52" s="270"/>
      <c r="J52" s="270"/>
      <c r="K52" s="270"/>
      <c r="L52" s="270"/>
      <c r="M52" s="270"/>
      <c r="N52" s="270"/>
      <c r="O52" s="270"/>
      <c r="P52" s="270"/>
    </row>
    <row r="53" spans="1:16">
      <c r="A53" s="264"/>
      <c r="B53" s="368" t="s">
        <v>315</v>
      </c>
      <c r="C53" s="271">
        <v>-326549</v>
      </c>
      <c r="D53" s="271">
        <v>-293553</v>
      </c>
      <c r="E53" s="271">
        <v>-620101</v>
      </c>
    </row>
    <row r="54" spans="1:16">
      <c r="A54" s="264"/>
      <c r="B54" s="400"/>
      <c r="C54" s="400"/>
      <c r="D54" s="400"/>
      <c r="E54" s="400"/>
    </row>
    <row r="55" spans="1:16" ht="15" thickBot="1">
      <c r="A55" s="264"/>
      <c r="B55" s="371"/>
      <c r="C55" s="395">
        <v>2020</v>
      </c>
      <c r="D55" s="395">
        <v>2021</v>
      </c>
      <c r="E55" s="396" t="s">
        <v>158</v>
      </c>
    </row>
    <row r="56" spans="1:16" ht="15" thickTop="1">
      <c r="A56" s="264"/>
      <c r="B56" s="370" t="s">
        <v>297</v>
      </c>
      <c r="C56" s="398">
        <v>-178787</v>
      </c>
      <c r="D56" s="398">
        <v>-167773</v>
      </c>
      <c r="E56" s="398">
        <v>-346560</v>
      </c>
    </row>
    <row r="57" spans="1:16">
      <c r="A57" s="264"/>
      <c r="B57" s="400"/>
      <c r="C57" s="271"/>
      <c r="D57" s="400"/>
      <c r="E57" s="400"/>
    </row>
    <row r="58" spans="1:16" ht="15" thickBot="1">
      <c r="A58" s="264"/>
      <c r="B58" s="371" t="s">
        <v>191</v>
      </c>
      <c r="C58" s="395">
        <v>2020</v>
      </c>
      <c r="D58" s="395">
        <v>2021</v>
      </c>
      <c r="E58" s="396" t="s">
        <v>158</v>
      </c>
    </row>
    <row r="59" spans="1:16" ht="15" thickTop="1">
      <c r="A59" s="264"/>
      <c r="B59" s="370" t="s">
        <v>296</v>
      </c>
      <c r="C59" s="398">
        <v>2211745</v>
      </c>
      <c r="D59" s="398">
        <v>2276882</v>
      </c>
      <c r="E59" s="398">
        <v>4488627</v>
      </c>
    </row>
    <row r="60" spans="1:16">
      <c r="A60" s="264"/>
      <c r="B60" s="370" t="s">
        <v>297</v>
      </c>
      <c r="C60" s="398">
        <v>-178787</v>
      </c>
      <c r="D60" s="398">
        <v>-167773</v>
      </c>
      <c r="E60" s="398">
        <v>-346560</v>
      </c>
    </row>
    <row r="61" spans="1:16">
      <c r="A61" s="264"/>
      <c r="B61" s="370" t="s">
        <v>298</v>
      </c>
      <c r="C61" s="398" t="s">
        <v>299</v>
      </c>
      <c r="D61" s="398" t="s">
        <v>300</v>
      </c>
      <c r="E61" s="398" t="s">
        <v>300</v>
      </c>
    </row>
    <row r="62" spans="1:16">
      <c r="A62" s="264"/>
      <c r="B62" s="375" t="s">
        <v>301</v>
      </c>
      <c r="C62" s="399">
        <v>12993</v>
      </c>
      <c r="D62" s="399">
        <v>16879</v>
      </c>
      <c r="E62" s="399">
        <v>29872</v>
      </c>
    </row>
    <row r="63" spans="1:16">
      <c r="A63" s="264"/>
      <c r="B63" s="401" t="s">
        <v>163</v>
      </c>
      <c r="C63" s="398">
        <v>2045951</v>
      </c>
      <c r="D63" s="398">
        <v>2125988</v>
      </c>
      <c r="E63" s="398">
        <v>4171939</v>
      </c>
    </row>
    <row r="64" spans="1:16">
      <c r="A64" s="264"/>
      <c r="B64" s="400"/>
      <c r="C64" s="400"/>
      <c r="D64" s="400"/>
      <c r="E64" s="400"/>
    </row>
    <row r="65" spans="1:7" ht="15" thickBot="1">
      <c r="A65" s="264"/>
      <c r="B65" s="371" t="s">
        <v>192</v>
      </c>
      <c r="C65" s="395">
        <v>2020</v>
      </c>
      <c r="D65" s="395">
        <v>2021</v>
      </c>
      <c r="E65" s="396" t="s">
        <v>158</v>
      </c>
    </row>
    <row r="66" spans="1:7" ht="15" thickTop="1">
      <c r="A66" s="264"/>
      <c r="B66" s="370" t="s">
        <v>328</v>
      </c>
      <c r="C66" s="402">
        <v>94.220500000000001</v>
      </c>
      <c r="D66" s="402">
        <v>94.641999999999996</v>
      </c>
      <c r="E66" s="402">
        <v>94.431299999999993</v>
      </c>
    </row>
    <row r="67" spans="1:7">
      <c r="A67" s="264"/>
      <c r="B67" s="370" t="s">
        <v>329</v>
      </c>
      <c r="C67" s="402">
        <v>71.857900000000001</v>
      </c>
      <c r="D67" s="402">
        <v>72.279399999999995</v>
      </c>
      <c r="E67" s="402">
        <v>72.068600000000004</v>
      </c>
    </row>
    <row r="68" spans="1:7">
      <c r="A68" s="264"/>
      <c r="B68" s="370" t="s">
        <v>330</v>
      </c>
      <c r="C68" s="402">
        <v>22.3627</v>
      </c>
      <c r="D68" s="402">
        <v>22.3627</v>
      </c>
      <c r="E68" s="402">
        <v>22.3627</v>
      </c>
    </row>
    <row r="69" spans="1:7">
      <c r="A69" s="264"/>
      <c r="B69" s="370"/>
      <c r="C69" s="398"/>
      <c r="D69" s="398"/>
      <c r="E69" s="398"/>
    </row>
    <row r="70" spans="1:7" ht="15" thickBot="1">
      <c r="A70" s="264"/>
      <c r="B70" s="371" t="s">
        <v>196</v>
      </c>
      <c r="C70" s="395">
        <v>2020</v>
      </c>
      <c r="D70" s="395">
        <v>2021</v>
      </c>
      <c r="E70" s="396" t="s">
        <v>158</v>
      </c>
    </row>
    <row r="71" spans="1:7" ht="15" thickTop="1">
      <c r="A71" s="264"/>
      <c r="B71" s="370" t="s">
        <v>296</v>
      </c>
      <c r="C71" s="398">
        <v>23474</v>
      </c>
      <c r="D71" s="398">
        <v>24058</v>
      </c>
      <c r="E71" s="398">
        <v>23767</v>
      </c>
    </row>
    <row r="72" spans="1:7">
      <c r="B72" s="370" t="s">
        <v>297</v>
      </c>
      <c r="C72" s="398">
        <v>-2488</v>
      </c>
      <c r="D72" s="398">
        <v>-2321</v>
      </c>
      <c r="E72" s="398">
        <v>-2404</v>
      </c>
    </row>
    <row r="73" spans="1:7">
      <c r="A73" s="264"/>
      <c r="B73" s="370" t="s">
        <v>298</v>
      </c>
      <c r="C73" s="398" t="s">
        <v>299</v>
      </c>
      <c r="D73" s="398" t="s">
        <v>300</v>
      </c>
      <c r="E73" s="398" t="s">
        <v>300</v>
      </c>
    </row>
    <row r="74" spans="1:7">
      <c r="A74" s="264"/>
      <c r="B74" s="400"/>
      <c r="C74" s="400"/>
      <c r="D74" s="400"/>
      <c r="E74" s="400"/>
      <c r="G74" s="272"/>
    </row>
    <row r="75" spans="1:7" ht="15" thickBot="1">
      <c r="A75" s="264"/>
      <c r="B75" s="371" t="s">
        <v>197</v>
      </c>
      <c r="C75" s="395">
        <v>2020</v>
      </c>
      <c r="D75" s="395">
        <v>2021</v>
      </c>
      <c r="E75" s="396" t="s">
        <v>158</v>
      </c>
      <c r="G75" s="272"/>
    </row>
    <row r="76" spans="1:7" ht="15" thickTop="1">
      <c r="A76" s="264"/>
      <c r="B76" s="370" t="s">
        <v>296</v>
      </c>
      <c r="C76" s="403">
        <v>1956178</v>
      </c>
      <c r="D76" s="403">
        <v>2004819</v>
      </c>
      <c r="E76" s="403">
        <v>1980553</v>
      </c>
    </row>
    <row r="77" spans="1:7">
      <c r="B77" s="370" t="s">
        <v>297</v>
      </c>
      <c r="C77" s="403">
        <v>-207339</v>
      </c>
      <c r="D77" s="403">
        <v>-193431</v>
      </c>
      <c r="E77" s="403">
        <v>-200365</v>
      </c>
    </row>
    <row r="78" spans="1:7">
      <c r="A78" s="264"/>
      <c r="B78" s="370" t="s">
        <v>298</v>
      </c>
      <c r="C78" s="403" t="s">
        <v>331</v>
      </c>
      <c r="D78" s="403" t="s">
        <v>332</v>
      </c>
      <c r="E78" s="403" t="s">
        <v>332</v>
      </c>
    </row>
    <row r="79" spans="1:7">
      <c r="A79" s="264"/>
      <c r="B79" s="400"/>
      <c r="C79" s="400"/>
      <c r="D79" s="400"/>
      <c r="E79" s="400"/>
    </row>
    <row r="80" spans="1:7" ht="15" thickBot="1">
      <c r="A80" s="264"/>
      <c r="B80" s="371" t="s">
        <v>198</v>
      </c>
      <c r="C80" s="395">
        <v>2020</v>
      </c>
      <c r="D80" s="395">
        <v>2021</v>
      </c>
      <c r="E80" s="396" t="s">
        <v>158</v>
      </c>
    </row>
    <row r="81" spans="1:5" ht="15" thickTop="1">
      <c r="A81" s="264"/>
      <c r="B81" s="370" t="s">
        <v>333</v>
      </c>
      <c r="C81" s="404">
        <v>30.32</v>
      </c>
      <c r="D81" s="404">
        <v>33</v>
      </c>
      <c r="E81" s="404">
        <v>31.76</v>
      </c>
    </row>
    <row r="82" spans="1:5">
      <c r="A82" s="264"/>
      <c r="B82" s="370" t="s">
        <v>334</v>
      </c>
      <c r="C82" s="404" t="s">
        <v>299</v>
      </c>
      <c r="D82" s="404" t="s">
        <v>300</v>
      </c>
      <c r="E82" s="404" t="s">
        <v>300</v>
      </c>
    </row>
    <row r="83" spans="1:5">
      <c r="A83" s="264"/>
      <c r="B83" s="370" t="s">
        <v>335</v>
      </c>
      <c r="C83" s="404" t="s">
        <v>299</v>
      </c>
      <c r="D83" s="404" t="s">
        <v>300</v>
      </c>
      <c r="E83" s="404" t="s">
        <v>300</v>
      </c>
    </row>
    <row r="85" spans="1:5" ht="15" thickBot="1">
      <c r="C85" s="395">
        <v>2020</v>
      </c>
      <c r="D85" s="395">
        <v>2021</v>
      </c>
    </row>
    <row r="86" spans="1:5" ht="15" thickTop="1">
      <c r="B86" s="259" t="s">
        <v>635</v>
      </c>
      <c r="C86" s="258">
        <v>0.47</v>
      </c>
      <c r="D86" s="264">
        <v>0</v>
      </c>
    </row>
    <row r="87" spans="1:5">
      <c r="B87" s="259" t="s">
        <v>642</v>
      </c>
      <c r="C87" s="259">
        <v>0.81</v>
      </c>
      <c r="D87" s="264">
        <v>0</v>
      </c>
    </row>
    <row r="88" spans="1:5">
      <c r="B88" s="264" t="s">
        <v>637</v>
      </c>
      <c r="C88" s="318">
        <f>$H$33-C86</f>
        <v>-15.66</v>
      </c>
      <c r="D88" s="318">
        <f>$H$33-D86</f>
        <v>-15.19</v>
      </c>
    </row>
  </sheetData>
  <conditionalFormatting sqref="B2">
    <cfRule type="expression" dxfId="5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T94"/>
  <sheetViews>
    <sheetView zoomScale="85" zoomScaleNormal="85" workbookViewId="0">
      <selection activeCell="D20" sqref="D20"/>
    </sheetView>
  </sheetViews>
  <sheetFormatPr defaultColWidth="9.109375" defaultRowHeight="14.4"/>
  <cols>
    <col min="1" max="1" width="9.109375" style="263"/>
    <col min="2" max="2" width="61.109375" style="264" customWidth="1"/>
    <col min="3" max="3" width="17.6640625" style="264" bestFit="1" customWidth="1"/>
    <col min="4" max="5" width="18.33203125" style="264" bestFit="1" customWidth="1"/>
    <col min="6" max="6" width="9.109375" style="264"/>
    <col min="7" max="7" width="10.5546875" style="264" bestFit="1" customWidth="1"/>
    <col min="8" max="14" width="13.88671875" style="264" customWidth="1"/>
    <col min="15" max="15" width="15.44140625" style="264" customWidth="1"/>
    <col min="16" max="16" width="13.88671875" style="264" customWidth="1"/>
    <col min="17" max="17" width="14.33203125" style="264" bestFit="1" customWidth="1"/>
    <col min="18" max="18" width="4.44140625" style="264" bestFit="1" customWidth="1"/>
    <col min="19" max="19" width="5.33203125" style="264" bestFit="1" customWidth="1"/>
    <col min="20" max="16384" width="9.109375" style="264"/>
  </cols>
  <sheetData>
    <row r="1" spans="1:19">
      <c r="A1" s="262"/>
      <c r="B1" s="405" t="s">
        <v>156</v>
      </c>
      <c r="C1" s="255"/>
      <c r="D1" s="255"/>
      <c r="E1" s="255"/>
    </row>
    <row r="2" spans="1:19">
      <c r="A2" s="275"/>
      <c r="B2" s="336" t="s">
        <v>632</v>
      </c>
      <c r="C2" s="255"/>
      <c r="D2" s="255"/>
      <c r="E2" s="255"/>
    </row>
    <row r="3" spans="1:19">
      <c r="A3" s="277"/>
      <c r="B3" s="255"/>
      <c r="C3" s="255"/>
      <c r="D3" s="255"/>
      <c r="E3" s="255"/>
    </row>
    <row r="4" spans="1:19" ht="7.5" customHeight="1">
      <c r="B4" s="255"/>
      <c r="C4" s="255"/>
      <c r="D4" s="255"/>
      <c r="E4" s="255"/>
    </row>
    <row r="5" spans="1:19" ht="43.8" thickBot="1">
      <c r="B5" s="406" t="s">
        <v>157</v>
      </c>
      <c r="C5" s="372">
        <v>2022</v>
      </c>
      <c r="D5" s="372">
        <v>2023</v>
      </c>
      <c r="E5" s="373" t="s">
        <v>158</v>
      </c>
      <c r="G5" s="278"/>
      <c r="H5" s="279" t="s">
        <v>201</v>
      </c>
      <c r="I5" s="279" t="s">
        <v>202</v>
      </c>
      <c r="J5" s="279" t="s">
        <v>203</v>
      </c>
      <c r="K5" s="279" t="s">
        <v>204</v>
      </c>
      <c r="L5" s="279" t="s">
        <v>205</v>
      </c>
      <c r="M5" s="279" t="s">
        <v>206</v>
      </c>
      <c r="N5" s="279" t="s">
        <v>207</v>
      </c>
      <c r="O5" s="279" t="s">
        <v>208</v>
      </c>
      <c r="P5" s="279" t="s">
        <v>337</v>
      </c>
      <c r="Q5" s="279" t="s">
        <v>338</v>
      </c>
      <c r="R5" s="279" t="s">
        <v>143</v>
      </c>
      <c r="S5" s="279" t="s">
        <v>144</v>
      </c>
    </row>
    <row r="6" spans="1:19" ht="15" thickTop="1">
      <c r="B6" s="273" t="s">
        <v>159</v>
      </c>
      <c r="C6" s="374">
        <v>2559204.5969711118</v>
      </c>
      <c r="D6" s="374">
        <v>2605041.5968466764</v>
      </c>
      <c r="E6" s="374">
        <v>5164246.1938177887</v>
      </c>
      <c r="G6" s="280">
        <v>44470</v>
      </c>
      <c r="H6" s="281">
        <v>240598.48076923069</v>
      </c>
      <c r="I6" s="282">
        <v>9.8699999999999992</v>
      </c>
      <c r="J6" s="283">
        <v>2374707.0051923068</v>
      </c>
      <c r="K6" s="281">
        <v>-197717.800075423</v>
      </c>
      <c r="L6" s="281">
        <v>111102.77494334755</v>
      </c>
      <c r="M6" s="282">
        <v>29.92</v>
      </c>
      <c r="N6" s="282">
        <v>28.27</v>
      </c>
      <c r="O6" s="284">
        <v>-2774841.1306082211</v>
      </c>
      <c r="P6" s="281">
        <v>2920790.2645354997</v>
      </c>
      <c r="Q6" s="281">
        <v>1633134.1562275002</v>
      </c>
      <c r="R6" s="367">
        <f>VLOOKUP($G6,Init!$C$5:$H$232, 2,FALSE)</f>
        <v>416</v>
      </c>
      <c r="S6" s="367">
        <f>VLOOKUP($G6,Init!$C$5:$H$232, 3,FALSE)</f>
        <v>328</v>
      </c>
    </row>
    <row r="7" spans="1:19">
      <c r="B7" s="273" t="s">
        <v>160</v>
      </c>
      <c r="C7" s="374">
        <v>153612.72516092777</v>
      </c>
      <c r="D7" s="374">
        <v>145002.09211784913</v>
      </c>
      <c r="E7" s="374">
        <v>298614.8172787769</v>
      </c>
      <c r="G7" s="280">
        <v>44501</v>
      </c>
      <c r="H7" s="281">
        <v>311366</v>
      </c>
      <c r="I7" s="282">
        <v>10.46</v>
      </c>
      <c r="J7" s="283">
        <v>3256888.3600000003</v>
      </c>
      <c r="K7" s="281">
        <v>-390111.24178018811</v>
      </c>
      <c r="L7" s="281">
        <v>-64236.252998713702</v>
      </c>
      <c r="M7" s="282">
        <v>31.71</v>
      </c>
      <c r="N7" s="282">
        <v>29.14</v>
      </c>
      <c r="O7" s="284">
        <v>-14242271.889232282</v>
      </c>
      <c r="P7" s="281">
        <v>3537945.1705555003</v>
      </c>
      <c r="Q7" s="281">
        <v>2227488.4194209999</v>
      </c>
      <c r="R7" s="367">
        <f>VLOOKUP($G7,Init!$C$5:$H$232, 2,FALSE)</f>
        <v>400</v>
      </c>
      <c r="S7" s="367">
        <f>VLOOKUP($G7,Init!$C$5:$H$232, 3,FALSE)</f>
        <v>321</v>
      </c>
    </row>
    <row r="8" spans="1:19">
      <c r="B8" s="273" t="s">
        <v>161</v>
      </c>
      <c r="C8" s="374">
        <v>0</v>
      </c>
      <c r="D8" s="374">
        <v>0</v>
      </c>
      <c r="E8" s="374">
        <v>0</v>
      </c>
      <c r="G8" s="280">
        <v>44531</v>
      </c>
      <c r="H8" s="281">
        <v>662406.60336538462</v>
      </c>
      <c r="I8" s="282">
        <v>12.78</v>
      </c>
      <c r="J8" s="283">
        <v>8465556.3910096157</v>
      </c>
      <c r="K8" s="281">
        <v>280709.1124624426</v>
      </c>
      <c r="L8" s="281">
        <v>121448.40271946962</v>
      </c>
      <c r="M8" s="282">
        <v>38.76</v>
      </c>
      <c r="N8" s="282">
        <v>32.049999999999997</v>
      </c>
      <c r="O8" s="284">
        <v>14772706.506203275</v>
      </c>
      <c r="P8" s="281">
        <v>3223872.7356785</v>
      </c>
      <c r="Q8" s="281">
        <v>2419334.9120455002</v>
      </c>
      <c r="R8" s="367">
        <f>VLOOKUP($G8,Init!$C$5:$H$232, 2,FALSE)</f>
        <v>416</v>
      </c>
      <c r="S8" s="367">
        <f>VLOOKUP($G8,Init!$C$5:$H$232, 3,FALSE)</f>
        <v>328</v>
      </c>
    </row>
    <row r="9" spans="1:19">
      <c r="B9" s="407" t="s">
        <v>162</v>
      </c>
      <c r="C9" s="376">
        <v>46009.386494016624</v>
      </c>
      <c r="D9" s="376">
        <v>48974.658380774446</v>
      </c>
      <c r="E9" s="376">
        <v>94984.04487479107</v>
      </c>
      <c r="G9" s="280">
        <v>44562</v>
      </c>
      <c r="H9" s="281">
        <v>513053.09250000003</v>
      </c>
      <c r="I9" s="282">
        <v>11.31</v>
      </c>
      <c r="J9" s="283">
        <v>5802630.4761750009</v>
      </c>
      <c r="K9" s="281">
        <v>676660.6310354186</v>
      </c>
      <c r="L9" s="281">
        <v>475163.32208860043</v>
      </c>
      <c r="M9" s="282">
        <v>34.29</v>
      </c>
      <c r="N9" s="282">
        <v>25.85</v>
      </c>
      <c r="O9" s="284">
        <v>35485664.914194822</v>
      </c>
      <c r="P9" s="281">
        <v>2651579.7252024999</v>
      </c>
      <c r="Q9" s="281">
        <v>2009469.8153045001</v>
      </c>
      <c r="R9" s="367">
        <f>VLOOKUP($G9,Init!$C$5:$H$232, 2,FALSE)</f>
        <v>400</v>
      </c>
      <c r="S9" s="367">
        <f>VLOOKUP($G9,Init!$C$5:$H$232, 3,FALSE)</f>
        <v>344</v>
      </c>
    </row>
    <row r="10" spans="1:19">
      <c r="B10" s="377" t="s">
        <v>163</v>
      </c>
      <c r="C10" s="378">
        <v>2758826.7086260561</v>
      </c>
      <c r="D10" s="378">
        <v>2799018.3473453</v>
      </c>
      <c r="E10" s="378">
        <v>5557845.0559713561</v>
      </c>
      <c r="G10" s="280">
        <v>44593</v>
      </c>
      <c r="H10" s="281">
        <v>347566.25</v>
      </c>
      <c r="I10" s="282">
        <v>11.47</v>
      </c>
      <c r="J10" s="283">
        <v>3986584.8875000002</v>
      </c>
      <c r="K10" s="281">
        <v>544800.21335585485</v>
      </c>
      <c r="L10" s="281">
        <v>297572.08491503354</v>
      </c>
      <c r="M10" s="282">
        <v>34.79</v>
      </c>
      <c r="N10" s="282">
        <v>28.29</v>
      </c>
      <c r="O10" s="284">
        <v>27371913.704896487</v>
      </c>
      <c r="P10" s="281">
        <v>2346690.1216629995</v>
      </c>
      <c r="Q10" s="281">
        <v>1693143.6717284999</v>
      </c>
      <c r="R10" s="367">
        <f>VLOOKUP($G10,Init!$C$5:$H$232, 2,FALSE)</f>
        <v>384</v>
      </c>
      <c r="S10" s="367">
        <f>VLOOKUP($G10,Init!$C$5:$H$232, 3,FALSE)</f>
        <v>288</v>
      </c>
    </row>
    <row r="11" spans="1:19">
      <c r="B11" s="379"/>
      <c r="C11" s="380"/>
      <c r="D11" s="380"/>
      <c r="E11" s="380"/>
      <c r="G11" s="280">
        <v>44621</v>
      </c>
      <c r="H11" s="281">
        <v>549172.0694444445</v>
      </c>
      <c r="I11" s="282">
        <v>9.09</v>
      </c>
      <c r="J11" s="283">
        <v>4991974.1112500001</v>
      </c>
      <c r="K11" s="281">
        <v>117233.02355765394</v>
      </c>
      <c r="L11" s="281">
        <v>151909.25664830368</v>
      </c>
      <c r="M11" s="282">
        <v>27.57</v>
      </c>
      <c r="N11" s="282">
        <v>28.44</v>
      </c>
      <c r="O11" s="284">
        <v>7552413.7185622761</v>
      </c>
      <c r="P11" s="281">
        <v>2961839.2513114996</v>
      </c>
      <c r="Q11" s="281">
        <v>1860906.497004</v>
      </c>
      <c r="R11" s="367">
        <f>VLOOKUP($G11,Init!$C$5:$H$232, 2,FALSE)</f>
        <v>432</v>
      </c>
      <c r="S11" s="367">
        <f>VLOOKUP($G11,Init!$C$5:$H$232, 3,FALSE)</f>
        <v>311</v>
      </c>
    </row>
    <row r="12" spans="1:19" ht="15" thickBot="1">
      <c r="B12" s="406" t="s">
        <v>164</v>
      </c>
      <c r="C12" s="381"/>
      <c r="D12" s="382"/>
      <c r="E12" s="381"/>
      <c r="G12" s="280">
        <v>44652</v>
      </c>
      <c r="H12" s="281">
        <v>504335.39423076925</v>
      </c>
      <c r="I12" s="282">
        <v>6.83</v>
      </c>
      <c r="J12" s="283">
        <v>3444610.7425961541</v>
      </c>
      <c r="K12" s="281">
        <v>237065.11440718954</v>
      </c>
      <c r="L12" s="281">
        <v>227947.11666190013</v>
      </c>
      <c r="M12" s="282">
        <v>20.71</v>
      </c>
      <c r="N12" s="282">
        <v>25.66</v>
      </c>
      <c r="O12" s="284">
        <v>10758741.532917254</v>
      </c>
      <c r="P12" s="281">
        <v>2307313.6325114998</v>
      </c>
      <c r="Q12" s="281">
        <v>1436906.3942220001</v>
      </c>
      <c r="R12" s="367">
        <f>VLOOKUP($G12,Init!$C$5:$H$232, 2,FALSE)</f>
        <v>416</v>
      </c>
      <c r="S12" s="367">
        <f>VLOOKUP($G12,Init!$C$5:$H$232, 3,FALSE)</f>
        <v>304</v>
      </c>
    </row>
    <row r="13" spans="1:19" ht="15" thickTop="1">
      <c r="B13" s="379"/>
      <c r="C13" s="379"/>
      <c r="D13" s="379"/>
      <c r="E13" s="379"/>
      <c r="G13" s="280">
        <v>44682</v>
      </c>
      <c r="H13" s="281">
        <v>330867.33999999997</v>
      </c>
      <c r="I13" s="282">
        <v>5.36</v>
      </c>
      <c r="J13" s="283">
        <v>1773448.9423999998</v>
      </c>
      <c r="K13" s="281">
        <v>-809107.61594691791</v>
      </c>
      <c r="L13" s="281">
        <v>38570.086242848542</v>
      </c>
      <c r="M13" s="282">
        <v>16.28</v>
      </c>
      <c r="N13" s="282">
        <v>16.3</v>
      </c>
      <c r="O13" s="284">
        <v>-12543579.581857393</v>
      </c>
      <c r="P13" s="281">
        <v>3495709.6741295001</v>
      </c>
      <c r="Q13" s="281">
        <v>1691934.7265655</v>
      </c>
      <c r="R13" s="367">
        <f>VLOOKUP($G13,Init!$C$5:$H$232, 2,FALSE)</f>
        <v>400</v>
      </c>
      <c r="S13" s="367">
        <f>VLOOKUP($G13,Init!$C$5:$H$232, 3,FALSE)</f>
        <v>344</v>
      </c>
    </row>
    <row r="14" spans="1:19" ht="15" thickBot="1">
      <c r="B14" s="408" t="s">
        <v>165</v>
      </c>
      <c r="C14" s="384">
        <v>2022</v>
      </c>
      <c r="D14" s="384">
        <v>2023</v>
      </c>
      <c r="E14" s="385" t="s">
        <v>158</v>
      </c>
      <c r="G14" s="280">
        <v>44713</v>
      </c>
      <c r="H14" s="281">
        <v>524741.7259615385</v>
      </c>
      <c r="I14" s="282">
        <v>5.65</v>
      </c>
      <c r="J14" s="283">
        <v>2964790.7516826927</v>
      </c>
      <c r="K14" s="281">
        <v>-1059927.1537242546</v>
      </c>
      <c r="L14" s="281">
        <v>323.41281014848209</v>
      </c>
      <c r="M14" s="282">
        <v>17.149999999999999</v>
      </c>
      <c r="N14" s="282">
        <v>10.62</v>
      </c>
      <c r="O14" s="284">
        <v>-18174316.042327188</v>
      </c>
      <c r="P14" s="281">
        <v>3952932.9129210003</v>
      </c>
      <c r="Q14" s="281">
        <v>1590173.7540925001</v>
      </c>
      <c r="R14" s="367">
        <f>VLOOKUP($G14,Init!$C$5:$H$232, 2,FALSE)</f>
        <v>416</v>
      </c>
      <c r="S14" s="367">
        <f>VLOOKUP($G14,Init!$C$5:$H$232, 3,FALSE)</f>
        <v>304</v>
      </c>
    </row>
    <row r="15" spans="1:19" ht="15" thickTop="1">
      <c r="B15" s="266" t="s">
        <v>166</v>
      </c>
      <c r="C15" s="414">
        <v>-4277.3327999999992</v>
      </c>
      <c r="D15" s="414">
        <v>-4277.3327999999992</v>
      </c>
      <c r="E15" s="414">
        <v>-8554.6655999999984</v>
      </c>
      <c r="G15" s="280">
        <v>44743</v>
      </c>
      <c r="H15" s="281">
        <v>490206.24000000022</v>
      </c>
      <c r="I15" s="282">
        <v>12.14</v>
      </c>
      <c r="J15" s="283">
        <v>5951103.7536000032</v>
      </c>
      <c r="K15" s="281">
        <v>-537766.35472244117</v>
      </c>
      <c r="L15" s="281">
        <v>177800.91169557659</v>
      </c>
      <c r="M15" s="282">
        <v>36.83</v>
      </c>
      <c r="N15" s="282">
        <v>21.36</v>
      </c>
      <c r="O15" s="284">
        <v>-16008107.370609991</v>
      </c>
      <c r="P15" s="281">
        <v>3505339.3100824999</v>
      </c>
      <c r="Q15" s="281">
        <v>1757589.469515</v>
      </c>
      <c r="R15" s="367">
        <f>VLOOKUP($G15,Init!$C$5:$H$232, 2,FALSE)</f>
        <v>400</v>
      </c>
      <c r="S15" s="367">
        <f>VLOOKUP($G15,Init!$C$5:$H$232, 3,FALSE)</f>
        <v>344</v>
      </c>
    </row>
    <row r="16" spans="1:19">
      <c r="B16" s="266" t="s">
        <v>167</v>
      </c>
      <c r="C16" s="414">
        <v>0</v>
      </c>
      <c r="D16" s="414">
        <v>0</v>
      </c>
      <c r="E16" s="414">
        <v>0</v>
      </c>
      <c r="G16" s="280">
        <v>44774</v>
      </c>
      <c r="H16" s="281">
        <v>636317.34722222248</v>
      </c>
      <c r="I16" s="282">
        <v>11.83</v>
      </c>
      <c r="J16" s="283">
        <v>7527634.2176388921</v>
      </c>
      <c r="K16" s="281">
        <v>-390177.78675676213</v>
      </c>
      <c r="L16" s="281">
        <v>103370.54898184206</v>
      </c>
      <c r="M16" s="282">
        <v>35.869999999999997</v>
      </c>
      <c r="N16" s="282">
        <v>26.85</v>
      </c>
      <c r="O16" s="284">
        <v>-11220177.970802596</v>
      </c>
      <c r="P16" s="281">
        <v>3425259.1536944997</v>
      </c>
      <c r="Q16" s="281">
        <v>1660955.4979559998</v>
      </c>
      <c r="R16" s="367">
        <f>VLOOKUP($G16,Init!$C$5:$H$232, 2,FALSE)</f>
        <v>432</v>
      </c>
      <c r="S16" s="367">
        <f>VLOOKUP($G16,Init!$C$5:$H$232, 3,FALSE)</f>
        <v>312</v>
      </c>
    </row>
    <row r="17" spans="1:20">
      <c r="A17" s="264"/>
      <c r="B17" s="266" t="s">
        <v>168</v>
      </c>
      <c r="C17" s="414">
        <v>-0.75780420426248596</v>
      </c>
      <c r="D17" s="414">
        <v>-0.79364320634784102</v>
      </c>
      <c r="E17" s="414">
        <v>-1.5514474106103271</v>
      </c>
      <c r="G17" s="285">
        <v>44805</v>
      </c>
      <c r="H17" s="286">
        <v>476739.06499999994</v>
      </c>
      <c r="I17" s="287">
        <v>9.2899999999999991</v>
      </c>
      <c r="J17" s="288">
        <v>4428905.9138499992</v>
      </c>
      <c r="K17" s="286">
        <v>-343859.03821881709</v>
      </c>
      <c r="L17" s="286">
        <v>48849.337261395645</v>
      </c>
      <c r="M17" s="287">
        <v>28.15</v>
      </c>
      <c r="N17" s="287">
        <v>28.95</v>
      </c>
      <c r="O17" s="289">
        <v>-8265443.6121422965</v>
      </c>
      <c r="P17" s="286">
        <v>2999684.9937805003</v>
      </c>
      <c r="Q17" s="286">
        <v>1700507.5612094998</v>
      </c>
      <c r="R17" s="367">
        <f>VLOOKUP($G17,Init!$C$5:$H$232, 2,FALSE)</f>
        <v>400</v>
      </c>
      <c r="S17" s="367">
        <f>VLOOKUP($G17,Init!$C$5:$H$232, 3,FALSE)</f>
        <v>320</v>
      </c>
    </row>
    <row r="18" spans="1:20">
      <c r="A18" s="264"/>
      <c r="B18" s="266" t="s">
        <v>169</v>
      </c>
      <c r="C18" s="412">
        <v>-1070.472</v>
      </c>
      <c r="D18" s="412">
        <v>-1070.472</v>
      </c>
      <c r="E18" s="412">
        <v>-2140.944</v>
      </c>
      <c r="G18" s="290">
        <v>44835</v>
      </c>
      <c r="H18" s="281">
        <v>261618.29326923075</v>
      </c>
      <c r="I18" s="282">
        <v>9.8699999999999992</v>
      </c>
      <c r="J18" s="283">
        <v>2582172.5545673072</v>
      </c>
      <c r="K18" s="281">
        <v>-189155.16305455938</v>
      </c>
      <c r="L18" s="281">
        <v>115774.72279184579</v>
      </c>
      <c r="M18" s="282">
        <v>29.92</v>
      </c>
      <c r="N18" s="282">
        <v>28.27</v>
      </c>
      <c r="O18" s="291">
        <v>-2386571.0652669366</v>
      </c>
      <c r="P18" s="281">
        <v>2920790.2645354997</v>
      </c>
      <c r="Q18" s="281">
        <v>1633134.1562275002</v>
      </c>
      <c r="R18" s="367">
        <f>VLOOKUP($G18,Init!$C$5:$H$232, 2,FALSE)</f>
        <v>416</v>
      </c>
      <c r="S18" s="367">
        <f>VLOOKUP($G18,Init!$C$5:$H$232, 3,FALSE)</f>
        <v>328</v>
      </c>
    </row>
    <row r="19" spans="1:20">
      <c r="A19" s="264"/>
      <c r="B19" s="266" t="s">
        <v>170</v>
      </c>
      <c r="C19" s="412">
        <v>-879</v>
      </c>
      <c r="D19" s="412">
        <v>-879</v>
      </c>
      <c r="E19" s="412">
        <v>-1758</v>
      </c>
      <c r="G19" s="290">
        <v>44866</v>
      </c>
      <c r="H19" s="281">
        <v>322761.48749999993</v>
      </c>
      <c r="I19" s="282">
        <v>10.46</v>
      </c>
      <c r="J19" s="283">
        <v>3376085.1592499996</v>
      </c>
      <c r="K19" s="281">
        <v>-376629.49828520592</v>
      </c>
      <c r="L19" s="281">
        <v>-50419.293342038705</v>
      </c>
      <c r="M19" s="282">
        <v>31.71</v>
      </c>
      <c r="N19" s="282">
        <v>29.14</v>
      </c>
      <c r="O19" s="291">
        <v>-13412139.598610889</v>
      </c>
      <c r="P19" s="281">
        <v>3537945.1705555003</v>
      </c>
      <c r="Q19" s="281">
        <v>2227488.4194209999</v>
      </c>
      <c r="R19" s="367">
        <f>VLOOKUP($G19,Init!$C$5:$H$232, 2,FALSE)</f>
        <v>400</v>
      </c>
      <c r="S19" s="367">
        <f>VLOOKUP($G19,Init!$C$5:$H$232, 3,FALSE)</f>
        <v>321</v>
      </c>
    </row>
    <row r="20" spans="1:20">
      <c r="A20" s="264"/>
      <c r="B20" s="266" t="s">
        <v>171</v>
      </c>
      <c r="C20" s="412">
        <v>-243708.90835027245</v>
      </c>
      <c r="D20" s="412">
        <v>-243818.9501873941</v>
      </c>
      <c r="E20" s="412">
        <v>-487527.85853766656</v>
      </c>
      <c r="G20" s="290">
        <v>44896</v>
      </c>
      <c r="H20" s="281">
        <v>674424.98557692335</v>
      </c>
      <c r="I20" s="282">
        <v>12.78</v>
      </c>
      <c r="J20" s="283">
        <v>8619151.3156730793</v>
      </c>
      <c r="K20" s="281">
        <v>298722.84485342563</v>
      </c>
      <c r="L20" s="281">
        <v>137986.87033294066</v>
      </c>
      <c r="M20" s="282">
        <v>38.76</v>
      </c>
      <c r="N20" s="282">
        <v>32.049999999999997</v>
      </c>
      <c r="O20" s="291">
        <v>16000976.660689525</v>
      </c>
      <c r="P20" s="281">
        <v>3223872.7356785</v>
      </c>
      <c r="Q20" s="281">
        <v>2419334.9120455002</v>
      </c>
      <c r="R20" s="367">
        <f>VLOOKUP($G20,Init!$C$5:$H$232, 2,FALSE)</f>
        <v>416</v>
      </c>
      <c r="S20" s="367">
        <f>VLOOKUP($G20,Init!$C$5:$H$232, 3,FALSE)</f>
        <v>328</v>
      </c>
    </row>
    <row r="21" spans="1:20">
      <c r="A21" s="264"/>
      <c r="B21" s="266" t="s">
        <v>172</v>
      </c>
      <c r="C21" s="412"/>
      <c r="D21" s="412"/>
      <c r="E21" s="412">
        <v>0</v>
      </c>
      <c r="G21" s="290">
        <v>44927</v>
      </c>
      <c r="H21" s="281">
        <v>523881.32000000018</v>
      </c>
      <c r="I21" s="282">
        <v>11.31</v>
      </c>
      <c r="J21" s="283">
        <v>5925097.7292000027</v>
      </c>
      <c r="K21" s="281">
        <v>699465.43304059317</v>
      </c>
      <c r="L21" s="281">
        <v>491513.21670748456</v>
      </c>
      <c r="M21" s="282">
        <v>34.29</v>
      </c>
      <c r="N21" s="282">
        <v>25.85</v>
      </c>
      <c r="O21" s="291">
        <v>36690286.350850418</v>
      </c>
      <c r="P21" s="281">
        <v>2651579.7252024999</v>
      </c>
      <c r="Q21" s="281">
        <v>2009469.8153045001</v>
      </c>
      <c r="R21" s="367">
        <f>VLOOKUP($G21,Init!$C$5:$H$232, 2,FALSE)</f>
        <v>400</v>
      </c>
      <c r="S21" s="367">
        <f>VLOOKUP($G21,Init!$C$5:$H$232, 3,FALSE)</f>
        <v>344</v>
      </c>
    </row>
    <row r="22" spans="1:20">
      <c r="A22" s="264"/>
      <c r="B22" s="409" t="s">
        <v>173</v>
      </c>
      <c r="C22" s="412">
        <v>-86167.760896540989</v>
      </c>
      <c r="D22" s="412">
        <v>-79301.384944645775</v>
      </c>
      <c r="E22" s="412">
        <v>-165469.14584118675</v>
      </c>
      <c r="G22" s="290">
        <v>44958</v>
      </c>
      <c r="H22" s="281">
        <v>357502.7109375</v>
      </c>
      <c r="I22" s="282">
        <v>11.47</v>
      </c>
      <c r="J22" s="283">
        <v>4100556.0944531253</v>
      </c>
      <c r="K22" s="281">
        <v>565494.24557642278</v>
      </c>
      <c r="L22" s="281">
        <v>311507.06012275582</v>
      </c>
      <c r="M22" s="282">
        <v>34.79</v>
      </c>
      <c r="N22" s="282">
        <v>28.29</v>
      </c>
      <c r="O22" s="291">
        <v>28486079.534476511</v>
      </c>
      <c r="P22" s="281">
        <v>2346690.1216629995</v>
      </c>
      <c r="Q22" s="281">
        <v>1693143.6717284999</v>
      </c>
      <c r="R22" s="367">
        <f>VLOOKUP($G22,Init!$C$5:$H$232, 2,FALSE)</f>
        <v>384</v>
      </c>
      <c r="S22" s="367">
        <f>VLOOKUP($G22,Init!$C$5:$H$232, 3,FALSE)</f>
        <v>288</v>
      </c>
    </row>
    <row r="23" spans="1:20">
      <c r="A23" s="264"/>
      <c r="B23" s="409" t="s">
        <v>174</v>
      </c>
      <c r="C23" s="412">
        <v>4070.1127817001793</v>
      </c>
      <c r="D23" s="412">
        <v>-4018.7899960985251</v>
      </c>
      <c r="E23" s="412">
        <v>51.322785601654232</v>
      </c>
      <c r="G23" s="290">
        <v>44986</v>
      </c>
      <c r="H23" s="281">
        <v>558228.39351851842</v>
      </c>
      <c r="I23" s="282">
        <v>9.09</v>
      </c>
      <c r="J23" s="283">
        <v>5074296.097083332</v>
      </c>
      <c r="K23" s="281">
        <v>135535.12797970051</v>
      </c>
      <c r="L23" s="281">
        <v>167041.91116983542</v>
      </c>
      <c r="M23" s="282">
        <v>27.57</v>
      </c>
      <c r="N23" s="282">
        <v>28.44</v>
      </c>
      <c r="O23" s="291">
        <v>8487375.4320704639</v>
      </c>
      <c r="P23" s="281">
        <v>2961839.2513114996</v>
      </c>
      <c r="Q23" s="281">
        <v>1860906.497004</v>
      </c>
      <c r="R23" s="367">
        <f>VLOOKUP($G23,Init!$C$5:$H$232, 2,FALSE)</f>
        <v>432</v>
      </c>
      <c r="S23" s="367">
        <f>VLOOKUP($G23,Init!$C$5:$H$232, 3,FALSE)</f>
        <v>311</v>
      </c>
    </row>
    <row r="24" spans="1:20">
      <c r="A24" s="264"/>
      <c r="B24" s="409" t="s">
        <v>175</v>
      </c>
      <c r="C24" s="412">
        <v>-2010</v>
      </c>
      <c r="D24" s="412">
        <v>-2010</v>
      </c>
      <c r="E24" s="412">
        <v>-4020</v>
      </c>
      <c r="G24" s="290">
        <v>45017</v>
      </c>
      <c r="H24" s="281">
        <v>455216.85499999998</v>
      </c>
      <c r="I24" s="282">
        <v>6.83</v>
      </c>
      <c r="J24" s="283">
        <v>3109131.1196499998</v>
      </c>
      <c r="K24" s="281">
        <v>219417.32543309522</v>
      </c>
      <c r="L24" s="281">
        <v>280944.94614152319</v>
      </c>
      <c r="M24" s="282">
        <v>20.71</v>
      </c>
      <c r="N24" s="282">
        <v>25.66</v>
      </c>
      <c r="O24" s="291">
        <v>11753180.127710886</v>
      </c>
      <c r="P24" s="281">
        <v>2307313.6325114998</v>
      </c>
      <c r="Q24" s="281">
        <v>1436906.3942220001</v>
      </c>
      <c r="R24" s="367">
        <f>VLOOKUP($G24,Init!$C$5:$H$232, 2,FALSE)</f>
        <v>400</v>
      </c>
      <c r="S24" s="367">
        <f>VLOOKUP($G24,Init!$C$5:$H$232, 3,FALSE)</f>
        <v>320</v>
      </c>
    </row>
    <row r="25" spans="1:20">
      <c r="A25" s="264"/>
      <c r="B25" s="409" t="s">
        <v>176</v>
      </c>
      <c r="C25" s="412">
        <v>-150.89012399999999</v>
      </c>
      <c r="D25" s="412">
        <v>-166.89648360000001</v>
      </c>
      <c r="E25" s="412">
        <v>-317.78660760000002</v>
      </c>
      <c r="G25" s="290">
        <v>45047</v>
      </c>
      <c r="H25" s="281">
        <v>399463.22355769249</v>
      </c>
      <c r="I25" s="282">
        <v>5.36</v>
      </c>
      <c r="J25" s="283">
        <v>2141122.8782692319</v>
      </c>
      <c r="K25" s="281">
        <v>-758832.43413441163</v>
      </c>
      <c r="L25" s="281">
        <v>17911.65892620934</v>
      </c>
      <c r="M25" s="282">
        <v>16.28</v>
      </c>
      <c r="N25" s="282">
        <v>16.3</v>
      </c>
      <c r="O25" s="291">
        <v>-12061831.987211009</v>
      </c>
      <c r="P25" s="281">
        <v>3495709.6741295001</v>
      </c>
      <c r="Q25" s="281">
        <v>1691934.7265655</v>
      </c>
      <c r="R25" s="367">
        <f>VLOOKUP($G25,Init!$C$5:$H$232, 2,FALSE)</f>
        <v>416</v>
      </c>
      <c r="S25" s="367">
        <f>VLOOKUP($G25,Init!$C$5:$H$232, 3,FALSE)</f>
        <v>328</v>
      </c>
    </row>
    <row r="26" spans="1:20">
      <c r="A26" s="264"/>
      <c r="B26" s="409" t="s">
        <v>177</v>
      </c>
      <c r="C26" s="412">
        <v>-1537.3857617846481</v>
      </c>
      <c r="D26" s="412">
        <v>-1767.1954349036189</v>
      </c>
      <c r="E26" s="412">
        <v>-3304.581196688267</v>
      </c>
      <c r="G26" s="290">
        <v>45078</v>
      </c>
      <c r="H26" s="281">
        <v>532657.15384615387</v>
      </c>
      <c r="I26" s="282">
        <v>5.65</v>
      </c>
      <c r="J26" s="283">
        <v>3009512.9192307694</v>
      </c>
      <c r="K26" s="281">
        <v>-1045932.5453681955</v>
      </c>
      <c r="L26" s="281">
        <v>10600.741230730469</v>
      </c>
      <c r="M26" s="282">
        <v>17.149999999999999</v>
      </c>
      <c r="N26" s="282">
        <v>10.62</v>
      </c>
      <c r="O26" s="291">
        <v>-17825163.281194195</v>
      </c>
      <c r="P26" s="281">
        <v>3952932.9129210003</v>
      </c>
      <c r="Q26" s="281">
        <v>1590173.7540925001</v>
      </c>
      <c r="R26" s="367">
        <f>VLOOKUP($G26,Init!$C$5:$H$232, 2,FALSE)</f>
        <v>416</v>
      </c>
      <c r="S26" s="367">
        <f>VLOOKUP($G26,Init!$C$5:$H$232, 3,FALSE)</f>
        <v>304</v>
      </c>
    </row>
    <row r="27" spans="1:20">
      <c r="A27" s="264"/>
      <c r="B27" s="410" t="s">
        <v>178</v>
      </c>
      <c r="C27" s="413">
        <v>-30186.655665504524</v>
      </c>
      <c r="D27" s="413">
        <v>-30577.444294714347</v>
      </c>
      <c r="E27" s="413">
        <v>-60764.099960218868</v>
      </c>
      <c r="G27" s="290">
        <v>45108</v>
      </c>
      <c r="H27" s="281">
        <v>498207.49500000011</v>
      </c>
      <c r="I27" s="282">
        <v>12.14</v>
      </c>
      <c r="J27" s="283">
        <v>6048238.9893000014</v>
      </c>
      <c r="K27" s="281">
        <v>-523002.40519816038</v>
      </c>
      <c r="L27" s="281">
        <v>189954.67536540379</v>
      </c>
      <c r="M27" s="282">
        <v>36.83</v>
      </c>
      <c r="N27" s="282">
        <v>21.36</v>
      </c>
      <c r="O27" s="291">
        <v>-15204746.717643222</v>
      </c>
      <c r="P27" s="281">
        <v>3505339.3100824999</v>
      </c>
      <c r="Q27" s="281">
        <v>1757589.469515</v>
      </c>
      <c r="R27" s="367">
        <f>VLOOKUP($G27,Init!$C$5:$H$232, 2,FALSE)</f>
        <v>400</v>
      </c>
      <c r="S27" s="367">
        <f>VLOOKUP($G27,Init!$C$5:$H$232, 3,FALSE)</f>
        <v>344</v>
      </c>
    </row>
    <row r="28" spans="1:20">
      <c r="A28" s="264"/>
      <c r="B28" s="266" t="s">
        <v>179</v>
      </c>
      <c r="C28" s="414">
        <v>-365919.05062060669</v>
      </c>
      <c r="D28" s="414">
        <v>-367888.2597845628</v>
      </c>
      <c r="E28" s="414">
        <v>-733807.3104051695</v>
      </c>
      <c r="G28" s="290">
        <v>45139</v>
      </c>
      <c r="H28" s="281">
        <v>644059.52546296327</v>
      </c>
      <c r="I28" s="282">
        <v>11.83</v>
      </c>
      <c r="J28" s="283">
        <v>7619224.186226856</v>
      </c>
      <c r="K28" s="281">
        <v>-374016.81879157753</v>
      </c>
      <c r="L28" s="281">
        <v>116209.2685900424</v>
      </c>
      <c r="M28" s="282">
        <v>35.869999999999997</v>
      </c>
      <c r="N28" s="282">
        <v>26.85</v>
      </c>
      <c r="O28" s="291">
        <v>-10295764.428411247</v>
      </c>
      <c r="P28" s="281">
        <v>3425259.1536944997</v>
      </c>
      <c r="Q28" s="281">
        <v>1660955.4979559998</v>
      </c>
      <c r="R28" s="367">
        <f>VLOOKUP($G28,Init!$C$5:$H$232, 2,FALSE)</f>
        <v>432</v>
      </c>
      <c r="S28" s="367">
        <f>VLOOKUP($G28,Init!$C$5:$H$232, 3,FALSE)</f>
        <v>312</v>
      </c>
    </row>
    <row r="29" spans="1:20">
      <c r="A29" s="264"/>
      <c r="B29" s="379"/>
      <c r="C29" s="380"/>
      <c r="D29" s="379"/>
      <c r="E29" s="379"/>
      <c r="G29" s="292">
        <v>45170</v>
      </c>
      <c r="H29" s="286">
        <v>467292.98999999982</v>
      </c>
      <c r="I29" s="287">
        <v>9.2899999999999991</v>
      </c>
      <c r="J29" s="288">
        <v>4341151.8770999983</v>
      </c>
      <c r="K29" s="286">
        <v>-322877.31338100322</v>
      </c>
      <c r="L29" s="286">
        <v>67000.586983770001</v>
      </c>
      <c r="M29" s="287">
        <v>28.15</v>
      </c>
      <c r="N29" s="287">
        <v>28.95</v>
      </c>
      <c r="O29" s="293">
        <v>-7149329.3784950981</v>
      </c>
      <c r="P29" s="286">
        <v>2999684.9937805003</v>
      </c>
      <c r="Q29" s="286">
        <v>1700507.5612094998</v>
      </c>
      <c r="R29" s="367">
        <f>VLOOKUP($G29,Init!$C$5:$H$232, 2,FALSE)</f>
        <v>400</v>
      </c>
      <c r="S29" s="367">
        <f>VLOOKUP($G29,Init!$C$5:$H$232, 3,FALSE)</f>
        <v>320</v>
      </c>
    </row>
    <row r="30" spans="1:20" ht="15" thickBot="1">
      <c r="A30" s="264"/>
      <c r="B30" s="408" t="s">
        <v>180</v>
      </c>
      <c r="C30" s="390">
        <v>2022</v>
      </c>
      <c r="D30" s="390">
        <v>2023</v>
      </c>
      <c r="E30" s="391" t="s">
        <v>158</v>
      </c>
    </row>
    <row r="31" spans="1:20" ht="15" thickTop="1">
      <c r="A31" s="264"/>
      <c r="B31" s="266" t="s">
        <v>181</v>
      </c>
      <c r="C31" s="267">
        <v>20509.489529600003</v>
      </c>
      <c r="D31" s="267">
        <v>20509.489529600003</v>
      </c>
      <c r="E31" s="267">
        <v>41018.979059200006</v>
      </c>
      <c r="G31" s="259"/>
      <c r="H31" s="259" t="s">
        <v>638</v>
      </c>
      <c r="I31" s="259"/>
      <c r="J31" s="256"/>
      <c r="K31"/>
      <c r="L31"/>
      <c r="M31"/>
      <c r="N31"/>
      <c r="O31"/>
      <c r="P31"/>
      <c r="Q31"/>
      <c r="R31"/>
      <c r="S31"/>
      <c r="T31"/>
    </row>
    <row r="32" spans="1:20">
      <c r="A32" s="264"/>
      <c r="B32" s="268" t="s">
        <v>182</v>
      </c>
      <c r="C32" s="269">
        <v>39482.022521711951</v>
      </c>
      <c r="D32" s="269">
        <v>40009.386343611863</v>
      </c>
      <c r="E32" s="269">
        <v>79491.408865323814</v>
      </c>
      <c r="G32" s="259" t="s">
        <v>215</v>
      </c>
      <c r="H32" s="416">
        <v>10.9</v>
      </c>
      <c r="I32" s="259"/>
      <c r="J32" s="256"/>
      <c r="K32"/>
      <c r="L32"/>
      <c r="M32"/>
      <c r="N32"/>
      <c r="O32"/>
      <c r="P32"/>
      <c r="Q32"/>
      <c r="R32"/>
      <c r="S32"/>
      <c r="T32"/>
    </row>
    <row r="33" spans="1:20">
      <c r="A33" s="264"/>
      <c r="B33" s="266" t="s">
        <v>179</v>
      </c>
      <c r="C33" s="267">
        <v>59991.512051311955</v>
      </c>
      <c r="D33" s="267">
        <v>60518.875873211866</v>
      </c>
      <c r="E33" s="267">
        <v>120510.38792452382</v>
      </c>
      <c r="G33" s="259" t="s">
        <v>223</v>
      </c>
      <c r="H33" s="261">
        <v>-6.11</v>
      </c>
      <c r="I33" s="259"/>
      <c r="J33" s="256"/>
      <c r="K33"/>
      <c r="L33"/>
      <c r="M33"/>
      <c r="N33"/>
      <c r="O33"/>
      <c r="P33"/>
      <c r="Q33"/>
      <c r="R33"/>
      <c r="S33"/>
      <c r="T33"/>
    </row>
    <row r="34" spans="1:20">
      <c r="A34" s="264"/>
      <c r="B34" s="379"/>
      <c r="C34" s="380"/>
      <c r="D34" s="379"/>
      <c r="E34" s="379"/>
      <c r="G34" s="259" t="s">
        <v>240</v>
      </c>
      <c r="H34" s="259">
        <f>(SUMPRODUCT(M6:M17,R6:R17)+SUMPRODUCT(N6:N17,S6:S17))/SUM(R6:S17)</f>
        <v>27.47021689497717</v>
      </c>
      <c r="I34" s="259"/>
      <c r="J34" s="256"/>
      <c r="K34"/>
      <c r="L34"/>
      <c r="M34"/>
      <c r="N34"/>
      <c r="O34"/>
      <c r="P34"/>
      <c r="Q34"/>
      <c r="R34"/>
      <c r="S34"/>
      <c r="T34"/>
    </row>
    <row r="35" spans="1:20" ht="15" thickBot="1">
      <c r="A35" s="264"/>
      <c r="B35" s="406"/>
      <c r="C35" s="392">
        <v>2022</v>
      </c>
      <c r="D35" s="392">
        <v>2023</v>
      </c>
      <c r="E35" s="393" t="s">
        <v>158</v>
      </c>
      <c r="G35" s="259" t="s">
        <v>639</v>
      </c>
      <c r="H35" s="244">
        <v>6736.3590000000004</v>
      </c>
      <c r="I35" s="259"/>
      <c r="J35" s="256"/>
      <c r="K35"/>
      <c r="L35" s="315"/>
      <c r="M35"/>
      <c r="N35"/>
      <c r="O35"/>
      <c r="P35"/>
      <c r="Q35"/>
      <c r="R35"/>
      <c r="S35"/>
      <c r="T35"/>
    </row>
    <row r="36" spans="1:20" ht="15" thickTop="1">
      <c r="A36" s="264"/>
      <c r="B36" s="273" t="s">
        <v>159</v>
      </c>
      <c r="C36" s="394">
        <v>2253277.058401817</v>
      </c>
      <c r="D36" s="394">
        <v>2297672.2129353252</v>
      </c>
      <c r="E36" s="394">
        <v>4550949.2713371431</v>
      </c>
      <c r="G36" s="259" t="s">
        <v>640</v>
      </c>
      <c r="H36" s="244">
        <v>6736.3610000000044</v>
      </c>
      <c r="I36"/>
      <c r="J36" s="256"/>
      <c r="K36"/>
      <c r="L36"/>
      <c r="M36"/>
      <c r="N36"/>
      <c r="O36"/>
      <c r="P36"/>
      <c r="Q36"/>
      <c r="R36"/>
      <c r="S36"/>
      <c r="T36"/>
    </row>
    <row r="37" spans="1:20">
      <c r="A37" s="264"/>
      <c r="B37" s="379"/>
      <c r="C37" s="380"/>
      <c r="D37" s="379"/>
      <c r="E37" s="379"/>
      <c r="G37"/>
      <c r="H37"/>
      <c r="I37"/>
      <c r="J37" s="256"/>
      <c r="K37"/>
      <c r="L37"/>
      <c r="M37"/>
      <c r="N37"/>
      <c r="O37"/>
      <c r="P37"/>
      <c r="Q37"/>
      <c r="R37"/>
      <c r="S37"/>
      <c r="T37"/>
    </row>
    <row r="38" spans="1:20" ht="15" thickBot="1">
      <c r="A38" s="264"/>
      <c r="B38" s="408" t="s">
        <v>183</v>
      </c>
      <c r="C38" s="395">
        <v>2022</v>
      </c>
      <c r="D38" s="395">
        <v>2023</v>
      </c>
      <c r="E38" s="396" t="s">
        <v>158</v>
      </c>
      <c r="G38"/>
      <c r="H38"/>
      <c r="I38"/>
      <c r="J38" s="256"/>
      <c r="K38"/>
      <c r="L38"/>
      <c r="M38"/>
      <c r="N38"/>
      <c r="O38"/>
      <c r="P38"/>
      <c r="Q38"/>
      <c r="R38"/>
      <c r="S38"/>
      <c r="T38"/>
    </row>
    <row r="39" spans="1:20" ht="15" thickTop="1">
      <c r="A39" s="264"/>
      <c r="B39" s="266" t="s">
        <v>184</v>
      </c>
      <c r="C39" s="271">
        <v>-503855.50157347461</v>
      </c>
      <c r="D39" s="271">
        <v>-447898.23147506529</v>
      </c>
      <c r="E39" s="271">
        <v>-951753.73304853984</v>
      </c>
      <c r="G39" s="294"/>
      <c r="H39" s="261"/>
      <c r="I39" s="295"/>
      <c r="J39" s="296"/>
      <c r="K39"/>
      <c r="L39"/>
      <c r="M39"/>
      <c r="N39"/>
      <c r="O39"/>
      <c r="P39"/>
      <c r="Q39"/>
      <c r="R39"/>
      <c r="S39"/>
      <c r="T39"/>
    </row>
    <row r="40" spans="1:20">
      <c r="A40" s="264"/>
      <c r="B40" s="409" t="s">
        <v>173</v>
      </c>
      <c r="C40" s="271">
        <v>86167.760896540989</v>
      </c>
      <c r="D40" s="271">
        <v>79301.384944645775</v>
      </c>
      <c r="E40" s="271">
        <v>165469.14584118675</v>
      </c>
      <c r="G40" s="294"/>
      <c r="H40" s="261"/>
      <c r="I40" s="295"/>
      <c r="J40" s="296"/>
      <c r="K40"/>
      <c r="L40"/>
      <c r="M40"/>
      <c r="N40"/>
      <c r="O40"/>
      <c r="P40"/>
      <c r="Q40"/>
      <c r="R40"/>
      <c r="S40"/>
      <c r="T40"/>
    </row>
    <row r="41" spans="1:20">
      <c r="A41" s="264"/>
      <c r="B41" s="266" t="s">
        <v>243</v>
      </c>
      <c r="C41" s="271">
        <v>0</v>
      </c>
      <c r="D41" s="271">
        <v>0</v>
      </c>
      <c r="E41" s="271">
        <v>0</v>
      </c>
      <c r="G41" s="300"/>
      <c r="H41" s="297"/>
      <c r="I41" s="301"/>
      <c r="J41" s="302"/>
      <c r="K41"/>
      <c r="L41"/>
      <c r="M41"/>
      <c r="N41"/>
      <c r="O41"/>
      <c r="P41"/>
      <c r="Q41"/>
      <c r="R41"/>
      <c r="S41"/>
      <c r="T41"/>
    </row>
    <row r="42" spans="1:20">
      <c r="A42" s="264"/>
      <c r="B42" s="266" t="s">
        <v>185</v>
      </c>
      <c r="C42" s="271">
        <v>-236</v>
      </c>
      <c r="D42" s="271">
        <v>-236</v>
      </c>
      <c r="E42" s="271">
        <v>-472</v>
      </c>
      <c r="G42" s="300"/>
      <c r="H42" s="297"/>
      <c r="I42" s="301"/>
      <c r="J42" s="302"/>
      <c r="K42"/>
      <c r="L42"/>
      <c r="M42"/>
      <c r="N42"/>
      <c r="O42"/>
      <c r="P42"/>
      <c r="Q42"/>
      <c r="R42"/>
      <c r="S42"/>
      <c r="T42"/>
    </row>
    <row r="43" spans="1:20">
      <c r="A43" s="264"/>
      <c r="B43" s="266" t="s">
        <v>236</v>
      </c>
      <c r="C43" s="271">
        <v>0</v>
      </c>
      <c r="D43" s="271">
        <v>0</v>
      </c>
      <c r="E43" s="271">
        <v>0</v>
      </c>
      <c r="G43" s="300"/>
      <c r="H43" s="297"/>
      <c r="I43" s="301"/>
      <c r="J43" s="302"/>
      <c r="K43"/>
      <c r="L43"/>
      <c r="M43"/>
      <c r="N43"/>
      <c r="O43"/>
      <c r="P43"/>
      <c r="Q43"/>
      <c r="R43"/>
      <c r="S43"/>
      <c r="T43"/>
    </row>
    <row r="44" spans="1:20">
      <c r="A44" s="264"/>
      <c r="B44" s="266" t="s">
        <v>186</v>
      </c>
      <c r="C44" s="271">
        <v>-12712.70277919416</v>
      </c>
      <c r="D44" s="271">
        <v>-23082.351648965217</v>
      </c>
      <c r="E44" s="271">
        <v>-35795.054428159376</v>
      </c>
      <c r="G44" s="300"/>
      <c r="H44" s="297"/>
      <c r="I44" s="301"/>
      <c r="J44" s="302"/>
      <c r="K44"/>
      <c r="L44"/>
      <c r="M44"/>
      <c r="N44"/>
      <c r="O44"/>
      <c r="P44"/>
      <c r="Q44"/>
      <c r="R44"/>
      <c r="S44"/>
      <c r="T44"/>
    </row>
    <row r="45" spans="1:20">
      <c r="A45" s="264"/>
      <c r="B45" s="409" t="s">
        <v>174</v>
      </c>
      <c r="C45" s="271">
        <v>-4070.1127817001793</v>
      </c>
      <c r="D45" s="271">
        <v>4018.7899960985251</v>
      </c>
      <c r="E45" s="271">
        <v>-51.322785601654232</v>
      </c>
      <c r="G45" s="300"/>
      <c r="H45" s="297"/>
      <c r="I45" s="301"/>
      <c r="J45" s="302"/>
      <c r="K45"/>
      <c r="L45"/>
      <c r="M45"/>
      <c r="N45"/>
      <c r="O45"/>
      <c r="P45"/>
      <c r="Q45"/>
      <c r="R45"/>
      <c r="S45"/>
      <c r="T45"/>
    </row>
    <row r="46" spans="1:20">
      <c r="A46" s="264"/>
      <c r="B46" s="411" t="s">
        <v>187</v>
      </c>
      <c r="C46" s="271">
        <v>-54968.83555289467</v>
      </c>
      <c r="D46" s="271">
        <v>-55945.740920003707</v>
      </c>
      <c r="E46" s="271">
        <v>-110914.57647289838</v>
      </c>
      <c r="G46" s="300"/>
      <c r="H46" s="297"/>
      <c r="I46" s="301"/>
      <c r="J46" s="302"/>
      <c r="K46" s="297"/>
      <c r="L46" s="297"/>
      <c r="M46" s="298"/>
      <c r="N46" s="298"/>
      <c r="O46" s="299"/>
      <c r="P46" s="270"/>
    </row>
    <row r="47" spans="1:20">
      <c r="A47" s="264"/>
      <c r="B47" s="411" t="s">
        <v>188</v>
      </c>
      <c r="C47" s="398">
        <v>-76</v>
      </c>
      <c r="D47" s="398">
        <v>-76</v>
      </c>
      <c r="E47" s="398">
        <v>-152</v>
      </c>
      <c r="G47" s="300"/>
      <c r="H47" s="297"/>
      <c r="I47" s="301"/>
      <c r="J47" s="302"/>
      <c r="K47" s="297"/>
      <c r="L47" s="297"/>
      <c r="M47" s="298"/>
      <c r="N47" s="298"/>
      <c r="O47" s="299"/>
      <c r="P47" s="270"/>
    </row>
    <row r="48" spans="1:20">
      <c r="A48" s="264"/>
      <c r="B48" s="411" t="s">
        <v>189</v>
      </c>
      <c r="C48" s="398">
        <v>0</v>
      </c>
      <c r="D48" s="398">
        <v>0</v>
      </c>
      <c r="E48" s="398">
        <v>0</v>
      </c>
      <c r="G48" s="300"/>
      <c r="H48" s="297"/>
      <c r="I48" s="301"/>
      <c r="J48" s="302"/>
      <c r="K48" s="297"/>
      <c r="L48" s="297"/>
      <c r="M48" s="298"/>
      <c r="N48" s="298"/>
      <c r="O48" s="299"/>
      <c r="P48" s="270"/>
    </row>
    <row r="49" spans="1:16">
      <c r="A49" s="264"/>
      <c r="B49" s="411" t="s">
        <v>190</v>
      </c>
      <c r="C49" s="398">
        <v>0</v>
      </c>
      <c r="D49" s="398">
        <v>0</v>
      </c>
      <c r="E49" s="398">
        <v>0</v>
      </c>
      <c r="G49" s="300"/>
      <c r="H49" s="297"/>
      <c r="I49" s="301"/>
      <c r="J49" s="302"/>
      <c r="K49" s="297"/>
      <c r="L49" s="297"/>
      <c r="M49" s="298"/>
      <c r="N49" s="298"/>
      <c r="O49" s="299"/>
      <c r="P49" s="270"/>
    </row>
    <row r="50" spans="1:16">
      <c r="A50" s="264"/>
      <c r="B50" s="266" t="s">
        <v>633</v>
      </c>
      <c r="C50" s="398">
        <v>0</v>
      </c>
      <c r="D50" s="398">
        <v>0</v>
      </c>
      <c r="E50" s="398">
        <v>0</v>
      </c>
      <c r="G50" s="303"/>
      <c r="H50" s="297"/>
      <c r="I50" s="301"/>
      <c r="J50" s="302"/>
      <c r="K50" s="297"/>
      <c r="L50" s="297"/>
      <c r="M50" s="301"/>
      <c r="N50" s="301"/>
      <c r="O50" s="304"/>
      <c r="P50" s="270"/>
    </row>
    <row r="51" spans="1:16">
      <c r="A51" s="264"/>
      <c r="B51" s="266" t="s">
        <v>634</v>
      </c>
      <c r="C51" s="398">
        <v>0</v>
      </c>
      <c r="D51" s="398">
        <v>0</v>
      </c>
      <c r="E51" s="398">
        <v>0</v>
      </c>
      <c r="G51" s="270"/>
      <c r="H51" s="270"/>
      <c r="I51" s="270"/>
      <c r="J51" s="270"/>
      <c r="K51" s="270"/>
      <c r="L51" s="270"/>
      <c r="M51" s="270"/>
      <c r="N51" s="270"/>
      <c r="O51" s="270"/>
      <c r="P51" s="270"/>
    </row>
    <row r="52" spans="1:16">
      <c r="A52" s="264"/>
      <c r="B52" s="268" t="s">
        <v>178</v>
      </c>
      <c r="C52" s="399">
        <v>30186.655665504524</v>
      </c>
      <c r="D52" s="399">
        <v>30577.444294714347</v>
      </c>
      <c r="E52" s="399">
        <v>60764.099960218868</v>
      </c>
    </row>
    <row r="53" spans="1:16">
      <c r="A53" s="264"/>
      <c r="B53" s="266" t="s">
        <v>179</v>
      </c>
      <c r="C53" s="271">
        <v>-459564.7361252181</v>
      </c>
      <c r="D53" s="271">
        <v>-413340.70480857557</v>
      </c>
      <c r="E53" s="271">
        <v>-872905.44093379367</v>
      </c>
    </row>
    <row r="54" spans="1:16">
      <c r="A54" s="264"/>
      <c r="B54" s="400"/>
      <c r="C54" s="400"/>
      <c r="D54" s="400"/>
      <c r="E54" s="400"/>
    </row>
    <row r="55" spans="1:16" ht="15" thickBot="1">
      <c r="A55" s="264"/>
      <c r="B55" s="406"/>
      <c r="C55" s="395">
        <v>2022</v>
      </c>
      <c r="D55" s="395">
        <v>2023</v>
      </c>
      <c r="E55" s="396" t="s">
        <v>158</v>
      </c>
    </row>
    <row r="56" spans="1:16" ht="15" thickTop="1">
      <c r="A56" s="264"/>
      <c r="B56" s="273" t="s">
        <v>160</v>
      </c>
      <c r="C56" s="398">
        <v>-305952.01096429036</v>
      </c>
      <c r="D56" s="398">
        <v>-268338.61269072641</v>
      </c>
      <c r="E56" s="398">
        <v>-574290.62365501677</v>
      </c>
    </row>
    <row r="57" spans="1:16">
      <c r="A57" s="264"/>
      <c r="B57" s="400"/>
      <c r="C57" s="271"/>
      <c r="D57" s="400"/>
      <c r="E57" s="400"/>
    </row>
    <row r="58" spans="1:16" ht="15" thickBot="1">
      <c r="A58" s="264"/>
      <c r="B58" s="406" t="s">
        <v>191</v>
      </c>
      <c r="C58" s="395">
        <v>2022</v>
      </c>
      <c r="D58" s="395">
        <v>2023</v>
      </c>
      <c r="E58" s="396" t="s">
        <v>158</v>
      </c>
    </row>
    <row r="59" spans="1:16" ht="15" thickTop="1">
      <c r="A59" s="264"/>
      <c r="B59" s="273" t="s">
        <v>159</v>
      </c>
      <c r="C59" s="398">
        <v>2253277.058401817</v>
      </c>
      <c r="D59" s="398">
        <v>2297672.2129353252</v>
      </c>
      <c r="E59" s="398">
        <v>4550949.2713371431</v>
      </c>
    </row>
    <row r="60" spans="1:16">
      <c r="A60" s="264"/>
      <c r="B60" s="273" t="s">
        <v>160</v>
      </c>
      <c r="C60" s="398">
        <v>-305952.01096429036</v>
      </c>
      <c r="D60" s="398">
        <v>-268338.61269072641</v>
      </c>
      <c r="E60" s="398">
        <v>-574290.62365501677</v>
      </c>
    </row>
    <row r="61" spans="1:16">
      <c r="A61" s="264"/>
      <c r="B61" s="273" t="s">
        <v>161</v>
      </c>
      <c r="C61" s="398">
        <v>0</v>
      </c>
      <c r="D61" s="398">
        <v>0</v>
      </c>
      <c r="E61" s="398">
        <v>0</v>
      </c>
    </row>
    <row r="62" spans="1:16">
      <c r="A62" s="264"/>
      <c r="B62" s="407" t="s">
        <v>162</v>
      </c>
      <c r="C62" s="399">
        <v>46009.386494016624</v>
      </c>
      <c r="D62" s="399">
        <v>48974.658380774446</v>
      </c>
      <c r="E62" s="399">
        <v>94984.04487479107</v>
      </c>
    </row>
    <row r="63" spans="1:16">
      <c r="A63" s="264"/>
      <c r="B63" s="401" t="s">
        <v>163</v>
      </c>
      <c r="C63" s="398">
        <v>1993334.4339315435</v>
      </c>
      <c r="D63" s="398">
        <v>2078308.2586253735</v>
      </c>
      <c r="E63" s="398">
        <v>4071642.6925569177</v>
      </c>
    </row>
    <row r="64" spans="1:16">
      <c r="A64" s="264"/>
      <c r="B64" s="400"/>
      <c r="C64" s="400"/>
      <c r="D64" s="400"/>
      <c r="E64" s="400"/>
    </row>
    <row r="65" spans="1:7" ht="15" thickBot="1">
      <c r="A65" s="264"/>
      <c r="B65" s="406" t="s">
        <v>192</v>
      </c>
      <c r="C65" s="395">
        <v>2022</v>
      </c>
      <c r="D65" s="395">
        <v>2023</v>
      </c>
      <c r="E65" s="396" t="s">
        <v>158</v>
      </c>
    </row>
    <row r="66" spans="1:7" ht="15" thickTop="1">
      <c r="A66" s="264"/>
      <c r="B66" s="273" t="s">
        <v>193</v>
      </c>
      <c r="C66" s="402">
        <v>94.731149999999985</v>
      </c>
      <c r="D66" s="402">
        <v>95.041910000000001</v>
      </c>
      <c r="E66" s="402">
        <v>94.886529999999993</v>
      </c>
    </row>
    <row r="67" spans="1:7">
      <c r="A67" s="264"/>
      <c r="B67" s="273" t="s">
        <v>194</v>
      </c>
      <c r="C67" s="402">
        <v>72.368479999999977</v>
      </c>
      <c r="D67" s="402">
        <v>72.679239999999993</v>
      </c>
      <c r="E67" s="402">
        <v>72.523859999999985</v>
      </c>
    </row>
    <row r="68" spans="1:7">
      <c r="A68" s="264"/>
      <c r="B68" s="273" t="s">
        <v>195</v>
      </c>
      <c r="C68" s="402">
        <v>22.362670000000001</v>
      </c>
      <c r="D68" s="402">
        <v>22.362670000000001</v>
      </c>
      <c r="E68" s="402">
        <v>22.362670000000001</v>
      </c>
    </row>
    <row r="69" spans="1:7">
      <c r="A69" s="264"/>
      <c r="B69" s="273"/>
      <c r="C69" s="398"/>
      <c r="D69" s="398"/>
      <c r="E69" s="398"/>
    </row>
    <row r="70" spans="1:7" ht="15" thickBot="1">
      <c r="A70" s="264"/>
      <c r="B70" s="406" t="s">
        <v>196</v>
      </c>
      <c r="C70" s="395">
        <v>2022</v>
      </c>
      <c r="D70" s="395">
        <v>2023</v>
      </c>
      <c r="E70" s="396" t="s">
        <v>158</v>
      </c>
    </row>
    <row r="71" spans="1:7" ht="15" thickTop="1">
      <c r="B71" s="273" t="s">
        <v>159</v>
      </c>
      <c r="C71" s="398">
        <v>23786.020315406466</v>
      </c>
      <c r="D71" s="398">
        <v>24175.358143952759</v>
      </c>
      <c r="E71" s="398">
        <v>23981.008006811629</v>
      </c>
    </row>
    <row r="72" spans="1:7">
      <c r="A72" s="264"/>
      <c r="B72" s="273" t="s">
        <v>160</v>
      </c>
      <c r="C72" s="398">
        <v>-4227.6970714914896</v>
      </c>
      <c r="D72" s="398">
        <v>-3692.0943682229813</v>
      </c>
      <c r="E72" s="398">
        <v>-3959.3219642129975</v>
      </c>
    </row>
    <row r="73" spans="1:7">
      <c r="A73" s="264"/>
      <c r="B73" s="273" t="s">
        <v>161</v>
      </c>
      <c r="C73" s="398">
        <v>0</v>
      </c>
      <c r="D73" s="398">
        <v>0</v>
      </c>
      <c r="E73" s="398">
        <v>0</v>
      </c>
      <c r="G73" s="272"/>
    </row>
    <row r="74" spans="1:7">
      <c r="A74" s="264"/>
      <c r="B74" s="400"/>
      <c r="C74" s="400"/>
      <c r="D74" s="400"/>
      <c r="E74" s="400"/>
      <c r="G74" s="272"/>
    </row>
    <row r="75" spans="1:7" ht="15" thickBot="1">
      <c r="A75" s="264"/>
      <c r="B75" s="406" t="s">
        <v>197</v>
      </c>
      <c r="C75" s="395">
        <v>2022</v>
      </c>
      <c r="D75" s="395">
        <v>2023</v>
      </c>
      <c r="E75" s="396" t="s">
        <v>158</v>
      </c>
    </row>
    <row r="76" spans="1:7" ht="15" thickTop="1">
      <c r="B76" s="273" t="s">
        <v>159</v>
      </c>
      <c r="C76" s="403">
        <v>1982168.3596172053</v>
      </c>
      <c r="D76" s="403">
        <v>2014613.1786627297</v>
      </c>
      <c r="E76" s="403">
        <v>1998417.3339009692</v>
      </c>
    </row>
    <row r="77" spans="1:7">
      <c r="A77" s="264"/>
      <c r="B77" s="273" t="s">
        <v>160</v>
      </c>
      <c r="C77" s="403">
        <v>-352308.08929095743</v>
      </c>
      <c r="D77" s="403">
        <v>-307674.53068524844</v>
      </c>
      <c r="E77" s="403">
        <v>-329943.49701774976</v>
      </c>
    </row>
    <row r="78" spans="1:7">
      <c r="A78" s="264"/>
      <c r="B78" s="273" t="s">
        <v>161</v>
      </c>
      <c r="C78" s="403">
        <v>0</v>
      </c>
      <c r="D78" s="403">
        <v>0</v>
      </c>
      <c r="E78" s="403">
        <v>0</v>
      </c>
    </row>
    <row r="79" spans="1:7">
      <c r="A79" s="264"/>
      <c r="B79" s="400"/>
      <c r="C79" s="400"/>
      <c r="D79" s="400"/>
      <c r="E79" s="400"/>
    </row>
    <row r="80" spans="1:7" ht="15" thickBot="1">
      <c r="A80" s="264"/>
      <c r="B80" s="406" t="s">
        <v>198</v>
      </c>
      <c r="C80" s="395">
        <v>2022</v>
      </c>
      <c r="D80" s="395">
        <v>2023</v>
      </c>
      <c r="E80" s="396" t="s">
        <v>158</v>
      </c>
    </row>
    <row r="81" spans="2:7" ht="15" thickTop="1">
      <c r="B81" s="273" t="s">
        <v>199</v>
      </c>
      <c r="C81" s="316">
        <v>34.39</v>
      </c>
      <c r="D81" s="316">
        <v>32.99</v>
      </c>
      <c r="E81" s="316">
        <v>33.654742215524379</v>
      </c>
    </row>
    <row r="82" spans="2:7">
      <c r="B82" s="273" t="s">
        <v>200</v>
      </c>
      <c r="C82" s="316">
        <v>34.39</v>
      </c>
      <c r="D82" s="316">
        <v>32.99</v>
      </c>
      <c r="E82" s="316">
        <v>33.69</v>
      </c>
    </row>
    <row r="83" spans="2:7">
      <c r="B83" s="273" t="s">
        <v>244</v>
      </c>
      <c r="C83" s="404">
        <v>0</v>
      </c>
      <c r="D83" s="404">
        <v>0</v>
      </c>
      <c r="E83" s="404">
        <v>0</v>
      </c>
    </row>
    <row r="85" spans="2:7" ht="15" thickBot="1">
      <c r="C85" s="395">
        <v>2022</v>
      </c>
      <c r="D85" s="395">
        <v>2023</v>
      </c>
      <c r="F85"/>
      <c r="G85"/>
    </row>
    <row r="86" spans="2:7" ht="15" thickTop="1">
      <c r="B86" s="259" t="s">
        <v>643</v>
      </c>
      <c r="C86" s="258">
        <f>40000000/SUM(C91:C92)</f>
        <v>0.93435844146480962</v>
      </c>
      <c r="D86" s="258">
        <f>40000000/SUM(D91:D92)</f>
        <v>0.93037310410978913</v>
      </c>
    </row>
    <row r="87" spans="2:7">
      <c r="B87" s="259" t="s">
        <v>636</v>
      </c>
      <c r="C87" s="258">
        <f>40000000/SUM(C93:C94)</f>
        <v>1.1323559753835928</v>
      </c>
      <c r="D87" s="258">
        <f>40000000/SUM(D93:D94)</f>
        <v>1.12752622455053</v>
      </c>
    </row>
    <row r="88" spans="2:7">
      <c r="B88" s="264" t="s">
        <v>637</v>
      </c>
      <c r="C88" s="318">
        <f>$H$33-C86</f>
        <v>-7.0443584414648104</v>
      </c>
      <c r="D88" s="318">
        <f>$H$33-D86</f>
        <v>-7.0403731041097899</v>
      </c>
    </row>
    <row r="91" spans="2:7">
      <c r="B91" s="264" t="s">
        <v>644</v>
      </c>
      <c r="C91" s="423">
        <v>42705003.208488725</v>
      </c>
      <c r="D91" s="423">
        <v>42888384.243948758</v>
      </c>
    </row>
    <row r="92" spans="2:7">
      <c r="B92" s="264" t="s">
        <v>645</v>
      </c>
      <c r="C92" s="423">
        <v>105119.99999999999</v>
      </c>
      <c r="D92" s="423">
        <v>105119.99999999999</v>
      </c>
    </row>
    <row r="93" spans="2:7">
      <c r="B93" s="264" t="s">
        <v>646</v>
      </c>
      <c r="C93" s="423">
        <v>35237040.670358315</v>
      </c>
      <c r="D93" s="423">
        <v>35388353.268864192</v>
      </c>
    </row>
    <row r="94" spans="2:7">
      <c r="B94" s="264" t="s">
        <v>647</v>
      </c>
      <c r="C94" s="423">
        <v>87539.999999999985</v>
      </c>
      <c r="D94" s="423">
        <v>87539.999999999985</v>
      </c>
    </row>
  </sheetData>
  <conditionalFormatting sqref="B2">
    <cfRule type="expression" dxfId="4" priority="1" stopIfTrue="1">
      <formula>A1 &gt; 30</formula>
    </cfRule>
  </conditionalFormatting>
  <pageMargins left="0.25" right="0.25" top="0.75" bottom="0.75" header="0.3" footer="0.3"/>
  <pageSetup scale="39" orientation="portrait" r:id="rId1"/>
  <colBreaks count="1" manualBreakCount="1">
    <brk id="15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401"/>
  <sheetViews>
    <sheetView workbookViewId="0"/>
  </sheetViews>
  <sheetFormatPr defaultRowHeight="14.4"/>
  <cols>
    <col min="1" max="1" width="32.33203125" style="31" customWidth="1"/>
    <col min="2" max="2" width="30.5546875" style="31" bestFit="1" customWidth="1"/>
    <col min="3" max="3" width="8" style="34" customWidth="1"/>
    <col min="4" max="4" width="2.33203125" customWidth="1"/>
    <col min="5" max="5" width="32.33203125" style="31" customWidth="1"/>
    <col min="6" max="6" width="30.5546875" style="31" bestFit="1" customWidth="1"/>
    <col min="7" max="7" width="8" style="34" customWidth="1"/>
    <col min="15" max="15" width="10.109375" bestFit="1" customWidth="1"/>
  </cols>
  <sheetData>
    <row r="1" spans="1:15">
      <c r="A1" s="37"/>
      <c r="B1" s="37"/>
      <c r="C1" s="38"/>
      <c r="D1" s="2"/>
      <c r="E1" s="37"/>
      <c r="F1" s="37"/>
      <c r="G1" s="38"/>
    </row>
    <row r="2" spans="1:15">
      <c r="A2" s="39" t="s">
        <v>149</v>
      </c>
      <c r="B2" s="37"/>
      <c r="C2" s="38"/>
      <c r="D2" s="2"/>
      <c r="E2" s="39" t="s">
        <v>150</v>
      </c>
      <c r="F2" s="37"/>
      <c r="G2" s="38"/>
    </row>
    <row r="3" spans="1:15" ht="15.6">
      <c r="A3" s="40" t="s">
        <v>146</v>
      </c>
      <c r="B3" s="41"/>
      <c r="C3" s="42"/>
      <c r="D3" s="2"/>
      <c r="E3" s="40" t="s">
        <v>146</v>
      </c>
      <c r="F3" s="41"/>
      <c r="G3" s="42"/>
    </row>
    <row r="4" spans="1:15" ht="27">
      <c r="A4" s="28" t="s">
        <v>2</v>
      </c>
      <c r="B4" s="29" t="s">
        <v>147</v>
      </c>
      <c r="C4" s="36" t="s">
        <v>148</v>
      </c>
      <c r="E4" s="28" t="s">
        <v>2</v>
      </c>
      <c r="F4" s="29" t="s">
        <v>147</v>
      </c>
      <c r="G4" s="36" t="s">
        <v>148</v>
      </c>
      <c r="J4" t="s">
        <v>629</v>
      </c>
      <c r="K4" t="s">
        <v>630</v>
      </c>
    </row>
    <row r="5" spans="1:15">
      <c r="A5" s="30">
        <v>10005</v>
      </c>
      <c r="B5" s="31" t="s">
        <v>7</v>
      </c>
      <c r="C5" s="35">
        <v>0</v>
      </c>
      <c r="E5" s="30">
        <v>10005</v>
      </c>
      <c r="F5" s="31" t="s">
        <v>7</v>
      </c>
      <c r="G5" s="35">
        <v>0</v>
      </c>
      <c r="J5">
        <f>VLOOKUP(A5, TOCA_previous!$A$3:$D$137, 4, FALSE)</f>
        <v>0</v>
      </c>
      <c r="K5">
        <f>VLOOKUP(E5, TOCA_current!A2:D136, 4, FALSE)</f>
        <v>0</v>
      </c>
      <c r="O5" s="98"/>
    </row>
    <row r="6" spans="1:15">
      <c r="A6" s="32">
        <v>10015</v>
      </c>
      <c r="B6" s="31" t="s">
        <v>8</v>
      </c>
      <c r="C6" s="35">
        <v>0</v>
      </c>
      <c r="E6" s="32">
        <v>10015</v>
      </c>
      <c r="F6" s="31" t="s">
        <v>8</v>
      </c>
      <c r="G6" s="35">
        <v>0</v>
      </c>
      <c r="J6" s="82">
        <f>VLOOKUP(A6, TOCA_previous!$A$3:$D$137, 4, FALSE)</f>
        <v>0</v>
      </c>
      <c r="K6" s="82">
        <f>VLOOKUP(E6, TOCA_current!A3:D137, 4, FALSE)</f>
        <v>0</v>
      </c>
      <c r="L6" s="82"/>
      <c r="O6" s="98"/>
    </row>
    <row r="7" spans="1:15">
      <c r="A7" s="32">
        <v>10024</v>
      </c>
      <c r="B7" s="31" t="s">
        <v>9</v>
      </c>
      <c r="C7" s="35">
        <v>312239.2</v>
      </c>
      <c r="E7" s="32">
        <v>10024</v>
      </c>
      <c r="F7" s="31" t="s">
        <v>9</v>
      </c>
      <c r="G7" s="35">
        <v>312239.2</v>
      </c>
      <c r="J7" s="82">
        <f>VLOOKUP(A7, TOCA_previous!$A$3:$D$137, 4, FALSE)</f>
        <v>0</v>
      </c>
      <c r="K7" s="82">
        <f>VLOOKUP(E7, TOCA_current!A4:D138, 4, FALSE)</f>
        <v>0</v>
      </c>
      <c r="L7" s="82"/>
      <c r="O7" s="98"/>
    </row>
    <row r="8" spans="1:15">
      <c r="A8" s="32">
        <v>10025</v>
      </c>
      <c r="B8" s="31" t="s">
        <v>10</v>
      </c>
      <c r="C8" s="35">
        <v>82900.857000000004</v>
      </c>
      <c r="E8" s="32">
        <v>10025</v>
      </c>
      <c r="F8" s="31" t="s">
        <v>10</v>
      </c>
      <c r="G8" s="35">
        <v>82900.857000000004</v>
      </c>
      <c r="J8" s="82">
        <f>VLOOKUP(A8, TOCA_previous!$A$3:$D$137, 4, FALSE)</f>
        <v>0</v>
      </c>
      <c r="K8" s="82">
        <f>VLOOKUP(E8, TOCA_current!A5:D139, 4, FALSE)</f>
        <v>0</v>
      </c>
      <c r="L8" s="82"/>
      <c r="O8" s="98"/>
    </row>
    <row r="9" spans="1:15">
      <c r="A9" s="32">
        <v>10027</v>
      </c>
      <c r="B9" s="31" t="s">
        <v>11</v>
      </c>
      <c r="C9" s="35">
        <v>209669.54</v>
      </c>
      <c r="E9" s="32">
        <v>10027</v>
      </c>
      <c r="F9" s="31" t="s">
        <v>11</v>
      </c>
      <c r="G9" s="35">
        <v>209669.54</v>
      </c>
      <c r="J9" s="82">
        <f>VLOOKUP(A9, TOCA_previous!$A$3:$D$137, 4, FALSE)</f>
        <v>0</v>
      </c>
      <c r="K9" s="82">
        <f>VLOOKUP(E9, TOCA_current!A6:D140, 4, FALSE)</f>
        <v>0</v>
      </c>
      <c r="L9" s="82"/>
      <c r="O9" s="98"/>
    </row>
    <row r="10" spans="1:15">
      <c r="A10" s="32">
        <v>10029</v>
      </c>
      <c r="B10" s="31" t="s">
        <v>12</v>
      </c>
      <c r="C10" s="35">
        <v>0</v>
      </c>
      <c r="E10" s="32">
        <v>10029</v>
      </c>
      <c r="F10" s="31" t="s">
        <v>12</v>
      </c>
      <c r="G10" s="35">
        <v>0</v>
      </c>
      <c r="J10" s="82">
        <f>VLOOKUP(A10, TOCA_previous!$A$3:$D$137, 4, FALSE)</f>
        <v>1</v>
      </c>
      <c r="K10" s="82">
        <f>VLOOKUP(E10, TOCA_current!A7:D141, 4, FALSE)</f>
        <v>1</v>
      </c>
      <c r="L10" s="82"/>
      <c r="O10" s="98"/>
    </row>
    <row r="11" spans="1:15">
      <c r="A11" s="32">
        <v>10044</v>
      </c>
      <c r="B11" s="31" t="s">
        <v>13</v>
      </c>
      <c r="C11" s="35">
        <v>0</v>
      </c>
      <c r="E11" s="32">
        <v>10044</v>
      </c>
      <c r="F11" s="31" t="s">
        <v>13</v>
      </c>
      <c r="G11" s="35">
        <v>0</v>
      </c>
      <c r="J11" s="82">
        <f>VLOOKUP(A11, TOCA_previous!$A$3:$D$137, 4, FALSE)</f>
        <v>0</v>
      </c>
      <c r="K11" s="82">
        <f>VLOOKUP(E11, TOCA_current!A8:D142, 4, FALSE)</f>
        <v>0</v>
      </c>
      <c r="L11" s="82"/>
      <c r="O11" s="98"/>
    </row>
    <row r="12" spans="1:15">
      <c r="A12" s="32">
        <v>10046</v>
      </c>
      <c r="B12" s="31" t="s">
        <v>14</v>
      </c>
      <c r="C12" s="35">
        <v>41085.457000000002</v>
      </c>
      <c r="E12" s="32">
        <v>10046</v>
      </c>
      <c r="F12" s="31" t="s">
        <v>14</v>
      </c>
      <c r="G12" s="35">
        <v>41085.457000000002</v>
      </c>
      <c r="J12" s="82">
        <f>VLOOKUP(A12, TOCA_previous!$A$3:$D$137, 4, FALSE)</f>
        <v>1</v>
      </c>
      <c r="K12" s="82">
        <f>VLOOKUP(E12, TOCA_current!A9:D143, 4, FALSE)</f>
        <v>1</v>
      </c>
      <c r="L12" s="82"/>
      <c r="O12" s="98"/>
    </row>
    <row r="13" spans="1:15">
      <c r="A13" s="32">
        <v>10047</v>
      </c>
      <c r="B13" s="31" t="s">
        <v>15</v>
      </c>
      <c r="C13" s="35">
        <v>0</v>
      </c>
      <c r="E13" s="32">
        <v>10047</v>
      </c>
      <c r="F13" s="31" t="s">
        <v>15</v>
      </c>
      <c r="G13" s="35">
        <v>0</v>
      </c>
      <c r="J13" s="82">
        <f>VLOOKUP(A13, TOCA_previous!$A$3:$D$137, 4, FALSE)</f>
        <v>0</v>
      </c>
      <c r="K13" s="82">
        <f>VLOOKUP(E13, TOCA_current!A10:D144, 4, FALSE)</f>
        <v>0</v>
      </c>
      <c r="L13" s="82"/>
      <c r="O13" s="98"/>
    </row>
    <row r="14" spans="1:15">
      <c r="A14" s="32">
        <v>10055</v>
      </c>
      <c r="B14" s="31" t="s">
        <v>16</v>
      </c>
      <c r="C14" s="35">
        <v>0</v>
      </c>
      <c r="E14" s="32">
        <v>10055</v>
      </c>
      <c r="F14" s="31" t="s">
        <v>16</v>
      </c>
      <c r="G14" s="35">
        <v>0</v>
      </c>
      <c r="J14" s="82">
        <f>VLOOKUP(A14, TOCA_previous!$A$3:$D$137, 4, FALSE)</f>
        <v>0</v>
      </c>
      <c r="K14" s="82">
        <f>VLOOKUP(E14, TOCA_current!A11:D145, 4, FALSE)</f>
        <v>0</v>
      </c>
      <c r="L14" s="82"/>
      <c r="O14" s="98"/>
    </row>
    <row r="15" spans="1:15">
      <c r="A15" s="32">
        <v>10057</v>
      </c>
      <c r="B15" s="31" t="s">
        <v>17</v>
      </c>
      <c r="C15" s="35">
        <v>0</v>
      </c>
      <c r="E15" s="32">
        <v>10057</v>
      </c>
      <c r="F15" s="31" t="s">
        <v>17</v>
      </c>
      <c r="G15" s="35">
        <v>0</v>
      </c>
      <c r="J15" s="82">
        <f>VLOOKUP(A15, TOCA_previous!$A$3:$D$137, 4, FALSE)</f>
        <v>0</v>
      </c>
      <c r="K15" s="82">
        <f>VLOOKUP(E15, TOCA_current!A12:D146, 4, FALSE)</f>
        <v>0</v>
      </c>
      <c r="L15" s="82"/>
      <c r="O15" s="98"/>
    </row>
    <row r="16" spans="1:15">
      <c r="A16" s="32">
        <v>10059</v>
      </c>
      <c r="B16" s="31" t="s">
        <v>18</v>
      </c>
      <c r="C16" s="35">
        <v>0</v>
      </c>
      <c r="E16" s="32">
        <v>10059</v>
      </c>
      <c r="F16" s="31" t="s">
        <v>18</v>
      </c>
      <c r="G16" s="35">
        <v>0</v>
      </c>
      <c r="J16" s="82">
        <f>VLOOKUP(A16, TOCA_previous!$A$3:$D$137, 4, FALSE)</f>
        <v>0</v>
      </c>
      <c r="K16" s="82">
        <f>VLOOKUP(E16, TOCA_current!A13:D147, 4, FALSE)</f>
        <v>0</v>
      </c>
      <c r="L16" s="82"/>
      <c r="O16" s="98"/>
    </row>
    <row r="17" spans="1:15">
      <c r="A17" s="32">
        <v>10061</v>
      </c>
      <c r="B17" s="31" t="s">
        <v>19</v>
      </c>
      <c r="C17" s="35">
        <v>0</v>
      </c>
      <c r="E17" s="32">
        <v>10061</v>
      </c>
      <c r="F17" s="31" t="s">
        <v>19</v>
      </c>
      <c r="G17" s="35">
        <v>0</v>
      </c>
      <c r="J17" s="82">
        <f>VLOOKUP(A17, TOCA_previous!$A$3:$D$137, 4, FALSE)</f>
        <v>0</v>
      </c>
      <c r="K17" s="82">
        <f>VLOOKUP(E17, TOCA_current!A14:D148, 4, FALSE)</f>
        <v>0</v>
      </c>
      <c r="L17" s="82"/>
      <c r="O17" s="98"/>
    </row>
    <row r="18" spans="1:15">
      <c r="A18" s="32">
        <v>10062</v>
      </c>
      <c r="B18" s="31" t="s">
        <v>20</v>
      </c>
      <c r="C18" s="35">
        <v>0</v>
      </c>
      <c r="E18" s="32">
        <v>10062</v>
      </c>
      <c r="F18" s="31" t="s">
        <v>20</v>
      </c>
      <c r="G18" s="35">
        <v>0</v>
      </c>
      <c r="J18" s="82">
        <f>VLOOKUP(A18, TOCA_previous!$A$3:$D$137, 4, FALSE)</f>
        <v>0</v>
      </c>
      <c r="K18" s="82">
        <f>VLOOKUP(E18, TOCA_current!A15:D149, 4, FALSE)</f>
        <v>0</v>
      </c>
      <c r="L18" s="82"/>
      <c r="O18" s="98"/>
    </row>
    <row r="19" spans="1:15">
      <c r="A19" s="32">
        <v>10064</v>
      </c>
      <c r="B19" s="31" t="s">
        <v>21</v>
      </c>
      <c r="C19" s="35">
        <v>0</v>
      </c>
      <c r="E19" s="32">
        <v>10064</v>
      </c>
      <c r="F19" s="31" t="s">
        <v>21</v>
      </c>
      <c r="G19" s="35">
        <v>0</v>
      </c>
      <c r="J19" s="82">
        <f>VLOOKUP(A19, TOCA_previous!$A$3:$D$137, 4, FALSE)</f>
        <v>0</v>
      </c>
      <c r="K19" s="82">
        <f>VLOOKUP(E19, TOCA_current!A16:D150, 4, FALSE)</f>
        <v>0</v>
      </c>
      <c r="L19" s="82"/>
      <c r="O19" s="98"/>
    </row>
    <row r="20" spans="1:15">
      <c r="A20" s="32">
        <v>10065</v>
      </c>
      <c r="B20" s="31" t="s">
        <v>22</v>
      </c>
      <c r="C20" s="35">
        <v>0</v>
      </c>
      <c r="E20" s="32">
        <v>10065</v>
      </c>
      <c r="F20" s="31" t="s">
        <v>22</v>
      </c>
      <c r="G20" s="35">
        <v>0</v>
      </c>
      <c r="J20" s="82">
        <f>VLOOKUP(A20, TOCA_previous!$A$3:$D$137, 4, FALSE)</f>
        <v>0</v>
      </c>
      <c r="K20" s="82">
        <f>VLOOKUP(E20, TOCA_current!A17:D151, 4, FALSE)</f>
        <v>0</v>
      </c>
      <c r="L20" s="82"/>
      <c r="O20" s="98"/>
    </row>
    <row r="21" spans="1:15">
      <c r="A21" s="32">
        <v>10066</v>
      </c>
      <c r="B21" s="31" t="s">
        <v>23</v>
      </c>
      <c r="C21" s="35">
        <v>0</v>
      </c>
      <c r="E21" s="32">
        <v>10066</v>
      </c>
      <c r="F21" s="31" t="s">
        <v>23</v>
      </c>
      <c r="G21" s="35">
        <v>0</v>
      </c>
      <c r="J21" s="82">
        <f>VLOOKUP(A21, TOCA_previous!$A$3:$D$137, 4, FALSE)</f>
        <v>0</v>
      </c>
      <c r="K21" s="82">
        <f>VLOOKUP(E21, TOCA_current!A18:D152, 4, FALSE)</f>
        <v>0</v>
      </c>
      <c r="L21" s="82"/>
      <c r="O21" s="98"/>
    </row>
    <row r="22" spans="1:15">
      <c r="A22" s="32">
        <v>10067</v>
      </c>
      <c r="B22" s="31" t="s">
        <v>24</v>
      </c>
      <c r="C22" s="35">
        <v>0</v>
      </c>
      <c r="E22" s="32">
        <v>10067</v>
      </c>
      <c r="F22" s="31" t="s">
        <v>24</v>
      </c>
      <c r="G22" s="35">
        <v>0</v>
      </c>
      <c r="J22" s="82">
        <f>VLOOKUP(A22, TOCA_previous!$A$3:$D$137, 4, FALSE)</f>
        <v>0</v>
      </c>
      <c r="K22" s="82">
        <f>VLOOKUP(E22, TOCA_current!A19:D153, 4, FALSE)</f>
        <v>0</v>
      </c>
      <c r="L22" s="82"/>
      <c r="O22" s="98"/>
    </row>
    <row r="23" spans="1:15">
      <c r="A23" s="32">
        <v>10068</v>
      </c>
      <c r="B23" s="31" t="s">
        <v>25</v>
      </c>
      <c r="C23" s="35">
        <v>0</v>
      </c>
      <c r="E23" s="32">
        <v>10068</v>
      </c>
      <c r="F23" s="31" t="s">
        <v>25</v>
      </c>
      <c r="G23" s="35">
        <v>0</v>
      </c>
      <c r="J23" s="82">
        <f>VLOOKUP(A23, TOCA_previous!$A$3:$D$137, 4, FALSE)</f>
        <v>0</v>
      </c>
      <c r="K23" s="82">
        <f>VLOOKUP(E23, TOCA_current!A20:D154, 4, FALSE)</f>
        <v>0</v>
      </c>
      <c r="L23" s="82"/>
      <c r="O23" s="98"/>
    </row>
    <row r="24" spans="1:15">
      <c r="A24" s="32">
        <v>10070</v>
      </c>
      <c r="B24" s="31" t="s">
        <v>26</v>
      </c>
      <c r="C24" s="35">
        <v>0</v>
      </c>
      <c r="E24" s="32">
        <v>10070</v>
      </c>
      <c r="F24" s="31" t="s">
        <v>26</v>
      </c>
      <c r="G24" s="35">
        <v>0</v>
      </c>
      <c r="J24" s="82">
        <f>VLOOKUP(A24, TOCA_previous!$A$3:$D$137, 4, FALSE)</f>
        <v>0</v>
      </c>
      <c r="K24" s="82">
        <f>VLOOKUP(E24, TOCA_current!A21:D155, 4, FALSE)</f>
        <v>0</v>
      </c>
      <c r="L24" s="82"/>
      <c r="O24" s="98"/>
    </row>
    <row r="25" spans="1:15">
      <c r="A25" s="32">
        <v>10071</v>
      </c>
      <c r="B25" s="31" t="s">
        <v>27</v>
      </c>
      <c r="C25" s="35">
        <v>0</v>
      </c>
      <c r="E25" s="32">
        <v>10071</v>
      </c>
      <c r="F25" s="31" t="s">
        <v>27</v>
      </c>
      <c r="G25" s="35">
        <v>0</v>
      </c>
      <c r="J25" s="82">
        <f>VLOOKUP(A25, TOCA_previous!$A$3:$D$137, 4, FALSE)</f>
        <v>0</v>
      </c>
      <c r="K25" s="82">
        <f>VLOOKUP(E25, TOCA_current!A22:D156, 4, FALSE)</f>
        <v>0</v>
      </c>
      <c r="L25" s="82"/>
      <c r="O25" s="98"/>
    </row>
    <row r="26" spans="1:15">
      <c r="A26" s="32">
        <v>10072</v>
      </c>
      <c r="B26" s="31" t="s">
        <v>28</v>
      </c>
      <c r="C26" s="35">
        <v>0</v>
      </c>
      <c r="E26" s="32">
        <v>10072</v>
      </c>
      <c r="F26" s="31" t="s">
        <v>28</v>
      </c>
      <c r="G26" s="35">
        <v>0</v>
      </c>
      <c r="J26" s="82">
        <f>VLOOKUP(A26, TOCA_previous!$A$3:$D$137, 4, FALSE)</f>
        <v>0</v>
      </c>
      <c r="K26" s="82">
        <f>VLOOKUP(E26, TOCA_current!A23:D157, 4, FALSE)</f>
        <v>0</v>
      </c>
      <c r="L26" s="82"/>
      <c r="O26" s="98"/>
    </row>
    <row r="27" spans="1:15">
      <c r="A27" s="32">
        <v>10074</v>
      </c>
      <c r="B27" s="31" t="s">
        <v>29</v>
      </c>
      <c r="C27" s="35">
        <v>0</v>
      </c>
      <c r="E27" s="32">
        <v>10074</v>
      </c>
      <c r="F27" s="31" t="s">
        <v>29</v>
      </c>
      <c r="G27" s="35">
        <v>0</v>
      </c>
      <c r="J27" s="82">
        <f>VLOOKUP(A27, TOCA_previous!$A$3:$D$137, 4, FALSE)</f>
        <v>0</v>
      </c>
      <c r="K27" s="82">
        <f>VLOOKUP(E27, TOCA_current!A24:D158, 4, FALSE)</f>
        <v>0</v>
      </c>
      <c r="L27" s="82"/>
      <c r="O27" s="98"/>
    </row>
    <row r="28" spans="1:15">
      <c r="A28" s="32">
        <v>10076</v>
      </c>
      <c r="B28" s="31" t="s">
        <v>30</v>
      </c>
      <c r="C28" s="35">
        <v>0</v>
      </c>
      <c r="E28" s="32">
        <v>10076</v>
      </c>
      <c r="F28" s="31" t="s">
        <v>30</v>
      </c>
      <c r="G28" s="35">
        <v>0</v>
      </c>
      <c r="J28" s="82">
        <f>VLOOKUP(A28, TOCA_previous!$A$3:$D$137, 4, FALSE)</f>
        <v>0</v>
      </c>
      <c r="K28" s="82">
        <f>VLOOKUP(E28, TOCA_current!A25:D159, 4, FALSE)</f>
        <v>0</v>
      </c>
      <c r="L28" s="82"/>
      <c r="O28" s="98"/>
    </row>
    <row r="29" spans="1:15">
      <c r="A29" s="32">
        <v>10078</v>
      </c>
      <c r="B29" s="31" t="s">
        <v>31</v>
      </c>
      <c r="C29" s="35">
        <v>0</v>
      </c>
      <c r="E29" s="32">
        <v>10078</v>
      </c>
      <c r="F29" s="31" t="s">
        <v>31</v>
      </c>
      <c r="G29" s="35">
        <v>0</v>
      </c>
      <c r="J29" s="82">
        <f>VLOOKUP(A29, TOCA_previous!$A$3:$D$137, 4, FALSE)</f>
        <v>0</v>
      </c>
      <c r="K29" s="82">
        <f>VLOOKUP(E29, TOCA_current!A26:D160, 4, FALSE)</f>
        <v>0</v>
      </c>
      <c r="L29" s="82"/>
      <c r="O29" s="98"/>
    </row>
    <row r="30" spans="1:15">
      <c r="A30" s="32">
        <v>10079</v>
      </c>
      <c r="B30" s="31" t="s">
        <v>32</v>
      </c>
      <c r="C30" s="35">
        <v>0</v>
      </c>
      <c r="E30" s="32">
        <v>10079</v>
      </c>
      <c r="F30" s="31" t="s">
        <v>32</v>
      </c>
      <c r="G30" s="35">
        <v>0</v>
      </c>
      <c r="J30" s="82">
        <f>VLOOKUP(A30, TOCA_previous!$A$3:$D$137, 4, FALSE)</f>
        <v>0</v>
      </c>
      <c r="K30" s="82">
        <f>VLOOKUP(E30, TOCA_current!A27:D161, 4, FALSE)</f>
        <v>0</v>
      </c>
      <c r="L30" s="82"/>
      <c r="O30" s="98"/>
    </row>
    <row r="31" spans="1:15">
      <c r="A31" s="32">
        <v>10080</v>
      </c>
      <c r="B31" s="31" t="s">
        <v>33</v>
      </c>
      <c r="C31" s="35">
        <v>0</v>
      </c>
      <c r="E31" s="32">
        <v>10080</v>
      </c>
      <c r="F31" s="31" t="s">
        <v>33</v>
      </c>
      <c r="G31" s="35">
        <v>0</v>
      </c>
      <c r="J31" s="82">
        <f>VLOOKUP(A31, TOCA_previous!$A$3:$D$137, 4, FALSE)</f>
        <v>0</v>
      </c>
      <c r="K31" s="82">
        <f>VLOOKUP(E31, TOCA_current!A28:D162, 4, FALSE)</f>
        <v>0</v>
      </c>
      <c r="L31" s="82"/>
      <c r="O31" s="98"/>
    </row>
    <row r="32" spans="1:15">
      <c r="A32" s="32">
        <v>10081</v>
      </c>
      <c r="B32" s="31" t="s">
        <v>34</v>
      </c>
      <c r="C32" s="35">
        <v>0</v>
      </c>
      <c r="E32" s="32">
        <v>10081</v>
      </c>
      <c r="F32" s="31" t="s">
        <v>34</v>
      </c>
      <c r="G32" s="35">
        <v>0</v>
      </c>
      <c r="J32" s="82">
        <f>VLOOKUP(A32, TOCA_previous!$A$3:$D$137, 4, FALSE)</f>
        <v>0</v>
      </c>
      <c r="K32" s="82">
        <f>VLOOKUP(E32, TOCA_current!A29:D163, 4, FALSE)</f>
        <v>0</v>
      </c>
      <c r="L32" s="82"/>
      <c r="O32" s="98"/>
    </row>
    <row r="33" spans="1:15">
      <c r="A33" s="32">
        <v>10082</v>
      </c>
      <c r="B33" s="31" t="s">
        <v>35</v>
      </c>
      <c r="C33" s="35">
        <v>0</v>
      </c>
      <c r="E33" s="32">
        <v>10082</v>
      </c>
      <c r="F33" s="31" t="s">
        <v>35</v>
      </c>
      <c r="G33" s="35">
        <v>0</v>
      </c>
      <c r="J33" s="82">
        <f>VLOOKUP(A33, TOCA_previous!$A$3:$D$137, 4, FALSE)</f>
        <v>0</v>
      </c>
      <c r="K33" s="82">
        <f>VLOOKUP(E33, TOCA_current!A30:D164, 4, FALSE)</f>
        <v>0</v>
      </c>
      <c r="L33" s="82"/>
      <c r="O33" s="98"/>
    </row>
    <row r="34" spans="1:15">
      <c r="A34" s="32">
        <v>10083</v>
      </c>
      <c r="B34" s="31" t="s">
        <v>36</v>
      </c>
      <c r="C34" s="35">
        <v>0</v>
      </c>
      <c r="E34" s="32">
        <v>10083</v>
      </c>
      <c r="F34" s="31" t="s">
        <v>36</v>
      </c>
      <c r="G34" s="35">
        <v>0</v>
      </c>
      <c r="J34" s="82">
        <f>VLOOKUP(A34, TOCA_previous!$A$3:$D$137, 4, FALSE)</f>
        <v>0</v>
      </c>
      <c r="K34" s="82">
        <f>VLOOKUP(E34, TOCA_current!A31:D165, 4, FALSE)</f>
        <v>0</v>
      </c>
      <c r="L34" s="82"/>
      <c r="O34" s="98"/>
    </row>
    <row r="35" spans="1:15">
      <c r="A35" s="32">
        <v>10086</v>
      </c>
      <c r="B35" s="31" t="s">
        <v>37</v>
      </c>
      <c r="C35" s="35">
        <v>0</v>
      </c>
      <c r="E35" s="32">
        <v>10086</v>
      </c>
      <c r="F35" s="31" t="s">
        <v>37</v>
      </c>
      <c r="G35" s="35">
        <v>0</v>
      </c>
      <c r="J35" s="82">
        <f>VLOOKUP(A35, TOCA_previous!$A$3:$D$137, 4, FALSE)</f>
        <v>0</v>
      </c>
      <c r="K35" s="82">
        <f>VLOOKUP(E35, TOCA_current!A32:D166, 4, FALSE)</f>
        <v>0</v>
      </c>
      <c r="L35" s="82"/>
      <c r="O35" s="98"/>
    </row>
    <row r="36" spans="1:15">
      <c r="A36" s="32">
        <v>10087</v>
      </c>
      <c r="B36" s="31" t="s">
        <v>38</v>
      </c>
      <c r="C36" s="35">
        <v>0</v>
      </c>
      <c r="E36" s="32">
        <v>10087</v>
      </c>
      <c r="F36" s="31" t="s">
        <v>38</v>
      </c>
      <c r="G36" s="35">
        <v>0</v>
      </c>
      <c r="J36" s="82">
        <f>VLOOKUP(A36, TOCA_previous!$A$3:$D$137, 4, FALSE)</f>
        <v>0</v>
      </c>
      <c r="K36" s="82">
        <f>VLOOKUP(E36, TOCA_current!A33:D167, 4, FALSE)</f>
        <v>0</v>
      </c>
      <c r="L36" s="82"/>
      <c r="O36" s="98"/>
    </row>
    <row r="37" spans="1:15">
      <c r="A37" s="32">
        <v>10089</v>
      </c>
      <c r="B37" s="31" t="s">
        <v>39</v>
      </c>
      <c r="C37" s="35">
        <v>0</v>
      </c>
      <c r="E37" s="32">
        <v>10089</v>
      </c>
      <c r="F37" s="31" t="s">
        <v>39</v>
      </c>
      <c r="G37" s="35">
        <v>0</v>
      </c>
      <c r="J37" s="82">
        <f>VLOOKUP(A37, TOCA_previous!$A$3:$D$137, 4, FALSE)</f>
        <v>0</v>
      </c>
      <c r="K37" s="82">
        <f>VLOOKUP(E37, TOCA_current!A34:D168, 4, FALSE)</f>
        <v>0</v>
      </c>
      <c r="L37" s="82"/>
      <c r="O37" s="98"/>
    </row>
    <row r="38" spans="1:15">
      <c r="A38" s="32">
        <v>10091</v>
      </c>
      <c r="B38" s="31" t="s">
        <v>40</v>
      </c>
      <c r="C38" s="35">
        <v>0</v>
      </c>
      <c r="E38" s="32">
        <v>10091</v>
      </c>
      <c r="F38" s="31" t="s">
        <v>40</v>
      </c>
      <c r="G38" s="35">
        <v>0</v>
      </c>
      <c r="J38" s="82">
        <f>VLOOKUP(A38, TOCA_previous!$A$3:$D$137, 4, FALSE)</f>
        <v>0</v>
      </c>
      <c r="K38" s="82">
        <f>VLOOKUP(E38, TOCA_current!A35:D169, 4, FALSE)</f>
        <v>0</v>
      </c>
      <c r="L38" s="82"/>
      <c r="O38" s="98"/>
    </row>
    <row r="39" spans="1:15">
      <c r="A39" s="32">
        <v>10094</v>
      </c>
      <c r="B39" s="31" t="s">
        <v>41</v>
      </c>
      <c r="C39" s="35">
        <v>0</v>
      </c>
      <c r="E39" s="32">
        <v>10094</v>
      </c>
      <c r="F39" s="31" t="s">
        <v>41</v>
      </c>
      <c r="G39" s="35">
        <v>0</v>
      </c>
      <c r="J39" s="82">
        <f>VLOOKUP(A39, TOCA_previous!$A$3:$D$137, 4, FALSE)</f>
        <v>0</v>
      </c>
      <c r="K39" s="82">
        <f>VLOOKUP(E39, TOCA_current!A36:D170, 4, FALSE)</f>
        <v>0</v>
      </c>
      <c r="L39" s="82"/>
      <c r="O39" s="98"/>
    </row>
    <row r="40" spans="1:15">
      <c r="A40" s="32">
        <v>10095</v>
      </c>
      <c r="B40" s="31" t="s">
        <v>42</v>
      </c>
      <c r="C40" s="35">
        <v>0</v>
      </c>
      <c r="E40" s="32">
        <v>10095</v>
      </c>
      <c r="F40" s="31" t="s">
        <v>42</v>
      </c>
      <c r="G40" s="35">
        <v>0</v>
      </c>
      <c r="J40" s="82">
        <f>VLOOKUP(A40, TOCA_previous!$A$3:$D$137, 4, FALSE)</f>
        <v>0</v>
      </c>
      <c r="K40" s="82">
        <f>VLOOKUP(E40, TOCA_current!A37:D171, 4, FALSE)</f>
        <v>0</v>
      </c>
      <c r="L40" s="82"/>
      <c r="O40" s="98"/>
    </row>
    <row r="41" spans="1:15">
      <c r="A41" s="32">
        <v>10097</v>
      </c>
      <c r="B41" s="31" t="s">
        <v>43</v>
      </c>
      <c r="C41" s="35">
        <v>0</v>
      </c>
      <c r="E41" s="32">
        <v>10097</v>
      </c>
      <c r="F41" s="31" t="s">
        <v>43</v>
      </c>
      <c r="G41" s="35">
        <v>0</v>
      </c>
      <c r="J41" s="82">
        <f>VLOOKUP(A41, TOCA_previous!$A$3:$D$137, 4, FALSE)</f>
        <v>0</v>
      </c>
      <c r="K41" s="82">
        <f>VLOOKUP(E41, TOCA_current!A38:D172, 4, FALSE)</f>
        <v>0</v>
      </c>
      <c r="L41" s="82"/>
      <c r="O41" s="98"/>
    </row>
    <row r="42" spans="1:15">
      <c r="A42" s="32">
        <v>10101</v>
      </c>
      <c r="B42" s="31" t="s">
        <v>44</v>
      </c>
      <c r="C42" s="35">
        <v>0</v>
      </c>
      <c r="E42" s="32">
        <v>10101</v>
      </c>
      <c r="F42" s="31" t="s">
        <v>44</v>
      </c>
      <c r="G42" s="35">
        <v>0</v>
      </c>
      <c r="J42" s="82">
        <f>VLOOKUP(A42, TOCA_previous!$A$3:$D$137, 4, FALSE)</f>
        <v>0</v>
      </c>
      <c r="K42" s="82">
        <f>VLOOKUP(E42, TOCA_current!A39:D173, 4, FALSE)</f>
        <v>0</v>
      </c>
      <c r="L42" s="82"/>
      <c r="O42" s="98"/>
    </row>
    <row r="43" spans="1:15">
      <c r="A43" s="32">
        <v>10103</v>
      </c>
      <c r="B43" s="31" t="s">
        <v>45</v>
      </c>
      <c r="C43" s="35">
        <v>0</v>
      </c>
      <c r="E43" s="32">
        <v>10103</v>
      </c>
      <c r="F43" s="31" t="s">
        <v>45</v>
      </c>
      <c r="G43" s="35">
        <v>0</v>
      </c>
      <c r="J43" s="82">
        <f>VLOOKUP(A43, TOCA_previous!$A$3:$D$137, 4, FALSE)</f>
        <v>0</v>
      </c>
      <c r="K43" s="82">
        <f>VLOOKUP(E43, TOCA_current!A40:D174, 4, FALSE)</f>
        <v>0</v>
      </c>
      <c r="L43" s="82"/>
      <c r="O43" s="98"/>
    </row>
    <row r="44" spans="1:15">
      <c r="A44" s="32">
        <v>10105</v>
      </c>
      <c r="B44" s="31" t="s">
        <v>46</v>
      </c>
      <c r="C44" s="35">
        <v>0</v>
      </c>
      <c r="E44" s="32">
        <v>10105</v>
      </c>
      <c r="F44" s="31" t="s">
        <v>46</v>
      </c>
      <c r="G44" s="35">
        <v>0</v>
      </c>
      <c r="J44" s="82">
        <f>VLOOKUP(A44, TOCA_previous!$A$3:$D$137, 4, FALSE)</f>
        <v>0</v>
      </c>
      <c r="K44" s="82">
        <f>VLOOKUP(E44, TOCA_current!A41:D175, 4, FALSE)</f>
        <v>0</v>
      </c>
      <c r="L44" s="82"/>
      <c r="O44" s="98"/>
    </row>
    <row r="45" spans="1:15">
      <c r="A45" s="32">
        <v>10106</v>
      </c>
      <c r="B45" s="31" t="s">
        <v>47</v>
      </c>
      <c r="C45" s="35">
        <v>0</v>
      </c>
      <c r="E45" s="32">
        <v>10106</v>
      </c>
      <c r="F45" s="31" t="s">
        <v>47</v>
      </c>
      <c r="G45" s="35">
        <v>0</v>
      </c>
      <c r="J45" s="82">
        <f>VLOOKUP(A45, TOCA_previous!$A$3:$D$137, 4, FALSE)</f>
        <v>1</v>
      </c>
      <c r="K45" s="82">
        <f>VLOOKUP(E45, TOCA_current!A42:D176, 4, FALSE)</f>
        <v>1</v>
      </c>
      <c r="L45" s="82"/>
      <c r="O45" s="98"/>
    </row>
    <row r="46" spans="1:15">
      <c r="A46" s="32">
        <v>10109</v>
      </c>
      <c r="B46" s="31" t="s">
        <v>48</v>
      </c>
      <c r="C46" s="35">
        <v>21100.335000000003</v>
      </c>
      <c r="E46" s="32">
        <v>10109</v>
      </c>
      <c r="F46" s="31" t="s">
        <v>48</v>
      </c>
      <c r="G46" s="35">
        <v>21100.335000000003</v>
      </c>
      <c r="J46" s="82">
        <f>VLOOKUP(A46, TOCA_previous!$A$3:$D$137, 4, FALSE)</f>
        <v>0</v>
      </c>
      <c r="K46" s="82">
        <f>VLOOKUP(E46, TOCA_current!A43:D177, 4, FALSE)</f>
        <v>0</v>
      </c>
      <c r="L46" s="82"/>
      <c r="O46" s="98"/>
    </row>
    <row r="47" spans="1:15">
      <c r="A47" s="32">
        <v>10111</v>
      </c>
      <c r="B47" s="31" t="s">
        <v>49</v>
      </c>
      <c r="C47" s="35">
        <v>5227.6489999999994</v>
      </c>
      <c r="E47" s="32">
        <v>10111</v>
      </c>
      <c r="F47" s="31" t="s">
        <v>49</v>
      </c>
      <c r="G47" s="35">
        <v>5227.6489999999994</v>
      </c>
      <c r="J47" s="82">
        <f>VLOOKUP(A47, TOCA_previous!$A$3:$D$137, 4, FALSE)</f>
        <v>0</v>
      </c>
      <c r="K47" s="82">
        <f>VLOOKUP(E47, TOCA_current!A44:D178, 4, FALSE)</f>
        <v>0</v>
      </c>
      <c r="L47" s="82"/>
      <c r="O47" s="98"/>
    </row>
    <row r="48" spans="1:15">
      <c r="A48" s="32">
        <v>10112</v>
      </c>
      <c r="B48" s="31" t="s">
        <v>50</v>
      </c>
      <c r="C48" s="35">
        <v>0</v>
      </c>
      <c r="E48" s="32">
        <v>10112</v>
      </c>
      <c r="F48" s="31" t="s">
        <v>50</v>
      </c>
      <c r="G48" s="35">
        <v>0</v>
      </c>
      <c r="J48" s="82">
        <f>VLOOKUP(A48, TOCA_previous!$A$3:$D$137, 4, FALSE)</f>
        <v>0</v>
      </c>
      <c r="K48" s="82">
        <f>VLOOKUP(E48, TOCA_current!A45:D179, 4, FALSE)</f>
        <v>0</v>
      </c>
      <c r="L48" s="82"/>
      <c r="O48" s="98"/>
    </row>
    <row r="49" spans="1:15">
      <c r="A49" s="32">
        <v>10113</v>
      </c>
      <c r="B49" s="31" t="s">
        <v>51</v>
      </c>
      <c r="C49" s="35">
        <v>134655.962</v>
      </c>
      <c r="E49" s="32">
        <v>10113</v>
      </c>
      <c r="F49" s="31" t="s">
        <v>51</v>
      </c>
      <c r="G49" s="35">
        <v>134655.962</v>
      </c>
      <c r="J49" s="82">
        <f>VLOOKUP(A49, TOCA_previous!$A$3:$D$137, 4, FALSE)</f>
        <v>0</v>
      </c>
      <c r="K49" s="82">
        <f>VLOOKUP(E49, TOCA_current!A46:D180, 4, FALSE)</f>
        <v>0</v>
      </c>
      <c r="L49" s="82"/>
      <c r="O49" s="98"/>
    </row>
    <row r="50" spans="1:15">
      <c r="A50" s="32">
        <v>10116</v>
      </c>
      <c r="B50" s="31" t="s">
        <v>52</v>
      </c>
      <c r="C50" s="35">
        <v>0</v>
      </c>
      <c r="E50" s="32">
        <v>10116</v>
      </c>
      <c r="F50" s="31" t="s">
        <v>52</v>
      </c>
      <c r="G50" s="35">
        <v>0</v>
      </c>
      <c r="J50" s="82">
        <f>VLOOKUP(A50, TOCA_previous!$A$3:$D$137, 4, FALSE)</f>
        <v>0</v>
      </c>
      <c r="K50" s="82">
        <f>VLOOKUP(E50, TOCA_current!A47:D181, 4, FALSE)</f>
        <v>0</v>
      </c>
      <c r="L50" s="82"/>
      <c r="O50" s="98"/>
    </row>
    <row r="51" spans="1:15">
      <c r="A51" s="32">
        <v>10118</v>
      </c>
      <c r="B51" s="31" t="s">
        <v>53</v>
      </c>
      <c r="C51" s="35">
        <v>0</v>
      </c>
      <c r="E51" s="32">
        <v>10118</v>
      </c>
      <c r="F51" s="31" t="s">
        <v>53</v>
      </c>
      <c r="G51" s="35">
        <v>0</v>
      </c>
      <c r="J51" s="82">
        <f>VLOOKUP(A51, TOCA_previous!$A$3:$D$137, 4, FALSE)</f>
        <v>1</v>
      </c>
      <c r="K51" s="82">
        <f>VLOOKUP(E51, TOCA_current!A48:D182, 4, FALSE)</f>
        <v>1</v>
      </c>
      <c r="L51" s="82"/>
      <c r="O51" s="98"/>
    </row>
    <row r="52" spans="1:15">
      <c r="A52" s="32">
        <v>10121</v>
      </c>
      <c r="B52" s="31" t="s">
        <v>54</v>
      </c>
      <c r="C52" s="35">
        <v>0</v>
      </c>
      <c r="E52" s="32">
        <v>10121</v>
      </c>
      <c r="F52" s="31" t="s">
        <v>54</v>
      </c>
      <c r="G52" s="35">
        <v>0</v>
      </c>
      <c r="J52" s="82">
        <f>VLOOKUP(A52, TOCA_previous!$A$3:$D$137, 4, FALSE)</f>
        <v>1</v>
      </c>
      <c r="K52" s="82">
        <f>VLOOKUP(E52, TOCA_current!A49:D183, 4, FALSE)</f>
        <v>1</v>
      </c>
      <c r="L52" s="82"/>
      <c r="O52" s="98"/>
    </row>
    <row r="53" spans="1:15">
      <c r="A53" s="32">
        <v>10123</v>
      </c>
      <c r="B53" s="31" t="s">
        <v>55</v>
      </c>
      <c r="C53" s="35">
        <v>0</v>
      </c>
      <c r="E53" s="32">
        <v>10123</v>
      </c>
      <c r="F53" s="31" t="s">
        <v>55</v>
      </c>
      <c r="G53" s="35">
        <v>0</v>
      </c>
      <c r="J53" s="82">
        <f>VLOOKUP(A53, TOCA_previous!$A$3:$D$137, 4, FALSE)</f>
        <v>0</v>
      </c>
      <c r="K53" s="82">
        <f>VLOOKUP(E53, TOCA_current!A50:D184, 4, FALSE)</f>
        <v>0</v>
      </c>
      <c r="L53" s="82"/>
      <c r="O53" s="98"/>
    </row>
    <row r="54" spans="1:15">
      <c r="A54" s="32">
        <v>10136</v>
      </c>
      <c r="B54" s="31" t="s">
        <v>56</v>
      </c>
      <c r="C54" s="35">
        <v>0</v>
      </c>
      <c r="E54" s="32">
        <v>10136</v>
      </c>
      <c r="F54" s="31" t="s">
        <v>56</v>
      </c>
      <c r="G54" s="35">
        <v>0</v>
      </c>
      <c r="J54" s="82">
        <f>VLOOKUP(A54, TOCA_previous!$A$3:$D$137, 4, FALSE)</f>
        <v>1</v>
      </c>
      <c r="K54" s="82">
        <f>VLOOKUP(E54, TOCA_current!A51:D185, 4, FALSE)</f>
        <v>1</v>
      </c>
      <c r="L54" s="82"/>
      <c r="O54" s="98"/>
    </row>
    <row r="55" spans="1:15">
      <c r="A55" s="32">
        <v>10142</v>
      </c>
      <c r="B55" s="31" t="s">
        <v>57</v>
      </c>
      <c r="C55" s="35">
        <v>5769.4840000000004</v>
      </c>
      <c r="E55" s="32">
        <v>10142</v>
      </c>
      <c r="F55" s="31" t="s">
        <v>57</v>
      </c>
      <c r="G55" s="35">
        <v>5769.4840000000004</v>
      </c>
      <c r="J55" s="82">
        <f>VLOOKUP(A55, TOCA_previous!$A$3:$D$137, 4, FALSE)</f>
        <v>0</v>
      </c>
      <c r="K55" s="82">
        <f>VLOOKUP(E55, TOCA_current!A52:D186, 4, FALSE)</f>
        <v>0</v>
      </c>
      <c r="L55" s="82"/>
      <c r="O55" s="98"/>
    </row>
    <row r="56" spans="1:15">
      <c r="A56" s="32">
        <v>10144</v>
      </c>
      <c r="B56" s="31" t="s">
        <v>58</v>
      </c>
      <c r="C56" s="35">
        <v>0</v>
      </c>
      <c r="E56" s="32">
        <v>10144</v>
      </c>
      <c r="F56" s="31" t="s">
        <v>58</v>
      </c>
      <c r="G56" s="35">
        <v>0</v>
      </c>
      <c r="J56" s="82">
        <f>VLOOKUP(A56, TOCA_previous!$A$3:$D$137, 4, FALSE)</f>
        <v>0</v>
      </c>
      <c r="K56" s="82">
        <f>VLOOKUP(E56, TOCA_current!A53:D187, 4, FALSE)</f>
        <v>0</v>
      </c>
      <c r="L56" s="82"/>
      <c r="O56" s="98"/>
    </row>
    <row r="57" spans="1:15">
      <c r="A57" s="32">
        <v>10156</v>
      </c>
      <c r="B57" s="31" t="s">
        <v>59</v>
      </c>
      <c r="C57" s="35">
        <v>0</v>
      </c>
      <c r="E57" s="32">
        <v>10156</v>
      </c>
      <c r="F57" s="31" t="s">
        <v>59</v>
      </c>
      <c r="G57" s="35">
        <v>0</v>
      </c>
      <c r="J57" s="82">
        <f>VLOOKUP(A57, TOCA_previous!$A$3:$D$137, 4, FALSE)</f>
        <v>0</v>
      </c>
      <c r="K57" s="82">
        <f>VLOOKUP(E57, TOCA_current!A54:D188, 4, FALSE)</f>
        <v>0</v>
      </c>
      <c r="L57" s="82"/>
      <c r="O57" s="98"/>
    </row>
    <row r="58" spans="1:15">
      <c r="A58" s="32">
        <v>10157</v>
      </c>
      <c r="B58" s="31" t="s">
        <v>60</v>
      </c>
      <c r="C58" s="35">
        <v>0</v>
      </c>
      <c r="E58" s="32">
        <v>10157</v>
      </c>
      <c r="F58" s="31" t="s">
        <v>60</v>
      </c>
      <c r="G58" s="35">
        <v>0</v>
      </c>
      <c r="J58" s="82">
        <f>VLOOKUP(A58, TOCA_previous!$A$3:$D$137, 4, FALSE)</f>
        <v>0</v>
      </c>
      <c r="K58" s="82">
        <f>VLOOKUP(E58, TOCA_current!A55:D189, 4, FALSE)</f>
        <v>0</v>
      </c>
      <c r="L58" s="82"/>
      <c r="O58" s="98"/>
    </row>
    <row r="59" spans="1:15">
      <c r="A59" s="32">
        <v>10158</v>
      </c>
      <c r="B59" s="31" t="s">
        <v>61</v>
      </c>
      <c r="C59" s="35">
        <v>0</v>
      </c>
      <c r="E59" s="32">
        <v>10158</v>
      </c>
      <c r="F59" s="31" t="s">
        <v>61</v>
      </c>
      <c r="G59" s="35">
        <v>0</v>
      </c>
      <c r="J59" s="82">
        <f>VLOOKUP(A59, TOCA_previous!$A$3:$D$137, 4, FALSE)</f>
        <v>0</v>
      </c>
      <c r="K59" s="82">
        <f>VLOOKUP(E59, TOCA_current!A56:D190, 4, FALSE)</f>
        <v>0</v>
      </c>
      <c r="L59" s="82"/>
      <c r="O59" s="98"/>
    </row>
    <row r="60" spans="1:15">
      <c r="A60" s="32">
        <v>10170</v>
      </c>
      <c r="B60" s="31" t="s">
        <v>62</v>
      </c>
      <c r="C60" s="35">
        <v>0</v>
      </c>
      <c r="E60" s="32">
        <v>10170</v>
      </c>
      <c r="F60" s="31" t="s">
        <v>62</v>
      </c>
      <c r="G60" s="35">
        <v>0</v>
      </c>
      <c r="J60" s="82">
        <f>VLOOKUP(A60, TOCA_previous!$A$3:$D$137, 4, FALSE)</f>
        <v>0</v>
      </c>
      <c r="K60" s="82">
        <f>VLOOKUP(E60, TOCA_current!A57:D191, 4, FALSE)</f>
        <v>0</v>
      </c>
      <c r="L60" s="82"/>
      <c r="O60" s="98"/>
    </row>
    <row r="61" spans="1:15">
      <c r="A61" s="32">
        <v>10172</v>
      </c>
      <c r="B61" s="31" t="s">
        <v>63</v>
      </c>
      <c r="C61" s="35">
        <v>0</v>
      </c>
      <c r="E61" s="32">
        <v>10172</v>
      </c>
      <c r="F61" s="31" t="s">
        <v>63</v>
      </c>
      <c r="G61" s="35">
        <v>0</v>
      </c>
      <c r="J61" s="82">
        <f>VLOOKUP(A61, TOCA_previous!$A$3:$D$137, 4, FALSE)</f>
        <v>0</v>
      </c>
      <c r="K61" s="82">
        <f>VLOOKUP(E61, TOCA_current!A58:D192, 4, FALSE)</f>
        <v>0</v>
      </c>
      <c r="L61" s="82"/>
      <c r="O61" s="98"/>
    </row>
    <row r="62" spans="1:15">
      <c r="A62" s="32">
        <v>10173</v>
      </c>
      <c r="B62" s="31" t="s">
        <v>64</v>
      </c>
      <c r="C62" s="35">
        <v>44309.995999999999</v>
      </c>
      <c r="E62" s="32">
        <v>10173</v>
      </c>
      <c r="F62" s="31" t="s">
        <v>64</v>
      </c>
      <c r="G62" s="35">
        <v>44309.995999999999</v>
      </c>
      <c r="J62" s="82">
        <f>VLOOKUP(A62, TOCA_previous!$A$3:$D$137, 4, FALSE)</f>
        <v>1</v>
      </c>
      <c r="K62" s="82">
        <f>VLOOKUP(E62, TOCA_current!A59:D193, 4, FALSE)</f>
        <v>1</v>
      </c>
      <c r="L62" s="82"/>
      <c r="O62" s="98"/>
    </row>
    <row r="63" spans="1:15">
      <c r="A63" s="32">
        <v>10174</v>
      </c>
      <c r="B63" s="31" t="s">
        <v>65</v>
      </c>
      <c r="C63" s="35">
        <v>0</v>
      </c>
      <c r="E63" s="32">
        <v>10174</v>
      </c>
      <c r="F63" s="31" t="s">
        <v>65</v>
      </c>
      <c r="G63" s="35">
        <v>0</v>
      </c>
      <c r="J63" s="82">
        <f>VLOOKUP(A63, TOCA_previous!$A$3:$D$137, 4, FALSE)</f>
        <v>0</v>
      </c>
      <c r="K63" s="82">
        <f>VLOOKUP(E63, TOCA_current!A60:D194, 4, FALSE)</f>
        <v>0</v>
      </c>
      <c r="L63" s="82"/>
      <c r="O63" s="98"/>
    </row>
    <row r="64" spans="1:15">
      <c r="A64" s="32">
        <v>10177</v>
      </c>
      <c r="B64" s="31" t="s">
        <v>66</v>
      </c>
      <c r="C64" s="35">
        <v>0</v>
      </c>
      <c r="E64" s="32">
        <v>10177</v>
      </c>
      <c r="F64" s="31" t="s">
        <v>66</v>
      </c>
      <c r="G64" s="35">
        <v>0</v>
      </c>
      <c r="J64" s="82">
        <f>VLOOKUP(A64, TOCA_previous!$A$3:$D$137, 4, FALSE)</f>
        <v>0</v>
      </c>
      <c r="K64" s="82">
        <f>VLOOKUP(E64, TOCA_current!A61:D195, 4, FALSE)</f>
        <v>0</v>
      </c>
      <c r="L64" s="82"/>
      <c r="O64" s="98"/>
    </row>
    <row r="65" spans="1:15">
      <c r="A65" s="32">
        <v>10179</v>
      </c>
      <c r="B65" s="31" t="s">
        <v>67</v>
      </c>
      <c r="C65" s="35">
        <v>0</v>
      </c>
      <c r="E65" s="32">
        <v>10179</v>
      </c>
      <c r="F65" s="31" t="s">
        <v>67</v>
      </c>
      <c r="G65" s="35">
        <v>0</v>
      </c>
      <c r="J65" s="82">
        <f>VLOOKUP(A65, TOCA_previous!$A$3:$D$137, 4, FALSE)</f>
        <v>0</v>
      </c>
      <c r="K65" s="82">
        <f>VLOOKUP(E65, TOCA_current!A62:D196, 4, FALSE)</f>
        <v>0</v>
      </c>
      <c r="L65" s="82"/>
      <c r="O65" s="98"/>
    </row>
    <row r="66" spans="1:15">
      <c r="A66" s="32">
        <v>10183</v>
      </c>
      <c r="B66" s="31" t="s">
        <v>68</v>
      </c>
      <c r="C66" s="35">
        <v>94407.247000000003</v>
      </c>
      <c r="E66" s="32">
        <v>10183</v>
      </c>
      <c r="F66" s="31" t="s">
        <v>68</v>
      </c>
      <c r="G66" s="35">
        <v>94407.247000000003</v>
      </c>
      <c r="J66" s="82">
        <f>VLOOKUP(A66, TOCA_previous!$A$3:$D$137, 4, FALSE)</f>
        <v>0</v>
      </c>
      <c r="K66" s="82">
        <f>VLOOKUP(E66, TOCA_current!A63:D197, 4, FALSE)</f>
        <v>0</v>
      </c>
      <c r="L66" s="82"/>
      <c r="O66" s="98"/>
    </row>
    <row r="67" spans="1:15">
      <c r="A67" s="32">
        <v>10186</v>
      </c>
      <c r="B67" s="31" t="s">
        <v>69</v>
      </c>
      <c r="C67" s="35">
        <v>0</v>
      </c>
      <c r="E67" s="32">
        <v>10186</v>
      </c>
      <c r="F67" s="31" t="s">
        <v>69</v>
      </c>
      <c r="G67" s="35">
        <v>0</v>
      </c>
      <c r="J67" s="82">
        <f>VLOOKUP(A67, TOCA_previous!$A$3:$D$137, 4, FALSE)</f>
        <v>0</v>
      </c>
      <c r="K67" s="82">
        <f>VLOOKUP(E67, TOCA_current!A64:D198, 4, FALSE)</f>
        <v>0</v>
      </c>
      <c r="L67" s="82"/>
      <c r="O67" s="98"/>
    </row>
    <row r="68" spans="1:15">
      <c r="A68" s="32">
        <v>10190</v>
      </c>
      <c r="B68" s="31" t="s">
        <v>70</v>
      </c>
      <c r="C68" s="35">
        <v>0</v>
      </c>
      <c r="E68" s="32">
        <v>10190</v>
      </c>
      <c r="F68" s="31" t="s">
        <v>70</v>
      </c>
      <c r="G68" s="35">
        <v>0</v>
      </c>
      <c r="J68" s="82">
        <f>VLOOKUP(A68, TOCA_previous!$A$3:$D$137, 4, FALSE)</f>
        <v>0</v>
      </c>
      <c r="K68" s="82">
        <f>VLOOKUP(E68, TOCA_current!A65:D199, 4, FALSE)</f>
        <v>0</v>
      </c>
      <c r="L68" s="82"/>
      <c r="O68" s="98"/>
    </row>
    <row r="69" spans="1:15">
      <c r="A69" s="32">
        <v>10191</v>
      </c>
      <c r="B69" s="31" t="s">
        <v>71</v>
      </c>
      <c r="C69" s="35">
        <v>0</v>
      </c>
      <c r="E69" s="32">
        <v>10191</v>
      </c>
      <c r="F69" s="31" t="s">
        <v>71</v>
      </c>
      <c r="G69" s="35">
        <v>0</v>
      </c>
      <c r="J69" s="82">
        <f>VLOOKUP(A69, TOCA_previous!$A$3:$D$137, 4, FALSE)</f>
        <v>0</v>
      </c>
      <c r="K69" s="82">
        <f>VLOOKUP(E69, TOCA_current!A66:D200, 4, FALSE)</f>
        <v>0</v>
      </c>
      <c r="L69" s="82"/>
      <c r="O69" s="98"/>
    </row>
    <row r="70" spans="1:15">
      <c r="A70" s="32">
        <v>10197</v>
      </c>
      <c r="B70" s="31" t="s">
        <v>72</v>
      </c>
      <c r="C70" s="35">
        <v>99899.204999999987</v>
      </c>
      <c r="E70" s="32">
        <v>10197</v>
      </c>
      <c r="F70" s="31" t="s">
        <v>72</v>
      </c>
      <c r="G70" s="35">
        <v>99899.204999999987</v>
      </c>
      <c r="J70" s="82">
        <f>VLOOKUP(A70, TOCA_previous!$A$3:$D$137, 4, FALSE)</f>
        <v>0</v>
      </c>
      <c r="K70" s="82">
        <f>VLOOKUP(E70, TOCA_current!A67:D201, 4, FALSE)</f>
        <v>0</v>
      </c>
      <c r="L70" s="82"/>
      <c r="O70" s="98"/>
    </row>
    <row r="71" spans="1:15">
      <c r="A71" s="32">
        <v>10202</v>
      </c>
      <c r="B71" s="31" t="s">
        <v>73</v>
      </c>
      <c r="C71" s="35">
        <v>0</v>
      </c>
      <c r="E71" s="32">
        <v>10202</v>
      </c>
      <c r="F71" s="31" t="s">
        <v>73</v>
      </c>
      <c r="G71" s="35">
        <v>0</v>
      </c>
      <c r="J71" s="82">
        <f>VLOOKUP(A71, TOCA_previous!$A$3:$D$137, 4, FALSE)</f>
        <v>0</v>
      </c>
      <c r="K71" s="82">
        <f>VLOOKUP(E71, TOCA_current!A68:D202, 4, FALSE)</f>
        <v>0</v>
      </c>
      <c r="L71" s="82"/>
      <c r="O71" s="98"/>
    </row>
    <row r="72" spans="1:15">
      <c r="A72" s="32">
        <v>10203</v>
      </c>
      <c r="B72" s="31" t="s">
        <v>74</v>
      </c>
      <c r="C72" s="35">
        <v>0</v>
      </c>
      <c r="E72" s="32">
        <v>10203</v>
      </c>
      <c r="F72" s="31" t="s">
        <v>74</v>
      </c>
      <c r="G72" s="35">
        <v>0</v>
      </c>
      <c r="J72" s="82">
        <f>VLOOKUP(A72, TOCA_previous!$A$3:$D$137, 4, FALSE)</f>
        <v>0</v>
      </c>
      <c r="K72" s="82">
        <f>VLOOKUP(E72, TOCA_current!A69:D203, 4, FALSE)</f>
        <v>0</v>
      </c>
      <c r="L72" s="82"/>
      <c r="O72" s="98"/>
    </row>
    <row r="73" spans="1:15">
      <c r="A73" s="32">
        <v>10204</v>
      </c>
      <c r="B73" s="31" t="s">
        <v>75</v>
      </c>
      <c r="C73" s="35">
        <v>0</v>
      </c>
      <c r="E73" s="32">
        <v>10204</v>
      </c>
      <c r="F73" s="31" t="s">
        <v>75</v>
      </c>
      <c r="G73" s="35">
        <v>0</v>
      </c>
      <c r="J73" s="82">
        <f>VLOOKUP(A73, TOCA_previous!$A$3:$D$137, 4, FALSE)</f>
        <v>0</v>
      </c>
      <c r="K73" s="82">
        <f>VLOOKUP(E73, TOCA_current!A70:D204, 4, FALSE)</f>
        <v>0</v>
      </c>
      <c r="L73" s="82"/>
      <c r="O73" s="98"/>
    </row>
    <row r="74" spans="1:15">
      <c r="A74" s="32">
        <v>10209</v>
      </c>
      <c r="B74" s="31" t="s">
        <v>76</v>
      </c>
      <c r="C74" s="35">
        <v>60112.701000000001</v>
      </c>
      <c r="E74" s="32">
        <v>10209</v>
      </c>
      <c r="F74" s="31" t="s">
        <v>76</v>
      </c>
      <c r="G74" s="35">
        <v>60112.701000000001</v>
      </c>
      <c r="J74" s="82">
        <f>VLOOKUP(A74, TOCA_previous!$A$3:$D$137, 4, FALSE)</f>
        <v>0</v>
      </c>
      <c r="K74" s="82">
        <f>VLOOKUP(E74, TOCA_current!A71:D205, 4, FALSE)</f>
        <v>0</v>
      </c>
      <c r="L74" s="82"/>
      <c r="O74" s="98"/>
    </row>
    <row r="75" spans="1:15">
      <c r="A75" s="32">
        <v>10230</v>
      </c>
      <c r="B75" s="31" t="s">
        <v>77</v>
      </c>
      <c r="C75" s="35">
        <v>0</v>
      </c>
      <c r="E75" s="32">
        <v>10230</v>
      </c>
      <c r="F75" s="31" t="s">
        <v>77</v>
      </c>
      <c r="G75" s="35">
        <v>0</v>
      </c>
      <c r="J75" s="82">
        <f>VLOOKUP(A75, TOCA_previous!$A$3:$D$137, 4, FALSE)</f>
        <v>0</v>
      </c>
      <c r="K75" s="82">
        <f>VLOOKUP(E75, TOCA_current!A72:D206, 4, FALSE)</f>
        <v>0</v>
      </c>
      <c r="L75" s="82"/>
      <c r="O75" s="98"/>
    </row>
    <row r="76" spans="1:15">
      <c r="A76" s="32">
        <v>10231</v>
      </c>
      <c r="B76" s="31" t="s">
        <v>78</v>
      </c>
      <c r="C76" s="35">
        <v>21632.728999999999</v>
      </c>
      <c r="E76" s="32">
        <v>10231</v>
      </c>
      <c r="F76" s="31" t="s">
        <v>78</v>
      </c>
      <c r="G76" s="35">
        <v>21632.728999999999</v>
      </c>
      <c r="J76" s="82">
        <f>VLOOKUP(A76, TOCA_previous!$A$3:$D$137, 4, FALSE)</f>
        <v>0</v>
      </c>
      <c r="K76" s="82">
        <f>VLOOKUP(E76, TOCA_current!A73:D207, 4, FALSE)</f>
        <v>0</v>
      </c>
      <c r="L76" s="82"/>
      <c r="O76" s="98"/>
    </row>
    <row r="77" spans="1:15">
      <c r="A77" s="32">
        <v>10234</v>
      </c>
      <c r="B77" s="31" t="s">
        <v>79</v>
      </c>
      <c r="C77" s="35">
        <v>0</v>
      </c>
      <c r="E77" s="32">
        <v>10234</v>
      </c>
      <c r="F77" s="31" t="s">
        <v>79</v>
      </c>
      <c r="G77" s="35">
        <v>0</v>
      </c>
      <c r="J77" s="82">
        <f>VLOOKUP(A77, TOCA_previous!$A$3:$D$137, 4, FALSE)</f>
        <v>0</v>
      </c>
      <c r="K77" s="82">
        <f>VLOOKUP(E77, TOCA_current!A74:D208, 4, FALSE)</f>
        <v>0</v>
      </c>
      <c r="L77" s="82"/>
      <c r="O77" s="98"/>
    </row>
    <row r="78" spans="1:15">
      <c r="A78" s="32">
        <v>10235</v>
      </c>
      <c r="B78" s="31" t="s">
        <v>80</v>
      </c>
      <c r="C78" s="35">
        <v>0</v>
      </c>
      <c r="E78" s="32">
        <v>10235</v>
      </c>
      <c r="F78" s="31" t="s">
        <v>80</v>
      </c>
      <c r="G78" s="35">
        <v>0</v>
      </c>
      <c r="J78" s="82">
        <f>VLOOKUP(A78, TOCA_previous!$A$3:$D$137, 4, FALSE)</f>
        <v>0</v>
      </c>
      <c r="K78" s="82">
        <f>VLOOKUP(E78, TOCA_current!A75:D209, 4, FALSE)</f>
        <v>0</v>
      </c>
      <c r="L78" s="82"/>
      <c r="O78" s="98"/>
    </row>
    <row r="79" spans="1:15">
      <c r="A79" s="32">
        <v>10236</v>
      </c>
      <c r="B79" s="31" t="s">
        <v>81</v>
      </c>
      <c r="C79" s="35">
        <v>0</v>
      </c>
      <c r="E79" s="32">
        <v>10236</v>
      </c>
      <c r="F79" s="31" t="s">
        <v>81</v>
      </c>
      <c r="G79" s="35">
        <v>0</v>
      </c>
      <c r="J79" s="82">
        <f>VLOOKUP(A79, TOCA_previous!$A$3:$D$137, 4, FALSE)</f>
        <v>1</v>
      </c>
      <c r="K79" s="82">
        <f>VLOOKUP(E79, TOCA_current!A76:D210, 4, FALSE)</f>
        <v>1</v>
      </c>
      <c r="L79" s="82"/>
      <c r="O79" s="98"/>
    </row>
    <row r="80" spans="1:15">
      <c r="A80" s="32">
        <v>10237</v>
      </c>
      <c r="B80" s="31" t="s">
        <v>82</v>
      </c>
      <c r="C80" s="35">
        <v>0</v>
      </c>
      <c r="E80" s="32">
        <v>10237</v>
      </c>
      <c r="F80" s="31" t="s">
        <v>82</v>
      </c>
      <c r="G80" s="35">
        <v>0</v>
      </c>
      <c r="J80" s="82">
        <f>VLOOKUP(A80, TOCA_previous!$A$3:$D$137, 4, FALSE)</f>
        <v>0</v>
      </c>
      <c r="K80" s="82">
        <f>VLOOKUP(E80, TOCA_current!A77:D211, 4, FALSE)</f>
        <v>0</v>
      </c>
      <c r="L80" s="82"/>
      <c r="O80" s="98"/>
    </row>
    <row r="81" spans="1:15">
      <c r="A81" s="32">
        <v>10239</v>
      </c>
      <c r="B81" s="31" t="s">
        <v>83</v>
      </c>
      <c r="C81" s="35">
        <v>0</v>
      </c>
      <c r="E81" s="32">
        <v>10239</v>
      </c>
      <c r="F81" s="31" t="s">
        <v>83</v>
      </c>
      <c r="G81" s="35">
        <v>0</v>
      </c>
      <c r="J81" s="82">
        <f>VLOOKUP(A81, TOCA_previous!$A$3:$D$137, 4, FALSE)</f>
        <v>1</v>
      </c>
      <c r="K81" s="82">
        <f>VLOOKUP(E81, TOCA_current!A78:D212, 4, FALSE)</f>
        <v>1</v>
      </c>
      <c r="L81" s="82"/>
      <c r="O81" s="98"/>
    </row>
    <row r="82" spans="1:15">
      <c r="A82" s="32">
        <v>10242</v>
      </c>
      <c r="B82" s="31" t="s">
        <v>84</v>
      </c>
      <c r="C82" s="35">
        <v>37558.894</v>
      </c>
      <c r="E82" s="32">
        <v>10242</v>
      </c>
      <c r="F82" s="31" t="s">
        <v>84</v>
      </c>
      <c r="G82" s="35">
        <v>37558.894</v>
      </c>
      <c r="J82" s="82">
        <f>VLOOKUP(A82, TOCA_previous!$A$3:$D$137, 4, FALSE)</f>
        <v>0</v>
      </c>
      <c r="K82" s="82">
        <f>VLOOKUP(E82, TOCA_current!A79:D213, 4, FALSE)</f>
        <v>0</v>
      </c>
      <c r="L82" s="82"/>
      <c r="O82" s="98"/>
    </row>
    <row r="83" spans="1:15">
      <c r="A83" s="32">
        <v>10244</v>
      </c>
      <c r="B83" s="31" t="s">
        <v>85</v>
      </c>
      <c r="C83" s="35">
        <v>0</v>
      </c>
      <c r="E83" s="32">
        <v>10244</v>
      </c>
      <c r="F83" s="31" t="s">
        <v>85</v>
      </c>
      <c r="G83" s="35">
        <v>0</v>
      </c>
      <c r="J83" s="82">
        <f>VLOOKUP(A83, TOCA_previous!$A$3:$D$137, 4, FALSE)</f>
        <v>0</v>
      </c>
      <c r="K83" s="82">
        <f>VLOOKUP(E83, TOCA_current!A80:D214, 4, FALSE)</f>
        <v>0</v>
      </c>
      <c r="L83" s="82"/>
      <c r="O83" s="98"/>
    </row>
    <row r="84" spans="1:15">
      <c r="A84" s="32">
        <v>10246</v>
      </c>
      <c r="B84" s="31" t="s">
        <v>86</v>
      </c>
      <c r="C84" s="35">
        <v>0</v>
      </c>
      <c r="E84" s="32">
        <v>10246</v>
      </c>
      <c r="F84" s="31" t="s">
        <v>86</v>
      </c>
      <c r="G84" s="35">
        <v>0</v>
      </c>
      <c r="J84" s="82">
        <f>VLOOKUP(A84, TOCA_previous!$A$3:$D$137, 4, FALSE)</f>
        <v>0</v>
      </c>
      <c r="K84" s="82">
        <f>VLOOKUP(E84, TOCA_current!A81:D215, 4, FALSE)</f>
        <v>0</v>
      </c>
      <c r="L84" s="82"/>
      <c r="O84" s="98"/>
    </row>
    <row r="85" spans="1:15">
      <c r="A85" s="32">
        <v>10247</v>
      </c>
      <c r="B85" s="31" t="s">
        <v>87</v>
      </c>
      <c r="C85" s="35">
        <v>0</v>
      </c>
      <c r="E85" s="32">
        <v>10247</v>
      </c>
      <c r="F85" s="31" t="s">
        <v>87</v>
      </c>
      <c r="G85" s="35">
        <v>0</v>
      </c>
      <c r="J85" s="82">
        <f>VLOOKUP(A85, TOCA_previous!$A$3:$D$137, 4, FALSE)</f>
        <v>0</v>
      </c>
      <c r="K85" s="82">
        <f>VLOOKUP(E85, TOCA_current!A82:D216, 4, FALSE)</f>
        <v>0</v>
      </c>
      <c r="L85" s="82"/>
      <c r="O85" s="98"/>
    </row>
    <row r="86" spans="1:15">
      <c r="A86" s="32">
        <v>10256</v>
      </c>
      <c r="B86" s="31" t="s">
        <v>88</v>
      </c>
      <c r="C86" s="35">
        <v>41489.314000000006</v>
      </c>
      <c r="E86" s="32">
        <v>10256</v>
      </c>
      <c r="F86" s="31" t="s">
        <v>88</v>
      </c>
      <c r="G86" s="35">
        <v>41489.314000000006</v>
      </c>
      <c r="J86" s="82">
        <f>VLOOKUP(A86, TOCA_previous!$A$3:$D$137, 4, FALSE)</f>
        <v>0</v>
      </c>
      <c r="K86" s="82">
        <f>VLOOKUP(E86, TOCA_current!A83:D217, 4, FALSE)</f>
        <v>0</v>
      </c>
      <c r="L86" s="82"/>
      <c r="O86" s="98"/>
    </row>
    <row r="87" spans="1:15">
      <c r="A87" s="32">
        <v>10258</v>
      </c>
      <c r="B87" s="31" t="s">
        <v>89</v>
      </c>
      <c r="C87" s="35">
        <v>18387.022000000001</v>
      </c>
      <c r="E87" s="32">
        <v>10258</v>
      </c>
      <c r="F87" s="31" t="s">
        <v>89</v>
      </c>
      <c r="G87" s="35">
        <v>18387.022000000001</v>
      </c>
      <c r="J87" s="82">
        <f>VLOOKUP(A87, TOCA_previous!$A$3:$D$137, 4, FALSE)</f>
        <v>0</v>
      </c>
      <c r="K87" s="82">
        <f>VLOOKUP(E87, TOCA_current!A84:D218, 4, FALSE)</f>
        <v>0</v>
      </c>
      <c r="L87" s="82"/>
      <c r="O87" s="98"/>
    </row>
    <row r="88" spans="1:15">
      <c r="A88" s="32">
        <v>10259</v>
      </c>
      <c r="B88" s="31" t="s">
        <v>90</v>
      </c>
      <c r="C88" s="35">
        <v>0</v>
      </c>
      <c r="E88" s="32">
        <v>10259</v>
      </c>
      <c r="F88" s="31" t="s">
        <v>90</v>
      </c>
      <c r="G88" s="35">
        <v>0</v>
      </c>
      <c r="J88" s="82">
        <f>VLOOKUP(A88, TOCA_previous!$A$3:$D$137, 4, FALSE)</f>
        <v>0</v>
      </c>
      <c r="K88" s="82">
        <f>VLOOKUP(E88, TOCA_current!A85:D219, 4, FALSE)</f>
        <v>0</v>
      </c>
      <c r="L88" s="82"/>
      <c r="O88" s="98"/>
    </row>
    <row r="89" spans="1:15">
      <c r="A89" s="32">
        <v>10260</v>
      </c>
      <c r="B89" s="31" t="s">
        <v>91</v>
      </c>
      <c r="C89" s="35">
        <v>0</v>
      </c>
      <c r="E89" s="32">
        <v>10260</v>
      </c>
      <c r="F89" s="31" t="s">
        <v>91</v>
      </c>
      <c r="G89" s="35">
        <v>0</v>
      </c>
      <c r="J89" s="82">
        <f>VLOOKUP(A89, TOCA_previous!$A$3:$D$137, 4, FALSE)</f>
        <v>0</v>
      </c>
      <c r="K89" s="82">
        <f>VLOOKUP(E89, TOCA_current!A86:D220, 4, FALSE)</f>
        <v>0</v>
      </c>
      <c r="L89" s="82"/>
      <c r="O89" s="98"/>
    </row>
    <row r="90" spans="1:15">
      <c r="A90" s="32">
        <v>10273</v>
      </c>
      <c r="B90" s="31" t="s">
        <v>92</v>
      </c>
      <c r="C90" s="35">
        <v>9522.0249999999996</v>
      </c>
      <c r="E90" s="32">
        <v>10273</v>
      </c>
      <c r="F90" s="31" t="s">
        <v>92</v>
      </c>
      <c r="G90" s="35">
        <v>9522.0249999999996</v>
      </c>
      <c r="J90" s="82">
        <f>VLOOKUP(A90, TOCA_previous!$A$3:$D$137, 4, FALSE)</f>
        <v>0</v>
      </c>
      <c r="K90" s="82">
        <f>VLOOKUP(E90, TOCA_current!A87:D221, 4, FALSE)</f>
        <v>0</v>
      </c>
      <c r="L90" s="82"/>
      <c r="O90" s="98"/>
    </row>
    <row r="91" spans="1:15">
      <c r="A91" s="32">
        <v>10278</v>
      </c>
      <c r="B91" s="31" t="s">
        <v>93</v>
      </c>
      <c r="C91" s="35">
        <v>0</v>
      </c>
      <c r="E91" s="32">
        <v>10278</v>
      </c>
      <c r="F91" s="31" t="s">
        <v>93</v>
      </c>
      <c r="G91" s="35">
        <v>0</v>
      </c>
      <c r="J91" s="82">
        <f>VLOOKUP(A91, TOCA_previous!$A$3:$D$137, 4, FALSE)</f>
        <v>1</v>
      </c>
      <c r="K91" s="82">
        <f>VLOOKUP(E91, TOCA_current!A88:D222, 4, FALSE)</f>
        <v>1</v>
      </c>
      <c r="L91" s="82"/>
      <c r="O91" s="98"/>
    </row>
    <row r="92" spans="1:15">
      <c r="A92" s="32">
        <v>10279</v>
      </c>
      <c r="B92" s="31" t="s">
        <v>94</v>
      </c>
      <c r="C92" s="35">
        <v>0</v>
      </c>
      <c r="E92" s="32">
        <v>10279</v>
      </c>
      <c r="F92" s="31" t="s">
        <v>94</v>
      </c>
      <c r="G92" s="35">
        <v>0</v>
      </c>
      <c r="J92" s="82">
        <f>VLOOKUP(A92, TOCA_previous!$A$3:$D$137, 4, FALSE)</f>
        <v>0</v>
      </c>
      <c r="K92" s="82">
        <f>VLOOKUP(E92, TOCA_current!A89:D223, 4, FALSE)</f>
        <v>0</v>
      </c>
      <c r="L92" s="82"/>
      <c r="O92" s="98"/>
    </row>
    <row r="93" spans="1:15">
      <c r="A93" s="32">
        <v>10284</v>
      </c>
      <c r="B93" s="31" t="s">
        <v>95</v>
      </c>
      <c r="C93" s="35">
        <v>0</v>
      </c>
      <c r="E93" s="32">
        <v>10284</v>
      </c>
      <c r="F93" s="31" t="s">
        <v>95</v>
      </c>
      <c r="G93" s="35">
        <v>0</v>
      </c>
      <c r="J93" s="82">
        <f>VLOOKUP(A93, TOCA_previous!$A$3:$D$137, 4, FALSE)</f>
        <v>0</v>
      </c>
      <c r="K93" s="82">
        <f>VLOOKUP(E93, TOCA_current!A90:D224, 4, FALSE)</f>
        <v>0</v>
      </c>
      <c r="L93" s="82"/>
      <c r="O93" s="98"/>
    </row>
    <row r="94" spans="1:15">
      <c r="A94" s="32">
        <v>10285</v>
      </c>
      <c r="B94" s="31" t="s">
        <v>96</v>
      </c>
      <c r="C94" s="35">
        <v>0</v>
      </c>
      <c r="E94" s="32">
        <v>10285</v>
      </c>
      <c r="F94" s="31" t="s">
        <v>96</v>
      </c>
      <c r="G94" s="35">
        <v>0</v>
      </c>
      <c r="J94" s="82">
        <f>VLOOKUP(A94, TOCA_previous!$A$3:$D$137, 4, FALSE)</f>
        <v>1</v>
      </c>
      <c r="K94" s="82">
        <f>VLOOKUP(E94, TOCA_current!A91:D225, 4, FALSE)</f>
        <v>1</v>
      </c>
      <c r="L94" s="82"/>
      <c r="O94" s="98"/>
    </row>
    <row r="95" spans="1:15">
      <c r="A95" s="32">
        <v>10286</v>
      </c>
      <c r="B95" s="31" t="s">
        <v>97</v>
      </c>
      <c r="C95" s="35">
        <v>55408.151000000005</v>
      </c>
      <c r="E95" s="32">
        <v>10286</v>
      </c>
      <c r="F95" s="31" t="s">
        <v>97</v>
      </c>
      <c r="G95" s="35">
        <v>55408.151000000005</v>
      </c>
      <c r="J95" s="82">
        <f>VLOOKUP(A95, TOCA_previous!$A$3:$D$137, 4, FALSE)</f>
        <v>0</v>
      </c>
      <c r="K95" s="82">
        <f>VLOOKUP(E95, TOCA_current!A92:D226, 4, FALSE)</f>
        <v>0</v>
      </c>
      <c r="L95" s="82"/>
      <c r="O95" s="98"/>
    </row>
    <row r="96" spans="1:15">
      <c r="A96" s="32">
        <v>10288</v>
      </c>
      <c r="B96" s="31" t="s">
        <v>98</v>
      </c>
      <c r="C96" s="35">
        <v>0</v>
      </c>
      <c r="E96" s="32">
        <v>10288</v>
      </c>
      <c r="F96" s="31" t="s">
        <v>98</v>
      </c>
      <c r="G96" s="35">
        <v>0</v>
      </c>
      <c r="J96" s="82">
        <f>VLOOKUP(A96, TOCA_previous!$A$3:$D$137, 4, FALSE)</f>
        <v>1</v>
      </c>
      <c r="K96" s="82">
        <f>VLOOKUP(E96, TOCA_current!A93:D227, 4, FALSE)</f>
        <v>1</v>
      </c>
      <c r="L96" s="82"/>
      <c r="O96" s="98"/>
    </row>
    <row r="97" spans="1:15">
      <c r="A97" s="32">
        <v>10291</v>
      </c>
      <c r="B97" s="31" t="s">
        <v>99</v>
      </c>
      <c r="C97" s="35">
        <v>36260.600999999995</v>
      </c>
      <c r="E97" s="32">
        <v>10291</v>
      </c>
      <c r="F97" s="31" t="s">
        <v>99</v>
      </c>
      <c r="G97" s="35">
        <v>36260.600999999995</v>
      </c>
      <c r="J97" s="82">
        <f>VLOOKUP(A97, TOCA_previous!$A$3:$D$137, 4, FALSE)</f>
        <v>0</v>
      </c>
      <c r="K97" s="82">
        <f>VLOOKUP(E97, TOCA_current!A94:D228, 4, FALSE)</f>
        <v>0</v>
      </c>
      <c r="L97" s="82"/>
      <c r="O97" s="98"/>
    </row>
    <row r="98" spans="1:15">
      <c r="A98" s="32">
        <v>10294</v>
      </c>
      <c r="B98" s="31" t="s">
        <v>100</v>
      </c>
      <c r="C98" s="35">
        <v>0</v>
      </c>
      <c r="E98" s="32">
        <v>10294</v>
      </c>
      <c r="F98" s="31" t="s">
        <v>100</v>
      </c>
      <c r="G98" s="35">
        <v>0</v>
      </c>
      <c r="J98" s="82">
        <f>VLOOKUP(A98, TOCA_previous!$A$3:$D$137, 4, FALSE)</f>
        <v>0</v>
      </c>
      <c r="K98" s="82">
        <f>VLOOKUP(E98, TOCA_current!A95:D229, 4, FALSE)</f>
        <v>0</v>
      </c>
      <c r="L98" s="82"/>
      <c r="O98" s="98"/>
    </row>
    <row r="99" spans="1:15">
      <c r="A99" s="32">
        <v>10304</v>
      </c>
      <c r="B99" s="31" t="s">
        <v>101</v>
      </c>
      <c r="C99" s="35">
        <v>0</v>
      </c>
      <c r="E99" s="32">
        <v>10304</v>
      </c>
      <c r="F99" s="31" t="s">
        <v>101</v>
      </c>
      <c r="G99" s="35">
        <v>0</v>
      </c>
      <c r="J99" s="82">
        <f>VLOOKUP(A99, TOCA_previous!$A$3:$D$137, 4, FALSE)</f>
        <v>0</v>
      </c>
      <c r="K99" s="82">
        <f>VLOOKUP(E99, TOCA_current!A96:D230, 4, FALSE)</f>
        <v>0</v>
      </c>
      <c r="L99" s="82"/>
      <c r="O99" s="98"/>
    </row>
    <row r="100" spans="1:15">
      <c r="A100" s="32">
        <v>10306</v>
      </c>
      <c r="B100" s="31" t="s">
        <v>102</v>
      </c>
      <c r="C100" s="35">
        <v>0</v>
      </c>
      <c r="E100" s="32">
        <v>10306</v>
      </c>
      <c r="F100" s="31" t="s">
        <v>102</v>
      </c>
      <c r="G100" s="35">
        <v>0</v>
      </c>
      <c r="J100" s="82">
        <f>VLOOKUP(A100, TOCA_previous!$A$3:$D$137, 4, FALSE)</f>
        <v>0</v>
      </c>
      <c r="K100" s="82">
        <f>VLOOKUP(E100, TOCA_current!A97:D231, 4, FALSE)</f>
        <v>0</v>
      </c>
      <c r="L100" s="82"/>
      <c r="O100" s="98"/>
    </row>
    <row r="101" spans="1:15">
      <c r="A101" s="32">
        <v>10307</v>
      </c>
      <c r="B101" s="31" t="s">
        <v>103</v>
      </c>
      <c r="C101" s="35">
        <v>0</v>
      </c>
      <c r="E101" s="32">
        <v>10307</v>
      </c>
      <c r="F101" s="31" t="s">
        <v>103</v>
      </c>
      <c r="G101" s="35">
        <v>0</v>
      </c>
      <c r="J101" s="82">
        <f>VLOOKUP(A101, TOCA_previous!$A$3:$D$137, 4, FALSE)</f>
        <v>0</v>
      </c>
      <c r="K101" s="82">
        <f>VLOOKUP(E101, TOCA_current!A98:D232, 4, FALSE)</f>
        <v>0</v>
      </c>
      <c r="L101" s="82"/>
      <c r="O101" s="98"/>
    </row>
    <row r="102" spans="1:15">
      <c r="A102" s="32">
        <v>10326</v>
      </c>
      <c r="B102" s="31" t="s">
        <v>104</v>
      </c>
      <c r="C102" s="35">
        <v>0</v>
      </c>
      <c r="E102" s="32">
        <v>10326</v>
      </c>
      <c r="F102" s="31" t="s">
        <v>104</v>
      </c>
      <c r="G102" s="35">
        <v>0</v>
      </c>
      <c r="J102" s="82">
        <f>VLOOKUP(A102, TOCA_previous!$A$3:$D$137, 4, FALSE)</f>
        <v>0</v>
      </c>
      <c r="K102" s="82">
        <f>VLOOKUP(E102, TOCA_current!A99:D233, 4, FALSE)</f>
        <v>0</v>
      </c>
      <c r="L102" s="82"/>
      <c r="O102" s="98"/>
    </row>
    <row r="103" spans="1:15">
      <c r="A103" s="32">
        <v>10331</v>
      </c>
      <c r="B103" s="31" t="s">
        <v>105</v>
      </c>
      <c r="C103" s="35">
        <v>133086.85800000001</v>
      </c>
      <c r="E103" s="32">
        <v>10331</v>
      </c>
      <c r="F103" s="31" t="s">
        <v>105</v>
      </c>
      <c r="G103" s="35">
        <v>133086.85800000001</v>
      </c>
      <c r="J103" s="82">
        <f>VLOOKUP(A103, TOCA_previous!$A$3:$D$137, 4, FALSE)</f>
        <v>1</v>
      </c>
      <c r="K103" s="82">
        <f>VLOOKUP(E103, TOCA_current!A100:D234, 4, FALSE)</f>
        <v>1</v>
      </c>
      <c r="L103" s="82"/>
      <c r="O103" s="98"/>
    </row>
    <row r="104" spans="1:15">
      <c r="A104" s="32">
        <v>10333</v>
      </c>
      <c r="B104" s="31" t="s">
        <v>106</v>
      </c>
      <c r="C104" s="35">
        <v>0</v>
      </c>
      <c r="E104" s="32">
        <v>10333</v>
      </c>
      <c r="F104" s="31" t="s">
        <v>106</v>
      </c>
      <c r="G104" s="35">
        <v>0</v>
      </c>
      <c r="J104" s="82">
        <v>1</v>
      </c>
      <c r="K104" s="82">
        <v>1</v>
      </c>
      <c r="L104" s="82"/>
      <c r="O104" s="98"/>
    </row>
    <row r="105" spans="1:15">
      <c r="A105" s="32">
        <v>10338</v>
      </c>
      <c r="B105" s="31" t="s">
        <v>107</v>
      </c>
      <c r="C105" s="35">
        <v>4155.21</v>
      </c>
      <c r="E105" s="32">
        <v>10338</v>
      </c>
      <c r="F105" s="31" t="s">
        <v>107</v>
      </c>
      <c r="G105" s="35">
        <v>4155.21</v>
      </c>
      <c r="J105" s="82">
        <f>VLOOKUP(A105, TOCA_previous!$A$3:$D$137, 4, FALSE)</f>
        <v>0</v>
      </c>
      <c r="K105" s="82">
        <f>VLOOKUP(E105, TOCA_current!A102:D236, 4, FALSE)</f>
        <v>0</v>
      </c>
      <c r="L105" s="82"/>
      <c r="O105" s="98"/>
    </row>
    <row r="106" spans="1:15">
      <c r="A106" s="32">
        <v>10342</v>
      </c>
      <c r="B106" s="31" t="s">
        <v>108</v>
      </c>
      <c r="C106" s="35">
        <v>0</v>
      </c>
      <c r="E106" s="32">
        <v>10342</v>
      </c>
      <c r="F106" s="31" t="s">
        <v>108</v>
      </c>
      <c r="G106" s="35">
        <v>0</v>
      </c>
      <c r="J106" s="82">
        <f>VLOOKUP(A106, TOCA_previous!$A$3:$D$137, 4, FALSE)</f>
        <v>0</v>
      </c>
      <c r="K106" s="82">
        <f>VLOOKUP(E106, TOCA_current!A103:D237, 4, FALSE)</f>
        <v>0</v>
      </c>
      <c r="L106" s="82"/>
      <c r="O106" s="98"/>
    </row>
    <row r="107" spans="1:15">
      <c r="A107" s="32">
        <v>10343</v>
      </c>
      <c r="B107" s="31" t="s">
        <v>109</v>
      </c>
      <c r="C107" s="35">
        <v>10505.661</v>
      </c>
      <c r="E107" s="32">
        <v>10343</v>
      </c>
      <c r="F107" s="31" t="s">
        <v>109</v>
      </c>
      <c r="G107" s="35">
        <v>10505.661</v>
      </c>
      <c r="J107" s="82">
        <f>VLOOKUP(A107, TOCA_previous!$A$3:$D$137, 4, FALSE)</f>
        <v>0</v>
      </c>
      <c r="K107" s="82">
        <f>VLOOKUP(E107, TOCA_current!A104:D238, 4, FALSE)</f>
        <v>0</v>
      </c>
      <c r="L107" s="82"/>
      <c r="O107" s="98"/>
    </row>
    <row r="108" spans="1:15">
      <c r="A108" s="32">
        <v>10349</v>
      </c>
      <c r="B108" s="31" t="s">
        <v>110</v>
      </c>
      <c r="C108" s="35">
        <v>0</v>
      </c>
      <c r="E108" s="32">
        <v>10349</v>
      </c>
      <c r="F108" s="31" t="s">
        <v>110</v>
      </c>
      <c r="G108" s="35">
        <v>0</v>
      </c>
      <c r="J108" s="82">
        <f>VLOOKUP(A108, TOCA_previous!$A$3:$D$137, 4, FALSE)</f>
        <v>0</v>
      </c>
      <c r="K108" s="82">
        <f>VLOOKUP(E108, TOCA_current!A105:D239, 4, FALSE)</f>
        <v>0</v>
      </c>
      <c r="L108" s="82"/>
      <c r="O108" s="98"/>
    </row>
    <row r="109" spans="1:15">
      <c r="A109" s="32">
        <v>10352</v>
      </c>
      <c r="B109" s="31" t="s">
        <v>111</v>
      </c>
      <c r="C109" s="35">
        <v>0</v>
      </c>
      <c r="E109" s="32">
        <v>10352</v>
      </c>
      <c r="F109" s="31" t="s">
        <v>111</v>
      </c>
      <c r="G109" s="35">
        <v>0</v>
      </c>
      <c r="J109" s="82">
        <f>VLOOKUP(A109, TOCA_previous!$A$3:$D$137, 4, FALSE)</f>
        <v>0</v>
      </c>
      <c r="K109" s="82">
        <f>VLOOKUP(E109, TOCA_current!A106:D240, 4, FALSE)</f>
        <v>0</v>
      </c>
      <c r="L109" s="82"/>
      <c r="O109" s="98"/>
    </row>
    <row r="110" spans="1:15">
      <c r="A110" s="32">
        <v>10354</v>
      </c>
      <c r="B110" s="31" t="s">
        <v>112</v>
      </c>
      <c r="C110" s="35">
        <v>0</v>
      </c>
      <c r="E110" s="32">
        <v>10354</v>
      </c>
      <c r="F110" s="31" t="s">
        <v>112</v>
      </c>
      <c r="G110" s="35">
        <v>0</v>
      </c>
      <c r="J110" s="82">
        <f>VLOOKUP(A110, TOCA_previous!$A$3:$D$137, 4, FALSE)</f>
        <v>0</v>
      </c>
      <c r="K110" s="82">
        <f>VLOOKUP(E110, TOCA_current!A107:D241, 4, FALSE)</f>
        <v>0</v>
      </c>
      <c r="L110" s="82"/>
      <c r="O110" s="98"/>
    </row>
    <row r="111" spans="1:15">
      <c r="A111" s="32">
        <v>10360</v>
      </c>
      <c r="B111" s="31" t="s">
        <v>113</v>
      </c>
      <c r="C111" s="35">
        <v>20009.34</v>
      </c>
      <c r="E111" s="32">
        <v>10360</v>
      </c>
      <c r="F111" s="31" t="s">
        <v>113</v>
      </c>
      <c r="G111" s="35">
        <v>20009.34</v>
      </c>
      <c r="J111" s="82">
        <f>VLOOKUP(A111, TOCA_previous!$A$3:$D$137, 4, FALSE)</f>
        <v>0</v>
      </c>
      <c r="K111" s="82">
        <f>VLOOKUP(E111, TOCA_current!A108:D242, 4, FALSE)</f>
        <v>0</v>
      </c>
      <c r="L111" s="82"/>
      <c r="O111" s="98"/>
    </row>
    <row r="112" spans="1:15">
      <c r="A112" s="32">
        <v>10363</v>
      </c>
      <c r="B112" s="31" t="s">
        <v>114</v>
      </c>
      <c r="C112" s="35">
        <v>0</v>
      </c>
      <c r="E112" s="32">
        <v>10363</v>
      </c>
      <c r="F112" s="31" t="s">
        <v>114</v>
      </c>
      <c r="G112" s="35">
        <v>0</v>
      </c>
      <c r="J112" s="82">
        <f>VLOOKUP(A112, TOCA_previous!$A$3:$D$137, 4, FALSE)</f>
        <v>0</v>
      </c>
      <c r="K112" s="82">
        <f>VLOOKUP(E112, TOCA_current!A109:D243, 4, FALSE)</f>
        <v>0</v>
      </c>
      <c r="L112" s="82"/>
      <c r="O112" s="98"/>
    </row>
    <row r="113" spans="1:15">
      <c r="A113" s="32">
        <v>10369</v>
      </c>
      <c r="B113" s="31" t="s">
        <v>115</v>
      </c>
      <c r="C113" s="35">
        <v>46210.901000000005</v>
      </c>
      <c r="E113" s="32">
        <v>10369</v>
      </c>
      <c r="F113" s="31" t="s">
        <v>115</v>
      </c>
      <c r="G113" s="35">
        <v>46210.901000000005</v>
      </c>
      <c r="J113" s="82">
        <f>VLOOKUP(A113, TOCA_previous!$A$3:$D$137, 4, FALSE)</f>
        <v>0</v>
      </c>
      <c r="K113" s="82">
        <f>VLOOKUP(E113, TOCA_current!A110:D244, 4, FALSE)</f>
        <v>0</v>
      </c>
      <c r="L113" s="82"/>
      <c r="O113" s="98"/>
    </row>
    <row r="114" spans="1:15">
      <c r="A114" s="32">
        <v>10370</v>
      </c>
      <c r="B114" s="31" t="s">
        <v>116</v>
      </c>
      <c r="C114" s="35">
        <v>0</v>
      </c>
      <c r="E114" s="32">
        <v>10370</v>
      </c>
      <c r="F114" s="31" t="s">
        <v>116</v>
      </c>
      <c r="G114" s="35">
        <v>0</v>
      </c>
      <c r="J114" s="82">
        <f>VLOOKUP(A114, TOCA_previous!$A$3:$D$137, 4, FALSE)</f>
        <v>0</v>
      </c>
      <c r="K114" s="82">
        <f>VLOOKUP(E114, TOCA_current!A111:D245, 4, FALSE)</f>
        <v>0</v>
      </c>
      <c r="L114" s="82"/>
      <c r="O114" s="98"/>
    </row>
    <row r="115" spans="1:15">
      <c r="A115" s="32">
        <v>10371</v>
      </c>
      <c r="B115" s="31" t="s">
        <v>117</v>
      </c>
      <c r="C115" s="35">
        <v>0</v>
      </c>
      <c r="E115" s="32">
        <v>10371</v>
      </c>
      <c r="F115" s="31" t="s">
        <v>117</v>
      </c>
      <c r="G115" s="35">
        <v>0</v>
      </c>
      <c r="J115" s="82">
        <f>VLOOKUP(A115, TOCA_previous!$A$3:$D$137, 4, FALSE)</f>
        <v>0</v>
      </c>
      <c r="K115" s="82">
        <f>VLOOKUP(E115, TOCA_current!A112:D246, 4, FALSE)</f>
        <v>0</v>
      </c>
      <c r="L115" s="82"/>
      <c r="O115" s="98"/>
    </row>
    <row r="116" spans="1:15">
      <c r="A116" s="32">
        <v>10376</v>
      </c>
      <c r="B116" s="31" t="s">
        <v>118</v>
      </c>
      <c r="C116" s="35">
        <v>0</v>
      </c>
      <c r="E116" s="32">
        <v>10376</v>
      </c>
      <c r="F116" s="31" t="s">
        <v>118</v>
      </c>
      <c r="G116" s="35">
        <v>0</v>
      </c>
      <c r="J116" s="82">
        <f>VLOOKUP(A116, TOCA_previous!$A$3:$D$137, 4, FALSE)</f>
        <v>0</v>
      </c>
      <c r="K116" s="82">
        <f>VLOOKUP(E116, TOCA_current!A113:D247, 4, FALSE)</f>
        <v>0</v>
      </c>
      <c r="L116" s="82"/>
      <c r="O116" s="98"/>
    </row>
    <row r="117" spans="1:15">
      <c r="A117" s="32">
        <v>10378</v>
      </c>
      <c r="B117" s="31" t="s">
        <v>119</v>
      </c>
      <c r="C117" s="35">
        <v>0</v>
      </c>
      <c r="E117" s="32">
        <v>10378</v>
      </c>
      <c r="F117" s="31" t="s">
        <v>119</v>
      </c>
      <c r="G117" s="35">
        <v>0</v>
      </c>
      <c r="J117" s="82">
        <f>VLOOKUP(A117, TOCA_previous!$A$3:$D$137, 4, FALSE)</f>
        <v>0</v>
      </c>
      <c r="K117" s="82">
        <f>VLOOKUP(E117, TOCA_current!A114:D248, 4, FALSE)</f>
        <v>0</v>
      </c>
      <c r="L117" s="82"/>
      <c r="O117" s="98"/>
    </row>
    <row r="118" spans="1:15">
      <c r="A118" s="32">
        <v>10379</v>
      </c>
      <c r="B118" s="31" t="s">
        <v>120</v>
      </c>
      <c r="C118" s="35">
        <v>0</v>
      </c>
      <c r="E118" s="32">
        <v>10379</v>
      </c>
      <c r="F118" s="31" t="s">
        <v>120</v>
      </c>
      <c r="G118" s="35">
        <v>0</v>
      </c>
      <c r="J118" s="82">
        <f>VLOOKUP(A118, TOCA_previous!$A$3:$D$137, 4, FALSE)</f>
        <v>0</v>
      </c>
      <c r="K118" s="82">
        <f>VLOOKUP(E118, TOCA_current!A115:D249, 4, FALSE)</f>
        <v>0</v>
      </c>
      <c r="L118" s="82"/>
      <c r="O118" s="98"/>
    </row>
    <row r="119" spans="1:15">
      <c r="A119" s="32">
        <v>10388</v>
      </c>
      <c r="B119" s="31" t="s">
        <v>121</v>
      </c>
      <c r="C119" s="35">
        <v>228772.42700000003</v>
      </c>
      <c r="E119" s="32">
        <v>10388</v>
      </c>
      <c r="F119" s="31" t="s">
        <v>121</v>
      </c>
      <c r="G119" s="35">
        <v>228772.42700000003</v>
      </c>
      <c r="J119" s="82">
        <f>VLOOKUP(A119, TOCA_previous!$A$3:$D$137, 4, FALSE)</f>
        <v>0</v>
      </c>
      <c r="K119" s="82">
        <f>VLOOKUP(E119, TOCA_current!A116:D250, 4, FALSE)</f>
        <v>0</v>
      </c>
      <c r="L119" s="82"/>
      <c r="O119" s="98"/>
    </row>
    <row r="120" spans="1:15">
      <c r="A120" s="32">
        <v>10391</v>
      </c>
      <c r="B120" s="31" t="s">
        <v>122</v>
      </c>
      <c r="C120" s="35">
        <v>44270.152999999998</v>
      </c>
      <c r="E120" s="32">
        <v>10391</v>
      </c>
      <c r="F120" s="31" t="s">
        <v>122</v>
      </c>
      <c r="G120" s="35">
        <v>44270.152999999998</v>
      </c>
      <c r="J120" s="82">
        <f>VLOOKUP(A120, TOCA_previous!$A$3:$D$137, 4, FALSE)</f>
        <v>0</v>
      </c>
      <c r="K120" s="82">
        <f>VLOOKUP(E120, TOCA_current!A117:D251, 4, FALSE)</f>
        <v>0</v>
      </c>
      <c r="L120" s="82"/>
      <c r="O120" s="98"/>
    </row>
    <row r="121" spans="1:15">
      <c r="A121" s="32">
        <v>10406</v>
      </c>
      <c r="B121" s="31" t="s">
        <v>123</v>
      </c>
      <c r="C121" s="35">
        <v>0</v>
      </c>
      <c r="E121" s="32">
        <v>10406</v>
      </c>
      <c r="F121" s="31" t="s">
        <v>123</v>
      </c>
      <c r="G121" s="35">
        <v>0</v>
      </c>
      <c r="J121" s="82">
        <f>VLOOKUP(A121, TOCA_previous!$A$3:$D$137, 4, FALSE)</f>
        <v>0</v>
      </c>
      <c r="K121" s="82">
        <f>VLOOKUP(E121, TOCA_current!A118:D252, 4, FALSE)</f>
        <v>0</v>
      </c>
      <c r="L121" s="82"/>
      <c r="O121" s="98"/>
    </row>
    <row r="122" spans="1:15">
      <c r="A122" s="32">
        <v>10408</v>
      </c>
      <c r="B122" s="31" t="s">
        <v>124</v>
      </c>
      <c r="C122" s="35">
        <v>0</v>
      </c>
      <c r="E122" s="32">
        <v>10408</v>
      </c>
      <c r="F122" s="31" t="s">
        <v>124</v>
      </c>
      <c r="G122" s="35">
        <v>0</v>
      </c>
      <c r="J122" s="82">
        <f>VLOOKUP(A122, TOCA_previous!$A$3:$D$137, 4, FALSE)</f>
        <v>0</v>
      </c>
      <c r="K122" s="82">
        <f>VLOOKUP(E122, TOCA_current!A119:D253, 4, FALSE)</f>
        <v>0</v>
      </c>
      <c r="L122" s="82"/>
      <c r="O122" s="98"/>
    </row>
    <row r="123" spans="1:15">
      <c r="A123" s="32">
        <v>10409</v>
      </c>
      <c r="B123" s="31" t="s">
        <v>125</v>
      </c>
      <c r="C123" s="35">
        <v>0</v>
      </c>
      <c r="E123" s="32">
        <v>10409</v>
      </c>
      <c r="F123" s="31" t="s">
        <v>125</v>
      </c>
      <c r="G123" s="35">
        <v>0</v>
      </c>
      <c r="J123" s="82">
        <f>VLOOKUP(A123, TOCA_previous!$A$3:$D$137, 4, FALSE)</f>
        <v>0</v>
      </c>
      <c r="K123" s="82">
        <f>VLOOKUP(E123, TOCA_current!A120:D254, 4, FALSE)</f>
        <v>0</v>
      </c>
      <c r="L123" s="82"/>
      <c r="O123" s="98"/>
    </row>
    <row r="124" spans="1:15">
      <c r="A124" s="32">
        <v>10426</v>
      </c>
      <c r="B124" s="31" t="s">
        <v>126</v>
      </c>
      <c r="C124" s="35">
        <v>0</v>
      </c>
      <c r="E124" s="32">
        <v>10426</v>
      </c>
      <c r="F124" s="31" t="s">
        <v>126</v>
      </c>
      <c r="G124" s="35">
        <v>0</v>
      </c>
      <c r="J124" s="82">
        <f>VLOOKUP(A124, TOCA_previous!$A$3:$D$137, 4, FALSE)</f>
        <v>0</v>
      </c>
      <c r="K124" s="82">
        <f>VLOOKUP(E124, TOCA_current!A121:D255, 4, FALSE)</f>
        <v>0</v>
      </c>
      <c r="L124" s="82"/>
      <c r="O124" s="98"/>
    </row>
    <row r="125" spans="1:15">
      <c r="A125" s="32">
        <v>10434</v>
      </c>
      <c r="B125" s="31" t="s">
        <v>127</v>
      </c>
      <c r="C125" s="35">
        <v>0</v>
      </c>
      <c r="E125" s="32">
        <v>10434</v>
      </c>
      <c r="F125" s="31" t="s">
        <v>127</v>
      </c>
      <c r="G125" s="35">
        <v>0</v>
      </c>
      <c r="J125" s="82">
        <f>VLOOKUP(A125, TOCA_previous!$A$3:$D$137, 4, FALSE)</f>
        <v>0</v>
      </c>
      <c r="K125" s="82">
        <f>VLOOKUP(E125, TOCA_current!A122:D256, 4, FALSE)</f>
        <v>0</v>
      </c>
      <c r="L125" s="82"/>
      <c r="O125" s="98"/>
    </row>
    <row r="126" spans="1:15">
      <c r="A126" s="32">
        <v>10436</v>
      </c>
      <c r="B126" s="31" t="s">
        <v>128</v>
      </c>
      <c r="C126" s="35">
        <v>38863.257999999994</v>
      </c>
      <c r="E126" s="32">
        <v>10436</v>
      </c>
      <c r="F126" s="31" t="s">
        <v>128</v>
      </c>
      <c r="G126" s="35">
        <v>38863.257999999994</v>
      </c>
      <c r="J126" s="82">
        <f>VLOOKUP(A126, TOCA_previous!$A$3:$D$137, 4, FALSE)</f>
        <v>0</v>
      </c>
      <c r="K126" s="82">
        <f>VLOOKUP(E126, TOCA_current!A123:D257, 4, FALSE)</f>
        <v>0</v>
      </c>
      <c r="L126" s="82"/>
      <c r="O126" s="98"/>
    </row>
    <row r="127" spans="1:15">
      <c r="A127" s="32">
        <v>10440</v>
      </c>
      <c r="B127" s="31" t="s">
        <v>129</v>
      </c>
      <c r="C127" s="35">
        <v>0</v>
      </c>
      <c r="E127" s="32">
        <v>10440</v>
      </c>
      <c r="F127" s="31" t="s">
        <v>129</v>
      </c>
      <c r="G127" s="35">
        <v>0</v>
      </c>
      <c r="J127" s="82">
        <f>VLOOKUP(A127, TOCA_previous!$A$3:$D$137, 4, FALSE)</f>
        <v>0</v>
      </c>
      <c r="K127" s="82">
        <f>VLOOKUP(E127, TOCA_current!A124:D258, 4, FALSE)</f>
        <v>0</v>
      </c>
      <c r="L127" s="82"/>
      <c r="O127" s="98"/>
    </row>
    <row r="128" spans="1:15">
      <c r="A128" s="32">
        <v>10442</v>
      </c>
      <c r="B128" s="31" t="s">
        <v>130</v>
      </c>
      <c r="C128" s="35">
        <v>9733.33</v>
      </c>
      <c r="E128" s="32">
        <v>10442</v>
      </c>
      <c r="F128" s="31" t="s">
        <v>130</v>
      </c>
      <c r="G128" s="35">
        <v>9733.33</v>
      </c>
      <c r="J128" s="82">
        <f>VLOOKUP(A128, TOCA_previous!$A$3:$D$137, 4, FALSE)</f>
        <v>0</v>
      </c>
      <c r="K128" s="82">
        <f>VLOOKUP(E128, TOCA_current!A125:D259, 4, FALSE)</f>
        <v>0</v>
      </c>
      <c r="L128" s="82"/>
      <c r="O128" s="98"/>
    </row>
    <row r="129" spans="1:15">
      <c r="A129" s="32">
        <v>10446</v>
      </c>
      <c r="B129" s="31" t="s">
        <v>131</v>
      </c>
      <c r="C129" s="35">
        <v>7171.34</v>
      </c>
      <c r="E129" s="32">
        <v>10446</v>
      </c>
      <c r="F129" s="31" t="s">
        <v>131</v>
      </c>
      <c r="G129" s="35">
        <v>7171.34</v>
      </c>
      <c r="J129" s="82">
        <f>VLOOKUP(A129, TOCA_previous!$A$3:$D$137, 4, FALSE)</f>
        <v>0</v>
      </c>
      <c r="K129" s="82">
        <f>VLOOKUP(E129, TOCA_current!A126:D260, 4, FALSE)</f>
        <v>0</v>
      </c>
      <c r="L129" s="82"/>
      <c r="O129" s="98"/>
    </row>
    <row r="130" spans="1:15">
      <c r="A130" s="32">
        <v>10448</v>
      </c>
      <c r="B130" s="31" t="s">
        <v>132</v>
      </c>
      <c r="C130" s="35">
        <v>0</v>
      </c>
      <c r="E130" s="32">
        <v>10448</v>
      </c>
      <c r="F130" s="31" t="s">
        <v>132</v>
      </c>
      <c r="G130" s="35">
        <v>0</v>
      </c>
      <c r="J130" s="82">
        <f>VLOOKUP(A130, TOCA_previous!$A$3:$D$137, 4, FALSE)</f>
        <v>1</v>
      </c>
      <c r="K130" s="82">
        <f>VLOOKUP(E130, TOCA_current!A127:D261, 4, FALSE)</f>
        <v>1</v>
      </c>
      <c r="L130" s="82"/>
      <c r="O130" s="98"/>
    </row>
    <row r="131" spans="1:15">
      <c r="A131" s="32">
        <v>10451</v>
      </c>
      <c r="B131" s="31" t="s">
        <v>133</v>
      </c>
      <c r="C131" s="35">
        <v>0</v>
      </c>
      <c r="E131" s="32">
        <v>10451</v>
      </c>
      <c r="F131" s="31" t="s">
        <v>133</v>
      </c>
      <c r="G131" s="35">
        <v>0</v>
      </c>
      <c r="J131" s="82">
        <f>VLOOKUP(A131, TOCA_previous!$A$3:$D$137, 4, FALSE)</f>
        <v>0</v>
      </c>
      <c r="K131" s="82">
        <f>VLOOKUP(E131, TOCA_current!A128:D262, 4, FALSE)</f>
        <v>0</v>
      </c>
      <c r="L131" s="82"/>
      <c r="O131" s="98"/>
    </row>
    <row r="132" spans="1:15">
      <c r="A132" s="32">
        <v>10482</v>
      </c>
      <c r="B132" s="31" t="s">
        <v>134</v>
      </c>
      <c r="C132" s="35">
        <v>0</v>
      </c>
      <c r="E132" s="32">
        <v>10482</v>
      </c>
      <c r="F132" s="31" t="s">
        <v>134</v>
      </c>
      <c r="G132" s="35">
        <v>0</v>
      </c>
      <c r="J132" s="82">
        <f>VLOOKUP(A132, TOCA_previous!$A$3:$D$137, 4, FALSE)</f>
        <v>0</v>
      </c>
      <c r="K132" s="82">
        <f>VLOOKUP(E132, TOCA_current!A129:D263, 4, FALSE)</f>
        <v>0</v>
      </c>
      <c r="L132" s="82"/>
      <c r="O132" s="98"/>
    </row>
    <row r="133" spans="1:15">
      <c r="A133" s="32">
        <v>10502</v>
      </c>
      <c r="B133" s="31" t="s">
        <v>135</v>
      </c>
      <c r="C133" s="35">
        <v>7189.6969999999992</v>
      </c>
      <c r="E133" s="32">
        <v>10502</v>
      </c>
      <c r="F133" s="31" t="s">
        <v>135</v>
      </c>
      <c r="G133" s="35">
        <v>7189.6969999999992</v>
      </c>
      <c r="J133" s="82">
        <f>VLOOKUP(A133, TOCA_previous!$A$3:$D$137, 4, FALSE)</f>
        <v>0</v>
      </c>
      <c r="K133" s="82">
        <f>VLOOKUP(E133, TOCA_current!A130:D264, 4, FALSE)</f>
        <v>0</v>
      </c>
      <c r="L133" s="82"/>
      <c r="O133" s="98"/>
    </row>
    <row r="134" spans="1:15" s="82" customFormat="1">
      <c r="A134" s="32">
        <v>13927</v>
      </c>
      <c r="B134" s="31" t="s">
        <v>238</v>
      </c>
      <c r="C134" s="35">
        <v>0</v>
      </c>
      <c r="E134" s="32">
        <v>13927</v>
      </c>
      <c r="F134" s="31" t="s">
        <v>238</v>
      </c>
      <c r="G134" s="35">
        <v>0</v>
      </c>
      <c r="J134" s="82">
        <v>0</v>
      </c>
      <c r="K134" s="82">
        <v>0</v>
      </c>
      <c r="O134" s="98"/>
    </row>
    <row r="135" spans="1:15">
      <c r="A135" s="32">
        <v>10597</v>
      </c>
      <c r="B135" s="31" t="s">
        <v>136</v>
      </c>
      <c r="C135" s="35">
        <v>0</v>
      </c>
      <c r="E135" s="32">
        <v>10597</v>
      </c>
      <c r="F135" s="31" t="s">
        <v>136</v>
      </c>
      <c r="G135" s="35">
        <v>0</v>
      </c>
      <c r="J135" s="82">
        <f>VLOOKUP(A135, TOCA_previous!$A$3:$D$137, 4, FALSE)</f>
        <v>0</v>
      </c>
      <c r="K135" s="82">
        <f>VLOOKUP(E135, TOCA_current!A131:D265, 4, FALSE)</f>
        <v>0</v>
      </c>
      <c r="L135" s="82"/>
      <c r="O135" s="98"/>
    </row>
    <row r="136" spans="1:15">
      <c r="A136" s="32">
        <v>10706</v>
      </c>
      <c r="B136" s="31" t="s">
        <v>137</v>
      </c>
      <c r="C136" s="35">
        <v>0</v>
      </c>
      <c r="E136" s="32">
        <v>10706</v>
      </c>
      <c r="F136" s="31" t="s">
        <v>137</v>
      </c>
      <c r="G136" s="35">
        <v>0</v>
      </c>
      <c r="J136" s="82">
        <f>VLOOKUP(A136, TOCA_previous!$A$3:$D$137, 4, FALSE)</f>
        <v>0</v>
      </c>
      <c r="K136" s="82">
        <f>VLOOKUP(E136, TOCA_current!A132:D266, 4, FALSE)</f>
        <v>0</v>
      </c>
      <c r="L136" s="82"/>
      <c r="O136" s="98"/>
    </row>
    <row r="137" spans="1:15">
      <c r="A137" s="32">
        <v>11680</v>
      </c>
      <c r="B137" s="31" t="s">
        <v>138</v>
      </c>
      <c r="C137" s="35">
        <v>0</v>
      </c>
      <c r="E137" s="32">
        <v>11680</v>
      </c>
      <c r="F137" s="31" t="s">
        <v>138</v>
      </c>
      <c r="G137" s="35">
        <v>0</v>
      </c>
      <c r="J137" s="82">
        <f>VLOOKUP(A137, TOCA_previous!$A$3:$D$137, 4, FALSE)</f>
        <v>0</v>
      </c>
      <c r="K137" s="82">
        <f>VLOOKUP(E137, TOCA_current!A133:D267, 4, FALSE)</f>
        <v>0</v>
      </c>
      <c r="L137" s="82"/>
      <c r="O137" s="98"/>
    </row>
    <row r="138" spans="1:15">
      <c r="A138" s="32">
        <v>12026</v>
      </c>
      <c r="B138" s="31" t="s">
        <v>139</v>
      </c>
      <c r="C138" s="35">
        <v>0</v>
      </c>
      <c r="E138" s="32">
        <v>12026</v>
      </c>
      <c r="F138" s="31" t="s">
        <v>139</v>
      </c>
      <c r="G138" s="35">
        <v>0</v>
      </c>
      <c r="J138" s="82">
        <f>VLOOKUP(A138, TOCA_previous!$A$3:$D$137, 4, FALSE)</f>
        <v>0</v>
      </c>
      <c r="K138" s="82">
        <f>VLOOKUP(E138, TOCA_current!A134:D268, 4, FALSE)</f>
        <v>0</v>
      </c>
      <c r="L138" s="82"/>
      <c r="O138" s="98"/>
    </row>
    <row r="139" spans="1:15">
      <c r="A139" s="353">
        <f>+E139</f>
        <v>10298</v>
      </c>
      <c r="B139" s="354" t="s">
        <v>140</v>
      </c>
      <c r="C139" s="355">
        <f>SUMPRODUCT(C5:C138, J5:J138)</f>
        <v>218482.31100000002</v>
      </c>
      <c r="E139" s="356">
        <v>10298</v>
      </c>
      <c r="F139" s="354" t="s">
        <v>140</v>
      </c>
      <c r="G139" s="355">
        <f>SUMPRODUCT(G5:G138, K5:K138)</f>
        <v>218482.31100000002</v>
      </c>
      <c r="J139" s="82">
        <f>VLOOKUP(A139, TOCA_previous!$A$3:$D$137, 4, FALSE)</f>
        <v>0</v>
      </c>
      <c r="K139" s="82">
        <f>VLOOKUP(E139, TOCA_current!A135:D269, 4, FALSE)</f>
        <v>0</v>
      </c>
      <c r="L139" s="82"/>
      <c r="O139" s="98"/>
    </row>
    <row r="140" spans="1:15">
      <c r="A140" s="43" t="s">
        <v>141</v>
      </c>
      <c r="B140" s="31" t="s">
        <v>141</v>
      </c>
      <c r="C140" s="34" t="s">
        <v>141</v>
      </c>
      <c r="E140" s="32" t="s">
        <v>141</v>
      </c>
      <c r="F140" s="31" t="s">
        <v>141</v>
      </c>
      <c r="G140" s="34" t="s">
        <v>141</v>
      </c>
    </row>
    <row r="141" spans="1:15">
      <c r="A141" s="32" t="s">
        <v>141</v>
      </c>
      <c r="B141" s="31" t="s">
        <v>141</v>
      </c>
      <c r="E141" s="32" t="s">
        <v>141</v>
      </c>
      <c r="F141" s="31" t="s">
        <v>141</v>
      </c>
    </row>
    <row r="142" spans="1:15">
      <c r="A142" s="32" t="s">
        <v>141</v>
      </c>
      <c r="B142" s="31" t="s">
        <v>141</v>
      </c>
      <c r="C142" s="34" t="s">
        <v>141</v>
      </c>
      <c r="E142" s="32" t="s">
        <v>141</v>
      </c>
      <c r="F142" s="31" t="s">
        <v>141</v>
      </c>
      <c r="G142" s="34" t="s">
        <v>141</v>
      </c>
    </row>
    <row r="143" spans="1:15">
      <c r="A143" s="32" t="s">
        <v>141</v>
      </c>
      <c r="B143" s="31" t="s">
        <v>141</v>
      </c>
      <c r="C143" s="34" t="s">
        <v>141</v>
      </c>
      <c r="E143" s="32" t="s">
        <v>141</v>
      </c>
      <c r="F143" s="31" t="s">
        <v>141</v>
      </c>
      <c r="G143" s="34" t="s">
        <v>141</v>
      </c>
    </row>
    <row r="144" spans="1:15">
      <c r="A144" s="32" t="s">
        <v>141</v>
      </c>
      <c r="B144" s="31" t="s">
        <v>141</v>
      </c>
      <c r="C144" s="34" t="s">
        <v>141</v>
      </c>
      <c r="E144" s="32" t="s">
        <v>141</v>
      </c>
      <c r="F144" s="31" t="s">
        <v>141</v>
      </c>
      <c r="G144" s="34" t="s">
        <v>141</v>
      </c>
    </row>
    <row r="145" spans="1:7">
      <c r="A145" s="32" t="s">
        <v>141</v>
      </c>
      <c r="B145" s="31" t="s">
        <v>141</v>
      </c>
      <c r="C145" s="34" t="s">
        <v>141</v>
      </c>
      <c r="E145" s="32" t="s">
        <v>141</v>
      </c>
      <c r="F145" s="31" t="s">
        <v>141</v>
      </c>
      <c r="G145" s="34" t="s">
        <v>141</v>
      </c>
    </row>
    <row r="146" spans="1:7">
      <c r="A146" s="32" t="s">
        <v>141</v>
      </c>
      <c r="B146" s="31" t="s">
        <v>141</v>
      </c>
      <c r="C146" s="34" t="s">
        <v>141</v>
      </c>
      <c r="E146" s="32" t="s">
        <v>141</v>
      </c>
      <c r="F146" s="31" t="s">
        <v>141</v>
      </c>
      <c r="G146" s="34" t="s">
        <v>141</v>
      </c>
    </row>
    <row r="147" spans="1:7">
      <c r="A147" s="32" t="s">
        <v>141</v>
      </c>
      <c r="B147" s="31" t="s">
        <v>141</v>
      </c>
      <c r="C147" s="34" t="s">
        <v>141</v>
      </c>
      <c r="E147" s="32" t="s">
        <v>141</v>
      </c>
      <c r="F147" s="31" t="s">
        <v>141</v>
      </c>
      <c r="G147" s="34" t="s">
        <v>141</v>
      </c>
    </row>
    <row r="148" spans="1:7">
      <c r="A148" s="32" t="s">
        <v>141</v>
      </c>
      <c r="B148" s="31" t="s">
        <v>141</v>
      </c>
      <c r="C148" s="34" t="s">
        <v>141</v>
      </c>
      <c r="E148" s="32" t="s">
        <v>141</v>
      </c>
      <c r="F148" s="31" t="s">
        <v>141</v>
      </c>
      <c r="G148" s="34" t="s">
        <v>141</v>
      </c>
    </row>
    <row r="149" spans="1:7">
      <c r="A149" s="32" t="s">
        <v>141</v>
      </c>
      <c r="B149" s="31" t="s">
        <v>141</v>
      </c>
      <c r="C149" s="34" t="s">
        <v>141</v>
      </c>
      <c r="E149" s="32" t="s">
        <v>141</v>
      </c>
      <c r="F149" s="31" t="s">
        <v>141</v>
      </c>
      <c r="G149" s="34" t="s">
        <v>141</v>
      </c>
    </row>
    <row r="150" spans="1:7">
      <c r="A150" s="32" t="s">
        <v>141</v>
      </c>
      <c r="B150" s="31" t="s">
        <v>141</v>
      </c>
      <c r="C150" s="34" t="s">
        <v>141</v>
      </c>
      <c r="E150" s="32" t="s">
        <v>141</v>
      </c>
      <c r="F150" s="31" t="s">
        <v>141</v>
      </c>
      <c r="G150" s="34" t="s">
        <v>141</v>
      </c>
    </row>
    <row r="151" spans="1:7">
      <c r="A151" s="32" t="s">
        <v>141</v>
      </c>
      <c r="B151" s="31" t="s">
        <v>141</v>
      </c>
      <c r="C151" s="34" t="s">
        <v>141</v>
      </c>
      <c r="E151" s="32" t="s">
        <v>141</v>
      </c>
      <c r="F151" s="31" t="s">
        <v>141</v>
      </c>
      <c r="G151" s="34" t="s">
        <v>141</v>
      </c>
    </row>
    <row r="152" spans="1:7">
      <c r="A152" s="32" t="s">
        <v>141</v>
      </c>
      <c r="B152" s="31" t="s">
        <v>141</v>
      </c>
      <c r="C152" s="34" t="s">
        <v>141</v>
      </c>
      <c r="E152" s="32" t="s">
        <v>141</v>
      </c>
      <c r="F152" s="31" t="s">
        <v>141</v>
      </c>
      <c r="G152" s="34" t="s">
        <v>141</v>
      </c>
    </row>
    <row r="153" spans="1:7">
      <c r="A153" s="32" t="s">
        <v>141</v>
      </c>
      <c r="B153" s="31" t="s">
        <v>141</v>
      </c>
      <c r="C153" s="34" t="s">
        <v>141</v>
      </c>
      <c r="E153" s="32" t="s">
        <v>141</v>
      </c>
      <c r="F153" s="31" t="s">
        <v>141</v>
      </c>
      <c r="G153" s="34" t="s">
        <v>141</v>
      </c>
    </row>
    <row r="154" spans="1:7">
      <c r="A154" s="32" t="s">
        <v>141</v>
      </c>
      <c r="B154" s="31" t="s">
        <v>141</v>
      </c>
      <c r="C154" s="34" t="s">
        <v>141</v>
      </c>
      <c r="E154" s="32" t="s">
        <v>141</v>
      </c>
      <c r="F154" s="31" t="s">
        <v>141</v>
      </c>
      <c r="G154" s="34" t="s">
        <v>141</v>
      </c>
    </row>
    <row r="155" spans="1:7">
      <c r="A155" s="32" t="s">
        <v>141</v>
      </c>
      <c r="B155" s="31" t="s">
        <v>141</v>
      </c>
      <c r="C155" s="34" t="s">
        <v>141</v>
      </c>
      <c r="E155" s="32" t="s">
        <v>141</v>
      </c>
      <c r="F155" s="31" t="s">
        <v>141</v>
      </c>
      <c r="G155" s="34" t="s">
        <v>141</v>
      </c>
    </row>
    <row r="156" spans="1:7">
      <c r="A156" s="32" t="s">
        <v>141</v>
      </c>
      <c r="B156" s="31" t="s">
        <v>141</v>
      </c>
      <c r="C156" s="34" t="s">
        <v>141</v>
      </c>
      <c r="E156" s="32" t="s">
        <v>141</v>
      </c>
      <c r="F156" s="31" t="s">
        <v>141</v>
      </c>
      <c r="G156" s="34" t="s">
        <v>141</v>
      </c>
    </row>
    <row r="157" spans="1:7">
      <c r="A157" s="32" t="s">
        <v>141</v>
      </c>
      <c r="B157" s="31" t="s">
        <v>141</v>
      </c>
      <c r="C157" s="34" t="s">
        <v>141</v>
      </c>
      <c r="E157" s="32" t="s">
        <v>141</v>
      </c>
      <c r="F157" s="31" t="s">
        <v>141</v>
      </c>
      <c r="G157" s="34" t="s">
        <v>141</v>
      </c>
    </row>
    <row r="158" spans="1:7">
      <c r="A158" s="32" t="s">
        <v>141</v>
      </c>
      <c r="B158" s="31" t="s">
        <v>141</v>
      </c>
      <c r="C158" s="34" t="s">
        <v>141</v>
      </c>
      <c r="E158" s="32" t="s">
        <v>141</v>
      </c>
      <c r="F158" s="31" t="s">
        <v>141</v>
      </c>
      <c r="G158" s="34" t="s">
        <v>141</v>
      </c>
    </row>
    <row r="159" spans="1:7">
      <c r="A159" s="32" t="s">
        <v>141</v>
      </c>
      <c r="B159" s="31" t="s">
        <v>141</v>
      </c>
      <c r="C159" s="34" t="s">
        <v>141</v>
      </c>
      <c r="E159" s="32" t="s">
        <v>141</v>
      </c>
      <c r="F159" s="31" t="s">
        <v>141</v>
      </c>
      <c r="G159" s="34" t="s">
        <v>141</v>
      </c>
    </row>
    <row r="160" spans="1:7">
      <c r="A160" s="32" t="s">
        <v>141</v>
      </c>
      <c r="B160" s="31" t="s">
        <v>141</v>
      </c>
      <c r="C160" s="34" t="s">
        <v>141</v>
      </c>
      <c r="E160" s="32" t="s">
        <v>141</v>
      </c>
      <c r="F160" s="31" t="s">
        <v>141</v>
      </c>
      <c r="G160" s="34" t="s">
        <v>141</v>
      </c>
    </row>
    <row r="161" spans="1:7">
      <c r="A161" s="32" t="s">
        <v>141</v>
      </c>
      <c r="B161" s="31" t="s">
        <v>141</v>
      </c>
      <c r="C161" s="34" t="s">
        <v>141</v>
      </c>
      <c r="E161" s="32" t="s">
        <v>141</v>
      </c>
      <c r="F161" s="31" t="s">
        <v>141</v>
      </c>
      <c r="G161" s="34" t="s">
        <v>141</v>
      </c>
    </row>
    <row r="162" spans="1:7">
      <c r="A162" s="32" t="s">
        <v>141</v>
      </c>
      <c r="B162" s="31" t="s">
        <v>141</v>
      </c>
      <c r="C162" s="34" t="s">
        <v>141</v>
      </c>
      <c r="E162" s="32" t="s">
        <v>141</v>
      </c>
      <c r="F162" s="31" t="s">
        <v>141</v>
      </c>
      <c r="G162" s="34" t="s">
        <v>141</v>
      </c>
    </row>
    <row r="163" spans="1:7">
      <c r="A163" s="32" t="s">
        <v>141</v>
      </c>
      <c r="B163" s="31" t="s">
        <v>141</v>
      </c>
      <c r="C163" s="34" t="s">
        <v>141</v>
      </c>
      <c r="E163" s="32" t="s">
        <v>141</v>
      </c>
      <c r="F163" s="31" t="s">
        <v>141</v>
      </c>
      <c r="G163" s="34" t="s">
        <v>141</v>
      </c>
    </row>
    <row r="164" spans="1:7">
      <c r="A164" s="32" t="s">
        <v>141</v>
      </c>
      <c r="B164" s="31" t="s">
        <v>141</v>
      </c>
      <c r="C164" s="34" t="s">
        <v>141</v>
      </c>
      <c r="E164" s="32" t="s">
        <v>141</v>
      </c>
      <c r="F164" s="31" t="s">
        <v>141</v>
      </c>
      <c r="G164" s="34" t="s">
        <v>141</v>
      </c>
    </row>
    <row r="165" spans="1:7">
      <c r="A165" s="32" t="s">
        <v>141</v>
      </c>
      <c r="B165" s="31" t="s">
        <v>141</v>
      </c>
      <c r="C165" s="34" t="s">
        <v>141</v>
      </c>
      <c r="E165" s="32" t="s">
        <v>141</v>
      </c>
      <c r="F165" s="31" t="s">
        <v>141</v>
      </c>
      <c r="G165" s="34" t="s">
        <v>141</v>
      </c>
    </row>
    <row r="166" spans="1:7">
      <c r="A166" s="32" t="s">
        <v>141</v>
      </c>
      <c r="B166" s="31" t="s">
        <v>141</v>
      </c>
      <c r="C166" s="34" t="s">
        <v>141</v>
      </c>
      <c r="E166" s="32" t="s">
        <v>141</v>
      </c>
      <c r="F166" s="31" t="s">
        <v>141</v>
      </c>
      <c r="G166" s="34" t="s">
        <v>141</v>
      </c>
    </row>
    <row r="167" spans="1:7">
      <c r="A167" s="32" t="s">
        <v>141</v>
      </c>
      <c r="B167" s="31" t="s">
        <v>141</v>
      </c>
      <c r="C167" s="34" t="s">
        <v>141</v>
      </c>
      <c r="E167" s="32" t="s">
        <v>141</v>
      </c>
      <c r="F167" s="31" t="s">
        <v>141</v>
      </c>
      <c r="G167" s="34" t="s">
        <v>141</v>
      </c>
    </row>
    <row r="168" spans="1:7">
      <c r="A168" s="32" t="s">
        <v>141</v>
      </c>
      <c r="B168" s="31" t="s">
        <v>141</v>
      </c>
      <c r="C168" s="34" t="s">
        <v>141</v>
      </c>
      <c r="E168" s="32" t="s">
        <v>141</v>
      </c>
      <c r="F168" s="31" t="s">
        <v>141</v>
      </c>
      <c r="G168" s="34" t="s">
        <v>141</v>
      </c>
    </row>
    <row r="169" spans="1:7">
      <c r="A169" s="32" t="s">
        <v>141</v>
      </c>
      <c r="B169" s="31" t="s">
        <v>141</v>
      </c>
      <c r="C169" s="34" t="s">
        <v>141</v>
      </c>
      <c r="E169" s="32" t="s">
        <v>141</v>
      </c>
      <c r="F169" s="31" t="s">
        <v>141</v>
      </c>
      <c r="G169" s="34" t="s">
        <v>141</v>
      </c>
    </row>
    <row r="170" spans="1:7">
      <c r="A170" s="32" t="s">
        <v>141</v>
      </c>
      <c r="B170" s="31" t="s">
        <v>141</v>
      </c>
      <c r="C170" s="34" t="s">
        <v>141</v>
      </c>
      <c r="E170" s="32" t="s">
        <v>141</v>
      </c>
      <c r="F170" s="31" t="s">
        <v>141</v>
      </c>
      <c r="G170" s="34" t="s">
        <v>141</v>
      </c>
    </row>
    <row r="171" spans="1:7">
      <c r="A171" s="32" t="s">
        <v>141</v>
      </c>
      <c r="B171" s="31" t="s">
        <v>141</v>
      </c>
      <c r="C171" s="34" t="s">
        <v>141</v>
      </c>
      <c r="E171" s="32" t="s">
        <v>141</v>
      </c>
      <c r="F171" s="31" t="s">
        <v>141</v>
      </c>
      <c r="G171" s="34" t="s">
        <v>141</v>
      </c>
    </row>
    <row r="172" spans="1:7">
      <c r="A172" s="32" t="s">
        <v>141</v>
      </c>
      <c r="B172" s="31" t="s">
        <v>141</v>
      </c>
      <c r="C172" s="34" t="s">
        <v>141</v>
      </c>
      <c r="E172" s="32" t="s">
        <v>141</v>
      </c>
      <c r="F172" s="31" t="s">
        <v>141</v>
      </c>
      <c r="G172" s="34" t="s">
        <v>141</v>
      </c>
    </row>
    <row r="173" spans="1:7">
      <c r="A173" s="32" t="s">
        <v>141</v>
      </c>
      <c r="B173" s="31" t="s">
        <v>141</v>
      </c>
      <c r="C173" s="34" t="s">
        <v>141</v>
      </c>
      <c r="E173" s="32" t="s">
        <v>141</v>
      </c>
      <c r="F173" s="31" t="s">
        <v>141</v>
      </c>
      <c r="G173" s="34" t="s">
        <v>141</v>
      </c>
    </row>
    <row r="174" spans="1:7">
      <c r="A174" s="32" t="s">
        <v>141</v>
      </c>
      <c r="B174" s="31" t="s">
        <v>141</v>
      </c>
      <c r="C174" s="34" t="s">
        <v>141</v>
      </c>
      <c r="E174" s="32" t="s">
        <v>141</v>
      </c>
      <c r="F174" s="31" t="s">
        <v>141</v>
      </c>
      <c r="G174" s="34" t="s">
        <v>141</v>
      </c>
    </row>
    <row r="175" spans="1:7">
      <c r="A175" s="32" t="s">
        <v>141</v>
      </c>
      <c r="B175" s="31" t="s">
        <v>141</v>
      </c>
      <c r="C175" s="34" t="s">
        <v>141</v>
      </c>
      <c r="E175" s="32" t="s">
        <v>141</v>
      </c>
      <c r="F175" s="31" t="s">
        <v>141</v>
      </c>
      <c r="G175" s="34" t="s">
        <v>141</v>
      </c>
    </row>
    <row r="176" spans="1:7">
      <c r="A176" s="32" t="s">
        <v>141</v>
      </c>
      <c r="B176" s="31" t="s">
        <v>141</v>
      </c>
      <c r="C176" s="34" t="s">
        <v>141</v>
      </c>
      <c r="E176" s="32" t="s">
        <v>141</v>
      </c>
      <c r="F176" s="31" t="s">
        <v>141</v>
      </c>
      <c r="G176" s="34" t="s">
        <v>141</v>
      </c>
    </row>
    <row r="177" spans="1:7">
      <c r="A177" s="32" t="s">
        <v>141</v>
      </c>
      <c r="B177" s="31" t="s">
        <v>141</v>
      </c>
      <c r="C177" s="34" t="s">
        <v>141</v>
      </c>
      <c r="E177" s="32" t="s">
        <v>141</v>
      </c>
      <c r="F177" s="31" t="s">
        <v>141</v>
      </c>
      <c r="G177" s="34" t="s">
        <v>141</v>
      </c>
    </row>
    <row r="178" spans="1:7">
      <c r="A178" s="32" t="s">
        <v>141</v>
      </c>
      <c r="B178" s="31" t="s">
        <v>141</v>
      </c>
      <c r="C178" s="34" t="s">
        <v>141</v>
      </c>
      <c r="E178" s="32" t="s">
        <v>141</v>
      </c>
      <c r="F178" s="31" t="s">
        <v>141</v>
      </c>
      <c r="G178" s="34" t="s">
        <v>141</v>
      </c>
    </row>
    <row r="179" spans="1:7">
      <c r="A179" s="32" t="s">
        <v>141</v>
      </c>
      <c r="B179" s="31" t="s">
        <v>141</v>
      </c>
      <c r="C179" s="34" t="s">
        <v>141</v>
      </c>
      <c r="E179" s="32" t="s">
        <v>141</v>
      </c>
      <c r="F179" s="31" t="s">
        <v>141</v>
      </c>
      <c r="G179" s="34" t="s">
        <v>141</v>
      </c>
    </row>
    <row r="180" spans="1:7">
      <c r="A180" s="32" t="s">
        <v>141</v>
      </c>
      <c r="B180" s="31" t="s">
        <v>141</v>
      </c>
      <c r="C180" s="34" t="s">
        <v>141</v>
      </c>
      <c r="E180" s="32" t="s">
        <v>141</v>
      </c>
      <c r="F180" s="31" t="s">
        <v>141</v>
      </c>
      <c r="G180" s="34" t="s">
        <v>141</v>
      </c>
    </row>
    <row r="181" spans="1:7">
      <c r="A181" s="32" t="s">
        <v>141</v>
      </c>
      <c r="B181" s="31" t="s">
        <v>141</v>
      </c>
      <c r="C181" s="34" t="s">
        <v>141</v>
      </c>
      <c r="E181" s="32" t="s">
        <v>141</v>
      </c>
      <c r="F181" s="31" t="s">
        <v>141</v>
      </c>
      <c r="G181" s="34" t="s">
        <v>141</v>
      </c>
    </row>
    <row r="182" spans="1:7">
      <c r="A182" s="32" t="s">
        <v>141</v>
      </c>
      <c r="B182" s="31" t="s">
        <v>141</v>
      </c>
      <c r="C182" s="34" t="s">
        <v>141</v>
      </c>
      <c r="E182" s="32" t="s">
        <v>141</v>
      </c>
      <c r="F182" s="31" t="s">
        <v>141</v>
      </c>
      <c r="G182" s="34" t="s">
        <v>141</v>
      </c>
    </row>
    <row r="183" spans="1:7">
      <c r="A183" s="32" t="s">
        <v>141</v>
      </c>
      <c r="B183" s="31" t="s">
        <v>141</v>
      </c>
      <c r="C183" s="34" t="s">
        <v>141</v>
      </c>
      <c r="E183" s="32" t="s">
        <v>141</v>
      </c>
      <c r="F183" s="31" t="s">
        <v>141</v>
      </c>
      <c r="G183" s="34" t="s">
        <v>141</v>
      </c>
    </row>
    <row r="184" spans="1:7">
      <c r="A184" s="32" t="s">
        <v>141</v>
      </c>
      <c r="B184" s="31" t="s">
        <v>141</v>
      </c>
      <c r="C184" s="34" t="s">
        <v>141</v>
      </c>
      <c r="E184" s="32" t="s">
        <v>141</v>
      </c>
      <c r="F184" s="31" t="s">
        <v>141</v>
      </c>
      <c r="G184" s="34" t="s">
        <v>141</v>
      </c>
    </row>
    <row r="185" spans="1:7">
      <c r="A185" s="32" t="s">
        <v>141</v>
      </c>
      <c r="B185" s="31" t="s">
        <v>141</v>
      </c>
      <c r="C185" s="34" t="s">
        <v>141</v>
      </c>
      <c r="E185" s="32" t="s">
        <v>141</v>
      </c>
      <c r="F185" s="31" t="s">
        <v>141</v>
      </c>
      <c r="G185" s="34" t="s">
        <v>141</v>
      </c>
    </row>
    <row r="186" spans="1:7">
      <c r="A186" s="32" t="s">
        <v>141</v>
      </c>
      <c r="B186" s="31" t="s">
        <v>141</v>
      </c>
      <c r="C186" s="34" t="s">
        <v>141</v>
      </c>
      <c r="E186" s="32" t="s">
        <v>141</v>
      </c>
      <c r="F186" s="31" t="s">
        <v>141</v>
      </c>
      <c r="G186" s="34" t="s">
        <v>141</v>
      </c>
    </row>
    <row r="187" spans="1:7">
      <c r="A187" s="32" t="s">
        <v>141</v>
      </c>
      <c r="B187" s="31" t="s">
        <v>141</v>
      </c>
      <c r="C187" s="34" t="s">
        <v>141</v>
      </c>
      <c r="E187" s="32" t="s">
        <v>141</v>
      </c>
      <c r="F187" s="31" t="s">
        <v>141</v>
      </c>
      <c r="G187" s="34" t="s">
        <v>141</v>
      </c>
    </row>
    <row r="188" spans="1:7">
      <c r="A188" s="32" t="s">
        <v>141</v>
      </c>
      <c r="B188" s="31" t="s">
        <v>141</v>
      </c>
      <c r="C188" s="34" t="s">
        <v>141</v>
      </c>
      <c r="E188" s="32" t="s">
        <v>141</v>
      </c>
      <c r="F188" s="31" t="s">
        <v>141</v>
      </c>
      <c r="G188" s="34" t="s">
        <v>141</v>
      </c>
    </row>
    <row r="189" spans="1:7">
      <c r="A189" s="32" t="s">
        <v>141</v>
      </c>
      <c r="B189" s="31" t="s">
        <v>141</v>
      </c>
      <c r="C189" s="34" t="s">
        <v>141</v>
      </c>
      <c r="E189" s="32" t="s">
        <v>141</v>
      </c>
      <c r="F189" s="31" t="s">
        <v>141</v>
      </c>
      <c r="G189" s="34" t="s">
        <v>141</v>
      </c>
    </row>
    <row r="190" spans="1:7">
      <c r="A190" s="32" t="s">
        <v>141</v>
      </c>
      <c r="B190" s="31" t="s">
        <v>141</v>
      </c>
      <c r="C190" s="34" t="s">
        <v>141</v>
      </c>
      <c r="E190" s="32" t="s">
        <v>141</v>
      </c>
      <c r="F190" s="31" t="s">
        <v>141</v>
      </c>
      <c r="G190" s="34" t="s">
        <v>141</v>
      </c>
    </row>
    <row r="191" spans="1:7">
      <c r="A191" s="32" t="s">
        <v>141</v>
      </c>
      <c r="B191" s="31" t="s">
        <v>141</v>
      </c>
      <c r="C191" s="34" t="s">
        <v>141</v>
      </c>
      <c r="E191" s="32" t="s">
        <v>141</v>
      </c>
      <c r="F191" s="31" t="s">
        <v>141</v>
      </c>
      <c r="G191" s="34" t="s">
        <v>141</v>
      </c>
    </row>
    <row r="192" spans="1:7">
      <c r="A192" s="32" t="s">
        <v>141</v>
      </c>
      <c r="B192" s="31" t="s">
        <v>141</v>
      </c>
      <c r="C192" s="34" t="s">
        <v>141</v>
      </c>
      <c r="E192" s="32" t="s">
        <v>141</v>
      </c>
      <c r="F192" s="31" t="s">
        <v>141</v>
      </c>
      <c r="G192" s="34" t="s">
        <v>141</v>
      </c>
    </row>
    <row r="193" spans="1:7">
      <c r="A193" s="32" t="s">
        <v>141</v>
      </c>
      <c r="B193" s="31" t="s">
        <v>141</v>
      </c>
      <c r="C193" s="34" t="s">
        <v>141</v>
      </c>
      <c r="E193" s="32" t="s">
        <v>141</v>
      </c>
      <c r="F193" s="31" t="s">
        <v>141</v>
      </c>
      <c r="G193" s="34" t="s">
        <v>141</v>
      </c>
    </row>
    <row r="194" spans="1:7">
      <c r="A194" s="32" t="s">
        <v>141</v>
      </c>
      <c r="B194" s="31" t="s">
        <v>141</v>
      </c>
      <c r="C194" s="34" t="s">
        <v>141</v>
      </c>
      <c r="E194" s="32" t="s">
        <v>141</v>
      </c>
      <c r="F194" s="31" t="s">
        <v>141</v>
      </c>
      <c r="G194" s="34" t="s">
        <v>141</v>
      </c>
    </row>
    <row r="195" spans="1:7">
      <c r="A195" s="32" t="s">
        <v>141</v>
      </c>
      <c r="B195" s="31" t="s">
        <v>141</v>
      </c>
      <c r="C195" s="34" t="s">
        <v>141</v>
      </c>
      <c r="E195" s="32" t="s">
        <v>141</v>
      </c>
      <c r="F195" s="31" t="s">
        <v>141</v>
      </c>
      <c r="G195" s="34" t="s">
        <v>141</v>
      </c>
    </row>
    <row r="196" spans="1:7">
      <c r="A196" s="32" t="s">
        <v>141</v>
      </c>
      <c r="B196" s="31" t="s">
        <v>141</v>
      </c>
      <c r="C196" s="34" t="s">
        <v>141</v>
      </c>
      <c r="E196" s="32" t="s">
        <v>141</v>
      </c>
      <c r="F196" s="31" t="s">
        <v>141</v>
      </c>
      <c r="G196" s="34" t="s">
        <v>141</v>
      </c>
    </row>
    <row r="197" spans="1:7">
      <c r="A197" s="32" t="s">
        <v>141</v>
      </c>
      <c r="B197" s="31" t="s">
        <v>141</v>
      </c>
      <c r="C197" s="34" t="s">
        <v>141</v>
      </c>
      <c r="E197" s="32" t="s">
        <v>141</v>
      </c>
      <c r="F197" s="31" t="s">
        <v>141</v>
      </c>
      <c r="G197" s="34" t="s">
        <v>141</v>
      </c>
    </row>
    <row r="198" spans="1:7">
      <c r="A198" s="32" t="s">
        <v>141</v>
      </c>
      <c r="B198" s="31" t="s">
        <v>141</v>
      </c>
      <c r="C198" s="34" t="s">
        <v>141</v>
      </c>
      <c r="E198" s="32" t="s">
        <v>141</v>
      </c>
      <c r="F198" s="31" t="s">
        <v>141</v>
      </c>
      <c r="G198" s="34" t="s">
        <v>141</v>
      </c>
    </row>
    <row r="199" spans="1:7">
      <c r="A199" s="32" t="s">
        <v>141</v>
      </c>
      <c r="B199" s="31" t="s">
        <v>141</v>
      </c>
      <c r="C199" s="34" t="s">
        <v>141</v>
      </c>
      <c r="E199" s="32" t="s">
        <v>141</v>
      </c>
      <c r="F199" s="31" t="s">
        <v>141</v>
      </c>
      <c r="G199" s="34" t="s">
        <v>141</v>
      </c>
    </row>
    <row r="200" spans="1:7">
      <c r="A200" s="32" t="s">
        <v>141</v>
      </c>
      <c r="B200" s="31" t="s">
        <v>141</v>
      </c>
      <c r="C200" s="34" t="s">
        <v>141</v>
      </c>
      <c r="E200" s="32" t="s">
        <v>141</v>
      </c>
      <c r="F200" s="31" t="s">
        <v>141</v>
      </c>
      <c r="G200" s="34" t="s">
        <v>141</v>
      </c>
    </row>
    <row r="201" spans="1:7">
      <c r="A201" s="32" t="s">
        <v>141</v>
      </c>
      <c r="B201" s="31" t="s">
        <v>141</v>
      </c>
      <c r="C201" s="34" t="s">
        <v>141</v>
      </c>
      <c r="E201" s="32" t="s">
        <v>141</v>
      </c>
      <c r="F201" s="31" t="s">
        <v>141</v>
      </c>
      <c r="G201" s="34" t="s">
        <v>141</v>
      </c>
    </row>
    <row r="202" spans="1:7">
      <c r="A202" s="32" t="s">
        <v>141</v>
      </c>
      <c r="B202" s="31" t="s">
        <v>141</v>
      </c>
      <c r="C202" s="34" t="s">
        <v>141</v>
      </c>
      <c r="E202" s="32" t="s">
        <v>141</v>
      </c>
      <c r="F202" s="31" t="s">
        <v>141</v>
      </c>
      <c r="G202" s="34" t="s">
        <v>141</v>
      </c>
    </row>
    <row r="203" spans="1:7">
      <c r="A203" s="32" t="s">
        <v>141</v>
      </c>
      <c r="B203" s="31" t="s">
        <v>141</v>
      </c>
      <c r="C203" s="34" t="s">
        <v>141</v>
      </c>
      <c r="E203" s="32" t="s">
        <v>141</v>
      </c>
      <c r="F203" s="31" t="s">
        <v>141</v>
      </c>
      <c r="G203" s="34" t="s">
        <v>141</v>
      </c>
    </row>
    <row r="204" spans="1:7">
      <c r="A204" s="32" t="s">
        <v>141</v>
      </c>
      <c r="B204" s="31" t="s">
        <v>141</v>
      </c>
      <c r="C204" s="34" t="s">
        <v>141</v>
      </c>
      <c r="E204" s="32" t="s">
        <v>141</v>
      </c>
      <c r="F204" s="31" t="s">
        <v>141</v>
      </c>
      <c r="G204" s="34" t="s">
        <v>141</v>
      </c>
    </row>
    <row r="205" spans="1:7">
      <c r="A205" s="32" t="s">
        <v>141</v>
      </c>
      <c r="B205" s="31" t="s">
        <v>141</v>
      </c>
      <c r="C205" s="34" t="s">
        <v>141</v>
      </c>
      <c r="E205" s="32" t="s">
        <v>141</v>
      </c>
      <c r="F205" s="31" t="s">
        <v>141</v>
      </c>
      <c r="G205" s="34" t="s">
        <v>141</v>
      </c>
    </row>
    <row r="206" spans="1:7">
      <c r="A206" s="32" t="s">
        <v>141</v>
      </c>
      <c r="B206" s="31" t="s">
        <v>141</v>
      </c>
      <c r="C206" s="34" t="s">
        <v>141</v>
      </c>
      <c r="E206" s="32" t="s">
        <v>141</v>
      </c>
      <c r="F206" s="31" t="s">
        <v>141</v>
      </c>
      <c r="G206" s="34" t="s">
        <v>141</v>
      </c>
    </row>
    <row r="207" spans="1:7">
      <c r="A207" s="32" t="s">
        <v>141</v>
      </c>
      <c r="B207" s="31" t="s">
        <v>141</v>
      </c>
      <c r="C207" s="34" t="s">
        <v>141</v>
      </c>
      <c r="E207" s="32" t="s">
        <v>141</v>
      </c>
      <c r="F207" s="31" t="s">
        <v>141</v>
      </c>
      <c r="G207" s="34" t="s">
        <v>141</v>
      </c>
    </row>
    <row r="208" spans="1:7">
      <c r="A208" s="32" t="s">
        <v>141</v>
      </c>
      <c r="B208" s="31" t="s">
        <v>141</v>
      </c>
      <c r="C208" s="34" t="s">
        <v>141</v>
      </c>
      <c r="E208" s="32" t="s">
        <v>141</v>
      </c>
      <c r="F208" s="31" t="s">
        <v>141</v>
      </c>
      <c r="G208" s="34" t="s">
        <v>141</v>
      </c>
    </row>
    <row r="209" spans="1:7">
      <c r="A209" s="32" t="s">
        <v>141</v>
      </c>
      <c r="B209" s="31" t="s">
        <v>141</v>
      </c>
      <c r="C209" s="34" t="s">
        <v>141</v>
      </c>
      <c r="E209" s="32" t="s">
        <v>141</v>
      </c>
      <c r="F209" s="31" t="s">
        <v>141</v>
      </c>
      <c r="G209" s="34" t="s">
        <v>141</v>
      </c>
    </row>
    <row r="210" spans="1:7">
      <c r="A210" s="32" t="s">
        <v>141</v>
      </c>
      <c r="B210" s="31" t="s">
        <v>141</v>
      </c>
      <c r="C210" s="34" t="s">
        <v>141</v>
      </c>
      <c r="E210" s="32" t="s">
        <v>141</v>
      </c>
      <c r="F210" s="31" t="s">
        <v>141</v>
      </c>
      <c r="G210" s="34" t="s">
        <v>141</v>
      </c>
    </row>
    <row r="211" spans="1:7">
      <c r="A211" s="32" t="s">
        <v>141</v>
      </c>
      <c r="B211" s="31" t="s">
        <v>141</v>
      </c>
      <c r="C211" s="34" t="s">
        <v>141</v>
      </c>
      <c r="E211" s="32" t="s">
        <v>141</v>
      </c>
      <c r="F211" s="31" t="s">
        <v>141</v>
      </c>
      <c r="G211" s="34" t="s">
        <v>141</v>
      </c>
    </row>
    <row r="212" spans="1:7">
      <c r="A212" s="32" t="s">
        <v>141</v>
      </c>
      <c r="B212" s="31" t="s">
        <v>141</v>
      </c>
      <c r="C212" s="34" t="s">
        <v>141</v>
      </c>
      <c r="E212" s="32" t="s">
        <v>141</v>
      </c>
      <c r="F212" s="31" t="s">
        <v>141</v>
      </c>
      <c r="G212" s="34" t="s">
        <v>141</v>
      </c>
    </row>
    <row r="213" spans="1:7">
      <c r="A213" s="32" t="s">
        <v>141</v>
      </c>
      <c r="B213" s="31" t="s">
        <v>141</v>
      </c>
      <c r="C213" s="34" t="s">
        <v>141</v>
      </c>
      <c r="E213" s="32" t="s">
        <v>141</v>
      </c>
      <c r="F213" s="31" t="s">
        <v>141</v>
      </c>
      <c r="G213" s="34" t="s">
        <v>141</v>
      </c>
    </row>
    <row r="214" spans="1:7">
      <c r="A214" s="32" t="s">
        <v>141</v>
      </c>
      <c r="B214" s="31" t="s">
        <v>141</v>
      </c>
      <c r="C214" s="34" t="s">
        <v>141</v>
      </c>
      <c r="E214" s="32" t="s">
        <v>141</v>
      </c>
      <c r="F214" s="31" t="s">
        <v>141</v>
      </c>
      <c r="G214" s="34" t="s">
        <v>141</v>
      </c>
    </row>
    <row r="215" spans="1:7">
      <c r="A215" s="32" t="s">
        <v>141</v>
      </c>
      <c r="B215" s="31" t="s">
        <v>141</v>
      </c>
      <c r="C215" s="34" t="s">
        <v>141</v>
      </c>
      <c r="E215" s="32" t="s">
        <v>141</v>
      </c>
      <c r="F215" s="31" t="s">
        <v>141</v>
      </c>
      <c r="G215" s="34" t="s">
        <v>141</v>
      </c>
    </row>
    <row r="216" spans="1:7">
      <c r="A216" s="32" t="s">
        <v>141</v>
      </c>
      <c r="B216" s="31" t="s">
        <v>141</v>
      </c>
      <c r="C216" s="34" t="s">
        <v>141</v>
      </c>
      <c r="E216" s="32" t="s">
        <v>141</v>
      </c>
      <c r="F216" s="31" t="s">
        <v>141</v>
      </c>
      <c r="G216" s="34" t="s">
        <v>141</v>
      </c>
    </row>
    <row r="217" spans="1:7">
      <c r="A217" s="32" t="s">
        <v>141</v>
      </c>
      <c r="B217" s="31" t="s">
        <v>141</v>
      </c>
      <c r="C217" s="34" t="s">
        <v>141</v>
      </c>
      <c r="E217" s="32" t="s">
        <v>141</v>
      </c>
      <c r="F217" s="31" t="s">
        <v>141</v>
      </c>
      <c r="G217" s="34" t="s">
        <v>141</v>
      </c>
    </row>
    <row r="218" spans="1:7">
      <c r="A218" s="32" t="s">
        <v>141</v>
      </c>
      <c r="B218" s="31" t="s">
        <v>141</v>
      </c>
      <c r="C218" s="34" t="s">
        <v>141</v>
      </c>
      <c r="E218" s="32" t="s">
        <v>141</v>
      </c>
      <c r="F218" s="31" t="s">
        <v>141</v>
      </c>
      <c r="G218" s="34" t="s">
        <v>141</v>
      </c>
    </row>
    <row r="219" spans="1:7">
      <c r="A219" s="32" t="s">
        <v>141</v>
      </c>
      <c r="B219" s="31" t="s">
        <v>141</v>
      </c>
      <c r="C219" s="34" t="s">
        <v>141</v>
      </c>
      <c r="E219" s="32" t="s">
        <v>141</v>
      </c>
      <c r="F219" s="31" t="s">
        <v>141</v>
      </c>
      <c r="G219" s="34" t="s">
        <v>141</v>
      </c>
    </row>
    <row r="220" spans="1:7">
      <c r="A220" s="32" t="s">
        <v>141</v>
      </c>
      <c r="B220" s="31" t="s">
        <v>141</v>
      </c>
      <c r="C220" s="34" t="s">
        <v>141</v>
      </c>
      <c r="E220" s="32" t="s">
        <v>141</v>
      </c>
      <c r="F220" s="31" t="s">
        <v>141</v>
      </c>
      <c r="G220" s="34" t="s">
        <v>141</v>
      </c>
    </row>
    <row r="221" spans="1:7">
      <c r="A221" s="32" t="s">
        <v>141</v>
      </c>
      <c r="B221" s="31" t="s">
        <v>141</v>
      </c>
      <c r="C221" s="34" t="s">
        <v>141</v>
      </c>
      <c r="E221" s="32" t="s">
        <v>141</v>
      </c>
      <c r="F221" s="31" t="s">
        <v>141</v>
      </c>
      <c r="G221" s="34" t="s">
        <v>141</v>
      </c>
    </row>
    <row r="222" spans="1:7">
      <c r="A222" s="32" t="s">
        <v>141</v>
      </c>
      <c r="B222" s="31" t="s">
        <v>141</v>
      </c>
      <c r="C222" s="34" t="s">
        <v>141</v>
      </c>
      <c r="E222" s="32" t="s">
        <v>141</v>
      </c>
      <c r="F222" s="31" t="s">
        <v>141</v>
      </c>
      <c r="G222" s="34" t="s">
        <v>141</v>
      </c>
    </row>
    <row r="223" spans="1:7">
      <c r="A223" s="32" t="s">
        <v>141</v>
      </c>
      <c r="B223" s="31" t="s">
        <v>141</v>
      </c>
      <c r="C223" s="34" t="s">
        <v>141</v>
      </c>
      <c r="E223" s="32" t="s">
        <v>141</v>
      </c>
      <c r="F223" s="31" t="s">
        <v>141</v>
      </c>
      <c r="G223" s="34" t="s">
        <v>141</v>
      </c>
    </row>
    <row r="224" spans="1:7">
      <c r="A224" s="32" t="s">
        <v>141</v>
      </c>
      <c r="B224" s="31" t="s">
        <v>141</v>
      </c>
      <c r="C224" s="34" t="s">
        <v>141</v>
      </c>
      <c r="E224" s="32" t="s">
        <v>141</v>
      </c>
      <c r="F224" s="31" t="s">
        <v>141</v>
      </c>
      <c r="G224" s="34" t="s">
        <v>141</v>
      </c>
    </row>
    <row r="225" spans="1:7">
      <c r="A225" s="32" t="s">
        <v>141</v>
      </c>
      <c r="B225" s="31" t="s">
        <v>141</v>
      </c>
      <c r="C225" s="34" t="s">
        <v>141</v>
      </c>
      <c r="E225" s="32" t="s">
        <v>141</v>
      </c>
      <c r="F225" s="31" t="s">
        <v>141</v>
      </c>
      <c r="G225" s="34" t="s">
        <v>141</v>
      </c>
    </row>
    <row r="226" spans="1:7">
      <c r="A226" s="32" t="s">
        <v>141</v>
      </c>
      <c r="B226" s="31" t="s">
        <v>141</v>
      </c>
      <c r="C226" s="34" t="s">
        <v>141</v>
      </c>
      <c r="E226" s="32" t="s">
        <v>141</v>
      </c>
      <c r="F226" s="31" t="s">
        <v>141</v>
      </c>
      <c r="G226" s="34" t="s">
        <v>141</v>
      </c>
    </row>
    <row r="227" spans="1:7">
      <c r="A227" s="32" t="s">
        <v>141</v>
      </c>
      <c r="B227" s="31" t="s">
        <v>141</v>
      </c>
      <c r="C227" s="34" t="s">
        <v>141</v>
      </c>
      <c r="E227" s="32" t="s">
        <v>141</v>
      </c>
      <c r="F227" s="31" t="s">
        <v>141</v>
      </c>
      <c r="G227" s="34" t="s">
        <v>141</v>
      </c>
    </row>
    <row r="228" spans="1:7">
      <c r="A228" s="32" t="s">
        <v>141</v>
      </c>
      <c r="B228" s="31" t="s">
        <v>141</v>
      </c>
      <c r="C228" s="34" t="s">
        <v>141</v>
      </c>
      <c r="E228" s="32" t="s">
        <v>141</v>
      </c>
      <c r="F228" s="31" t="s">
        <v>141</v>
      </c>
      <c r="G228" s="34" t="s">
        <v>141</v>
      </c>
    </row>
    <row r="229" spans="1:7">
      <c r="A229" s="32" t="s">
        <v>141</v>
      </c>
      <c r="B229" s="31" t="s">
        <v>141</v>
      </c>
      <c r="C229" s="34" t="s">
        <v>141</v>
      </c>
      <c r="E229" s="32" t="s">
        <v>141</v>
      </c>
      <c r="F229" s="31" t="s">
        <v>141</v>
      </c>
      <c r="G229" s="34" t="s">
        <v>141</v>
      </c>
    </row>
    <row r="230" spans="1:7">
      <c r="A230" s="32" t="s">
        <v>141</v>
      </c>
      <c r="B230" s="31" t="s">
        <v>141</v>
      </c>
      <c r="C230" s="34" t="s">
        <v>141</v>
      </c>
      <c r="E230" s="32" t="s">
        <v>141</v>
      </c>
      <c r="F230" s="31" t="s">
        <v>141</v>
      </c>
      <c r="G230" s="34" t="s">
        <v>141</v>
      </c>
    </row>
    <row r="231" spans="1:7">
      <c r="A231" s="32" t="s">
        <v>141</v>
      </c>
      <c r="B231" s="31" t="s">
        <v>141</v>
      </c>
      <c r="C231" s="34" t="s">
        <v>141</v>
      </c>
      <c r="E231" s="32" t="s">
        <v>141</v>
      </c>
      <c r="F231" s="31" t="s">
        <v>141</v>
      </c>
      <c r="G231" s="34" t="s">
        <v>141</v>
      </c>
    </row>
    <row r="232" spans="1:7">
      <c r="A232" s="32" t="s">
        <v>141</v>
      </c>
      <c r="B232" s="31" t="s">
        <v>141</v>
      </c>
      <c r="C232" s="34" t="s">
        <v>141</v>
      </c>
      <c r="E232" s="32" t="s">
        <v>141</v>
      </c>
      <c r="F232" s="31" t="s">
        <v>141</v>
      </c>
      <c r="G232" s="34" t="s">
        <v>141</v>
      </c>
    </row>
    <row r="233" spans="1:7">
      <c r="A233" s="32" t="s">
        <v>141</v>
      </c>
      <c r="B233" s="31" t="s">
        <v>141</v>
      </c>
      <c r="C233" s="34" t="s">
        <v>141</v>
      </c>
      <c r="E233" s="32" t="s">
        <v>141</v>
      </c>
      <c r="F233" s="31" t="s">
        <v>141</v>
      </c>
      <c r="G233" s="34" t="s">
        <v>141</v>
      </c>
    </row>
    <row r="234" spans="1:7">
      <c r="A234" s="32" t="s">
        <v>141</v>
      </c>
      <c r="B234" s="31" t="s">
        <v>141</v>
      </c>
      <c r="C234" s="34" t="s">
        <v>141</v>
      </c>
      <c r="E234" s="32" t="s">
        <v>141</v>
      </c>
      <c r="F234" s="31" t="s">
        <v>141</v>
      </c>
      <c r="G234" s="34" t="s">
        <v>141</v>
      </c>
    </row>
    <row r="235" spans="1:7">
      <c r="A235" s="32" t="s">
        <v>141</v>
      </c>
      <c r="B235" s="31" t="s">
        <v>141</v>
      </c>
      <c r="C235" s="34" t="s">
        <v>141</v>
      </c>
      <c r="E235" s="32" t="s">
        <v>141</v>
      </c>
      <c r="F235" s="31" t="s">
        <v>141</v>
      </c>
      <c r="G235" s="34" t="s">
        <v>141</v>
      </c>
    </row>
    <row r="236" spans="1:7">
      <c r="A236" s="32" t="s">
        <v>141</v>
      </c>
      <c r="B236" s="31" t="s">
        <v>141</v>
      </c>
      <c r="C236" s="34" t="s">
        <v>141</v>
      </c>
      <c r="E236" s="32" t="s">
        <v>141</v>
      </c>
      <c r="F236" s="31" t="s">
        <v>141</v>
      </c>
      <c r="G236" s="34" t="s">
        <v>141</v>
      </c>
    </row>
    <row r="237" spans="1:7">
      <c r="A237" s="32" t="s">
        <v>141</v>
      </c>
      <c r="B237" s="31" t="s">
        <v>141</v>
      </c>
      <c r="C237" s="34" t="s">
        <v>141</v>
      </c>
      <c r="E237" s="32" t="s">
        <v>141</v>
      </c>
      <c r="F237" s="31" t="s">
        <v>141</v>
      </c>
      <c r="G237" s="34" t="s">
        <v>141</v>
      </c>
    </row>
    <row r="238" spans="1:7">
      <c r="A238" s="32" t="s">
        <v>141</v>
      </c>
      <c r="B238" s="31" t="s">
        <v>141</v>
      </c>
      <c r="C238" s="34" t="s">
        <v>141</v>
      </c>
      <c r="E238" s="32" t="s">
        <v>141</v>
      </c>
      <c r="F238" s="31" t="s">
        <v>141</v>
      </c>
      <c r="G238" s="34" t="s">
        <v>141</v>
      </c>
    </row>
    <row r="239" spans="1:7">
      <c r="A239" s="32" t="s">
        <v>141</v>
      </c>
      <c r="B239" s="31" t="s">
        <v>141</v>
      </c>
      <c r="C239" s="34" t="s">
        <v>141</v>
      </c>
      <c r="E239" s="32" t="s">
        <v>141</v>
      </c>
      <c r="F239" s="31" t="s">
        <v>141</v>
      </c>
      <c r="G239" s="34" t="s">
        <v>141</v>
      </c>
    </row>
    <row r="240" spans="1:7">
      <c r="A240" s="32" t="s">
        <v>141</v>
      </c>
      <c r="B240" s="31" t="s">
        <v>141</v>
      </c>
      <c r="C240" s="34" t="s">
        <v>141</v>
      </c>
      <c r="E240" s="32" t="s">
        <v>141</v>
      </c>
      <c r="F240" s="31" t="s">
        <v>141</v>
      </c>
      <c r="G240" s="34" t="s">
        <v>141</v>
      </c>
    </row>
    <row r="241" spans="1:7">
      <c r="A241" s="32" t="s">
        <v>141</v>
      </c>
      <c r="B241" s="31" t="s">
        <v>141</v>
      </c>
      <c r="C241" s="34" t="s">
        <v>141</v>
      </c>
      <c r="E241" s="32" t="s">
        <v>141</v>
      </c>
      <c r="F241" s="31" t="s">
        <v>141</v>
      </c>
      <c r="G241" s="34" t="s">
        <v>141</v>
      </c>
    </row>
    <row r="242" spans="1:7">
      <c r="A242" s="32" t="s">
        <v>141</v>
      </c>
      <c r="B242" s="31" t="s">
        <v>141</v>
      </c>
      <c r="C242" s="34" t="s">
        <v>141</v>
      </c>
      <c r="E242" s="32" t="s">
        <v>141</v>
      </c>
      <c r="F242" s="31" t="s">
        <v>141</v>
      </c>
      <c r="G242" s="34" t="s">
        <v>141</v>
      </c>
    </row>
    <row r="243" spans="1:7">
      <c r="A243" s="32" t="s">
        <v>141</v>
      </c>
      <c r="B243" s="31" t="s">
        <v>141</v>
      </c>
      <c r="C243" s="34" t="s">
        <v>141</v>
      </c>
      <c r="E243" s="32" t="s">
        <v>141</v>
      </c>
      <c r="F243" s="31" t="s">
        <v>141</v>
      </c>
      <c r="G243" s="34" t="s">
        <v>141</v>
      </c>
    </row>
    <row r="244" spans="1:7">
      <c r="A244" s="32" t="s">
        <v>141</v>
      </c>
      <c r="B244" s="31" t="s">
        <v>141</v>
      </c>
      <c r="C244" s="34" t="s">
        <v>141</v>
      </c>
      <c r="E244" s="32" t="s">
        <v>141</v>
      </c>
      <c r="F244" s="31" t="s">
        <v>141</v>
      </c>
      <c r="G244" s="34" t="s">
        <v>141</v>
      </c>
    </row>
    <row r="245" spans="1:7">
      <c r="A245" s="32" t="s">
        <v>141</v>
      </c>
      <c r="B245" s="31" t="s">
        <v>141</v>
      </c>
      <c r="C245" s="34" t="s">
        <v>141</v>
      </c>
      <c r="E245" s="32" t="s">
        <v>141</v>
      </c>
      <c r="F245" s="31" t="s">
        <v>141</v>
      </c>
      <c r="G245" s="34" t="s">
        <v>141</v>
      </c>
    </row>
    <row r="246" spans="1:7">
      <c r="A246" s="32" t="s">
        <v>141</v>
      </c>
      <c r="B246" s="31" t="s">
        <v>141</v>
      </c>
      <c r="C246" s="34" t="s">
        <v>141</v>
      </c>
      <c r="E246" s="32" t="s">
        <v>141</v>
      </c>
      <c r="F246" s="31" t="s">
        <v>141</v>
      </c>
      <c r="G246" s="34" t="s">
        <v>141</v>
      </c>
    </row>
    <row r="247" spans="1:7">
      <c r="A247" s="32" t="s">
        <v>141</v>
      </c>
      <c r="B247" s="31" t="s">
        <v>141</v>
      </c>
      <c r="C247" s="34" t="s">
        <v>141</v>
      </c>
      <c r="E247" s="32" t="s">
        <v>141</v>
      </c>
      <c r="F247" s="31" t="s">
        <v>141</v>
      </c>
      <c r="G247" s="34" t="s">
        <v>141</v>
      </c>
    </row>
    <row r="248" spans="1:7">
      <c r="A248" s="32" t="s">
        <v>141</v>
      </c>
      <c r="B248" s="31" t="s">
        <v>141</v>
      </c>
      <c r="C248" s="34" t="s">
        <v>141</v>
      </c>
      <c r="E248" s="32" t="s">
        <v>141</v>
      </c>
      <c r="F248" s="31" t="s">
        <v>141</v>
      </c>
      <c r="G248" s="34" t="s">
        <v>141</v>
      </c>
    </row>
    <row r="249" spans="1:7">
      <c r="A249" s="32" t="s">
        <v>141</v>
      </c>
      <c r="B249" s="31" t="s">
        <v>141</v>
      </c>
      <c r="C249" s="34" t="s">
        <v>141</v>
      </c>
      <c r="E249" s="32" t="s">
        <v>141</v>
      </c>
      <c r="F249" s="31" t="s">
        <v>141</v>
      </c>
      <c r="G249" s="34" t="s">
        <v>141</v>
      </c>
    </row>
    <row r="250" spans="1:7">
      <c r="A250" s="32" t="s">
        <v>141</v>
      </c>
      <c r="B250" s="31" t="s">
        <v>141</v>
      </c>
      <c r="C250" s="34" t="s">
        <v>141</v>
      </c>
      <c r="E250" s="32" t="s">
        <v>141</v>
      </c>
      <c r="F250" s="31" t="s">
        <v>141</v>
      </c>
      <c r="G250" s="34" t="s">
        <v>141</v>
      </c>
    </row>
    <row r="251" spans="1:7">
      <c r="A251" s="32" t="s">
        <v>141</v>
      </c>
      <c r="B251" s="31" t="s">
        <v>141</v>
      </c>
      <c r="C251" s="34" t="s">
        <v>141</v>
      </c>
      <c r="E251" s="32" t="s">
        <v>141</v>
      </c>
      <c r="F251" s="31" t="s">
        <v>141</v>
      </c>
      <c r="G251" s="34" t="s">
        <v>141</v>
      </c>
    </row>
    <row r="252" spans="1:7">
      <c r="A252" s="32" t="s">
        <v>141</v>
      </c>
      <c r="B252" s="31" t="s">
        <v>141</v>
      </c>
      <c r="C252" s="34" t="s">
        <v>141</v>
      </c>
      <c r="E252" s="32" t="s">
        <v>141</v>
      </c>
      <c r="F252" s="31" t="s">
        <v>141</v>
      </c>
      <c r="G252" s="34" t="s">
        <v>141</v>
      </c>
    </row>
    <row r="253" spans="1:7">
      <c r="A253" s="32" t="s">
        <v>141</v>
      </c>
      <c r="B253" s="31" t="s">
        <v>141</v>
      </c>
      <c r="C253" s="34" t="s">
        <v>141</v>
      </c>
      <c r="E253" s="32" t="s">
        <v>141</v>
      </c>
      <c r="F253" s="31" t="s">
        <v>141</v>
      </c>
      <c r="G253" s="34" t="s">
        <v>141</v>
      </c>
    </row>
    <row r="254" spans="1:7">
      <c r="A254" s="32" t="s">
        <v>141</v>
      </c>
      <c r="B254" s="31" t="s">
        <v>141</v>
      </c>
      <c r="C254" s="34" t="s">
        <v>141</v>
      </c>
      <c r="E254" s="32" t="s">
        <v>141</v>
      </c>
      <c r="F254" s="31" t="s">
        <v>141</v>
      </c>
      <c r="G254" s="34" t="s">
        <v>141</v>
      </c>
    </row>
    <row r="255" spans="1:7">
      <c r="A255" s="32" t="s">
        <v>141</v>
      </c>
      <c r="B255" s="31" t="s">
        <v>141</v>
      </c>
      <c r="C255" s="34" t="s">
        <v>141</v>
      </c>
      <c r="E255" s="32" t="s">
        <v>141</v>
      </c>
      <c r="F255" s="31" t="s">
        <v>141</v>
      </c>
      <c r="G255" s="34" t="s">
        <v>141</v>
      </c>
    </row>
    <row r="256" spans="1:7">
      <c r="A256" s="32" t="s">
        <v>141</v>
      </c>
      <c r="B256" s="31" t="s">
        <v>141</v>
      </c>
      <c r="C256" s="34" t="s">
        <v>141</v>
      </c>
      <c r="E256" s="32" t="s">
        <v>141</v>
      </c>
      <c r="F256" s="31" t="s">
        <v>141</v>
      </c>
      <c r="G256" s="34" t="s">
        <v>141</v>
      </c>
    </row>
    <row r="257" spans="1:7">
      <c r="A257" s="32" t="s">
        <v>141</v>
      </c>
      <c r="B257" s="31" t="s">
        <v>141</v>
      </c>
      <c r="C257" s="34" t="s">
        <v>141</v>
      </c>
      <c r="E257" s="32" t="s">
        <v>141</v>
      </c>
      <c r="F257" s="31" t="s">
        <v>141</v>
      </c>
      <c r="G257" s="34" t="s">
        <v>141</v>
      </c>
    </row>
    <row r="258" spans="1:7">
      <c r="A258" s="32" t="s">
        <v>141</v>
      </c>
      <c r="B258" s="31" t="s">
        <v>141</v>
      </c>
      <c r="C258" s="34" t="s">
        <v>141</v>
      </c>
      <c r="E258" s="32" t="s">
        <v>141</v>
      </c>
      <c r="F258" s="31" t="s">
        <v>141</v>
      </c>
      <c r="G258" s="34" t="s">
        <v>141</v>
      </c>
    </row>
    <row r="259" spans="1:7">
      <c r="A259" s="32" t="s">
        <v>141</v>
      </c>
      <c r="B259" s="31" t="s">
        <v>141</v>
      </c>
      <c r="C259" s="34" t="s">
        <v>141</v>
      </c>
      <c r="E259" s="32" t="s">
        <v>141</v>
      </c>
      <c r="F259" s="31" t="s">
        <v>141</v>
      </c>
      <c r="G259" s="34" t="s">
        <v>141</v>
      </c>
    </row>
    <row r="260" spans="1:7">
      <c r="A260" s="32" t="s">
        <v>141</v>
      </c>
      <c r="B260" s="31" t="s">
        <v>141</v>
      </c>
      <c r="C260" s="34" t="s">
        <v>141</v>
      </c>
      <c r="E260" s="32" t="s">
        <v>141</v>
      </c>
      <c r="F260" s="31" t="s">
        <v>141</v>
      </c>
      <c r="G260" s="34" t="s">
        <v>141</v>
      </c>
    </row>
    <row r="261" spans="1:7">
      <c r="A261" s="32" t="s">
        <v>141</v>
      </c>
      <c r="B261" s="31" t="s">
        <v>141</v>
      </c>
      <c r="C261" s="34" t="s">
        <v>141</v>
      </c>
      <c r="E261" s="32" t="s">
        <v>141</v>
      </c>
      <c r="F261" s="31" t="s">
        <v>141</v>
      </c>
      <c r="G261" s="34" t="s">
        <v>141</v>
      </c>
    </row>
    <row r="262" spans="1:7">
      <c r="A262" s="32" t="s">
        <v>141</v>
      </c>
      <c r="B262" s="31" t="s">
        <v>141</v>
      </c>
      <c r="C262" s="34" t="s">
        <v>141</v>
      </c>
      <c r="E262" s="32" t="s">
        <v>141</v>
      </c>
      <c r="F262" s="31" t="s">
        <v>141</v>
      </c>
      <c r="G262" s="34" t="s">
        <v>141</v>
      </c>
    </row>
    <row r="263" spans="1:7">
      <c r="A263" s="32" t="s">
        <v>141</v>
      </c>
      <c r="B263" s="31" t="s">
        <v>141</v>
      </c>
      <c r="C263" s="34" t="s">
        <v>141</v>
      </c>
      <c r="E263" s="32" t="s">
        <v>141</v>
      </c>
      <c r="F263" s="31" t="s">
        <v>141</v>
      </c>
      <c r="G263" s="34" t="s">
        <v>141</v>
      </c>
    </row>
    <row r="264" spans="1:7">
      <c r="A264" s="32" t="s">
        <v>141</v>
      </c>
      <c r="B264" s="31" t="s">
        <v>141</v>
      </c>
      <c r="C264" s="34" t="s">
        <v>141</v>
      </c>
      <c r="E264" s="32" t="s">
        <v>141</v>
      </c>
      <c r="F264" s="31" t="s">
        <v>141</v>
      </c>
      <c r="G264" s="34" t="s">
        <v>141</v>
      </c>
    </row>
    <row r="265" spans="1:7">
      <c r="A265" s="32" t="s">
        <v>141</v>
      </c>
      <c r="B265" s="31" t="s">
        <v>141</v>
      </c>
      <c r="C265" s="34" t="s">
        <v>141</v>
      </c>
      <c r="E265" s="32" t="s">
        <v>141</v>
      </c>
      <c r="F265" s="31" t="s">
        <v>141</v>
      </c>
      <c r="G265" s="34" t="s">
        <v>141</v>
      </c>
    </row>
    <row r="266" spans="1:7">
      <c r="A266" s="32" t="s">
        <v>141</v>
      </c>
      <c r="B266" s="31" t="s">
        <v>141</v>
      </c>
      <c r="C266" s="34" t="s">
        <v>141</v>
      </c>
      <c r="E266" s="32" t="s">
        <v>141</v>
      </c>
      <c r="F266" s="31" t="s">
        <v>141</v>
      </c>
      <c r="G266" s="34" t="s">
        <v>141</v>
      </c>
    </row>
    <row r="267" spans="1:7">
      <c r="A267" s="32" t="s">
        <v>141</v>
      </c>
      <c r="B267" s="31" t="s">
        <v>141</v>
      </c>
      <c r="C267" s="34" t="s">
        <v>141</v>
      </c>
      <c r="E267" s="32" t="s">
        <v>141</v>
      </c>
      <c r="F267" s="31" t="s">
        <v>141</v>
      </c>
      <c r="G267" s="34" t="s">
        <v>141</v>
      </c>
    </row>
    <row r="268" spans="1:7">
      <c r="A268" s="32" t="s">
        <v>141</v>
      </c>
      <c r="B268" s="31" t="s">
        <v>141</v>
      </c>
      <c r="C268" s="34" t="s">
        <v>141</v>
      </c>
      <c r="E268" s="32" t="s">
        <v>141</v>
      </c>
      <c r="F268" s="31" t="s">
        <v>141</v>
      </c>
      <c r="G268" s="34" t="s">
        <v>141</v>
      </c>
    </row>
    <row r="269" spans="1:7">
      <c r="A269" s="32" t="s">
        <v>141</v>
      </c>
      <c r="B269" s="31" t="s">
        <v>141</v>
      </c>
      <c r="C269" s="34" t="s">
        <v>141</v>
      </c>
      <c r="E269" s="32" t="s">
        <v>141</v>
      </c>
      <c r="F269" s="31" t="s">
        <v>141</v>
      </c>
      <c r="G269" s="34" t="s">
        <v>141</v>
      </c>
    </row>
    <row r="270" spans="1:7">
      <c r="A270" s="32" t="s">
        <v>141</v>
      </c>
      <c r="B270" s="31" t="s">
        <v>141</v>
      </c>
      <c r="C270" s="34" t="s">
        <v>141</v>
      </c>
      <c r="E270" s="32" t="s">
        <v>141</v>
      </c>
      <c r="F270" s="31" t="s">
        <v>141</v>
      </c>
      <c r="G270" s="34" t="s">
        <v>141</v>
      </c>
    </row>
    <row r="271" spans="1:7">
      <c r="A271" s="32" t="s">
        <v>141</v>
      </c>
      <c r="B271" s="31" t="s">
        <v>141</v>
      </c>
      <c r="C271" s="34" t="s">
        <v>141</v>
      </c>
      <c r="E271" s="32" t="s">
        <v>141</v>
      </c>
      <c r="F271" s="31" t="s">
        <v>141</v>
      </c>
      <c r="G271" s="34" t="s">
        <v>141</v>
      </c>
    </row>
    <row r="272" spans="1:7">
      <c r="A272" s="32" t="s">
        <v>141</v>
      </c>
      <c r="B272" s="31" t="s">
        <v>141</v>
      </c>
      <c r="C272" s="34" t="s">
        <v>141</v>
      </c>
      <c r="E272" s="32" t="s">
        <v>141</v>
      </c>
      <c r="F272" s="31" t="s">
        <v>141</v>
      </c>
      <c r="G272" s="34" t="s">
        <v>141</v>
      </c>
    </row>
    <row r="273" spans="1:7">
      <c r="A273" s="32" t="s">
        <v>141</v>
      </c>
      <c r="B273" s="31" t="s">
        <v>141</v>
      </c>
      <c r="C273" s="34" t="s">
        <v>141</v>
      </c>
      <c r="E273" s="32" t="s">
        <v>141</v>
      </c>
      <c r="F273" s="31" t="s">
        <v>141</v>
      </c>
      <c r="G273" s="34" t="s">
        <v>141</v>
      </c>
    </row>
    <row r="274" spans="1:7">
      <c r="A274" s="32" t="s">
        <v>141</v>
      </c>
      <c r="B274" s="31" t="s">
        <v>141</v>
      </c>
      <c r="C274" s="34" t="s">
        <v>141</v>
      </c>
      <c r="E274" s="32" t="s">
        <v>141</v>
      </c>
      <c r="F274" s="31" t="s">
        <v>141</v>
      </c>
      <c r="G274" s="34" t="s">
        <v>141</v>
      </c>
    </row>
    <row r="275" spans="1:7">
      <c r="A275" s="32" t="s">
        <v>141</v>
      </c>
      <c r="B275" s="31" t="s">
        <v>141</v>
      </c>
      <c r="C275" s="34" t="s">
        <v>141</v>
      </c>
      <c r="E275" s="32" t="s">
        <v>141</v>
      </c>
      <c r="F275" s="31" t="s">
        <v>141</v>
      </c>
      <c r="G275" s="34" t="s">
        <v>141</v>
      </c>
    </row>
    <row r="276" spans="1:7">
      <c r="A276" s="32" t="s">
        <v>141</v>
      </c>
      <c r="B276" s="31" t="s">
        <v>141</v>
      </c>
      <c r="C276" s="34" t="s">
        <v>141</v>
      </c>
      <c r="E276" s="32" t="s">
        <v>141</v>
      </c>
      <c r="F276" s="31" t="s">
        <v>141</v>
      </c>
      <c r="G276" s="34" t="s">
        <v>141</v>
      </c>
    </row>
    <row r="277" spans="1:7">
      <c r="A277" s="32" t="s">
        <v>141</v>
      </c>
      <c r="B277" s="31" t="s">
        <v>141</v>
      </c>
      <c r="C277" s="34" t="s">
        <v>141</v>
      </c>
      <c r="E277" s="32" t="s">
        <v>141</v>
      </c>
      <c r="F277" s="31" t="s">
        <v>141</v>
      </c>
      <c r="G277" s="34" t="s">
        <v>141</v>
      </c>
    </row>
    <row r="278" spans="1:7">
      <c r="A278" s="32" t="s">
        <v>141</v>
      </c>
      <c r="B278" s="31" t="s">
        <v>141</v>
      </c>
      <c r="C278" s="34" t="s">
        <v>141</v>
      </c>
      <c r="E278" s="32" t="s">
        <v>141</v>
      </c>
      <c r="F278" s="31" t="s">
        <v>141</v>
      </c>
      <c r="G278" s="34" t="s">
        <v>141</v>
      </c>
    </row>
    <row r="279" spans="1:7">
      <c r="A279" s="32" t="s">
        <v>141</v>
      </c>
      <c r="B279" s="31" t="s">
        <v>141</v>
      </c>
      <c r="C279" s="34" t="s">
        <v>141</v>
      </c>
      <c r="E279" s="32" t="s">
        <v>141</v>
      </c>
      <c r="F279" s="31" t="s">
        <v>141</v>
      </c>
      <c r="G279" s="34" t="s">
        <v>141</v>
      </c>
    </row>
    <row r="280" spans="1:7">
      <c r="A280" s="32" t="s">
        <v>141</v>
      </c>
      <c r="B280" s="31" t="s">
        <v>141</v>
      </c>
      <c r="C280" s="34" t="s">
        <v>141</v>
      </c>
      <c r="E280" s="32" t="s">
        <v>141</v>
      </c>
      <c r="F280" s="31" t="s">
        <v>141</v>
      </c>
      <c r="G280" s="34" t="s">
        <v>141</v>
      </c>
    </row>
    <row r="281" spans="1:7">
      <c r="A281" s="32" t="s">
        <v>141</v>
      </c>
      <c r="B281" s="31" t="s">
        <v>141</v>
      </c>
      <c r="C281" s="34" t="s">
        <v>141</v>
      </c>
      <c r="E281" s="32" t="s">
        <v>141</v>
      </c>
      <c r="F281" s="31" t="s">
        <v>141</v>
      </c>
      <c r="G281" s="34" t="s">
        <v>141</v>
      </c>
    </row>
    <row r="282" spans="1:7">
      <c r="A282" s="32" t="s">
        <v>141</v>
      </c>
      <c r="B282" s="31" t="s">
        <v>141</v>
      </c>
      <c r="C282" s="34" t="s">
        <v>141</v>
      </c>
      <c r="E282" s="32" t="s">
        <v>141</v>
      </c>
      <c r="F282" s="31" t="s">
        <v>141</v>
      </c>
      <c r="G282" s="34" t="s">
        <v>141</v>
      </c>
    </row>
    <row r="283" spans="1:7">
      <c r="A283" s="32" t="s">
        <v>141</v>
      </c>
      <c r="B283" s="31" t="s">
        <v>141</v>
      </c>
      <c r="C283" s="34" t="s">
        <v>141</v>
      </c>
      <c r="E283" s="32" t="s">
        <v>141</v>
      </c>
      <c r="F283" s="31" t="s">
        <v>141</v>
      </c>
      <c r="G283" s="34" t="s">
        <v>141</v>
      </c>
    </row>
    <row r="284" spans="1:7">
      <c r="A284" s="32" t="s">
        <v>141</v>
      </c>
      <c r="B284" s="31" t="s">
        <v>141</v>
      </c>
      <c r="C284" s="34" t="s">
        <v>141</v>
      </c>
      <c r="E284" s="32" t="s">
        <v>141</v>
      </c>
      <c r="F284" s="31" t="s">
        <v>141</v>
      </c>
      <c r="G284" s="34" t="s">
        <v>141</v>
      </c>
    </row>
    <row r="285" spans="1:7">
      <c r="A285" s="32" t="s">
        <v>141</v>
      </c>
      <c r="B285" s="31" t="s">
        <v>141</v>
      </c>
      <c r="C285" s="34" t="s">
        <v>141</v>
      </c>
      <c r="E285" s="32" t="s">
        <v>141</v>
      </c>
      <c r="F285" s="31" t="s">
        <v>141</v>
      </c>
      <c r="G285" s="34" t="s">
        <v>141</v>
      </c>
    </row>
    <row r="286" spans="1:7">
      <c r="A286" s="32" t="s">
        <v>141</v>
      </c>
      <c r="B286" s="31" t="s">
        <v>141</v>
      </c>
      <c r="C286" s="34" t="s">
        <v>141</v>
      </c>
      <c r="E286" s="32" t="s">
        <v>141</v>
      </c>
      <c r="F286" s="31" t="s">
        <v>141</v>
      </c>
      <c r="G286" s="34" t="s">
        <v>141</v>
      </c>
    </row>
    <row r="287" spans="1:7">
      <c r="A287" s="32" t="s">
        <v>141</v>
      </c>
      <c r="B287" s="31" t="s">
        <v>141</v>
      </c>
      <c r="C287" s="34" t="s">
        <v>141</v>
      </c>
      <c r="E287" s="32" t="s">
        <v>141</v>
      </c>
      <c r="F287" s="31" t="s">
        <v>141</v>
      </c>
      <c r="G287" s="34" t="s">
        <v>141</v>
      </c>
    </row>
    <row r="288" spans="1:7">
      <c r="A288" s="32" t="s">
        <v>141</v>
      </c>
      <c r="B288" s="31" t="s">
        <v>141</v>
      </c>
      <c r="C288" s="34" t="s">
        <v>141</v>
      </c>
      <c r="E288" s="32" t="s">
        <v>141</v>
      </c>
      <c r="F288" s="31" t="s">
        <v>141</v>
      </c>
      <c r="G288" s="34" t="s">
        <v>141</v>
      </c>
    </row>
    <row r="289" spans="1:7">
      <c r="A289" s="32" t="s">
        <v>141</v>
      </c>
      <c r="B289" s="31" t="s">
        <v>141</v>
      </c>
      <c r="C289" s="34" t="s">
        <v>141</v>
      </c>
      <c r="E289" s="32" t="s">
        <v>141</v>
      </c>
      <c r="F289" s="31" t="s">
        <v>141</v>
      </c>
      <c r="G289" s="34" t="s">
        <v>141</v>
      </c>
    </row>
    <row r="290" spans="1:7">
      <c r="A290" s="32" t="s">
        <v>141</v>
      </c>
      <c r="B290" s="31" t="s">
        <v>141</v>
      </c>
      <c r="C290" s="34" t="s">
        <v>141</v>
      </c>
      <c r="E290" s="32" t="s">
        <v>141</v>
      </c>
      <c r="F290" s="31" t="s">
        <v>141</v>
      </c>
      <c r="G290" s="34" t="s">
        <v>141</v>
      </c>
    </row>
    <row r="291" spans="1:7">
      <c r="A291" s="32" t="s">
        <v>141</v>
      </c>
      <c r="B291" s="31" t="s">
        <v>141</v>
      </c>
      <c r="C291" s="34" t="s">
        <v>141</v>
      </c>
      <c r="E291" s="32" t="s">
        <v>141</v>
      </c>
      <c r="F291" s="31" t="s">
        <v>141</v>
      </c>
      <c r="G291" s="34" t="s">
        <v>141</v>
      </c>
    </row>
    <row r="292" spans="1:7">
      <c r="A292" s="32" t="s">
        <v>141</v>
      </c>
      <c r="B292" s="31" t="s">
        <v>141</v>
      </c>
      <c r="C292" s="34" t="s">
        <v>141</v>
      </c>
      <c r="E292" s="32" t="s">
        <v>141</v>
      </c>
      <c r="F292" s="31" t="s">
        <v>141</v>
      </c>
      <c r="G292" s="34" t="s">
        <v>141</v>
      </c>
    </row>
    <row r="293" spans="1:7">
      <c r="A293" s="32" t="s">
        <v>141</v>
      </c>
      <c r="B293" s="31" t="s">
        <v>141</v>
      </c>
      <c r="C293" s="34" t="s">
        <v>141</v>
      </c>
      <c r="E293" s="32" t="s">
        <v>141</v>
      </c>
      <c r="F293" s="31" t="s">
        <v>141</v>
      </c>
      <c r="G293" s="34" t="s">
        <v>141</v>
      </c>
    </row>
    <row r="294" spans="1:7">
      <c r="A294" s="32" t="s">
        <v>141</v>
      </c>
      <c r="B294" s="31" t="s">
        <v>141</v>
      </c>
      <c r="C294" s="34" t="s">
        <v>141</v>
      </c>
      <c r="E294" s="32" t="s">
        <v>141</v>
      </c>
      <c r="F294" s="31" t="s">
        <v>141</v>
      </c>
      <c r="G294" s="34" t="s">
        <v>141</v>
      </c>
    </row>
    <row r="295" spans="1:7">
      <c r="A295" s="32" t="s">
        <v>141</v>
      </c>
      <c r="B295" s="31" t="s">
        <v>141</v>
      </c>
      <c r="C295" s="34" t="s">
        <v>141</v>
      </c>
      <c r="E295" s="32" t="s">
        <v>141</v>
      </c>
      <c r="F295" s="31" t="s">
        <v>141</v>
      </c>
      <c r="G295" s="34" t="s">
        <v>141</v>
      </c>
    </row>
    <row r="296" spans="1:7">
      <c r="A296" s="32" t="s">
        <v>141</v>
      </c>
      <c r="B296" s="31" t="s">
        <v>141</v>
      </c>
      <c r="C296" s="34" t="s">
        <v>141</v>
      </c>
      <c r="E296" s="32" t="s">
        <v>141</v>
      </c>
      <c r="F296" s="31" t="s">
        <v>141</v>
      </c>
      <c r="G296" s="34" t="s">
        <v>141</v>
      </c>
    </row>
    <row r="297" spans="1:7">
      <c r="A297" s="32" t="s">
        <v>141</v>
      </c>
      <c r="B297" s="31" t="s">
        <v>141</v>
      </c>
      <c r="C297" s="34" t="s">
        <v>141</v>
      </c>
      <c r="E297" s="32" t="s">
        <v>141</v>
      </c>
      <c r="F297" s="31" t="s">
        <v>141</v>
      </c>
      <c r="G297" s="34" t="s">
        <v>141</v>
      </c>
    </row>
    <row r="298" spans="1:7">
      <c r="A298" s="32" t="s">
        <v>141</v>
      </c>
      <c r="B298" s="31" t="s">
        <v>141</v>
      </c>
      <c r="C298" s="34" t="s">
        <v>141</v>
      </c>
      <c r="E298" s="32" t="s">
        <v>141</v>
      </c>
      <c r="F298" s="31" t="s">
        <v>141</v>
      </c>
      <c r="G298" s="34" t="s">
        <v>141</v>
      </c>
    </row>
    <row r="299" spans="1:7">
      <c r="A299" s="32" t="s">
        <v>141</v>
      </c>
      <c r="B299" s="31" t="s">
        <v>141</v>
      </c>
      <c r="C299" s="34" t="s">
        <v>141</v>
      </c>
      <c r="E299" s="32" t="s">
        <v>141</v>
      </c>
      <c r="F299" s="31" t="s">
        <v>141</v>
      </c>
      <c r="G299" s="34" t="s">
        <v>141</v>
      </c>
    </row>
    <row r="300" spans="1:7">
      <c r="A300" s="32" t="s">
        <v>141</v>
      </c>
      <c r="B300" s="31" t="s">
        <v>141</v>
      </c>
      <c r="C300" s="34" t="s">
        <v>141</v>
      </c>
      <c r="E300" s="32" t="s">
        <v>141</v>
      </c>
      <c r="F300" s="31" t="s">
        <v>141</v>
      </c>
      <c r="G300" s="34" t="s">
        <v>141</v>
      </c>
    </row>
    <row r="301" spans="1:7">
      <c r="A301" s="32" t="s">
        <v>141</v>
      </c>
      <c r="B301" s="31" t="s">
        <v>141</v>
      </c>
      <c r="C301" s="34" t="s">
        <v>141</v>
      </c>
      <c r="E301" s="32" t="s">
        <v>141</v>
      </c>
      <c r="F301" s="31" t="s">
        <v>141</v>
      </c>
      <c r="G301" s="34" t="s">
        <v>141</v>
      </c>
    </row>
    <row r="302" spans="1:7">
      <c r="A302" s="32" t="s">
        <v>141</v>
      </c>
      <c r="B302" s="31" t="s">
        <v>141</v>
      </c>
      <c r="C302" s="34" t="s">
        <v>141</v>
      </c>
      <c r="E302" s="32" t="s">
        <v>141</v>
      </c>
      <c r="F302" s="31" t="s">
        <v>141</v>
      </c>
      <c r="G302" s="34" t="s">
        <v>141</v>
      </c>
    </row>
    <row r="303" spans="1:7">
      <c r="A303" s="32" t="s">
        <v>141</v>
      </c>
      <c r="B303" s="31" t="s">
        <v>141</v>
      </c>
      <c r="C303" s="34" t="s">
        <v>141</v>
      </c>
      <c r="E303" s="32" t="s">
        <v>141</v>
      </c>
      <c r="F303" s="31" t="s">
        <v>141</v>
      </c>
      <c r="G303" s="34" t="s">
        <v>141</v>
      </c>
    </row>
    <row r="304" spans="1:7">
      <c r="A304" s="32" t="s">
        <v>141</v>
      </c>
      <c r="B304" s="31" t="s">
        <v>141</v>
      </c>
      <c r="C304" s="34" t="s">
        <v>141</v>
      </c>
      <c r="E304" s="32" t="s">
        <v>141</v>
      </c>
      <c r="F304" s="31" t="s">
        <v>141</v>
      </c>
      <c r="G304" s="34" t="s">
        <v>141</v>
      </c>
    </row>
    <row r="305" spans="1:5">
      <c r="A305" s="33"/>
      <c r="E305" s="33"/>
    </row>
    <row r="306" spans="1:5">
      <c r="A306" s="33"/>
      <c r="E306" s="33"/>
    </row>
    <row r="307" spans="1:5">
      <c r="A307" s="33"/>
      <c r="E307" s="33"/>
    </row>
    <row r="308" spans="1:5">
      <c r="A308" s="33"/>
      <c r="E308" s="33"/>
    </row>
    <row r="309" spans="1:5">
      <c r="A309" s="33"/>
      <c r="E309" s="33"/>
    </row>
    <row r="310" spans="1:5">
      <c r="A310" s="33"/>
      <c r="E310" s="33"/>
    </row>
    <row r="311" spans="1:5">
      <c r="A311" s="33"/>
      <c r="E311" s="33"/>
    </row>
    <row r="312" spans="1:5">
      <c r="A312" s="33"/>
      <c r="E312" s="33"/>
    </row>
    <row r="313" spans="1:5">
      <c r="A313" s="33"/>
      <c r="E313" s="33"/>
    </row>
    <row r="314" spans="1:5">
      <c r="A314" s="33"/>
      <c r="E314" s="33"/>
    </row>
    <row r="315" spans="1:5">
      <c r="A315" s="33"/>
      <c r="E315" s="33"/>
    </row>
    <row r="316" spans="1:5">
      <c r="A316" s="33"/>
      <c r="E316" s="33"/>
    </row>
    <row r="317" spans="1:5">
      <c r="A317" s="33"/>
      <c r="E317" s="33"/>
    </row>
    <row r="318" spans="1:5">
      <c r="A318" s="33"/>
      <c r="E318" s="33"/>
    </row>
    <row r="319" spans="1:5">
      <c r="A319" s="33"/>
      <c r="E319" s="33"/>
    </row>
    <row r="320" spans="1:5">
      <c r="A320" s="33"/>
      <c r="E320" s="33"/>
    </row>
    <row r="321" spans="1:5">
      <c r="A321" s="33"/>
      <c r="E321" s="33"/>
    </row>
    <row r="322" spans="1:5">
      <c r="A322" s="33"/>
      <c r="E322" s="33"/>
    </row>
    <row r="323" spans="1:5">
      <c r="A323" s="33"/>
      <c r="E323" s="33"/>
    </row>
    <row r="324" spans="1:5">
      <c r="A324" s="33"/>
      <c r="E324" s="33"/>
    </row>
    <row r="325" spans="1:5">
      <c r="A325" s="33"/>
      <c r="E325" s="33"/>
    </row>
    <row r="326" spans="1:5">
      <c r="A326" s="33"/>
      <c r="E326" s="33"/>
    </row>
    <row r="327" spans="1:5">
      <c r="A327" s="33"/>
      <c r="E327" s="33"/>
    </row>
    <row r="328" spans="1:5">
      <c r="A328" s="33"/>
      <c r="E328" s="33"/>
    </row>
    <row r="329" spans="1:5">
      <c r="A329" s="33"/>
      <c r="E329" s="33"/>
    </row>
    <row r="330" spans="1:5">
      <c r="A330" s="33"/>
      <c r="E330" s="33"/>
    </row>
    <row r="331" spans="1:5">
      <c r="A331" s="33"/>
      <c r="E331" s="33"/>
    </row>
    <row r="332" spans="1:5">
      <c r="A332" s="33"/>
      <c r="E332" s="33"/>
    </row>
    <row r="333" spans="1:5">
      <c r="A333" s="33"/>
      <c r="E333" s="33"/>
    </row>
    <row r="334" spans="1:5">
      <c r="A334" s="33"/>
      <c r="E334" s="33"/>
    </row>
    <row r="335" spans="1:5">
      <c r="A335" s="33"/>
      <c r="E335" s="33"/>
    </row>
    <row r="336" spans="1:5">
      <c r="A336" s="33"/>
      <c r="E336" s="33"/>
    </row>
    <row r="337" spans="1:5">
      <c r="A337" s="33"/>
      <c r="E337" s="33"/>
    </row>
    <row r="338" spans="1:5">
      <c r="A338" s="33"/>
      <c r="E338" s="33"/>
    </row>
    <row r="339" spans="1:5">
      <c r="A339" s="33"/>
      <c r="E339" s="33"/>
    </row>
    <row r="340" spans="1:5">
      <c r="A340" s="33"/>
      <c r="E340" s="33"/>
    </row>
    <row r="341" spans="1:5">
      <c r="A341" s="33"/>
      <c r="E341" s="33"/>
    </row>
    <row r="342" spans="1:5">
      <c r="A342" s="33"/>
      <c r="E342" s="33"/>
    </row>
    <row r="343" spans="1:5">
      <c r="A343" s="33"/>
      <c r="E343" s="33"/>
    </row>
    <row r="344" spans="1:5">
      <c r="A344" s="33"/>
      <c r="E344" s="33"/>
    </row>
    <row r="345" spans="1:5">
      <c r="A345" s="33"/>
      <c r="E345" s="33"/>
    </row>
    <row r="346" spans="1:5">
      <c r="A346" s="33"/>
      <c r="E346" s="33"/>
    </row>
    <row r="347" spans="1:5">
      <c r="A347" s="33"/>
      <c r="E347" s="33"/>
    </row>
    <row r="348" spans="1:5">
      <c r="A348" s="33"/>
      <c r="E348" s="33"/>
    </row>
    <row r="349" spans="1:5">
      <c r="A349" s="33"/>
      <c r="E349" s="33"/>
    </row>
    <row r="350" spans="1:5">
      <c r="A350" s="33"/>
      <c r="E350" s="33"/>
    </row>
    <row r="351" spans="1:5">
      <c r="A351" s="33"/>
      <c r="E351" s="33"/>
    </row>
    <row r="352" spans="1:5">
      <c r="A352" s="33"/>
      <c r="E352" s="33"/>
    </row>
    <row r="353" spans="1:5">
      <c r="A353" s="33"/>
      <c r="E353" s="33"/>
    </row>
    <row r="354" spans="1:5">
      <c r="A354" s="33"/>
      <c r="E354" s="33"/>
    </row>
    <row r="355" spans="1:5">
      <c r="A355" s="33"/>
      <c r="E355" s="33"/>
    </row>
    <row r="356" spans="1:5">
      <c r="A356" s="33"/>
      <c r="E356" s="33"/>
    </row>
    <row r="357" spans="1:5">
      <c r="A357" s="33"/>
      <c r="E357" s="33"/>
    </row>
    <row r="358" spans="1:5">
      <c r="A358" s="33"/>
      <c r="E358" s="33"/>
    </row>
    <row r="359" spans="1:5">
      <c r="A359" s="33"/>
      <c r="E359" s="33"/>
    </row>
    <row r="360" spans="1:5">
      <c r="A360" s="33"/>
      <c r="E360" s="33"/>
    </row>
    <row r="361" spans="1:5">
      <c r="A361" s="33"/>
      <c r="E361" s="33"/>
    </row>
    <row r="362" spans="1:5">
      <c r="A362" s="33"/>
      <c r="E362" s="33"/>
    </row>
    <row r="363" spans="1:5">
      <c r="A363" s="33"/>
      <c r="E363" s="33"/>
    </row>
    <row r="364" spans="1:5">
      <c r="A364" s="33"/>
      <c r="E364" s="33"/>
    </row>
    <row r="365" spans="1:5">
      <c r="A365" s="33"/>
      <c r="E365" s="33"/>
    </row>
    <row r="366" spans="1:5">
      <c r="A366" s="33"/>
      <c r="E366" s="33"/>
    </row>
    <row r="367" spans="1:5">
      <c r="A367" s="33"/>
      <c r="E367" s="33"/>
    </row>
    <row r="368" spans="1:5">
      <c r="A368" s="33"/>
      <c r="E368" s="33"/>
    </row>
    <row r="369" spans="1:5">
      <c r="A369" s="33"/>
      <c r="E369" s="33"/>
    </row>
    <row r="370" spans="1:5">
      <c r="A370" s="33"/>
      <c r="E370" s="33"/>
    </row>
    <row r="371" spans="1:5">
      <c r="A371" s="33"/>
      <c r="E371" s="33"/>
    </row>
    <row r="372" spans="1:5">
      <c r="A372" s="33"/>
      <c r="E372" s="33"/>
    </row>
    <row r="373" spans="1:5">
      <c r="A373" s="33"/>
      <c r="E373" s="33"/>
    </row>
    <row r="374" spans="1:5">
      <c r="A374" s="33"/>
      <c r="E374" s="33"/>
    </row>
    <row r="375" spans="1:5">
      <c r="A375" s="33"/>
      <c r="E375" s="33"/>
    </row>
    <row r="376" spans="1:5">
      <c r="A376" s="33"/>
      <c r="E376" s="33"/>
    </row>
    <row r="377" spans="1:5">
      <c r="A377" s="33"/>
      <c r="E377" s="33"/>
    </row>
    <row r="378" spans="1:5">
      <c r="A378" s="33"/>
      <c r="E378" s="33"/>
    </row>
    <row r="379" spans="1:5">
      <c r="A379" s="33"/>
      <c r="E379" s="33"/>
    </row>
    <row r="380" spans="1:5">
      <c r="A380" s="33"/>
      <c r="E380" s="33"/>
    </row>
    <row r="381" spans="1:5">
      <c r="A381" s="33"/>
      <c r="E381" s="33"/>
    </row>
    <row r="382" spans="1:5">
      <c r="A382" s="33"/>
      <c r="E382" s="33"/>
    </row>
    <row r="383" spans="1:5">
      <c r="A383" s="33"/>
      <c r="E383" s="33"/>
    </row>
    <row r="384" spans="1:5">
      <c r="A384" s="33"/>
      <c r="E384" s="33"/>
    </row>
    <row r="385" spans="1:5">
      <c r="A385" s="33"/>
      <c r="E385" s="33"/>
    </row>
    <row r="386" spans="1:5">
      <c r="A386" s="33"/>
      <c r="E386" s="33"/>
    </row>
    <row r="387" spans="1:5">
      <c r="A387" s="33"/>
      <c r="E387" s="33"/>
    </row>
    <row r="388" spans="1:5">
      <c r="A388" s="33"/>
      <c r="E388" s="33"/>
    </row>
    <row r="389" spans="1:5">
      <c r="A389" s="33"/>
      <c r="E389" s="33"/>
    </row>
    <row r="390" spans="1:5">
      <c r="A390" s="33"/>
      <c r="E390" s="33"/>
    </row>
    <row r="391" spans="1:5">
      <c r="A391" s="33"/>
      <c r="E391" s="33"/>
    </row>
    <row r="392" spans="1:5">
      <c r="A392" s="33"/>
      <c r="E392" s="33"/>
    </row>
    <row r="393" spans="1:5">
      <c r="A393" s="33"/>
      <c r="E393" s="33"/>
    </row>
    <row r="394" spans="1:5">
      <c r="A394" s="33"/>
      <c r="E394" s="33"/>
    </row>
    <row r="395" spans="1:5">
      <c r="A395" s="33"/>
      <c r="E395" s="33"/>
    </row>
    <row r="396" spans="1:5">
      <c r="A396" s="33"/>
      <c r="E396" s="33"/>
    </row>
    <row r="397" spans="1:5">
      <c r="A397" s="33"/>
      <c r="E397" s="33"/>
    </row>
    <row r="398" spans="1:5">
      <c r="A398" s="33"/>
      <c r="E398" s="33"/>
    </row>
    <row r="399" spans="1:5">
      <c r="A399" s="33"/>
      <c r="E399" s="33"/>
    </row>
    <row r="400" spans="1:5">
      <c r="A400" s="33"/>
      <c r="E400" s="33"/>
    </row>
    <row r="401" spans="1:5">
      <c r="A401" s="33"/>
      <c r="E401" s="3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2:G11"/>
  <sheetViews>
    <sheetView workbookViewId="0">
      <selection activeCell="B2" sqref="B2"/>
    </sheetView>
  </sheetViews>
  <sheetFormatPr defaultRowHeight="14.4"/>
  <cols>
    <col min="3" max="3" width="12.6640625" bestFit="1" customWidth="1"/>
    <col min="5" max="5" width="12" bestFit="1" customWidth="1"/>
  </cols>
  <sheetData>
    <row r="2" spans="2:7">
      <c r="B2" s="46" t="s">
        <v>217</v>
      </c>
    </row>
    <row r="3" spans="2:7">
      <c r="B3" t="s">
        <v>218</v>
      </c>
      <c r="C3" s="222">
        <f>Rates_previous!H35</f>
        <v>7024.5119999999997</v>
      </c>
      <c r="E3" s="221"/>
    </row>
    <row r="4" spans="2:7">
      <c r="B4" t="s">
        <v>219</v>
      </c>
      <c r="C4" s="222">
        <f>Rates_current!H35</f>
        <v>6736.3590000000004</v>
      </c>
    </row>
    <row r="6" spans="2:7">
      <c r="B6" s="160" t="s">
        <v>253</v>
      </c>
    </row>
    <row r="7" spans="2:7">
      <c r="B7" s="173" t="s">
        <v>218</v>
      </c>
      <c r="C7" s="81">
        <f>SUM(TOCA_previous!$S$3:$S$136)</f>
        <v>61703339.759999968</v>
      </c>
    </row>
    <row r="8" spans="2:7">
      <c r="B8" s="173" t="s">
        <v>219</v>
      </c>
      <c r="C8" s="81">
        <f>SUM(TOCA_current!$S$3:$S$136)</f>
        <v>59010522.360000007</v>
      </c>
    </row>
    <row r="11" spans="2:7">
      <c r="G11" s="12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B1:AX12"/>
  <sheetViews>
    <sheetView workbookViewId="0">
      <selection activeCell="B1" sqref="B1"/>
    </sheetView>
  </sheetViews>
  <sheetFormatPr defaultRowHeight="14.4"/>
  <cols>
    <col min="2" max="2" width="16.6640625" bestFit="1" customWidth="1"/>
    <col min="3" max="3" width="9.6640625" bestFit="1" customWidth="1"/>
  </cols>
  <sheetData>
    <row r="1" spans="2:50">
      <c r="B1" s="46" t="s">
        <v>237</v>
      </c>
    </row>
    <row r="2" spans="2:50">
      <c r="C2" s="247">
        <v>44470</v>
      </c>
      <c r="D2" s="248">
        <v>44470</v>
      </c>
      <c r="E2" s="247">
        <v>44501</v>
      </c>
      <c r="F2" s="248">
        <v>44501</v>
      </c>
      <c r="G2" s="247">
        <v>44531</v>
      </c>
      <c r="H2" s="248">
        <v>44531</v>
      </c>
      <c r="I2" s="247">
        <v>44562</v>
      </c>
      <c r="J2" s="248">
        <v>44562</v>
      </c>
      <c r="K2" s="247">
        <v>44593</v>
      </c>
      <c r="L2" s="248">
        <v>44593</v>
      </c>
      <c r="M2" s="247">
        <v>44621</v>
      </c>
      <c r="N2" s="248">
        <v>44621</v>
      </c>
      <c r="O2" s="247">
        <v>44652</v>
      </c>
      <c r="P2" s="248">
        <v>44652</v>
      </c>
      <c r="Q2" s="247">
        <v>44682</v>
      </c>
      <c r="R2" s="248">
        <v>44682</v>
      </c>
      <c r="S2" s="247">
        <v>44713</v>
      </c>
      <c r="T2" s="248">
        <v>44713</v>
      </c>
      <c r="U2" s="247">
        <v>44743</v>
      </c>
      <c r="V2" s="248">
        <v>44743</v>
      </c>
      <c r="W2" s="247">
        <v>44774</v>
      </c>
      <c r="X2" s="248">
        <v>44774</v>
      </c>
      <c r="Y2" s="247">
        <v>44805</v>
      </c>
      <c r="Z2" s="248">
        <v>44805</v>
      </c>
      <c r="AA2" s="247">
        <v>44835</v>
      </c>
      <c r="AB2" s="248">
        <v>44835</v>
      </c>
      <c r="AC2" s="247">
        <v>44866</v>
      </c>
      <c r="AD2" s="248">
        <v>44866</v>
      </c>
      <c r="AE2" s="247">
        <v>44896</v>
      </c>
      <c r="AF2" s="248">
        <v>44896</v>
      </c>
      <c r="AG2" s="247">
        <v>44927</v>
      </c>
      <c r="AH2" s="248">
        <v>44927</v>
      </c>
      <c r="AI2" s="247">
        <v>44958</v>
      </c>
      <c r="AJ2" s="248">
        <v>44958</v>
      </c>
      <c r="AK2" s="247">
        <v>44986</v>
      </c>
      <c r="AL2" s="248">
        <v>44986</v>
      </c>
      <c r="AM2" s="247">
        <v>45017</v>
      </c>
      <c r="AN2" s="248">
        <v>45017</v>
      </c>
      <c r="AO2" s="247">
        <v>45047</v>
      </c>
      <c r="AP2" s="248">
        <v>45047</v>
      </c>
      <c r="AQ2" s="247">
        <v>45078</v>
      </c>
      <c r="AR2" s="248">
        <v>45078</v>
      </c>
      <c r="AS2" s="247">
        <v>45108</v>
      </c>
      <c r="AT2" s="248">
        <v>45108</v>
      </c>
      <c r="AU2" s="247">
        <v>45139</v>
      </c>
      <c r="AV2" s="248">
        <v>45139</v>
      </c>
      <c r="AW2" s="247">
        <v>45170</v>
      </c>
      <c r="AX2" s="248">
        <v>45170</v>
      </c>
    </row>
    <row r="3" spans="2:50">
      <c r="B3" t="s">
        <v>213</v>
      </c>
      <c r="C3" s="249" t="s">
        <v>143</v>
      </c>
      <c r="D3" s="250" t="s">
        <v>144</v>
      </c>
      <c r="E3" s="249" t="s">
        <v>143</v>
      </c>
      <c r="F3" s="250" t="s">
        <v>144</v>
      </c>
      <c r="G3" s="249" t="s">
        <v>143</v>
      </c>
      <c r="H3" s="250" t="s">
        <v>144</v>
      </c>
      <c r="I3" s="249" t="s">
        <v>143</v>
      </c>
      <c r="J3" s="250" t="s">
        <v>144</v>
      </c>
      <c r="K3" s="249" t="s">
        <v>143</v>
      </c>
      <c r="L3" s="250" t="s">
        <v>144</v>
      </c>
      <c r="M3" s="249" t="s">
        <v>143</v>
      </c>
      <c r="N3" s="250" t="s">
        <v>144</v>
      </c>
      <c r="O3" s="249" t="s">
        <v>143</v>
      </c>
      <c r="P3" s="250" t="s">
        <v>144</v>
      </c>
      <c r="Q3" s="249" t="s">
        <v>143</v>
      </c>
      <c r="R3" s="250" t="s">
        <v>144</v>
      </c>
      <c r="S3" s="249" t="s">
        <v>143</v>
      </c>
      <c r="T3" s="250" t="s">
        <v>144</v>
      </c>
      <c r="U3" s="249" t="s">
        <v>143</v>
      </c>
      <c r="V3" s="250" t="s">
        <v>144</v>
      </c>
      <c r="W3" s="249" t="s">
        <v>143</v>
      </c>
      <c r="X3" s="250" t="s">
        <v>144</v>
      </c>
      <c r="Y3" s="249" t="s">
        <v>143</v>
      </c>
      <c r="Z3" s="250" t="s">
        <v>144</v>
      </c>
      <c r="AA3" s="249" t="s">
        <v>143</v>
      </c>
      <c r="AB3" s="250" t="s">
        <v>144</v>
      </c>
      <c r="AC3" s="249" t="s">
        <v>143</v>
      </c>
      <c r="AD3" s="250" t="s">
        <v>144</v>
      </c>
      <c r="AE3" s="249" t="s">
        <v>143</v>
      </c>
      <c r="AF3" s="250" t="s">
        <v>144</v>
      </c>
      <c r="AG3" s="249" t="s">
        <v>143</v>
      </c>
      <c r="AH3" s="250" t="s">
        <v>144</v>
      </c>
      <c r="AI3" s="249" t="s">
        <v>143</v>
      </c>
      <c r="AJ3" s="250" t="s">
        <v>144</v>
      </c>
      <c r="AK3" s="249" t="s">
        <v>143</v>
      </c>
      <c r="AL3" s="250" t="s">
        <v>144</v>
      </c>
      <c r="AM3" s="249" t="s">
        <v>143</v>
      </c>
      <c r="AN3" s="250" t="s">
        <v>144</v>
      </c>
      <c r="AO3" s="249" t="s">
        <v>143</v>
      </c>
      <c r="AP3" s="250" t="s">
        <v>144</v>
      </c>
      <c r="AQ3" s="249" t="s">
        <v>143</v>
      </c>
      <c r="AR3" s="250" t="s">
        <v>144</v>
      </c>
      <c r="AS3" s="249" t="s">
        <v>143</v>
      </c>
      <c r="AT3" s="250" t="s">
        <v>144</v>
      </c>
      <c r="AU3" s="249" t="s">
        <v>143</v>
      </c>
      <c r="AV3" s="250" t="s">
        <v>144</v>
      </c>
      <c r="AW3" s="249" t="s">
        <v>143</v>
      </c>
      <c r="AX3" s="250" t="s">
        <v>144</v>
      </c>
    </row>
    <row r="4" spans="2:50">
      <c r="B4" t="s">
        <v>209</v>
      </c>
      <c r="C4">
        <f>IF(C$3="HLH",VLOOKUP(DATE(YEAR(C$2)-2,MONTH(C$2),1),Rates_previous!$G$6:$O$29,7,FALSE),VLOOKUP(DATE(YEAR(C$2)-2,MONTH(C$2),1),Rates_previous!$G$6:$O$29,8,FALSE))</f>
        <v>23.84</v>
      </c>
      <c r="D4">
        <f>IF(D$3="HLH",VLOOKUP(DATE(YEAR(D$2)-2,MONTH(D$2),1),Rates_previous!$G$6:$O$29,7,FALSE),VLOOKUP(DATE(YEAR(D$2)-2,MONTH(D$2),1),Rates_previous!$G$6:$O$29,8,FALSE))</f>
        <v>18.88</v>
      </c>
      <c r="E4">
        <f>IF(E$3="HLH",VLOOKUP(DATE(YEAR(E$2)-2,MONTH(E$2),1),Rates_previous!$G$6:$O$29,7,FALSE),VLOOKUP(DATE(YEAR(E$2)-2,MONTH(E$2),1),Rates_previous!$G$6:$O$29,8,FALSE))</f>
        <v>25.19</v>
      </c>
      <c r="F4">
        <f>IF(F$3="HLH",VLOOKUP(DATE(YEAR(F$2)-2,MONTH(F$2),1),Rates_previous!$G$6:$O$29,7,FALSE),VLOOKUP(DATE(YEAR(F$2)-2,MONTH(F$2),1),Rates_previous!$G$6:$O$29,8,FALSE))</f>
        <v>21.84</v>
      </c>
      <c r="G4">
        <f>IF(G$3="HLH",VLOOKUP(DATE(YEAR(G$2)-2,MONTH(G$2),1),Rates_previous!$G$6:$O$29,7,FALSE),VLOOKUP(DATE(YEAR(G$2)-2,MONTH(G$2),1),Rates_previous!$G$6:$O$29,8,FALSE))</f>
        <v>28.09</v>
      </c>
      <c r="H4">
        <f>IF(H$3="HLH",VLOOKUP(DATE(YEAR(H$2)-2,MONTH(H$2),1),Rates_previous!$G$6:$O$29,7,FALSE),VLOOKUP(DATE(YEAR(H$2)-2,MONTH(H$2),1),Rates_previous!$G$6:$O$29,8,FALSE))</f>
        <v>23.56</v>
      </c>
      <c r="I4">
        <f>IF(I$3="HLH",VLOOKUP(DATE(YEAR(I$2)-2,MONTH(I$2),1),Rates_previous!$G$6:$O$29,7,FALSE),VLOOKUP(DATE(YEAR(I$2)-2,MONTH(I$2),1),Rates_previous!$G$6:$O$29,8,FALSE))</f>
        <v>25.24</v>
      </c>
      <c r="J4">
        <f>IF(J$3="HLH",VLOOKUP(DATE(YEAR(J$2)-2,MONTH(J$2),1),Rates_previous!$G$6:$O$29,7,FALSE),VLOOKUP(DATE(YEAR(J$2)-2,MONTH(J$2),1),Rates_previous!$G$6:$O$29,8,FALSE))</f>
        <v>19.21</v>
      </c>
      <c r="K4">
        <f>IF(K$3="HLH",VLOOKUP(DATE(YEAR(K$2)-2,MONTH(K$2),1),Rates_previous!$G$6:$O$29,7,FALSE),VLOOKUP(DATE(YEAR(K$2)-2,MONTH(K$2),1),Rates_previous!$G$6:$O$29,8,FALSE))</f>
        <v>24.36</v>
      </c>
      <c r="L4">
        <f>IF(L$3="HLH",VLOOKUP(DATE(YEAR(L$2)-2,MONTH(L$2),1),Rates_previous!$G$6:$O$29,7,FALSE),VLOOKUP(DATE(YEAR(L$2)-2,MONTH(L$2),1),Rates_previous!$G$6:$O$29,8,FALSE))</f>
        <v>19.28</v>
      </c>
      <c r="M4">
        <f>IF(M$3="HLH",VLOOKUP(DATE(YEAR(M$2)-2,MONTH(M$2),1),Rates_previous!$G$6:$O$29,7,FALSE),VLOOKUP(DATE(YEAR(M$2)-2,MONTH(M$2),1),Rates_previous!$G$6:$O$29,8,FALSE))</f>
        <v>19.190000000000001</v>
      </c>
      <c r="N4">
        <f>IF(N$3="HLH",VLOOKUP(DATE(YEAR(N$2)-2,MONTH(N$2),1),Rates_previous!$G$6:$O$29,7,FALSE),VLOOKUP(DATE(YEAR(N$2)-2,MONTH(N$2),1),Rates_previous!$G$6:$O$29,8,FALSE))</f>
        <v>16.11</v>
      </c>
      <c r="O4">
        <f>IF(O$3="HLH",VLOOKUP(DATE(YEAR(O$2)-2,MONTH(O$2),1),Rates_previous!$G$6:$O$29,7,FALSE),VLOOKUP(DATE(YEAR(O$2)-2,MONTH(O$2),1),Rates_previous!$G$6:$O$29,8,FALSE))</f>
        <v>17.98</v>
      </c>
      <c r="P4">
        <f>IF(P$3="HLH",VLOOKUP(DATE(YEAR(P$2)-2,MONTH(P$2),1),Rates_previous!$G$6:$O$29,7,FALSE),VLOOKUP(DATE(YEAR(P$2)-2,MONTH(P$2),1),Rates_previous!$G$6:$O$29,8,FALSE))</f>
        <v>14.4</v>
      </c>
      <c r="Q4">
        <f>IF(Q$3="HLH",VLOOKUP(DATE(YEAR(Q$2)-2,MONTH(Q$2),1),Rates_previous!$G$6:$O$29,7,FALSE),VLOOKUP(DATE(YEAR(Q$2)-2,MONTH(Q$2),1),Rates_previous!$G$6:$O$29,8,FALSE))</f>
        <v>11.71</v>
      </c>
      <c r="R4">
        <f>IF(R$3="HLH",VLOOKUP(DATE(YEAR(R$2)-2,MONTH(R$2),1),Rates_previous!$G$6:$O$29,7,FALSE),VLOOKUP(DATE(YEAR(R$2)-2,MONTH(R$2),1),Rates_previous!$G$6:$O$29,8,FALSE))</f>
        <v>6.55</v>
      </c>
      <c r="S4">
        <f>IF(S$3="HLH",VLOOKUP(DATE(YEAR(S$2)-2,MONTH(S$2),1),Rates_previous!$G$6:$O$29,7,FALSE),VLOOKUP(DATE(YEAR(S$2)-2,MONTH(S$2),1),Rates_previous!$G$6:$O$29,8,FALSE))</f>
        <v>10.52</v>
      </c>
      <c r="T4">
        <f>IF(T$3="HLH",VLOOKUP(DATE(YEAR(T$2)-2,MONTH(T$2),1),Rates_previous!$G$6:$O$29,7,FALSE),VLOOKUP(DATE(YEAR(T$2)-2,MONTH(T$2),1),Rates_previous!$G$6:$O$29,8,FALSE))</f>
        <v>1.68</v>
      </c>
      <c r="U4">
        <f>IF(U$3="HLH",VLOOKUP(DATE(YEAR(U$2)-2,MONTH(U$2),1),Rates_previous!$G$6:$O$29,7,FALSE),VLOOKUP(DATE(YEAR(U$2)-2,MONTH(U$2),1),Rates_previous!$G$6:$O$29,8,FALSE))</f>
        <v>21.45</v>
      </c>
      <c r="V4">
        <f>IF(V$3="HLH",VLOOKUP(DATE(YEAR(V$2)-2,MONTH(V$2),1),Rates_previous!$G$6:$O$29,7,FALSE),VLOOKUP(DATE(YEAR(V$2)-2,MONTH(V$2),1),Rates_previous!$G$6:$O$29,8,FALSE))</f>
        <v>15.31</v>
      </c>
      <c r="W4">
        <f>IF(W$3="HLH",VLOOKUP(DATE(YEAR(W$2)-2,MONTH(W$2),1),Rates_previous!$G$6:$O$29,7,FALSE),VLOOKUP(DATE(YEAR(W$2)-2,MONTH(W$2),1),Rates_previous!$G$6:$O$29,8,FALSE))</f>
        <v>25.24</v>
      </c>
      <c r="X4">
        <f>IF(X$3="HLH",VLOOKUP(DATE(YEAR(X$2)-2,MONTH(X$2),1),Rates_previous!$G$6:$O$29,7,FALSE),VLOOKUP(DATE(YEAR(X$2)-2,MONTH(X$2),1),Rates_previous!$G$6:$O$29,8,FALSE))</f>
        <v>20.21</v>
      </c>
      <c r="Y4">
        <f>IF(Y$3="HLH",VLOOKUP(DATE(YEAR(Y$2)-2,MONTH(Y$2),1),Rates_previous!$G$6:$O$29,7,FALSE),VLOOKUP(DATE(YEAR(Y$2)-2,MONTH(Y$2),1),Rates_previous!$G$6:$O$29,8,FALSE))</f>
        <v>24.86</v>
      </c>
      <c r="Z4">
        <f>IF(Z$3="HLH",VLOOKUP(DATE(YEAR(Z$2)-2,MONTH(Z$2),1),Rates_previous!$G$6:$O$29,7,FALSE),VLOOKUP(DATE(YEAR(Z$2)-2,MONTH(Z$2),1),Rates_previous!$G$6:$O$29,8,FALSE))</f>
        <v>19.98</v>
      </c>
      <c r="AA4">
        <f>IF(AA$3="HLH",VLOOKUP(DATE(YEAR(AA$2)-2,MONTH(AA$2),1),Rates_previous!$G$6:$O$29,7,FALSE),VLOOKUP(DATE(YEAR(AA$2)-2,MONTH(AA$2),1),Rates_previous!$G$6:$O$29,8,FALSE))</f>
        <v>23.84</v>
      </c>
      <c r="AB4">
        <f>IF(AB$3="HLH",VLOOKUP(DATE(YEAR(AB$2)-2,MONTH(AB$2),1),Rates_previous!$G$6:$O$29,7,FALSE),VLOOKUP(DATE(YEAR(AB$2)-2,MONTH(AB$2),1),Rates_previous!$G$6:$O$29,8,FALSE))</f>
        <v>18.88</v>
      </c>
      <c r="AC4">
        <f>IF(AC$3="HLH",VLOOKUP(DATE(YEAR(AC$2)-2,MONTH(AC$2),1),Rates_previous!$G$6:$O$29,7,FALSE),VLOOKUP(DATE(YEAR(AC$2)-2,MONTH(AC$2),1),Rates_previous!$G$6:$O$29,8,FALSE))</f>
        <v>25.19</v>
      </c>
      <c r="AD4">
        <f>IF(AD$3="HLH",VLOOKUP(DATE(YEAR(AD$2)-2,MONTH(AD$2),1),Rates_previous!$G$6:$O$29,7,FALSE),VLOOKUP(DATE(YEAR(AD$2)-2,MONTH(AD$2),1),Rates_previous!$G$6:$O$29,8,FALSE))</f>
        <v>21.84</v>
      </c>
      <c r="AE4">
        <f>IF(AE$3="HLH",VLOOKUP(DATE(YEAR(AE$2)-2,MONTH(AE$2),1),Rates_previous!$G$6:$O$29,7,FALSE),VLOOKUP(DATE(YEAR(AE$2)-2,MONTH(AE$2),1),Rates_previous!$G$6:$O$29,8,FALSE))</f>
        <v>28.09</v>
      </c>
      <c r="AF4">
        <f>IF(AF$3="HLH",VLOOKUP(DATE(YEAR(AF$2)-2,MONTH(AF$2),1),Rates_previous!$G$6:$O$29,7,FALSE),VLOOKUP(DATE(YEAR(AF$2)-2,MONTH(AF$2),1),Rates_previous!$G$6:$O$29,8,FALSE))</f>
        <v>23.56</v>
      </c>
      <c r="AG4">
        <f>IF(AG$3="HLH",VLOOKUP(DATE(YEAR(AG$2)-2,MONTH(AG$2),1),Rates_previous!$G$6:$O$29,7,FALSE),VLOOKUP(DATE(YEAR(AG$2)-2,MONTH(AG$2),1),Rates_previous!$G$6:$O$29,8,FALSE))</f>
        <v>25.24</v>
      </c>
      <c r="AH4">
        <f>IF(AH$3="HLH",VLOOKUP(DATE(YEAR(AH$2)-2,MONTH(AH$2),1),Rates_previous!$G$6:$O$29,7,FALSE),VLOOKUP(DATE(YEAR(AH$2)-2,MONTH(AH$2),1),Rates_previous!$G$6:$O$29,8,FALSE))</f>
        <v>19.21</v>
      </c>
      <c r="AI4">
        <f>IF(AI$3="HLH",VLOOKUP(DATE(YEAR(AI$2)-2,MONTH(AI$2),1),Rates_previous!$G$6:$O$29,7,FALSE),VLOOKUP(DATE(YEAR(AI$2)-2,MONTH(AI$2),1),Rates_previous!$G$6:$O$29,8,FALSE))</f>
        <v>24.36</v>
      </c>
      <c r="AJ4">
        <f>IF(AJ$3="HLH",VLOOKUP(DATE(YEAR(AJ$2)-2,MONTH(AJ$2),1),Rates_previous!$G$6:$O$29,7,FALSE),VLOOKUP(DATE(YEAR(AJ$2)-2,MONTH(AJ$2),1),Rates_previous!$G$6:$O$29,8,FALSE))</f>
        <v>19.28</v>
      </c>
      <c r="AK4">
        <f>IF(AK$3="HLH",VLOOKUP(DATE(YEAR(AK$2)-2,MONTH(AK$2),1),Rates_previous!$G$6:$O$29,7,FALSE),VLOOKUP(DATE(YEAR(AK$2)-2,MONTH(AK$2),1),Rates_previous!$G$6:$O$29,8,FALSE))</f>
        <v>19.190000000000001</v>
      </c>
      <c r="AL4">
        <f>IF(AL$3="HLH",VLOOKUP(DATE(YEAR(AL$2)-2,MONTH(AL$2),1),Rates_previous!$G$6:$O$29,7,FALSE),VLOOKUP(DATE(YEAR(AL$2)-2,MONTH(AL$2),1),Rates_previous!$G$6:$O$29,8,FALSE))</f>
        <v>16.11</v>
      </c>
      <c r="AM4">
        <f>IF(AM$3="HLH",VLOOKUP(DATE(YEAR(AM$2)-2,MONTH(AM$2),1),Rates_previous!$G$6:$O$29,7,FALSE),VLOOKUP(DATE(YEAR(AM$2)-2,MONTH(AM$2),1),Rates_previous!$G$6:$O$29,8,FALSE))</f>
        <v>17.98</v>
      </c>
      <c r="AN4">
        <f>IF(AN$3="HLH",VLOOKUP(DATE(YEAR(AN$2)-2,MONTH(AN$2),1),Rates_previous!$G$6:$O$29,7,FALSE),VLOOKUP(DATE(YEAR(AN$2)-2,MONTH(AN$2),1),Rates_previous!$G$6:$O$29,8,FALSE))</f>
        <v>14.4</v>
      </c>
      <c r="AO4">
        <f>IF(AO$3="HLH",VLOOKUP(DATE(YEAR(AO$2)-2,MONTH(AO$2),1),Rates_previous!$G$6:$O$29,7,FALSE),VLOOKUP(DATE(YEAR(AO$2)-2,MONTH(AO$2),1),Rates_previous!$G$6:$O$29,8,FALSE))</f>
        <v>11.71</v>
      </c>
      <c r="AP4">
        <f>IF(AP$3="HLH",VLOOKUP(DATE(YEAR(AP$2)-2,MONTH(AP$2),1),Rates_previous!$G$6:$O$29,7,FALSE),VLOOKUP(DATE(YEAR(AP$2)-2,MONTH(AP$2),1),Rates_previous!$G$6:$O$29,8,FALSE))</f>
        <v>6.55</v>
      </c>
      <c r="AQ4">
        <f>IF(AQ$3="HLH",VLOOKUP(DATE(YEAR(AQ$2)-2,MONTH(AQ$2),1),Rates_previous!$G$6:$O$29,7,FALSE),VLOOKUP(DATE(YEAR(AQ$2)-2,MONTH(AQ$2),1),Rates_previous!$G$6:$O$29,8,FALSE))</f>
        <v>10.52</v>
      </c>
      <c r="AR4">
        <f>IF(AR$3="HLH",VLOOKUP(DATE(YEAR(AR$2)-2,MONTH(AR$2),1),Rates_previous!$G$6:$O$29,7,FALSE),VLOOKUP(DATE(YEAR(AR$2)-2,MONTH(AR$2),1),Rates_previous!$G$6:$O$29,8,FALSE))</f>
        <v>1.68</v>
      </c>
      <c r="AS4">
        <f>IF(AS$3="HLH",VLOOKUP(DATE(YEAR(AS$2)-2,MONTH(AS$2),1),Rates_previous!$G$6:$O$29,7,FALSE),VLOOKUP(DATE(YEAR(AS$2)-2,MONTH(AS$2),1),Rates_previous!$G$6:$O$29,8,FALSE))</f>
        <v>21.45</v>
      </c>
      <c r="AT4">
        <f>IF(AT$3="HLH",VLOOKUP(DATE(YEAR(AT$2)-2,MONTH(AT$2),1),Rates_previous!$G$6:$O$29,7,FALSE),VLOOKUP(DATE(YEAR(AT$2)-2,MONTH(AT$2),1),Rates_previous!$G$6:$O$29,8,FALSE))</f>
        <v>15.31</v>
      </c>
      <c r="AU4">
        <f>IF(AU$3="HLH",VLOOKUP(DATE(YEAR(AU$2)-2,MONTH(AU$2),1),Rates_previous!$G$6:$O$29,7,FALSE),VLOOKUP(DATE(YEAR(AU$2)-2,MONTH(AU$2),1),Rates_previous!$G$6:$O$29,8,FALSE))</f>
        <v>25.24</v>
      </c>
      <c r="AV4">
        <f>IF(AV$3="HLH",VLOOKUP(DATE(YEAR(AV$2)-2,MONTH(AV$2),1),Rates_previous!$G$6:$O$29,7,FALSE),VLOOKUP(DATE(YEAR(AV$2)-2,MONTH(AV$2),1),Rates_previous!$G$6:$O$29,8,FALSE))</f>
        <v>20.21</v>
      </c>
      <c r="AW4">
        <f>IF(AW$3="HLH",VLOOKUP(DATE(YEAR(AW$2)-2,MONTH(AW$2),1),Rates_previous!$G$6:$O$29,7,FALSE),VLOOKUP(DATE(YEAR(AW$2)-2,MONTH(AW$2),1),Rates_previous!$G$6:$O$29,8,FALSE))</f>
        <v>24.86</v>
      </c>
      <c r="AX4">
        <f>IF(AX$3="HLH",VLOOKUP(DATE(YEAR(AX$2)-2,MONTH(AX$2),1),Rates_previous!$G$6:$O$29,7,FALSE),VLOOKUP(DATE(YEAR(AX$2)-2,MONTH(AX$2),1),Rates_previous!$G$6:$O$29,8,FALSE))</f>
        <v>19.98</v>
      </c>
    </row>
    <row r="5" spans="2:50">
      <c r="B5" t="s">
        <v>210</v>
      </c>
      <c r="C5">
        <f>IF(C$3="HLH",VLOOKUP(DATE(YEAR(C$2),MONTH(C$2),1),Rates_current!$G$6:$O$29,7,FALSE),VLOOKUP(DATE(YEAR(C$2),MONTH(C$2),1),Rates_current!$G$6:$O$29,8,FALSE))</f>
        <v>29.92</v>
      </c>
      <c r="D5">
        <f>IF(D$3="HLH",VLOOKUP(DATE(YEAR(D$2),MONTH(D$2),1),Rates_current!$G$6:$O$29,7,FALSE),VLOOKUP(DATE(YEAR(D$2),MONTH(D$2),1),Rates_current!$G$6:$O$29,8,FALSE))</f>
        <v>28.27</v>
      </c>
      <c r="E5">
        <f>IF(E$3="HLH",VLOOKUP(DATE(YEAR(E$2),MONTH(E$2),1),Rates_current!$G$6:$O$29,7,FALSE),VLOOKUP(DATE(YEAR(E$2),MONTH(E$2),1),Rates_current!$G$6:$O$29,8,FALSE))</f>
        <v>31.71</v>
      </c>
      <c r="F5">
        <f>IF(F$3="HLH",VLOOKUP(DATE(YEAR(F$2),MONTH(F$2),1),Rates_current!$G$6:$O$29,7,FALSE),VLOOKUP(DATE(YEAR(F$2),MONTH(F$2),1),Rates_current!$G$6:$O$29,8,FALSE))</f>
        <v>29.14</v>
      </c>
      <c r="G5">
        <f>IF(G$3="HLH",VLOOKUP(DATE(YEAR(G$2),MONTH(G$2),1),Rates_current!$G$6:$O$29,7,FALSE),VLOOKUP(DATE(YEAR(G$2),MONTH(G$2),1),Rates_current!$G$6:$O$29,8,FALSE))</f>
        <v>38.76</v>
      </c>
      <c r="H5">
        <f>IF(H$3="HLH",VLOOKUP(DATE(YEAR(H$2),MONTH(H$2),1),Rates_current!$G$6:$O$29,7,FALSE),VLOOKUP(DATE(YEAR(H$2),MONTH(H$2),1),Rates_current!$G$6:$O$29,8,FALSE))</f>
        <v>32.049999999999997</v>
      </c>
      <c r="I5">
        <f>IF(I$3="HLH",VLOOKUP(DATE(YEAR(I$2),MONTH(I$2),1),Rates_current!$G$6:$O$29,7,FALSE),VLOOKUP(DATE(YEAR(I$2),MONTH(I$2),1),Rates_current!$G$6:$O$29,8,FALSE))</f>
        <v>34.29</v>
      </c>
      <c r="J5">
        <f>IF(J$3="HLH",VLOOKUP(DATE(YEAR(J$2),MONTH(J$2),1),Rates_current!$G$6:$O$29,7,FALSE),VLOOKUP(DATE(YEAR(J$2),MONTH(J$2),1),Rates_current!$G$6:$O$29,8,FALSE))</f>
        <v>25.85</v>
      </c>
      <c r="K5">
        <f>IF(K$3="HLH",VLOOKUP(DATE(YEAR(K$2),MONTH(K$2),1),Rates_current!$G$6:$O$29,7,FALSE),VLOOKUP(DATE(YEAR(K$2),MONTH(K$2),1),Rates_current!$G$6:$O$29,8,FALSE))</f>
        <v>34.79</v>
      </c>
      <c r="L5">
        <f>IF(L$3="HLH",VLOOKUP(DATE(YEAR(L$2),MONTH(L$2),1),Rates_current!$G$6:$O$29,7,FALSE),VLOOKUP(DATE(YEAR(L$2),MONTH(L$2),1),Rates_current!$G$6:$O$29,8,FALSE))</f>
        <v>28.29</v>
      </c>
      <c r="M5">
        <f>IF(M$3="HLH",VLOOKUP(DATE(YEAR(M$2),MONTH(M$2),1),Rates_current!$G$6:$O$29,7,FALSE),VLOOKUP(DATE(YEAR(M$2),MONTH(M$2),1),Rates_current!$G$6:$O$29,8,FALSE))</f>
        <v>27.57</v>
      </c>
      <c r="N5">
        <f>IF(N$3="HLH",VLOOKUP(DATE(YEAR(N$2),MONTH(N$2),1),Rates_current!$G$6:$O$29,7,FALSE),VLOOKUP(DATE(YEAR(N$2),MONTH(N$2),1),Rates_current!$G$6:$O$29,8,FALSE))</f>
        <v>28.44</v>
      </c>
      <c r="O5">
        <f>IF(O$3="HLH",VLOOKUP(DATE(YEAR(O$2),MONTH(O$2),1),Rates_current!$G$6:$O$29,7,FALSE),VLOOKUP(DATE(YEAR(O$2),MONTH(O$2),1),Rates_current!$G$6:$O$29,8,FALSE))</f>
        <v>20.71</v>
      </c>
      <c r="P5">
        <f>IF(P$3="HLH",VLOOKUP(DATE(YEAR(P$2),MONTH(P$2),1),Rates_current!$G$6:$O$29,7,FALSE),VLOOKUP(DATE(YEAR(P$2),MONTH(P$2),1),Rates_current!$G$6:$O$29,8,FALSE))</f>
        <v>25.66</v>
      </c>
      <c r="Q5">
        <f>IF(Q$3="HLH",VLOOKUP(DATE(YEAR(Q$2),MONTH(Q$2),1),Rates_current!$G$6:$O$29,7,FALSE),VLOOKUP(DATE(YEAR(Q$2),MONTH(Q$2),1),Rates_current!$G$6:$O$29,8,FALSE))</f>
        <v>16.28</v>
      </c>
      <c r="R5">
        <f>IF(R$3="HLH",VLOOKUP(DATE(YEAR(R$2),MONTH(R$2),1),Rates_current!$G$6:$O$29,7,FALSE),VLOOKUP(DATE(YEAR(R$2),MONTH(R$2),1),Rates_current!$G$6:$O$29,8,FALSE))</f>
        <v>16.3</v>
      </c>
      <c r="S5">
        <f>IF(S$3="HLH",VLOOKUP(DATE(YEAR(S$2),MONTH(S$2),1),Rates_current!$G$6:$O$29,7,FALSE),VLOOKUP(DATE(YEAR(S$2),MONTH(S$2),1),Rates_current!$G$6:$O$29,8,FALSE))</f>
        <v>17.149999999999999</v>
      </c>
      <c r="T5">
        <f>IF(T$3="HLH",VLOOKUP(DATE(YEAR(T$2),MONTH(T$2),1),Rates_current!$G$6:$O$29,7,FALSE),VLOOKUP(DATE(YEAR(T$2),MONTH(T$2),1),Rates_current!$G$6:$O$29,8,FALSE))</f>
        <v>10.62</v>
      </c>
      <c r="U5">
        <f>IF(U$3="HLH",VLOOKUP(DATE(YEAR(U$2),MONTH(U$2),1),Rates_current!$G$6:$O$29,7,FALSE),VLOOKUP(DATE(YEAR(U$2),MONTH(U$2),1),Rates_current!$G$6:$O$29,8,FALSE))</f>
        <v>36.83</v>
      </c>
      <c r="V5">
        <f>IF(V$3="HLH",VLOOKUP(DATE(YEAR(V$2),MONTH(V$2),1),Rates_current!$G$6:$O$29,7,FALSE),VLOOKUP(DATE(YEAR(V$2),MONTH(V$2),1),Rates_current!$G$6:$O$29,8,FALSE))</f>
        <v>21.36</v>
      </c>
      <c r="W5">
        <f>IF(W$3="HLH",VLOOKUP(DATE(YEAR(W$2),MONTH(W$2),1),Rates_current!$G$6:$O$29,7,FALSE),VLOOKUP(DATE(YEAR(W$2),MONTH(W$2),1),Rates_current!$G$6:$O$29,8,FALSE))</f>
        <v>35.869999999999997</v>
      </c>
      <c r="X5">
        <f>IF(X$3="HLH",VLOOKUP(DATE(YEAR(X$2),MONTH(X$2),1),Rates_current!$G$6:$O$29,7,FALSE),VLOOKUP(DATE(YEAR(X$2),MONTH(X$2),1),Rates_current!$G$6:$O$29,8,FALSE))</f>
        <v>26.85</v>
      </c>
      <c r="Y5">
        <f>IF(Y$3="HLH",VLOOKUP(DATE(YEAR(Y$2),MONTH(Y$2),1),Rates_current!$G$6:$O$29,7,FALSE),VLOOKUP(DATE(YEAR(Y$2),MONTH(Y$2),1),Rates_current!$G$6:$O$29,8,FALSE))</f>
        <v>28.15</v>
      </c>
      <c r="Z5">
        <f>IF(Z$3="HLH",VLOOKUP(DATE(YEAR(Z$2),MONTH(Z$2),1),Rates_current!$G$6:$O$29,7,FALSE),VLOOKUP(DATE(YEAR(Z$2),MONTH(Z$2),1),Rates_current!$G$6:$O$29,8,FALSE))</f>
        <v>28.95</v>
      </c>
      <c r="AA5">
        <f>IF(AA$3="HLH",VLOOKUP(DATE(YEAR(AA$2),MONTH(AA$2),1),Rates_current!$G$6:$O$29,7,FALSE),VLOOKUP(DATE(YEAR(AA$2),MONTH(AA$2),1),Rates_current!$G$6:$O$29,8,FALSE))</f>
        <v>29.92</v>
      </c>
      <c r="AB5">
        <f>IF(AB$3="HLH",VLOOKUP(DATE(YEAR(AB$2),MONTH(AB$2),1),Rates_current!$G$6:$O$29,7,FALSE),VLOOKUP(DATE(YEAR(AB$2),MONTH(AB$2),1),Rates_current!$G$6:$O$29,8,FALSE))</f>
        <v>28.27</v>
      </c>
      <c r="AC5">
        <f>IF(AC$3="HLH",VLOOKUP(DATE(YEAR(AC$2),MONTH(AC$2),1),Rates_current!$G$6:$O$29,7,FALSE),VLOOKUP(DATE(YEAR(AC$2),MONTH(AC$2),1),Rates_current!$G$6:$O$29,8,FALSE))</f>
        <v>31.71</v>
      </c>
      <c r="AD5">
        <f>IF(AD$3="HLH",VLOOKUP(DATE(YEAR(AD$2),MONTH(AD$2),1),Rates_current!$G$6:$O$29,7,FALSE),VLOOKUP(DATE(YEAR(AD$2),MONTH(AD$2),1),Rates_current!$G$6:$O$29,8,FALSE))</f>
        <v>29.14</v>
      </c>
      <c r="AE5">
        <f>IF(AE$3="HLH",VLOOKUP(DATE(YEAR(AE$2),MONTH(AE$2),1),Rates_current!$G$6:$O$29,7,FALSE),VLOOKUP(DATE(YEAR(AE$2),MONTH(AE$2),1),Rates_current!$G$6:$O$29,8,FALSE))</f>
        <v>38.76</v>
      </c>
      <c r="AF5">
        <f>IF(AF$3="HLH",VLOOKUP(DATE(YEAR(AF$2),MONTH(AF$2),1),Rates_current!$G$6:$O$29,7,FALSE),VLOOKUP(DATE(YEAR(AF$2),MONTH(AF$2),1),Rates_current!$G$6:$O$29,8,FALSE))</f>
        <v>32.049999999999997</v>
      </c>
      <c r="AG5">
        <f>IF(AG$3="HLH",VLOOKUP(DATE(YEAR(AG$2),MONTH(AG$2),1),Rates_current!$G$6:$O$29,7,FALSE),VLOOKUP(DATE(YEAR(AG$2),MONTH(AG$2),1),Rates_current!$G$6:$O$29,8,FALSE))</f>
        <v>34.29</v>
      </c>
      <c r="AH5">
        <f>IF(AH$3="HLH",VLOOKUP(DATE(YEAR(AH$2),MONTH(AH$2),1),Rates_current!$G$6:$O$29,7,FALSE),VLOOKUP(DATE(YEAR(AH$2),MONTH(AH$2),1),Rates_current!$G$6:$O$29,8,FALSE))</f>
        <v>25.85</v>
      </c>
      <c r="AI5">
        <f>IF(AI$3="HLH",VLOOKUP(DATE(YEAR(AI$2),MONTH(AI$2),1),Rates_current!$G$6:$O$29,7,FALSE),VLOOKUP(DATE(YEAR(AI$2),MONTH(AI$2),1),Rates_current!$G$6:$O$29,8,FALSE))</f>
        <v>34.79</v>
      </c>
      <c r="AJ5">
        <f>IF(AJ$3="HLH",VLOOKUP(DATE(YEAR(AJ$2),MONTH(AJ$2),1),Rates_current!$G$6:$O$29,7,FALSE),VLOOKUP(DATE(YEAR(AJ$2),MONTH(AJ$2),1),Rates_current!$G$6:$O$29,8,FALSE))</f>
        <v>28.29</v>
      </c>
      <c r="AK5">
        <f>IF(AK$3="HLH",VLOOKUP(DATE(YEAR(AK$2),MONTH(AK$2),1),Rates_current!$G$6:$O$29,7,FALSE),VLOOKUP(DATE(YEAR(AK$2),MONTH(AK$2),1),Rates_current!$G$6:$O$29,8,FALSE))</f>
        <v>27.57</v>
      </c>
      <c r="AL5">
        <f>IF(AL$3="HLH",VLOOKUP(DATE(YEAR(AL$2),MONTH(AL$2),1),Rates_current!$G$6:$O$29,7,FALSE),VLOOKUP(DATE(YEAR(AL$2),MONTH(AL$2),1),Rates_current!$G$6:$O$29,8,FALSE))</f>
        <v>28.44</v>
      </c>
      <c r="AM5">
        <f>IF(AM$3="HLH",VLOOKUP(DATE(YEAR(AM$2),MONTH(AM$2),1),Rates_current!$G$6:$O$29,7,FALSE),VLOOKUP(DATE(YEAR(AM$2),MONTH(AM$2),1),Rates_current!$G$6:$O$29,8,FALSE))</f>
        <v>20.71</v>
      </c>
      <c r="AN5">
        <f>IF(AN$3="HLH",VLOOKUP(DATE(YEAR(AN$2),MONTH(AN$2),1),Rates_current!$G$6:$O$29,7,FALSE),VLOOKUP(DATE(YEAR(AN$2),MONTH(AN$2),1),Rates_current!$G$6:$O$29,8,FALSE))</f>
        <v>25.66</v>
      </c>
      <c r="AO5">
        <f>IF(AO$3="HLH",VLOOKUP(DATE(YEAR(AO$2),MONTH(AO$2),1),Rates_current!$G$6:$O$29,7,FALSE),VLOOKUP(DATE(YEAR(AO$2),MONTH(AO$2),1),Rates_current!$G$6:$O$29,8,FALSE))</f>
        <v>16.28</v>
      </c>
      <c r="AP5">
        <f>IF(AP$3="HLH",VLOOKUP(DATE(YEAR(AP$2),MONTH(AP$2),1),Rates_current!$G$6:$O$29,7,FALSE),VLOOKUP(DATE(YEAR(AP$2),MONTH(AP$2),1),Rates_current!$G$6:$O$29,8,FALSE))</f>
        <v>16.3</v>
      </c>
      <c r="AQ5">
        <f>IF(AQ$3="HLH",VLOOKUP(DATE(YEAR(AQ$2),MONTH(AQ$2),1),Rates_current!$G$6:$O$29,7,FALSE),VLOOKUP(DATE(YEAR(AQ$2),MONTH(AQ$2),1),Rates_current!$G$6:$O$29,8,FALSE))</f>
        <v>17.149999999999999</v>
      </c>
      <c r="AR5">
        <f>IF(AR$3="HLH",VLOOKUP(DATE(YEAR(AR$2),MONTH(AR$2),1),Rates_current!$G$6:$O$29,7,FALSE),VLOOKUP(DATE(YEAR(AR$2),MONTH(AR$2),1),Rates_current!$G$6:$O$29,8,FALSE))</f>
        <v>10.62</v>
      </c>
      <c r="AS5">
        <f>IF(AS$3="HLH",VLOOKUP(DATE(YEAR(AS$2),MONTH(AS$2),1),Rates_current!$G$6:$O$29,7,FALSE),VLOOKUP(DATE(YEAR(AS$2),MONTH(AS$2),1),Rates_current!$G$6:$O$29,8,FALSE))</f>
        <v>36.83</v>
      </c>
      <c r="AT5">
        <f>IF(AT$3="HLH",VLOOKUP(DATE(YEAR(AT$2),MONTH(AT$2),1),Rates_current!$G$6:$O$29,7,FALSE),VLOOKUP(DATE(YEAR(AT$2),MONTH(AT$2),1),Rates_current!$G$6:$O$29,8,FALSE))</f>
        <v>21.36</v>
      </c>
      <c r="AU5">
        <f>IF(AU$3="HLH",VLOOKUP(DATE(YEAR(AU$2),MONTH(AU$2),1),Rates_current!$G$6:$O$29,7,FALSE),VLOOKUP(DATE(YEAR(AU$2),MONTH(AU$2),1),Rates_current!$G$6:$O$29,8,FALSE))</f>
        <v>35.869999999999997</v>
      </c>
      <c r="AV5">
        <f>IF(AV$3="HLH",VLOOKUP(DATE(YEAR(AV$2),MONTH(AV$2),1),Rates_current!$G$6:$O$29,7,FALSE),VLOOKUP(DATE(YEAR(AV$2),MONTH(AV$2),1),Rates_current!$G$6:$O$29,8,FALSE))</f>
        <v>26.85</v>
      </c>
      <c r="AW5">
        <f>IF(AW$3="HLH",VLOOKUP(DATE(YEAR(AW$2),MONTH(AW$2),1),Rates_current!$G$6:$O$29,7,FALSE),VLOOKUP(DATE(YEAR(AW$2),MONTH(AW$2),1),Rates_current!$G$6:$O$29,8,FALSE))</f>
        <v>28.15</v>
      </c>
      <c r="AX5">
        <f>IF(AX$3="HLH",VLOOKUP(DATE(YEAR(AX$2),MONTH(AX$2),1),Rates_current!$G$6:$O$29,7,FALSE),VLOOKUP(DATE(YEAR(AX$2),MONTH(AX$2),1),Rates_current!$G$6:$O$29,8,FALSE))</f>
        <v>28.95</v>
      </c>
    </row>
    <row r="6" spans="2:50">
      <c r="B6" t="s">
        <v>211</v>
      </c>
      <c r="C6">
        <f>IF(C$3="HLH",VLOOKUP(DATE(YEAR(C$2)-2,MONTH(C$2),1),Rates_previous!$G$6:$O$29,3,FALSE),0)</f>
        <v>11.42</v>
      </c>
      <c r="D6">
        <f>IF(D$3="HLH",VLOOKUP(DATE(YEAR(D$2)-2,MONTH(D$2),1),Rates_previous!$G$6:$O$29,3,FALSE),0)</f>
        <v>0</v>
      </c>
      <c r="E6">
        <f>IF(E$3="HLH",VLOOKUP(DATE(YEAR(E$2)-2,MONTH(E$2),1),Rates_previous!$G$6:$O$29,3,FALSE),0)</f>
        <v>12.07</v>
      </c>
      <c r="F6">
        <f>IF(F$3="HLH",VLOOKUP(DATE(YEAR(F$2)-2,MONTH(F$2),1),Rates_previous!$G$6:$O$29,3,FALSE),0)</f>
        <v>0</v>
      </c>
      <c r="G6">
        <f>IF(G$3="HLH",VLOOKUP(DATE(YEAR(G$2)-2,MONTH(G$2),1),Rates_previous!$G$6:$O$29,3,FALSE),0)</f>
        <v>13.45</v>
      </c>
      <c r="H6">
        <f>IF(H$3="HLH",VLOOKUP(DATE(YEAR(H$2)-2,MONTH(H$2),1),Rates_previous!$G$6:$O$29,3,FALSE),0)</f>
        <v>0</v>
      </c>
      <c r="I6">
        <f>IF(I$3="HLH",VLOOKUP(DATE(YEAR(I$2)-2,MONTH(I$2),1),Rates_previous!$G$6:$O$29,3,FALSE),0)</f>
        <v>12.1</v>
      </c>
      <c r="J6">
        <f>IF(J$3="HLH",VLOOKUP(DATE(YEAR(J$2)-2,MONTH(J$2),1),Rates_previous!$G$6:$O$29,3,FALSE),0)</f>
        <v>0</v>
      </c>
      <c r="K6">
        <f>IF(K$3="HLH",VLOOKUP(DATE(YEAR(K$2)-2,MONTH(K$2),1),Rates_previous!$G$6:$O$29,3,FALSE),0)</f>
        <v>11.66</v>
      </c>
      <c r="L6">
        <f>IF(L$3="HLH",VLOOKUP(DATE(YEAR(L$2)-2,MONTH(L$2),1),Rates_previous!$G$6:$O$29,3,FALSE),0)</f>
        <v>0</v>
      </c>
      <c r="M6">
        <f>IF(M$3="HLH",VLOOKUP(DATE(YEAR(M$2)-2,MONTH(M$2),1),Rates_previous!$G$6:$O$29,3,FALSE),0)</f>
        <v>9.19</v>
      </c>
      <c r="N6">
        <f>IF(N$3="HLH",VLOOKUP(DATE(YEAR(N$2)-2,MONTH(N$2),1),Rates_previous!$G$6:$O$29,3,FALSE),0)</f>
        <v>0</v>
      </c>
      <c r="O6">
        <f>IF(O$3="HLH",VLOOKUP(DATE(YEAR(O$2)-2,MONTH(O$2),1),Rates_previous!$G$6:$O$29,3,FALSE),0)</f>
        <v>8.61</v>
      </c>
      <c r="P6">
        <f>IF(P$3="HLH",VLOOKUP(DATE(YEAR(P$2)-2,MONTH(P$2),1),Rates_previous!$G$6:$O$29,3,FALSE),0)</f>
        <v>0</v>
      </c>
      <c r="Q6">
        <f>IF(Q$3="HLH",VLOOKUP(DATE(YEAR(Q$2)-2,MONTH(Q$2),1),Rates_previous!$G$6:$O$29,3,FALSE),0)</f>
        <v>5.6</v>
      </c>
      <c r="R6">
        <f>IF(R$3="HLH",VLOOKUP(DATE(YEAR(R$2)-2,MONTH(R$2),1),Rates_previous!$G$6:$O$29,3,FALSE),0)</f>
        <v>0</v>
      </c>
      <c r="S6">
        <f>IF(S$3="HLH",VLOOKUP(DATE(YEAR(S$2)-2,MONTH(S$2),1),Rates_previous!$G$6:$O$29,3,FALSE),0)</f>
        <v>5.04</v>
      </c>
      <c r="T6">
        <f>IF(T$3="HLH",VLOOKUP(DATE(YEAR(T$2)-2,MONTH(T$2),1),Rates_previous!$G$6:$O$29,3,FALSE),0)</f>
        <v>0</v>
      </c>
      <c r="U6">
        <f>IF(U$3="HLH",VLOOKUP(DATE(YEAR(U$2)-2,MONTH(U$2),1),Rates_previous!$G$6:$O$29,3,FALSE),0)</f>
        <v>10.27</v>
      </c>
      <c r="V6">
        <f>IF(V$3="HLH",VLOOKUP(DATE(YEAR(V$2)-2,MONTH(V$2),1),Rates_previous!$G$6:$O$29,3,FALSE),0)</f>
        <v>0</v>
      </c>
      <c r="W6">
        <f>IF(W$3="HLH",VLOOKUP(DATE(YEAR(W$2)-2,MONTH(W$2),1),Rates_previous!$G$6:$O$29,3,FALSE),0)</f>
        <v>12.1</v>
      </c>
      <c r="X6">
        <f>IF(X$3="HLH",VLOOKUP(DATE(YEAR(X$2)-2,MONTH(X$2),1),Rates_previous!$G$6:$O$29,3,FALSE),0)</f>
        <v>0</v>
      </c>
      <c r="Y6">
        <f>IF(Y$3="HLH",VLOOKUP(DATE(YEAR(Y$2)-2,MONTH(Y$2),1),Rates_previous!$G$6:$O$29,3,FALSE),0)</f>
        <v>11.91</v>
      </c>
      <c r="Z6">
        <f>IF(Z$3="HLH",VLOOKUP(DATE(YEAR(Z$2)-2,MONTH(Z$2),1),Rates_previous!$G$6:$O$29,3,FALSE),0)</f>
        <v>0</v>
      </c>
      <c r="AA6">
        <f>IF(AA$3="HLH",VLOOKUP(DATE(YEAR(AA$2)-2,MONTH(AA$2),1),Rates_previous!$G$6:$O$29,3,FALSE),0)</f>
        <v>11.42</v>
      </c>
      <c r="AB6">
        <f>IF(AB$3="HLH",VLOOKUP(DATE(YEAR(AB$2)-2,MONTH(AB$2),1),Rates_previous!$G$6:$O$29,3,FALSE),0)</f>
        <v>0</v>
      </c>
      <c r="AC6">
        <f>IF(AC$3="HLH",VLOOKUP(DATE(YEAR(AC$2)-2,MONTH(AC$2),1),Rates_previous!$G$6:$O$29,3,FALSE),0)</f>
        <v>12.07</v>
      </c>
      <c r="AD6">
        <f>IF(AD$3="HLH",VLOOKUP(DATE(YEAR(AD$2)-2,MONTH(AD$2),1),Rates_previous!$G$6:$O$29,3,FALSE),0)</f>
        <v>0</v>
      </c>
      <c r="AE6">
        <f>IF(AE$3="HLH",VLOOKUP(DATE(YEAR(AE$2)-2,MONTH(AE$2),1),Rates_previous!$G$6:$O$29,3,FALSE),0)</f>
        <v>13.45</v>
      </c>
      <c r="AF6">
        <f>IF(AF$3="HLH",VLOOKUP(DATE(YEAR(AF$2)-2,MONTH(AF$2),1),Rates_previous!$G$6:$O$29,3,FALSE),0)</f>
        <v>0</v>
      </c>
      <c r="AG6">
        <f>IF(AG$3="HLH",VLOOKUP(DATE(YEAR(AG$2)-2,MONTH(AG$2),1),Rates_previous!$G$6:$O$29,3,FALSE),0)</f>
        <v>12.1</v>
      </c>
      <c r="AH6">
        <f>IF(AH$3="HLH",VLOOKUP(DATE(YEAR(AH$2)-2,MONTH(AH$2),1),Rates_previous!$G$6:$O$29,3,FALSE),0)</f>
        <v>0</v>
      </c>
      <c r="AI6">
        <f>IF(AI$3="HLH",VLOOKUP(DATE(YEAR(AI$2)-2,MONTH(AI$2),1),Rates_previous!$G$6:$O$29,3,FALSE),0)</f>
        <v>11.66</v>
      </c>
      <c r="AJ6">
        <f>IF(AJ$3="HLH",VLOOKUP(DATE(YEAR(AJ$2)-2,MONTH(AJ$2),1),Rates_previous!$G$6:$O$29,3,FALSE),0)</f>
        <v>0</v>
      </c>
      <c r="AK6">
        <f>IF(AK$3="HLH",VLOOKUP(DATE(YEAR(AK$2)-2,MONTH(AK$2),1),Rates_previous!$G$6:$O$29,3,FALSE),0)</f>
        <v>9.19</v>
      </c>
      <c r="AL6">
        <f>IF(AL$3="HLH",VLOOKUP(DATE(YEAR(AL$2)-2,MONTH(AL$2),1),Rates_previous!$G$6:$O$29,3,FALSE),0)</f>
        <v>0</v>
      </c>
      <c r="AM6">
        <f>IF(AM$3="HLH",VLOOKUP(DATE(YEAR(AM$2)-2,MONTH(AM$2),1),Rates_previous!$G$6:$O$29,3,FALSE),0)</f>
        <v>8.61</v>
      </c>
      <c r="AN6">
        <f>IF(AN$3="HLH",VLOOKUP(DATE(YEAR(AN$2)-2,MONTH(AN$2),1),Rates_previous!$G$6:$O$29,3,FALSE),0)</f>
        <v>0</v>
      </c>
      <c r="AO6">
        <f>IF(AO$3="HLH",VLOOKUP(DATE(YEAR(AO$2)-2,MONTH(AO$2),1),Rates_previous!$G$6:$O$29,3,FALSE),0)</f>
        <v>5.6</v>
      </c>
      <c r="AP6">
        <f>IF(AP$3="HLH",VLOOKUP(DATE(YEAR(AP$2)-2,MONTH(AP$2),1),Rates_previous!$G$6:$O$29,3,FALSE),0)</f>
        <v>0</v>
      </c>
      <c r="AQ6">
        <f>IF(AQ$3="HLH",VLOOKUP(DATE(YEAR(AQ$2)-2,MONTH(AQ$2),1),Rates_previous!$G$6:$O$29,3,FALSE),0)</f>
        <v>5.04</v>
      </c>
      <c r="AR6">
        <f>IF(AR$3="HLH",VLOOKUP(DATE(YEAR(AR$2)-2,MONTH(AR$2),1),Rates_previous!$G$6:$O$29,3,FALSE),0)</f>
        <v>0</v>
      </c>
      <c r="AS6">
        <f>IF(AS$3="HLH",VLOOKUP(DATE(YEAR(AS$2)-2,MONTH(AS$2),1),Rates_previous!$G$6:$O$29,3,FALSE),0)</f>
        <v>10.27</v>
      </c>
      <c r="AT6">
        <f>IF(AT$3="HLH",VLOOKUP(DATE(YEAR(AT$2)-2,MONTH(AT$2),1),Rates_previous!$G$6:$O$29,3,FALSE),0)</f>
        <v>0</v>
      </c>
      <c r="AU6">
        <f>IF(AU$3="HLH",VLOOKUP(DATE(YEAR(AU$2)-2,MONTH(AU$2),1),Rates_previous!$G$6:$O$29,3,FALSE),0)</f>
        <v>12.1</v>
      </c>
      <c r="AV6">
        <f>IF(AV$3="HLH",VLOOKUP(DATE(YEAR(AV$2)-2,MONTH(AV$2),1),Rates_previous!$G$6:$O$29,3,FALSE),0)</f>
        <v>0</v>
      </c>
      <c r="AW6">
        <f>IF(AW$3="HLH",VLOOKUP(DATE(YEAR(AW$2)-2,MONTH(AW$2),1),Rates_previous!$G$6:$O$29,3,FALSE),0)</f>
        <v>11.91</v>
      </c>
      <c r="AX6">
        <f>IF(AX$3="HLH",VLOOKUP(DATE(YEAR(AX$2)-2,MONTH(AX$2),1),Rates_previous!$G$6:$O$29,3,FALSE),0)</f>
        <v>0</v>
      </c>
    </row>
    <row r="7" spans="2:50">
      <c r="B7" t="s">
        <v>212</v>
      </c>
      <c r="C7">
        <f>IF(C$3="HLH",VLOOKUP(DATE(YEAR(C$2),MONTH(C$2),1),Rates_current!$G$6:$O$29,3,FALSE),0)</f>
        <v>9.8699999999999992</v>
      </c>
      <c r="D7">
        <f>IF(D$3="HLH",VLOOKUP(DATE(YEAR(D$2),MONTH(D$2),1),Rates_current!$G$6:$O$29,3,FALSE),0)</f>
        <v>0</v>
      </c>
      <c r="E7">
        <f>IF(E$3="HLH",VLOOKUP(DATE(YEAR(E$2),MONTH(E$2),1),Rates_current!$G$6:$O$29,3,FALSE),0)</f>
        <v>10.46</v>
      </c>
      <c r="F7">
        <f>IF(F$3="HLH",VLOOKUP(DATE(YEAR(F$2),MONTH(F$2),1),Rates_current!$G$6:$O$29,3,FALSE),0)</f>
        <v>0</v>
      </c>
      <c r="G7">
        <f>IF(G$3="HLH",VLOOKUP(DATE(YEAR(G$2),MONTH(G$2),1),Rates_current!$G$6:$O$29,3,FALSE),0)</f>
        <v>12.78</v>
      </c>
      <c r="H7">
        <f>IF(H$3="HLH",VLOOKUP(DATE(YEAR(H$2),MONTH(H$2),1),Rates_current!$G$6:$O$29,3,FALSE),0)</f>
        <v>0</v>
      </c>
      <c r="I7">
        <f>IF(I$3="HLH",VLOOKUP(DATE(YEAR(I$2),MONTH(I$2),1),Rates_current!$G$6:$O$29,3,FALSE),0)</f>
        <v>11.31</v>
      </c>
      <c r="J7">
        <f>IF(J$3="HLH",VLOOKUP(DATE(YEAR(J$2),MONTH(J$2),1),Rates_current!$G$6:$O$29,3,FALSE),0)</f>
        <v>0</v>
      </c>
      <c r="K7">
        <f>IF(K$3="HLH",VLOOKUP(DATE(YEAR(K$2),MONTH(K$2),1),Rates_current!$G$6:$O$29,3,FALSE),0)</f>
        <v>11.47</v>
      </c>
      <c r="L7">
        <f>IF(L$3="HLH",VLOOKUP(DATE(YEAR(L$2),MONTH(L$2),1),Rates_current!$G$6:$O$29,3,FALSE),0)</f>
        <v>0</v>
      </c>
      <c r="M7">
        <f>IF(M$3="HLH",VLOOKUP(DATE(YEAR(M$2),MONTH(M$2),1),Rates_current!$G$6:$O$29,3,FALSE),0)</f>
        <v>9.09</v>
      </c>
      <c r="N7">
        <f>IF(N$3="HLH",VLOOKUP(DATE(YEAR(N$2),MONTH(N$2),1),Rates_current!$G$6:$O$29,3,FALSE),0)</f>
        <v>0</v>
      </c>
      <c r="O7">
        <f>IF(O$3="HLH",VLOOKUP(DATE(YEAR(O$2),MONTH(O$2),1),Rates_current!$G$6:$O$29,3,FALSE),0)</f>
        <v>6.83</v>
      </c>
      <c r="P7">
        <f>IF(P$3="HLH",VLOOKUP(DATE(YEAR(P$2),MONTH(P$2),1),Rates_current!$G$6:$O$29,3,FALSE),0)</f>
        <v>0</v>
      </c>
      <c r="Q7">
        <f>IF(Q$3="HLH",VLOOKUP(DATE(YEAR(Q$2),MONTH(Q$2),1),Rates_current!$G$6:$O$29,3,FALSE),0)</f>
        <v>5.36</v>
      </c>
      <c r="R7">
        <f>IF(R$3="HLH",VLOOKUP(DATE(YEAR(R$2),MONTH(R$2),1),Rates_current!$G$6:$O$29,3,FALSE),0)</f>
        <v>0</v>
      </c>
      <c r="S7">
        <f>IF(S$3="HLH",VLOOKUP(DATE(YEAR(S$2),MONTH(S$2),1),Rates_current!$G$6:$O$29,3,FALSE),0)</f>
        <v>5.65</v>
      </c>
      <c r="T7">
        <f>IF(T$3="HLH",VLOOKUP(DATE(YEAR(T$2),MONTH(T$2),1),Rates_current!$G$6:$O$29,3,FALSE),0)</f>
        <v>0</v>
      </c>
      <c r="U7">
        <f>IF(U$3="HLH",VLOOKUP(DATE(YEAR(U$2),MONTH(U$2),1),Rates_current!$G$6:$O$29,3,FALSE),0)</f>
        <v>12.14</v>
      </c>
      <c r="V7">
        <f>IF(V$3="HLH",VLOOKUP(DATE(YEAR(V$2),MONTH(V$2),1),Rates_current!$G$6:$O$29,3,FALSE),0)</f>
        <v>0</v>
      </c>
      <c r="W7">
        <f>IF(W$3="HLH",VLOOKUP(DATE(YEAR(W$2),MONTH(W$2),1),Rates_current!$G$6:$O$29,3,FALSE),0)</f>
        <v>11.83</v>
      </c>
      <c r="X7">
        <f>IF(X$3="HLH",VLOOKUP(DATE(YEAR(X$2),MONTH(X$2),1),Rates_current!$G$6:$O$29,3,FALSE),0)</f>
        <v>0</v>
      </c>
      <c r="Y7">
        <f>IF(Y$3="HLH",VLOOKUP(DATE(YEAR(Y$2),MONTH(Y$2),1),Rates_current!$G$6:$O$29,3,FALSE),0)</f>
        <v>9.2899999999999991</v>
      </c>
      <c r="Z7">
        <f>IF(Z$3="HLH",VLOOKUP(DATE(YEAR(Z$2),MONTH(Z$2),1),Rates_current!$G$6:$O$29,3,FALSE),0)</f>
        <v>0</v>
      </c>
      <c r="AA7">
        <f>IF(AA$3="HLH",VLOOKUP(DATE(YEAR(AA$2),MONTH(AA$2),1),Rates_current!$G$6:$O$29,3,FALSE),0)</f>
        <v>9.8699999999999992</v>
      </c>
      <c r="AB7">
        <f>IF(AB$3="HLH",VLOOKUP(DATE(YEAR(AB$2),MONTH(AB$2),1),Rates_current!$G$6:$O$29,3,FALSE),0)</f>
        <v>0</v>
      </c>
      <c r="AC7">
        <f>IF(AC$3="HLH",VLOOKUP(DATE(YEAR(AC$2),MONTH(AC$2),1),Rates_current!$G$6:$O$29,3,FALSE),0)</f>
        <v>10.46</v>
      </c>
      <c r="AD7">
        <f>IF(AD$3="HLH",VLOOKUP(DATE(YEAR(AD$2),MONTH(AD$2),1),Rates_current!$G$6:$O$29,3,FALSE),0)</f>
        <v>0</v>
      </c>
      <c r="AE7">
        <f>IF(AE$3="HLH",VLOOKUP(DATE(YEAR(AE$2),MONTH(AE$2),1),Rates_current!$G$6:$O$29,3,FALSE),0)</f>
        <v>12.78</v>
      </c>
      <c r="AF7">
        <f>IF(AF$3="HLH",VLOOKUP(DATE(YEAR(AF$2),MONTH(AF$2),1),Rates_current!$G$6:$O$29,3,FALSE),0)</f>
        <v>0</v>
      </c>
      <c r="AG7">
        <f>IF(AG$3="HLH",VLOOKUP(DATE(YEAR(AG$2),MONTH(AG$2),1),Rates_current!$G$6:$O$29,3,FALSE),0)</f>
        <v>11.31</v>
      </c>
      <c r="AH7">
        <f>IF(AH$3="HLH",VLOOKUP(DATE(YEAR(AH$2),MONTH(AH$2),1),Rates_current!$G$6:$O$29,3,FALSE),0)</f>
        <v>0</v>
      </c>
      <c r="AI7">
        <f>IF(AI$3="HLH",VLOOKUP(DATE(YEAR(AI$2),MONTH(AI$2),1),Rates_current!$G$6:$O$29,3,FALSE),0)</f>
        <v>11.47</v>
      </c>
      <c r="AJ7">
        <f>IF(AJ$3="HLH",VLOOKUP(DATE(YEAR(AJ$2),MONTH(AJ$2),1),Rates_current!$G$6:$O$29,3,FALSE),0)</f>
        <v>0</v>
      </c>
      <c r="AK7">
        <f>IF(AK$3="HLH",VLOOKUP(DATE(YEAR(AK$2),MONTH(AK$2),1),Rates_current!$G$6:$O$29,3,FALSE),0)</f>
        <v>9.09</v>
      </c>
      <c r="AL7">
        <f>IF(AL$3="HLH",VLOOKUP(DATE(YEAR(AL$2),MONTH(AL$2),1),Rates_current!$G$6:$O$29,3,FALSE),0)</f>
        <v>0</v>
      </c>
      <c r="AM7">
        <f>IF(AM$3="HLH",VLOOKUP(DATE(YEAR(AM$2),MONTH(AM$2),1),Rates_current!$G$6:$O$29,3,FALSE),0)</f>
        <v>6.83</v>
      </c>
      <c r="AN7">
        <f>IF(AN$3="HLH",VLOOKUP(DATE(YEAR(AN$2),MONTH(AN$2),1),Rates_current!$G$6:$O$29,3,FALSE),0)</f>
        <v>0</v>
      </c>
      <c r="AO7">
        <f>IF(AO$3="HLH",VLOOKUP(DATE(YEAR(AO$2),MONTH(AO$2),1),Rates_current!$G$6:$O$29,3,FALSE),0)</f>
        <v>5.36</v>
      </c>
      <c r="AP7">
        <f>IF(AP$3="HLH",VLOOKUP(DATE(YEAR(AP$2),MONTH(AP$2),1),Rates_current!$G$6:$O$29,3,FALSE),0)</f>
        <v>0</v>
      </c>
      <c r="AQ7">
        <f>IF(AQ$3="HLH",VLOOKUP(DATE(YEAR(AQ$2),MONTH(AQ$2),1),Rates_current!$G$6:$O$29,3,FALSE),0)</f>
        <v>5.65</v>
      </c>
      <c r="AR7">
        <f>IF(AR$3="HLH",VLOOKUP(DATE(YEAR(AR$2),MONTH(AR$2),1),Rates_current!$G$6:$O$29,3,FALSE),0)</f>
        <v>0</v>
      </c>
      <c r="AS7">
        <f>IF(AS$3="HLH",VLOOKUP(DATE(YEAR(AS$2),MONTH(AS$2),1),Rates_current!$G$6:$O$29,3,FALSE),0)</f>
        <v>12.14</v>
      </c>
      <c r="AT7">
        <f>IF(AT$3="HLH",VLOOKUP(DATE(YEAR(AT$2),MONTH(AT$2),1),Rates_current!$G$6:$O$29,3,FALSE),0)</f>
        <v>0</v>
      </c>
      <c r="AU7">
        <f>IF(AU$3="HLH",VLOOKUP(DATE(YEAR(AU$2),MONTH(AU$2),1),Rates_current!$G$6:$O$29,3,FALSE),0)</f>
        <v>11.83</v>
      </c>
      <c r="AV7">
        <f>IF(AV$3="HLH",VLOOKUP(DATE(YEAR(AV$2),MONTH(AV$2),1),Rates_current!$G$6:$O$29,3,FALSE),0)</f>
        <v>0</v>
      </c>
      <c r="AW7">
        <f>IF(AW$3="HLH",VLOOKUP(DATE(YEAR(AW$2),MONTH(AW$2),1),Rates_current!$G$6:$O$29,3,FALSE),0)</f>
        <v>9.2899999999999991</v>
      </c>
      <c r="AX7">
        <f>IF(AX$3="HLH",VLOOKUP(DATE(YEAR(AX$2),MONTH(AX$2),1),Rates_current!$G$6:$O$29,3,FALSE),0)</f>
        <v>0</v>
      </c>
    </row>
    <row r="9" spans="2:50">
      <c r="C9" s="163">
        <f>INDEX($C$2:$AX$2,1,C12)</f>
        <v>44470</v>
      </c>
      <c r="D9" s="163">
        <f t="shared" ref="D9:Z9" si="0">INDEX($C$2:$AX$2,1,D12)</f>
        <v>44501</v>
      </c>
      <c r="E9" s="163">
        <f t="shared" si="0"/>
        <v>44531</v>
      </c>
      <c r="F9" s="163">
        <f t="shared" si="0"/>
        <v>44562</v>
      </c>
      <c r="G9" s="163">
        <f t="shared" si="0"/>
        <v>44593</v>
      </c>
      <c r="H9" s="163">
        <f t="shared" si="0"/>
        <v>44621</v>
      </c>
      <c r="I9" s="163">
        <f t="shared" si="0"/>
        <v>44652</v>
      </c>
      <c r="J9" s="163">
        <f t="shared" si="0"/>
        <v>44682</v>
      </c>
      <c r="K9" s="163">
        <f t="shared" si="0"/>
        <v>44713</v>
      </c>
      <c r="L9" s="163">
        <f t="shared" si="0"/>
        <v>44743</v>
      </c>
      <c r="M9" s="163">
        <f t="shared" si="0"/>
        <v>44774</v>
      </c>
      <c r="N9" s="163">
        <f t="shared" si="0"/>
        <v>44805</v>
      </c>
      <c r="O9" s="163">
        <f t="shared" si="0"/>
        <v>44835</v>
      </c>
      <c r="P9" s="163">
        <f t="shared" si="0"/>
        <v>44866</v>
      </c>
      <c r="Q9" s="163">
        <f t="shared" si="0"/>
        <v>44896</v>
      </c>
      <c r="R9" s="163">
        <f t="shared" si="0"/>
        <v>44927</v>
      </c>
      <c r="S9" s="163">
        <f t="shared" si="0"/>
        <v>44958</v>
      </c>
      <c r="T9" s="163">
        <f t="shared" si="0"/>
        <v>44986</v>
      </c>
      <c r="U9" s="163">
        <f t="shared" si="0"/>
        <v>45017</v>
      </c>
      <c r="V9" s="163">
        <f t="shared" si="0"/>
        <v>45047</v>
      </c>
      <c r="W9" s="163">
        <f t="shared" si="0"/>
        <v>45078</v>
      </c>
      <c r="X9" s="163">
        <f t="shared" si="0"/>
        <v>45108</v>
      </c>
      <c r="Y9" s="163">
        <f t="shared" si="0"/>
        <v>45139</v>
      </c>
      <c r="Z9" s="163">
        <f t="shared" si="0"/>
        <v>45170</v>
      </c>
    </row>
    <row r="10" spans="2:50">
      <c r="B10" s="203" t="s">
        <v>211</v>
      </c>
      <c r="C10">
        <f>INDEX($C$6:$AX$6,1,C12)</f>
        <v>11.42</v>
      </c>
      <c r="D10" s="203">
        <f t="shared" ref="D10:Z10" si="1">INDEX($C$6:$AX$6,1,D12)</f>
        <v>12.07</v>
      </c>
      <c r="E10" s="203">
        <f t="shared" si="1"/>
        <v>13.45</v>
      </c>
      <c r="F10" s="203">
        <f t="shared" si="1"/>
        <v>12.1</v>
      </c>
      <c r="G10" s="203">
        <f t="shared" si="1"/>
        <v>11.66</v>
      </c>
      <c r="H10" s="203">
        <f t="shared" si="1"/>
        <v>9.19</v>
      </c>
      <c r="I10" s="203">
        <f t="shared" si="1"/>
        <v>8.61</v>
      </c>
      <c r="J10" s="203">
        <f t="shared" si="1"/>
        <v>5.6</v>
      </c>
      <c r="K10" s="203">
        <f t="shared" si="1"/>
        <v>5.04</v>
      </c>
      <c r="L10" s="203">
        <f t="shared" si="1"/>
        <v>10.27</v>
      </c>
      <c r="M10" s="203">
        <f t="shared" si="1"/>
        <v>12.1</v>
      </c>
      <c r="N10" s="203">
        <f t="shared" si="1"/>
        <v>11.91</v>
      </c>
      <c r="O10" s="203">
        <f t="shared" si="1"/>
        <v>11.42</v>
      </c>
      <c r="P10" s="203">
        <f t="shared" si="1"/>
        <v>12.07</v>
      </c>
      <c r="Q10" s="203">
        <f t="shared" si="1"/>
        <v>13.45</v>
      </c>
      <c r="R10" s="203">
        <f>INDEX($C$6:$AX$6,1,R12)</f>
        <v>12.1</v>
      </c>
      <c r="S10" s="203">
        <f t="shared" si="1"/>
        <v>11.66</v>
      </c>
      <c r="T10" s="203">
        <f t="shared" si="1"/>
        <v>9.19</v>
      </c>
      <c r="U10" s="203">
        <f t="shared" si="1"/>
        <v>8.61</v>
      </c>
      <c r="V10" s="203">
        <f t="shared" si="1"/>
        <v>5.6</v>
      </c>
      <c r="W10" s="203">
        <f t="shared" si="1"/>
        <v>5.04</v>
      </c>
      <c r="X10" s="203">
        <f t="shared" si="1"/>
        <v>10.27</v>
      </c>
      <c r="Y10" s="203">
        <f t="shared" si="1"/>
        <v>12.1</v>
      </c>
      <c r="Z10" s="203">
        <f t="shared" si="1"/>
        <v>11.91</v>
      </c>
      <c r="AA10" s="203"/>
      <c r="AB10" s="203"/>
    </row>
    <row r="11" spans="2:50">
      <c r="B11" s="203" t="s">
        <v>212</v>
      </c>
      <c r="C11" s="203">
        <f>INDEX($C$7:$AX$7,1,C12)</f>
        <v>9.8699999999999992</v>
      </c>
      <c r="D11" s="203">
        <f t="shared" ref="D11:Z11" si="2">INDEX($C$7:$AX$7,1,D12)</f>
        <v>10.46</v>
      </c>
      <c r="E11" s="203">
        <f t="shared" si="2"/>
        <v>12.78</v>
      </c>
      <c r="F11" s="203">
        <f t="shared" si="2"/>
        <v>11.31</v>
      </c>
      <c r="G11" s="203">
        <f t="shared" si="2"/>
        <v>11.47</v>
      </c>
      <c r="H11" s="203">
        <f t="shared" si="2"/>
        <v>9.09</v>
      </c>
      <c r="I11" s="203">
        <f t="shared" si="2"/>
        <v>6.83</v>
      </c>
      <c r="J11" s="203">
        <f t="shared" si="2"/>
        <v>5.36</v>
      </c>
      <c r="K11" s="203">
        <f t="shared" si="2"/>
        <v>5.65</v>
      </c>
      <c r="L11" s="203">
        <f t="shared" si="2"/>
        <v>12.14</v>
      </c>
      <c r="M11" s="203">
        <f t="shared" si="2"/>
        <v>11.83</v>
      </c>
      <c r="N11" s="203">
        <f t="shared" si="2"/>
        <v>9.2899999999999991</v>
      </c>
      <c r="O11" s="203">
        <f t="shared" si="2"/>
        <v>9.8699999999999992</v>
      </c>
      <c r="P11" s="203">
        <f t="shared" si="2"/>
        <v>10.46</v>
      </c>
      <c r="Q11" s="203">
        <f t="shared" si="2"/>
        <v>12.78</v>
      </c>
      <c r="R11" s="203">
        <f t="shared" si="2"/>
        <v>11.31</v>
      </c>
      <c r="S11" s="203">
        <f t="shared" si="2"/>
        <v>11.47</v>
      </c>
      <c r="T11" s="203">
        <f t="shared" si="2"/>
        <v>9.09</v>
      </c>
      <c r="U11" s="203">
        <f t="shared" si="2"/>
        <v>6.83</v>
      </c>
      <c r="V11" s="203">
        <f t="shared" si="2"/>
        <v>5.36</v>
      </c>
      <c r="W11" s="203">
        <f t="shared" si="2"/>
        <v>5.65</v>
      </c>
      <c r="X11" s="203">
        <f t="shared" si="2"/>
        <v>12.14</v>
      </c>
      <c r="Y11" s="203">
        <f t="shared" si="2"/>
        <v>11.83</v>
      </c>
      <c r="Z11" s="203">
        <f t="shared" si="2"/>
        <v>9.2899999999999991</v>
      </c>
    </row>
    <row r="12" spans="2:50">
      <c r="C12" s="208">
        <v>1</v>
      </c>
      <c r="D12" s="208">
        <v>3</v>
      </c>
      <c r="E12" s="208">
        <f>D12+2</f>
        <v>5</v>
      </c>
      <c r="F12" s="208">
        <f t="shared" ref="F12:Z12" si="3">E12+2</f>
        <v>7</v>
      </c>
      <c r="G12" s="208">
        <f t="shared" si="3"/>
        <v>9</v>
      </c>
      <c r="H12" s="208">
        <f t="shared" si="3"/>
        <v>11</v>
      </c>
      <c r="I12" s="208">
        <f t="shared" si="3"/>
        <v>13</v>
      </c>
      <c r="J12" s="208">
        <f t="shared" si="3"/>
        <v>15</v>
      </c>
      <c r="K12" s="208">
        <f t="shared" si="3"/>
        <v>17</v>
      </c>
      <c r="L12" s="208">
        <f t="shared" si="3"/>
        <v>19</v>
      </c>
      <c r="M12" s="208">
        <f t="shared" si="3"/>
        <v>21</v>
      </c>
      <c r="N12" s="208">
        <f t="shared" si="3"/>
        <v>23</v>
      </c>
      <c r="O12" s="208">
        <f t="shared" si="3"/>
        <v>25</v>
      </c>
      <c r="P12" s="208">
        <f t="shared" si="3"/>
        <v>27</v>
      </c>
      <c r="Q12" s="208">
        <f t="shared" si="3"/>
        <v>29</v>
      </c>
      <c r="R12" s="208">
        <f t="shared" si="3"/>
        <v>31</v>
      </c>
      <c r="S12" s="208">
        <f t="shared" si="3"/>
        <v>33</v>
      </c>
      <c r="T12" s="208">
        <f t="shared" si="3"/>
        <v>35</v>
      </c>
      <c r="U12" s="208">
        <f t="shared" si="3"/>
        <v>37</v>
      </c>
      <c r="V12" s="208">
        <f t="shared" si="3"/>
        <v>39</v>
      </c>
      <c r="W12" s="208">
        <f t="shared" si="3"/>
        <v>41</v>
      </c>
      <c r="X12" s="208">
        <f t="shared" si="3"/>
        <v>43</v>
      </c>
      <c r="Y12" s="208">
        <f t="shared" si="3"/>
        <v>45</v>
      </c>
      <c r="Z12" s="208">
        <f t="shared" si="3"/>
        <v>47</v>
      </c>
      <c r="AA12" s="203"/>
      <c r="AB12" s="203"/>
    </row>
  </sheetData>
  <conditionalFormatting sqref="C2:L2">
    <cfRule type="expression" dxfId="3" priority="1" stopIfTrue="1">
      <formula>#REF! &gt; 30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D142"/>
  <sheetViews>
    <sheetView zoomScale="85" zoomScaleNormal="85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4"/>
  <cols>
    <col min="1" max="1" width="14.109375" customWidth="1"/>
    <col min="2" max="2" width="26.5546875" bestFit="1" customWidth="1"/>
    <col min="3" max="3" width="8.5546875" style="203" customWidth="1"/>
    <col min="4" max="4" width="10.6640625" style="203" bestFit="1" customWidth="1"/>
    <col min="5" max="6" width="12.6640625" customWidth="1"/>
    <col min="7" max="8" width="12.6640625" style="173" customWidth="1"/>
    <col min="9" max="10" width="12.6640625" style="203" customWidth="1"/>
    <col min="11" max="11" width="12.6640625" style="173" customWidth="1"/>
    <col min="12" max="47" width="8.6640625" style="173" customWidth="1"/>
    <col min="48" max="48" width="8.6640625" style="244" customWidth="1"/>
    <col min="49" max="49" width="9" style="244" customWidth="1"/>
    <col min="50" max="59" width="8.6640625" style="244" customWidth="1"/>
    <col min="60" max="60" width="18.109375" style="173" bestFit="1" customWidth="1"/>
    <col min="61" max="61" width="13.5546875" style="173" bestFit="1" customWidth="1"/>
    <col min="62" max="62" width="20.33203125" style="173" bestFit="1" customWidth="1"/>
    <col min="63" max="63" width="20.33203125" style="173" customWidth="1"/>
    <col min="64" max="64" width="16.44140625" style="173" bestFit="1" customWidth="1"/>
    <col min="65" max="65" width="15.44140625" style="173" bestFit="1" customWidth="1"/>
    <col min="66" max="66" width="15.6640625" style="173" bestFit="1" customWidth="1"/>
    <col min="67" max="67" width="22" style="173" bestFit="1" customWidth="1"/>
    <col min="68" max="68" width="22" style="173" customWidth="1"/>
    <col min="69" max="69" width="14.6640625" style="173" bestFit="1" customWidth="1"/>
    <col min="70" max="70" width="10.33203125" bestFit="1" customWidth="1"/>
    <col min="71" max="71" width="19.44140625" bestFit="1" customWidth="1"/>
    <col min="72" max="72" width="9.5546875" bestFit="1" customWidth="1"/>
    <col min="73" max="73" width="10.88671875" customWidth="1"/>
    <col min="74" max="75" width="12.6640625" style="203" customWidth="1"/>
    <col min="113" max="113" width="11.6640625" style="244" customWidth="1"/>
    <col min="114" max="124" width="9.109375" style="244"/>
    <col min="125" max="125" width="18.21875" bestFit="1" customWidth="1"/>
    <col min="126" max="126" width="12.6640625" style="203" customWidth="1"/>
    <col min="127" max="127" width="13.21875" style="203" customWidth="1"/>
    <col min="128" max="128" width="17.21875" style="203" bestFit="1" customWidth="1"/>
    <col min="129" max="129" width="14.44140625" style="203" bestFit="1" customWidth="1"/>
    <col min="130" max="130" width="11.33203125" style="203" customWidth="1"/>
    <col min="131" max="131" width="9.21875" style="203" bestFit="1" customWidth="1"/>
    <col min="132" max="132" width="12.88671875" bestFit="1" customWidth="1"/>
    <col min="133" max="133" width="18.109375" customWidth="1"/>
    <col min="134" max="134" width="10.44140625" customWidth="1"/>
  </cols>
  <sheetData>
    <row r="1" spans="1:134">
      <c r="A1" t="s">
        <v>245</v>
      </c>
      <c r="E1" s="175" t="s">
        <v>246</v>
      </c>
      <c r="F1" s="176">
        <f>Init!R3</f>
        <v>2020</v>
      </c>
      <c r="G1" s="174"/>
      <c r="BJ1" s="244"/>
      <c r="BL1" s="205"/>
      <c r="BR1" s="175" t="s">
        <v>247</v>
      </c>
      <c r="BS1" s="177">
        <f>Init!R6</f>
        <v>2022</v>
      </c>
    </row>
    <row r="2" spans="1:134" s="173" customFormat="1">
      <c r="C2" s="203"/>
      <c r="D2" s="203"/>
      <c r="E2" s="193" t="s">
        <v>256</v>
      </c>
      <c r="F2" s="206">
        <f>VLOOKUP(F1,Init!K4:$M$40,3)</f>
        <v>8784</v>
      </c>
      <c r="G2" s="174"/>
      <c r="I2" s="203"/>
      <c r="J2" s="203"/>
      <c r="AS2" s="205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L2"/>
      <c r="BR2" s="193" t="s">
        <v>256</v>
      </c>
      <c r="BS2" s="207">
        <f>VLOOKUP(BS1,Init!K4:$M$40,3)</f>
        <v>8760</v>
      </c>
      <c r="BV2" s="203"/>
      <c r="BW2" s="203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V2" s="203"/>
      <c r="DW2" s="203"/>
      <c r="DX2" s="203"/>
      <c r="DY2" s="203"/>
      <c r="DZ2" s="203"/>
      <c r="EA2" s="203"/>
    </row>
    <row r="3" spans="1:134" s="173" customFormat="1">
      <c r="C3" s="203"/>
      <c r="D3" s="203"/>
      <c r="E3" s="424" t="s">
        <v>193</v>
      </c>
      <c r="F3" s="424"/>
      <c r="G3" s="99"/>
      <c r="H3" s="99"/>
      <c r="I3" s="200"/>
      <c r="J3" s="200"/>
      <c r="K3" s="99"/>
      <c r="L3" s="184" t="s">
        <v>252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84" t="s">
        <v>249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184" t="s">
        <v>340</v>
      </c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184" t="s">
        <v>250</v>
      </c>
      <c r="BI3" s="184" t="s">
        <v>251</v>
      </c>
      <c r="BK3" s="184"/>
      <c r="BL3" s="99"/>
      <c r="BM3" s="99"/>
      <c r="BN3" s="200"/>
      <c r="BO3" s="200"/>
      <c r="BP3" s="200"/>
      <c r="BQ3" s="200"/>
      <c r="BR3" s="424" t="s">
        <v>193</v>
      </c>
      <c r="BS3" s="424"/>
      <c r="BV3" s="200"/>
      <c r="BW3" s="200"/>
      <c r="BY3" s="184" t="s">
        <v>252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84" t="s">
        <v>249</v>
      </c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84" t="s">
        <v>340</v>
      </c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184" t="s">
        <v>250</v>
      </c>
      <c r="DV3" s="184" t="s">
        <v>251</v>
      </c>
      <c r="DW3" s="184"/>
      <c r="DX3" s="184"/>
      <c r="DY3" s="184"/>
      <c r="DZ3" s="184"/>
      <c r="EA3" s="184"/>
      <c r="EC3" s="195"/>
      <c r="ED3" s="195"/>
    </row>
    <row r="4" spans="1:134" s="190" customFormat="1" ht="43.2">
      <c r="A4" s="185" t="s">
        <v>2</v>
      </c>
      <c r="B4" s="97" t="s">
        <v>3</v>
      </c>
      <c r="C4" s="97" t="s">
        <v>5</v>
      </c>
      <c r="D4" s="97" t="s">
        <v>261</v>
      </c>
      <c r="E4" s="186" t="str">
        <f>CONCATENATE("TOCA ", $F$1)</f>
        <v>TOCA 2020</v>
      </c>
      <c r="F4" s="187" t="str">
        <f>CONCATENATE("Non-slice TOCA ", $F$1)</f>
        <v>Non-slice TOCA 2020</v>
      </c>
      <c r="G4" s="187" t="str">
        <f>CONCATENATE("Slice % ", $F$1)</f>
        <v>Slice % 2020</v>
      </c>
      <c r="H4" s="187" t="str">
        <f>CONCATENATE("Applicable LDD ", $F$1)</f>
        <v>Applicable LDD 2020</v>
      </c>
      <c r="I4" s="187" t="s">
        <v>263</v>
      </c>
      <c r="J4" s="187" t="s">
        <v>264</v>
      </c>
      <c r="K4" s="187" t="str">
        <f>CONCATENATE("IRD ", F1)</f>
        <v>IRD 2020</v>
      </c>
      <c r="L4" s="188">
        <f>DATE($F$1-1, 10, 1)</f>
        <v>43739</v>
      </c>
      <c r="M4" s="188">
        <f>L4</f>
        <v>43739</v>
      </c>
      <c r="N4" s="188">
        <f>DATE($F$1-1, 11, 1)</f>
        <v>43770</v>
      </c>
      <c r="O4" s="188">
        <f>N4</f>
        <v>43770</v>
      </c>
      <c r="P4" s="188">
        <f>DATE($F$1-1, 12, 1)</f>
        <v>43800</v>
      </c>
      <c r="Q4" s="188">
        <f>P4</f>
        <v>43800</v>
      </c>
      <c r="R4" s="188">
        <f>DATE($F$1, 1, 1)</f>
        <v>43831</v>
      </c>
      <c r="S4" s="188">
        <f>R4</f>
        <v>43831</v>
      </c>
      <c r="T4" s="188">
        <f>DATE($F$1, 2, 1)</f>
        <v>43862</v>
      </c>
      <c r="U4" s="188">
        <f>T4</f>
        <v>43862</v>
      </c>
      <c r="V4" s="188">
        <f>DATE($F$1, 3, 1)</f>
        <v>43891</v>
      </c>
      <c r="W4" s="188">
        <f>V4</f>
        <v>43891</v>
      </c>
      <c r="X4" s="188">
        <f>DATE($F$1, 4, 1)</f>
        <v>43922</v>
      </c>
      <c r="Y4" s="188">
        <f>X4</f>
        <v>43922</v>
      </c>
      <c r="Z4" s="188">
        <f>DATE($F$1, 5, 1)</f>
        <v>43952</v>
      </c>
      <c r="AA4" s="188">
        <f>Z4</f>
        <v>43952</v>
      </c>
      <c r="AB4" s="188">
        <f>DATE($F$1, 6, 1)</f>
        <v>43983</v>
      </c>
      <c r="AC4" s="188">
        <f>AB4</f>
        <v>43983</v>
      </c>
      <c r="AD4" s="188">
        <f>DATE($F$1, 7, 1)</f>
        <v>44013</v>
      </c>
      <c r="AE4" s="188">
        <f>AD4</f>
        <v>44013</v>
      </c>
      <c r="AF4" s="188">
        <f>DATE($F$1, 8, 1)</f>
        <v>44044</v>
      </c>
      <c r="AG4" s="188">
        <f>AF4</f>
        <v>44044</v>
      </c>
      <c r="AH4" s="188">
        <f>DATE($F$1, 9, 1)</f>
        <v>44075</v>
      </c>
      <c r="AI4" s="188">
        <f>AH4</f>
        <v>44075</v>
      </c>
      <c r="AJ4" s="188">
        <f>L4</f>
        <v>43739</v>
      </c>
      <c r="AK4" s="188">
        <f>N4</f>
        <v>43770</v>
      </c>
      <c r="AL4" s="188">
        <f>P4</f>
        <v>43800</v>
      </c>
      <c r="AM4" s="188">
        <f>R4</f>
        <v>43831</v>
      </c>
      <c r="AN4" s="188">
        <f>T4</f>
        <v>43862</v>
      </c>
      <c r="AO4" s="188">
        <f>V4</f>
        <v>43891</v>
      </c>
      <c r="AP4" s="188">
        <f>X4</f>
        <v>43922</v>
      </c>
      <c r="AQ4" s="188">
        <f>Z4</f>
        <v>43952</v>
      </c>
      <c r="AR4" s="188">
        <f>AB4</f>
        <v>43983</v>
      </c>
      <c r="AS4" s="188">
        <f>AD4</f>
        <v>44013</v>
      </c>
      <c r="AT4" s="188">
        <f>AF4</f>
        <v>44044</v>
      </c>
      <c r="AU4" s="188">
        <f>AH4</f>
        <v>44075</v>
      </c>
      <c r="AV4" s="188">
        <f>AJ4</f>
        <v>43739</v>
      </c>
      <c r="AW4" s="188">
        <f t="shared" ref="AW4:BG4" si="0">AK4</f>
        <v>43770</v>
      </c>
      <c r="AX4" s="188">
        <f t="shared" si="0"/>
        <v>43800</v>
      </c>
      <c r="AY4" s="188">
        <f t="shared" si="0"/>
        <v>43831</v>
      </c>
      <c r="AZ4" s="188">
        <f t="shared" si="0"/>
        <v>43862</v>
      </c>
      <c r="BA4" s="188">
        <f t="shared" si="0"/>
        <v>43891</v>
      </c>
      <c r="BB4" s="188">
        <f t="shared" si="0"/>
        <v>43922</v>
      </c>
      <c r="BC4" s="188">
        <f t="shared" si="0"/>
        <v>43952</v>
      </c>
      <c r="BD4" s="188">
        <f t="shared" si="0"/>
        <v>43983</v>
      </c>
      <c r="BE4" s="188">
        <f t="shared" si="0"/>
        <v>44013</v>
      </c>
      <c r="BF4" s="188">
        <f t="shared" si="0"/>
        <v>44044</v>
      </c>
      <c r="BG4" s="188">
        <f t="shared" si="0"/>
        <v>44075</v>
      </c>
      <c r="BH4" s="196" t="str">
        <f>CONCATENATE("T2 LS ", $F$1)</f>
        <v>T2 LS 2020</v>
      </c>
      <c r="BI4" s="196" t="str">
        <f>"TOCA Load "&amp;$F$1</f>
        <v>TOCA Load 2020</v>
      </c>
      <c r="BJ4" s="196" t="str">
        <f>"Annual T1 Load "&amp;$F$1</f>
        <v>Annual T1 Load 2020</v>
      </c>
      <c r="BK4" s="196" t="str">
        <f>"Above RHWM Not Served with LS"&amp;$F$1</f>
        <v>Above RHWM Not Served with LS2020</v>
      </c>
      <c r="BL4" s="196" t="str">
        <f>CONCATENATE("Annual Deviation ", $F$1)</f>
        <v>Annual Deviation 2020</v>
      </c>
      <c r="BM4" s="196" t="str">
        <f>CONCATENATE("Above Forecast ", $F$1)</f>
        <v>Above Forecast 2020</v>
      </c>
      <c r="BN4" s="196" t="s">
        <v>254</v>
      </c>
      <c r="BO4" s="196" t="s">
        <v>255</v>
      </c>
      <c r="BP4" s="196" t="s">
        <v>257</v>
      </c>
      <c r="BQ4" s="196" t="str">
        <f>CONCATENATE("LSTU ", $F$1)</f>
        <v>LSTU 2020</v>
      </c>
      <c r="BR4" s="197" t="str">
        <f>CONCATENATE("TOCA ", $BS$1)</f>
        <v>TOCA 2022</v>
      </c>
      <c r="BS4" s="189" t="str">
        <f>CONCATENATE("Non-slice TOCA ", $BS$1)</f>
        <v>Non-slice TOCA 2022</v>
      </c>
      <c r="BT4" s="189" t="str">
        <f>CONCATENATE("Slice % ", $BS$1)</f>
        <v>Slice % 2022</v>
      </c>
      <c r="BU4" s="189" t="str">
        <f>CONCATENATE("Applicable LDD ", $BS$1)</f>
        <v>Applicable LDD 2022</v>
      </c>
      <c r="BV4" s="189" t="s">
        <v>263</v>
      </c>
      <c r="BW4" s="189" t="s">
        <v>264</v>
      </c>
      <c r="BX4" s="189" t="str">
        <f>CONCATENATE("IRD ", BS1)</f>
        <v>IRD 2022</v>
      </c>
      <c r="BY4" s="198">
        <f>DATE($BS$1-1, 10, 1)</f>
        <v>44470</v>
      </c>
      <c r="BZ4" s="198">
        <f>BY4</f>
        <v>44470</v>
      </c>
      <c r="CA4" s="198">
        <f>DATE($BS$1-1, 11, 1)</f>
        <v>44501</v>
      </c>
      <c r="CB4" s="198">
        <f>CA4</f>
        <v>44501</v>
      </c>
      <c r="CC4" s="198">
        <f>DATE($BS$1-1, 12, 1)</f>
        <v>44531</v>
      </c>
      <c r="CD4" s="198">
        <f>CC4</f>
        <v>44531</v>
      </c>
      <c r="CE4" s="198">
        <f>DATE($BS$1, 1, 1)</f>
        <v>44562</v>
      </c>
      <c r="CF4" s="198">
        <f>CE4</f>
        <v>44562</v>
      </c>
      <c r="CG4" s="198">
        <f>DATE($BS$1, 2, 1)</f>
        <v>44593</v>
      </c>
      <c r="CH4" s="198">
        <f>CG4</f>
        <v>44593</v>
      </c>
      <c r="CI4" s="198">
        <f>DATE($BS$1, 3, 1)</f>
        <v>44621</v>
      </c>
      <c r="CJ4" s="198">
        <f>CI4</f>
        <v>44621</v>
      </c>
      <c r="CK4" s="198">
        <f>DATE($BS$1, 4, 1)</f>
        <v>44652</v>
      </c>
      <c r="CL4" s="198">
        <f>CK4</f>
        <v>44652</v>
      </c>
      <c r="CM4" s="198">
        <f>DATE($BS$1, 5, 1)</f>
        <v>44682</v>
      </c>
      <c r="CN4" s="198">
        <f>CM4</f>
        <v>44682</v>
      </c>
      <c r="CO4" s="198">
        <f>DATE($BS$1, 6, 1)</f>
        <v>44713</v>
      </c>
      <c r="CP4" s="198">
        <f>CO4</f>
        <v>44713</v>
      </c>
      <c r="CQ4" s="198">
        <f>DATE($BS$1, 7, 1)</f>
        <v>44743</v>
      </c>
      <c r="CR4" s="198">
        <f>CQ4</f>
        <v>44743</v>
      </c>
      <c r="CS4" s="198">
        <f>DATE($BS$1, 8, 1)</f>
        <v>44774</v>
      </c>
      <c r="CT4" s="198">
        <f>CS4</f>
        <v>44774</v>
      </c>
      <c r="CU4" s="198">
        <f>DATE($BS$1, 9, 1)</f>
        <v>44805</v>
      </c>
      <c r="CV4" s="198">
        <f>CU4</f>
        <v>44805</v>
      </c>
      <c r="CW4" s="198">
        <f>BY4</f>
        <v>44470</v>
      </c>
      <c r="CX4" s="198">
        <f>CA4</f>
        <v>44501</v>
      </c>
      <c r="CY4" s="198">
        <f>CC4</f>
        <v>44531</v>
      </c>
      <c r="CZ4" s="198">
        <f>CE4</f>
        <v>44562</v>
      </c>
      <c r="DA4" s="198">
        <f>CG4</f>
        <v>44593</v>
      </c>
      <c r="DB4" s="198">
        <f>CI4</f>
        <v>44621</v>
      </c>
      <c r="DC4" s="198">
        <f>CK4</f>
        <v>44652</v>
      </c>
      <c r="DD4" s="198">
        <f>CM4</f>
        <v>44682</v>
      </c>
      <c r="DE4" s="198">
        <f>CO4</f>
        <v>44713</v>
      </c>
      <c r="DF4" s="198">
        <f>CQ4</f>
        <v>44743</v>
      </c>
      <c r="DG4" s="198">
        <f>CS4</f>
        <v>44774</v>
      </c>
      <c r="DH4" s="198">
        <f>CU4</f>
        <v>44805</v>
      </c>
      <c r="DI4" s="198">
        <f>CW4</f>
        <v>44470</v>
      </c>
      <c r="DJ4" s="198">
        <f t="shared" ref="DJ4:DT4" si="1">CX4</f>
        <v>44501</v>
      </c>
      <c r="DK4" s="198">
        <f t="shared" si="1"/>
        <v>44531</v>
      </c>
      <c r="DL4" s="198">
        <f t="shared" si="1"/>
        <v>44562</v>
      </c>
      <c r="DM4" s="198">
        <f t="shared" si="1"/>
        <v>44593</v>
      </c>
      <c r="DN4" s="198">
        <f t="shared" si="1"/>
        <v>44621</v>
      </c>
      <c r="DO4" s="198">
        <f t="shared" si="1"/>
        <v>44652</v>
      </c>
      <c r="DP4" s="198">
        <f t="shared" si="1"/>
        <v>44682</v>
      </c>
      <c r="DQ4" s="198">
        <f t="shared" si="1"/>
        <v>44713</v>
      </c>
      <c r="DR4" s="198">
        <f t="shared" si="1"/>
        <v>44743</v>
      </c>
      <c r="DS4" s="198">
        <f t="shared" si="1"/>
        <v>44774</v>
      </c>
      <c r="DT4" s="198">
        <f t="shared" si="1"/>
        <v>44805</v>
      </c>
      <c r="DU4" s="199" t="str">
        <f>CONCATENATE("T2 LS ", $BS$1)</f>
        <v>T2 LS 2022</v>
      </c>
      <c r="DV4" s="199" t="str">
        <f>"TOCA Load "&amp;$BS$1</f>
        <v>TOCA Load 2022</v>
      </c>
      <c r="DW4" s="199" t="str">
        <f>"Annual T1 Load "&amp;$BS$1</f>
        <v>Annual T1 Load 2022</v>
      </c>
      <c r="DX4" s="199" t="str">
        <f>"Above RHWM Not Served with Load Shaping"&amp;$BS$1</f>
        <v>Above RHWM Not Served with Load Shaping2022</v>
      </c>
      <c r="DY4" s="199" t="str">
        <f>CONCATENATE("Annual Deviation ", $BS$1)</f>
        <v>Annual Deviation 2022</v>
      </c>
      <c r="DZ4" s="199" t="str">
        <f>CONCATENATE("Above Forecast ", $BS$1)</f>
        <v>Above Forecast 2022</v>
      </c>
      <c r="EA4" s="199" t="s">
        <v>254</v>
      </c>
      <c r="EB4" s="199" t="s">
        <v>255</v>
      </c>
      <c r="EC4" s="199" t="s">
        <v>257</v>
      </c>
      <c r="ED4" s="199" t="str">
        <f>CONCATENATE("LSTU ", $BS$1)</f>
        <v>LSTU 2022</v>
      </c>
    </row>
    <row r="5" spans="1:134" s="190" customFormat="1">
      <c r="A5" s="185"/>
      <c r="B5" s="97"/>
      <c r="C5" s="97"/>
      <c r="D5" s="97"/>
      <c r="E5" s="186"/>
      <c r="F5" s="187"/>
      <c r="G5" s="187"/>
      <c r="H5" s="187"/>
      <c r="I5" s="187"/>
      <c r="J5" s="187"/>
      <c r="K5" s="187" t="s">
        <v>248</v>
      </c>
      <c r="L5" s="188" t="s">
        <v>143</v>
      </c>
      <c r="M5" s="188" t="s">
        <v>144</v>
      </c>
      <c r="N5" s="187" t="s">
        <v>143</v>
      </c>
      <c r="O5" s="187" t="s">
        <v>144</v>
      </c>
      <c r="P5" s="187" t="s">
        <v>143</v>
      </c>
      <c r="Q5" s="187" t="s">
        <v>144</v>
      </c>
      <c r="R5" s="187" t="s">
        <v>143</v>
      </c>
      <c r="S5" s="188" t="s">
        <v>144</v>
      </c>
      <c r="T5" s="187" t="s">
        <v>143</v>
      </c>
      <c r="U5" s="187" t="s">
        <v>144</v>
      </c>
      <c r="V5" s="187" t="s">
        <v>143</v>
      </c>
      <c r="W5" s="187" t="s">
        <v>144</v>
      </c>
      <c r="X5" s="187" t="s">
        <v>143</v>
      </c>
      <c r="Y5" s="188" t="s">
        <v>144</v>
      </c>
      <c r="Z5" s="187" t="s">
        <v>143</v>
      </c>
      <c r="AA5" s="187" t="s">
        <v>144</v>
      </c>
      <c r="AB5" s="187" t="s">
        <v>143</v>
      </c>
      <c r="AC5" s="187" t="s">
        <v>144</v>
      </c>
      <c r="AD5" s="187" t="s">
        <v>143</v>
      </c>
      <c r="AE5" s="187" t="s">
        <v>144</v>
      </c>
      <c r="AF5" s="187" t="s">
        <v>143</v>
      </c>
      <c r="AG5" s="187" t="s">
        <v>144</v>
      </c>
      <c r="AH5" s="187" t="s">
        <v>143</v>
      </c>
      <c r="AI5" s="187" t="s">
        <v>144</v>
      </c>
      <c r="AJ5" s="188" t="s">
        <v>143</v>
      </c>
      <c r="AK5" s="188" t="s">
        <v>143</v>
      </c>
      <c r="AL5" s="188" t="s">
        <v>143</v>
      </c>
      <c r="AM5" s="188" t="s">
        <v>143</v>
      </c>
      <c r="AN5" s="188" t="s">
        <v>143</v>
      </c>
      <c r="AO5" s="188" t="s">
        <v>143</v>
      </c>
      <c r="AP5" s="188" t="s">
        <v>143</v>
      </c>
      <c r="AQ5" s="188" t="s">
        <v>143</v>
      </c>
      <c r="AR5" s="188" t="s">
        <v>143</v>
      </c>
      <c r="AS5" s="188" t="s">
        <v>143</v>
      </c>
      <c r="AT5" s="188" t="s">
        <v>143</v>
      </c>
      <c r="AU5" s="188" t="s">
        <v>143</v>
      </c>
      <c r="AV5" s="188" t="s">
        <v>341</v>
      </c>
      <c r="AW5" s="188" t="s">
        <v>341</v>
      </c>
      <c r="AX5" s="188" t="s">
        <v>341</v>
      </c>
      <c r="AY5" s="188" t="s">
        <v>341</v>
      </c>
      <c r="AZ5" s="188" t="s">
        <v>341</v>
      </c>
      <c r="BA5" s="188" t="s">
        <v>341</v>
      </c>
      <c r="BB5" s="188" t="s">
        <v>341</v>
      </c>
      <c r="BC5" s="188" t="s">
        <v>341</v>
      </c>
      <c r="BD5" s="188" t="s">
        <v>341</v>
      </c>
      <c r="BE5" s="188" t="s">
        <v>341</v>
      </c>
      <c r="BF5" s="188" t="s">
        <v>341</v>
      </c>
      <c r="BG5" s="188" t="s">
        <v>341</v>
      </c>
      <c r="BH5" s="188" t="s">
        <v>248</v>
      </c>
      <c r="BI5" s="188" t="s">
        <v>248</v>
      </c>
      <c r="BJ5" s="188" t="s">
        <v>248</v>
      </c>
      <c r="BK5" s="188" t="s">
        <v>248</v>
      </c>
      <c r="BL5" s="188" t="s">
        <v>248</v>
      </c>
      <c r="BM5" s="188" t="s">
        <v>248</v>
      </c>
      <c r="BN5" s="188" t="s">
        <v>248</v>
      </c>
      <c r="BO5" s="188" t="s">
        <v>248</v>
      </c>
      <c r="BP5" s="188" t="s">
        <v>248</v>
      </c>
      <c r="BQ5" s="188" t="s">
        <v>248</v>
      </c>
      <c r="BR5" s="197"/>
      <c r="BS5" s="189"/>
      <c r="BT5" s="189"/>
      <c r="BU5" s="189"/>
      <c r="BV5" s="189"/>
      <c r="BW5" s="189"/>
      <c r="BX5" s="189" t="s">
        <v>248</v>
      </c>
      <c r="BY5" s="198" t="s">
        <v>143</v>
      </c>
      <c r="BZ5" s="198" t="s">
        <v>144</v>
      </c>
      <c r="CA5" s="189" t="s">
        <v>143</v>
      </c>
      <c r="CB5" s="189" t="s">
        <v>144</v>
      </c>
      <c r="CC5" s="189" t="s">
        <v>143</v>
      </c>
      <c r="CD5" s="189" t="s">
        <v>144</v>
      </c>
      <c r="CE5" s="189" t="s">
        <v>143</v>
      </c>
      <c r="CF5" s="198" t="s">
        <v>144</v>
      </c>
      <c r="CG5" s="189" t="s">
        <v>143</v>
      </c>
      <c r="CH5" s="189" t="s">
        <v>144</v>
      </c>
      <c r="CI5" s="189" t="s">
        <v>143</v>
      </c>
      <c r="CJ5" s="189" t="s">
        <v>144</v>
      </c>
      <c r="CK5" s="189" t="s">
        <v>143</v>
      </c>
      <c r="CL5" s="198" t="s">
        <v>144</v>
      </c>
      <c r="CM5" s="189" t="s">
        <v>143</v>
      </c>
      <c r="CN5" s="189" t="s">
        <v>144</v>
      </c>
      <c r="CO5" s="189" t="s">
        <v>143</v>
      </c>
      <c r="CP5" s="189" t="s">
        <v>144</v>
      </c>
      <c r="CQ5" s="189" t="s">
        <v>143</v>
      </c>
      <c r="CR5" s="189" t="s">
        <v>144</v>
      </c>
      <c r="CS5" s="189" t="s">
        <v>143</v>
      </c>
      <c r="CT5" s="189" t="s">
        <v>144</v>
      </c>
      <c r="CU5" s="189" t="s">
        <v>143</v>
      </c>
      <c r="CV5" s="189" t="s">
        <v>144</v>
      </c>
      <c r="CW5" s="198" t="s">
        <v>143</v>
      </c>
      <c r="CX5" s="198" t="s">
        <v>143</v>
      </c>
      <c r="CY5" s="198" t="s">
        <v>143</v>
      </c>
      <c r="CZ5" s="198" t="s">
        <v>143</v>
      </c>
      <c r="DA5" s="198" t="s">
        <v>143</v>
      </c>
      <c r="DB5" s="198" t="s">
        <v>143</v>
      </c>
      <c r="DC5" s="198" t="s">
        <v>143</v>
      </c>
      <c r="DD5" s="198" t="s">
        <v>143</v>
      </c>
      <c r="DE5" s="198" t="s">
        <v>143</v>
      </c>
      <c r="DF5" s="198" t="s">
        <v>143</v>
      </c>
      <c r="DG5" s="198" t="s">
        <v>143</v>
      </c>
      <c r="DH5" s="198" t="s">
        <v>143</v>
      </c>
      <c r="DI5" s="198" t="s">
        <v>179</v>
      </c>
      <c r="DJ5" s="198" t="s">
        <v>179</v>
      </c>
      <c r="DK5" s="198" t="s">
        <v>179</v>
      </c>
      <c r="DL5" s="198" t="s">
        <v>179</v>
      </c>
      <c r="DM5" s="198" t="s">
        <v>179</v>
      </c>
      <c r="DN5" s="198" t="s">
        <v>179</v>
      </c>
      <c r="DO5" s="198" t="s">
        <v>179</v>
      </c>
      <c r="DP5" s="198" t="s">
        <v>179</v>
      </c>
      <c r="DQ5" s="198" t="s">
        <v>179</v>
      </c>
      <c r="DR5" s="198" t="s">
        <v>179</v>
      </c>
      <c r="DS5" s="198" t="s">
        <v>179</v>
      </c>
      <c r="DT5" s="198" t="s">
        <v>179</v>
      </c>
      <c r="DU5" s="198" t="s">
        <v>248</v>
      </c>
      <c r="DV5" s="198" t="s">
        <v>248</v>
      </c>
      <c r="DW5" s="198" t="s">
        <v>248</v>
      </c>
      <c r="DX5" s="198" t="s">
        <v>248</v>
      </c>
      <c r="DY5" s="198" t="s">
        <v>248</v>
      </c>
      <c r="DZ5" s="198" t="s">
        <v>248</v>
      </c>
      <c r="EA5" s="198" t="s">
        <v>248</v>
      </c>
      <c r="EB5" s="198" t="s">
        <v>248</v>
      </c>
      <c r="EC5" s="198" t="s">
        <v>248</v>
      </c>
      <c r="ED5" s="198" t="s">
        <v>248</v>
      </c>
    </row>
    <row r="6" spans="1:134">
      <c r="A6" s="135">
        <v>10005</v>
      </c>
      <c r="B6" s="136" t="s">
        <v>7</v>
      </c>
      <c r="C6" s="203">
        <f>VLOOKUP(A6, TOCA_current!$A$3:$D$137, 4, FALSE)</f>
        <v>0</v>
      </c>
      <c r="D6" s="203">
        <v>0</v>
      </c>
      <c r="E6" s="119">
        <f>VLOOKUP($A6,TOCA_previous!$A$2:$AI$137,MATCH(E$4,TOCA_previous!$A$2:$AI$2,0),FALSE)</f>
        <v>7.7399999999999998E-5</v>
      </c>
      <c r="F6" s="120">
        <f>VLOOKUP($A6,TOCA_previous!$A$2:$AI$137,MATCH(F$4,TOCA_previous!$A$2:$AI$2,0),FALSE)</f>
        <v>7.7399999999999998E-5</v>
      </c>
      <c r="G6" s="120">
        <f>E6-F6</f>
        <v>0</v>
      </c>
      <c r="H6" s="120">
        <f>VLOOKUP($A6,TOCA_previous!$A$2:$AI$137,MATCH(H$4,TOCA_previous!$A$2:$AI$2,0),FALSE)</f>
        <v>3.5000000000000003E-2</v>
      </c>
      <c r="I6" s="120">
        <f>IF(C6=0,0,H6)</f>
        <v>0</v>
      </c>
      <c r="J6" s="120">
        <f>IF(C6=0,0,E6)</f>
        <v>0</v>
      </c>
      <c r="K6" s="191">
        <f>VLOOKUP(A6, IRD!$A$5:$C$139, 3, FALSE)</f>
        <v>0</v>
      </c>
      <c r="L6" s="192">
        <f t="array" ref="L6">IF($G6=0, INDEX(LS_previous!$D$4:$AY$138, MATCH('Staging Table'!$A6, LS_previous!$B$4:$B$138, 0), MATCH(L$4&amp;L$5, LS_previous!$D$2:$AY$2&amp;LS_previous!$D$3:$AY$3, 0)),SUM(VLOOKUP($A6, LS_previous!$B$4:$AY$138, LS_previous!D$149, FALSE), VLOOKUP('Staging Table'!$A6, LS_previous!$B$4:$AY$138,LS_previous!AB$149, FALSE))/2)</f>
        <v>37.07633896880003</v>
      </c>
      <c r="M6" s="192">
        <f t="array" ref="M6">IF($G6=0, INDEX(LS_previous!$D$4:$AY$138, MATCH('Staging Table'!$A6, LS_previous!$B$4:$B$138, 0), MATCH(M$4&amp;M$5, LS_previous!$D$2:$AY$2&amp;LS_previous!$D$3:$AY$3, 0)),SUM(VLOOKUP($A6, LS_previous!$B$4:$AY$138, LS_previous!E$149, FALSE), VLOOKUP('Staging Table'!$A6, LS_previous!$B$4:$AY$138,LS_previous!AC$149, FALSE))/2)</f>
        <v>76.013310060799995</v>
      </c>
      <c r="N6" s="192">
        <f t="array" ref="N6">IF($G6=0, INDEX(LS_previous!$D$4:$AY$138, MATCH('Staging Table'!$A6, LS_previous!$B$4:$B$138, 0), MATCH(N$4&amp;N$5, LS_previous!$D$2:$AY$2&amp;LS_previous!$D$3:$AY$3, 0)),SUM(VLOOKUP($A6, LS_previous!$B$4:$AY$138, LS_previous!F$149, FALSE), VLOOKUP('Staging Table'!$A6, LS_previous!$B$4:$AY$138,LS_previous!AD$149, FALSE))/2)</f>
        <v>19.196753332800029</v>
      </c>
      <c r="O6" s="192">
        <f t="array" ref="O6">IF($G6=0, INDEX(LS_previous!$D$4:$AY$138, MATCH('Staging Table'!$A6, LS_previous!$B$4:$B$138, 0), MATCH(O$4&amp;O$5, LS_previous!$D$2:$AY$2&amp;LS_previous!$D$3:$AY$3, 0)),SUM(VLOOKUP($A6, LS_previous!$B$4:$AY$138, LS_previous!G$149, FALSE), VLOOKUP('Staging Table'!$A6, LS_previous!$B$4:$AY$138,LS_previous!AE$149, FALSE))/2)</f>
        <v>53.478713968600005</v>
      </c>
      <c r="P6" s="192">
        <f t="array" ref="P6">IF($G6=0, INDEX(LS_previous!$D$4:$AY$138, MATCH('Staging Table'!$A6, LS_previous!$B$4:$B$138, 0), MATCH(P$4&amp;P$5, LS_previous!$D$2:$AY$2&amp;LS_previous!$D$3:$AY$3, 0)),SUM(VLOOKUP($A6, LS_previous!$B$4:$AY$138, LS_previous!H$149, FALSE), VLOOKUP('Staging Table'!$A6, LS_previous!$B$4:$AY$138,LS_previous!AF$149, FALSE))/2)</f>
        <v>112.23545358719997</v>
      </c>
      <c r="Q6" s="192">
        <f t="array" ref="Q6">IF($G6=0, INDEX(LS_previous!$D$4:$AY$138, MATCH('Staging Table'!$A6, LS_previous!$B$4:$B$138, 0), MATCH(Q$4&amp;Q$5, LS_previous!$D$2:$AY$2&amp;LS_previous!$D$3:$AY$3, 0)),SUM(VLOOKUP($A6, LS_previous!$B$4:$AY$138, LS_previous!I$149, FALSE), VLOOKUP('Staging Table'!$A6, LS_previous!$B$4:$AY$138,LS_previous!AG$149, FALSE))/2)</f>
        <v>111.74249124239998</v>
      </c>
      <c r="R6" s="192">
        <f t="array" ref="R6">IF($G6=0, INDEX(LS_previous!$D$4:$AY$138, MATCH('Staging Table'!$A6, LS_previous!$B$4:$B$138, 0), MATCH(R$4&amp;R$5, LS_previous!$D$2:$AY$2&amp;LS_previous!$D$3:$AY$3, 0)),SUM(VLOOKUP($A6, LS_previous!$B$4:$AY$138, LS_previous!J$149, FALSE), VLOOKUP('Staging Table'!$A6, LS_previous!$B$4:$AY$138,LS_previous!AH$149, FALSE))/2)</f>
        <v>150.05205598719996</v>
      </c>
      <c r="S6" s="192">
        <f t="array" ref="S6">IF($G6=0, INDEX(LS_previous!$D$4:$AY$138, MATCH('Staging Table'!$A6, LS_previous!$B$4:$B$138, 0), MATCH(S$4&amp;S$5, LS_previous!$D$2:$AY$2&amp;LS_previous!$D$3:$AY$3, 0)),SUM(VLOOKUP($A6, LS_previous!$B$4:$AY$138, LS_previous!K$149, FALSE), VLOOKUP('Staging Table'!$A6, LS_previous!$B$4:$AY$138,LS_previous!AI$149, FALSE))/2)</f>
        <v>168.9941640424</v>
      </c>
      <c r="T6" s="192">
        <f t="array" ref="T6">IF($G6=0, INDEX(LS_previous!$D$4:$AY$138, MATCH('Staging Table'!$A6, LS_previous!$B$4:$B$138, 0), MATCH(T$4&amp;T$5, LS_previous!$D$2:$AY$2&amp;LS_previous!$D$3:$AY$3, 0)),SUM(VLOOKUP($A6, LS_previous!$B$4:$AY$138, LS_previous!L$149, FALSE), VLOOKUP('Staging Table'!$A6, LS_previous!$B$4:$AY$138,LS_previous!AJ$149, FALSE))/2)</f>
        <v>125.62078260240003</v>
      </c>
      <c r="U6" s="192">
        <f t="array" ref="U6">IF($G6=0, INDEX(LS_previous!$D$4:$AY$138, MATCH('Staging Table'!$A6, LS_previous!$B$4:$B$138, 0), MATCH(U$4&amp;U$5, LS_previous!$D$2:$AY$2&amp;LS_previous!$D$3:$AY$3, 0)),SUM(VLOOKUP($A6, LS_previous!$B$4:$AY$138, LS_previous!M$149, FALSE), VLOOKUP('Staging Table'!$A6, LS_previous!$B$4:$AY$138,LS_previous!AK$149, FALSE))/2)</f>
        <v>116.27647707760001</v>
      </c>
      <c r="V6" s="192">
        <f t="array" ref="V6">IF($G6=0, INDEX(LS_previous!$D$4:$AY$138, MATCH('Staging Table'!$A6, LS_previous!$B$4:$B$138, 0), MATCH(V$4&amp;V$5, LS_previous!$D$2:$AY$2&amp;LS_previous!$D$3:$AY$3, 0)),SUM(VLOOKUP($A6, LS_previous!$B$4:$AY$138, LS_previous!N$149, FALSE), VLOOKUP('Staging Table'!$A6, LS_previous!$B$4:$AY$138,LS_previous!AL$149, FALSE))/2)</f>
        <v>110.89543864160001</v>
      </c>
      <c r="W6" s="192">
        <f t="array" ref="W6">IF($G6=0, INDEX(LS_previous!$D$4:$AY$138, MATCH('Staging Table'!$A6, LS_previous!$B$4:$B$138, 0), MATCH(W$4&amp;W$5, LS_previous!$D$2:$AY$2&amp;LS_previous!$D$3:$AY$3, 0)),SUM(VLOOKUP($A6, LS_previous!$B$4:$AY$138, LS_previous!O$149, FALSE), VLOOKUP('Staging Table'!$A6, LS_previous!$B$4:$AY$138,LS_previous!AM$149, FALSE))/2)</f>
        <v>105.27288383460001</v>
      </c>
      <c r="X6" s="192">
        <f t="array" ref="X6">IF($G6=0, INDEX(LS_previous!$D$4:$AY$138, MATCH('Staging Table'!$A6, LS_previous!$B$4:$B$138, 0), MATCH(X$4&amp;X$5, LS_previous!$D$2:$AY$2&amp;LS_previous!$D$3:$AY$3, 0)),SUM(VLOOKUP($A6, LS_previous!$B$4:$AY$138, LS_previous!P$149, FALSE), VLOOKUP('Staging Table'!$A6, LS_previous!$B$4:$AY$138,LS_previous!AN$149, FALSE))/2)</f>
        <v>92.776540814399993</v>
      </c>
      <c r="Y6" s="192">
        <f t="array" ref="Y6">IF($G6=0, INDEX(LS_previous!$D$4:$AY$138, MATCH('Staging Table'!$A6, LS_previous!$B$4:$B$138, 0), MATCH(Y$4&amp;Y$5, LS_previous!$D$2:$AY$2&amp;LS_previous!$D$3:$AY$3, 0)),SUM(VLOOKUP($A6, LS_previous!$B$4:$AY$138, LS_previous!Q$149, FALSE), VLOOKUP('Staging Table'!$A6, LS_previous!$B$4:$AY$138,LS_previous!AO$149, FALSE))/2)</f>
        <v>87.324404833599999</v>
      </c>
      <c r="Z6" s="192">
        <f t="array" ref="Z6">IF($G6=0, INDEX(LS_previous!$D$4:$AY$138, MATCH('Staging Table'!$A6, LS_previous!$B$4:$B$138, 0), MATCH(Z$4&amp;Z$5, LS_previous!$D$2:$AY$2&amp;LS_previous!$D$3:$AY$3, 0)),SUM(VLOOKUP($A6, LS_previous!$B$4:$AY$138, LS_previous!R$149, FALSE), VLOOKUP('Staging Table'!$A6, LS_previous!$B$4:$AY$138,LS_previous!AP$149, FALSE))/2)</f>
        <v>-60.876941540000018</v>
      </c>
      <c r="AA6" s="192">
        <f t="array" ref="AA6">IF($G6=0, INDEX(LS_previous!$D$4:$AY$138, MATCH('Staging Table'!$A6, LS_previous!$B$4:$B$138, 0), MATCH(AA$4&amp;AA$5, LS_previous!$D$2:$AY$2&amp;LS_previous!$D$3:$AY$3, 0)),SUM(VLOOKUP($A6, LS_previous!$B$4:$AY$138, LS_previous!S$149, FALSE), VLOOKUP('Staging Table'!$A6, LS_previous!$B$4:$AY$138,LS_previous!AQ$149, FALSE))/2)</f>
        <v>19.760559869600002</v>
      </c>
      <c r="AB6" s="192">
        <f t="array" ref="AB6">IF($G6=0, INDEX(LS_previous!$D$4:$AY$138, MATCH('Staging Table'!$A6, LS_previous!$B$4:$B$138, 0), MATCH(AB$4&amp;AB$5, LS_previous!$D$2:$AY$2&amp;LS_previous!$D$3:$AY$3, 0)),SUM(VLOOKUP($A6, LS_previous!$B$4:$AY$138, LS_previous!T$149, FALSE), VLOOKUP('Staging Table'!$A6, LS_previous!$B$4:$AY$138,LS_previous!AR$149, FALSE))/2)</f>
        <v>-140.70007808559998</v>
      </c>
      <c r="AC6" s="192">
        <f t="array" ref="AC6">IF($G6=0, INDEX(LS_previous!$D$4:$AY$138, MATCH('Staging Table'!$A6, LS_previous!$B$4:$B$138, 0), MATCH(AC$4&amp;AC$5, LS_previous!$D$2:$AY$2&amp;LS_previous!$D$3:$AY$3, 0)),SUM(VLOOKUP($A6, LS_previous!$B$4:$AY$138, LS_previous!U$149, FALSE), VLOOKUP('Staging Table'!$A6, LS_previous!$B$4:$AY$138,LS_previous!AS$149, FALSE))/2)</f>
        <v>-52.68733156639999</v>
      </c>
      <c r="AD6" s="192">
        <f t="array" ref="AD6">IF($G6=0, INDEX(LS_previous!$D$4:$AY$138, MATCH('Staging Table'!$A6, LS_previous!$B$4:$B$138, 0), MATCH(AD$4&amp;AD$5, LS_previous!$D$2:$AY$2&amp;LS_previous!$D$3:$AY$3, 0)),SUM(VLOOKUP($A6, LS_previous!$B$4:$AY$138, LS_previous!V$149, FALSE), VLOOKUP('Staging Table'!$A6, LS_previous!$B$4:$AY$138,LS_previous!AT$149, FALSE))/2)</f>
        <v>-100.52524508560001</v>
      </c>
      <c r="AE6" s="192">
        <f t="array" ref="AE6">IF($G6=0, INDEX(LS_previous!$D$4:$AY$138, MATCH('Staging Table'!$A6, LS_previous!$B$4:$B$138, 0), MATCH(AE$4&amp;AE$5, LS_previous!$D$2:$AY$2&amp;LS_previous!$D$3:$AY$3, 0)),SUM(VLOOKUP($A6, LS_previous!$B$4:$AY$138, LS_previous!W$149, FALSE), VLOOKUP('Staging Table'!$A6, LS_previous!$B$4:$AY$138,LS_previous!AU$149, FALSE))/2)</f>
        <v>5.6553405152000096</v>
      </c>
      <c r="AF6" s="192">
        <f t="array" ref="AF6">IF($G6=0, INDEX(LS_previous!$D$4:$AY$138, MATCH('Staging Table'!$A6, LS_previous!$B$4:$B$138, 0), MATCH(AF$4&amp;AF$5, LS_previous!$D$2:$AY$2&amp;LS_previous!$D$3:$AY$3, 0)),SUM(VLOOKUP($A6, LS_previous!$B$4:$AY$138, LS_previous!X$149, FALSE), VLOOKUP('Staging Table'!$A6, LS_previous!$B$4:$AY$138,LS_previous!AV$149, FALSE))/2)</f>
        <v>-76.916836385599993</v>
      </c>
      <c r="AG6" s="192">
        <f t="array" ref="AG6">IF($G6=0, INDEX(LS_previous!$D$4:$AY$138, MATCH('Staging Table'!$A6, LS_previous!$B$4:$B$138, 0), MATCH(AG$4&amp;AG$5, LS_previous!$D$2:$AY$2&amp;LS_previous!$D$3:$AY$3, 0)),SUM(VLOOKUP($A6, LS_previous!$B$4:$AY$138, LS_previous!Y$149, FALSE), VLOOKUP('Staging Table'!$A6, LS_previous!$B$4:$AY$138,LS_previous!AW$149, FALSE))/2)</f>
        <v>-9.6516114848000001</v>
      </c>
      <c r="AH6" s="192">
        <f t="array" ref="AH6">IF($G6=0, INDEX(LS_previous!$D$4:$AY$138, MATCH('Staging Table'!$A6, LS_previous!$B$4:$B$138, 0), MATCH(AH$4&amp;AH$5, LS_previous!$D$2:$AY$2&amp;LS_previous!$D$3:$AY$3, 0)),SUM(VLOOKUP($A6, LS_previous!$B$4:$AY$138, LS_previous!Z$149, FALSE), VLOOKUP('Staging Table'!$A6, LS_previous!$B$4:$AY$138,LS_previous!AX$149, FALSE))/2)</f>
        <v>-31.510045439999999</v>
      </c>
      <c r="AI6" s="192">
        <f t="array" ref="AI6">IF($G6=0, INDEX(LS_previous!$D$4:$AY$138, MATCH('Staging Table'!$A6, LS_previous!$B$4:$B$138, 0), MATCH(AI$4&amp;AI$5, LS_previous!$D$2:$AY$2&amp;LS_previous!$D$3:$AY$3, 0)),SUM(VLOOKUP($A6, LS_previous!$B$4:$AY$138, LS_previous!AA$149, FALSE), VLOOKUP('Staging Table'!$A6, LS_previous!$B$4:$AY$138,LS_previous!AY$149, FALSE))/2)</f>
        <v>13.380101688000025</v>
      </c>
      <c r="AJ6" s="194">
        <f t="array" ref="AJ6">INDEX(Demand_previous!$D$4:$AY$138, MATCH('Staging Table'!$A6, Demand_previous!$B$4:$B$138, 0), MATCH(AJ$4&amp;AJ$5,Demand_previous!$D$2:$AY$2&amp;Demand_previous!$D$3:$AY$3, 0))/1000</f>
        <v>0.17805092592592586</v>
      </c>
      <c r="AK6" s="314">
        <f t="array" ref="AK6">INDEX(Demand_previous!$D$4:$AY$138, MATCH('Staging Table'!$A6, Demand_previous!$B$4:$B$138, 0), MATCH(AK$4&amp;AK$5,Demand_previous!$D$2:$AY$2&amp;Demand_previous!$D$3:$AY$3, 0))/1000</f>
        <v>9.2437500000000006E-2</v>
      </c>
      <c r="AL6" s="314">
        <f t="array" ref="AL6">INDEX(Demand_previous!$D$4:$AY$138, MATCH('Staging Table'!$A6, Demand_previous!$B$4:$B$138, 0), MATCH(AL$4&amp;AL$5,Demand_previous!$D$2:$AY$2&amp;Demand_previous!$D$3:$AY$3, 0))/1000</f>
        <v>3.8110000000000144E-2</v>
      </c>
      <c r="AM6" s="314">
        <f t="array" ref="AM6">INDEX(Demand_previous!$D$4:$AY$138, MATCH('Staging Table'!$A6, Demand_previous!$B$4:$B$138, 0), MATCH(AM$4&amp;AM$5,Demand_previous!$D$2:$AY$2&amp;Demand_previous!$D$3:$AY$3, 0))/1000</f>
        <v>0.11850480769230776</v>
      </c>
      <c r="AN6" s="314">
        <f t="array" ref="AN6">INDEX(Demand_previous!$D$4:$AY$138, MATCH('Staging Table'!$A6, Demand_previous!$B$4:$B$138, 0), MATCH(AN$4&amp;AN$5,Demand_previous!$D$2:$AY$2&amp;Demand_previous!$D$3:$AY$3, 0))/1000</f>
        <v>0.14077249999999997</v>
      </c>
      <c r="AO6" s="314">
        <f t="array" ref="AO6">INDEX(Demand_previous!$D$4:$AY$138, MATCH('Staging Table'!$A6, Demand_previous!$B$4:$B$138, 0), MATCH(AO$4&amp;AO$5,Demand_previous!$D$2:$AY$2&amp;Demand_previous!$D$3:$AY$3, 0))/1000</f>
        <v>0.13065144230769243</v>
      </c>
      <c r="AP6" s="314">
        <f t="array" ref="AP6">INDEX(Demand_previous!$D$4:$AY$138, MATCH('Staging Table'!$A6, Demand_previous!$B$4:$B$138, 0), MATCH(AP$4&amp;AP$5,Demand_previous!$D$2:$AY$2&amp;Demand_previous!$D$3:$AY$3, 0))/1000</f>
        <v>0.11802884615384629</v>
      </c>
      <c r="AQ6" s="314">
        <f t="array" ref="AQ6">INDEX(Demand_previous!$D$4:$AY$138, MATCH('Staging Table'!$A6, Demand_previous!$B$4:$B$138, 0), MATCH(AQ$4&amp;AQ$5,Demand_previous!$D$2:$AY$2&amp;Demand_previous!$D$3:$AY$3, 0))/1000</f>
        <v>6.1117499999999936E-2</v>
      </c>
      <c r="AR6" s="314">
        <f t="array" ref="AR6">INDEX(Demand_previous!$D$4:$AY$138, MATCH('Staging Table'!$A6, Demand_previous!$B$4:$B$138, 0), MATCH(AR$4&amp;AR$5,Demand_previous!$D$2:$AY$2&amp;Demand_previous!$D$3:$AY$3, 0))/1000</f>
        <v>0.10180288461538455</v>
      </c>
      <c r="AS6" s="314">
        <f t="array" ref="AS6">INDEX(Demand_previous!$D$4:$AY$138, MATCH('Staging Table'!$A6, Demand_previous!$B$4:$B$138, 0), MATCH(AS$4&amp;AS$5,Demand_previous!$D$2:$AY$2&amp;Demand_previous!$D$3:$AY$3, 0))/1000</f>
        <v>0.11589663461538466</v>
      </c>
      <c r="AT6" s="314">
        <f t="array" ref="AT6">INDEX(Demand_previous!$D$4:$AY$138, MATCH('Staging Table'!$A6, Demand_previous!$B$4:$B$138, 0), MATCH(AT$4&amp;AT$5,Demand_previous!$D$2:$AY$2&amp;Demand_previous!$D$3:$AY$3, 0))/1000</f>
        <v>0.1220865384615385</v>
      </c>
      <c r="AU6" s="314">
        <f t="array" ref="AU6">INDEX(Demand_previous!$D$4:$AY$138, MATCH('Staging Table'!$A6, Demand_previous!$B$4:$B$138, 0), MATCH(AU$4&amp;AU$5,Demand_previous!$D$2:$AY$2&amp;Demand_previous!$D$3:$AY$3, 0))/1000</f>
        <v>9.5555000000000001E-2</v>
      </c>
      <c r="AV6" s="192">
        <f>$F6*(VLOOKUP(AV$4, Rates_previous!$G$6:$Q$29, 10, FALSE)+VLOOKUP(AV$4, Rates_previous!$G$6:$Q$29, 11, FALSE))</f>
        <v>357.38035097039995</v>
      </c>
      <c r="AW6" s="192">
        <f>$F6*(VLOOKUP(AW$4, Rates_previous!$G$6:$Q$29, 10, FALSE)+VLOOKUP(AW$4, Rates_previous!$G$6:$Q$29, 11, FALSE))</f>
        <v>453.98453269859999</v>
      </c>
      <c r="AX6" s="192">
        <f>$F6*(VLOOKUP(AX$4, Rates_previous!$G$6:$Q$29, 10, FALSE)+VLOOKUP(AX$4, Rates_previous!$G$6:$Q$29, 11, FALSE))</f>
        <v>448.50205517040001</v>
      </c>
      <c r="AY6" s="192">
        <f>$F6*(VLOOKUP(AY$4, Rates_previous!$G$6:$Q$29, 10, FALSE)+VLOOKUP(AY$4, Rates_previous!$G$6:$Q$29, 11, FALSE))</f>
        <v>373.85377997040001</v>
      </c>
      <c r="AZ6" s="192">
        <f>$F6*(VLOOKUP(AZ$4, Rates_previous!$G$6:$Q$29, 10, FALSE)+VLOOKUP(AZ$4, Rates_previous!$G$6:$Q$29, 11, FALSE))</f>
        <v>338.67274032</v>
      </c>
      <c r="BA6" s="192">
        <f>$F6*(VLOOKUP(BA$4, Rates_previous!$G$6:$Q$29, 10, FALSE)+VLOOKUP(BA$4, Rates_previous!$G$6:$Q$29, 11, FALSE))</f>
        <v>376.71167752380001</v>
      </c>
      <c r="BB6" s="192">
        <f>$F6*(VLOOKUP(BB$4, Rates_previous!$G$6:$Q$29, 10, FALSE)+VLOOKUP(BB$4, Rates_previous!$G$6:$Q$29, 11, FALSE))</f>
        <v>306.719054352</v>
      </c>
      <c r="BC6" s="192">
        <f>$F6*(VLOOKUP(BC$4, Rates_previous!$G$6:$Q$29, 10, FALSE)+VLOOKUP(BC$4, Rates_previous!$G$6:$Q$29, 11, FALSE))</f>
        <v>413.65638167040004</v>
      </c>
      <c r="BD6" s="192">
        <f>$F6*(VLOOKUP(BD$4, Rates_previous!$G$6:$Q$29, 10, FALSE)+VLOOKUP(BD$4, Rates_previous!$G$6:$Q$29, 11, FALSE))</f>
        <v>527.79740965200006</v>
      </c>
      <c r="BE6" s="192">
        <f>$F6*(VLOOKUP(BE$4, Rates_previous!$G$6:$Q$29, 10, FALSE)+VLOOKUP(BE$4, Rates_previous!$G$6:$Q$29, 11, FALSE))</f>
        <v>413.80990457040002</v>
      </c>
      <c r="BF6" s="192">
        <f>$F6*(VLOOKUP(BF$4, Rates_previous!$G$6:$Q$29, 10, FALSE)+VLOOKUP(BF$4, Rates_previous!$G$6:$Q$29, 11, FALSE))</f>
        <v>402.96844787040004</v>
      </c>
      <c r="BG6" s="192">
        <f>$F6*(VLOOKUP(BG$4, Rates_previous!$G$6:$Q$29, 10, FALSE)+VLOOKUP(BG$4, Rates_previous!$G$6:$Q$29, 11, FALSE))</f>
        <v>361.77994375200001</v>
      </c>
      <c r="BH6" s="194">
        <f>IF($D6=0,IF(C6=0, MAX(BJ6 - (VLOOKUP($A6,TOCA_previous!$A$2:$AI$137,MATCH("RHWM 2020",TOCA_previous!$A$2:$AI$2,0),FALSE)*$F$2*TOCA_previous!C3),0),0), 0)</f>
        <v>921.44017925839853</v>
      </c>
      <c r="BI6" s="204">
        <f>MIN(VLOOKUP($A6,TOCA_previous!$A$2:$AI$137,MATCH("TRL - NLSL - Existing Resource "&amp;$F$1,TOCA_previous!$A$2:$AI$2,0),FALSE)*$F$2,(VLOOKUP($A6,TOCA_previous!$A$2:$AI$137,MATCH("RHWM 2020",TOCA_previous!$A$2:$AI$2,0),FALSE)*$F$2))</f>
        <v>4778.4960000000001</v>
      </c>
      <c r="BJ6" s="417">
        <f>SUM(L6:AI6)+(F6*RT1SC!$C$3*$F$2)</f>
        <v>5708.7201792583992</v>
      </c>
      <c r="BK6" s="417">
        <f>VLOOKUP($A6,TOCA_previous!$A$2:$AI$137,MATCH("Above RHWM Not Served with LS "&amp;$F$1,TOCA_previous!$A$2:$AI$2,0),FALSE)*$F$2</f>
        <v>0</v>
      </c>
      <c r="BL6" s="417">
        <f>BJ6-BI6</f>
        <v>930.22417925839909</v>
      </c>
      <c r="BM6" s="417">
        <f>(VLOOKUP($A6,TOCA_previous!$A$2:$AI$137,MATCH("RHWM 2020",TOCA_previous!$A$2:$AI$2,0),FALSE)*$F$2) - $BI6</f>
        <v>8.7840000000005602</v>
      </c>
      <c r="BN6" s="417">
        <f>IF(BL6&gt;0,IF(BM6&gt;0,(-1)*MIN(BL6,BM6),0),0)</f>
        <v>-8.7840000000005602</v>
      </c>
      <c r="BO6" s="417">
        <f>IF(BL6&lt;0,IF(BK6&lt;ABS(BL6),MAX(0,ABS($BL6)-(BK6)),0),0)</f>
        <v>0</v>
      </c>
      <c r="BP6" s="417">
        <f>IF(AND(BK6&gt;0,BM6&gt;0),IF(AND(BL6&lt;=0,ABS(BL6)&lt;BK6),(-1)*MIN(BK6,BK6-ABS(BL6),BM6),IF(AND(BL6&gt;0,BL6&lt;BM6),(-1)*MIN(BK6,BM6-BL6),0)),0)</f>
        <v>0</v>
      </c>
      <c r="BQ6" s="417">
        <f t="shared" ref="BQ6:BQ37" si="2">IF($D6=0,SUM($BN6:$BP6),0)</f>
        <v>-8.7840000000005602</v>
      </c>
      <c r="BR6" s="120">
        <f>VLOOKUP($A6,TOCA_current!$A$2:$AI$137,MATCH(BR$4,TOCA_current!$A$2:$AI$2,0),FALSE)</f>
        <v>7.7600000000000002E-5</v>
      </c>
      <c r="BS6" s="120">
        <f>VLOOKUP($A6,TOCA_current!$A$2:$AI$137,MATCH(BS$4,TOCA_current!$A$2:$AI$2,0),FALSE)</f>
        <v>7.7600000000000002E-5</v>
      </c>
      <c r="BT6" s="201">
        <f>BR6-BS6</f>
        <v>0</v>
      </c>
      <c r="BU6" s="120">
        <f>VLOOKUP($A6,TOCA_current!A2:BG137,MATCH(BU$4,TOCA_current!$A$2:$BG$2,0),FALSE)</f>
        <v>2.9780114722753343E-2</v>
      </c>
      <c r="BV6" s="120">
        <f t="shared" ref="BV6:BV37" si="3">IF(C6=0,0,BU6)</f>
        <v>0</v>
      </c>
      <c r="BW6" s="120">
        <f t="shared" ref="BW6:BW37" si="4">IF(C6=0,0,BR6)</f>
        <v>0</v>
      </c>
      <c r="BX6" s="191">
        <f>VLOOKUP($A6,IRD!$A$4:$G$139, 7, FALSE)</f>
        <v>0</v>
      </c>
      <c r="BY6" s="192">
        <f t="array" ref="BY6">IF($BT6=0, INDEX(LS_current!$D$4:$AY$138, MATCH('Staging Table'!$A6, LS_current!$B$4:$B$138, 0), MATCH(BY$4&amp;BY$5, LS_current!$D$2:$AY$2&amp;LS_current!$D$3:$AY$3, 0)),SUM(VLOOKUP($A6, LS_current!$B$4:$AY$138, LS_current!D$148, FALSE), VLOOKUP($A6, LS_current!$B$4:$AY$138,LS_current!AB$148, FALSE))/2)</f>
        <v>43.324675472045215</v>
      </c>
      <c r="BZ6" s="192">
        <f t="array" ref="BZ6">IF($BT6=0, INDEX(LS_current!$D$4:$AY$138, MATCH('Staging Table'!$A6, LS_current!$B$4:$B$138, 0), MATCH(BZ$4&amp;BZ$5, LS_current!$D$2:$AY$2&amp;LS_current!$D$3:$AY$3, 0)),SUM(VLOOKUP($A6, LS_current!$B$4:$AY$138, LS_current!E$148, FALSE), VLOOKUP($A6, LS_current!$B$4:$AY$138,LS_current!AC$148, FALSE))/2)</f>
        <v>73.76078947674597</v>
      </c>
      <c r="CA6" s="192">
        <f t="array" ref="CA6">IF($BT6=0, INDEX(LS_current!$D$4:$AY$138, MATCH('Staging Table'!$A6, LS_current!$B$4:$B$138, 0), MATCH(CA$4&amp;CA$5, LS_current!$D$2:$AY$2&amp;LS_current!$D$3:$AY$3, 0)),SUM(VLOOKUP($A6, LS_current!$B$4:$AY$138, LS_current!F$148, FALSE), VLOOKUP($A6, LS_current!$B$4:$AY$138,LS_current!AD$148, FALSE))/2)</f>
        <v>29.280454764893136</v>
      </c>
      <c r="CB6" s="192">
        <f t="array" ref="CB6">IF($BT6=0, INDEX(LS_current!$D$4:$AY$138, MATCH('Staging Table'!$A6, LS_current!$B$4:$B$138, 0), MATCH(CB$4&amp;CB$5, LS_current!$D$2:$AY$2&amp;LS_current!$D$3:$AY$3, 0)),SUM(VLOOKUP($A6, LS_current!$B$4:$AY$138, LS_current!G$148, FALSE), VLOOKUP($A6, LS_current!$B$4:$AY$138,LS_current!AE$148, FALSE))/2)</f>
        <v>49.981898652930397</v>
      </c>
      <c r="CC6" s="192">
        <f t="array" ref="CC6">IF($BT6=0, INDEX(LS_current!$D$4:$AY$138, MATCH('Staging Table'!$A6, LS_current!$B$4:$B$138, 0), MATCH(CC$4&amp;CC$5, LS_current!$D$2:$AY$2&amp;LS_current!$D$3:$AY$3, 0)),SUM(VLOOKUP($A6, LS_current!$B$4:$AY$138, LS_current!H$148, FALSE), VLOOKUP($A6, LS_current!$B$4:$AY$138,LS_current!AF$148, FALSE))/2)</f>
        <v>140.58347571134837</v>
      </c>
      <c r="CD6" s="192">
        <f t="array" ref="CD6">IF($BT6=0, INDEX(LS_current!$D$4:$AY$138, MATCH('Staging Table'!$A6, LS_current!$B$4:$B$138, 0), MATCH(CD$4&amp;CD$5, LS_current!$D$2:$AY$2&amp;LS_current!$D$3:$AY$3, 0)),SUM(VLOOKUP($A6, LS_current!$B$4:$AY$138, LS_current!I$148, FALSE), VLOOKUP($A6, LS_current!$B$4:$AY$138,LS_current!AG$148, FALSE))/2)</f>
        <v>93.983610825269153</v>
      </c>
      <c r="CE6" s="192">
        <f t="array" ref="CE6">IF($BT6=0, INDEX(LS_current!$D$4:$AY$138, MATCH('Staging Table'!$A6, LS_current!$B$4:$B$138, 0), MATCH(CE$4&amp;CE$5, LS_current!$D$2:$AY$2&amp;LS_current!$D$3:$AY$3, 0)),SUM(VLOOKUP($A6, LS_current!$B$4:$AY$138, LS_current!J$148, FALSE), VLOOKUP($A6, LS_current!$B$4:$AY$138,LS_current!AH$148, FALSE))/2)</f>
        <v>179.24341332428597</v>
      </c>
      <c r="CF6" s="192">
        <f t="array" ref="CF6">IF($BT6=0, INDEX(LS_current!$D$4:$AY$138, MATCH('Staging Table'!$A6, LS_current!$B$4:$B$138, 0), MATCH(CF$4&amp;CF$5, LS_current!$D$2:$AY$2&amp;LS_current!$D$3:$AY$3, 0)),SUM(VLOOKUP($A6, LS_current!$B$4:$AY$138, LS_current!K$148, FALSE), VLOOKUP($A6, LS_current!$B$4:$AY$138,LS_current!AI$148, FALSE))/2)</f>
        <v>151.95914233237079</v>
      </c>
      <c r="CG6" s="192">
        <f t="array" ref="CG6">IF($BT6=0, INDEX(LS_current!$D$4:$AY$138, MATCH('Staging Table'!$A6, LS_current!$B$4:$B$138, 0), MATCH(CG$4&amp;CG$5, LS_current!$D$2:$AY$2&amp;LS_current!$D$3:$AY$3, 0)),SUM(VLOOKUP($A6, LS_current!$B$4:$AY$138, LS_current!L$148, FALSE), VLOOKUP($A6, LS_current!$B$4:$AY$138,LS_current!AJ$148, FALSE))/2)</f>
        <v>157.18784655895124</v>
      </c>
      <c r="CH6" s="192">
        <f t="array" ref="CH6">IF($BT6=0, INDEX(LS_current!$D$4:$AY$138, MATCH('Staging Table'!$A6, LS_current!$B$4:$B$138, 0), MATCH(CH$4&amp;CH$5, LS_current!$D$2:$AY$2&amp;LS_current!$D$3:$AY$3, 0)),SUM(VLOOKUP($A6, LS_current!$B$4:$AY$138, LS_current!M$148, FALSE), VLOOKUP($A6, LS_current!$B$4:$AY$138,LS_current!AK$148, FALSE))/2)</f>
        <v>109.8910510738684</v>
      </c>
      <c r="CI6" s="192">
        <f t="array" ref="CI6">IF($BT6=0, INDEX(LS_current!$D$4:$AY$138, MATCH('Staging Table'!$A6, LS_current!$B$4:$B$138, 0), MATCH(CI$4&amp;CI$5, LS_current!$D$2:$AY$2&amp;LS_current!$D$3:$AY$3, 0)),SUM(VLOOKUP($A6, LS_current!$B$4:$AY$138, LS_current!N$148, FALSE), VLOOKUP($A6, LS_current!$B$4:$AY$138,LS_current!AL$148, FALSE))/2)</f>
        <v>120.57827409822758</v>
      </c>
      <c r="CJ6" s="192">
        <f t="array" ref="CJ6">IF($BT6=0, INDEX(LS_current!$D$4:$AY$138, MATCH('Staging Table'!$A6, LS_current!$B$4:$B$138, 0), MATCH(CJ$4&amp;CJ$5, LS_current!$D$2:$AY$2&amp;LS_current!$D$3:$AY$3, 0)),SUM(VLOOKUP($A6, LS_current!$B$4:$AY$138, LS_current!O$148, FALSE), VLOOKUP($A6, LS_current!$B$4:$AY$138,LS_current!AM$148, FALSE))/2)</f>
        <v>98.056655832489582</v>
      </c>
      <c r="CK6" s="192">
        <f t="array" ref="CK6">IF($BT6=0, INDEX(LS_current!$D$4:$AY$138, MATCH('Staging Table'!$A6, LS_current!$B$4:$B$138, 0), MATCH(CK$4&amp;CK$5, LS_current!$D$2:$AY$2&amp;LS_current!$D$3:$AY$3, 0)),SUM(VLOOKUP($A6, LS_current!$B$4:$AY$138, LS_current!P$148, FALSE), VLOOKUP($A6, LS_current!$B$4:$AY$138,LS_current!AN$148, FALSE))/2)</f>
        <v>106.73246211710759</v>
      </c>
      <c r="CL6" s="192">
        <f t="array" ref="CL6">IF($BT6=0, INDEX(LS_current!$D$4:$AY$138, MATCH('Staging Table'!$A6, LS_current!$B$4:$B$138, 0), MATCH(CL$4&amp;CL$5, LS_current!$D$2:$AY$2&amp;LS_current!$D$3:$AY$3, 0)),SUM(VLOOKUP($A6, LS_current!$B$4:$AY$138, LS_current!Q$148, FALSE), VLOOKUP($A6, LS_current!$B$4:$AY$138,LS_current!AO$148, FALSE))/2)</f>
        <v>89.536063808372774</v>
      </c>
      <c r="CM6" s="192">
        <f t="array" ref="CM6">IF($BT6=0, INDEX(LS_current!$D$4:$AY$138, MATCH('Staging Table'!$A6, LS_current!$B$4:$B$138, 0), MATCH(CM$4&amp;CM$5, LS_current!$D$2:$AY$2&amp;LS_current!$D$3:$AY$3, 0)),SUM(VLOOKUP($A6, LS_current!$B$4:$AY$138, LS_current!R$148, FALSE), VLOOKUP($A6, LS_current!$B$4:$AY$138,LS_current!AP$148, FALSE))/2)</f>
        <v>-63.7140707124492</v>
      </c>
      <c r="CN6" s="192">
        <f t="array" ref="CN6">IF($BT6=0, INDEX(LS_current!$D$4:$AY$138, MATCH('Staging Table'!$A6, LS_current!$B$4:$B$138, 0), MATCH(CN$4&amp;CN$5, LS_current!$D$2:$AY$2&amp;LS_current!$D$3:$AY$3, 0)),SUM(VLOOKUP($A6, LS_current!$B$4:$AY$138, LS_current!S$148, FALSE), VLOOKUP($A6, LS_current!$B$4:$AY$138,LS_current!AQ$148, FALSE))/2)</f>
        <v>33.692865218517198</v>
      </c>
      <c r="CO6" s="192">
        <f t="array" ref="CO6">IF($BT6=0, INDEX(LS_current!$D$4:$AY$138, MATCH('Staging Table'!$A6, LS_current!$B$4:$B$138, 0), MATCH(CO$4&amp;CO$5, LS_current!$D$2:$AY$2&amp;LS_current!$D$3:$AY$3, 0)),SUM(VLOOKUP($A6, LS_current!$B$4:$AY$138, LS_current!T$148, FALSE), VLOOKUP($A6, LS_current!$B$4:$AY$138,LS_current!AR$148, FALSE))/2)</f>
        <v>-104.90559404266961</v>
      </c>
      <c r="CP6" s="192">
        <f t="array" ref="CP6">IF($BT6=0, INDEX(LS_current!$D$4:$AY$138, MATCH('Staging Table'!$A6, LS_current!$B$4:$B$138, 0), MATCH(CP$4&amp;CP$5, LS_current!$D$2:$AY$2&amp;LS_current!$D$3:$AY$3, 0)),SUM(VLOOKUP($A6, LS_current!$B$4:$AY$138, LS_current!U$148, FALSE), VLOOKUP($A6, LS_current!$B$4:$AY$138,LS_current!AS$148, FALSE))/2)</f>
        <v>9.1705166824220044</v>
      </c>
      <c r="CQ6" s="192">
        <f t="array" ref="CQ6">IF($BT6=0, INDEX(LS_current!$D$4:$AY$138, MATCH('Staging Table'!$A6, LS_current!$B$4:$B$138, 0), MATCH(CQ$4&amp;CQ$5, LS_current!$D$2:$AY$2&amp;LS_current!$D$3:$AY$3, 0)),SUM(VLOOKUP($A6, LS_current!$B$4:$AY$138, LS_current!V$148, FALSE), VLOOKUP($A6, LS_current!$B$4:$AY$138,LS_current!AT$148, FALSE))/2)</f>
        <v>-87.683330462401983</v>
      </c>
      <c r="CR6" s="192">
        <f t="array" ref="CR6">IF($BT6=0, INDEX(LS_current!$D$4:$AY$138, MATCH('Staging Table'!$A6, LS_current!$B$4:$B$138, 0), MATCH(CR$4&amp;CR$5, LS_current!$D$2:$AY$2&amp;LS_current!$D$3:$AY$3, 0)),SUM(VLOOKUP($A6, LS_current!$B$4:$AY$138, LS_current!W$148, FALSE), VLOOKUP($A6, LS_current!$B$4:$AY$138,LS_current!AU$148, FALSE))/2)</f>
        <v>-1.7799428343639931</v>
      </c>
      <c r="CS6" s="192">
        <f t="array" ref="CS6">IF($BT6=0, INDEX(LS_current!$D$4:$AY$138, MATCH('Staging Table'!$A6, LS_current!$B$4:$B$138, 0), MATCH(CS$4&amp;CS$5, LS_current!$D$2:$AY$2&amp;LS_current!$D$3:$AY$3, 0)),SUM(VLOOKUP($A6, LS_current!$B$4:$AY$138, LS_current!X$148, FALSE), VLOOKUP($A6, LS_current!$B$4:$AY$138,LS_current!AV$148, FALSE))/2)</f>
        <v>-66.572110326693178</v>
      </c>
      <c r="CT6" s="192">
        <f t="array" ref="CT6">IF($BT6=0, INDEX(LS_current!$D$4:$AY$138, MATCH('Staging Table'!$A6, LS_current!$B$4:$B$138, 0), MATCH(CT$4&amp;CT$5, LS_current!$D$2:$AY$2&amp;LS_current!$D$3:$AY$3, 0)),SUM(VLOOKUP($A6, LS_current!$B$4:$AY$138, LS_current!Y$148, FALSE), VLOOKUP($A6, LS_current!$B$4:$AY$138,LS_current!AW$148, FALSE))/2)</f>
        <v>-11.718146641385601</v>
      </c>
      <c r="CU6" s="192">
        <f t="array" ref="CU6">IF($BT6=0, INDEX(LS_current!$D$4:$AY$138, MATCH('Staging Table'!$A6, LS_current!$B$4:$B$138, 0), MATCH(CU$4&amp;CU$5, LS_current!$D$2:$AY$2&amp;LS_current!$D$3:$AY$3, 0)),SUM(VLOOKUP($A6, LS_current!$B$4:$AY$138, LS_current!Z$148, FALSE), VLOOKUP($A6, LS_current!$B$4:$AY$138,LS_current!AX$148, FALSE))/2)</f>
        <v>-32.597555517366828</v>
      </c>
      <c r="CV6" s="192">
        <f t="array" ref="CV6">IF($BT6=0, INDEX(LS_current!$D$4:$AY$138, MATCH('Staging Table'!$A6, LS_current!$B$4:$B$138, 0), MATCH(CV$4&amp;CV$5, LS_current!$D$2:$AY$2&amp;LS_current!$D$3:$AY$3, 0)),SUM(VLOOKUP($A6, LS_current!$B$4:$AY$138, LS_current!AA$148, FALSE), VLOOKUP($A6, LS_current!$B$4:$AY$138,LS_current!AY$148, FALSE))/2)</f>
        <v>11.512613250142806</v>
      </c>
      <c r="CW6" s="194">
        <f t="array" ref="CW6">INDEX(Demand_current!$D$4:$AY$138, MATCH($A6, Demand_current!$B$4:$B$138, 0), MATCH(CW$4&amp;CW$5,Demand_current!$D$2:$AY$2&amp;Demand_current!$D$3:$AY$3, 0))/1000</f>
        <v>0.15401442307692303</v>
      </c>
      <c r="CX6" s="194">
        <f t="array" ref="CX6">INDEX(Demand_current!$D$4:$AY$138, MATCH($A6, Demand_current!$B$4:$B$138, 0), MATCH(CX$4&amp;CX$5,Demand_current!$D$2:$AY$2&amp;Demand_current!$D$3:$AY$3, 0))/1000</f>
        <v>9.2437500000000006E-2</v>
      </c>
      <c r="CY6" s="194">
        <f t="array" ref="CY6">INDEX(Demand_current!$D$4:$AY$138, MATCH($A6, Demand_current!$B$4:$B$138, 0), MATCH(CY$4&amp;CY$5,Demand_current!$D$2:$AY$2&amp;Demand_current!$D$3:$AY$3, 0))/1000</f>
        <v>7.5682692307692478E-2</v>
      </c>
      <c r="CZ6" s="194">
        <f t="array" ref="CZ6">INDEX(Demand_current!$D$4:$AY$138, MATCH($A6, Demand_current!$B$4:$B$138, 0), MATCH(CZ$4&amp;CZ$5,Demand_current!$D$2:$AY$2&amp;Demand_current!$D$3:$AY$3, 0))/1000</f>
        <v>8.1485000000000141E-2</v>
      </c>
      <c r="DA6" s="194">
        <f t="array" ref="DA6">INDEX(Demand_current!$D$4:$AY$138, MATCH($A6, Demand_current!$B$4:$B$138, 0), MATCH(DA$4&amp;DA$5,Demand_current!$D$2:$AY$2&amp;Demand_current!$D$3:$AY$3, 0))/1000</f>
        <v>0.10542968750000002</v>
      </c>
      <c r="DB6" s="194">
        <f t="array" ref="DB6">INDEX(Demand_current!$D$4:$AY$138, MATCH($A6, Demand_current!$B$4:$B$138, 0), MATCH(DB$4&amp;DB$5,Demand_current!$D$2:$AY$2&amp;Demand_current!$D$3:$AY$3, 0))/1000</f>
        <v>0.16184953703703717</v>
      </c>
      <c r="DC6" s="194">
        <f t="array" ref="DC6">INDEX(Demand_current!$D$4:$AY$138, MATCH($A6, Demand_current!$B$4:$B$138, 0), MATCH(DC$4&amp;DC$5,Demand_current!$D$2:$AY$2&amp;Demand_current!$D$3:$AY$3, 0))/1000</f>
        <v>0.11802884615384629</v>
      </c>
      <c r="DD6" s="194">
        <f t="array" ref="DD6">INDEX(Demand_current!$D$4:$AY$138, MATCH($A6, Demand_current!$B$4:$B$138, 0), MATCH(DD$4&amp;DD$5,Demand_current!$D$2:$AY$2&amp;Demand_current!$D$3:$AY$3, 0))/1000</f>
        <v>6.1117499999999936E-2</v>
      </c>
      <c r="DE6" s="194">
        <f t="array" ref="DE6">INDEX(Demand_current!$D$4:$AY$138, MATCH($A6, Demand_current!$B$4:$B$138, 0), MATCH(DE$4&amp;DE$5,Demand_current!$D$2:$AY$2&amp;Demand_current!$D$3:$AY$3, 0))/1000</f>
        <v>0.10180288461538455</v>
      </c>
      <c r="DF6" s="194">
        <f t="array" ref="DF6">INDEX(Demand_current!$D$4:$AY$138, MATCH($A6, Demand_current!$B$4:$B$138, 0), MATCH(DF$4&amp;DF$5,Demand_current!$D$2:$AY$2&amp;Demand_current!$D$3:$AY$3, 0))/1000</f>
        <v>9.8172500000000079E-2</v>
      </c>
      <c r="DG6" s="194">
        <f t="array" ref="DG6">INDEX(Demand_current!$D$4:$AY$138, MATCH($A6, Demand_current!$B$4:$B$138, 0), MATCH(DG$4&amp;DG$5,Demand_current!$D$2:$AY$2&amp;Demand_current!$D$3:$AY$3, 0))/1000</f>
        <v>0.1398240740740741</v>
      </c>
      <c r="DH6" s="194">
        <f t="array" ref="DH6">INDEX(Demand_current!$D$4:$AY$138, MATCH($A6, Demand_current!$B$4:$B$138, 0), MATCH(DH$4&amp;DH$5,Demand_current!$D$2:$AY$2&amp;Demand_current!$D$3:$AY$3, 0))/1000</f>
        <v>9.5555000000000001E-2</v>
      </c>
      <c r="DI6" s="192">
        <f>$BS6*(VLOOKUP(DI$4, Rates_current!$G$6:$Q$29, 10, FALSE)+VLOOKUP(DI$4, Rates_current!$G$6:$Q$29, 11, FALSE))</f>
        <v>353.38453505120879</v>
      </c>
      <c r="DJ6" s="192">
        <f>$BS6*(VLOOKUP(DJ$4, Rates_current!$G$6:$Q$29, 10, FALSE)+VLOOKUP(DJ$4, Rates_current!$G$6:$Q$29, 11, FALSE))</f>
        <v>447.39764658217649</v>
      </c>
      <c r="DK6" s="192">
        <f>$BS6*(VLOOKUP(DK$4, Rates_current!$G$6:$Q$29, 10, FALSE)+VLOOKUP(DK$4, Rates_current!$G$6:$Q$29, 11, FALSE))</f>
        <v>437.91291346338249</v>
      </c>
      <c r="DL6" s="192">
        <f>$BS6*(VLOOKUP(DL$4, Rates_current!$G$6:$Q$29, 10, FALSE)+VLOOKUP(DL$4, Rates_current!$G$6:$Q$29, 11, FALSE))</f>
        <v>361.69744434334319</v>
      </c>
      <c r="DM6" s="192">
        <f>$BS6*(VLOOKUP(DM$4, Rates_current!$G$6:$Q$29, 10, FALSE)+VLOOKUP(DM$4, Rates_current!$G$6:$Q$29, 11, FALSE))</f>
        <v>313.49110236718036</v>
      </c>
      <c r="DN6" s="192">
        <f>$BS6*(VLOOKUP(DN$4, Rates_current!$G$6:$Q$29, 10, FALSE)+VLOOKUP(DN$4, Rates_current!$G$6:$Q$29, 11, FALSE))</f>
        <v>374.2450700692828</v>
      </c>
      <c r="DO6" s="192">
        <f>$BS6*(VLOOKUP(DO$4, Rates_current!$G$6:$Q$29, 10, FALSE)+VLOOKUP(DO$4, Rates_current!$G$6:$Q$29, 11, FALSE))</f>
        <v>290.5514740745196</v>
      </c>
      <c r="DP6" s="192">
        <f>$BS6*(VLOOKUP(DP$4, Rates_current!$G$6:$Q$29, 10, FALSE)+VLOOKUP(DP$4, Rates_current!$G$6:$Q$29, 11, FALSE))</f>
        <v>402.56120549393199</v>
      </c>
      <c r="DQ6" s="192">
        <f>$BS6*(VLOOKUP(DQ$4, Rates_current!$G$6:$Q$29, 10, FALSE)+VLOOKUP(DQ$4, Rates_current!$G$6:$Q$29, 11, FALSE))</f>
        <v>430.14507736024763</v>
      </c>
      <c r="DR6" s="192">
        <f>$BS6*(VLOOKUP(DR$4, Rates_current!$G$6:$Q$29, 10, FALSE)+VLOOKUP(DR$4, Rates_current!$G$6:$Q$29, 11, FALSE))</f>
        <v>408.40327329676603</v>
      </c>
      <c r="DS6" s="192">
        <f>$BS6*(VLOOKUP(DS$4, Rates_current!$G$6:$Q$29, 10, FALSE)+VLOOKUP(DS$4, Rates_current!$G$6:$Q$29, 11, FALSE))</f>
        <v>394.69025696807876</v>
      </c>
      <c r="DT6" s="192">
        <f>$BS6*(VLOOKUP(DT$4, Rates_current!$G$6:$Q$29, 10, FALSE)+VLOOKUP(DT$4, Rates_current!$G$6:$Q$29, 11, FALSE))</f>
        <v>364.73494226722403</v>
      </c>
      <c r="DU6" s="418">
        <f>IF(D6=0,IF(C6=0,MAX(0,DW6 - (VLOOKUP($A6,TOCA_current!$A$2:$AI$137,MATCH("RHWM 2022",TOCA_current!$A$2:$AI$2,0),FALSE)*$BS$2)), 0),0)</f>
        <v>1127.2402342466576</v>
      </c>
      <c r="DV6" s="419">
        <f>MIN(VLOOKUP($A6,TOCA_current!$A$2:$AI$137,MATCH("TRL - NLSL - Existing Resource "&amp;$BS$1,TOCA_current!$A$2:$AI$2,0),FALSE)*$BS$2, VLOOKUP($A6,TOCA_current!$A$2:$AI$137,MATCH("RHWM 2022",TOCA_current!$A$2:$AI$2,0),FALSE)*$BS$2)</f>
        <v>4581.4800000000005</v>
      </c>
      <c r="DW6" s="419">
        <f>SUM(BY6:CV6)+(BS6*RT1SC!$C$4*$BS$2)</f>
        <v>5708.720234246658</v>
      </c>
      <c r="DX6" s="419">
        <f>VLOOKUP($A6,TOCA_current!$A$2:$AI$137,MATCH("Above RHWM Not Served with LS "&amp;$BS$1,TOCA_current!$A$2:$AI$2,0),FALSE)*$BS$2</f>
        <v>0</v>
      </c>
      <c r="DY6" s="419">
        <f>DW6-DV6</f>
        <v>1127.2402342466576</v>
      </c>
      <c r="DZ6" s="419">
        <f>(VLOOKUP($A6,TOCA_current!$A$2:$AI$137,MATCH("RHWM 2022",TOCA_current!$A$2:$AI$2,0),FALSE)*$BS$2) - $DV6</f>
        <v>0</v>
      </c>
      <c r="EA6" s="419">
        <f>IF(DY6&gt;0,IF(DZ6&gt;0,(-1)*MIN(DY6,DZ6),0),0)</f>
        <v>0</v>
      </c>
      <c r="EB6" s="419">
        <f>IF(DY6&lt;0,IF(DX6&lt;ABS(DY6),MAX(0,ABS($DY6)-(DX6)),0),0)</f>
        <v>0</v>
      </c>
      <c r="EC6" s="419">
        <f>IF(AND(DX6&gt;0,DZ6&gt;0),IF(AND(DY6&lt;=0,ABS(DY6)&lt;DX6),(-1)*MIN(DX6,DX6-ABS(DY6),DZ6),IF(AND(DY6&gt;0,DY6&lt;DZ6),(-1)*MIN(DX6,DZ6-DY6),0)),0)</f>
        <v>0</v>
      </c>
      <c r="ED6" s="419">
        <f>IF($D6=0,SUM(EA6:EC6),0)</f>
        <v>0</v>
      </c>
    </row>
    <row r="7" spans="1:134">
      <c r="A7" s="135">
        <v>10015</v>
      </c>
      <c r="B7" s="136" t="s">
        <v>8</v>
      </c>
      <c r="C7" s="244">
        <f>VLOOKUP(A7, TOCA_current!$A$3:$D$137, 4, FALSE)</f>
        <v>0</v>
      </c>
      <c r="D7" s="203">
        <v>0</v>
      </c>
      <c r="E7" s="119">
        <f>VLOOKUP($A7,TOCA_previous!$A$2:$AI$137,MATCH(E$4,TOCA_previous!$A$2:$AI$2,0),FALSE)</f>
        <v>8.1100000000000006E-5</v>
      </c>
      <c r="F7" s="120">
        <f>VLOOKUP($A7,TOCA_previous!$A$2:$AI$137,MATCH(F$4,TOCA_previous!$A$2:$AI$2,0),FALSE)</f>
        <v>8.1100000000000006E-5</v>
      </c>
      <c r="G7" s="120">
        <f t="shared" ref="G7:G70" si="5">E7-F7</f>
        <v>0</v>
      </c>
      <c r="H7" s="120">
        <f>VLOOKUP($A7,TOCA_previous!$A$2:$AI$137,MATCH(H$4,TOCA_previous!$A$2:$AI$2,0),FALSE)</f>
        <v>0</v>
      </c>
      <c r="I7" s="120">
        <f t="shared" ref="I7:I70" si="6">IF(C7=0,0,H7)</f>
        <v>0</v>
      </c>
      <c r="J7" s="120">
        <f t="shared" ref="J7:J70" si="7">IF(C7=0,0,E7)</f>
        <v>0</v>
      </c>
      <c r="K7" s="191">
        <f>VLOOKUP(A7, IRD!$A$5:$C$139, 3, FALSE)</f>
        <v>0</v>
      </c>
      <c r="L7" s="192">
        <f t="array" ref="L7">IF($G7=0, INDEX(LS_previous!$D$4:$AY$138, MATCH('Staging Table'!$A7, LS_previous!$B$4:$B$138, 0), MATCH(L$4&amp;L$5, LS_previous!$D$2:$AY$2&amp;LS_previous!$D$3:$AY$3, 0)),SUM(VLOOKUP($A7, LS_previous!$B$4:$AY$138, LS_previous!D$149, FALSE), VLOOKUP('Staging Table'!$A7, LS_previous!$B$4:$AY$138,LS_previous!AB$149, FALSE))/2)</f>
        <v>-90.498202966799994</v>
      </c>
      <c r="M7" s="192">
        <f t="array" ref="M7">IF($G7=0, INDEX(LS_previous!$D$4:$AY$138, MATCH('Staging Table'!$A7, LS_previous!$B$4:$B$138, 0), MATCH(M$4&amp;M$5, LS_previous!$D$2:$AY$2&amp;LS_previous!$D$3:$AY$3, 0)),SUM(VLOOKUP($A7, LS_previous!$B$4:$AY$138, LS_previous!E$149, FALSE), VLOOKUP('Staging Table'!$A7, LS_previous!$B$4:$AY$138,LS_previous!AC$149, FALSE))/2)</f>
        <v>-4.0342216288000117</v>
      </c>
      <c r="N7" s="192">
        <f t="array" ref="N7">IF($G7=0, INDEX(LS_previous!$D$4:$AY$138, MATCH('Staging Table'!$A7, LS_previous!$B$4:$B$138, 0), MATCH(N$4&amp;N$5, LS_previous!$D$2:$AY$2&amp;LS_previous!$D$3:$AY$3, 0)),SUM(VLOOKUP($A7, LS_previous!$B$4:$AY$138, LS_previous!F$149, FALSE), VLOOKUP('Staging Table'!$A7, LS_previous!$B$4:$AY$138,LS_previous!AD$149, FALSE))/2)</f>
        <v>-209.34050652080003</v>
      </c>
      <c r="O7" s="192">
        <f t="array" ref="O7">IF($G7=0, INDEX(LS_previous!$D$4:$AY$138, MATCH('Staging Table'!$A7, LS_previous!$B$4:$B$138, 0), MATCH(O$4&amp;O$5, LS_previous!$D$2:$AY$2&amp;LS_previous!$D$3:$AY$3, 0)),SUM(VLOOKUP($A7, LS_previous!$B$4:$AY$138, LS_previous!G$149, FALSE), VLOOKUP('Staging Table'!$A7, LS_previous!$B$4:$AY$138,LS_previous!AE$149, FALSE))/2)</f>
        <v>-112.45712916210002</v>
      </c>
      <c r="P7" s="192">
        <f t="array" ref="P7">IF($G7=0, INDEX(LS_previous!$D$4:$AY$138, MATCH('Staging Table'!$A7, LS_previous!$B$4:$B$138, 0), MATCH(P$4&amp;P$5, LS_previous!$D$2:$AY$2&amp;LS_previous!$D$3:$AY$3, 0)),SUM(VLOOKUP($A7, LS_previous!$B$4:$AY$138, LS_previous!H$149, FALSE), VLOOKUP('Staging Table'!$A7, LS_previous!$B$4:$AY$138,LS_previous!AF$149, FALSE))/2)</f>
        <v>-200.82083609920005</v>
      </c>
      <c r="Q7" s="192">
        <f t="array" ref="Q7">IF($G7=0, INDEX(LS_previous!$D$4:$AY$138, MATCH('Staging Table'!$A7, LS_previous!$B$4:$B$138, 0), MATCH(Q$4&amp;Q$5, LS_previous!$D$2:$AY$2&amp;LS_previous!$D$3:$AY$3, 0)),SUM(VLOOKUP($A7, LS_previous!$B$4:$AY$138, LS_previous!I$149, FALSE), VLOOKUP('Staging Table'!$A7, LS_previous!$B$4:$AY$138,LS_previous!AG$149, FALSE))/2)</f>
        <v>-107.69523979640002</v>
      </c>
      <c r="R7" s="192">
        <f t="array" ref="R7">IF($G7=0, INDEX(LS_previous!$D$4:$AY$138, MATCH('Staging Table'!$A7, LS_previous!$B$4:$B$138, 0), MATCH(R$4&amp;R$5, LS_previous!$D$2:$AY$2&amp;LS_previous!$D$3:$AY$3, 0)),SUM(VLOOKUP($A7, LS_previous!$B$4:$AY$138, LS_previous!J$149, FALSE), VLOOKUP('Staging Table'!$A7, LS_previous!$B$4:$AY$138,LS_previous!AH$149, FALSE))/2)</f>
        <v>-143.53559249920002</v>
      </c>
      <c r="S7" s="192">
        <f t="array" ref="S7">IF($G7=0, INDEX(LS_previous!$D$4:$AY$138, MATCH('Staging Table'!$A7, LS_previous!$B$4:$B$138, 0), MATCH(S$4&amp;S$5, LS_previous!$D$2:$AY$2&amp;LS_previous!$D$3:$AY$3, 0)),SUM(VLOOKUP($A7, LS_previous!$B$4:$AY$138, LS_previous!K$149, FALSE), VLOOKUP('Staging Table'!$A7, LS_previous!$B$4:$AY$138,LS_previous!AI$149, FALSE))/2)</f>
        <v>-82.278750596400016</v>
      </c>
      <c r="T7" s="192">
        <f t="array" ref="T7">IF($G7=0, INDEX(LS_previous!$D$4:$AY$138, MATCH('Staging Table'!$A7, LS_previous!$B$4:$B$138, 0), MATCH(T$4&amp;T$5, LS_previous!$D$2:$AY$2&amp;LS_previous!$D$3:$AY$3, 0)),SUM(VLOOKUP($A7, LS_previous!$B$4:$AY$138, LS_previous!L$149, FALSE), VLOOKUP('Staging Table'!$A7, LS_previous!$B$4:$AY$138,LS_previous!AJ$149, FALSE))/2)</f>
        <v>-144.2734267564</v>
      </c>
      <c r="U7" s="192">
        <f t="array" ref="U7">IF($G7=0, INDEX(LS_previous!$D$4:$AY$138, MATCH('Staging Table'!$A7, LS_previous!$B$4:$B$138, 0), MATCH(U$4&amp;U$5, LS_previous!$D$2:$AY$2&amp;LS_previous!$D$3:$AY$3, 0)),SUM(VLOOKUP($A7, LS_previous!$B$4:$AY$138, LS_previous!M$149, FALSE), VLOOKUP('Staging Table'!$A7, LS_previous!$B$4:$AY$138,LS_previous!AK$149, FALSE))/2)</f>
        <v>-70.20509572360001</v>
      </c>
      <c r="V7" s="192">
        <f t="array" ref="V7">IF($G7=0, INDEX(LS_previous!$D$4:$AY$138, MATCH('Staging Table'!$A7, LS_previous!$B$4:$B$138, 0), MATCH(V$4&amp;V$5, LS_previous!$D$2:$AY$2&amp;LS_previous!$D$3:$AY$3, 0)),SUM(VLOOKUP($A7, LS_previous!$B$4:$AY$138, LS_previous!N$149, FALSE), VLOOKUP('Staging Table'!$A7, LS_previous!$B$4:$AY$138,LS_previous!AL$149, FALSE))/2)</f>
        <v>-145.95255847759998</v>
      </c>
      <c r="W7" s="192">
        <f t="array" ref="W7">IF($G7=0, INDEX(LS_previous!$D$4:$AY$138, MATCH('Staging Table'!$A7, LS_previous!$B$4:$B$138, 0), MATCH(W$4&amp;W$5, LS_previous!$D$2:$AY$2&amp;LS_previous!$D$3:$AY$3, 0)),SUM(VLOOKUP($A7, LS_previous!$B$4:$AY$138, LS_previous!O$149, FALSE), VLOOKUP('Staging Table'!$A7, LS_previous!$B$4:$AY$138,LS_previous!AM$149, FALSE))/2)</f>
        <v>-81.632300013100021</v>
      </c>
      <c r="X7" s="192">
        <f t="array" ref="X7">IF($G7=0, INDEX(LS_previous!$D$4:$AY$138, MATCH('Staging Table'!$A7, LS_previous!$B$4:$B$138, 0), MATCH(X$4&amp;X$5, LS_previous!$D$2:$AY$2&amp;LS_previous!$D$3:$AY$3, 0)),SUM(VLOOKUP($A7, LS_previous!$B$4:$AY$138, LS_previous!P$149, FALSE), VLOOKUP('Staging Table'!$A7, LS_previous!$B$4:$AY$138,LS_previous!AN$149, FALSE))/2)</f>
        <v>-42.750722738399986</v>
      </c>
      <c r="Y7" s="192">
        <f t="array" ref="Y7">IF($G7=0, INDEX(LS_previous!$D$4:$AY$138, MATCH('Staging Table'!$A7, LS_previous!$B$4:$B$138, 0), MATCH(Y$4&amp;Y$5, LS_previous!$D$2:$AY$2&amp;LS_previous!$D$3:$AY$3, 0)),SUM(VLOOKUP($A7, LS_previous!$B$4:$AY$138, LS_previous!Q$149, FALSE), VLOOKUP('Staging Table'!$A7, LS_previous!$B$4:$AY$138,LS_previous!AO$149, FALSE))/2)</f>
        <v>-17.571611989600015</v>
      </c>
      <c r="Z7" s="192">
        <f t="array" ref="Z7">IF($G7=0, INDEX(LS_previous!$D$4:$AY$138, MATCH('Staging Table'!$A7, LS_previous!$B$4:$B$138, 0), MATCH(Z$4&amp;Z$5, LS_previous!$D$2:$AY$2&amp;LS_previous!$D$3:$AY$3, 0)),SUM(VLOOKUP($A7, LS_previous!$B$4:$AY$138, LS_previous!R$149, FALSE), VLOOKUP('Staging Table'!$A7, LS_previous!$B$4:$AY$138,LS_previous!AP$149, FALSE))/2)</f>
        <v>-18.384863810000013</v>
      </c>
      <c r="AA7" s="192">
        <f t="array" ref="AA7">IF($G7=0, INDEX(LS_previous!$D$4:$AY$138, MATCH('Staging Table'!$A7, LS_previous!$B$4:$B$138, 0), MATCH(AA$4&amp;AA$5, LS_previous!$D$2:$AY$2&amp;LS_previous!$D$3:$AY$3, 0)),SUM(VLOOKUP($A7, LS_previous!$B$4:$AY$138, LS_previous!S$149, FALSE), VLOOKUP('Staging Table'!$A7, LS_previous!$B$4:$AY$138,LS_previous!AQ$149, FALSE))/2)</f>
        <v>95.595210664400014</v>
      </c>
      <c r="AB7" s="192">
        <f t="array" ref="AB7">IF($G7=0, INDEX(LS_previous!$D$4:$AY$138, MATCH('Staging Table'!$A7, LS_previous!$B$4:$B$138, 0), MATCH(AB$4&amp;AB$5, LS_previous!$D$2:$AY$2&amp;LS_previous!$D$3:$AY$3, 0)),SUM(VLOOKUP($A7, LS_previous!$B$4:$AY$138, LS_previous!T$149, FALSE), VLOOKUP('Staging Table'!$A7, LS_previous!$B$4:$AY$138,LS_previous!AR$149, FALSE))/2)</f>
        <v>30.021171411599937</v>
      </c>
      <c r="AC7" s="192">
        <f t="array" ref="AC7">IF($G7=0, INDEX(LS_previous!$D$4:$AY$138, MATCH('Staging Table'!$A7, LS_previous!$B$4:$B$138, 0), MATCH(AC$4&amp;AC$5, LS_previous!$D$2:$AY$2&amp;LS_previous!$D$3:$AY$3, 0)),SUM(VLOOKUP($A7, LS_previous!$B$4:$AY$138, LS_previous!U$149, FALSE), VLOOKUP('Staging Table'!$A7, LS_previous!$B$4:$AY$138,LS_previous!AS$149, FALSE))/2)</f>
        <v>143.79779341039998</v>
      </c>
      <c r="AD7" s="192">
        <f t="array" ref="AD7">IF($G7=0, INDEX(LS_previous!$D$4:$AY$138, MATCH('Staging Table'!$A7, LS_previous!$B$4:$B$138, 0), MATCH(AD$4&amp;AD$5, LS_previous!$D$2:$AY$2&amp;LS_previous!$D$3:$AY$3, 0)),SUM(VLOOKUP($A7, LS_previous!$B$4:$AY$138, LS_previous!V$149, FALSE), VLOOKUP('Staging Table'!$A7, LS_previous!$B$4:$AY$138,LS_previous!AT$149, FALSE))/2)</f>
        <v>234.62659591160002</v>
      </c>
      <c r="AE7" s="192">
        <f t="array" ref="AE7">IF($G7=0, INDEX(LS_previous!$D$4:$AY$138, MATCH('Staging Table'!$A7, LS_previous!$B$4:$B$138, 0), MATCH(AE$4&amp;AE$5, LS_previous!$D$2:$AY$2&amp;LS_previous!$D$3:$AY$3, 0)),SUM(VLOOKUP($A7, LS_previous!$B$4:$AY$138, LS_previous!W$149, FALSE), VLOOKUP('Staging Table'!$A7, LS_previous!$B$4:$AY$138,LS_previous!AU$149, FALSE))/2)</f>
        <v>344.07488909279994</v>
      </c>
      <c r="AF7" s="192">
        <f t="array" ref="AF7">IF($G7=0, INDEX(LS_previous!$D$4:$AY$138, MATCH('Staging Table'!$A7, LS_previous!$B$4:$B$138, 0), MATCH(AF$4&amp;AF$5, LS_previous!$D$2:$AY$2&amp;LS_previous!$D$3:$AY$3, 0)),SUM(VLOOKUP($A7, LS_previous!$B$4:$AY$138, LS_previous!X$149, FALSE), VLOOKUP('Staging Table'!$A7, LS_previous!$B$4:$AY$138,LS_previous!AV$149, FALSE))/2)</f>
        <v>221.04244146159994</v>
      </c>
      <c r="AG7" s="192">
        <f t="array" ref="AG7">IF($G7=0, INDEX(LS_previous!$D$4:$AY$138, MATCH('Staging Table'!$A7, LS_previous!$B$4:$B$138, 0), MATCH(AG$4&amp;AG$5, LS_previous!$D$2:$AY$2&amp;LS_previous!$D$3:$AY$3, 0)),SUM(VLOOKUP($A7, LS_previous!$B$4:$AY$138, LS_previous!Y$149, FALSE), VLOOKUP('Staging Table'!$A7, LS_previous!$B$4:$AY$138,LS_previous!AW$149, FALSE))/2)</f>
        <v>297.68476109280004</v>
      </c>
      <c r="AH7" s="192">
        <f t="array" ref="AH7">IF($G7=0, INDEX(LS_previous!$D$4:$AY$138, MATCH('Staging Table'!$A7, LS_previous!$B$4:$B$138, 0), MATCH(AH$4&amp;AH$5, LS_previous!$D$2:$AY$2&amp;LS_previous!$D$3:$AY$3, 0)),SUM(VLOOKUP($A7, LS_previous!$B$4:$AY$138, LS_previous!Z$149, FALSE), VLOOKUP('Staging Table'!$A7, LS_previous!$B$4:$AY$138,LS_previous!AX$149, FALSE))/2)</f>
        <v>40.256427839999958</v>
      </c>
      <c r="AI7" s="192">
        <f t="array" ref="AI7">IF($G7=0, INDEX(LS_previous!$D$4:$AY$138, MATCH('Staging Table'!$A7, LS_previous!$B$4:$B$138, 0), MATCH(AI$4&amp;AI$5, LS_previous!$D$2:$AY$2&amp;LS_previous!$D$3:$AY$3, 0)),SUM(VLOOKUP($A7, LS_previous!$B$4:$AY$138, LS_previous!AA$149, FALSE), VLOOKUP('Staging Table'!$A7, LS_previous!$B$4:$AY$138,LS_previous!AY$149, FALSE))/2)</f>
        <v>170.319238332</v>
      </c>
      <c r="AJ7" s="314">
        <f t="array" ref="AJ7">INDEX(Demand_previous!$D$4:$AY$138, MATCH('Staging Table'!$A7, Demand_previous!$B$4:$B$138, 0), MATCH(AJ$4&amp;AJ$5,Demand_previous!$D$2:$AY$2&amp;Demand_previous!$D$3:$AY$3, 0))/1000</f>
        <v>0.25659027777777788</v>
      </c>
      <c r="AK7" s="314">
        <f t="array" ref="AK7">INDEX(Demand_previous!$D$4:$AY$138, MATCH('Staging Table'!$A7, Demand_previous!$B$4:$B$138, 0), MATCH(AK$4&amp;AK$5,Demand_previous!$D$2:$AY$2&amp;Demand_previous!$D$3:$AY$3, 0))/1000</f>
        <v>0</v>
      </c>
      <c r="AL7" s="314">
        <f t="array" ref="AL7">INDEX(Demand_previous!$D$4:$AY$138, MATCH('Staging Table'!$A7, Demand_previous!$B$4:$B$138, 0), MATCH(AL$4&amp;AL$5,Demand_previous!$D$2:$AY$2&amp;Demand_previous!$D$3:$AY$3, 0))/1000</f>
        <v>0</v>
      </c>
      <c r="AM7" s="314">
        <f t="array" ref="AM7">INDEX(Demand_previous!$D$4:$AY$138, MATCH('Staging Table'!$A7, Demand_previous!$B$4:$B$138, 0), MATCH(AM$4&amp;AM$5,Demand_previous!$D$2:$AY$2&amp;Demand_previous!$D$3:$AY$3, 0))/1000</f>
        <v>0.10224519230769225</v>
      </c>
      <c r="AN7" s="314">
        <f t="array" ref="AN7">INDEX(Demand_previous!$D$4:$AY$138, MATCH('Staging Table'!$A7, Demand_previous!$B$4:$B$138, 0), MATCH(AN$4&amp;AN$5,Demand_previous!$D$2:$AY$2&amp;Demand_previous!$D$3:$AY$3, 0))/1000</f>
        <v>0.18897249999999988</v>
      </c>
      <c r="AO7" s="314">
        <f t="array" ref="AO7">INDEX(Demand_previous!$D$4:$AY$138, MATCH('Staging Table'!$A7, Demand_previous!$B$4:$B$138, 0), MATCH(AO$4&amp;AO$5,Demand_previous!$D$2:$AY$2&amp;Demand_previous!$D$3:$AY$3, 0))/1000</f>
        <v>0.16455048076923073</v>
      </c>
      <c r="AP7" s="314">
        <f t="array" ref="AP7">INDEX(Demand_previous!$D$4:$AY$138, MATCH('Staging Table'!$A7, Demand_previous!$B$4:$B$138, 0), MATCH(AP$4&amp;AP$5,Demand_previous!$D$2:$AY$2&amp;Demand_previous!$D$3:$AY$3, 0))/1000</f>
        <v>0.50963701923076909</v>
      </c>
      <c r="AQ7" s="314">
        <f t="array" ref="AQ7">INDEX(Demand_previous!$D$4:$AY$138, MATCH('Staging Table'!$A7, Demand_previous!$B$4:$B$138, 0), MATCH(AQ$4&amp;AQ$5,Demand_previous!$D$2:$AY$2&amp;Demand_previous!$D$3:$AY$3, 0))/1000</f>
        <v>0.40480749999999999</v>
      </c>
      <c r="AR7" s="314">
        <f t="array" ref="AR7">INDEX(Demand_previous!$D$4:$AY$138, MATCH('Staging Table'!$A7, Demand_previous!$B$4:$B$138, 0), MATCH(AR$4&amp;AR$5,Demand_previous!$D$2:$AY$2&amp;Demand_previous!$D$3:$AY$3, 0))/1000</f>
        <v>0.43305288461538449</v>
      </c>
      <c r="AS7" s="314">
        <f t="array" ref="AS7">INDEX(Demand_previous!$D$4:$AY$138, MATCH('Staging Table'!$A7, Demand_previous!$B$4:$B$138, 0), MATCH(AS$4&amp;AS$5,Demand_previous!$D$2:$AY$2&amp;Demand_previous!$D$3:$AY$3, 0))/1000</f>
        <v>0.59150961538461533</v>
      </c>
      <c r="AT7" s="314">
        <f t="array" ref="AT7">INDEX(Demand_previous!$D$4:$AY$138, MATCH('Staging Table'!$A7, Demand_previous!$B$4:$B$138, 0), MATCH(AT$4&amp;AT$5,Demand_previous!$D$2:$AY$2&amp;Demand_previous!$D$3:$AY$3, 0))/1000</f>
        <v>0.27310576923076924</v>
      </c>
      <c r="AU7" s="314">
        <f t="array" ref="AU7">INDEX(Demand_previous!$D$4:$AY$138, MATCH('Staging Table'!$A7, Demand_previous!$B$4:$B$138, 0), MATCH(AU$4&amp;AU$5,Demand_previous!$D$2:$AY$2&amp;Demand_previous!$D$3:$AY$3, 0))/1000</f>
        <v>0.47045000000000003</v>
      </c>
      <c r="AV7" s="192">
        <f>$F7*(VLOOKUP(AV$4, Rates_previous!$G$6:$Q$29, 10, FALSE)+VLOOKUP(AV$4, Rates_previous!$G$6:$Q$29, 11, FALSE))</f>
        <v>374.46442459560001</v>
      </c>
      <c r="AW7" s="192">
        <f>$F7*(VLOOKUP(AW$4, Rates_previous!$G$6:$Q$29, 10, FALSE)+VLOOKUP(AW$4, Rates_previous!$G$6:$Q$29, 11, FALSE))</f>
        <v>475.68663568290003</v>
      </c>
      <c r="AX7" s="192">
        <f>$F7*(VLOOKUP(AX$4, Rates_previous!$G$6:$Q$29, 10, FALSE)+VLOOKUP(AX$4, Rates_previous!$G$6:$Q$29, 11, FALSE))</f>
        <v>469.94207589560006</v>
      </c>
      <c r="AY7" s="192">
        <f>$F7*(VLOOKUP(AY$4, Rates_previous!$G$6:$Q$29, 10, FALSE)+VLOOKUP(AY$4, Rates_previous!$G$6:$Q$29, 11, FALSE))</f>
        <v>391.72534309560007</v>
      </c>
      <c r="AZ7" s="192">
        <f>$F7*(VLOOKUP(AZ$4, Rates_previous!$G$6:$Q$29, 10, FALSE)+VLOOKUP(AZ$4, Rates_previous!$G$6:$Q$29, 11, FALSE))</f>
        <v>354.86252248</v>
      </c>
      <c r="BA7" s="192">
        <f>$F7*(VLOOKUP(BA$4, Rates_previous!$G$6:$Q$29, 10, FALSE)+VLOOKUP(BA$4, Rates_previous!$G$6:$Q$29, 11, FALSE))</f>
        <v>394.71985849070001</v>
      </c>
      <c r="BB7" s="192">
        <f>$F7*(VLOOKUP(BB$4, Rates_previous!$G$6:$Q$29, 10, FALSE)+VLOOKUP(BB$4, Rates_previous!$G$6:$Q$29, 11, FALSE))</f>
        <v>321.38133472800001</v>
      </c>
      <c r="BC7" s="192">
        <f>$F7*(VLOOKUP(BC$4, Rates_previous!$G$6:$Q$29, 10, FALSE)+VLOOKUP(BC$4, Rates_previous!$G$6:$Q$29, 11, FALSE))</f>
        <v>433.43065314560005</v>
      </c>
      <c r="BD7" s="192">
        <f>$F7*(VLOOKUP(BD$4, Rates_previous!$G$6:$Q$29, 10, FALSE)+VLOOKUP(BD$4, Rates_previous!$G$6:$Q$29, 11, FALSE))</f>
        <v>553.0280351780001</v>
      </c>
      <c r="BE7" s="192">
        <f>$F7*(VLOOKUP(BE$4, Rates_previous!$G$6:$Q$29, 10, FALSE)+VLOOKUP(BE$4, Rates_previous!$G$6:$Q$29, 11, FALSE))</f>
        <v>433.59151499560005</v>
      </c>
      <c r="BF7" s="192">
        <f>$F7*(VLOOKUP(BF$4, Rates_previous!$G$6:$Q$29, 10, FALSE)+VLOOKUP(BF$4, Rates_previous!$G$6:$Q$29, 11, FALSE))</f>
        <v>422.23179744560008</v>
      </c>
      <c r="BG7" s="192">
        <f>$F7*(VLOOKUP(BG$4, Rates_previous!$G$6:$Q$29, 10, FALSE)+VLOOKUP(BG$4, Rates_previous!$G$6:$Q$29, 11, FALSE))</f>
        <v>379.07433382800008</v>
      </c>
      <c r="BH7" s="314">
        <f>IF($D7=0,IF(C7=0, MAX(BJ7 - (VLOOKUP($A7,TOCA_previous!$A$2:$AI$137,MATCH("RHWM 2020",TOCA_previous!$A$2:$AI$2,0),FALSE)*$F$2*TOCA_previous!C4),0),0), 0)</f>
        <v>103.24618782760081</v>
      </c>
      <c r="BI7" s="204">
        <f>MIN(VLOOKUP($A7,TOCA_previous!$A$2:$AI$137,MATCH("TRL - NLSL - Existing Resource "&amp;$F$1,TOCA_previous!$A$2:$AI$2,0),FALSE)*$F$2,(VLOOKUP($A7,TOCA_previous!$A$2:$AI$137,MATCH("RHWM 2020",TOCA_previous!$A$2:$AI$2,0),FALSE)*$F$2))</f>
        <v>5006.8799999999992</v>
      </c>
      <c r="BJ7" s="418">
        <f>SUM(L7:AI7)+(F7*RT1SC!$C$3*$F$2)</f>
        <v>5110.1261878276</v>
      </c>
      <c r="BK7" s="417">
        <f>VLOOKUP($A7,TOCA_previous!$A$2:$AI$137,MATCH("Above RHWM Not Served with LS "&amp;$F$1,TOCA_previous!$A$2:$AI$2,0),FALSE)*$F$2</f>
        <v>0</v>
      </c>
      <c r="BL7" s="418">
        <f t="shared" ref="BL7:BL70" si="8">BJ7-BI7</f>
        <v>103.24618782760081</v>
      </c>
      <c r="BM7" s="417">
        <f>(VLOOKUP($A7,TOCA_previous!$A$2:$AI$137,MATCH("RHWM 2020",TOCA_previous!$A$2:$AI$2,0),FALSE)*$F$2) - $BI7</f>
        <v>0</v>
      </c>
      <c r="BN7" s="418">
        <f t="shared" ref="BN7:BN70" si="9">IF(BL7&gt;0,IF(BM7&gt;0,(-1)*MIN(BL7,BM7),0),0)</f>
        <v>0</v>
      </c>
      <c r="BO7" s="417">
        <f t="shared" ref="BO7:BO70" si="10">IF(BL7&lt;0,IF(BK7&lt;ABS(BL7),MAX(0,ABS($BL7)-(BK7)),0),0)</f>
        <v>0</v>
      </c>
      <c r="BP7" s="418">
        <f t="shared" ref="BP7:BP70" si="11">IF(AND(BK7&gt;0,BM7&gt;0),IF(AND(BL7&lt;=0,ABS(BL7)&lt;BK7),(-1)*MIN(BK7,BK7-ABS(BL7),BM7),IF(AND(BL7&gt;0,BL7&lt;BM7),(-1)*MIN(BK7,BM7-BL7),0)),0)</f>
        <v>0</v>
      </c>
      <c r="BQ7" s="417">
        <f t="shared" si="2"/>
        <v>0</v>
      </c>
      <c r="BR7" s="120">
        <f>VLOOKUP($A7,TOCA_current!$A$2:$AI$137,MATCH(BR$4,TOCA_current!$A$2:$AI$2,0),FALSE)</f>
        <v>8.1199999999999995E-5</v>
      </c>
      <c r="BS7" s="120">
        <f>VLOOKUP($A7,TOCA_current!$A$2:$AI$137,MATCH(BS$4,TOCA_current!$A$2:$AI$2,0),FALSE)</f>
        <v>8.1199999999999995E-5</v>
      </c>
      <c r="BT7" s="201">
        <f t="shared" ref="BT7:BT70" si="12">BR7-BS7</f>
        <v>0</v>
      </c>
      <c r="BU7" s="120">
        <f>VLOOKUP($A7,TOCA_current!A3:BG138,MATCH(BU$4,TOCA_current!$A$2:$BG$2,0),FALSE)</f>
        <v>0</v>
      </c>
      <c r="BV7" s="120">
        <f t="shared" si="3"/>
        <v>0</v>
      </c>
      <c r="BW7" s="120">
        <f t="shared" si="4"/>
        <v>0</v>
      </c>
      <c r="BX7" s="191">
        <f>VLOOKUP($A7,IRD!$A$4:$G$139, 7, FALSE)</f>
        <v>0</v>
      </c>
      <c r="BY7" s="192">
        <f t="array" ref="BY7">IF($BT7=0, INDEX(LS_current!$D$4:$AY$138, MATCH('Staging Table'!$A7, LS_current!$B$4:$B$138, 0), MATCH(BY$4&amp;BY$5, LS_current!$D$2:$AY$2&amp;LS_current!$D$3:$AY$3, 0)),SUM(VLOOKUP($A7, LS_current!$B$4:$AY$138, LS_current!D$148, FALSE), VLOOKUP($A7, LS_current!$B$4:$AY$138,LS_current!AB$148, FALSE))/2)</f>
        <v>-83.631169480282551</v>
      </c>
      <c r="BZ7" s="192">
        <f t="array" ref="BZ7">IF($BT7=0, INDEX(LS_current!$D$4:$AY$138, MATCH('Staging Table'!$A7, LS_current!$B$4:$B$138, 0), MATCH(BZ$4&amp;BZ$5, LS_current!$D$2:$AY$2&amp;LS_current!$D$3:$AY$3, 0)),SUM(VLOOKUP($A7, LS_current!$B$4:$AY$138, LS_current!E$148, FALSE), VLOOKUP($A7, LS_current!$B$4:$AY$138,LS_current!AC$148, FALSE))/2)</f>
        <v>-6.215493485673008</v>
      </c>
      <c r="CA7" s="192">
        <f t="array" ref="CA7">IF($BT7=0, INDEX(LS_current!$D$4:$AY$138, MATCH('Staging Table'!$A7, LS_current!$B$4:$B$138, 0), MATCH(CA$4&amp;CA$5, LS_current!$D$2:$AY$2&amp;LS_current!$D$3:$AY$3, 0)),SUM(VLOOKUP($A7, LS_current!$B$4:$AY$138, LS_current!F$148, FALSE), VLOOKUP($A7, LS_current!$B$4:$AY$138,LS_current!AD$148, FALSE))/2)</f>
        <v>-198.38714784910661</v>
      </c>
      <c r="CB7" s="192">
        <f t="array" ref="CB7">IF($BT7=0, INDEX(LS_current!$D$4:$AY$138, MATCH('Staging Table'!$A7, LS_current!$B$4:$B$138, 0), MATCH(CB$4&amp;CB$5, LS_current!$D$2:$AY$2&amp;LS_current!$D$3:$AY$3, 0)),SUM(VLOOKUP($A7, LS_current!$B$4:$AY$138, LS_current!G$148, FALSE), VLOOKUP($A7, LS_current!$B$4:$AY$138,LS_current!AE$148, FALSE))/2)</f>
        <v>-115.87705965698518</v>
      </c>
      <c r="CC7" s="192">
        <f t="array" ref="CC7">IF($BT7=0, INDEX(LS_current!$D$4:$AY$138, MATCH('Staging Table'!$A7, LS_current!$B$4:$B$138, 0), MATCH(CC$4&amp;CC$5, LS_current!$D$2:$AY$2&amp;LS_current!$D$3:$AY$3, 0)),SUM(VLOOKUP($A7, LS_current!$B$4:$AY$138, LS_current!H$148, FALSE), VLOOKUP($A7, LS_current!$B$4:$AY$138,LS_current!AF$148, FALSE))/2)</f>
        <v>-170.76446613709419</v>
      </c>
      <c r="CD7" s="192">
        <f t="array" ref="CD7">IF($BT7=0, INDEX(LS_current!$D$4:$AY$138, MATCH('Staging Table'!$A7, LS_current!$B$4:$B$138, 0), MATCH(CD$4&amp;CD$5, LS_current!$D$2:$AY$2&amp;LS_current!$D$3:$AY$3, 0)),SUM(VLOOKUP($A7, LS_current!$B$4:$AY$138, LS_current!I$148, FALSE), VLOOKUP($A7, LS_current!$B$4:$AY$138,LS_current!AG$148, FALSE))/2)</f>
        <v>-126.03799485809461</v>
      </c>
      <c r="CE7" s="192">
        <f t="array" ref="CE7">IF($BT7=0, INDEX(LS_current!$D$4:$AY$138, MATCH('Staging Table'!$A7, LS_current!$B$4:$B$138, 0), MATCH(CE$4&amp;CE$5, LS_current!$D$2:$AY$2&amp;LS_current!$D$3:$AY$3, 0)),SUM(VLOOKUP($A7, LS_current!$B$4:$AY$138, LS_current!J$148, FALSE), VLOOKUP($A7, LS_current!$B$4:$AY$138,LS_current!AH$148, FALSE))/2)</f>
        <v>-112.65827368644298</v>
      </c>
      <c r="CF7" s="192">
        <f t="array" ref="CF7">IF($BT7=0, INDEX(LS_current!$D$4:$AY$138, MATCH('Staging Table'!$A7, LS_current!$B$4:$B$138, 0), MATCH(CF$4&amp;CF$5, LS_current!$D$2:$AY$2&amp;LS_current!$D$3:$AY$3, 0)),SUM(VLOOKUP($A7, LS_current!$B$4:$AY$138, LS_current!K$148, FALSE), VLOOKUP($A7, LS_current!$B$4:$AY$138,LS_current!AI$148, FALSE))/2)</f>
        <v>-99.907949002725388</v>
      </c>
      <c r="CG7" s="192">
        <f t="array" ref="CG7">IF($BT7=0, INDEX(LS_current!$D$4:$AY$138, MATCH('Staging Table'!$A7, LS_current!$B$4:$B$138, 0), MATCH(CG$4&amp;CG$5, LS_current!$D$2:$AY$2&amp;LS_current!$D$3:$AY$3, 0)),SUM(VLOOKUP($A7, LS_current!$B$4:$AY$138, LS_current!L$148, FALSE), VLOOKUP($A7, LS_current!$B$4:$AY$138,LS_current!AJ$148, FALSE))/2)</f>
        <v>-110.94023787903554</v>
      </c>
      <c r="CH7" s="192">
        <f t="array" ref="CH7">IF($BT7=0, INDEX(LS_current!$D$4:$AY$138, MATCH('Staging Table'!$A7, LS_current!$B$4:$B$138, 0), MATCH(CH$4&amp;CH$5, LS_current!$D$2:$AY$2&amp;LS_current!$D$3:$AY$3, 0)),SUM(VLOOKUP($A7, LS_current!$B$4:$AY$138, LS_current!M$148, FALSE), VLOOKUP($A7, LS_current!$B$4:$AY$138,LS_current!AK$148, FALSE))/2)</f>
        <v>-76.710266144354193</v>
      </c>
      <c r="CI7" s="192">
        <f t="array" ref="CI7">IF($BT7=0, INDEX(LS_current!$D$4:$AY$138, MATCH('Staging Table'!$A7, LS_current!$B$4:$B$138, 0), MATCH(CI$4&amp;CI$5, LS_current!$D$2:$AY$2&amp;LS_current!$D$3:$AY$3, 0)),SUM(VLOOKUP($A7, LS_current!$B$4:$AY$138, LS_current!N$148, FALSE), VLOOKUP($A7, LS_current!$B$4:$AY$138,LS_current!AL$148, FALSE))/2)</f>
        <v>-135.48234720649376</v>
      </c>
      <c r="CJ7" s="192">
        <f t="array" ref="CJ7">IF($BT7=0, INDEX(LS_current!$D$4:$AY$138, MATCH('Staging Table'!$A7, LS_current!$B$4:$B$138, 0), MATCH(CJ$4&amp;CJ$5, LS_current!$D$2:$AY$2&amp;LS_current!$D$3:$AY$3, 0)),SUM(VLOOKUP($A7, LS_current!$B$4:$AY$138, LS_current!O$148, FALSE), VLOOKUP($A7, LS_current!$B$4:$AY$138,LS_current!AM$148, FALSE))/2)</f>
        <v>-88.989607556724778</v>
      </c>
      <c r="CK7" s="192">
        <f t="array" ref="CK7">IF($BT7=0, INDEX(LS_current!$D$4:$AY$138, MATCH('Staging Table'!$A7, LS_current!$B$4:$B$138, 0), MATCH(CK$4&amp;CK$5, LS_current!$D$2:$AY$2&amp;LS_current!$D$3:$AY$3, 0)),SUM(VLOOKUP($A7, LS_current!$B$4:$AY$138, LS_current!P$148, FALSE), VLOOKUP($A7, LS_current!$B$4:$AY$138,LS_current!AN$148, FALSE))/2)</f>
        <v>-27.874866959933769</v>
      </c>
      <c r="CL7" s="192">
        <f t="array" ref="CL7">IF($BT7=0, INDEX(LS_current!$D$4:$AY$138, MATCH('Staging Table'!$A7, LS_current!$B$4:$B$138, 0), MATCH(CL$4&amp;CL$5, LS_current!$D$2:$AY$2&amp;LS_current!$D$3:$AY$3, 0)),SUM(VLOOKUP($A7, LS_current!$B$4:$AY$138, LS_current!Q$148, FALSE), VLOOKUP($A7, LS_current!$B$4:$AY$138,LS_current!AO$148, FALSE))/2)</f>
        <v>-15.096799210826404</v>
      </c>
      <c r="CM7" s="192">
        <f t="array" ref="CM7">IF($BT7=0, INDEX(LS_current!$D$4:$AY$138, MATCH('Staging Table'!$A7, LS_current!$B$4:$B$138, 0), MATCH(CM$4&amp;CM$5, LS_current!$D$2:$AY$2&amp;LS_current!$D$3:$AY$3, 0)),SUM(VLOOKUP($A7, LS_current!$B$4:$AY$138, LS_current!R$148, FALSE), VLOOKUP($A7, LS_current!$B$4:$AY$138,LS_current!AP$148, FALSE))/2)</f>
        <v>-20.974625539315355</v>
      </c>
      <c r="CN7" s="192">
        <f t="array" ref="CN7">IF($BT7=0, INDEX(LS_current!$D$4:$AY$138, MATCH('Staging Table'!$A7, LS_current!$B$4:$B$138, 0), MATCH(CN$4&amp;CN$5, LS_current!$D$2:$AY$2&amp;LS_current!$D$3:$AY$3, 0)),SUM(VLOOKUP($A7, LS_current!$B$4:$AY$138, LS_current!S$148, FALSE), VLOOKUP($A7, LS_current!$B$4:$AY$138,LS_current!AQ$148, FALSE))/2)</f>
        <v>110.37890020288143</v>
      </c>
      <c r="CO7" s="192">
        <f t="array" ref="CO7">IF($BT7=0, INDEX(LS_current!$D$4:$AY$138, MATCH('Staging Table'!$A7, LS_current!$B$4:$B$138, 0), MATCH(CO$4&amp;CO$5, LS_current!$D$2:$AY$2&amp;LS_current!$D$3:$AY$3, 0)),SUM(VLOOKUP($A7, LS_current!$B$4:$AY$138, LS_current!T$148, FALSE), VLOOKUP($A7, LS_current!$B$4:$AY$138,LS_current!AR$148, FALSE))/2)</f>
        <v>67.959847470814793</v>
      </c>
      <c r="CP7" s="192">
        <f t="array" ref="CP7">IF($BT7=0, INDEX(LS_current!$D$4:$AY$138, MATCH('Staging Table'!$A7, LS_current!$B$4:$B$138, 0), MATCH(CP$4&amp;CP$5, LS_current!$D$2:$AY$2&amp;LS_current!$D$3:$AY$3, 0)),SUM(VLOOKUP($A7, LS_current!$B$4:$AY$138, LS_current!U$148, FALSE), VLOOKUP($A7, LS_current!$B$4:$AY$138,LS_current!AS$148, FALSE))/2)</f>
        <v>208.78689116768899</v>
      </c>
      <c r="CQ7" s="192">
        <f t="array" ref="CQ7">IF($BT7=0, INDEX(LS_current!$D$4:$AY$138, MATCH('Staging Table'!$A7, LS_current!$B$4:$B$138, 0), MATCH(CQ$4&amp;CQ$5, LS_current!$D$2:$AY$2&amp;LS_current!$D$3:$AY$3, 0)),SUM(VLOOKUP($A7, LS_current!$B$4:$AY$138, LS_current!V$148, FALSE), VLOOKUP($A7, LS_current!$B$4:$AY$138,LS_current!AT$148, FALSE))/2)</f>
        <v>248.46644802130106</v>
      </c>
      <c r="CR7" s="192">
        <f t="array" ref="CR7">IF($BT7=0, INDEX(LS_current!$D$4:$AY$138, MATCH('Staging Table'!$A7, LS_current!$B$4:$B$138, 0), MATCH(CR$4&amp;CR$5, LS_current!$D$2:$AY$2&amp;LS_current!$D$3:$AY$3, 0)),SUM(VLOOKUP($A7, LS_current!$B$4:$AY$138, LS_current!W$148, FALSE), VLOOKUP($A7, LS_current!$B$4:$AY$138,LS_current!AU$148, FALSE))/2)</f>
        <v>336.47673507538195</v>
      </c>
      <c r="CS7" s="192">
        <f t="array" ref="CS7">IF($BT7=0, INDEX(LS_current!$D$4:$AY$138, MATCH('Staging Table'!$A7, LS_current!$B$4:$B$138, 0), MATCH(CS$4&amp;CS$5, LS_current!$D$2:$AY$2&amp;LS_current!$D$3:$AY$3, 0)),SUM(VLOOKUP($A7, LS_current!$B$4:$AY$138, LS_current!X$148, FALSE), VLOOKUP($A7, LS_current!$B$4:$AY$138,LS_current!AV$148, FALSE))/2)</f>
        <v>232.2569567200066</v>
      </c>
      <c r="CT7" s="192">
        <f t="array" ref="CT7">IF($BT7=0, INDEX(LS_current!$D$4:$AY$138, MATCH('Staging Table'!$A7, LS_current!$B$4:$B$138, 0), MATCH(CT$4&amp;CT$5, LS_current!$D$2:$AY$2&amp;LS_current!$D$3:$AY$3, 0)),SUM(VLOOKUP($A7, LS_current!$B$4:$AY$138, LS_current!Y$148, FALSE), VLOOKUP($A7, LS_current!$B$4:$AY$138,LS_current!AW$148, FALSE))/2)</f>
        <v>295.70141356597287</v>
      </c>
      <c r="CU7" s="192">
        <f t="array" ref="CU7">IF($BT7=0, INDEX(LS_current!$D$4:$AY$138, MATCH('Staging Table'!$A7, LS_current!$B$4:$B$138, 0), MATCH(CU$4&amp;CU$5, LS_current!$D$2:$AY$2&amp;LS_current!$D$3:$AY$3, 0)),SUM(VLOOKUP($A7, LS_current!$B$4:$AY$138, LS_current!Z$148, FALSE), VLOOKUP($A7, LS_current!$B$4:$AY$138,LS_current!AX$148, FALSE))/2)</f>
        <v>39.445578505023377</v>
      </c>
      <c r="CV7" s="192">
        <f t="array" ref="CV7">IF($BT7=0, INDEX(LS_current!$D$4:$AY$138, MATCH('Staging Table'!$A7, LS_current!$B$4:$B$138, 0), MATCH(CV$4&amp;CV$5, LS_current!$D$2:$AY$2&amp;LS_current!$D$3:$AY$3, 0)),SUM(VLOOKUP($A7, LS_current!$B$4:$AY$138, LS_current!AA$148, FALSE), VLOOKUP($A7, LS_current!$B$4:$AY$138,LS_current!AY$148, FALSE))/2)</f>
        <v>168.54878602978863</v>
      </c>
      <c r="CW7" s="194">
        <f t="array" ref="CW7">INDEX(Demand_current!$D$4:$AY$138, MATCH($A7, Demand_current!$B$4:$B$138, 0), MATCH(CW$4&amp;CW$5,Demand_current!$D$2:$AY$2&amp;Demand_current!$D$3:$AY$3, 0))/1000</f>
        <v>0.242920673076923</v>
      </c>
      <c r="CX7" s="194">
        <f t="array" ref="CX7">INDEX(Demand_current!$D$4:$AY$138, MATCH($A7, Demand_current!$B$4:$B$138, 0), MATCH(CX$4&amp;CX$5,Demand_current!$D$2:$AY$2&amp;Demand_current!$D$3:$AY$3, 0))/1000</f>
        <v>0</v>
      </c>
      <c r="CY7" s="194">
        <f t="array" ref="CY7">INDEX(Demand_current!$D$4:$AY$138, MATCH($A7, Demand_current!$B$4:$B$138, 0), MATCH(CY$4&amp;CY$5,Demand_current!$D$2:$AY$2&amp;Demand_current!$D$3:$AY$3, 0))/1000</f>
        <v>0</v>
      </c>
      <c r="CZ7" s="194">
        <f t="array" ref="CZ7">INDEX(Demand_current!$D$4:$AY$138, MATCH($A7, Demand_current!$B$4:$B$138, 0), MATCH(CZ$4&amp;CZ$5,Demand_current!$D$2:$AY$2&amp;Demand_current!$D$3:$AY$3, 0))/1000</f>
        <v>9.2374999999999985E-2</v>
      </c>
      <c r="DA7" s="194">
        <f t="array" ref="DA7">INDEX(Demand_current!$D$4:$AY$138, MATCH($A7, Demand_current!$B$4:$B$138, 0), MATCH(DA$4&amp;DA$5,Demand_current!$D$2:$AY$2&amp;Demand_current!$D$3:$AY$3, 0))/1000</f>
        <v>0.18067968749999996</v>
      </c>
      <c r="DB7" s="194">
        <f t="array" ref="DB7">INDEX(Demand_current!$D$4:$AY$138, MATCH($A7, Demand_current!$B$4:$B$138, 0), MATCH(DB$4&amp;DB$5,Demand_current!$D$2:$AY$2&amp;Demand_current!$D$3:$AY$3, 0))/1000</f>
        <v>0.17390046296296291</v>
      </c>
      <c r="DC7" s="194">
        <f t="array" ref="DC7">INDEX(Demand_current!$D$4:$AY$138, MATCH($A7, Demand_current!$B$4:$B$138, 0), MATCH(DC$4&amp;DC$5,Demand_current!$D$2:$AY$2&amp;Demand_current!$D$3:$AY$3, 0))/1000</f>
        <v>0.50963701923076909</v>
      </c>
      <c r="DD7" s="194">
        <f t="array" ref="DD7">INDEX(Demand_current!$D$4:$AY$138, MATCH($A7, Demand_current!$B$4:$B$138, 0), MATCH(DD$4&amp;DD$5,Demand_current!$D$2:$AY$2&amp;Demand_current!$D$3:$AY$3, 0))/1000</f>
        <v>0.40480749999999999</v>
      </c>
      <c r="DE7" s="194">
        <f t="array" ref="DE7">INDEX(Demand_current!$D$4:$AY$138, MATCH($A7, Demand_current!$B$4:$B$138, 0), MATCH(DE$4&amp;DE$5,Demand_current!$D$2:$AY$2&amp;Demand_current!$D$3:$AY$3, 0))/1000</f>
        <v>0.43305288461538449</v>
      </c>
      <c r="DF7" s="194">
        <f t="array" ref="DF7">INDEX(Demand_current!$D$4:$AY$138, MATCH($A7, Demand_current!$B$4:$B$138, 0), MATCH(DF$4&amp;DF$5,Demand_current!$D$2:$AY$2&amp;Demand_current!$D$3:$AY$3, 0))/1000</f>
        <v>0.5402499999999999</v>
      </c>
      <c r="DG7" s="194">
        <f t="array" ref="DG7">INDEX(Demand_current!$D$4:$AY$138, MATCH($A7, Demand_current!$B$4:$B$138, 0), MATCH(DG$4&amp;DG$5,Demand_current!$D$2:$AY$2&amp;Demand_current!$D$3:$AY$3, 0))/1000</f>
        <v>0.31854629629629638</v>
      </c>
      <c r="DH7" s="194">
        <f t="array" ref="DH7">INDEX(Demand_current!$D$4:$AY$138, MATCH($A7, Demand_current!$B$4:$B$138, 0), MATCH(DH$4&amp;DH$5,Demand_current!$D$2:$AY$2&amp;Demand_current!$D$3:$AY$3, 0))/1000</f>
        <v>0.47045000000000003</v>
      </c>
      <c r="DI7" s="192">
        <f>$BS7*(VLOOKUP(DI$4, Rates_current!$G$6:$Q$29, 10, FALSE)+VLOOKUP(DI$4, Rates_current!$G$6:$Q$29, 11, FALSE))</f>
        <v>369.77866296595556</v>
      </c>
      <c r="DJ7" s="192">
        <f>$BS7*(VLOOKUP(DJ$4, Rates_current!$G$6:$Q$29, 10, FALSE)+VLOOKUP(DJ$4, Rates_current!$G$6:$Q$29, 11, FALSE))</f>
        <v>468.1532075060918</v>
      </c>
      <c r="DK7" s="192">
        <f>$BS7*(VLOOKUP(DK$4, Rates_current!$G$6:$Q$29, 10, FALSE)+VLOOKUP(DK$4, Rates_current!$G$6:$Q$29, 11, FALSE))</f>
        <v>458.22846099518881</v>
      </c>
      <c r="DL7" s="192">
        <f>$BS7*(VLOOKUP(DL$4, Rates_current!$G$6:$Q$29, 10, FALSE)+VLOOKUP(DL$4, Rates_current!$G$6:$Q$29, 11, FALSE))</f>
        <v>378.4772226891684</v>
      </c>
      <c r="DM7" s="192">
        <f>$BS7*(VLOOKUP(DM$4, Rates_current!$G$6:$Q$29, 10, FALSE)+VLOOKUP(DM$4, Rates_current!$G$6:$Q$29, 11, FALSE))</f>
        <v>328.03450402338973</v>
      </c>
      <c r="DN7" s="192">
        <f>$BS7*(VLOOKUP(DN$4, Rates_current!$G$6:$Q$29, 10, FALSE)+VLOOKUP(DN$4, Rates_current!$G$6:$Q$29, 11, FALSE))</f>
        <v>391.6069547632186</v>
      </c>
      <c r="DO7" s="192">
        <f>$BS7*(VLOOKUP(DO$4, Rates_current!$G$6:$Q$29, 10, FALSE)+VLOOKUP(DO$4, Rates_current!$G$6:$Q$29, 11, FALSE))</f>
        <v>304.03066617076018</v>
      </c>
      <c r="DP7" s="192">
        <f>$BS7*(VLOOKUP(DP$4, Rates_current!$G$6:$Q$29, 10, FALSE)+VLOOKUP(DP$4, Rates_current!$G$6:$Q$29, 11, FALSE))</f>
        <v>421.23672533643395</v>
      </c>
      <c r="DQ7" s="192">
        <f>$BS7*(VLOOKUP(DQ$4, Rates_current!$G$6:$Q$29, 10, FALSE)+VLOOKUP(DQ$4, Rates_current!$G$6:$Q$29, 11, FALSE))</f>
        <v>450.10026136149617</v>
      </c>
      <c r="DR7" s="192">
        <f>$BS7*(VLOOKUP(DR$4, Rates_current!$G$6:$Q$29, 10, FALSE)+VLOOKUP(DR$4, Rates_current!$G$6:$Q$29, 11, FALSE))</f>
        <v>427.34981690331699</v>
      </c>
      <c r="DS7" s="192">
        <f>$BS7*(VLOOKUP(DS$4, Rates_current!$G$6:$Q$29, 10, FALSE)+VLOOKUP(DS$4, Rates_current!$G$6:$Q$29, 11, FALSE))</f>
        <v>413.00062971402053</v>
      </c>
      <c r="DT7" s="192">
        <f>$BS7*(VLOOKUP(DT$4, Rates_current!$G$6:$Q$29, 10, FALSE)+VLOOKUP(DT$4, Rates_current!$G$6:$Q$29, 11, FALSE))</f>
        <v>381.65563546518797</v>
      </c>
      <c r="DU7" s="418">
        <f>IF(D7=0,IF(C7=0,MAX(0,DW7 - (VLOOKUP($A7,TOCA_current!$A$2:$AI$137,MATCH("RHWM 2022",TOCA_current!$A$2:$AI$2,0),FALSE)*$BS$2)), 0),0)</f>
        <v>318.40624511377064</v>
      </c>
      <c r="DV7" s="419">
        <f>MIN(VLOOKUP($A7,TOCA_current!$A$2:$AI$137,MATCH("TRL - NLSL - Existing Resource "&amp;$BS$1,TOCA_current!$A$2:$AI$2,0),FALSE)*$BS$2, VLOOKUP($A7,TOCA_current!$A$2:$AI$137,MATCH("RHWM 2022",TOCA_current!$A$2:$AI$2,0),FALSE)*$BS$2)</f>
        <v>4791.72</v>
      </c>
      <c r="DW7" s="419">
        <f>SUM(BY7:CV7)+(BS7*RT1SC!$C$4*$BS$2)</f>
        <v>5110.1262451137709</v>
      </c>
      <c r="DX7" s="419">
        <f>VLOOKUP($A7,TOCA_current!$A$2:$AI$137,MATCH("Above RHWM Not Served with LS "&amp;$BS$1,TOCA_current!$A$2:$AI$2,0),FALSE)*$BS$2</f>
        <v>0</v>
      </c>
      <c r="DY7" s="419">
        <f t="shared" ref="DY7:DY70" si="13">DW7-DV7</f>
        <v>318.40624511377064</v>
      </c>
      <c r="DZ7" s="419">
        <f>(VLOOKUP($A7,TOCA_current!$A$2:$AI$137,MATCH("RHWM 2022",TOCA_current!$A$2:$AI$2,0),FALSE)*$BS$2) - $DV7</f>
        <v>0</v>
      </c>
      <c r="EA7" s="419">
        <f t="shared" ref="EA7:EA70" si="14">IF(DY7&gt;0,IF(DZ7&gt;0,(-1)*MIN(DY7,DZ7),0),0)</f>
        <v>0</v>
      </c>
      <c r="EB7" s="419">
        <f t="shared" ref="EB7:EB70" si="15">IF(DY7&lt;0,IF(DX7&lt;ABS(DY7),MAX(0,ABS($DY7)-(DX7)),0),0)</f>
        <v>0</v>
      </c>
      <c r="EC7" s="419">
        <f t="shared" ref="EC7:EC70" si="16">IF(AND(DX7&gt;0,DZ7&gt;0),IF(AND(DY7&lt;=0,ABS(DY7)&lt;DX7),(-1)*MIN(DX7,DX7-ABS(DY7),DZ7),IF(AND(DY7&gt;0,DY7&lt;DZ7),(-1)*MIN(DX7,DZ7-DY7),0)),0)</f>
        <v>0</v>
      </c>
      <c r="ED7" s="419">
        <f t="shared" ref="ED7:ED70" si="17">IF($D7=0,SUM(EA7:EC7),0)</f>
        <v>0</v>
      </c>
    </row>
    <row r="8" spans="1:134">
      <c r="A8" s="135">
        <v>10024</v>
      </c>
      <c r="B8" s="136" t="s">
        <v>9</v>
      </c>
      <c r="C8" s="244">
        <f>VLOOKUP(A8, TOCA_current!$A$3:$D$137, 4, FALSE)</f>
        <v>0</v>
      </c>
      <c r="D8" s="203">
        <v>1</v>
      </c>
      <c r="E8" s="119">
        <f>VLOOKUP($A8,TOCA_previous!$A$2:$AI$137,MATCH(E$4,TOCA_previous!$A$2:$AI$2,0),FALSE)</f>
        <v>2.8502199999999998E-2</v>
      </c>
      <c r="F8" s="120">
        <f>VLOOKUP($A8,TOCA_previous!$A$2:$AI$137,MATCH(F$4,TOCA_previous!$A$2:$AI$2,0),FALSE)</f>
        <v>1.4822999999999998E-2</v>
      </c>
      <c r="G8" s="120">
        <f t="shared" si="5"/>
        <v>1.3679200000000001E-2</v>
      </c>
      <c r="H8" s="120">
        <f>VLOOKUP($A8,TOCA_previous!$A$2:$AI$137,MATCH(H$4,TOCA_previous!$A$2:$AI$2,0),FALSE)</f>
        <v>0</v>
      </c>
      <c r="I8" s="120">
        <f t="shared" si="6"/>
        <v>0</v>
      </c>
      <c r="J8" s="120">
        <f t="shared" si="7"/>
        <v>0</v>
      </c>
      <c r="K8" s="191">
        <f>VLOOKUP(A8, IRD!$A$5:$C$139, 3, FALSE)</f>
        <v>312239.2</v>
      </c>
      <c r="L8" s="192">
        <f>IF($G8=0, INDEX(LS_previous!$D$4:$AY$138, MATCH('Staging Table'!$A8, LS_previous!$B$4:$B$138, 0), MATCH(L$4&amp;L$5, LS_previous!$D$2:$AY$2&amp;LS_previous!$D$3:$AY$3, 0)),SUM(VLOOKUP($A8, LS_previous!$B$4:$AY$138, LS_previous!D$149, FALSE), VLOOKUP('Staging Table'!$A8, LS_previous!$B$4:$AY$138,LS_previous!AB$149, FALSE))/2)</f>
        <v>-10130.70943674483</v>
      </c>
      <c r="M8" s="192">
        <f t="array" ref="M8">IF($G8=0, INDEX(LS_previous!$D$4:$AY$138, MATCH('Staging Table'!$A8, LS_previous!$B$4:$B$138, 0), MATCH(M$4&amp;M$5, LS_previous!$D$2:$AY$2&amp;LS_previous!$D$3:$AY$3, 0)),SUM(VLOOKUP($A8, LS_previous!$B$4:$AY$138, LS_previous!E$149, FALSE), VLOOKUP('Staging Table'!$A8, LS_previous!$B$4:$AY$138,LS_previous!AC$149, FALSE))/2)</f>
        <v>1057.8094791565254</v>
      </c>
      <c r="N8" s="192">
        <f t="array" ref="N8">IF($G8=0, INDEX(LS_previous!$D$4:$AY$138, MATCH('Staging Table'!$A8, LS_previous!$B$4:$B$138, 0), MATCH(N$4&amp;N$5, LS_previous!$D$2:$AY$2&amp;LS_previous!$D$3:$AY$3, 0)),SUM(VLOOKUP($A8, LS_previous!$B$4:$AY$138, LS_previous!F$149, FALSE), VLOOKUP('Staging Table'!$A8, LS_previous!$B$4:$AY$138,LS_previous!AD$149, FALSE))/2)</f>
        <v>-20246.391848473777</v>
      </c>
      <c r="O8" s="192">
        <f t="array" ref="O8">IF($G8=0, INDEX(LS_previous!$D$4:$AY$138, MATCH('Staging Table'!$A8, LS_previous!$B$4:$B$138, 0), MATCH(O$4&amp;O$5, LS_previous!$D$2:$AY$2&amp;LS_previous!$D$3:$AY$3, 0)),SUM(VLOOKUP($A8, LS_previous!$B$4:$AY$138, LS_previous!G$149, FALSE), VLOOKUP('Staging Table'!$A8, LS_previous!$B$4:$AY$138,LS_previous!AE$149, FALSE))/2)</f>
        <v>-3673.8188090438362</v>
      </c>
      <c r="P8" s="192">
        <f t="array" ref="P8">IF($G8=0, INDEX(LS_previous!$D$4:$AY$138, MATCH('Staging Table'!$A8, LS_previous!$B$4:$B$138, 0), MATCH(P$4&amp;P$5, LS_previous!$D$2:$AY$2&amp;LS_previous!$D$3:$AY$3, 0)),SUM(VLOOKUP($A8, LS_previous!$B$4:$AY$138, LS_previous!H$149, FALSE), VLOOKUP('Staging Table'!$A8, LS_previous!$B$4:$AY$138,LS_previous!AF$149, FALSE))/2)</f>
        <v>-12766.240775117556</v>
      </c>
      <c r="Q8" s="192">
        <f t="array" ref="Q8">IF($G8=0, INDEX(LS_previous!$D$4:$AY$138, MATCH('Staging Table'!$A8, LS_previous!$B$4:$B$138, 0), MATCH(Q$4&amp;Q$5, LS_previous!$D$2:$AY$2&amp;LS_previous!$D$3:$AY$3, 0)),SUM(VLOOKUP($A8, LS_previous!$B$4:$AY$138, LS_previous!I$149, FALSE), VLOOKUP('Staging Table'!$A8, LS_previous!$B$4:$AY$138,LS_previous!AG$149, FALSE))/2)</f>
        <v>856.52853036795386</v>
      </c>
      <c r="R8" s="192">
        <f t="array" ref="R8">IF($G8=0, INDEX(LS_previous!$D$4:$AY$138, MATCH('Staging Table'!$A8, LS_previous!$B$4:$B$138, 0), MATCH(R$4&amp;R$5, LS_previous!$D$2:$AY$2&amp;LS_previous!$D$3:$AY$3, 0)),SUM(VLOOKUP($A8, LS_previous!$B$4:$AY$138, LS_previous!J$149, FALSE), VLOOKUP('Staging Table'!$A8, LS_previous!$B$4:$AY$138,LS_previous!AH$149, FALSE))/2)</f>
        <v>-920.71958059148164</v>
      </c>
      <c r="S8" s="192">
        <f t="array" ref="S8">IF($G8=0, INDEX(LS_previous!$D$4:$AY$138, MATCH('Staging Table'!$A8, LS_previous!$B$4:$B$138, 0), MATCH(S$4&amp;S$5, LS_previous!$D$2:$AY$2&amp;LS_previous!$D$3:$AY$3, 0)),SUM(VLOOKUP($A8, LS_previous!$B$4:$AY$138, LS_previous!K$149, FALSE), VLOOKUP('Staging Table'!$A8, LS_previous!$B$4:$AY$138,LS_previous!AI$149, FALSE))/2)</f>
        <v>9700.668499396299</v>
      </c>
      <c r="T8" s="192">
        <f t="array" ref="T8">IF($G8=0, INDEX(LS_previous!$D$4:$AY$138, MATCH('Staging Table'!$A8, LS_previous!$B$4:$B$138, 0), MATCH(T$4&amp;T$5, LS_previous!$D$2:$AY$2&amp;LS_previous!$D$3:$AY$3, 0)),SUM(VLOOKUP($A8, LS_previous!$B$4:$AY$138, LS_previous!L$149, FALSE), VLOOKUP('Staging Table'!$A8, LS_previous!$B$4:$AY$138,LS_previous!AJ$149, FALSE))/2)</f>
        <v>-5541.1870424813969</v>
      </c>
      <c r="U8" s="192">
        <f t="array" ref="U8">IF($G8=0, INDEX(LS_previous!$D$4:$AY$138, MATCH('Staging Table'!$A8, LS_previous!$B$4:$B$138, 0), MATCH(U$4&amp;U$5, LS_previous!$D$2:$AY$2&amp;LS_previous!$D$3:$AY$3, 0)),SUM(VLOOKUP($A8, LS_previous!$B$4:$AY$138, LS_previous!M$149, FALSE), VLOOKUP('Staging Table'!$A8, LS_previous!$B$4:$AY$138,LS_previous!AK$149, FALSE))/2)</f>
        <v>2213.8825026780178</v>
      </c>
      <c r="V8" s="192">
        <f t="array" ref="V8">IF($G8=0, INDEX(LS_previous!$D$4:$AY$138, MATCH('Staging Table'!$A8, LS_previous!$B$4:$B$138, 0), MATCH(V$4&amp;V$5, LS_previous!$D$2:$AY$2&amp;LS_previous!$D$3:$AY$3, 0)),SUM(VLOOKUP($A8, LS_previous!$B$4:$AY$138, LS_previous!N$149, FALSE), VLOOKUP('Staging Table'!$A8, LS_previous!$B$4:$AY$138,LS_previous!AL$149, FALSE))/2)</f>
        <v>-11989.731225629519</v>
      </c>
      <c r="W8" s="192">
        <f t="array" ref="W8">IF($G8=0, INDEX(LS_previous!$D$4:$AY$138, MATCH('Staging Table'!$A8, LS_previous!$B$4:$B$138, 0), MATCH(W$4&amp;W$5, LS_previous!$D$2:$AY$2&amp;LS_previous!$D$3:$AY$3, 0)),SUM(VLOOKUP($A8, LS_previous!$B$4:$AY$138, LS_previous!O$149, FALSE), VLOOKUP('Staging Table'!$A8, LS_previous!$B$4:$AY$138,LS_previous!AM$149, FALSE))/2)</f>
        <v>-785.34254980175865</v>
      </c>
      <c r="X8" s="192">
        <f t="array" ref="X8">IF($G8=0, INDEX(LS_previous!$D$4:$AY$138, MATCH('Staging Table'!$A8, LS_previous!$B$4:$B$138, 0), MATCH(X$4&amp;X$5, LS_previous!$D$2:$AY$2&amp;LS_previous!$D$3:$AY$3, 0)),SUM(VLOOKUP($A8, LS_previous!$B$4:$AY$138, LS_previous!P$149, FALSE), VLOOKUP('Staging Table'!$A8, LS_previous!$B$4:$AY$138,LS_previous!AN$149, FALSE))/2)</f>
        <v>-21.326671775299474</v>
      </c>
      <c r="Y8" s="192">
        <f t="array" ref="Y8">IF($G8=0, INDEX(LS_previous!$D$4:$AY$138, MATCH('Staging Table'!$A8, LS_previous!$B$4:$B$138, 0), MATCH(Y$4&amp;Y$5, LS_previous!$D$2:$AY$2&amp;LS_previous!$D$3:$AY$3, 0)),SUM(VLOOKUP($A8, LS_previous!$B$4:$AY$138, LS_previous!Q$149, FALSE), VLOOKUP('Staging Table'!$A8, LS_previous!$B$4:$AY$138,LS_previous!AO$149, FALSE))/2)</f>
        <v>5217.5458582795836</v>
      </c>
      <c r="Z8" s="192">
        <f t="array" ref="Z8">IF($G8=0, INDEX(LS_previous!$D$4:$AY$138, MATCH('Staging Table'!$A8, LS_previous!$B$4:$B$138, 0), MATCH(Z$4&amp;Z$5, LS_previous!$D$2:$AY$2&amp;LS_previous!$D$3:$AY$3, 0)),SUM(VLOOKUP($A8, LS_previous!$B$4:$AY$138, LS_previous!R$149, FALSE), VLOOKUP('Staging Table'!$A8, LS_previous!$B$4:$AY$138,LS_previous!AP$149, FALSE))/2)</f>
        <v>-8193.8556638845948</v>
      </c>
      <c r="AA8" s="192">
        <f t="array" ref="AA8">IF($G8=0, INDEX(LS_previous!$D$4:$AY$138, MATCH('Staging Table'!$A8, LS_previous!$B$4:$B$138, 0), MATCH(AA$4&amp;AA$5, LS_previous!$D$2:$AY$2&amp;LS_previous!$D$3:$AY$3, 0)),SUM(VLOOKUP($A8, LS_previous!$B$4:$AY$138, LS_previous!S$149, FALSE), VLOOKUP('Staging Table'!$A8, LS_previous!$B$4:$AY$138,LS_previous!AQ$149, FALSE))/2)</f>
        <v>9351.1435361894182</v>
      </c>
      <c r="AB8" s="192">
        <f t="array" ref="AB8">IF($G8=0, INDEX(LS_previous!$D$4:$AY$138, MATCH('Staging Table'!$A8, LS_previous!$B$4:$B$138, 0), MATCH(AB$4&amp;AB$5, LS_previous!$D$2:$AY$2&amp;LS_previous!$D$3:$AY$3, 0)),SUM(VLOOKUP($A8, LS_previous!$B$4:$AY$138, LS_previous!T$149, FALSE), VLOOKUP('Staging Table'!$A8, LS_previous!$B$4:$AY$138,LS_previous!AR$149, FALSE))/2)</f>
        <v>-11244.630446250983</v>
      </c>
      <c r="AC8" s="192">
        <f t="array" ref="AC8">IF($G8=0, INDEX(LS_previous!$D$4:$AY$138, MATCH('Staging Table'!$A8, LS_previous!$B$4:$B$138, 0), MATCH(AC$4&amp;AC$5, LS_previous!$D$2:$AY$2&amp;LS_previous!$D$3:$AY$3, 0)),SUM(VLOOKUP($A8, LS_previous!$B$4:$AY$138, LS_previous!U$149, FALSE), VLOOKUP('Staging Table'!$A8, LS_previous!$B$4:$AY$138,LS_previous!AS$149, FALSE))/2)</f>
        <v>4243.259509297357</v>
      </c>
      <c r="AD8" s="192">
        <f t="array" ref="AD8">IF($G8=0, INDEX(LS_previous!$D$4:$AY$138, MATCH('Staging Table'!$A8, LS_previous!$B$4:$B$138, 0), MATCH(AD$4&amp;AD$5, LS_previous!$D$2:$AY$2&amp;LS_previous!$D$3:$AY$3, 0)),SUM(VLOOKUP($A8, LS_previous!$B$4:$AY$138, LS_previous!V$149, FALSE), VLOOKUP('Staging Table'!$A8, LS_previous!$B$4:$AY$138,LS_previous!AT$149, FALSE))/2)</f>
        <v>9284.9886537790298</v>
      </c>
      <c r="AE8" s="192">
        <f t="array" ref="AE8">IF($G8=0, INDEX(LS_previous!$D$4:$AY$138, MATCH('Staging Table'!$A8, LS_previous!$B$4:$B$138, 0), MATCH(AE$4&amp;AE$5, LS_previous!$D$2:$AY$2&amp;LS_previous!$D$3:$AY$3, 0)),SUM(VLOOKUP($A8, LS_previous!$B$4:$AY$138, LS_previous!W$149, FALSE), VLOOKUP('Staging Table'!$A8, LS_previous!$B$4:$AY$138,LS_previous!AU$149, FALSE))/2)</f>
        <v>25637.896798527694</v>
      </c>
      <c r="AF8" s="192">
        <f t="array" ref="AF8">IF($G8=0, INDEX(LS_previous!$D$4:$AY$138, MATCH('Staging Table'!$A8, LS_previous!$B$4:$B$138, 0), MATCH(AF$4&amp;AF$5, LS_previous!$D$2:$AY$2&amp;LS_previous!$D$3:$AY$3, 0)),SUM(VLOOKUP($A8, LS_previous!$B$4:$AY$138, LS_previous!X$149, FALSE), VLOOKUP('Staging Table'!$A8, LS_previous!$B$4:$AY$138,LS_previous!AV$149, FALSE))/2)</f>
        <v>2271.3197410146895</v>
      </c>
      <c r="AG8" s="192">
        <f t="array" ref="AG8">IF($G8=0, INDEX(LS_previous!$D$4:$AY$138, MATCH('Staging Table'!$A8, LS_previous!$B$4:$B$138, 0), MATCH(AG$4&amp;AG$5, LS_previous!$D$2:$AY$2&amp;LS_previous!$D$3:$AY$3, 0)),SUM(VLOOKUP($A8, LS_previous!$B$4:$AY$138, LS_previous!Y$149, FALSE), VLOOKUP('Staging Table'!$A8, LS_previous!$B$4:$AY$138,LS_previous!AW$149, FALSE))/2)</f>
        <v>19200.398759588508</v>
      </c>
      <c r="AH8" s="192">
        <f t="array" ref="AH8">IF($G8=0, INDEX(LS_previous!$D$4:$AY$138, MATCH('Staging Table'!$A8, LS_previous!$B$4:$B$138, 0), MATCH(AH$4&amp;AH$5, LS_previous!$D$2:$AY$2&amp;LS_previous!$D$3:$AY$3, 0)),SUM(VLOOKUP($A8, LS_previous!$B$4:$AY$138, LS_previous!Z$149, FALSE), VLOOKUP('Staging Table'!$A8, LS_previous!$B$4:$AY$138,LS_previous!AX$149, FALSE))/2)</f>
        <v>-7835.8206942032557</v>
      </c>
      <c r="AI8" s="192">
        <f t="array" ref="AI8">IF($G8=0, INDEX(LS_previous!$D$4:$AY$138, MATCH('Staging Table'!$A8, LS_previous!$B$4:$B$138, 0), MATCH(AI$4&amp;AI$5, LS_previous!$D$2:$AY$2&amp;LS_previous!$D$3:$AY$3, 0)),SUM(VLOOKUP($A8, LS_previous!$B$4:$AY$138, LS_previous!AA$149, FALSE), VLOOKUP('Staging Table'!$A8, LS_previous!$B$4:$AY$138,LS_previous!AY$149, FALSE))/2)</f>
        <v>4313.996020437382</v>
      </c>
      <c r="AJ8" s="314">
        <f t="array" ref="AJ8">INDEX(Demand_previous!$D$4:$AY$138, MATCH('Staging Table'!$A8, Demand_previous!$B$4:$B$138, 0), MATCH(AJ$4&amp;AJ$5,Demand_previous!$D$2:$AY$2&amp;Demand_previous!$D$3:$AY$3, 0))/1000</f>
        <v>0</v>
      </c>
      <c r="AK8" s="314">
        <f t="array" ref="AK8">INDEX(Demand_previous!$D$4:$AY$138, MATCH('Staging Table'!$A8, Demand_previous!$B$4:$B$138, 0), MATCH(AK$4&amp;AK$5,Demand_previous!$D$2:$AY$2&amp;Demand_previous!$D$3:$AY$3, 0))/1000</f>
        <v>0</v>
      </c>
      <c r="AL8" s="314">
        <f t="array" ref="AL8">INDEX(Demand_previous!$D$4:$AY$138, MATCH('Staging Table'!$A8, Demand_previous!$B$4:$B$138, 0), MATCH(AL$4&amp;AL$5,Demand_previous!$D$2:$AY$2&amp;Demand_previous!$D$3:$AY$3, 0))/1000</f>
        <v>0</v>
      </c>
      <c r="AM8" s="314">
        <f t="array" ref="AM8">INDEX(Demand_previous!$D$4:$AY$138, MATCH('Staging Table'!$A8, Demand_previous!$B$4:$B$138, 0), MATCH(AM$4&amp;AM$5,Demand_previous!$D$2:$AY$2&amp;Demand_previous!$D$3:$AY$3, 0))/1000</f>
        <v>0</v>
      </c>
      <c r="AN8" s="314">
        <f t="array" ref="AN8">INDEX(Demand_previous!$D$4:$AY$138, MATCH('Staging Table'!$A8, Demand_previous!$B$4:$B$138, 0), MATCH(AN$4&amp;AN$5,Demand_previous!$D$2:$AY$2&amp;Demand_previous!$D$3:$AY$3, 0))/1000</f>
        <v>0</v>
      </c>
      <c r="AO8" s="314">
        <f t="array" ref="AO8">INDEX(Demand_previous!$D$4:$AY$138, MATCH('Staging Table'!$A8, Demand_previous!$B$4:$B$138, 0), MATCH(AO$4&amp;AO$5,Demand_previous!$D$2:$AY$2&amp;Demand_previous!$D$3:$AY$3, 0))/1000</f>
        <v>0</v>
      </c>
      <c r="AP8" s="314">
        <f t="array" ref="AP8">INDEX(Demand_previous!$D$4:$AY$138, MATCH('Staging Table'!$A8, Demand_previous!$B$4:$B$138, 0), MATCH(AP$4&amp;AP$5,Demand_previous!$D$2:$AY$2&amp;Demand_previous!$D$3:$AY$3, 0))/1000</f>
        <v>0</v>
      </c>
      <c r="AQ8" s="314">
        <f t="array" ref="AQ8">INDEX(Demand_previous!$D$4:$AY$138, MATCH('Staging Table'!$A8, Demand_previous!$B$4:$B$138, 0), MATCH(AQ$4&amp;AQ$5,Demand_previous!$D$2:$AY$2&amp;Demand_previous!$D$3:$AY$3, 0))/1000</f>
        <v>0</v>
      </c>
      <c r="AR8" s="314">
        <f t="array" ref="AR8">INDEX(Demand_previous!$D$4:$AY$138, MATCH('Staging Table'!$A8, Demand_previous!$B$4:$B$138, 0), MATCH(AR$4&amp;AR$5,Demand_previous!$D$2:$AY$2&amp;Demand_previous!$D$3:$AY$3, 0))/1000</f>
        <v>0</v>
      </c>
      <c r="AS8" s="314">
        <f t="array" ref="AS8">INDEX(Demand_previous!$D$4:$AY$138, MATCH('Staging Table'!$A8, Demand_previous!$B$4:$B$138, 0), MATCH(AS$4&amp;AS$5,Demand_previous!$D$2:$AY$2&amp;Demand_previous!$D$3:$AY$3, 0))/1000</f>
        <v>0</v>
      </c>
      <c r="AT8" s="314">
        <f t="array" ref="AT8">INDEX(Demand_previous!$D$4:$AY$138, MATCH('Staging Table'!$A8, Demand_previous!$B$4:$B$138, 0), MATCH(AT$4&amp;AT$5,Demand_previous!$D$2:$AY$2&amp;Demand_previous!$D$3:$AY$3, 0))/1000</f>
        <v>0</v>
      </c>
      <c r="AU8" s="314">
        <f t="array" ref="AU8">INDEX(Demand_previous!$D$4:$AY$138, MATCH('Staging Table'!$A8, Demand_previous!$B$4:$B$138, 0), MATCH(AU$4&amp;AU$5,Demand_previous!$D$2:$AY$2&amp;Demand_previous!$D$3:$AY$3, 0))/1000</f>
        <v>0</v>
      </c>
      <c r="AV8" s="192">
        <f>$F8*(VLOOKUP(AV$4, Rates_previous!$G$6:$Q$29, 10, FALSE)+VLOOKUP(AV$4, Rates_previous!$G$6:$Q$29, 11, FALSE))</f>
        <v>68442.492796307983</v>
      </c>
      <c r="AW8" s="192">
        <f>$F8*(VLOOKUP(AW$4, Rates_previous!$G$6:$Q$29, 10, FALSE)+VLOOKUP(AW$4, Rates_previous!$G$6:$Q$29, 11, FALSE))</f>
        <v>86943.316901696991</v>
      </c>
      <c r="AX8" s="192">
        <f>$F8*(VLOOKUP(AX$4, Rates_previous!$G$6:$Q$29, 10, FALSE)+VLOOKUP(AX$4, Rates_previous!$G$6:$Q$29, 11, FALSE))</f>
        <v>85893.358705307997</v>
      </c>
      <c r="AY8" s="192">
        <f>$F8*(VLOOKUP(AY$4, Rates_previous!$G$6:$Q$29, 10, FALSE)+VLOOKUP(AY$4, Rates_previous!$G$6:$Q$29, 11, FALSE))</f>
        <v>71597.346001307989</v>
      </c>
      <c r="AZ8" s="192">
        <f>$F8*(VLOOKUP(AZ$4, Rates_previous!$G$6:$Q$29, 10, FALSE)+VLOOKUP(AZ$4, Rates_previous!$G$6:$Q$29, 11, FALSE))</f>
        <v>64859.767826399984</v>
      </c>
      <c r="BA8" s="192">
        <f>$F8*(VLOOKUP(BA$4, Rates_previous!$G$6:$Q$29, 10, FALSE)+VLOOKUP(BA$4, Rates_previous!$G$6:$Q$29, 11, FALSE))</f>
        <v>72144.666614150992</v>
      </c>
      <c r="BB8" s="192">
        <f>$F8*(VLOOKUP(BB$4, Rates_previous!$G$6:$Q$29, 10, FALSE)+VLOOKUP(BB$4, Rates_previous!$G$6:$Q$29, 11, FALSE))</f>
        <v>58740.265409039988</v>
      </c>
      <c r="BC8" s="192">
        <f>$F8*(VLOOKUP(BC$4, Rates_previous!$G$6:$Q$29, 10, FALSE)+VLOOKUP(BC$4, Rates_previous!$G$6:$Q$29, 11, FALSE))</f>
        <v>79220.007047807987</v>
      </c>
      <c r="BD8" s="192">
        <f>$F8*(VLOOKUP(BD$4, Rates_previous!$G$6:$Q$29, 10, FALSE)+VLOOKUP(BD$4, Rates_previous!$G$6:$Q$29, 11, FALSE))</f>
        <v>101079.34112753998</v>
      </c>
      <c r="BE8" s="192">
        <f>$F8*(VLOOKUP(BE$4, Rates_previous!$G$6:$Q$29, 10, FALSE)+VLOOKUP(BE$4, Rates_previous!$G$6:$Q$29, 11, FALSE))</f>
        <v>79249.408468308</v>
      </c>
      <c r="BF8" s="192">
        <f>$F8*(VLOOKUP(BF$4, Rates_previous!$G$6:$Q$29, 10, FALSE)+VLOOKUP(BF$4, Rates_previous!$G$6:$Q$29, 11, FALSE))</f>
        <v>77173.143446807997</v>
      </c>
      <c r="BG8" s="192">
        <f>$F8*(VLOOKUP(BG$4, Rates_previous!$G$6:$Q$29, 10, FALSE)+VLOOKUP(BG$4, Rates_previous!$G$6:$Q$29, 11, FALSE))</f>
        <v>69285.06597204</v>
      </c>
      <c r="BH8" s="314">
        <f>IF($D8=0,IF(C8=0, MAX(BJ8 - (VLOOKUP($A8,TOCA_previous!$A$2:$AI$137,MATCH("RHWM 2020",TOCA_previous!$A$2:$AI$2,0),FALSE)*$F$2*TOCA_previous!C5),0),0), 0)</f>
        <v>0</v>
      </c>
      <c r="BI8" s="204">
        <f>MIN(VLOOKUP($A8,TOCA_previous!$A$2:$AI$137,MATCH("TRL - NLSL - Existing Resource "&amp;$F$1,TOCA_previous!$A$2:$AI$2,0),FALSE)*$F$2,(VLOOKUP($A8,TOCA_previous!$A$2:$AI$137,MATCH("RHWM 2020",TOCA_previous!$A$2:$AI$2,0),FALSE)*$F$2))</f>
        <v>1758679.7760000001</v>
      </c>
      <c r="BJ8" s="418">
        <f>SUM(L8:AI8)+(F8*RT1SC!$C$3*$F$2)</f>
        <v>914627.87779149797</v>
      </c>
      <c r="BK8" s="417">
        <f>VLOOKUP($A8,TOCA_previous!$A$2:$AI$137,MATCH("Above RHWM Not Served with LS "&amp;$F$1,TOCA_previous!$A$2:$AI$2,0),FALSE)*$F$2</f>
        <v>47916.72</v>
      </c>
      <c r="BL8" s="418">
        <f t="shared" si="8"/>
        <v>-844051.8982085021</v>
      </c>
      <c r="BM8" s="417">
        <f>(VLOOKUP($A8,TOCA_previous!$A$2:$AI$137,MATCH("RHWM 2020",TOCA_previous!$A$2:$AI$2,0),FALSE)*$F$2) - $BI8</f>
        <v>0</v>
      </c>
      <c r="BN8" s="418">
        <f t="shared" si="9"/>
        <v>0</v>
      </c>
      <c r="BO8" s="417">
        <f t="shared" si="10"/>
        <v>796135.17820850213</v>
      </c>
      <c r="BP8" s="418">
        <f t="shared" si="11"/>
        <v>0</v>
      </c>
      <c r="BQ8" s="417">
        <f t="shared" si="2"/>
        <v>0</v>
      </c>
      <c r="BR8" s="120">
        <f>VLOOKUP($A8,TOCA_current!$A$2:$AI$137,MATCH(BR$4,TOCA_current!$A$2:$AI$2,0),FALSE)</f>
        <v>2.8502199999999998E-2</v>
      </c>
      <c r="BS8" s="120">
        <f>VLOOKUP($A8,TOCA_current!$A$2:$AI$137,MATCH(BS$4,TOCA_current!$A$2:$AI$2,0),FALSE)</f>
        <v>1.4822999999999998E-2</v>
      </c>
      <c r="BT8" s="201">
        <f t="shared" si="12"/>
        <v>1.3679200000000001E-2</v>
      </c>
      <c r="BU8" s="120">
        <f>VLOOKUP($A8,TOCA_current!A4:BG139,MATCH(BU$4,TOCA_current!$A$2:$BG$2,0),FALSE)</f>
        <v>0</v>
      </c>
      <c r="BV8" s="120">
        <f t="shared" si="3"/>
        <v>0</v>
      </c>
      <c r="BW8" s="120">
        <f t="shared" si="4"/>
        <v>0</v>
      </c>
      <c r="BX8" s="191">
        <f>VLOOKUP($A8,IRD!$A$4:$G$139, 7, FALSE)</f>
        <v>312239.2</v>
      </c>
      <c r="BY8" s="192">
        <f t="array" ref="BY8">IF($BT8=0, INDEX(LS_current!$D$4:$AY$138, MATCH('Staging Table'!$A8, LS_current!$B$4:$B$138, 0), MATCH(BY$4&amp;BY$5, LS_current!$D$2:$AY$2&amp;LS_current!$D$3:$AY$3, 0)),SUM(VLOOKUP($A8, LS_current!$B$4:$AY$138, LS_current!D$148, FALSE), VLOOKUP($A8, LS_current!$B$4:$AY$138,LS_current!AB$148, FALSE))/2)</f>
        <v>-11504.254889271349</v>
      </c>
      <c r="BZ8" s="192">
        <f t="array" ref="BZ8">IF($BT8=0, INDEX(LS_current!$D$4:$AY$138, MATCH('Staging Table'!$A8, LS_current!$B$4:$B$138, 0), MATCH(BZ$4&amp;BZ$5, LS_current!$D$2:$AY$2&amp;LS_current!$D$3:$AY$3, 0)),SUM(VLOOKUP($A8, LS_current!$B$4:$AY$138, LS_current!E$148, FALSE), VLOOKUP($A8, LS_current!$B$4:$AY$138,LS_current!AC$148, FALSE))/2)</f>
        <v>857.73292684501212</v>
      </c>
      <c r="CA8" s="192">
        <f t="array" ref="CA8">IF($BT8=0, INDEX(LS_current!$D$4:$AY$138, MATCH('Staging Table'!$A8, LS_current!$B$4:$B$138, 0), MATCH(CA$4&amp;CA$5, LS_current!$D$2:$AY$2&amp;LS_current!$D$3:$AY$3, 0)),SUM(VLOOKUP($A8, LS_current!$B$4:$AY$138, LS_current!F$148, FALSE), VLOOKUP($A8, LS_current!$B$4:$AY$138,LS_current!AD$148, FALSE))/2)</f>
        <v>-18958.828702542352</v>
      </c>
      <c r="CB8" s="192">
        <f t="array" ref="CB8">IF($BT8=0, INDEX(LS_current!$D$4:$AY$138, MATCH('Staging Table'!$A8, LS_current!$B$4:$B$138, 0), MATCH(CB$4&amp;CB$5, LS_current!$D$2:$AY$2&amp;LS_current!$D$3:$AY$3, 0)),SUM(VLOOKUP($A8, LS_current!$B$4:$AY$138, LS_current!G$148, FALSE), VLOOKUP($A8, LS_current!$B$4:$AY$138,LS_current!AE$148, FALSE))/2)</f>
        <v>-6147.0444611945204</v>
      </c>
      <c r="CC8" s="192">
        <f t="array" ref="CC8">IF($BT8=0, INDEX(LS_current!$D$4:$AY$138, MATCH('Staging Table'!$A8, LS_current!$B$4:$B$138, 0), MATCH(CC$4&amp;CC$5, LS_current!$D$2:$AY$2&amp;LS_current!$D$3:$AY$3, 0)),SUM(VLOOKUP($A8, LS_current!$B$4:$AY$138, LS_current!H$148, FALSE), VLOOKUP($A8, LS_current!$B$4:$AY$138,LS_current!AF$148, FALSE))/2)</f>
        <v>-8171.4631708545821</v>
      </c>
      <c r="CD8" s="192">
        <f t="array" ref="CD8">IF($BT8=0, INDEX(LS_current!$D$4:$AY$138, MATCH('Staging Table'!$A8, LS_current!$B$4:$B$138, 0), MATCH(CD$4&amp;CD$5, LS_current!$D$2:$AY$2&amp;LS_current!$D$3:$AY$3, 0)),SUM(VLOOKUP($A8, LS_current!$B$4:$AY$138, LS_current!I$148, FALSE), VLOOKUP($A8, LS_current!$B$4:$AY$138,LS_current!AG$148, FALSE))/2)</f>
        <v>-4626.1072090500529</v>
      </c>
      <c r="CE8" s="192">
        <f t="array" ref="CE8">IF($BT8=0, INDEX(LS_current!$D$4:$AY$138, MATCH('Staging Table'!$A8, LS_current!$B$4:$B$138, 0), MATCH(CE$4&amp;CE$5, LS_current!$D$2:$AY$2&amp;LS_current!$D$3:$AY$3, 0)),SUM(VLOOKUP($A8, LS_current!$B$4:$AY$138, LS_current!J$148, FALSE), VLOOKUP($A8, LS_current!$B$4:$AY$138,LS_current!AH$148, FALSE))/2)</f>
        <v>2079.8717476809543</v>
      </c>
      <c r="CF8" s="192">
        <f t="array" ref="CF8">IF($BT8=0, INDEX(LS_current!$D$4:$AY$138, MATCH('Staging Table'!$A8, LS_current!$B$4:$B$138, 0), MATCH(CF$4&amp;CF$5, LS_current!$D$2:$AY$2&amp;LS_current!$D$3:$AY$3, 0)),SUM(VLOOKUP($A8, LS_current!$B$4:$AY$138, LS_current!K$148, FALSE), VLOOKUP($A8, LS_current!$B$4:$AY$138,LS_current!AI$148, FALSE))/2)</f>
        <v>5804.0736200889369</v>
      </c>
      <c r="CG8" s="192">
        <f t="array" ref="CG8">IF($BT8=0, INDEX(LS_current!$D$4:$AY$138, MATCH('Staging Table'!$A8, LS_current!$B$4:$B$138, 0), MATCH(CG$4&amp;CG$5, LS_current!$D$2:$AY$2&amp;LS_current!$D$3:$AY$3, 0)),SUM(VLOOKUP($A8, LS_current!$B$4:$AY$138, LS_current!L$148, FALSE), VLOOKUP($A8, LS_current!$B$4:$AY$138,LS_current!AJ$148, FALSE))/2)</f>
        <v>-1795.8379419655357</v>
      </c>
      <c r="CH8" s="192">
        <f t="array" ref="CH8">IF($BT8=0, INDEX(LS_current!$D$4:$AY$138, MATCH('Staging Table'!$A8, LS_current!$B$4:$B$138, 0), MATCH(CH$4&amp;CH$5, LS_current!$D$2:$AY$2&amp;LS_current!$D$3:$AY$3, 0)),SUM(VLOOKUP($A8, LS_current!$B$4:$AY$138, LS_current!M$148, FALSE), VLOOKUP($A8, LS_current!$B$4:$AY$138,LS_current!AK$148, FALSE))/2)</f>
        <v>-355.60634744772324</v>
      </c>
      <c r="CI8" s="192">
        <f t="array" ref="CI8">IF($BT8=0, INDEX(LS_current!$D$4:$AY$138, MATCH('Staging Table'!$A8, LS_current!$B$4:$B$138, 0), MATCH(CI$4&amp;CI$5, LS_current!$D$2:$AY$2&amp;LS_current!$D$3:$AY$3, 0)),SUM(VLOOKUP($A8, LS_current!$B$4:$AY$138, LS_current!N$148, FALSE), VLOOKUP($A8, LS_current!$B$4:$AY$138,LS_current!AL$148, FALSE))/2)</f>
        <v>-10845.575413486651</v>
      </c>
      <c r="CJ8" s="192">
        <f t="array" ref="CJ8">IF($BT8=0, INDEX(LS_current!$D$4:$AY$138, MATCH('Staging Table'!$A8, LS_current!$B$4:$B$138, 0), MATCH(CJ$4&amp;CJ$5, LS_current!$D$2:$AY$2&amp;LS_current!$D$3:$AY$3, 0)),SUM(VLOOKUP($A8, LS_current!$B$4:$AY$138, LS_current!O$148, FALSE), VLOOKUP($A8, LS_current!$B$4:$AY$138,LS_current!AM$148, FALSE))/2)</f>
        <v>-3785.685087250371</v>
      </c>
      <c r="CK8" s="192">
        <f t="array" ref="CK8">IF($BT8=0, INDEX(LS_current!$D$4:$AY$138, MATCH('Staging Table'!$A8, LS_current!$B$4:$B$138, 0), MATCH(CK$4&amp;CK$5, LS_current!$D$2:$AY$2&amp;LS_current!$D$3:$AY$3, 0)),SUM(VLOOKUP($A8, LS_current!$B$4:$AY$138, LS_current!P$148, FALSE), VLOOKUP($A8, LS_current!$B$4:$AY$138,LS_current!AN$148, FALSE))/2)</f>
        <v>489.46477670479362</v>
      </c>
      <c r="CL8" s="192">
        <f t="array" ref="CL8">IF($BT8=0, INDEX(LS_current!$D$4:$AY$138, MATCH('Staging Table'!$A8, LS_current!$B$4:$B$138, 0), MATCH(CL$4&amp;CL$5, LS_current!$D$2:$AY$2&amp;LS_current!$D$3:$AY$3, 0)),SUM(VLOOKUP($A8, LS_current!$B$4:$AY$138, LS_current!Q$148, FALSE), VLOOKUP($A8, LS_current!$B$4:$AY$138,LS_current!AO$148, FALSE))/2)</f>
        <v>5239.8230109945926</v>
      </c>
      <c r="CM8" s="192">
        <f t="array" ref="CM8">IF($BT8=0, INDEX(LS_current!$D$4:$AY$138, MATCH('Staging Table'!$A8, LS_current!$B$4:$B$138, 0), MATCH(CM$4&amp;CM$5, LS_current!$D$2:$AY$2&amp;LS_current!$D$3:$AY$3, 0)),SUM(VLOOKUP($A8, LS_current!$B$4:$AY$138, LS_current!R$148, FALSE), VLOOKUP($A8, LS_current!$B$4:$AY$138,LS_current!AP$148, FALSE))/2)</f>
        <v>-9597.5038092057875</v>
      </c>
      <c r="CN8" s="192">
        <f t="array" ref="CN8">IF($BT8=0, INDEX(LS_current!$D$4:$AY$138, MATCH('Staging Table'!$A8, LS_current!$B$4:$B$138, 0), MATCH(CN$4&amp;CN$5, LS_current!$D$2:$AY$2&amp;LS_current!$D$3:$AY$3, 0)),SUM(VLOOKUP($A8, LS_current!$B$4:$AY$138, LS_current!S$148, FALSE), VLOOKUP($A8, LS_current!$B$4:$AY$138,LS_current!AQ$148, FALSE))/2)</f>
        <v>9675.7335644089471</v>
      </c>
      <c r="CO8" s="192">
        <f t="array" ref="CO8">IF($BT8=0, INDEX(LS_current!$D$4:$AY$138, MATCH('Staging Table'!$A8, LS_current!$B$4:$B$138, 0), MATCH(CO$4&amp;CO$5, LS_current!$D$2:$AY$2&amp;LS_current!$D$3:$AY$3, 0)),SUM(VLOOKUP($A8, LS_current!$B$4:$AY$138, LS_current!T$148, FALSE), VLOOKUP($A8, LS_current!$B$4:$AY$138,LS_current!AR$148, FALSE))/2)</f>
        <v>-6539.2234852593101</v>
      </c>
      <c r="CP8" s="192">
        <f t="array" ref="CP8">IF($BT8=0, INDEX(LS_current!$D$4:$AY$138, MATCH('Staging Table'!$A8, LS_current!$B$4:$B$138, 0), MATCH(CP$4&amp;CP$5, LS_current!$D$2:$AY$2&amp;LS_current!$D$3:$AY$3, 0)),SUM(VLOOKUP($A8, LS_current!$B$4:$AY$138, LS_current!U$148, FALSE), VLOOKUP($A8, LS_current!$B$4:$AY$138,LS_current!AS$148, FALSE))/2)</f>
        <v>14469.120619102443</v>
      </c>
      <c r="CQ8" s="192">
        <f t="array" ref="CQ8">IF($BT8=0, INDEX(LS_current!$D$4:$AY$138, MATCH('Staging Table'!$A8, LS_current!$B$4:$B$138, 0), MATCH(CQ$4&amp;CQ$5, LS_current!$D$2:$AY$2&amp;LS_current!$D$3:$AY$3, 0)),SUM(VLOOKUP($A8, LS_current!$B$4:$AY$138, LS_current!V$148, FALSE), VLOOKUP($A8, LS_current!$B$4:$AY$138,LS_current!AT$148, FALSE))/2)</f>
        <v>6824.7844043141085</v>
      </c>
      <c r="CR8" s="192">
        <f t="array" ref="CR8">IF($BT8=0, INDEX(LS_current!$D$4:$AY$138, MATCH('Staging Table'!$A8, LS_current!$B$4:$B$138, 0), MATCH(CR$4&amp;CR$5, LS_current!$D$2:$AY$2&amp;LS_current!$D$3:$AY$3, 0)),SUM(VLOOKUP($A8, LS_current!$B$4:$AY$138, LS_current!W$148, FALSE), VLOOKUP($A8, LS_current!$B$4:$AY$138,LS_current!AU$148, FALSE))/2)</f>
        <v>24501.860231372779</v>
      </c>
      <c r="CS8" s="192">
        <f t="array" ref="CS8">IF($BT8=0, INDEX(LS_current!$D$4:$AY$138, MATCH('Staging Table'!$A8, LS_current!$B$4:$B$138, 0), MATCH(CS$4&amp;CS$5, LS_current!$D$2:$AY$2&amp;LS_current!$D$3:$AY$3, 0)),SUM(VLOOKUP($A8, LS_current!$B$4:$AY$138, LS_current!X$148, FALSE), VLOOKUP($A8, LS_current!$B$4:$AY$138,LS_current!AV$148, FALSE))/2)</f>
        <v>4080.3099510895881</v>
      </c>
      <c r="CT8" s="192">
        <f t="array" ref="CT8">IF($BT8=0, INDEX(LS_current!$D$4:$AY$138, MATCH('Staging Table'!$A8, LS_current!$B$4:$B$138, 0), MATCH(CT$4&amp;CT$5, LS_current!$D$2:$AY$2&amp;LS_current!$D$3:$AY$3, 0)),SUM(VLOOKUP($A8, LS_current!$B$4:$AY$138, LS_current!Y$148, FALSE), VLOOKUP($A8, LS_current!$B$4:$AY$138,LS_current!AW$148, FALSE))/2)</f>
        <v>14995.659043906049</v>
      </c>
      <c r="CU8" s="192">
        <f t="array" ref="CU8">IF($BT8=0, INDEX(LS_current!$D$4:$AY$138, MATCH('Staging Table'!$A8, LS_current!$B$4:$B$138, 0), MATCH(CU$4&amp;CU$5, LS_current!$D$2:$AY$2&amp;LS_current!$D$3:$AY$3, 0)),SUM(VLOOKUP($A8, LS_current!$B$4:$AY$138, LS_current!Z$148, FALSE), VLOOKUP($A8, LS_current!$B$4:$AY$138,LS_current!AX$148, FALSE))/2)</f>
        <v>-9475.8385233968875</v>
      </c>
      <c r="CV8" s="192">
        <f t="array" ref="CV8">IF($BT8=0, INDEX(LS_current!$D$4:$AY$138, MATCH('Staging Table'!$A8, LS_current!$B$4:$B$138, 0), MATCH(CV$4&amp;CV$5, LS_current!$D$2:$AY$2&amp;LS_current!$D$3:$AY$3, 0)),SUM(VLOOKUP($A8, LS_current!$B$4:$AY$138, LS_current!AA$148, FALSE), VLOOKUP($A8, LS_current!$B$4:$AY$138,LS_current!AY$148, FALSE))/2)</f>
        <v>2784.1701317207553</v>
      </c>
      <c r="CW8" s="194">
        <f t="array" ref="CW8">INDEX(Demand_current!$D$4:$AY$138, MATCH($A8, Demand_current!$B$4:$B$138, 0), MATCH(CW$4&amp;CW$5,Demand_current!$D$2:$AY$2&amp;Demand_current!$D$3:$AY$3, 0))/1000</f>
        <v>0</v>
      </c>
      <c r="CX8" s="194">
        <f t="array" ref="CX8">INDEX(Demand_current!$D$4:$AY$138, MATCH($A8, Demand_current!$B$4:$B$138, 0), MATCH(CX$4&amp;CX$5,Demand_current!$D$2:$AY$2&amp;Demand_current!$D$3:$AY$3, 0))/1000</f>
        <v>0</v>
      </c>
      <c r="CY8" s="194">
        <f t="array" ref="CY8">INDEX(Demand_current!$D$4:$AY$138, MATCH($A8, Demand_current!$B$4:$B$138, 0), MATCH(CY$4&amp;CY$5,Demand_current!$D$2:$AY$2&amp;Demand_current!$D$3:$AY$3, 0))/1000</f>
        <v>0</v>
      </c>
      <c r="CZ8" s="194">
        <f t="array" ref="CZ8">INDEX(Demand_current!$D$4:$AY$138, MATCH($A8, Demand_current!$B$4:$B$138, 0), MATCH(CZ$4&amp;CZ$5,Demand_current!$D$2:$AY$2&amp;Demand_current!$D$3:$AY$3, 0))/1000</f>
        <v>0</v>
      </c>
      <c r="DA8" s="194">
        <f t="array" ref="DA8">INDEX(Demand_current!$D$4:$AY$138, MATCH($A8, Demand_current!$B$4:$B$138, 0), MATCH(DA$4&amp;DA$5,Demand_current!$D$2:$AY$2&amp;Demand_current!$D$3:$AY$3, 0))/1000</f>
        <v>0</v>
      </c>
      <c r="DB8" s="194">
        <f t="array" ref="DB8">INDEX(Demand_current!$D$4:$AY$138, MATCH($A8, Demand_current!$B$4:$B$138, 0), MATCH(DB$4&amp;DB$5,Demand_current!$D$2:$AY$2&amp;Demand_current!$D$3:$AY$3, 0))/1000</f>
        <v>0</v>
      </c>
      <c r="DC8" s="194">
        <f t="array" ref="DC8">INDEX(Demand_current!$D$4:$AY$138, MATCH($A8, Demand_current!$B$4:$B$138, 0), MATCH(DC$4&amp;DC$5,Demand_current!$D$2:$AY$2&amp;Demand_current!$D$3:$AY$3, 0))/1000</f>
        <v>0</v>
      </c>
      <c r="DD8" s="194">
        <f t="array" ref="DD8">INDEX(Demand_current!$D$4:$AY$138, MATCH($A8, Demand_current!$B$4:$B$138, 0), MATCH(DD$4&amp;DD$5,Demand_current!$D$2:$AY$2&amp;Demand_current!$D$3:$AY$3, 0))/1000</f>
        <v>0</v>
      </c>
      <c r="DE8" s="194">
        <f t="array" ref="DE8">INDEX(Demand_current!$D$4:$AY$138, MATCH($A8, Demand_current!$B$4:$B$138, 0), MATCH(DE$4&amp;DE$5,Demand_current!$D$2:$AY$2&amp;Demand_current!$D$3:$AY$3, 0))/1000</f>
        <v>0</v>
      </c>
      <c r="DF8" s="194">
        <f t="array" ref="DF8">INDEX(Demand_current!$D$4:$AY$138, MATCH($A8, Demand_current!$B$4:$B$138, 0), MATCH(DF$4&amp;DF$5,Demand_current!$D$2:$AY$2&amp;Demand_current!$D$3:$AY$3, 0))/1000</f>
        <v>0</v>
      </c>
      <c r="DG8" s="194">
        <f t="array" ref="DG8">INDEX(Demand_current!$D$4:$AY$138, MATCH($A8, Demand_current!$B$4:$B$138, 0), MATCH(DG$4&amp;DG$5,Demand_current!$D$2:$AY$2&amp;Demand_current!$D$3:$AY$3, 0))/1000</f>
        <v>0</v>
      </c>
      <c r="DH8" s="194">
        <f t="array" ref="DH8">INDEX(Demand_current!$D$4:$AY$138, MATCH($A8, Demand_current!$B$4:$B$138, 0), MATCH(DH$4&amp;DH$5,Demand_current!$D$2:$AY$2&amp;Demand_current!$D$3:$AY$3, 0))/1000</f>
        <v>0</v>
      </c>
      <c r="DI8" s="192">
        <f>$BS8*(VLOOKUP(DI$4, Rates_current!$G$6:$Q$29, 10, FALSE)+VLOOKUP(DI$4, Rates_current!$G$6:$Q$29, 11, FALSE))</f>
        <v>67502.82168896994</v>
      </c>
      <c r="DJ8" s="192">
        <f>$BS8*(VLOOKUP(DJ$4, Rates_current!$G$6:$Q$29, 10, FALSE)+VLOOKUP(DJ$4, Rates_current!$G$6:$Q$29, 11, FALSE))</f>
        <v>85461.022104221658</v>
      </c>
      <c r="DK8" s="192">
        <f>$BS8*(VLOOKUP(DK$4, Rates_current!$G$6:$Q$29, 10, FALSE)+VLOOKUP(DK$4, Rates_current!$G$6:$Q$29, 11, FALSE))</f>
        <v>83649.266962212845</v>
      </c>
      <c r="DL8" s="192">
        <f>$BS8*(VLOOKUP(DL$4, Rates_current!$G$6:$Q$29, 10, FALSE)+VLOOKUP(DL$4, Rates_current!$G$6:$Q$29, 11, FALSE))</f>
        <v>69090.737338935243</v>
      </c>
      <c r="DM8" s="192">
        <f>$BS8*(VLOOKUP(DM$4, Rates_current!$G$6:$Q$29, 10, FALSE)+VLOOKUP(DM$4, Rates_current!$G$6:$Q$29, 11, FALSE))</f>
        <v>59882.456319442193</v>
      </c>
      <c r="DN8" s="192">
        <f>$BS8*(VLOOKUP(DN$4, Rates_current!$G$6:$Q$29, 10, FALSE)+VLOOKUP(DN$4, Rates_current!$G$6:$Q$29, 11, FALSE))</f>
        <v>71487.560227280643</v>
      </c>
      <c r="DO8" s="192">
        <f>$BS8*(VLOOKUP(DO$4, Rates_current!$G$6:$Q$29, 10, FALSE)+VLOOKUP(DO$4, Rates_current!$G$6:$Q$29, 11, FALSE))</f>
        <v>55500.573456270664</v>
      </c>
      <c r="DP8" s="192">
        <f>$BS8*(VLOOKUP(DP$4, Rates_current!$G$6:$Q$29, 10, FALSE)+VLOOKUP(DP$4, Rates_current!$G$6:$Q$29, 11, FALSE))</f>
        <v>76896.452951501968</v>
      </c>
      <c r="DQ8" s="192">
        <f>$BS8*(VLOOKUP(DQ$4, Rates_current!$G$6:$Q$29, 10, FALSE)+VLOOKUP(DQ$4, Rates_current!$G$6:$Q$29, 11, FALSE))</f>
        <v>82165.470125141102</v>
      </c>
      <c r="DR8" s="192">
        <f>$BS8*(VLOOKUP(DR$4, Rates_current!$G$6:$Q$29, 10, FALSE)+VLOOKUP(DR$4, Rates_current!$G$6:$Q$29, 11, FALSE))</f>
        <v>78012.39329997373</v>
      </c>
      <c r="DS8" s="192">
        <f>$BS8*(VLOOKUP(DS$4, Rates_current!$G$6:$Q$29, 10, FALSE)+VLOOKUP(DS$4, Rates_current!$G$6:$Q$29, 11, FALSE))</f>
        <v>75392.959781415339</v>
      </c>
      <c r="DT8" s="192">
        <f>$BS8*(VLOOKUP(DT$4, Rates_current!$G$6:$Q$29, 10, FALSE)+VLOOKUP(DT$4, Rates_current!$G$6:$Q$29, 11, FALSE))</f>
        <v>69670.954242616761</v>
      </c>
      <c r="DU8" s="418">
        <f>IF(D8=0,IF(C8=0,MAX(0,DW8 - (VLOOKUP($A8,TOCA_current!$A$2:$AI$137,MATCH("RHWM 2022",TOCA_current!$A$2:$AI$2,0),FALSE)*$BS$2)), 0),0)</f>
        <v>0</v>
      </c>
      <c r="DV8" s="419">
        <f>MIN(VLOOKUP($A8,TOCA_current!$A$2:$AI$137,MATCH("TRL - NLSL - Existing Resource "&amp;$BS$1,TOCA_current!$A$2:$AI$2,0),FALSE)*$BS$2, VLOOKUP($A8,TOCA_current!$A$2:$AI$137,MATCH("RHWM 2022",TOCA_current!$A$2:$AI$2,0),FALSE)*$BS$2)</f>
        <v>1681928.76</v>
      </c>
      <c r="DW8" s="419">
        <f>SUM(BY8:CV8)+(BS8*RT1SC!$C$4*$BS$2)</f>
        <v>874712.34823062376</v>
      </c>
      <c r="DX8" s="419">
        <f>VLOOKUP($A8,TOCA_current!$A$2:$AI$137,MATCH("Above RHWM Not Served with LS "&amp;$BS$1,TOCA_current!$A$2:$AI$2,0),FALSE)*$BS$2</f>
        <v>149331.72</v>
      </c>
      <c r="DY8" s="419">
        <f t="shared" si="13"/>
        <v>-807216.41176937625</v>
      </c>
      <c r="DZ8" s="419">
        <f>(VLOOKUP($A8,TOCA_current!$A$2:$AI$137,MATCH("RHWM 2022",TOCA_current!$A$2:$AI$2,0),FALSE)*$BS$2) - $DV8</f>
        <v>0</v>
      </c>
      <c r="EA8" s="419">
        <f t="shared" si="14"/>
        <v>0</v>
      </c>
      <c r="EB8" s="419">
        <f t="shared" si="15"/>
        <v>657884.69176937628</v>
      </c>
      <c r="EC8" s="419">
        <f t="shared" si="16"/>
        <v>0</v>
      </c>
      <c r="ED8" s="419">
        <f t="shared" si="17"/>
        <v>0</v>
      </c>
    </row>
    <row r="9" spans="1:134">
      <c r="A9" s="135">
        <v>10025</v>
      </c>
      <c r="B9" s="136" t="s">
        <v>10</v>
      </c>
      <c r="C9" s="244">
        <f>VLOOKUP(A9, TOCA_current!$A$3:$D$137, 4, FALSE)</f>
        <v>0</v>
      </c>
      <c r="D9" s="203">
        <v>0</v>
      </c>
      <c r="E9" s="119">
        <f>VLOOKUP($A9,TOCA_previous!$A$2:$AI$137,MATCH(E$4,TOCA_previous!$A$2:$AI$2,0),FALSE)</f>
        <v>8.4480000000000006E-3</v>
      </c>
      <c r="F9" s="120">
        <f>VLOOKUP($A9,TOCA_previous!$A$2:$AI$137,MATCH(F$4,TOCA_previous!$A$2:$AI$2,0),FALSE)</f>
        <v>8.4480000000000006E-3</v>
      </c>
      <c r="G9" s="120">
        <f t="shared" si="5"/>
        <v>0</v>
      </c>
      <c r="H9" s="120">
        <f>VLOOKUP($A9,TOCA_previous!$A$2:$AI$137,MATCH(H$4,TOCA_previous!$A$2:$AI$2,0),FALSE)</f>
        <v>6.7244325362721805E-2</v>
      </c>
      <c r="I9" s="120">
        <f t="shared" si="6"/>
        <v>0</v>
      </c>
      <c r="J9" s="120">
        <f t="shared" si="7"/>
        <v>0</v>
      </c>
      <c r="K9" s="191">
        <f>VLOOKUP(A9, IRD!$A$5:$C$139, 3, FALSE)</f>
        <v>82900.857000000004</v>
      </c>
      <c r="L9" s="192">
        <f t="array" ref="L9">IF($G9=0, INDEX(LS_previous!$D$4:$AY$138, MATCH('Staging Table'!$A9, LS_previous!$B$4:$B$138, 0), MATCH(L$4&amp;L$5, LS_previous!$D$2:$AY$2&amp;LS_previous!$D$3:$AY$3, 0)),SUM(VLOOKUP($A9, LS_previous!$B$4:$AY$138, LS_previous!D$149, FALSE), VLOOKUP('Staging Table'!$A9, LS_previous!$B$4:$AY$138,LS_previous!AB$149, FALSE))/2)</f>
        <v>-924.4443978240015</v>
      </c>
      <c r="M9" s="192">
        <f t="array" ref="M9">IF($G9=0, INDEX(LS_previous!$D$4:$AY$138, MATCH('Staging Table'!$A9, LS_previous!$B$4:$B$138, 0), MATCH(M$4&amp;M$5, LS_previous!$D$2:$AY$2&amp;LS_previous!$D$3:$AY$3, 0)),SUM(VLOOKUP($A9, LS_previous!$B$4:$AY$138, LS_previous!E$149, FALSE), VLOOKUP('Staging Table'!$A9, LS_previous!$B$4:$AY$138,LS_previous!AC$149, FALSE))/2)</f>
        <v>1984.9477260159983</v>
      </c>
      <c r="N9" s="192">
        <f t="array" ref="N9">IF($G9=0, INDEX(LS_previous!$D$4:$AY$138, MATCH('Staging Table'!$A9, LS_previous!$B$4:$B$138, 0), MATCH(N$4&amp;N$5, LS_previous!$D$2:$AY$2&amp;LS_previous!$D$3:$AY$3, 0)),SUM(VLOOKUP($A9, LS_previous!$B$4:$AY$138, LS_previous!F$149, FALSE), VLOOKUP('Staging Table'!$A9, LS_previous!$B$4:$AY$138,LS_previous!AD$149, FALSE))/2)</f>
        <v>-10487.007876544001</v>
      </c>
      <c r="O9" s="192">
        <f t="array" ref="O9">IF($G9=0, INDEX(LS_previous!$D$4:$AY$138, MATCH('Staging Table'!$A9, LS_previous!$B$4:$B$138, 0), MATCH(O$4&amp;O$5, LS_previous!$D$2:$AY$2&amp;LS_previous!$D$3:$AY$3, 0)),SUM(VLOOKUP($A9, LS_previous!$B$4:$AY$138, LS_previous!G$149, FALSE), VLOOKUP('Staging Table'!$A9, LS_previous!$B$4:$AY$138,LS_previous!AE$149, FALSE))/2)</f>
        <v>-3152.703126528002</v>
      </c>
      <c r="P9" s="192">
        <f t="array" ref="P9">IF($G9=0, INDEX(LS_previous!$D$4:$AY$138, MATCH('Staging Table'!$A9, LS_previous!$B$4:$B$138, 0), MATCH(P$4&amp;P$5, LS_previous!$D$2:$AY$2&amp;LS_previous!$D$3:$AY$3, 0)),SUM(VLOOKUP($A9, LS_previous!$B$4:$AY$138, LS_previous!H$149, FALSE), VLOOKUP('Staging Table'!$A9, LS_previous!$B$4:$AY$138,LS_previous!AF$149, FALSE))/2)</f>
        <v>-5796.0729650560061</v>
      </c>
      <c r="Q9" s="192">
        <f t="array" ref="Q9">IF($G9=0, INDEX(LS_previous!$D$4:$AY$138, MATCH('Staging Table'!$A9, LS_previous!$B$4:$B$138, 0), MATCH(Q$4&amp;Q$5, LS_previous!$D$2:$AY$2&amp;LS_previous!$D$3:$AY$3, 0)),SUM(VLOOKUP($A9, LS_previous!$B$4:$AY$138, LS_previous!I$149, FALSE), VLOOKUP('Staging Table'!$A9, LS_previous!$B$4:$AY$138,LS_previous!AG$149, FALSE))/2)</f>
        <v>1340.8855092480007</v>
      </c>
      <c r="R9" s="192">
        <f t="array" ref="R9">IF($G9=0, INDEX(LS_previous!$D$4:$AY$138, MATCH('Staging Table'!$A9, LS_previous!$B$4:$B$138, 0), MATCH(R$4&amp;R$5, LS_previous!$D$2:$AY$2&amp;LS_previous!$D$3:$AY$3, 0)),SUM(VLOOKUP($A9, LS_previous!$B$4:$AY$138, LS_previous!J$149, FALSE), VLOOKUP('Staging Table'!$A9, LS_previous!$B$4:$AY$138,LS_previous!AH$149, FALSE))/2)</f>
        <v>-191.14351705600347</v>
      </c>
      <c r="S9" s="192">
        <f t="array" ref="S9">IF($G9=0, INDEX(LS_previous!$D$4:$AY$138, MATCH('Staging Table'!$A9, LS_previous!$B$4:$B$138, 0), MATCH(S$4&amp;S$5, LS_previous!$D$2:$AY$2&amp;LS_previous!$D$3:$AY$3, 0)),SUM(VLOOKUP($A9, LS_previous!$B$4:$AY$138, LS_previous!K$149, FALSE), VLOOKUP('Staging Table'!$A9, LS_previous!$B$4:$AY$138,LS_previous!AI$149, FALSE))/2)</f>
        <v>3195.4807652479994</v>
      </c>
      <c r="T9" s="192">
        <f t="array" ref="T9">IF($G9=0, INDEX(LS_previous!$D$4:$AY$138, MATCH('Staging Table'!$A9, LS_previous!$B$4:$B$138, 0), MATCH(T$4&amp;T$5, LS_previous!$D$2:$AY$2&amp;LS_previous!$D$3:$AY$3, 0)),SUM(VLOOKUP($A9, LS_previous!$B$4:$AY$138, LS_previous!L$149, FALSE), VLOOKUP('Staging Table'!$A9, LS_previous!$B$4:$AY$138,LS_previous!AJ$149, FALSE))/2)</f>
        <v>-4012.3545035520037</v>
      </c>
      <c r="U9" s="192">
        <f t="array" ref="U9">IF($G9=0, INDEX(LS_previous!$D$4:$AY$138, MATCH('Staging Table'!$A9, LS_previous!$B$4:$B$138, 0), MATCH(U$4&amp;U$5, LS_previous!$D$2:$AY$2&amp;LS_previous!$D$3:$AY$3, 0)),SUM(VLOOKUP($A9, LS_previous!$B$4:$AY$138, LS_previous!M$149, FALSE), VLOOKUP('Staging Table'!$A9, LS_previous!$B$4:$AY$138,LS_previous!AK$149, FALSE))/2)</f>
        <v>-505.73922284800028</v>
      </c>
      <c r="V9" s="192">
        <f t="array" ref="V9">IF($G9=0, INDEX(LS_previous!$D$4:$AY$138, MATCH('Staging Table'!$A9, LS_previous!$B$4:$B$138, 0), MATCH(V$4&amp;V$5, LS_previous!$D$2:$AY$2&amp;LS_previous!$D$3:$AY$3, 0)),SUM(VLOOKUP($A9, LS_previous!$B$4:$AY$138, LS_previous!N$149, FALSE), VLOOKUP('Staging Table'!$A9, LS_previous!$B$4:$AY$138,LS_previous!AL$149, FALSE))/2)</f>
        <v>-6386.6355575679954</v>
      </c>
      <c r="W9" s="192">
        <f t="array" ref="W9">IF($G9=0, INDEX(LS_previous!$D$4:$AY$138, MATCH('Staging Table'!$A9, LS_previous!$B$4:$B$138, 0), MATCH(W$4&amp;W$5, LS_previous!$D$2:$AY$2&amp;LS_previous!$D$3:$AY$3, 0)),SUM(VLOOKUP($A9, LS_previous!$B$4:$AY$138, LS_previous!O$149, FALSE), VLOOKUP('Staging Table'!$A9, LS_previous!$B$4:$AY$138,LS_previous!AM$149, FALSE))/2)</f>
        <v>-757.80995820800126</v>
      </c>
      <c r="X9" s="192">
        <f t="array" ref="X9">IF($G9=0, INDEX(LS_previous!$D$4:$AY$138, MATCH('Staging Table'!$A9, LS_previous!$B$4:$B$138, 0), MATCH(X$4&amp;X$5, LS_previous!$D$2:$AY$2&amp;LS_previous!$D$3:$AY$3, 0)),SUM(VLOOKUP($A9, LS_previous!$B$4:$AY$138, LS_previous!P$149, FALSE), VLOOKUP('Staging Table'!$A9, LS_previous!$B$4:$AY$138,LS_previous!AN$149, FALSE))/2)</f>
        <v>-786.63891731200056</v>
      </c>
      <c r="Y9" s="192">
        <f t="array" ref="Y9">IF($G9=0, INDEX(LS_previous!$D$4:$AY$138, MATCH('Staging Table'!$A9, LS_previous!$B$4:$B$138, 0), MATCH(Y$4&amp;Y$5, LS_previous!$D$2:$AY$2&amp;LS_previous!$D$3:$AY$3, 0)),SUM(VLOOKUP($A9, LS_previous!$B$4:$AY$138, LS_previous!Q$149, FALSE), VLOOKUP('Staging Table'!$A9, LS_previous!$B$4:$AY$138,LS_previous!AO$149, FALSE))/2)</f>
        <v>700.37231827200048</v>
      </c>
      <c r="Z9" s="192">
        <f t="array" ref="Z9">IF($G9=0, INDEX(LS_previous!$D$4:$AY$138, MATCH('Staging Table'!$A9, LS_previous!$B$4:$B$138, 0), MATCH(Z$4&amp;Z$5, LS_previous!$D$2:$AY$2&amp;LS_previous!$D$3:$AY$3, 0)),SUM(VLOOKUP($A9, LS_previous!$B$4:$AY$138, LS_previous!R$149, FALSE), VLOOKUP('Staging Table'!$A9, LS_previous!$B$4:$AY$138,LS_previous!AP$149, FALSE))/2)</f>
        <v>-2139.1678208000048</v>
      </c>
      <c r="AA9" s="192">
        <f t="array" ref="AA9">IF($G9=0, INDEX(LS_previous!$D$4:$AY$138, MATCH('Staging Table'!$A9, LS_previous!$B$4:$B$138, 0), MATCH(AA$4&amp;AA$5, LS_previous!$D$2:$AY$2&amp;LS_previous!$D$3:$AY$3, 0)),SUM(VLOOKUP($A9, LS_previous!$B$4:$AY$138, LS_previous!S$149, FALSE), VLOOKUP('Staging Table'!$A9, LS_previous!$B$4:$AY$138,LS_previous!AQ$149, FALSE))/2)</f>
        <v>2213.4630849919959</v>
      </c>
      <c r="AB9" s="192">
        <f t="array" ref="AB9">IF($G9=0, INDEX(LS_previous!$D$4:$AY$138, MATCH('Staging Table'!$A9, LS_previous!$B$4:$B$138, 0), MATCH(AB$4&amp;AB$5, LS_previous!$D$2:$AY$2&amp;LS_previous!$D$3:$AY$3, 0)),SUM(VLOOKUP($A9, LS_previous!$B$4:$AY$138, LS_previous!T$149, FALSE), VLOOKUP('Staging Table'!$A9, LS_previous!$B$4:$AY$138,LS_previous!AR$149, FALSE))/2)</f>
        <v>-6413.584445312008</v>
      </c>
      <c r="AC9" s="192">
        <f t="array" ref="AC9">IF($G9=0, INDEX(LS_previous!$D$4:$AY$138, MATCH('Staging Table'!$A9, LS_previous!$B$4:$B$138, 0), MATCH(AC$4&amp;AC$5, LS_previous!$D$2:$AY$2&amp;LS_previous!$D$3:$AY$3, 0)),SUM(VLOOKUP($A9, LS_previous!$B$4:$AY$138, LS_previous!U$149, FALSE), VLOOKUP('Staging Table'!$A9, LS_previous!$B$4:$AY$138,LS_previous!AS$149, FALSE))/2)</f>
        <v>1537.362190271997</v>
      </c>
      <c r="AD9" s="192">
        <f t="array" ref="AD9">IF($G9=0, INDEX(LS_previous!$D$4:$AY$138, MATCH('Staging Table'!$A9, LS_previous!$B$4:$B$138, 0), MATCH(AD$4&amp;AD$5, LS_previous!$D$2:$AY$2&amp;LS_previous!$D$3:$AY$3, 0)),SUM(VLOOKUP($A9, LS_previous!$B$4:$AY$138, LS_previous!V$149, FALSE), VLOOKUP('Staging Table'!$A9, LS_previous!$B$4:$AY$138,LS_previous!AT$149, FALSE))/2)</f>
        <v>5501.9287146880015</v>
      </c>
      <c r="AE9" s="192">
        <f t="array" ref="AE9">IF($G9=0, INDEX(LS_previous!$D$4:$AY$138, MATCH('Staging Table'!$A9, LS_previous!$B$4:$B$138, 0), MATCH(AE$4&amp;AE$5, LS_previous!$D$2:$AY$2&amp;LS_previous!$D$3:$AY$3, 0)),SUM(VLOOKUP($A9, LS_previous!$B$4:$AY$138, LS_previous!W$149, FALSE), VLOOKUP('Staging Table'!$A9, LS_previous!$B$4:$AY$138,LS_previous!AU$149, FALSE))/2)</f>
        <v>10256.980941504002</v>
      </c>
      <c r="AF9" s="192">
        <f t="array" ref="AF9">IF($G9=0, INDEX(LS_previous!$D$4:$AY$138, MATCH('Staging Table'!$A9, LS_previous!$B$4:$B$138, 0), MATCH(AF$4&amp;AF$5, LS_previous!$D$2:$AY$2&amp;LS_previous!$D$3:$AY$3, 0)),SUM(VLOOKUP($A9, LS_previous!$B$4:$AY$138, LS_previous!X$149, FALSE), VLOOKUP('Staging Table'!$A9, LS_previous!$B$4:$AY$138,LS_previous!AV$149, FALSE))/2)</f>
        <v>4234.7013386879989</v>
      </c>
      <c r="AG9" s="192">
        <f t="array" ref="AG9">IF($G9=0, INDEX(LS_previous!$D$4:$AY$138, MATCH('Staging Table'!$A9, LS_previous!$B$4:$B$138, 0), MATCH(AG$4&amp;AG$5, LS_previous!$D$2:$AY$2&amp;LS_previous!$D$3:$AY$3, 0)),SUM(VLOOKUP($A9, LS_previous!$B$4:$AY$138, LS_previous!Y$149, FALSE), VLOOKUP('Staging Table'!$A9, LS_previous!$B$4:$AY$138,LS_previous!AW$149, FALSE))/2)</f>
        <v>7778.3219015039995</v>
      </c>
      <c r="AH9" s="192">
        <f t="array" ref="AH9">IF($G9=0, INDEX(LS_previous!$D$4:$AY$138, MATCH('Staging Table'!$A9, LS_previous!$B$4:$B$138, 0), MATCH(AH$4&amp;AH$5, LS_previous!$D$2:$AY$2&amp;LS_previous!$D$3:$AY$3, 0)),SUM(VLOOKUP($A9, LS_previous!$B$4:$AY$138, LS_previous!Z$149, FALSE), VLOOKUP('Staging Table'!$A9, LS_previous!$B$4:$AY$138,LS_previous!AX$149, FALSE))/2)</f>
        <v>236.57145119999768</v>
      </c>
      <c r="AI9" s="192">
        <f t="array" ref="AI9">IF($G9=0, INDEX(LS_previous!$D$4:$AY$138, MATCH('Staging Table'!$A9, LS_previous!$B$4:$B$138, 0), MATCH(AI$4&amp;AI$5, LS_previous!$D$2:$AY$2&amp;LS_previous!$D$3:$AY$3, 0)),SUM(VLOOKUP($A9, LS_previous!$B$4:$AY$138, LS_previous!AA$149, FALSE), VLOOKUP('Staging Table'!$A9, LS_previous!$B$4:$AY$138,LS_previous!AY$149, FALSE))/2)</f>
        <v>5421.8212617600002</v>
      </c>
      <c r="AJ9" s="314">
        <f t="array" ref="AJ9">INDEX(Demand_previous!$D$4:$AY$138, MATCH('Staging Table'!$A9, Demand_previous!$B$4:$B$138, 0), MATCH(AJ$4&amp;AJ$5,Demand_previous!$D$2:$AY$2&amp;Demand_previous!$D$3:$AY$3, 0))/1000</f>
        <v>1.7279722222222276</v>
      </c>
      <c r="AK9" s="314">
        <f t="array" ref="AK9">INDEX(Demand_previous!$D$4:$AY$138, MATCH('Staging Table'!$A9, Demand_previous!$B$4:$B$138, 0), MATCH(AK$4&amp;AK$5,Demand_previous!$D$2:$AY$2&amp;Demand_previous!$D$3:$AY$3, 0))/1000</f>
        <v>0.72251749999999149</v>
      </c>
      <c r="AL9" s="314">
        <f t="array" ref="AL9">INDEX(Demand_previous!$D$4:$AY$138, MATCH('Staging Table'!$A9, Demand_previous!$B$4:$B$138, 0), MATCH(AL$4&amp;AL$5,Demand_previous!$D$2:$AY$2&amp;Demand_previous!$D$3:$AY$3, 0))/1000</f>
        <v>17.897777500000004</v>
      </c>
      <c r="AM9" s="314">
        <f t="array" ref="AM9">INDEX(Demand_previous!$D$4:$AY$138, MATCH('Staging Table'!$A9, Demand_previous!$B$4:$B$138, 0), MATCH(AM$4&amp;AM$5,Demand_previous!$D$2:$AY$2&amp;Demand_previous!$D$3:$AY$3, 0))/1000</f>
        <v>9.5468413461538404</v>
      </c>
      <c r="AN9" s="314">
        <f t="array" ref="AN9">INDEX(Demand_previous!$D$4:$AY$138, MATCH('Staging Table'!$A9, Demand_previous!$B$4:$B$138, 0), MATCH(AN$4&amp;AN$5,Demand_previous!$D$2:$AY$2&amp;Demand_previous!$D$3:$AY$3, 0))/1000</f>
        <v>2.377075000000012</v>
      </c>
      <c r="AO9" s="314">
        <f t="array" ref="AO9">INDEX(Demand_previous!$D$4:$AY$138, MATCH('Staging Table'!$A9, Demand_previous!$B$4:$B$138, 0), MATCH(AO$4&amp;AO$5,Demand_previous!$D$2:$AY$2&amp;Demand_previous!$D$3:$AY$3, 0))/1000</f>
        <v>3.7874302884615396</v>
      </c>
      <c r="AP9" s="314">
        <f t="array" ref="AP9">INDEX(Demand_previous!$D$4:$AY$138, MATCH('Staging Table'!$A9, Demand_previous!$B$4:$B$138, 0), MATCH(AP$4&amp;AP$5,Demand_previous!$D$2:$AY$2&amp;Demand_previous!$D$3:$AY$3, 0))/1000</f>
        <v>0</v>
      </c>
      <c r="AQ9" s="314">
        <f t="array" ref="AQ9">INDEX(Demand_previous!$D$4:$AY$138, MATCH('Staging Table'!$A9, Demand_previous!$B$4:$B$138, 0), MATCH(AQ$4&amp;AQ$5,Demand_previous!$D$2:$AY$2&amp;Demand_previous!$D$3:$AY$3, 0))/1000</f>
        <v>0.95992000000000399</v>
      </c>
      <c r="AR9" s="314">
        <f t="array" ref="AR9">INDEX(Demand_previous!$D$4:$AY$138, MATCH('Staging Table'!$A9, Demand_previous!$B$4:$B$138, 0), MATCH(AR$4&amp;AR$5,Demand_previous!$D$2:$AY$2&amp;Demand_previous!$D$3:$AY$3, 0))/1000</f>
        <v>14.013379807692308</v>
      </c>
      <c r="AS9" s="314">
        <f t="array" ref="AS9">INDEX(Demand_previous!$D$4:$AY$138, MATCH('Staging Table'!$A9, Demand_previous!$B$4:$B$138, 0), MATCH(AS$4&amp;AS$5,Demand_previous!$D$2:$AY$2&amp;Demand_previous!$D$3:$AY$3, 0))/1000</f>
        <v>17.547540865384612</v>
      </c>
      <c r="AT9" s="314">
        <f t="array" ref="AT9">INDEX(Demand_previous!$D$4:$AY$138, MATCH('Staging Table'!$A9, Demand_previous!$B$4:$B$138, 0), MATCH(AT$4&amp;AT$5,Demand_previous!$D$2:$AY$2&amp;Demand_previous!$D$3:$AY$3, 0))/1000</f>
        <v>18.036401442307692</v>
      </c>
      <c r="AU9" s="314">
        <f t="array" ref="AU9">INDEX(Demand_previous!$D$4:$AY$138, MATCH('Staging Table'!$A9, Demand_previous!$B$4:$B$138, 0), MATCH(AU$4&amp;AU$5,Demand_previous!$D$2:$AY$2&amp;Demand_previous!$D$3:$AY$3, 0))/1000</f>
        <v>11.509267499999998</v>
      </c>
      <c r="AV9" s="192">
        <f>$F9*(VLOOKUP(AV$4, Rates_previous!$G$6:$Q$29, 10, FALSE)+VLOOKUP(AV$4, Rates_previous!$G$6:$Q$29, 11, FALSE))</f>
        <v>39007.095671807998</v>
      </c>
      <c r="AW9" s="192">
        <f>$F9*(VLOOKUP(AW$4, Rates_previous!$G$6:$Q$29, 10, FALSE)+VLOOKUP(AW$4, Rates_previous!$G$6:$Q$29, 11, FALSE))</f>
        <v>49551.180003072004</v>
      </c>
      <c r="AX9" s="192">
        <f>$F9*(VLOOKUP(AX$4, Rates_previous!$G$6:$Q$29, 10, FALSE)+VLOOKUP(AX$4, Rates_previous!$G$6:$Q$29, 11, FALSE))</f>
        <v>48952.78245580801</v>
      </c>
      <c r="AY9" s="192">
        <f>$F9*(VLOOKUP(AY$4, Rates_previous!$G$6:$Q$29, 10, FALSE)+VLOOKUP(AY$4, Rates_previous!$G$6:$Q$29, 11, FALSE))</f>
        <v>40805.125751808009</v>
      </c>
      <c r="AZ9" s="192">
        <f>$F9*(VLOOKUP(AZ$4, Rates_previous!$G$6:$Q$29, 10, FALSE)+VLOOKUP(AZ$4, Rates_previous!$G$6:$Q$29, 11, FALSE))</f>
        <v>36965.210726400001</v>
      </c>
      <c r="BA9" s="192">
        <f>$F9*(VLOOKUP(BA$4, Rates_previous!$G$6:$Q$29, 10, FALSE)+VLOOKUP(BA$4, Rates_previous!$G$6:$Q$29, 11, FALSE))</f>
        <v>41117.057515776003</v>
      </c>
      <c r="BB9" s="192">
        <f>$F9*(VLOOKUP(BB$4, Rates_previous!$G$6:$Q$29, 10, FALSE)+VLOOKUP(BB$4, Rates_previous!$G$6:$Q$29, 11, FALSE))</f>
        <v>33477.552599040006</v>
      </c>
      <c r="BC9" s="192">
        <f>$F9*(VLOOKUP(BC$4, Rates_previous!$G$6:$Q$29, 10, FALSE)+VLOOKUP(BC$4, Rates_previous!$G$6:$Q$29, 11, FALSE))</f>
        <v>45149.471735808009</v>
      </c>
      <c r="BD9" s="192">
        <f>$F9*(VLOOKUP(BD$4, Rates_previous!$G$6:$Q$29, 10, FALSE)+VLOOKUP(BD$4, Rates_previous!$G$6:$Q$29, 11, FALSE))</f>
        <v>57607.655255040008</v>
      </c>
      <c r="BE9" s="192">
        <f>$F9*(VLOOKUP(BE$4, Rates_previous!$G$6:$Q$29, 10, FALSE)+VLOOKUP(BE$4, Rates_previous!$G$6:$Q$29, 11, FALSE))</f>
        <v>45166.228343808005</v>
      </c>
      <c r="BF9" s="192">
        <f>$F9*(VLOOKUP(BF$4, Rates_previous!$G$6:$Q$29, 10, FALSE)+VLOOKUP(BF$4, Rates_previous!$G$6:$Q$29, 11, FALSE))</f>
        <v>43982.912759808009</v>
      </c>
      <c r="BG9" s="192">
        <f>$F9*(VLOOKUP(BG$4, Rates_previous!$G$6:$Q$29, 10, FALSE)+VLOOKUP(BG$4, Rates_previous!$G$6:$Q$29, 11, FALSE))</f>
        <v>39487.299287040005</v>
      </c>
      <c r="BH9" s="314">
        <f>IF($D9=0,IF(C9=0, MAX(BJ9 - (VLOOKUP($A9,TOCA_previous!$A$2:$AI$137,MATCH("RHWM 2020",TOCA_previous!$A$2:$AI$2,0),FALSE)*$F$2*TOCA_previous!C6),0),0), 0)</f>
        <v>2850.2145655680215</v>
      </c>
      <c r="BI9" s="204">
        <f>MIN(VLOOKUP($A9,TOCA_previous!$A$2:$AI$137,MATCH("TRL - NLSL - Existing Resource "&amp;$F$1,TOCA_previous!$A$2:$AI$2,0),FALSE)*$F$2,(VLOOKUP($A9,TOCA_previous!$A$2:$AI$137,MATCH("RHWM 2020",TOCA_previous!$A$2:$AI$2,0),FALSE)*$F$2))</f>
        <v>521268.91200000001</v>
      </c>
      <c r="BJ9" s="418">
        <f>SUM(L9:AI9)+(F9*RT1SC!$C$3*$F$2)</f>
        <v>524119.12656556803</v>
      </c>
      <c r="BK9" s="417">
        <f>VLOOKUP($A9,TOCA_previous!$A$2:$AI$137,MATCH("Above RHWM Not Served with LS "&amp;$F$1,TOCA_previous!$A$2:$AI$2,0),FALSE)*$F$2</f>
        <v>62937.36</v>
      </c>
      <c r="BL9" s="418">
        <f t="shared" si="8"/>
        <v>2850.2145655680215</v>
      </c>
      <c r="BM9" s="417">
        <f>(VLOOKUP($A9,TOCA_previous!$A$2:$AI$137,MATCH("RHWM 2020",TOCA_previous!$A$2:$AI$2,0),FALSE)*$F$2) - $BI9</f>
        <v>0</v>
      </c>
      <c r="BN9" s="418">
        <f t="shared" si="9"/>
        <v>0</v>
      </c>
      <c r="BO9" s="417">
        <f t="shared" si="10"/>
        <v>0</v>
      </c>
      <c r="BP9" s="418">
        <f t="shared" si="11"/>
        <v>0</v>
      </c>
      <c r="BQ9" s="417">
        <f t="shared" si="2"/>
        <v>0</v>
      </c>
      <c r="BR9" s="120">
        <f>VLOOKUP($A9,TOCA_current!$A$2:$AI$137,MATCH(BR$4,TOCA_current!$A$2:$AI$2,0),FALSE)</f>
        <v>8.4480000000000006E-3</v>
      </c>
      <c r="BS9" s="120">
        <f>VLOOKUP($A9,TOCA_current!$A$2:$AI$137,MATCH(BS$4,TOCA_current!$A$2:$AI$2,0),FALSE)</f>
        <v>8.4480000000000006E-3</v>
      </c>
      <c r="BT9" s="201">
        <f t="shared" si="12"/>
        <v>0</v>
      </c>
      <c r="BU9" s="120">
        <f>VLOOKUP($A9,TOCA_current!A5:BG140,MATCH(BU$4,TOCA_current!$A$2:$BG$2,0),FALSE)</f>
        <v>7.0286949340174668E-2</v>
      </c>
      <c r="BV9" s="120">
        <f t="shared" si="3"/>
        <v>0</v>
      </c>
      <c r="BW9" s="120">
        <f t="shared" si="4"/>
        <v>0</v>
      </c>
      <c r="BX9" s="191">
        <f>VLOOKUP($A9,IRD!$A$4:$G$139, 7, FALSE)</f>
        <v>82900.857000000004</v>
      </c>
      <c r="BY9" s="192">
        <f t="array" ref="BY9">IF($BT9=0, INDEX(LS_current!$D$4:$AY$138, MATCH('Staging Table'!$A9, LS_current!$B$4:$B$138, 0), MATCH(BY$4&amp;BY$5, LS_current!$D$2:$AY$2&amp;LS_current!$D$3:$AY$3, 0)),SUM(VLOOKUP($A9, LS_current!$B$4:$AY$138, LS_current!D$148, FALSE), VLOOKUP($A9, LS_current!$B$4:$AY$138,LS_current!AB$148, FALSE))/2)</f>
        <v>-1142.328154795905</v>
      </c>
      <c r="BZ9" s="192">
        <f t="array" ref="BZ9">IF($BT9=0, INDEX(LS_current!$D$4:$AY$138, MATCH('Staging Table'!$A9, LS_current!$B$4:$B$138, 0), MATCH(BZ$4&amp;BZ$5, LS_current!$D$2:$AY$2&amp;LS_current!$D$3:$AY$3, 0)),SUM(VLOOKUP($A9, LS_current!$B$4:$AY$138, LS_current!E$148, FALSE), VLOOKUP($A9, LS_current!$B$4:$AY$138,LS_current!AC$148, FALSE))/2)</f>
        <v>809.92564819007566</v>
      </c>
      <c r="CA9" s="192">
        <f t="array" ref="CA9">IF($BT9=0, INDEX(LS_current!$D$4:$AY$138, MATCH('Staging Table'!$A9, LS_current!$B$4:$B$138, 0), MATCH(CA$4&amp;CA$5, LS_current!$D$2:$AY$2&amp;LS_current!$D$3:$AY$3, 0)),SUM(VLOOKUP($A9, LS_current!$B$4:$AY$138, LS_current!F$148, FALSE), VLOOKUP($A9, LS_current!$B$4:$AY$138,LS_current!AD$148, FALSE))/2)</f>
        <v>-10345.967800852868</v>
      </c>
      <c r="CB9" s="192">
        <f t="array" ref="CB9">IF($BT9=0, INDEX(LS_current!$D$4:$AY$138, MATCH('Staging Table'!$A9, LS_current!$B$4:$B$138, 0), MATCH(CB$4&amp;CB$5, LS_current!$D$2:$AY$2&amp;LS_current!$D$3:$AY$3, 0)),SUM(VLOOKUP($A9, LS_current!$B$4:$AY$138, LS_current!G$148, FALSE), VLOOKUP($A9, LS_current!$B$4:$AY$138,LS_current!AE$148, FALSE))/2)</f>
        <v>-4317.7781672686069</v>
      </c>
      <c r="CC9" s="192">
        <f t="array" ref="CC9">IF($BT9=0, INDEX(LS_current!$D$4:$AY$138, MATCH('Staging Table'!$A9, LS_current!$B$4:$B$138, 0), MATCH(CC$4&amp;CC$5, LS_current!$D$2:$AY$2&amp;LS_current!$D$3:$AY$3, 0)),SUM(VLOOKUP($A9, LS_current!$B$4:$AY$138, LS_current!H$148, FALSE), VLOOKUP($A9, LS_current!$B$4:$AY$138,LS_current!AF$148, FALSE))/2)</f>
        <v>-3824.4998710119726</v>
      </c>
      <c r="CD9" s="192">
        <f t="array" ref="CD9">IF($BT9=0, INDEX(LS_current!$D$4:$AY$138, MATCH('Staging Table'!$A9, LS_current!$B$4:$B$138, 0), MATCH(CD$4&amp;CD$5, LS_current!$D$2:$AY$2&amp;LS_current!$D$3:$AY$3, 0)),SUM(VLOOKUP($A9, LS_current!$B$4:$AY$138, LS_current!I$148, FALSE), VLOOKUP($A9, LS_current!$B$4:$AY$138,LS_current!AG$148, FALSE))/2)</f>
        <v>-1280.1713369603858</v>
      </c>
      <c r="CE9" s="192">
        <f t="array" ref="CE9">IF($BT9=0, INDEX(LS_current!$D$4:$AY$138, MATCH('Staging Table'!$A9, LS_current!$B$4:$B$138, 0), MATCH(CE$4&amp;CE$5, LS_current!$D$2:$AY$2&amp;LS_current!$D$3:$AY$3, 0)),SUM(VLOOKUP($A9, LS_current!$B$4:$AY$138, LS_current!J$148, FALSE), VLOOKUP($A9, LS_current!$B$4:$AY$138,LS_current!AH$148, FALSE))/2)</f>
        <v>2130.736481489279</v>
      </c>
      <c r="CF9" s="192">
        <f t="array" ref="CF9">IF($BT9=0, INDEX(LS_current!$D$4:$AY$138, MATCH('Staging Table'!$A9, LS_current!$B$4:$B$138, 0), MATCH(CF$4&amp;CF$5, LS_current!$D$2:$AY$2&amp;LS_current!$D$3:$AY$3, 0)),SUM(VLOOKUP($A9, LS_current!$B$4:$AY$138, LS_current!K$148, FALSE), VLOOKUP($A9, LS_current!$B$4:$AY$138,LS_current!AI$148, FALSE))/2)</f>
        <v>373.7320003075838</v>
      </c>
      <c r="CG9" s="192">
        <f t="array" ref="CG9">IF($BT9=0, INDEX(LS_current!$D$4:$AY$138, MATCH('Staging Table'!$A9, LS_current!$B$4:$B$138, 0), MATCH(CG$4&amp;CG$5, LS_current!$D$2:$AY$2&amp;LS_current!$D$3:$AY$3, 0)),SUM(VLOOKUP($A9, LS_current!$B$4:$AY$138, LS_current!L$148, FALSE), VLOOKUP($A9, LS_current!$B$4:$AY$138,LS_current!AJ$148, FALSE))/2)</f>
        <v>-1396.3561478090232</v>
      </c>
      <c r="CH9" s="192">
        <f t="array" ref="CH9">IF($BT9=0, INDEX(LS_current!$D$4:$AY$138, MATCH('Staging Table'!$A9, LS_current!$B$4:$B$138, 0), MATCH(CH$4&amp;CH$5, LS_current!$D$2:$AY$2&amp;LS_current!$D$3:$AY$3, 0)),SUM(VLOOKUP($A9, LS_current!$B$4:$AY$138, LS_current!M$148, FALSE), VLOOKUP($A9, LS_current!$B$4:$AY$138,LS_current!AK$148, FALSE))/2)</f>
        <v>-1854.9067387623672</v>
      </c>
      <c r="CI9" s="192">
        <f t="array" ref="CI9">IF($BT9=0, INDEX(LS_current!$D$4:$AY$138, MATCH('Staging Table'!$A9, LS_current!$B$4:$B$138, 0), MATCH(CI$4&amp;CI$5, LS_current!$D$2:$AY$2&amp;LS_current!$D$3:$AY$3, 0)),SUM(VLOOKUP($A9, LS_current!$B$4:$AY$138, LS_current!N$148, FALSE), VLOOKUP($A9, LS_current!$B$4:$AY$138,LS_current!AL$148, FALSE))/2)</f>
        <v>-6499.5089950795482</v>
      </c>
      <c r="CJ9" s="192">
        <f t="array" ref="CJ9">IF($BT9=0, INDEX(LS_current!$D$4:$AY$138, MATCH('Staging Table'!$A9, LS_current!$B$4:$B$138, 0), MATCH(CJ$4&amp;CJ$5, LS_current!$D$2:$AY$2&amp;LS_current!$D$3:$AY$3, 0)),SUM(VLOOKUP($A9, LS_current!$B$4:$AY$138, LS_current!O$148, FALSE), VLOOKUP($A9, LS_current!$B$4:$AY$138,LS_current!AM$148, FALSE))/2)</f>
        <v>-2196.2910866897928</v>
      </c>
      <c r="CK9" s="192">
        <f t="array" ref="CK9">IF($BT9=0, INDEX(LS_current!$D$4:$AY$138, MATCH('Staging Table'!$A9, LS_current!$B$4:$B$138, 0), MATCH(CK$4&amp;CK$5, LS_current!$D$2:$AY$2&amp;LS_current!$D$3:$AY$3, 0)),SUM(VLOOKUP($A9, LS_current!$B$4:$AY$138, LS_current!P$148, FALSE), VLOOKUP($A9, LS_current!$B$4:$AY$138,LS_current!AN$148, FALSE))/2)</f>
        <v>-291.29256745715247</v>
      </c>
      <c r="CL9" s="192">
        <f t="array" ref="CL9">IF($BT9=0, INDEX(LS_current!$D$4:$AY$138, MATCH('Staging Table'!$A9, LS_current!$B$4:$B$138, 0), MATCH(CL$4&amp;CL$5, LS_current!$D$2:$AY$2&amp;LS_current!$D$3:$AY$3, 0)),SUM(VLOOKUP($A9, LS_current!$B$4:$AY$138, LS_current!Q$148, FALSE), VLOOKUP($A9, LS_current!$B$4:$AY$138,LS_current!AO$148, FALSE))/2)</f>
        <v>185.16778161254479</v>
      </c>
      <c r="CM9" s="192">
        <f t="array" ref="CM9">IF($BT9=0, INDEX(LS_current!$D$4:$AY$138, MATCH('Staging Table'!$A9, LS_current!$B$4:$B$138, 0), MATCH(CM$4&amp;CM$5, LS_current!$D$2:$AY$2&amp;LS_current!$D$3:$AY$3, 0)),SUM(VLOOKUP($A9, LS_current!$B$4:$AY$138, LS_current!R$148, FALSE), VLOOKUP($A9, LS_current!$B$4:$AY$138,LS_current!AP$148, FALSE))/2)</f>
        <v>-3409.3233270460187</v>
      </c>
      <c r="CN9" s="192">
        <f t="array" ref="CN9">IF($BT9=0, INDEX(LS_current!$D$4:$AY$138, MATCH('Staging Table'!$A9, LS_current!$B$4:$B$138, 0), MATCH(CN$4&amp;CN$5, LS_current!$D$2:$AY$2&amp;LS_current!$D$3:$AY$3, 0)),SUM(VLOOKUP($A9, LS_current!$B$4:$AY$138, LS_current!S$148, FALSE), VLOOKUP($A9, LS_current!$B$4:$AY$138,LS_current!AQ$148, FALSE))/2)</f>
        <v>2879.4224299746529</v>
      </c>
      <c r="CO9" s="192">
        <f t="array" ref="CO9">IF($BT9=0, INDEX(LS_current!$D$4:$AY$138, MATCH('Staging Table'!$A9, LS_current!$B$4:$B$138, 0), MATCH(CO$4&amp;CO$5, LS_current!$D$2:$AY$2&amp;LS_current!$D$3:$AY$3, 0)),SUM(VLOOKUP($A9, LS_current!$B$4:$AY$138, LS_current!T$148, FALSE), VLOOKUP($A9, LS_current!$B$4:$AY$138,LS_current!AR$148, FALSE))/2)</f>
        <v>-3498.6952483566165</v>
      </c>
      <c r="CP9" s="192">
        <f t="array" ref="CP9">IF($BT9=0, INDEX(LS_current!$D$4:$AY$138, MATCH('Staging Table'!$A9, LS_current!$B$4:$B$138, 0), MATCH(CP$4&amp;CP$5, LS_current!$D$2:$AY$2&amp;LS_current!$D$3:$AY$3, 0)),SUM(VLOOKUP($A9, LS_current!$B$4:$AY$138, LS_current!U$148, FALSE), VLOOKUP($A9, LS_current!$B$4:$AY$138,LS_current!AS$148, FALSE))/2)</f>
        <v>7535.7231254265571</v>
      </c>
      <c r="CQ9" s="192">
        <f t="array" ref="CQ9">IF($BT9=0, INDEX(LS_current!$D$4:$AY$138, MATCH('Staging Table'!$A9, LS_current!$B$4:$B$138, 0), MATCH(CQ$4&amp;CQ$5, LS_current!$D$2:$AY$2&amp;LS_current!$D$3:$AY$3, 0)),SUM(VLOOKUP($A9, LS_current!$B$4:$AY$138, LS_current!V$148, FALSE), VLOOKUP($A9, LS_current!$B$4:$AY$138,LS_current!AT$148, FALSE))/2)</f>
        <v>6057.94850842304</v>
      </c>
      <c r="CR9" s="192">
        <f t="array" ref="CR9">IF($BT9=0, INDEX(LS_current!$D$4:$AY$138, MATCH('Staging Table'!$A9, LS_current!$B$4:$B$138, 0), MATCH(CR$4&amp;CR$5, LS_current!$D$2:$AY$2&amp;LS_current!$D$3:$AY$3, 0)),SUM(VLOOKUP($A9, LS_current!$B$4:$AY$138, LS_current!W$148, FALSE), VLOOKUP($A9, LS_current!$B$4:$AY$138,LS_current!AU$148, FALSE))/2)</f>
        <v>8477.5191615372805</v>
      </c>
      <c r="CS9" s="192">
        <f t="array" ref="CS9">IF($BT9=0, INDEX(LS_current!$D$4:$AY$138, MATCH('Staging Table'!$A9, LS_current!$B$4:$B$138, 0), MATCH(CS$4&amp;CS$5, LS_current!$D$2:$AY$2&amp;LS_current!$D$3:$AY$3, 0)),SUM(VLOOKUP($A9, LS_current!$B$4:$AY$138, LS_current!X$148, FALSE), VLOOKUP($A9, LS_current!$B$4:$AY$138,LS_current!AV$148, FALSE))/2)</f>
        <v>4204.1876695888641</v>
      </c>
      <c r="CT9" s="192">
        <f t="array" ref="CT9">IF($BT9=0, INDEX(LS_current!$D$4:$AY$138, MATCH('Staging Table'!$A9, LS_current!$B$4:$B$138, 0), MATCH(CT$4&amp;CT$5, LS_current!$D$2:$AY$2&amp;LS_current!$D$3:$AY$3, 0)),SUM(VLOOKUP($A9, LS_current!$B$4:$AY$138, LS_current!Y$148, FALSE), VLOOKUP($A9, LS_current!$B$4:$AY$138,LS_current!AW$148, FALSE))/2)</f>
        <v>6894.9589532677128</v>
      </c>
      <c r="CU9" s="192">
        <f t="array" ref="CU9">IF($BT9=0, INDEX(LS_current!$D$4:$AY$138, MATCH('Staging Table'!$A9, LS_current!$B$4:$B$138, 0), MATCH(CU$4&amp;CU$5, LS_current!$D$2:$AY$2&amp;LS_current!$D$3:$AY$3, 0)),SUM(VLOOKUP($A9, LS_current!$B$4:$AY$138, LS_current!Z$148, FALSE), VLOOKUP($A9, LS_current!$B$4:$AY$138,LS_current!AX$148, FALSE))/2)</f>
        <v>-853.4458274576682</v>
      </c>
      <c r="CV9" s="192">
        <f t="array" ref="CV9">IF($BT9=0, INDEX(LS_current!$D$4:$AY$138, MATCH('Staging Table'!$A9, LS_current!$B$4:$B$138, 0), MATCH(CV$4&amp;CV$5, LS_current!$D$2:$AY$2&amp;LS_current!$D$3:$AY$3, 0)),SUM(VLOOKUP($A9, LS_current!$B$4:$AY$138, LS_current!AA$148, FALSE), VLOOKUP($A9, LS_current!$B$4:$AY$138,LS_current!AY$148, FALSE))/2)</f>
        <v>4425.6711229021457</v>
      </c>
      <c r="CW9" s="194">
        <f t="array" ref="CW9">INDEX(Demand_current!$D$4:$AY$138, MATCH($A9, Demand_current!$B$4:$B$138, 0), MATCH(CW$4&amp;CW$5,Demand_current!$D$2:$AY$2&amp;Demand_current!$D$3:$AY$3, 0))/1000</f>
        <v>0</v>
      </c>
      <c r="CX9" s="194">
        <f t="array" ref="CX9">INDEX(Demand_current!$D$4:$AY$138, MATCH($A9, Demand_current!$B$4:$B$138, 0), MATCH(CX$4&amp;CX$5,Demand_current!$D$2:$AY$2&amp;Demand_current!$D$3:$AY$3, 0))/1000</f>
        <v>0.72251749999999149</v>
      </c>
      <c r="CY9" s="194">
        <f t="array" ref="CY9">INDEX(Demand_current!$D$4:$AY$138, MATCH($A9, Demand_current!$B$4:$B$138, 0), MATCH(CY$4&amp;CY$5,Demand_current!$D$2:$AY$2&amp;Demand_current!$D$3:$AY$3, 0))/1000</f>
        <v>20.539093750000006</v>
      </c>
      <c r="CZ9" s="194">
        <f t="array" ref="CZ9">INDEX(Demand_current!$D$4:$AY$138, MATCH($A9, Demand_current!$B$4:$B$138, 0), MATCH(CZ$4&amp;CZ$5,Demand_current!$D$2:$AY$2&amp;Demand_current!$D$3:$AY$3, 0))/1000</f>
        <v>6.812794999999995</v>
      </c>
      <c r="DA9" s="194">
        <f t="array" ref="DA9">INDEX(Demand_current!$D$4:$AY$138, MATCH($A9, Demand_current!$B$4:$B$138, 0), MATCH(DA$4&amp;DA$5,Demand_current!$D$2:$AY$2&amp;Demand_current!$D$3:$AY$3, 0))/1000</f>
        <v>6.7161458333345081E-2</v>
      </c>
      <c r="DB9" s="194">
        <f t="array" ref="DB9">INDEX(Demand_current!$D$4:$AY$138, MATCH($A9, Demand_current!$B$4:$B$138, 0), MATCH(DB$4&amp;DB$5,Demand_current!$D$2:$AY$2&amp;Demand_current!$D$3:$AY$3, 0))/1000</f>
        <v>5.8117476851851855</v>
      </c>
      <c r="DC9" s="194">
        <f t="array" ref="DC9">INDEX(Demand_current!$D$4:$AY$138, MATCH($A9, Demand_current!$B$4:$B$138, 0), MATCH(DC$4&amp;DC$5,Demand_current!$D$2:$AY$2&amp;Demand_current!$D$3:$AY$3, 0))/1000</f>
        <v>0</v>
      </c>
      <c r="DD9" s="194">
        <f t="array" ref="DD9">INDEX(Demand_current!$D$4:$AY$138, MATCH($A9, Demand_current!$B$4:$B$138, 0), MATCH(DD$4&amp;DD$5,Demand_current!$D$2:$AY$2&amp;Demand_current!$D$3:$AY$3, 0))/1000</f>
        <v>0.95992000000000399</v>
      </c>
      <c r="DE9" s="194">
        <f t="array" ref="DE9">INDEX(Demand_current!$D$4:$AY$138, MATCH($A9, Demand_current!$B$4:$B$138, 0), MATCH(DE$4&amp;DE$5,Demand_current!$D$2:$AY$2&amp;Demand_current!$D$3:$AY$3, 0))/1000</f>
        <v>14.013379807692308</v>
      </c>
      <c r="DF9" s="194">
        <f t="array" ref="DF9">INDEX(Demand_current!$D$4:$AY$138, MATCH($A9, Demand_current!$B$4:$B$138, 0), MATCH(DF$4&amp;DF$5,Demand_current!$D$2:$AY$2&amp;Demand_current!$D$3:$AY$3, 0))/1000</f>
        <v>13.742362499999993</v>
      </c>
      <c r="DG9" s="194">
        <f t="array" ref="DG9">INDEX(Demand_current!$D$4:$AY$138, MATCH($A9, Demand_current!$B$4:$B$138, 0), MATCH(DG$4&amp;DG$5,Demand_current!$D$2:$AY$2&amp;Demand_current!$D$3:$AY$3, 0))/1000</f>
        <v>21.362238425925923</v>
      </c>
      <c r="DH9" s="194">
        <f t="array" ref="DH9">INDEX(Demand_current!$D$4:$AY$138, MATCH($A9, Demand_current!$B$4:$B$138, 0), MATCH(DH$4&amp;DH$5,Demand_current!$D$2:$AY$2&amp;Demand_current!$D$3:$AY$3, 0))/1000</f>
        <v>11.509267499999998</v>
      </c>
      <c r="DI9" s="192">
        <f>$BS9*(VLOOKUP(DI$4, Rates_current!$G$6:$Q$29, 10, FALSE)+VLOOKUP(DI$4, Rates_current!$G$6:$Q$29, 11, FALSE))</f>
        <v>38471.553506605829</v>
      </c>
      <c r="DJ9" s="192">
        <f>$BS9*(VLOOKUP(DJ$4, Rates_current!$G$6:$Q$29, 10, FALSE)+VLOOKUP(DJ$4, Rates_current!$G$6:$Q$29, 11, FALSE))</f>
        <v>48706.382968121485</v>
      </c>
      <c r="DK9" s="192">
        <f>$BS9*(VLOOKUP(DK$4, Rates_current!$G$6:$Q$29, 10, FALSE)+VLOOKUP(DK$4, Rates_current!$G$6:$Q$29, 11, FALSE))</f>
        <v>47673.818207972363</v>
      </c>
      <c r="DL9" s="192">
        <f>$BS9*(VLOOKUP(DL$4, Rates_current!$G$6:$Q$29, 10, FALSE)+VLOOKUP(DL$4, Rates_current!$G$6:$Q$29, 11, FALSE))</f>
        <v>39376.54651820314</v>
      </c>
      <c r="DM9" s="192">
        <f>$BS9*(VLOOKUP(DM$4, Rates_current!$G$6:$Q$29, 10, FALSE)+VLOOKUP(DM$4, Rates_current!$G$6:$Q$29, 11, FALSE))</f>
        <v>34128.515886571389</v>
      </c>
      <c r="DN9" s="192">
        <f>$BS9*(VLOOKUP(DN$4, Rates_current!$G$6:$Q$29, 10, FALSE)+VLOOKUP(DN$4, Rates_current!$G$6:$Q$29, 11, FALSE))</f>
        <v>40742.556081769348</v>
      </c>
      <c r="DO9" s="192">
        <f>$BS9*(VLOOKUP(DO$4, Rates_current!$G$6:$Q$29, 10, FALSE)+VLOOKUP(DO$4, Rates_current!$G$6:$Q$29, 11, FALSE))</f>
        <v>31631.17078584461</v>
      </c>
      <c r="DP9" s="192">
        <f>$BS9*(VLOOKUP(DP$4, Rates_current!$G$6:$Q$29, 10, FALSE)+VLOOKUP(DP$4, Rates_current!$G$6:$Q$29, 11, FALSE))</f>
        <v>43825.219897071365</v>
      </c>
      <c r="DQ9" s="192">
        <f>$BS9*(VLOOKUP(DQ$4, Rates_current!$G$6:$Q$29, 10, FALSE)+VLOOKUP(DQ$4, Rates_current!$G$6:$Q$29, 11, FALSE))</f>
        <v>46828.165122930048</v>
      </c>
      <c r="DR9" s="192">
        <f>$BS9*(VLOOKUP(DR$4, Rates_current!$G$6:$Q$29, 10, FALSE)+VLOOKUP(DR$4, Rates_current!$G$6:$Q$29, 11, FALSE))</f>
        <v>44461.222330039687</v>
      </c>
      <c r="DS9" s="192">
        <f>$BS9*(VLOOKUP(DS$4, Rates_current!$G$6:$Q$29, 10, FALSE)+VLOOKUP(DS$4, Rates_current!$G$6:$Q$29, 11, FALSE))</f>
        <v>42968.341377143421</v>
      </c>
      <c r="DT9" s="192">
        <f>$BS9*(VLOOKUP(DT$4, Rates_current!$G$6:$Q$29, 10, FALSE)+VLOOKUP(DT$4, Rates_current!$G$6:$Q$29, 11, FALSE))</f>
        <v>39707.226704555527</v>
      </c>
      <c r="DU9" s="418">
        <f>IF(D9=0,IF(C9=0,MAX(0,DW9 - (VLOOKUP($A9,TOCA_current!$A$2:$AI$137,MATCH("RHWM 2022",TOCA_current!$A$2:$AI$2,0),FALSE)*$BS$2)), 0),0)</f>
        <v>3062.332501491881</v>
      </c>
      <c r="DV9" s="419">
        <f>MIN(VLOOKUP($A9,TOCA_current!$A$2:$AI$137,MATCH("TRL - NLSL - Existing Resource "&amp;$BS$1,TOCA_current!$A$2:$AI$2,0),FALSE)*$BS$2, VLOOKUP($A9,TOCA_current!$A$2:$AI$137,MATCH("RHWM 2022",TOCA_current!$A$2:$AI$2,0),FALSE)*$BS$2)</f>
        <v>498522.83999999997</v>
      </c>
      <c r="DW9" s="419">
        <f>SUM(BY9:CV9)+(BS9*RT1SC!$C$4*$BS$2)</f>
        <v>501585.17250149185</v>
      </c>
      <c r="DX9" s="419">
        <f>VLOOKUP($A9,TOCA_current!$A$2:$AI$137,MATCH("Above RHWM Not Served with LS "&amp;$BS$1,TOCA_current!$A$2:$AI$2,0),FALSE)*$BS$2</f>
        <v>85471.319999999992</v>
      </c>
      <c r="DY9" s="419">
        <f t="shared" si="13"/>
        <v>3062.332501491881</v>
      </c>
      <c r="DZ9" s="419">
        <f>(VLOOKUP($A9,TOCA_current!$A$2:$AI$137,MATCH("RHWM 2022",TOCA_current!$A$2:$AI$2,0),FALSE)*$BS$2) - $DV9</f>
        <v>0</v>
      </c>
      <c r="EA9" s="419">
        <f t="shared" si="14"/>
        <v>0</v>
      </c>
      <c r="EB9" s="419">
        <f t="shared" si="15"/>
        <v>0</v>
      </c>
      <c r="EC9" s="419">
        <f t="shared" si="16"/>
        <v>0</v>
      </c>
      <c r="ED9" s="419">
        <f t="shared" si="17"/>
        <v>0</v>
      </c>
    </row>
    <row r="10" spans="1:134">
      <c r="A10" s="135">
        <v>10027</v>
      </c>
      <c r="B10" s="136" t="s">
        <v>11</v>
      </c>
      <c r="C10" s="244">
        <f>VLOOKUP(A10, TOCA_current!$A$3:$D$137, 4, FALSE)</f>
        <v>0</v>
      </c>
      <c r="D10" s="203">
        <v>0</v>
      </c>
      <c r="E10" s="119">
        <f>VLOOKUP($A10,TOCA_previous!$A$2:$AI$137,MATCH(E$4,TOCA_previous!$A$2:$AI$2,0),FALSE)</f>
        <v>8.6654000000000002E-3</v>
      </c>
      <c r="F10" s="120">
        <f>VLOOKUP($A10,TOCA_previous!$A$2:$AI$137,MATCH(F$4,TOCA_previous!$A$2:$AI$2,0),FALSE)</f>
        <v>8.6654000000000002E-3</v>
      </c>
      <c r="G10" s="120">
        <f t="shared" si="5"/>
        <v>0</v>
      </c>
      <c r="H10" s="120">
        <f>VLOOKUP($A10,TOCA_previous!$A$2:$AI$137,MATCH(H$4,TOCA_previous!$A$2:$AI$2,0),FALSE)</f>
        <v>7.4978314440611149E-2</v>
      </c>
      <c r="I10" s="120">
        <f t="shared" si="6"/>
        <v>0</v>
      </c>
      <c r="J10" s="120">
        <f t="shared" si="7"/>
        <v>0</v>
      </c>
      <c r="K10" s="191">
        <f>VLOOKUP(A10, IRD!$A$5:$C$139, 3, FALSE)</f>
        <v>209669.54</v>
      </c>
      <c r="L10" s="192">
        <f t="array" ref="L10">IF($G10=0, INDEX(LS_previous!$D$4:$AY$138, MATCH('Staging Table'!$A10, LS_previous!$B$4:$B$138, 0), MATCH(L$4&amp;L$5, LS_previous!$D$2:$AY$2&amp;LS_previous!$D$3:$AY$3, 0)),SUM(VLOOKUP($A10, LS_previous!$B$4:$AY$138, LS_previous!D$149, FALSE), VLOOKUP('Staging Table'!$A10, LS_previous!$B$4:$AY$138,LS_previous!AB$149, FALSE))/2)</f>
        <v>-4328.8192131752003</v>
      </c>
      <c r="M10" s="192">
        <f t="array" ref="M10">IF($G10=0, INDEX(LS_previous!$D$4:$AY$138, MATCH('Staging Table'!$A10, LS_previous!$B$4:$B$138, 0), MATCH(M$4&amp;M$5, LS_previous!$D$2:$AY$2&amp;LS_previous!$D$3:$AY$3, 0)),SUM(VLOOKUP($A10, LS_previous!$B$4:$AY$138, LS_previous!E$149, FALSE), VLOOKUP('Staging Table'!$A10, LS_previous!$B$4:$AY$138,LS_previous!AC$149, FALSE))/2)</f>
        <v>731.78978295680099</v>
      </c>
      <c r="N10" s="192">
        <f t="array" ref="N10">IF($G10=0, INDEX(LS_previous!$D$4:$AY$138, MATCH('Staging Table'!$A10, LS_previous!$B$4:$B$138, 0), MATCH(N$4&amp;N$5, LS_previous!$D$2:$AY$2&amp;LS_previous!$D$3:$AY$3, 0)),SUM(VLOOKUP($A10, LS_previous!$B$4:$AY$138, LS_previous!F$149, FALSE), VLOOKUP('Staging Table'!$A10, LS_previous!$B$4:$AY$138,LS_previous!AD$149, FALSE))/2)</f>
        <v>-18041.3255771312</v>
      </c>
      <c r="O10" s="192">
        <f t="array" ref="O10">IF($G10=0, INDEX(LS_previous!$D$4:$AY$138, MATCH('Staging Table'!$A10, LS_previous!$B$4:$B$138, 0), MATCH(O$4&amp;O$5, LS_previous!$D$2:$AY$2&amp;LS_previous!$D$3:$AY$3, 0)),SUM(VLOOKUP($A10, LS_previous!$B$4:$AY$138, LS_previous!G$149, FALSE), VLOOKUP('Staging Table'!$A10, LS_previous!$B$4:$AY$138,LS_previous!AE$149, FALSE))/2)</f>
        <v>-8828.8056120994006</v>
      </c>
      <c r="P10" s="192">
        <f t="array" ref="P10">IF($G10=0, INDEX(LS_previous!$D$4:$AY$138, MATCH('Staging Table'!$A10, LS_previous!$B$4:$B$138, 0), MATCH(P$4&amp;P$5, LS_previous!$D$2:$AY$2&amp;LS_previous!$D$3:$AY$3, 0)),SUM(VLOOKUP($A10, LS_previous!$B$4:$AY$138, LS_previous!H$149, FALSE), VLOOKUP('Staging Table'!$A10, LS_previous!$B$4:$AY$138,LS_previous!AF$149, FALSE))/2)</f>
        <v>-14325.033445548801</v>
      </c>
      <c r="Q10" s="192">
        <f t="array" ref="Q10">IF($G10=0, INDEX(LS_previous!$D$4:$AY$138, MATCH('Staging Table'!$A10, LS_previous!$B$4:$B$138, 0), MATCH(Q$4&amp;Q$5, LS_previous!$D$2:$AY$2&amp;LS_previous!$D$3:$AY$3, 0)),SUM(VLOOKUP($A10, LS_previous!$B$4:$AY$138, LS_previous!I$149, FALSE), VLOOKUP('Staging Table'!$A10, LS_previous!$B$4:$AY$138,LS_previous!AG$149, FALSE))/2)</f>
        <v>-6763.0440928696025</v>
      </c>
      <c r="R10" s="192">
        <f t="array" ref="R10">IF($G10=0, INDEX(LS_previous!$D$4:$AY$138, MATCH('Staging Table'!$A10, LS_previous!$B$4:$B$138, 0), MATCH(R$4&amp;R$5, LS_previous!$D$2:$AY$2&amp;LS_previous!$D$3:$AY$3, 0)),SUM(VLOOKUP($A10, LS_previous!$B$4:$AY$138, LS_previous!J$149, FALSE), VLOOKUP('Staging Table'!$A10, LS_previous!$B$4:$AY$138,LS_previous!AH$149, FALSE))/2)</f>
        <v>-9632.8277551488027</v>
      </c>
      <c r="S10" s="192">
        <f t="array" ref="S10">IF($G10=0, INDEX(LS_previous!$D$4:$AY$138, MATCH('Staging Table'!$A10, LS_previous!$B$4:$B$138, 0), MATCH(S$4&amp;S$5, LS_previous!$D$2:$AY$2&amp;LS_previous!$D$3:$AY$3, 0)),SUM(VLOOKUP($A10, LS_previous!$B$4:$AY$138, LS_previous!K$149, FALSE), VLOOKUP('Staging Table'!$A10, LS_previous!$B$4:$AY$138,LS_previous!AI$149, FALSE))/2)</f>
        <v>-3372.7890840696</v>
      </c>
      <c r="T10" s="192">
        <f t="array" ref="T10">IF($G10=0, INDEX(LS_previous!$D$4:$AY$138, MATCH('Staging Table'!$A10, LS_previous!$B$4:$B$138, 0), MATCH(T$4&amp;T$5, LS_previous!$D$2:$AY$2&amp;LS_previous!$D$3:$AY$3, 0)),SUM(VLOOKUP($A10, LS_previous!$B$4:$AY$138, LS_previous!L$149, FALSE), VLOOKUP('Staging Table'!$A10, LS_previous!$B$4:$AY$138,LS_previous!AJ$149, FALSE))/2)</f>
        <v>-10177.543318309597</v>
      </c>
      <c r="U10" s="192">
        <f t="array" ref="U10">IF($G10=0, INDEX(LS_previous!$D$4:$AY$138, MATCH('Staging Table'!$A10, LS_previous!$B$4:$B$138, 0), MATCH(U$4&amp;U$5, LS_previous!$D$2:$AY$2&amp;LS_previous!$D$3:$AY$3, 0)),SUM(VLOOKUP($A10, LS_previous!$B$4:$AY$138, LS_previous!M$149, FALSE), VLOOKUP('Staging Table'!$A10, LS_previous!$B$4:$AY$138,LS_previous!AK$149, FALSE))/2)</f>
        <v>-4468.2995004103996</v>
      </c>
      <c r="V10" s="192">
        <f t="array" ref="V10">IF($G10=0, INDEX(LS_previous!$D$4:$AY$138, MATCH('Staging Table'!$A10, LS_previous!$B$4:$B$138, 0), MATCH(V$4&amp;V$5, LS_previous!$D$2:$AY$2&amp;LS_previous!$D$3:$AY$3, 0)),SUM(VLOOKUP($A10, LS_previous!$B$4:$AY$138, LS_previous!N$149, FALSE), VLOOKUP('Staging Table'!$A10, LS_previous!$B$4:$AY$138,LS_previous!AL$149, FALSE))/2)</f>
        <v>-14086.404253166396</v>
      </c>
      <c r="W10" s="192">
        <f t="array" ref="W10">IF($G10=0, INDEX(LS_previous!$D$4:$AY$138, MATCH('Staging Table'!$A10, LS_previous!$B$4:$B$138, 0), MATCH(W$4&amp;W$5, LS_previous!$D$2:$AY$2&amp;LS_previous!$D$3:$AY$3, 0)),SUM(VLOOKUP($A10, LS_previous!$B$4:$AY$138, LS_previous!O$149, FALSE), VLOOKUP('Staging Table'!$A10, LS_previous!$B$4:$AY$138,LS_previous!AM$149, FALSE))/2)</f>
        <v>-7038.8815713134009</v>
      </c>
      <c r="X10" s="192">
        <f t="array" ref="X10">IF($G10=0, INDEX(LS_previous!$D$4:$AY$138, MATCH('Staging Table'!$A10, LS_previous!$B$4:$B$138, 0), MATCH(X$4&amp;X$5, LS_previous!$D$2:$AY$2&amp;LS_previous!$D$3:$AY$3, 0)),SUM(VLOOKUP($A10, LS_previous!$B$4:$AY$138, LS_previous!P$149, FALSE), VLOOKUP('Staging Table'!$A10, LS_previous!$B$4:$AY$138,LS_previous!AN$149, FALSE))/2)</f>
        <v>-3518.0352406575985</v>
      </c>
      <c r="Y10" s="192">
        <f t="array" ref="Y10">IF($G10=0, INDEX(LS_previous!$D$4:$AY$138, MATCH('Staging Table'!$A10, LS_previous!$B$4:$B$138, 0), MATCH(Y$4&amp;Y$5, LS_previous!$D$2:$AY$2&amp;LS_previous!$D$3:$AY$3, 0)),SUM(VLOOKUP($A10, LS_previous!$B$4:$AY$138, LS_previous!Q$149, FALSE), VLOOKUP('Staging Table'!$A10, LS_previous!$B$4:$AY$138,LS_previous!AO$149, FALSE))/2)</f>
        <v>-783.55539993440107</v>
      </c>
      <c r="Z10" s="192">
        <f t="array" ref="Z10">IF($G10=0, INDEX(LS_previous!$D$4:$AY$138, MATCH('Staging Table'!$A10, LS_previous!$B$4:$B$138, 0), MATCH(Z$4&amp;Z$5, LS_previous!$D$2:$AY$2&amp;LS_previous!$D$3:$AY$3, 0)),SUM(VLOOKUP($A10, LS_previous!$B$4:$AY$138, LS_previous!R$149, FALSE), VLOOKUP('Staging Table'!$A10, LS_previous!$B$4:$AY$138,LS_previous!AP$149, FALSE))/2)</f>
        <v>5646.5220436599957</v>
      </c>
      <c r="AA10" s="192">
        <f t="array" ref="AA10">IF($G10=0, INDEX(LS_previous!$D$4:$AY$138, MATCH('Staging Table'!$A10, LS_previous!$B$4:$B$138, 0), MATCH(AA$4&amp;AA$5, LS_previous!$D$2:$AY$2&amp;LS_previous!$D$3:$AY$3, 0)),SUM(VLOOKUP($A10, LS_previous!$B$4:$AY$138, LS_previous!S$149, FALSE), VLOOKUP('Staging Table'!$A10, LS_previous!$B$4:$AY$138,LS_previous!AQ$149, FALSE))/2)</f>
        <v>10450.754161421601</v>
      </c>
      <c r="AB10" s="192">
        <f t="array" ref="AB10">IF($G10=0, INDEX(LS_previous!$D$4:$AY$138, MATCH('Staging Table'!$A10, LS_previous!$B$4:$B$138, 0), MATCH(AB$4&amp;AB$5, LS_previous!$D$2:$AY$2&amp;LS_previous!$D$3:$AY$3, 0)),SUM(VLOOKUP($A10, LS_previous!$B$4:$AY$138, LS_previous!T$149, FALSE), VLOOKUP('Staging Table'!$A10, LS_previous!$B$4:$AY$138,LS_previous!AR$149, FALSE))/2)</f>
        <v>9369.4233224424024</v>
      </c>
      <c r="AC10" s="192">
        <f t="array" ref="AC10">IF($G10=0, INDEX(LS_previous!$D$4:$AY$138, MATCH('Staging Table'!$A10, LS_previous!$B$4:$B$138, 0), MATCH(AC$4&amp;AC$5, LS_previous!$D$2:$AY$2&amp;LS_previous!$D$3:$AY$3, 0)),SUM(VLOOKUP($A10, LS_previous!$B$4:$AY$138, LS_previous!U$149, FALSE), VLOOKUP('Staging Table'!$A10, LS_previous!$B$4:$AY$138,LS_previous!AS$149, FALSE))/2)</f>
        <v>12203.212695665599</v>
      </c>
      <c r="AD10" s="192">
        <f t="array" ref="AD10">IF($G10=0, INDEX(LS_previous!$D$4:$AY$138, MATCH('Staging Table'!$A10, LS_previous!$B$4:$B$138, 0), MATCH(AD$4&amp;AD$5, LS_previous!$D$2:$AY$2&amp;LS_previous!$D$3:$AY$3, 0)),SUM(VLOOKUP($A10, LS_previous!$B$4:$AY$138, LS_previous!V$149, FALSE), VLOOKUP('Staging Table'!$A10, LS_previous!$B$4:$AY$138,LS_previous!AT$149, FALSE))/2)</f>
        <v>14974.409615442401</v>
      </c>
      <c r="AE10" s="192">
        <f t="array" ref="AE10">IF($G10=0, INDEX(LS_previous!$D$4:$AY$138, MATCH('Staging Table'!$A10, LS_previous!$B$4:$B$138, 0), MATCH(AE$4&amp;AE$5, LS_previous!$D$2:$AY$2&amp;LS_previous!$D$3:$AY$3, 0)),SUM(VLOOKUP($A10, LS_previous!$B$4:$AY$138, LS_previous!W$149, FALSE), VLOOKUP('Staging Table'!$A10, LS_previous!$B$4:$AY$138,LS_previous!AU$149, FALSE))/2)</f>
        <v>20798.708768739205</v>
      </c>
      <c r="AF10" s="192">
        <f t="array" ref="AF10">IF($G10=0, INDEX(LS_previous!$D$4:$AY$138, MATCH('Staging Table'!$A10, LS_previous!$B$4:$B$138, 0), MATCH(AF$4&amp;AF$5, LS_previous!$D$2:$AY$2&amp;LS_previous!$D$3:$AY$3, 0)),SUM(VLOOKUP($A10, LS_previous!$B$4:$AY$138, LS_previous!X$149, FALSE), VLOOKUP('Staging Table'!$A10, LS_previous!$B$4:$AY$138,LS_previous!AV$149, FALSE))/2)</f>
        <v>11516.056718142401</v>
      </c>
      <c r="AG10" s="192">
        <f t="array" ref="AG10">IF($G10=0, INDEX(LS_previous!$D$4:$AY$138, MATCH('Staging Table'!$A10, LS_previous!$B$4:$B$138, 0), MATCH(AG$4&amp;AG$5, LS_previous!$D$2:$AY$2&amp;LS_previous!$D$3:$AY$3, 0)),SUM(VLOOKUP($A10, LS_previous!$B$4:$AY$138, LS_previous!Y$149, FALSE), VLOOKUP('Staging Table'!$A10, LS_previous!$B$4:$AY$138,LS_previous!AW$149, FALSE))/2)</f>
        <v>14303.3145767392</v>
      </c>
      <c r="AH10" s="192">
        <f t="array" ref="AH10">IF($G10=0, INDEX(LS_previous!$D$4:$AY$138, MATCH('Staging Table'!$A10, LS_previous!$B$4:$B$138, 0), MATCH(AH$4&amp;AH$5, LS_previous!$D$2:$AY$2&amp;LS_previous!$D$3:$AY$3, 0)),SUM(VLOOKUP($A10, LS_previous!$B$4:$AY$138, LS_previous!Z$149, FALSE), VLOOKUP('Staging Table'!$A10, LS_previous!$B$4:$AY$138,LS_previous!AX$149, FALSE))/2)</f>
        <v>4696.2934217599977</v>
      </c>
      <c r="AI10" s="192">
        <f t="array" ref="AI10">IF($G10=0, INDEX(LS_previous!$D$4:$AY$138, MATCH('Staging Table'!$A10, LS_previous!$B$4:$B$138, 0), MATCH(AI$4&amp;AI$5, LS_previous!$D$2:$AY$2&amp;LS_previous!$D$3:$AY$3, 0)),SUM(VLOOKUP($A10, LS_previous!$B$4:$AY$138, LS_previous!AA$149, FALSE), VLOOKUP('Staging Table'!$A10, LS_previous!$B$4:$AY$138,LS_previous!AY$149, FALSE))/2)</f>
        <v>8493.7120202480019</v>
      </c>
      <c r="AJ10" s="314">
        <f t="array" ref="AJ10">INDEX(Demand_previous!$D$4:$AY$138, MATCH('Staging Table'!$A10, Demand_previous!$B$4:$B$138, 0), MATCH(AJ$4&amp;AJ$5,Demand_previous!$D$2:$AY$2&amp;Demand_previous!$D$3:$AY$3, 0))/1000</f>
        <v>13.569185185185191</v>
      </c>
      <c r="AK10" s="314">
        <f t="array" ref="AK10">INDEX(Demand_previous!$D$4:$AY$138, MATCH('Staging Table'!$A10, Demand_previous!$B$4:$B$138, 0), MATCH(AK$4&amp;AK$5,Demand_previous!$D$2:$AY$2&amp;Demand_previous!$D$3:$AY$3, 0))/1000</f>
        <v>5.5356624999999973</v>
      </c>
      <c r="AL10" s="314">
        <f t="array" ref="AL10">INDEX(Demand_previous!$D$4:$AY$138, MATCH('Staging Table'!$A10, Demand_previous!$B$4:$B$138, 0), MATCH(AL$4&amp;AL$5,Demand_previous!$D$2:$AY$2&amp;Demand_previous!$D$3:$AY$3, 0))/1000</f>
        <v>8.6174174999999984</v>
      </c>
      <c r="AM10" s="314">
        <f t="array" ref="AM10">INDEX(Demand_previous!$D$4:$AY$138, MATCH('Staging Table'!$A10, Demand_previous!$B$4:$B$138, 0), MATCH(AM$4&amp;AM$5,Demand_previous!$D$2:$AY$2&amp;Demand_previous!$D$3:$AY$3, 0))/1000</f>
        <v>6.0588149038461516</v>
      </c>
      <c r="AN10" s="314">
        <f t="array" ref="AN10">INDEX(Demand_previous!$D$4:$AY$138, MATCH('Staging Table'!$A10, Demand_previous!$B$4:$B$138, 0), MATCH(AN$4&amp;AN$5,Demand_previous!$D$2:$AY$2&amp;Demand_previous!$D$3:$AY$3, 0))/1000</f>
        <v>4.2666625000000025</v>
      </c>
      <c r="AO10" s="314">
        <f t="array" ref="AO10">INDEX(Demand_previous!$D$4:$AY$138, MATCH('Staging Table'!$A10, Demand_previous!$B$4:$B$138, 0), MATCH(AO$4&amp;AO$5,Demand_previous!$D$2:$AY$2&amp;Demand_previous!$D$3:$AY$3, 0))/1000</f>
        <v>7.7122668269230772</v>
      </c>
      <c r="AP10" s="314">
        <f t="array" ref="AP10">INDEX(Demand_previous!$D$4:$AY$138, MATCH('Staging Table'!$A10, Demand_previous!$B$4:$B$138, 0), MATCH(AP$4&amp;AP$5,Demand_previous!$D$2:$AY$2&amp;Demand_previous!$D$3:$AY$3, 0))/1000</f>
        <v>28.010725961538459</v>
      </c>
      <c r="AQ10" s="314">
        <f t="array" ref="AQ10">INDEX(Demand_previous!$D$4:$AY$138, MATCH('Staging Table'!$A10, Demand_previous!$B$4:$B$138, 0), MATCH(AQ$4&amp;AQ$5,Demand_previous!$D$2:$AY$2&amp;Demand_previous!$D$3:$AY$3, 0))/1000</f>
        <v>8.8507900000000106</v>
      </c>
      <c r="AR10" s="314">
        <f t="array" ref="AR10">INDEX(Demand_previous!$D$4:$AY$138, MATCH('Staging Table'!$A10, Demand_previous!$B$4:$B$138, 0), MATCH(AR$4&amp;AR$5,Demand_previous!$D$2:$AY$2&amp;Demand_previous!$D$3:$AY$3, 0))/1000</f>
        <v>7.0606514423076767</v>
      </c>
      <c r="AS10" s="314">
        <f t="array" ref="AS10">INDEX(Demand_previous!$D$4:$AY$138, MATCH('Staging Table'!$A10, Demand_previous!$B$4:$B$138, 0), MATCH(AS$4&amp;AS$5,Demand_previous!$D$2:$AY$2&amp;Demand_previous!$D$3:$AY$3, 0))/1000</f>
        <v>14.970836538461533</v>
      </c>
      <c r="AT10" s="314">
        <f t="array" ref="AT10">INDEX(Demand_previous!$D$4:$AY$138, MATCH('Staging Table'!$A10, Demand_previous!$B$4:$B$138, 0), MATCH(AT$4&amp;AT$5,Demand_previous!$D$2:$AY$2&amp;Demand_previous!$D$3:$AY$3, 0))/1000</f>
        <v>19.687644230769219</v>
      </c>
      <c r="AU10" s="314">
        <f t="array" ref="AU10">INDEX(Demand_previous!$D$4:$AY$138, MATCH('Staging Table'!$A10, Demand_previous!$B$4:$B$138, 0), MATCH(AU$4&amp;AU$5,Demand_previous!$D$2:$AY$2&amp;Demand_previous!$D$3:$AY$3, 0))/1000</f>
        <v>13.855057500000013</v>
      </c>
      <c r="AV10" s="192">
        <f>$F10*(VLOOKUP(AV$4, Rates_previous!$G$6:$Q$29, 10, FALSE)+VLOOKUP(AV$4, Rates_previous!$G$6:$Q$29, 11, FALSE))</f>
        <v>40010.900430218397</v>
      </c>
      <c r="AW10" s="192">
        <f>$F10*(VLOOKUP(AW$4, Rates_previous!$G$6:$Q$29, 10, FALSE)+VLOOKUP(AW$4, Rates_previous!$G$6:$Q$29, 11, FALSE))</f>
        <v>50826.3251892306</v>
      </c>
      <c r="AX10" s="192">
        <f>$F10*(VLOOKUP(AX$4, Rates_previous!$G$6:$Q$29, 10, FALSE)+VLOOKUP(AX$4, Rates_previous!$G$6:$Q$29, 11, FALSE))</f>
        <v>50212.528538418403</v>
      </c>
      <c r="AY10" s="192">
        <f>$F10*(VLOOKUP(AY$4, Rates_previous!$G$6:$Q$29, 10, FALSE)+VLOOKUP(AY$4, Rates_previous!$G$6:$Q$29, 11, FALSE))</f>
        <v>41855.200839218407</v>
      </c>
      <c r="AZ10" s="192">
        <f>$F10*(VLOOKUP(AZ$4, Rates_previous!$G$6:$Q$29, 10, FALSE)+VLOOKUP(AZ$4, Rates_previous!$G$6:$Q$29, 11, FALSE))</f>
        <v>37916.469818719997</v>
      </c>
      <c r="BA10" s="192">
        <f>$F10*(VLOOKUP(BA$4, Rates_previous!$G$6:$Q$29, 10, FALSE)+VLOOKUP(BA$4, Rates_previous!$G$6:$Q$29, 11, FALSE))</f>
        <v>42175.159824479801</v>
      </c>
      <c r="BB10" s="192">
        <f>$F10*(VLOOKUP(BB$4, Rates_previous!$G$6:$Q$29, 10, FALSE)+VLOOKUP(BB$4, Rates_previous!$G$6:$Q$29, 11, FALSE))</f>
        <v>34339.060640591997</v>
      </c>
      <c r="BC10" s="192">
        <f>$F10*(VLOOKUP(BC$4, Rates_previous!$G$6:$Q$29, 10, FALSE)+VLOOKUP(BC$4, Rates_previous!$G$6:$Q$29, 11, FALSE))</f>
        <v>46311.343794918408</v>
      </c>
      <c r="BD10" s="192">
        <f>$F10*(VLOOKUP(BD$4, Rates_previous!$G$6:$Q$29, 10, FALSE)+VLOOKUP(BD$4, Rates_previous!$G$6:$Q$29, 11, FALSE))</f>
        <v>59090.124981892004</v>
      </c>
      <c r="BE10" s="192">
        <f>$F10*(VLOOKUP(BE$4, Rates_previous!$G$6:$Q$29, 10, FALSE)+VLOOKUP(BE$4, Rates_previous!$G$6:$Q$29, 11, FALSE))</f>
        <v>46328.531615818407</v>
      </c>
      <c r="BF10" s="192">
        <f>$F10*(VLOOKUP(BF$4, Rates_previous!$G$6:$Q$29, 10, FALSE)+VLOOKUP(BF$4, Rates_previous!$G$6:$Q$29, 11, FALSE))</f>
        <v>45114.764705118403</v>
      </c>
      <c r="BG10" s="192">
        <f>$F10*(VLOOKUP(BG$4, Rates_previous!$G$6:$Q$29, 10, FALSE)+VLOOKUP(BG$4, Rates_previous!$G$6:$Q$29, 11, FALSE))</f>
        <v>40503.461557992006</v>
      </c>
      <c r="BH10" s="314">
        <f>IF($D10=0,IF(C10=0, MAX(BJ10 - (VLOOKUP($A10,TOCA_previous!$A$2:$AI$137,MATCH("RHWM 2020",TOCA_previous!$A$2:$AI$2,0),FALSE)*$F$2*TOCA_previous!C7),0),0), 0)</f>
        <v>7820.6450690664351</v>
      </c>
      <c r="BI10" s="204">
        <f>MIN(VLOOKUP($A10,TOCA_previous!$A$2:$AI$137,MATCH("TRL - NLSL - Existing Resource "&amp;$F$1,TOCA_previous!$A$2:$AI$2,0),FALSE)*$F$2,(VLOOKUP($A10,TOCA_previous!$A$2:$AI$137,MATCH("RHWM 2020",TOCA_previous!$A$2:$AI$2,0),FALSE)*$F$2))</f>
        <v>534682.07999999996</v>
      </c>
      <c r="BJ10" s="418">
        <f>SUM(L10:AI10)+(F10*RT1SC!$C$3*$F$2)</f>
        <v>542502.72506906639</v>
      </c>
      <c r="BK10" s="417">
        <f>VLOOKUP($A10,TOCA_previous!$A$2:$AI$137,MATCH("Above RHWM Not Served with LS "&amp;$F$1,TOCA_previous!$A$2:$AI$2,0),FALSE)*$F$2</f>
        <v>38025.935999999994</v>
      </c>
      <c r="BL10" s="418">
        <f t="shared" si="8"/>
        <v>7820.6450690664351</v>
      </c>
      <c r="BM10" s="417">
        <f>(VLOOKUP($A10,TOCA_previous!$A$2:$AI$137,MATCH("RHWM 2020",TOCA_previous!$A$2:$AI$2,0),FALSE)*$F$2) - $BI10</f>
        <v>0</v>
      </c>
      <c r="BN10" s="418">
        <f t="shared" si="9"/>
        <v>0</v>
      </c>
      <c r="BO10" s="417">
        <f t="shared" si="10"/>
        <v>0</v>
      </c>
      <c r="BP10" s="418">
        <f t="shared" si="11"/>
        <v>0</v>
      </c>
      <c r="BQ10" s="417">
        <f t="shared" si="2"/>
        <v>0</v>
      </c>
      <c r="BR10" s="120">
        <f>VLOOKUP($A10,TOCA_current!$A$2:$AI$137,MATCH(BR$4,TOCA_current!$A$2:$AI$2,0),FALSE)</f>
        <v>8.6654000000000002E-3</v>
      </c>
      <c r="BS10" s="120">
        <f>VLOOKUP($A10,TOCA_current!$A$2:$AI$137,MATCH(BS$4,TOCA_current!$A$2:$AI$2,0),FALSE)</f>
        <v>8.6654000000000002E-3</v>
      </c>
      <c r="BT10" s="201">
        <f t="shared" si="12"/>
        <v>0</v>
      </c>
      <c r="BU10" s="120">
        <f>VLOOKUP($A10,TOCA_current!A6:BG141,MATCH(BU$4,TOCA_current!$A$2:$BG$2,0),FALSE)</f>
        <v>7.9469960426909708E-2</v>
      </c>
      <c r="BV10" s="120">
        <f t="shared" si="3"/>
        <v>0</v>
      </c>
      <c r="BW10" s="120">
        <f t="shared" si="4"/>
        <v>0</v>
      </c>
      <c r="BX10" s="191">
        <f>VLOOKUP($A10,IRD!$A$4:$G$139, 7, FALSE)</f>
        <v>209669.54</v>
      </c>
      <c r="BY10" s="192">
        <f t="array" ref="BY10">IF($BT10=0, INDEX(LS_current!$D$4:$AY$138, MATCH('Staging Table'!$A10, LS_current!$B$4:$B$138, 0), MATCH(BY$4&amp;BY$5, LS_current!$D$2:$AY$2&amp;LS_current!$D$3:$AY$3, 0)),SUM(VLOOKUP($A10, LS_current!$B$4:$AY$138, LS_current!D$148, FALSE), VLOOKUP($A10, LS_current!$B$4:$AY$138,LS_current!AB$148, FALSE))/2)</f>
        <v>-4978.9039583059239</v>
      </c>
      <c r="BZ10" s="192">
        <f t="array" ref="BZ10">IF($BT10=0, INDEX(LS_current!$D$4:$AY$138, MATCH('Staging Table'!$A10, LS_current!$B$4:$B$138, 0), MATCH(BZ$4&amp;BZ$5, LS_current!$D$2:$AY$2&amp;LS_current!$D$3:$AY$3, 0)),SUM(VLOOKUP($A10, LS_current!$B$4:$AY$138, LS_current!E$148, FALSE), VLOOKUP($A10, LS_current!$B$4:$AY$138,LS_current!AC$148, FALSE))/2)</f>
        <v>-723.39371737377951</v>
      </c>
      <c r="CA10" s="192">
        <f t="array" ref="CA10">IF($BT10=0, INDEX(LS_current!$D$4:$AY$138, MATCH('Staging Table'!$A10, LS_current!$B$4:$B$138, 0), MATCH(CA$4&amp;CA$5, LS_current!$D$2:$AY$2&amp;LS_current!$D$3:$AY$3, 0)),SUM(VLOOKUP($A10, LS_current!$B$4:$AY$138, LS_current!F$148, FALSE), VLOOKUP($A10, LS_current!$B$4:$AY$138,LS_current!AD$148, FALSE))/2)</f>
        <v>-18260.375080931633</v>
      </c>
      <c r="CB10" s="192">
        <f t="array" ref="CB10">IF($BT10=0, INDEX(LS_current!$D$4:$AY$138, MATCH('Staging Table'!$A10, LS_current!$B$4:$B$138, 0), MATCH(CB$4&amp;CB$5, LS_current!$D$2:$AY$2&amp;LS_current!$D$3:$AY$3, 0)),SUM(VLOOKUP($A10, LS_current!$B$4:$AY$138, LS_current!G$148, FALSE), VLOOKUP($A10, LS_current!$B$4:$AY$138,LS_current!AE$148, FALSE))/2)</f>
        <v>-10315.747149650733</v>
      </c>
      <c r="CC10" s="192">
        <f t="array" ref="CC10">IF($BT10=0, INDEX(LS_current!$D$4:$AY$138, MATCH('Staging Table'!$A10, LS_current!$B$4:$B$138, 0), MATCH(CC$4&amp;CC$5, LS_current!$D$2:$AY$2&amp;LS_current!$D$3:$AY$3, 0)),SUM(VLOOKUP($A10, LS_current!$B$4:$AY$138, LS_current!H$148, FALSE), VLOOKUP($A10, LS_current!$B$4:$AY$138,LS_current!AF$148, FALSE))/2)</f>
        <v>-12632.665803748472</v>
      </c>
      <c r="CD10" s="192">
        <f t="array" ref="CD10">IF($BT10=0, INDEX(LS_current!$D$4:$AY$138, MATCH('Staging Table'!$A10, LS_current!$B$4:$B$138, 0), MATCH(CD$4&amp;CD$5, LS_current!$D$2:$AY$2&amp;LS_current!$D$3:$AY$3, 0)),SUM(VLOOKUP($A10, LS_current!$B$4:$AY$138, LS_current!I$148, FALSE), VLOOKUP($A10, LS_current!$B$4:$AY$138,LS_current!AG$148, FALSE))/2)</f>
        <v>-9798.1267468390779</v>
      </c>
      <c r="CE10" s="192">
        <f t="array" ref="CE10">IF($BT10=0, INDEX(LS_current!$D$4:$AY$138, MATCH('Staging Table'!$A10, LS_current!$B$4:$B$138, 0), MATCH(CE$4&amp;CE$5, LS_current!$D$2:$AY$2&amp;LS_current!$D$3:$AY$3, 0)),SUM(VLOOKUP($A10, LS_current!$B$4:$AY$138, LS_current!J$148, FALSE), VLOOKUP($A10, LS_current!$B$4:$AY$138,LS_current!AH$148, FALSE))/2)</f>
        <v>-7663.2419507697414</v>
      </c>
      <c r="CF10" s="192">
        <f t="array" ref="CF10">IF($BT10=0, INDEX(LS_current!$D$4:$AY$138, MATCH('Staging Table'!$A10, LS_current!$B$4:$B$138, 0), MATCH(CF$4&amp;CF$5, LS_current!$D$2:$AY$2&amp;LS_current!$D$3:$AY$3, 0)),SUM(VLOOKUP($A10, LS_current!$B$4:$AY$138, LS_current!K$148, FALSE), VLOOKUP($A10, LS_current!$B$4:$AY$138,LS_current!AI$148, FALSE))/2)</f>
        <v>-6531.624737539616</v>
      </c>
      <c r="CG10" s="192">
        <f t="array" ref="CG10">IF($BT10=0, INDEX(LS_current!$D$4:$AY$138, MATCH('Staging Table'!$A10, LS_current!$B$4:$B$138, 0), MATCH(CG$4&amp;CG$5, LS_current!$D$2:$AY$2&amp;LS_current!$D$3:$AY$3, 0)),SUM(VLOOKUP($A10, LS_current!$B$4:$AY$138, LS_current!L$148, FALSE), VLOOKUP($A10, LS_current!$B$4:$AY$138,LS_current!AJ$148, FALSE))/2)</f>
        <v>-7891.7215802585561</v>
      </c>
      <c r="CH10" s="192">
        <f t="array" ref="CH10">IF($BT10=0, INDEX(LS_current!$D$4:$AY$138, MATCH('Staging Table'!$A10, LS_current!$B$4:$B$138, 0), MATCH(CH$4&amp;CH$5, LS_current!$D$2:$AY$2&amp;LS_current!$D$3:$AY$3, 0)),SUM(VLOOKUP($A10, LS_current!$B$4:$AY$138, LS_current!M$148, FALSE), VLOOKUP($A10, LS_current!$B$4:$AY$138,LS_current!AK$148, FALSE))/2)</f>
        <v>-6138.2271729961431</v>
      </c>
      <c r="CI10" s="192">
        <f t="array" ref="CI10">IF($BT10=0, INDEX(LS_current!$D$4:$AY$138, MATCH('Staging Table'!$A10, LS_current!$B$4:$B$138, 0), MATCH(CI$4&amp;CI$5, LS_current!$D$2:$AY$2&amp;LS_current!$D$3:$AY$3, 0)),SUM(VLOOKUP($A10, LS_current!$B$4:$AY$138, LS_current!N$148, FALSE), VLOOKUP($A10, LS_current!$B$4:$AY$138,LS_current!AL$148, FALSE))/2)</f>
        <v>-14546.672848314673</v>
      </c>
      <c r="CJ10" s="192">
        <f t="array" ref="CJ10">IF($BT10=0, INDEX(LS_current!$D$4:$AY$138, MATCH('Staging Table'!$A10, LS_current!$B$4:$B$138, 0), MATCH(CJ$4&amp;CJ$5, LS_current!$D$2:$AY$2&amp;LS_current!$D$3:$AY$3, 0)),SUM(VLOOKUP($A10, LS_current!$B$4:$AY$138, LS_current!O$148, FALSE), VLOOKUP($A10, LS_current!$B$4:$AY$138,LS_current!AM$148, FALSE))/2)</f>
        <v>-8845.4981591384621</v>
      </c>
      <c r="CK10" s="192">
        <f t="array" ref="CK10">IF($BT10=0, INDEX(LS_current!$D$4:$AY$138, MATCH('Staging Table'!$A10, LS_current!$B$4:$B$138, 0), MATCH(CK$4&amp;CK$5, LS_current!$D$2:$AY$2&amp;LS_current!$D$3:$AY$3, 0)),SUM(VLOOKUP($A10, LS_current!$B$4:$AY$138, LS_current!P$148, FALSE), VLOOKUP($A10, LS_current!$B$4:$AY$138,LS_current!AN$148, FALSE))/2)</f>
        <v>-3388.2095511651496</v>
      </c>
      <c r="CL10" s="192">
        <f t="array" ref="CL10">IF($BT10=0, INDEX(LS_current!$D$4:$AY$138, MATCH('Staging Table'!$A10, LS_current!$B$4:$B$138, 0), MATCH(CL$4&amp;CL$5, LS_current!$D$2:$AY$2&amp;LS_current!$D$3:$AY$3, 0)),SUM(VLOOKUP($A10, LS_current!$B$4:$AY$138, LS_current!Q$148, FALSE), VLOOKUP($A10, LS_current!$B$4:$AY$138,LS_current!AO$148, FALSE))/2)</f>
        <v>-1588.4446684913219</v>
      </c>
      <c r="CM10" s="192">
        <f t="array" ref="CM10">IF($BT10=0, INDEX(LS_current!$D$4:$AY$138, MATCH('Staging Table'!$A10, LS_current!$B$4:$B$138, 0), MATCH(CM$4&amp;CM$5, LS_current!$D$2:$AY$2&amp;LS_current!$D$3:$AY$3, 0)),SUM(VLOOKUP($A10, LS_current!$B$4:$AY$138, LS_current!R$148, FALSE), VLOOKUP($A10, LS_current!$B$4:$AY$138,LS_current!AP$148, FALSE))/2)</f>
        <v>3979.9613897982235</v>
      </c>
      <c r="CN10" s="192">
        <f t="array" ref="CN10">IF($BT10=0, INDEX(LS_current!$D$4:$AY$138, MATCH('Staging Table'!$A10, LS_current!$B$4:$B$138, 0), MATCH(CN$4&amp;CN$5, LS_current!$D$2:$AY$2&amp;LS_current!$D$3:$AY$3, 0)),SUM(VLOOKUP($A10, LS_current!$B$4:$AY$138, LS_current!S$148, FALSE), VLOOKUP($A10, LS_current!$B$4:$AY$138,LS_current!AQ$148, FALSE))/2)</f>
        <v>10821.052820419316</v>
      </c>
      <c r="CO10" s="192">
        <f t="array" ref="CO10">IF($BT10=0, INDEX(LS_current!$D$4:$AY$138, MATCH('Staging Table'!$A10, LS_current!$B$4:$B$138, 0), MATCH(CO$4&amp;CO$5, LS_current!$D$2:$AY$2&amp;LS_current!$D$3:$AY$3, 0)),SUM(VLOOKUP($A10, LS_current!$B$4:$AY$138, LS_current!T$148, FALSE), VLOOKUP($A10, LS_current!$B$4:$AY$138,LS_current!AR$148, FALSE))/2)</f>
        <v>11981.056136374362</v>
      </c>
      <c r="CP10" s="192">
        <f t="array" ref="CP10">IF($BT10=0, INDEX(LS_current!$D$4:$AY$138, MATCH('Staging Table'!$A10, LS_current!$B$4:$B$138, 0), MATCH(CP$4&amp;CP$5, LS_current!$D$2:$AY$2&amp;LS_current!$D$3:$AY$3, 0)),SUM(VLOOKUP($A10, LS_current!$B$4:$AY$138, LS_current!U$148, FALSE), VLOOKUP($A10, LS_current!$B$4:$AY$138,LS_current!AS$148, FALSE))/2)</f>
        <v>18079.508351286851</v>
      </c>
      <c r="CQ10" s="192">
        <f t="array" ref="CQ10">IF($BT10=0, INDEX(LS_current!$D$4:$AY$138, MATCH('Staging Table'!$A10, LS_current!$B$4:$B$138, 0), MATCH(CQ$4&amp;CQ$5, LS_current!$D$2:$AY$2&amp;LS_current!$D$3:$AY$3, 0)),SUM(VLOOKUP($A10, LS_current!$B$4:$AY$138, LS_current!V$148, FALSE), VLOOKUP($A10, LS_current!$B$4:$AY$138,LS_current!AT$148, FALSE))/2)</f>
        <v>15132.692742411105</v>
      </c>
      <c r="CR10" s="192">
        <f t="array" ref="CR10">IF($BT10=0, INDEX(LS_current!$D$4:$AY$138, MATCH('Staging Table'!$A10, LS_current!$B$4:$B$138, 0), MATCH(CR$4&amp;CR$5, LS_current!$D$2:$AY$2&amp;LS_current!$D$3:$AY$3, 0)),SUM(VLOOKUP($A10, LS_current!$B$4:$AY$138, LS_current!W$148, FALSE), VLOOKUP($A10, LS_current!$B$4:$AY$138,LS_current!AU$148, FALSE))/2)</f>
        <v>18708.98221086472</v>
      </c>
      <c r="CS10" s="192">
        <f t="array" ref="CS10">IF($BT10=0, INDEX(LS_current!$D$4:$AY$138, MATCH('Staging Table'!$A10, LS_current!$B$4:$B$138, 0), MATCH(CS$4&amp;CS$5, LS_current!$D$2:$AY$2&amp;LS_current!$D$3:$AY$3, 0)),SUM(VLOOKUP($A10, LS_current!$B$4:$AY$138, LS_current!X$148, FALSE), VLOOKUP($A10, LS_current!$B$4:$AY$138,LS_current!AV$148, FALSE))/2)</f>
        <v>11140.267329575683</v>
      </c>
      <c r="CT10" s="192">
        <f t="array" ref="CT10">IF($BT10=0, INDEX(LS_current!$D$4:$AY$138, MATCH('Staging Table'!$A10, LS_current!$B$4:$B$138, 0), MATCH(CT$4&amp;CT$5, LS_current!$D$2:$AY$2&amp;LS_current!$D$3:$AY$3, 0)),SUM(VLOOKUP($A10, LS_current!$B$4:$AY$138, LS_current!Y$148, FALSE), VLOOKUP($A10, LS_current!$B$4:$AY$138,LS_current!AW$148, FALSE))/2)</f>
        <v>13065.19222801208</v>
      </c>
      <c r="CU10" s="192">
        <f t="array" ref="CU10">IF($BT10=0, INDEX(LS_current!$D$4:$AY$138, MATCH('Staging Table'!$A10, LS_current!$B$4:$B$138, 0), MATCH(CU$4&amp;CU$5, LS_current!$D$2:$AY$2&amp;LS_current!$D$3:$AY$3, 0)),SUM(VLOOKUP($A10, LS_current!$B$4:$AY$138, LS_current!Z$148, FALSE), VLOOKUP($A10, LS_current!$B$4:$AY$138,LS_current!AX$148, FALSE))/2)</f>
        <v>3214.5066548944524</v>
      </c>
      <c r="CV10" s="192">
        <f t="array" ref="CV10">IF($BT10=0, INDEX(LS_current!$D$4:$AY$138, MATCH('Staging Table'!$A10, LS_current!$B$4:$B$138, 0), MATCH(CV$4&amp;CV$5, LS_current!$D$2:$AY$2&amp;LS_current!$D$3:$AY$3, 0)),SUM(VLOOKUP($A10, LS_current!$B$4:$AY$138, LS_current!AA$148, FALSE), VLOOKUP($A10, LS_current!$B$4:$AY$138,LS_current!AY$148, FALSE))/2)</f>
        <v>7180.9517790951995</v>
      </c>
      <c r="CW10" s="194">
        <f t="array" ref="CW10">INDEX(Demand_current!$D$4:$AY$138, MATCH($A10, Demand_current!$B$4:$B$138, 0), MATCH(CW$4&amp;CW$5,Demand_current!$D$2:$AY$2&amp;Demand_current!$D$3:$AY$3, 0))/1000</f>
        <v>11.466615384615395</v>
      </c>
      <c r="CX10" s="194">
        <f t="array" ref="CX10">INDEX(Demand_current!$D$4:$AY$138, MATCH($A10, Demand_current!$B$4:$B$138, 0), MATCH(CX$4&amp;CX$5,Demand_current!$D$2:$AY$2&amp;Demand_current!$D$3:$AY$3, 0))/1000</f>
        <v>5.5356625000000044</v>
      </c>
      <c r="CY10" s="194">
        <f t="array" ref="CY10">INDEX(Demand_current!$D$4:$AY$138, MATCH($A10, Demand_current!$B$4:$B$138, 0), MATCH(CY$4&amp;CY$5,Demand_current!$D$2:$AY$2&amp;Demand_current!$D$3:$AY$3, 0))/1000</f>
        <v>10.404786057692309</v>
      </c>
      <c r="CZ10" s="194">
        <f t="array" ref="CZ10">INDEX(Demand_current!$D$4:$AY$138, MATCH($A10, Demand_current!$B$4:$B$138, 0), MATCH(CZ$4&amp;CZ$5,Demand_current!$D$2:$AY$2&amp;Demand_current!$D$3:$AY$3, 0))/1000</f>
        <v>4.282607500000001</v>
      </c>
      <c r="DA10" s="194">
        <f t="array" ref="DA10">INDEX(Demand_current!$D$4:$AY$138, MATCH($A10, Demand_current!$B$4:$B$138, 0), MATCH(DA$4&amp;DA$5,Demand_current!$D$2:$AY$2&amp;Demand_current!$D$3:$AY$3, 0))/1000</f>
        <v>2.6546067708333325</v>
      </c>
      <c r="DB10" s="194">
        <f t="array" ref="DB10">INDEX(Demand_current!$D$4:$AY$138, MATCH($A10, Demand_current!$B$4:$B$138, 0), MATCH(DB$4&amp;DB$5,Demand_current!$D$2:$AY$2&amp;Demand_current!$D$3:$AY$3, 0))/1000</f>
        <v>9.0059236111111147</v>
      </c>
      <c r="DC10" s="194">
        <f t="array" ref="DC10">INDEX(Demand_current!$D$4:$AY$138, MATCH($A10, Demand_current!$B$4:$B$138, 0), MATCH(DC$4&amp;DC$5,Demand_current!$D$2:$AY$2&amp;Demand_current!$D$3:$AY$3, 0))/1000</f>
        <v>28.010725961538451</v>
      </c>
      <c r="DD10" s="194">
        <f t="array" ref="DD10">INDEX(Demand_current!$D$4:$AY$138, MATCH($A10, Demand_current!$B$4:$B$138, 0), MATCH(DD$4&amp;DD$5,Demand_current!$D$2:$AY$2&amp;Demand_current!$D$3:$AY$3, 0))/1000</f>
        <v>8.8507900000000106</v>
      </c>
      <c r="DE10" s="194">
        <f t="array" ref="DE10">INDEX(Demand_current!$D$4:$AY$138, MATCH($A10, Demand_current!$B$4:$B$138, 0), MATCH(DE$4&amp;DE$5,Demand_current!$D$2:$AY$2&amp;Demand_current!$D$3:$AY$3, 0))/1000</f>
        <v>7.0606514423076767</v>
      </c>
      <c r="DF10" s="194">
        <f t="array" ref="DF10">INDEX(Demand_current!$D$4:$AY$138, MATCH($A10, Demand_current!$B$4:$B$138, 0), MATCH(DF$4&amp;DF$5,Demand_current!$D$2:$AY$2&amp;Demand_current!$D$3:$AY$3, 0))/1000</f>
        <v>10.291350000000001</v>
      </c>
      <c r="DG10" s="194">
        <f t="array" ref="DG10">INDEX(Demand_current!$D$4:$AY$138, MATCH($A10, Demand_current!$B$4:$B$138, 0), MATCH(DG$4&amp;DG$5,Demand_current!$D$2:$AY$2&amp;Demand_current!$D$3:$AY$3, 0))/1000</f>
        <v>23.625768518518509</v>
      </c>
      <c r="DH10" s="194">
        <f t="array" ref="DH10">INDEX(Demand_current!$D$4:$AY$138, MATCH($A10, Demand_current!$B$4:$B$138, 0), MATCH(DH$4&amp;DH$5,Demand_current!$D$2:$AY$2&amp;Demand_current!$D$3:$AY$3, 0))/1000</f>
        <v>13.855057500000013</v>
      </c>
      <c r="DI10" s="192">
        <f>$BS10*(VLOOKUP(DI$4, Rates_current!$G$6:$Q$29, 10, FALSE)+VLOOKUP(DI$4, Rates_current!$G$6:$Q$29, 11, FALSE))</f>
        <v>39461.576675679702</v>
      </c>
      <c r="DJ10" s="192">
        <f>$BS10*(VLOOKUP(DJ$4, Rates_current!$G$6:$Q$29, 10, FALSE)+VLOOKUP(DJ$4, Rates_current!$G$6:$Q$29, 11, FALSE))</f>
        <v>49959.788230582373</v>
      </c>
      <c r="DK10" s="192">
        <f>$BS10*(VLOOKUP(DK$4, Rates_current!$G$6:$Q$29, 10, FALSE)+VLOOKUP(DK$4, Rates_current!$G$6:$Q$29, 11, FALSE))</f>
        <v>48900.651550587558</v>
      </c>
      <c r="DL10" s="192">
        <f>$BS10*(VLOOKUP(DL$4, Rates_current!$G$6:$Q$29, 10, FALSE)+VLOOKUP(DL$4, Rates_current!$G$6:$Q$29, 11, FALSE))</f>
        <v>40389.858688309359</v>
      </c>
      <c r="DM10" s="192">
        <f>$BS10*(VLOOKUP(DM$4, Rates_current!$G$6:$Q$29, 10, FALSE)+VLOOKUP(DM$4, Rates_current!$G$6:$Q$29, 11, FALSE))</f>
        <v>35006.775753254704</v>
      </c>
      <c r="DN10" s="192">
        <f>$BS10*(VLOOKUP(DN$4, Rates_current!$G$6:$Q$29, 10, FALSE)+VLOOKUP(DN$4, Rates_current!$G$6:$Q$29, 11, FALSE))</f>
        <v>41791.021007453135</v>
      </c>
      <c r="DO10" s="192">
        <f>$BS10*(VLOOKUP(DO$4, Rates_current!$G$6:$Q$29, 10, FALSE)+VLOOKUP(DO$4, Rates_current!$G$6:$Q$29, 11, FALSE))</f>
        <v>32445.164219656472</v>
      </c>
      <c r="DP10" s="192">
        <f>$BS10*(VLOOKUP(DP$4, Rates_current!$G$6:$Q$29, 10, FALSE)+VLOOKUP(DP$4, Rates_current!$G$6:$Q$29, 11, FALSE))</f>
        <v>44953.013789782453</v>
      </c>
      <c r="DQ10" s="192">
        <f>$BS10*(VLOOKUP(DQ$4, Rates_current!$G$6:$Q$29, 10, FALSE)+VLOOKUP(DQ$4, Rates_current!$G$6:$Q$29, 11, FALSE))</f>
        <v>48033.236512338786</v>
      </c>
      <c r="DR10" s="192">
        <f>$BS10*(VLOOKUP(DR$4, Rates_current!$G$6:$Q$29, 10, FALSE)+VLOOKUP(DR$4, Rates_current!$G$6:$Q$29, 11, FALSE))</f>
        <v>45605.383046724179</v>
      </c>
      <c r="DS10" s="192">
        <f>$BS10*(VLOOKUP(DS$4, Rates_current!$G$6:$Q$29, 10, FALSE)+VLOOKUP(DS$4, Rates_current!$G$6:$Q$29, 11, FALSE))</f>
        <v>44074.084442412241</v>
      </c>
      <c r="DT10" s="192">
        <f>$BS10*(VLOOKUP(DT$4, Rates_current!$G$6:$Q$29, 10, FALSE)+VLOOKUP(DT$4, Rates_current!$G$6:$Q$29, 11, FALSE))</f>
        <v>40729.048566010344</v>
      </c>
      <c r="DU10" s="418">
        <f>IF(D10=0,IF(C10=0,MAX(0,DW10 - (VLOOKUP($A10,TOCA_current!$A$2:$AI$137,MATCH("RHWM 2022",TOCA_current!$A$2:$AI$2,0),FALSE)*$BS$2)), 0),0)</f>
        <v>3.4671577447443269</v>
      </c>
      <c r="DV10" s="419">
        <f>MIN(VLOOKUP($A10,TOCA_current!$A$2:$AI$137,MATCH("TRL - NLSL - Existing Resource "&amp;$BS$1,TOCA_current!$A$2:$AI$2,0),FALSE)*$BS$2, VLOOKUP($A10,TOCA_current!$A$2:$AI$137,MATCH("RHWM 2022",TOCA_current!$A$2:$AI$2,0),FALSE)*$BS$2)</f>
        <v>511347.48</v>
      </c>
      <c r="DW10" s="419">
        <f>SUM(BY10:CV10)+(BS10*RT1SC!$C$4*$BS$2)</f>
        <v>511350.94715774473</v>
      </c>
      <c r="DX10" s="419">
        <f>VLOOKUP($A10,TOCA_current!$A$2:$AI$137,MATCH("Above RHWM Not Served with LS "&amp;$BS$1,TOCA_current!$A$2:$AI$2,0),FALSE)*$BS$2</f>
        <v>69177.72</v>
      </c>
      <c r="DY10" s="419">
        <f t="shared" si="13"/>
        <v>3.4671577447443269</v>
      </c>
      <c r="DZ10" s="419">
        <f>(VLOOKUP($A10,TOCA_current!$A$2:$AI$137,MATCH("RHWM 2022",TOCA_current!$A$2:$AI$2,0),FALSE)*$BS$2) - $DV10</f>
        <v>0</v>
      </c>
      <c r="EA10" s="419">
        <f t="shared" si="14"/>
        <v>0</v>
      </c>
      <c r="EB10" s="419">
        <f t="shared" si="15"/>
        <v>0</v>
      </c>
      <c r="EC10" s="419">
        <f t="shared" si="16"/>
        <v>0</v>
      </c>
      <c r="ED10" s="419">
        <f t="shared" si="17"/>
        <v>0</v>
      </c>
    </row>
    <row r="11" spans="1:134">
      <c r="A11" s="135">
        <v>10029</v>
      </c>
      <c r="B11" s="136" t="s">
        <v>12</v>
      </c>
      <c r="C11" s="244">
        <f>VLOOKUP(A11, TOCA_current!$A$3:$D$137, 4, FALSE)</f>
        <v>1</v>
      </c>
      <c r="D11" s="203">
        <v>0</v>
      </c>
      <c r="E11" s="119">
        <f>VLOOKUP($A11,TOCA_previous!$A$2:$AI$137,MATCH(E$4,TOCA_previous!$A$2:$AI$2,0),FALSE)</f>
        <v>2.4945000000000002E-3</v>
      </c>
      <c r="F11" s="120">
        <f>VLOOKUP($A11,TOCA_previous!$A$2:$AI$137,MATCH(F$4,TOCA_previous!$A$2:$AI$2,0),FALSE)</f>
        <v>2.4945000000000002E-3</v>
      </c>
      <c r="G11" s="120">
        <f t="shared" si="5"/>
        <v>0</v>
      </c>
      <c r="H11" s="120">
        <f>VLOOKUP($A11,TOCA_previous!$A$2:$AI$137,MATCH(H$4,TOCA_previous!$A$2:$AI$2,0),FALSE)</f>
        <v>7.2473891456942302E-2</v>
      </c>
      <c r="I11" s="120">
        <f t="shared" si="6"/>
        <v>7.2473891456942302E-2</v>
      </c>
      <c r="J11" s="120">
        <f t="shared" si="7"/>
        <v>2.4945000000000002E-3</v>
      </c>
      <c r="K11" s="191">
        <f>VLOOKUP(A11, IRD!$A$5:$C$139, 3, FALSE)</f>
        <v>0</v>
      </c>
      <c r="L11" s="192">
        <f t="array" ref="L11">IF($G11=0, INDEX(LS_previous!$D$4:$AY$138, MATCH('Staging Table'!$A11, LS_previous!$B$4:$B$138, 0), MATCH(L$4&amp;L$5, LS_previous!$D$2:$AY$2&amp;LS_previous!$D$3:$AY$3, 0)),SUM(VLOOKUP($A11, LS_previous!$B$4:$AY$138, LS_previous!D$149, FALSE), VLOOKUP('Staging Table'!$A11, LS_previous!$B$4:$AY$138,LS_previous!AB$149, FALSE))/2)</f>
        <v>0</v>
      </c>
      <c r="M11" s="192">
        <f t="array" ref="M11">IF($G11=0, INDEX(LS_previous!$D$4:$AY$138, MATCH('Staging Table'!$A11, LS_previous!$B$4:$B$138, 0), MATCH(M$4&amp;M$5, LS_previous!$D$2:$AY$2&amp;LS_previous!$D$3:$AY$3, 0)),SUM(VLOOKUP($A11, LS_previous!$B$4:$AY$138, LS_previous!E$149, FALSE), VLOOKUP('Staging Table'!$A11, LS_previous!$B$4:$AY$138,LS_previous!AC$149, FALSE))/2)</f>
        <v>0</v>
      </c>
      <c r="N11" s="192">
        <f t="array" ref="N11">IF($G11=0, INDEX(LS_previous!$D$4:$AY$138, MATCH('Staging Table'!$A11, LS_previous!$B$4:$B$138, 0), MATCH(N$4&amp;N$5, LS_previous!$D$2:$AY$2&amp;LS_previous!$D$3:$AY$3, 0)),SUM(VLOOKUP($A11, LS_previous!$B$4:$AY$138, LS_previous!F$149, FALSE), VLOOKUP('Staging Table'!$A11, LS_previous!$B$4:$AY$138,LS_previous!AD$149, FALSE))/2)</f>
        <v>0</v>
      </c>
      <c r="O11" s="192">
        <f t="array" ref="O11">IF($G11=0, INDEX(LS_previous!$D$4:$AY$138, MATCH('Staging Table'!$A11, LS_previous!$B$4:$B$138, 0), MATCH(O$4&amp;O$5, LS_previous!$D$2:$AY$2&amp;LS_previous!$D$3:$AY$3, 0)),SUM(VLOOKUP($A11, LS_previous!$B$4:$AY$138, LS_previous!G$149, FALSE), VLOOKUP('Staging Table'!$A11, LS_previous!$B$4:$AY$138,LS_previous!AE$149, FALSE))/2)</f>
        <v>0</v>
      </c>
      <c r="P11" s="192">
        <f t="array" ref="P11">IF($G11=0, INDEX(LS_previous!$D$4:$AY$138, MATCH('Staging Table'!$A11, LS_previous!$B$4:$B$138, 0), MATCH(P$4&amp;P$5, LS_previous!$D$2:$AY$2&amp;LS_previous!$D$3:$AY$3, 0)),SUM(VLOOKUP($A11, LS_previous!$B$4:$AY$138, LS_previous!H$149, FALSE), VLOOKUP('Staging Table'!$A11, LS_previous!$B$4:$AY$138,LS_previous!AF$149, FALSE))/2)</f>
        <v>0</v>
      </c>
      <c r="Q11" s="192">
        <f t="array" ref="Q11">IF($G11=0, INDEX(LS_previous!$D$4:$AY$138, MATCH('Staging Table'!$A11, LS_previous!$B$4:$B$138, 0), MATCH(Q$4&amp;Q$5, LS_previous!$D$2:$AY$2&amp;LS_previous!$D$3:$AY$3, 0)),SUM(VLOOKUP($A11, LS_previous!$B$4:$AY$138, LS_previous!I$149, FALSE), VLOOKUP('Staging Table'!$A11, LS_previous!$B$4:$AY$138,LS_previous!AG$149, FALSE))/2)</f>
        <v>0</v>
      </c>
      <c r="R11" s="192">
        <f t="array" ref="R11">IF($G11=0, INDEX(LS_previous!$D$4:$AY$138, MATCH('Staging Table'!$A11, LS_previous!$B$4:$B$138, 0), MATCH(R$4&amp;R$5, LS_previous!$D$2:$AY$2&amp;LS_previous!$D$3:$AY$3, 0)),SUM(VLOOKUP($A11, LS_previous!$B$4:$AY$138, LS_previous!J$149, FALSE), VLOOKUP('Staging Table'!$A11, LS_previous!$B$4:$AY$138,LS_previous!AH$149, FALSE))/2)</f>
        <v>0</v>
      </c>
      <c r="S11" s="192">
        <f t="array" ref="S11">IF($G11=0, INDEX(LS_previous!$D$4:$AY$138, MATCH('Staging Table'!$A11, LS_previous!$B$4:$B$138, 0), MATCH(S$4&amp;S$5, LS_previous!$D$2:$AY$2&amp;LS_previous!$D$3:$AY$3, 0)),SUM(VLOOKUP($A11, LS_previous!$B$4:$AY$138, LS_previous!K$149, FALSE), VLOOKUP('Staging Table'!$A11, LS_previous!$B$4:$AY$138,LS_previous!AI$149, FALSE))/2)</f>
        <v>0</v>
      </c>
      <c r="T11" s="192">
        <f t="array" ref="T11">IF($G11=0, INDEX(LS_previous!$D$4:$AY$138, MATCH('Staging Table'!$A11, LS_previous!$B$4:$B$138, 0), MATCH(T$4&amp;T$5, LS_previous!$D$2:$AY$2&amp;LS_previous!$D$3:$AY$3, 0)),SUM(VLOOKUP($A11, LS_previous!$B$4:$AY$138, LS_previous!L$149, FALSE), VLOOKUP('Staging Table'!$A11, LS_previous!$B$4:$AY$138,LS_previous!AJ$149, FALSE))/2)</f>
        <v>0</v>
      </c>
      <c r="U11" s="192">
        <f t="array" ref="U11">IF($G11=0, INDEX(LS_previous!$D$4:$AY$138, MATCH('Staging Table'!$A11, LS_previous!$B$4:$B$138, 0), MATCH(U$4&amp;U$5, LS_previous!$D$2:$AY$2&amp;LS_previous!$D$3:$AY$3, 0)),SUM(VLOOKUP($A11, LS_previous!$B$4:$AY$138, LS_previous!M$149, FALSE), VLOOKUP('Staging Table'!$A11, LS_previous!$B$4:$AY$138,LS_previous!AK$149, FALSE))/2)</f>
        <v>0</v>
      </c>
      <c r="V11" s="192">
        <f t="array" ref="V11">IF($G11=0, INDEX(LS_previous!$D$4:$AY$138, MATCH('Staging Table'!$A11, LS_previous!$B$4:$B$138, 0), MATCH(V$4&amp;V$5, LS_previous!$D$2:$AY$2&amp;LS_previous!$D$3:$AY$3, 0)),SUM(VLOOKUP($A11, LS_previous!$B$4:$AY$138, LS_previous!N$149, FALSE), VLOOKUP('Staging Table'!$A11, LS_previous!$B$4:$AY$138,LS_previous!AL$149, FALSE))/2)</f>
        <v>0</v>
      </c>
      <c r="W11" s="192">
        <f t="array" ref="W11">IF($G11=0, INDEX(LS_previous!$D$4:$AY$138, MATCH('Staging Table'!$A11, LS_previous!$B$4:$B$138, 0), MATCH(W$4&amp;W$5, LS_previous!$D$2:$AY$2&amp;LS_previous!$D$3:$AY$3, 0)),SUM(VLOOKUP($A11, LS_previous!$B$4:$AY$138, LS_previous!O$149, FALSE), VLOOKUP('Staging Table'!$A11, LS_previous!$B$4:$AY$138,LS_previous!AM$149, FALSE))/2)</f>
        <v>0</v>
      </c>
      <c r="X11" s="192">
        <f t="array" ref="X11">IF($G11=0, INDEX(LS_previous!$D$4:$AY$138, MATCH('Staging Table'!$A11, LS_previous!$B$4:$B$138, 0), MATCH(X$4&amp;X$5, LS_previous!$D$2:$AY$2&amp;LS_previous!$D$3:$AY$3, 0)),SUM(VLOOKUP($A11, LS_previous!$B$4:$AY$138, LS_previous!P$149, FALSE), VLOOKUP('Staging Table'!$A11, LS_previous!$B$4:$AY$138,LS_previous!AN$149, FALSE))/2)</f>
        <v>0</v>
      </c>
      <c r="Y11" s="192">
        <f t="array" ref="Y11">IF($G11=0, INDEX(LS_previous!$D$4:$AY$138, MATCH('Staging Table'!$A11, LS_previous!$B$4:$B$138, 0), MATCH(Y$4&amp;Y$5, LS_previous!$D$2:$AY$2&amp;LS_previous!$D$3:$AY$3, 0)),SUM(VLOOKUP($A11, LS_previous!$B$4:$AY$138, LS_previous!Q$149, FALSE), VLOOKUP('Staging Table'!$A11, LS_previous!$B$4:$AY$138,LS_previous!AO$149, FALSE))/2)</f>
        <v>0</v>
      </c>
      <c r="Z11" s="192">
        <f t="array" ref="Z11">IF($G11=0, INDEX(LS_previous!$D$4:$AY$138, MATCH('Staging Table'!$A11, LS_previous!$B$4:$B$138, 0), MATCH(Z$4&amp;Z$5, LS_previous!$D$2:$AY$2&amp;LS_previous!$D$3:$AY$3, 0)),SUM(VLOOKUP($A11, LS_previous!$B$4:$AY$138, LS_previous!R$149, FALSE), VLOOKUP('Staging Table'!$A11, LS_previous!$B$4:$AY$138,LS_previous!AP$149, FALSE))/2)</f>
        <v>0</v>
      </c>
      <c r="AA11" s="192">
        <f t="array" ref="AA11">IF($G11=0, INDEX(LS_previous!$D$4:$AY$138, MATCH('Staging Table'!$A11, LS_previous!$B$4:$B$138, 0), MATCH(AA$4&amp;AA$5, LS_previous!$D$2:$AY$2&amp;LS_previous!$D$3:$AY$3, 0)),SUM(VLOOKUP($A11, LS_previous!$B$4:$AY$138, LS_previous!S$149, FALSE), VLOOKUP('Staging Table'!$A11, LS_previous!$B$4:$AY$138,LS_previous!AQ$149, FALSE))/2)</f>
        <v>0</v>
      </c>
      <c r="AB11" s="192">
        <f t="array" ref="AB11">IF($G11=0, INDEX(LS_previous!$D$4:$AY$138, MATCH('Staging Table'!$A11, LS_previous!$B$4:$B$138, 0), MATCH(AB$4&amp;AB$5, LS_previous!$D$2:$AY$2&amp;LS_previous!$D$3:$AY$3, 0)),SUM(VLOOKUP($A11, LS_previous!$B$4:$AY$138, LS_previous!T$149, FALSE), VLOOKUP('Staging Table'!$A11, LS_previous!$B$4:$AY$138,LS_previous!AR$149, FALSE))/2)</f>
        <v>0</v>
      </c>
      <c r="AC11" s="192">
        <f t="array" ref="AC11">IF($G11=0, INDEX(LS_previous!$D$4:$AY$138, MATCH('Staging Table'!$A11, LS_previous!$B$4:$B$138, 0), MATCH(AC$4&amp;AC$5, LS_previous!$D$2:$AY$2&amp;LS_previous!$D$3:$AY$3, 0)),SUM(VLOOKUP($A11, LS_previous!$B$4:$AY$138, LS_previous!U$149, FALSE), VLOOKUP('Staging Table'!$A11, LS_previous!$B$4:$AY$138,LS_previous!AS$149, FALSE))/2)</f>
        <v>0</v>
      </c>
      <c r="AD11" s="192">
        <f t="array" ref="AD11">IF($G11=0, INDEX(LS_previous!$D$4:$AY$138, MATCH('Staging Table'!$A11, LS_previous!$B$4:$B$138, 0), MATCH(AD$4&amp;AD$5, LS_previous!$D$2:$AY$2&amp;LS_previous!$D$3:$AY$3, 0)),SUM(VLOOKUP($A11, LS_previous!$B$4:$AY$138, LS_previous!V$149, FALSE), VLOOKUP('Staging Table'!$A11, LS_previous!$B$4:$AY$138,LS_previous!AT$149, FALSE))/2)</f>
        <v>0</v>
      </c>
      <c r="AE11" s="192">
        <f t="array" ref="AE11">IF($G11=0, INDEX(LS_previous!$D$4:$AY$138, MATCH('Staging Table'!$A11, LS_previous!$B$4:$B$138, 0), MATCH(AE$4&amp;AE$5, LS_previous!$D$2:$AY$2&amp;LS_previous!$D$3:$AY$3, 0)),SUM(VLOOKUP($A11, LS_previous!$B$4:$AY$138, LS_previous!W$149, FALSE), VLOOKUP('Staging Table'!$A11, LS_previous!$B$4:$AY$138,LS_previous!AU$149, FALSE))/2)</f>
        <v>0</v>
      </c>
      <c r="AF11" s="192">
        <f t="array" ref="AF11">IF($G11=0, INDEX(LS_previous!$D$4:$AY$138, MATCH('Staging Table'!$A11, LS_previous!$B$4:$B$138, 0), MATCH(AF$4&amp;AF$5, LS_previous!$D$2:$AY$2&amp;LS_previous!$D$3:$AY$3, 0)),SUM(VLOOKUP($A11, LS_previous!$B$4:$AY$138, LS_previous!X$149, FALSE), VLOOKUP('Staging Table'!$A11, LS_previous!$B$4:$AY$138,LS_previous!AV$149, FALSE))/2)</f>
        <v>0</v>
      </c>
      <c r="AG11" s="192">
        <f t="array" ref="AG11">IF($G11=0, INDEX(LS_previous!$D$4:$AY$138, MATCH('Staging Table'!$A11, LS_previous!$B$4:$B$138, 0), MATCH(AG$4&amp;AG$5, LS_previous!$D$2:$AY$2&amp;LS_previous!$D$3:$AY$3, 0)),SUM(VLOOKUP($A11, LS_previous!$B$4:$AY$138, LS_previous!Y$149, FALSE), VLOOKUP('Staging Table'!$A11, LS_previous!$B$4:$AY$138,LS_previous!AW$149, FALSE))/2)</f>
        <v>0</v>
      </c>
      <c r="AH11" s="192">
        <f t="array" ref="AH11">IF($G11=0, INDEX(LS_previous!$D$4:$AY$138, MATCH('Staging Table'!$A11, LS_previous!$B$4:$B$138, 0), MATCH(AH$4&amp;AH$5, LS_previous!$D$2:$AY$2&amp;LS_previous!$D$3:$AY$3, 0)),SUM(VLOOKUP($A11, LS_previous!$B$4:$AY$138, LS_previous!Z$149, FALSE), VLOOKUP('Staging Table'!$A11, LS_previous!$B$4:$AY$138,LS_previous!AX$149, FALSE))/2)</f>
        <v>0</v>
      </c>
      <c r="AI11" s="192">
        <f t="array" ref="AI11">IF($G11=0, INDEX(LS_previous!$D$4:$AY$138, MATCH('Staging Table'!$A11, LS_previous!$B$4:$B$138, 0), MATCH(AI$4&amp;AI$5, LS_previous!$D$2:$AY$2&amp;LS_previous!$D$3:$AY$3, 0)),SUM(VLOOKUP($A11, LS_previous!$B$4:$AY$138, LS_previous!AA$149, FALSE), VLOOKUP('Staging Table'!$A11, LS_previous!$B$4:$AY$138,LS_previous!AY$149, FALSE))/2)</f>
        <v>0</v>
      </c>
      <c r="AJ11" s="314">
        <f t="array" ref="AJ11">INDEX(Demand_previous!$D$4:$AY$138, MATCH('Staging Table'!$A11, Demand_previous!$B$4:$B$138, 0), MATCH(AJ$4&amp;AJ$5,Demand_previous!$D$2:$AY$2&amp;Demand_previous!$D$3:$AY$3, 0))/1000</f>
        <v>0</v>
      </c>
      <c r="AK11" s="314">
        <f t="array" ref="AK11">INDEX(Demand_previous!$D$4:$AY$138, MATCH('Staging Table'!$A11, Demand_previous!$B$4:$B$138, 0), MATCH(AK$4&amp;AK$5,Demand_previous!$D$2:$AY$2&amp;Demand_previous!$D$3:$AY$3, 0))/1000</f>
        <v>0</v>
      </c>
      <c r="AL11" s="314">
        <f t="array" ref="AL11">INDEX(Demand_previous!$D$4:$AY$138, MATCH('Staging Table'!$A11, Demand_previous!$B$4:$B$138, 0), MATCH(AL$4&amp;AL$5,Demand_previous!$D$2:$AY$2&amp;Demand_previous!$D$3:$AY$3, 0))/1000</f>
        <v>0</v>
      </c>
      <c r="AM11" s="314">
        <f t="array" ref="AM11">INDEX(Demand_previous!$D$4:$AY$138, MATCH('Staging Table'!$A11, Demand_previous!$B$4:$B$138, 0), MATCH(AM$4&amp;AM$5,Demand_previous!$D$2:$AY$2&amp;Demand_previous!$D$3:$AY$3, 0))/1000</f>
        <v>0</v>
      </c>
      <c r="AN11" s="314">
        <f t="array" ref="AN11">INDEX(Demand_previous!$D$4:$AY$138, MATCH('Staging Table'!$A11, Demand_previous!$B$4:$B$138, 0), MATCH(AN$4&amp;AN$5,Demand_previous!$D$2:$AY$2&amp;Demand_previous!$D$3:$AY$3, 0))/1000</f>
        <v>0</v>
      </c>
      <c r="AO11" s="314">
        <f t="array" ref="AO11">INDEX(Demand_previous!$D$4:$AY$138, MATCH('Staging Table'!$A11, Demand_previous!$B$4:$B$138, 0), MATCH(AO$4&amp;AO$5,Demand_previous!$D$2:$AY$2&amp;Demand_previous!$D$3:$AY$3, 0))/1000</f>
        <v>0</v>
      </c>
      <c r="AP11" s="314">
        <f t="array" ref="AP11">INDEX(Demand_previous!$D$4:$AY$138, MATCH('Staging Table'!$A11, Demand_previous!$B$4:$B$138, 0), MATCH(AP$4&amp;AP$5,Demand_previous!$D$2:$AY$2&amp;Demand_previous!$D$3:$AY$3, 0))/1000</f>
        <v>0</v>
      </c>
      <c r="AQ11" s="314">
        <f t="array" ref="AQ11">INDEX(Demand_previous!$D$4:$AY$138, MATCH('Staging Table'!$A11, Demand_previous!$B$4:$B$138, 0), MATCH(AQ$4&amp;AQ$5,Demand_previous!$D$2:$AY$2&amp;Demand_previous!$D$3:$AY$3, 0))/1000</f>
        <v>0</v>
      </c>
      <c r="AR11" s="314">
        <f t="array" ref="AR11">INDEX(Demand_previous!$D$4:$AY$138, MATCH('Staging Table'!$A11, Demand_previous!$B$4:$B$138, 0), MATCH(AR$4&amp;AR$5,Demand_previous!$D$2:$AY$2&amp;Demand_previous!$D$3:$AY$3, 0))/1000</f>
        <v>0</v>
      </c>
      <c r="AS11" s="314">
        <f t="array" ref="AS11">INDEX(Demand_previous!$D$4:$AY$138, MATCH('Staging Table'!$A11, Demand_previous!$B$4:$B$138, 0), MATCH(AS$4&amp;AS$5,Demand_previous!$D$2:$AY$2&amp;Demand_previous!$D$3:$AY$3, 0))/1000</f>
        <v>0</v>
      </c>
      <c r="AT11" s="314">
        <f t="array" ref="AT11">INDEX(Demand_previous!$D$4:$AY$138, MATCH('Staging Table'!$A11, Demand_previous!$B$4:$B$138, 0), MATCH(AT$4&amp;AT$5,Demand_previous!$D$2:$AY$2&amp;Demand_previous!$D$3:$AY$3, 0))/1000</f>
        <v>0</v>
      </c>
      <c r="AU11" s="314">
        <f t="array" ref="AU11">INDEX(Demand_previous!$D$4:$AY$138, MATCH('Staging Table'!$A11, Demand_previous!$B$4:$B$138, 0), MATCH(AU$4&amp;AU$5,Demand_previous!$D$2:$AY$2&amp;Demand_previous!$D$3:$AY$3, 0))/1000</f>
        <v>0</v>
      </c>
      <c r="AV11" s="192">
        <f>$F11*(VLOOKUP(AV$4, Rates_previous!$G$6:$Q$29, 10, FALSE)+VLOOKUP(AV$4, Rates_previous!$G$6:$Q$29, 11, FALSE))</f>
        <v>11517.897745422</v>
      </c>
      <c r="AW11" s="192">
        <f>$F11*(VLOOKUP(AW$4, Rates_previous!$G$6:$Q$29, 10, FALSE)+VLOOKUP(AW$4, Rates_previous!$G$6:$Q$29, 11, FALSE))</f>
        <v>14631.323214685501</v>
      </c>
      <c r="AX11" s="192">
        <f>$F11*(VLOOKUP(AX$4, Rates_previous!$G$6:$Q$29, 10, FALSE)+VLOOKUP(AX$4, Rates_previous!$G$6:$Q$29, 11, FALSE))</f>
        <v>14454.630188922003</v>
      </c>
      <c r="AY11" s="192">
        <f>$F11*(VLOOKUP(AY$4, Rates_previous!$G$6:$Q$29, 10, FALSE)+VLOOKUP(AY$4, Rates_previous!$G$6:$Q$29, 11, FALSE))</f>
        <v>12048.814652922001</v>
      </c>
      <c r="AZ11" s="192">
        <f>$F11*(VLOOKUP(AZ$4, Rates_previous!$G$6:$Q$29, 10, FALSE)+VLOOKUP(AZ$4, Rates_previous!$G$6:$Q$29, 11, FALSE))</f>
        <v>10914.9761076</v>
      </c>
      <c r="BA11" s="192">
        <f>$F11*(VLOOKUP(BA$4, Rates_previous!$G$6:$Q$29, 10, FALSE)+VLOOKUP(BA$4, Rates_previous!$G$6:$Q$29, 11, FALSE))</f>
        <v>12140.920924846501</v>
      </c>
      <c r="BB11" s="192">
        <f>$F11*(VLOOKUP(BB$4, Rates_previous!$G$6:$Q$29, 10, FALSE)+VLOOKUP(BB$4, Rates_previous!$G$6:$Q$29, 11, FALSE))</f>
        <v>9885.150918360001</v>
      </c>
      <c r="BC11" s="192">
        <f>$F11*(VLOOKUP(BC$4, Rates_previous!$G$6:$Q$29, 10, FALSE)+VLOOKUP(BC$4, Rates_previous!$G$6:$Q$29, 11, FALSE))</f>
        <v>13331.600052672002</v>
      </c>
      <c r="BD11" s="192">
        <f>$F11*(VLOOKUP(BD$4, Rates_previous!$G$6:$Q$29, 10, FALSE)+VLOOKUP(BD$4, Rates_previous!$G$6:$Q$29, 11, FALSE))</f>
        <v>17010.214966110001</v>
      </c>
      <c r="BE11" s="192">
        <f>$F11*(VLOOKUP(BE$4, Rates_previous!$G$6:$Q$29, 10, FALSE)+VLOOKUP(BE$4, Rates_previous!$G$6:$Q$29, 11, FALSE))</f>
        <v>13336.547893422003</v>
      </c>
      <c r="BF11" s="192">
        <f>$F11*(VLOOKUP(BF$4, Rates_previous!$G$6:$Q$29, 10, FALSE)+VLOOKUP(BF$4, Rates_previous!$G$6:$Q$29, 11, FALSE))</f>
        <v>12987.142031172003</v>
      </c>
      <c r="BG11" s="192">
        <f>$F11*(VLOOKUP(BG$4, Rates_previous!$G$6:$Q$29, 10, FALSE)+VLOOKUP(BG$4, Rates_previous!$G$6:$Q$29, 11, FALSE))</f>
        <v>11659.690822860002</v>
      </c>
      <c r="BH11" s="314">
        <f>IF($D11=0,IF(C11=0, MAX(BJ11 - (VLOOKUP($A11,TOCA_previous!$A$2:$AI$137,MATCH("RHWM 2020",TOCA_previous!$A$2:$AI$2,0),FALSE)*$F$2*TOCA_previous!C8),0),0), 0)</f>
        <v>0</v>
      </c>
      <c r="BI11" s="204">
        <f>MIN(VLOOKUP($A11,TOCA_previous!$A$2:$AI$137,MATCH("TRL - NLSL - Existing Resource "&amp;$F$1,TOCA_previous!$A$2:$AI$2,0),FALSE)*$F$2,(VLOOKUP($A11,TOCA_previous!$A$2:$AI$137,MATCH("RHWM 2020",TOCA_previous!$A$2:$AI$2,0),FALSE)*$F$2))</f>
        <v>153922.03200000001</v>
      </c>
      <c r="BJ11" s="418">
        <f>SUM(L11:AI11)+(F11*RT1SC!$C$3*$F$2)</f>
        <v>153918.91529625602</v>
      </c>
      <c r="BK11" s="417">
        <f>VLOOKUP($A11,TOCA_previous!$A$2:$AI$137,MATCH("Above RHWM Not Served with LS "&amp;$F$1,TOCA_previous!$A$2:$AI$2,0),FALSE)*$F$2</f>
        <v>32000.111999999997</v>
      </c>
      <c r="BL11" s="418">
        <f t="shared" si="8"/>
        <v>-3.1167037439881824</v>
      </c>
      <c r="BM11" s="417">
        <f>(VLOOKUP($A11,TOCA_previous!$A$2:$AI$137,MATCH("RHWM 2020",TOCA_previous!$A$2:$AI$2,0),FALSE)*$F$2) - $BI11</f>
        <v>0</v>
      </c>
      <c r="BN11" s="418">
        <f t="shared" si="9"/>
        <v>0</v>
      </c>
      <c r="BO11" s="417">
        <f t="shared" si="10"/>
        <v>0</v>
      </c>
      <c r="BP11" s="418">
        <f t="shared" si="11"/>
        <v>0</v>
      </c>
      <c r="BQ11" s="417">
        <f t="shared" si="2"/>
        <v>0</v>
      </c>
      <c r="BR11" s="120">
        <f>VLOOKUP($A11,TOCA_current!$A$2:$AI$137,MATCH(BR$4,TOCA_current!$A$2:$AI$2,0),FALSE)</f>
        <v>2.4945000000000002E-3</v>
      </c>
      <c r="BS11" s="120">
        <f>VLOOKUP($A11,TOCA_current!$A$2:$AI$137,MATCH(BS$4,TOCA_current!$A$2:$AI$2,0),FALSE)</f>
        <v>2.4945000000000002E-3</v>
      </c>
      <c r="BT11" s="201">
        <f t="shared" si="12"/>
        <v>0</v>
      </c>
      <c r="BU11" s="120">
        <f>VLOOKUP($A11,TOCA_current!A7:BG142,MATCH(BU$4,TOCA_current!$A$2:$BG$2,0),FALSE)</f>
        <v>8.4766127112592252E-2</v>
      </c>
      <c r="BV11" s="120">
        <f t="shared" si="3"/>
        <v>8.4766127112592252E-2</v>
      </c>
      <c r="BW11" s="120">
        <f t="shared" si="4"/>
        <v>2.4945000000000002E-3</v>
      </c>
      <c r="BX11" s="191">
        <f>VLOOKUP($A11,IRD!$A$4:$G$139, 7, FALSE)</f>
        <v>0</v>
      </c>
      <c r="BY11" s="192">
        <f t="array" ref="BY11">IF($BT11=0, INDEX(LS_current!$D$4:$AY$138, MATCH('Staging Table'!$A11, LS_current!$B$4:$B$138, 0), MATCH(BY$4&amp;BY$5, LS_current!$D$2:$AY$2&amp;LS_current!$D$3:$AY$3, 0)),SUM(VLOOKUP($A11, LS_current!$B$4:$AY$138, LS_current!D$148, FALSE), VLOOKUP($A11, LS_current!$B$4:$AY$138,LS_current!AB$148, FALSE))/2)</f>
        <v>0</v>
      </c>
      <c r="BZ11" s="192">
        <f t="array" ref="BZ11">IF($BT11=0, INDEX(LS_current!$D$4:$AY$138, MATCH('Staging Table'!$A11, LS_current!$B$4:$B$138, 0), MATCH(BZ$4&amp;BZ$5, LS_current!$D$2:$AY$2&amp;LS_current!$D$3:$AY$3, 0)),SUM(VLOOKUP($A11, LS_current!$B$4:$AY$138, LS_current!E$148, FALSE), VLOOKUP($A11, LS_current!$B$4:$AY$138,LS_current!AC$148, FALSE))/2)</f>
        <v>0</v>
      </c>
      <c r="CA11" s="192">
        <f t="array" ref="CA11">IF($BT11=0, INDEX(LS_current!$D$4:$AY$138, MATCH('Staging Table'!$A11, LS_current!$B$4:$B$138, 0), MATCH(CA$4&amp;CA$5, LS_current!$D$2:$AY$2&amp;LS_current!$D$3:$AY$3, 0)),SUM(VLOOKUP($A11, LS_current!$B$4:$AY$138, LS_current!F$148, FALSE), VLOOKUP($A11, LS_current!$B$4:$AY$138,LS_current!AD$148, FALSE))/2)</f>
        <v>0</v>
      </c>
      <c r="CB11" s="192">
        <f t="array" ref="CB11">IF($BT11=0, INDEX(LS_current!$D$4:$AY$138, MATCH('Staging Table'!$A11, LS_current!$B$4:$B$138, 0), MATCH(CB$4&amp;CB$5, LS_current!$D$2:$AY$2&amp;LS_current!$D$3:$AY$3, 0)),SUM(VLOOKUP($A11, LS_current!$B$4:$AY$138, LS_current!G$148, FALSE), VLOOKUP($A11, LS_current!$B$4:$AY$138,LS_current!AE$148, FALSE))/2)</f>
        <v>0</v>
      </c>
      <c r="CC11" s="192">
        <f t="array" ref="CC11">IF($BT11=0, INDEX(LS_current!$D$4:$AY$138, MATCH('Staging Table'!$A11, LS_current!$B$4:$B$138, 0), MATCH(CC$4&amp;CC$5, LS_current!$D$2:$AY$2&amp;LS_current!$D$3:$AY$3, 0)),SUM(VLOOKUP($A11, LS_current!$B$4:$AY$138, LS_current!H$148, FALSE), VLOOKUP($A11, LS_current!$B$4:$AY$138,LS_current!AF$148, FALSE))/2)</f>
        <v>0</v>
      </c>
      <c r="CD11" s="192">
        <f t="array" ref="CD11">IF($BT11=0, INDEX(LS_current!$D$4:$AY$138, MATCH('Staging Table'!$A11, LS_current!$B$4:$B$138, 0), MATCH(CD$4&amp;CD$5, LS_current!$D$2:$AY$2&amp;LS_current!$D$3:$AY$3, 0)),SUM(VLOOKUP($A11, LS_current!$B$4:$AY$138, LS_current!I$148, FALSE), VLOOKUP($A11, LS_current!$B$4:$AY$138,LS_current!AG$148, FALSE))/2)</f>
        <v>0</v>
      </c>
      <c r="CE11" s="192">
        <f t="array" ref="CE11">IF($BT11=0, INDEX(LS_current!$D$4:$AY$138, MATCH('Staging Table'!$A11, LS_current!$B$4:$B$138, 0), MATCH(CE$4&amp;CE$5, LS_current!$D$2:$AY$2&amp;LS_current!$D$3:$AY$3, 0)),SUM(VLOOKUP($A11, LS_current!$B$4:$AY$138, LS_current!J$148, FALSE), VLOOKUP($A11, LS_current!$B$4:$AY$138,LS_current!AH$148, FALSE))/2)</f>
        <v>0</v>
      </c>
      <c r="CF11" s="192">
        <f t="array" ref="CF11">IF($BT11=0, INDEX(LS_current!$D$4:$AY$138, MATCH('Staging Table'!$A11, LS_current!$B$4:$B$138, 0), MATCH(CF$4&amp;CF$5, LS_current!$D$2:$AY$2&amp;LS_current!$D$3:$AY$3, 0)),SUM(VLOOKUP($A11, LS_current!$B$4:$AY$138, LS_current!K$148, FALSE), VLOOKUP($A11, LS_current!$B$4:$AY$138,LS_current!AI$148, FALSE))/2)</f>
        <v>0</v>
      </c>
      <c r="CG11" s="192">
        <f t="array" ref="CG11">IF($BT11=0, INDEX(LS_current!$D$4:$AY$138, MATCH('Staging Table'!$A11, LS_current!$B$4:$B$138, 0), MATCH(CG$4&amp;CG$5, LS_current!$D$2:$AY$2&amp;LS_current!$D$3:$AY$3, 0)),SUM(VLOOKUP($A11, LS_current!$B$4:$AY$138, LS_current!L$148, FALSE), VLOOKUP($A11, LS_current!$B$4:$AY$138,LS_current!AJ$148, FALSE))/2)</f>
        <v>0</v>
      </c>
      <c r="CH11" s="192">
        <f t="array" ref="CH11">IF($BT11=0, INDEX(LS_current!$D$4:$AY$138, MATCH('Staging Table'!$A11, LS_current!$B$4:$B$138, 0), MATCH(CH$4&amp;CH$5, LS_current!$D$2:$AY$2&amp;LS_current!$D$3:$AY$3, 0)),SUM(VLOOKUP($A11, LS_current!$B$4:$AY$138, LS_current!M$148, FALSE), VLOOKUP($A11, LS_current!$B$4:$AY$138,LS_current!AK$148, FALSE))/2)</f>
        <v>0</v>
      </c>
      <c r="CI11" s="192">
        <f t="array" ref="CI11">IF($BT11=0, INDEX(LS_current!$D$4:$AY$138, MATCH('Staging Table'!$A11, LS_current!$B$4:$B$138, 0), MATCH(CI$4&amp;CI$5, LS_current!$D$2:$AY$2&amp;LS_current!$D$3:$AY$3, 0)),SUM(VLOOKUP($A11, LS_current!$B$4:$AY$138, LS_current!N$148, FALSE), VLOOKUP($A11, LS_current!$B$4:$AY$138,LS_current!AL$148, FALSE))/2)</f>
        <v>0</v>
      </c>
      <c r="CJ11" s="192">
        <f t="array" ref="CJ11">IF($BT11=0, INDEX(LS_current!$D$4:$AY$138, MATCH('Staging Table'!$A11, LS_current!$B$4:$B$138, 0), MATCH(CJ$4&amp;CJ$5, LS_current!$D$2:$AY$2&amp;LS_current!$D$3:$AY$3, 0)),SUM(VLOOKUP($A11, LS_current!$B$4:$AY$138, LS_current!O$148, FALSE), VLOOKUP($A11, LS_current!$B$4:$AY$138,LS_current!AM$148, FALSE))/2)</f>
        <v>0</v>
      </c>
      <c r="CK11" s="192">
        <f t="array" ref="CK11">IF($BT11=0, INDEX(LS_current!$D$4:$AY$138, MATCH('Staging Table'!$A11, LS_current!$B$4:$B$138, 0), MATCH(CK$4&amp;CK$5, LS_current!$D$2:$AY$2&amp;LS_current!$D$3:$AY$3, 0)),SUM(VLOOKUP($A11, LS_current!$B$4:$AY$138, LS_current!P$148, FALSE), VLOOKUP($A11, LS_current!$B$4:$AY$138,LS_current!AN$148, FALSE))/2)</f>
        <v>0</v>
      </c>
      <c r="CL11" s="192">
        <f t="array" ref="CL11">IF($BT11=0, INDEX(LS_current!$D$4:$AY$138, MATCH('Staging Table'!$A11, LS_current!$B$4:$B$138, 0), MATCH(CL$4&amp;CL$5, LS_current!$D$2:$AY$2&amp;LS_current!$D$3:$AY$3, 0)),SUM(VLOOKUP($A11, LS_current!$B$4:$AY$138, LS_current!Q$148, FALSE), VLOOKUP($A11, LS_current!$B$4:$AY$138,LS_current!AO$148, FALSE))/2)</f>
        <v>0</v>
      </c>
      <c r="CM11" s="192">
        <f t="array" ref="CM11">IF($BT11=0, INDEX(LS_current!$D$4:$AY$138, MATCH('Staging Table'!$A11, LS_current!$B$4:$B$138, 0), MATCH(CM$4&amp;CM$5, LS_current!$D$2:$AY$2&amp;LS_current!$D$3:$AY$3, 0)),SUM(VLOOKUP($A11, LS_current!$B$4:$AY$138, LS_current!R$148, FALSE), VLOOKUP($A11, LS_current!$B$4:$AY$138,LS_current!AP$148, FALSE))/2)</f>
        <v>0</v>
      </c>
      <c r="CN11" s="192">
        <f t="array" ref="CN11">IF($BT11=0, INDEX(LS_current!$D$4:$AY$138, MATCH('Staging Table'!$A11, LS_current!$B$4:$B$138, 0), MATCH(CN$4&amp;CN$5, LS_current!$D$2:$AY$2&amp;LS_current!$D$3:$AY$3, 0)),SUM(VLOOKUP($A11, LS_current!$B$4:$AY$138, LS_current!S$148, FALSE), VLOOKUP($A11, LS_current!$B$4:$AY$138,LS_current!AQ$148, FALSE))/2)</f>
        <v>0</v>
      </c>
      <c r="CO11" s="192">
        <f t="array" ref="CO11">IF($BT11=0, INDEX(LS_current!$D$4:$AY$138, MATCH('Staging Table'!$A11, LS_current!$B$4:$B$138, 0), MATCH(CO$4&amp;CO$5, LS_current!$D$2:$AY$2&amp;LS_current!$D$3:$AY$3, 0)),SUM(VLOOKUP($A11, LS_current!$B$4:$AY$138, LS_current!T$148, FALSE), VLOOKUP($A11, LS_current!$B$4:$AY$138,LS_current!AR$148, FALSE))/2)</f>
        <v>0</v>
      </c>
      <c r="CP11" s="192">
        <f t="array" ref="CP11">IF($BT11=0, INDEX(LS_current!$D$4:$AY$138, MATCH('Staging Table'!$A11, LS_current!$B$4:$B$138, 0), MATCH(CP$4&amp;CP$5, LS_current!$D$2:$AY$2&amp;LS_current!$D$3:$AY$3, 0)),SUM(VLOOKUP($A11, LS_current!$B$4:$AY$138, LS_current!U$148, FALSE), VLOOKUP($A11, LS_current!$B$4:$AY$138,LS_current!AS$148, FALSE))/2)</f>
        <v>0</v>
      </c>
      <c r="CQ11" s="192">
        <f t="array" ref="CQ11">IF($BT11=0, INDEX(LS_current!$D$4:$AY$138, MATCH('Staging Table'!$A11, LS_current!$B$4:$B$138, 0), MATCH(CQ$4&amp;CQ$5, LS_current!$D$2:$AY$2&amp;LS_current!$D$3:$AY$3, 0)),SUM(VLOOKUP($A11, LS_current!$B$4:$AY$138, LS_current!V$148, FALSE), VLOOKUP($A11, LS_current!$B$4:$AY$138,LS_current!AT$148, FALSE))/2)</f>
        <v>0</v>
      </c>
      <c r="CR11" s="192">
        <f t="array" ref="CR11">IF($BT11=0, INDEX(LS_current!$D$4:$AY$138, MATCH('Staging Table'!$A11, LS_current!$B$4:$B$138, 0), MATCH(CR$4&amp;CR$5, LS_current!$D$2:$AY$2&amp;LS_current!$D$3:$AY$3, 0)),SUM(VLOOKUP($A11, LS_current!$B$4:$AY$138, LS_current!W$148, FALSE), VLOOKUP($A11, LS_current!$B$4:$AY$138,LS_current!AU$148, FALSE))/2)</f>
        <v>0</v>
      </c>
      <c r="CS11" s="192">
        <f t="array" ref="CS11">IF($BT11=0, INDEX(LS_current!$D$4:$AY$138, MATCH('Staging Table'!$A11, LS_current!$B$4:$B$138, 0), MATCH(CS$4&amp;CS$5, LS_current!$D$2:$AY$2&amp;LS_current!$D$3:$AY$3, 0)),SUM(VLOOKUP($A11, LS_current!$B$4:$AY$138, LS_current!X$148, FALSE), VLOOKUP($A11, LS_current!$B$4:$AY$138,LS_current!AV$148, FALSE))/2)</f>
        <v>0</v>
      </c>
      <c r="CT11" s="192">
        <f t="array" ref="CT11">IF($BT11=0, INDEX(LS_current!$D$4:$AY$138, MATCH('Staging Table'!$A11, LS_current!$B$4:$B$138, 0), MATCH(CT$4&amp;CT$5, LS_current!$D$2:$AY$2&amp;LS_current!$D$3:$AY$3, 0)),SUM(VLOOKUP($A11, LS_current!$B$4:$AY$138, LS_current!Y$148, FALSE), VLOOKUP($A11, LS_current!$B$4:$AY$138,LS_current!AW$148, FALSE))/2)</f>
        <v>0</v>
      </c>
      <c r="CU11" s="192">
        <f t="array" ref="CU11">IF($BT11=0, INDEX(LS_current!$D$4:$AY$138, MATCH('Staging Table'!$A11, LS_current!$B$4:$B$138, 0), MATCH(CU$4&amp;CU$5, LS_current!$D$2:$AY$2&amp;LS_current!$D$3:$AY$3, 0)),SUM(VLOOKUP($A11, LS_current!$B$4:$AY$138, LS_current!Z$148, FALSE), VLOOKUP($A11, LS_current!$B$4:$AY$138,LS_current!AX$148, FALSE))/2)</f>
        <v>0</v>
      </c>
      <c r="CV11" s="192">
        <f t="array" ref="CV11">IF($BT11=0, INDEX(LS_current!$D$4:$AY$138, MATCH('Staging Table'!$A11, LS_current!$B$4:$B$138, 0), MATCH(CV$4&amp;CV$5, LS_current!$D$2:$AY$2&amp;LS_current!$D$3:$AY$3, 0)),SUM(VLOOKUP($A11, LS_current!$B$4:$AY$138, LS_current!AA$148, FALSE), VLOOKUP($A11, LS_current!$B$4:$AY$138,LS_current!AY$148, FALSE))/2)</f>
        <v>0</v>
      </c>
      <c r="CW11" s="194">
        <f t="array" ref="CW11">INDEX(Demand_current!$D$4:$AY$138, MATCH($A11, Demand_current!$B$4:$B$138, 0), MATCH(CW$4&amp;CW$5,Demand_current!$D$2:$AY$2&amp;Demand_current!$D$3:$AY$3, 0))/1000</f>
        <v>0</v>
      </c>
      <c r="CX11" s="194">
        <f t="array" ref="CX11">INDEX(Demand_current!$D$4:$AY$138, MATCH($A11, Demand_current!$B$4:$B$138, 0), MATCH(CX$4&amp;CX$5,Demand_current!$D$2:$AY$2&amp;Demand_current!$D$3:$AY$3, 0))/1000</f>
        <v>0</v>
      </c>
      <c r="CY11" s="194">
        <f t="array" ref="CY11">INDEX(Demand_current!$D$4:$AY$138, MATCH($A11, Demand_current!$B$4:$B$138, 0), MATCH(CY$4&amp;CY$5,Demand_current!$D$2:$AY$2&amp;Demand_current!$D$3:$AY$3, 0))/1000</f>
        <v>0</v>
      </c>
      <c r="CZ11" s="194">
        <f t="array" ref="CZ11">INDEX(Demand_current!$D$4:$AY$138, MATCH($A11, Demand_current!$B$4:$B$138, 0), MATCH(CZ$4&amp;CZ$5,Demand_current!$D$2:$AY$2&amp;Demand_current!$D$3:$AY$3, 0))/1000</f>
        <v>0</v>
      </c>
      <c r="DA11" s="194">
        <f t="array" ref="DA11">INDEX(Demand_current!$D$4:$AY$138, MATCH($A11, Demand_current!$B$4:$B$138, 0), MATCH(DA$4&amp;DA$5,Demand_current!$D$2:$AY$2&amp;Demand_current!$D$3:$AY$3, 0))/1000</f>
        <v>0</v>
      </c>
      <c r="DB11" s="194">
        <f t="array" ref="DB11">INDEX(Demand_current!$D$4:$AY$138, MATCH($A11, Demand_current!$B$4:$B$138, 0), MATCH(DB$4&amp;DB$5,Demand_current!$D$2:$AY$2&amp;Demand_current!$D$3:$AY$3, 0))/1000</f>
        <v>0</v>
      </c>
      <c r="DC11" s="194">
        <f t="array" ref="DC11">INDEX(Demand_current!$D$4:$AY$138, MATCH($A11, Demand_current!$B$4:$B$138, 0), MATCH(DC$4&amp;DC$5,Demand_current!$D$2:$AY$2&amp;Demand_current!$D$3:$AY$3, 0))/1000</f>
        <v>0</v>
      </c>
      <c r="DD11" s="194">
        <f t="array" ref="DD11">INDEX(Demand_current!$D$4:$AY$138, MATCH($A11, Demand_current!$B$4:$B$138, 0), MATCH(DD$4&amp;DD$5,Demand_current!$D$2:$AY$2&amp;Demand_current!$D$3:$AY$3, 0))/1000</f>
        <v>0</v>
      </c>
      <c r="DE11" s="194">
        <f t="array" ref="DE11">INDEX(Demand_current!$D$4:$AY$138, MATCH($A11, Demand_current!$B$4:$B$138, 0), MATCH(DE$4&amp;DE$5,Demand_current!$D$2:$AY$2&amp;Demand_current!$D$3:$AY$3, 0))/1000</f>
        <v>0</v>
      </c>
      <c r="DF11" s="194">
        <f t="array" ref="DF11">INDEX(Demand_current!$D$4:$AY$138, MATCH($A11, Demand_current!$B$4:$B$138, 0), MATCH(DF$4&amp;DF$5,Demand_current!$D$2:$AY$2&amp;Demand_current!$D$3:$AY$3, 0))/1000</f>
        <v>0</v>
      </c>
      <c r="DG11" s="194">
        <f t="array" ref="DG11">INDEX(Demand_current!$D$4:$AY$138, MATCH($A11, Demand_current!$B$4:$B$138, 0), MATCH(DG$4&amp;DG$5,Demand_current!$D$2:$AY$2&amp;Demand_current!$D$3:$AY$3, 0))/1000</f>
        <v>0</v>
      </c>
      <c r="DH11" s="194">
        <f t="array" ref="DH11">INDEX(Demand_current!$D$4:$AY$138, MATCH($A11, Demand_current!$B$4:$B$138, 0), MATCH(DH$4&amp;DH$5,Demand_current!$D$2:$AY$2&amp;Demand_current!$D$3:$AY$3, 0))/1000</f>
        <v>0</v>
      </c>
      <c r="DI11" s="192">
        <f>$BS11*(VLOOKUP(DI$4, Rates_current!$G$6:$Q$29, 10, FALSE)+VLOOKUP(DI$4, Rates_current!$G$6:$Q$29, 11, FALSE))</f>
        <v>11359.764467593304</v>
      </c>
      <c r="DJ11" s="192">
        <f>$BS11*(VLOOKUP(DJ$4, Rates_current!$G$6:$Q$29, 10, FALSE)+VLOOKUP(DJ$4, Rates_current!$G$6:$Q$29, 11, FALSE))</f>
        <v>14381.874090196383</v>
      </c>
      <c r="DK11" s="192">
        <f>$BS11*(VLOOKUP(DK$4, Rates_current!$G$6:$Q$29, 10, FALSE)+VLOOKUP(DK$4, Rates_current!$G$6:$Q$29, 11, FALSE))</f>
        <v>14076.98147724752</v>
      </c>
      <c r="DL11" s="192">
        <f>$BS11*(VLOOKUP(DL$4, Rates_current!$G$6:$Q$29, 10, FALSE)+VLOOKUP(DL$4, Rates_current!$G$6:$Q$29, 11, FALSE))</f>
        <v>11626.988078794711</v>
      </c>
      <c r="DM11" s="192">
        <f>$BS11*(VLOOKUP(DM$4, Rates_current!$G$6:$Q$29, 10, FALSE)+VLOOKUP(DM$4, Rates_current!$G$6:$Q$29, 11, FALSE))</f>
        <v>10077.365397615096</v>
      </c>
      <c r="DN11" s="192">
        <f>$BS11*(VLOOKUP(DN$4, Rates_current!$G$6:$Q$29, 10, FALSE)+VLOOKUP(DN$4, Rates_current!$G$6:$Q$29, 11, FALSE))</f>
        <v>12030.339269173015</v>
      </c>
      <c r="DO11" s="192">
        <f>$BS11*(VLOOKUP(DO$4, Rates_current!$G$6:$Q$29, 10, FALSE)+VLOOKUP(DO$4, Rates_current!$G$6:$Q$29, 11, FALSE))</f>
        <v>9339.9568566867165</v>
      </c>
      <c r="DP11" s="192">
        <f>$BS11*(VLOOKUP(DP$4, Rates_current!$G$6:$Q$29, 10, FALSE)+VLOOKUP(DP$4, Rates_current!$G$6:$Q$29, 11, FALSE))</f>
        <v>12940.578957533678</v>
      </c>
      <c r="DQ11" s="192">
        <f>$BS11*(VLOOKUP(DQ$4, Rates_current!$G$6:$Q$29, 10, FALSE)+VLOOKUP(DQ$4, Rates_current!$G$6:$Q$29, 11, FALSE))</f>
        <v>13827.279580865177</v>
      </c>
      <c r="DR11" s="192">
        <f>$BS11*(VLOOKUP(DR$4, Rates_current!$G$6:$Q$29, 10, FALSE)+VLOOKUP(DR$4, Rates_current!$G$6:$Q$29, 11, FALSE))</f>
        <v>13128.375840705965</v>
      </c>
      <c r="DS11" s="192">
        <f>$BS11*(VLOOKUP(DS$4, Rates_current!$G$6:$Q$29, 10, FALSE)+VLOOKUP(DS$4, Rates_current!$G$6:$Q$29, 11, FALSE))</f>
        <v>12687.562448542172</v>
      </c>
      <c r="DT11" s="192">
        <f>$BS11*(VLOOKUP(DT$4, Rates_current!$G$6:$Q$29, 10, FALSE)+VLOOKUP(DT$4, Rates_current!$G$6:$Q$29, 11, FALSE))</f>
        <v>11724.630328422556</v>
      </c>
      <c r="DU11" s="418">
        <f>IF(D11=0,IF(C11=0,MAX(0,DW11 - (VLOOKUP($A11,TOCA_current!$A$2:$AI$137,MATCH("RHWM 2022",TOCA_current!$A$2:$AI$2,0),FALSE)*$BS$2)), 0),0)</f>
        <v>0</v>
      </c>
      <c r="DV11" s="419">
        <f>MIN(VLOOKUP($A11,TOCA_current!$A$2:$AI$137,MATCH("TRL - NLSL - Existing Resource "&amp;$BS$1,TOCA_current!$A$2:$AI$2,0),FALSE)*$BS$2, VLOOKUP($A11,TOCA_current!$A$2:$AI$137,MATCH("RHWM 2022",TOCA_current!$A$2:$AI$2,0),FALSE)*$BS$2)</f>
        <v>147203.03999999998</v>
      </c>
      <c r="DW11" s="419">
        <f>SUM(BY11:CV11)+(BS11*RT1SC!$C$4*$BS$2)</f>
        <v>147201.70432338002</v>
      </c>
      <c r="DX11" s="419">
        <f>VLOOKUP($A11,TOCA_current!$A$2:$AI$137,MATCH("Above RHWM Not Served with LS "&amp;$BS$1,TOCA_current!$A$2:$AI$2,0),FALSE)*$BS$2</f>
        <v>44763.600000000006</v>
      </c>
      <c r="DY11" s="419">
        <f t="shared" si="13"/>
        <v>-1.3356766199576668</v>
      </c>
      <c r="DZ11" s="419">
        <f>(VLOOKUP($A11,TOCA_current!$A$2:$AI$137,MATCH("RHWM 2022",TOCA_current!$A$2:$AI$2,0),FALSE)*$BS$2) - $DV11</f>
        <v>0</v>
      </c>
      <c r="EA11" s="419">
        <f t="shared" si="14"/>
        <v>0</v>
      </c>
      <c r="EB11" s="419">
        <f t="shared" si="15"/>
        <v>0</v>
      </c>
      <c r="EC11" s="419">
        <f t="shared" si="16"/>
        <v>0</v>
      </c>
      <c r="ED11" s="419">
        <f t="shared" si="17"/>
        <v>0</v>
      </c>
    </row>
    <row r="12" spans="1:134">
      <c r="A12" s="135">
        <v>10044</v>
      </c>
      <c r="B12" s="136" t="s">
        <v>13</v>
      </c>
      <c r="C12" s="244">
        <f>VLOOKUP(A12, TOCA_current!$A$3:$D$137, 4, FALSE)</f>
        <v>0</v>
      </c>
      <c r="D12" s="203">
        <v>0</v>
      </c>
      <c r="E12" s="119">
        <f>VLOOKUP($A12,TOCA_previous!$A$2:$AI$137,MATCH(E$4,TOCA_previous!$A$2:$AI$2,0),FALSE)</f>
        <v>2.8758999999999998E-3</v>
      </c>
      <c r="F12" s="120">
        <f>VLOOKUP($A12,TOCA_previous!$A$2:$AI$137,MATCH(F$4,TOCA_previous!$A$2:$AI$2,0),FALSE)</f>
        <v>2.8758999999999998E-3</v>
      </c>
      <c r="G12" s="120">
        <f t="shared" si="5"/>
        <v>0</v>
      </c>
      <c r="H12" s="120">
        <f>VLOOKUP($A12,TOCA_previous!$A$2:$AI$137,MATCH(H$4,TOCA_previous!$A$2:$AI$2,0),FALSE)</f>
        <v>0</v>
      </c>
      <c r="I12" s="120">
        <f t="shared" si="6"/>
        <v>0</v>
      </c>
      <c r="J12" s="120">
        <f t="shared" si="7"/>
        <v>0</v>
      </c>
      <c r="K12" s="191">
        <f>VLOOKUP(A12, IRD!$A$5:$C$139, 3, FALSE)</f>
        <v>0</v>
      </c>
      <c r="L12" s="192">
        <f t="array" ref="L12">IF($G12=0, INDEX(LS_previous!$D$4:$AY$138, MATCH('Staging Table'!$A12, LS_previous!$B$4:$B$138, 0), MATCH(L$4&amp;L$5, LS_previous!$D$2:$AY$2&amp;LS_previous!$D$3:$AY$3, 0)),SUM(VLOOKUP($A12, LS_previous!$B$4:$AY$138, LS_previous!D$149, FALSE), VLOOKUP('Staging Table'!$A12, LS_previous!$B$4:$AY$138,LS_previous!AB$149, FALSE))/2)</f>
        <v>978.40485065080065</v>
      </c>
      <c r="M12" s="192">
        <f t="array" ref="M12">IF($G12=0, INDEX(LS_previous!$D$4:$AY$138, MATCH('Staging Table'!$A12, LS_previous!$B$4:$B$138, 0), MATCH(M$4&amp;M$5, LS_previous!$D$2:$AY$2&amp;LS_previous!$D$3:$AY$3, 0)),SUM(VLOOKUP($A12, LS_previous!$B$4:$AY$138, LS_previous!E$149, FALSE), VLOOKUP('Staging Table'!$A12, LS_previous!$B$4:$AY$138,LS_previous!AC$149, FALSE))/2)</f>
        <v>1014.9596253728005</v>
      </c>
      <c r="N12" s="192">
        <f t="array" ref="N12">IF($G12=0, INDEX(LS_previous!$D$4:$AY$138, MATCH('Staging Table'!$A12, LS_previous!$B$4:$B$138, 0), MATCH(N$4&amp;N$5, LS_previous!$D$2:$AY$2&amp;LS_previous!$D$3:$AY$3, 0)),SUM(VLOOKUP($A12, LS_previous!$B$4:$AY$138, LS_previous!F$149, FALSE), VLOOKUP('Staging Table'!$A12, LS_previous!$B$4:$AY$138,LS_previous!AD$149, FALSE))/2)</f>
        <v>-221.56127377519806</v>
      </c>
      <c r="O12" s="192">
        <f t="array" ref="O12">IF($G12=0, INDEX(LS_previous!$D$4:$AY$138, MATCH('Staging Table'!$A12, LS_previous!$B$4:$B$138, 0), MATCH(O$4&amp;O$5, LS_previous!$D$2:$AY$2&amp;LS_previous!$D$3:$AY$3, 0)),SUM(VLOOKUP($A12, LS_previous!$B$4:$AY$138, LS_previous!G$149, FALSE), VLOOKUP('Staging Table'!$A12, LS_previous!$B$4:$AY$138,LS_previous!AE$149, FALSE))/2)</f>
        <v>48.71582173509978</v>
      </c>
      <c r="P12" s="192">
        <f t="array" ref="P12">IF($G12=0, INDEX(LS_previous!$D$4:$AY$138, MATCH('Staging Table'!$A12, LS_previous!$B$4:$B$138, 0), MATCH(P$4&amp;P$5, LS_previous!$D$2:$AY$2&amp;LS_previous!$D$3:$AY$3, 0)),SUM(VLOOKUP($A12, LS_previous!$B$4:$AY$138, LS_previous!H$149, FALSE), VLOOKUP('Staging Table'!$A12, LS_previous!$B$4:$AY$138,LS_previous!AF$149, FALSE))/2)</f>
        <v>1564.3264569952007</v>
      </c>
      <c r="Q12" s="192">
        <f t="array" ref="Q12">IF($G12=0, INDEX(LS_previous!$D$4:$AY$138, MATCH('Staging Table'!$A12, LS_previous!$B$4:$B$138, 0), MATCH(Q$4&amp;Q$5, LS_previous!$D$2:$AY$2&amp;LS_previous!$D$3:$AY$3, 0)),SUM(VLOOKUP($A12, LS_previous!$B$4:$AY$138, LS_previous!I$149, FALSE), VLOOKUP('Staging Table'!$A12, LS_previous!$B$4:$AY$138,LS_previous!AG$149, FALSE))/2)</f>
        <v>859.01283932839942</v>
      </c>
      <c r="R12" s="192">
        <f t="array" ref="R12">IF($G12=0, INDEX(LS_previous!$D$4:$AY$138, MATCH('Staging Table'!$A12, LS_previous!$B$4:$B$138, 0), MATCH(R$4&amp;R$5, LS_previous!$D$2:$AY$2&amp;LS_previous!$D$3:$AY$3, 0)),SUM(VLOOKUP($A12, LS_previous!$B$4:$AY$138, LS_previous!J$149, FALSE), VLOOKUP('Staging Table'!$A12, LS_previous!$B$4:$AY$138,LS_previous!AH$149, FALSE))/2)</f>
        <v>2793.9115453951999</v>
      </c>
      <c r="S12" s="192">
        <f t="array" ref="S12">IF($G12=0, INDEX(LS_previous!$D$4:$AY$138, MATCH('Staging Table'!$A12, LS_previous!$B$4:$B$138, 0), MATCH(S$4&amp;S$5, LS_previous!$D$2:$AY$2&amp;LS_previous!$D$3:$AY$3, 0)),SUM(VLOOKUP($A12, LS_previous!$B$4:$AY$138, LS_previous!K$149, FALSE), VLOOKUP('Staging Table'!$A12, LS_previous!$B$4:$AY$138,LS_previous!AI$149, FALSE))/2)</f>
        <v>2418.7007541284001</v>
      </c>
      <c r="T12" s="192">
        <f t="array" ref="T12">IF($G12=0, INDEX(LS_previous!$D$4:$AY$138, MATCH('Staging Table'!$A12, LS_previous!$B$4:$B$138, 0), MATCH(T$4&amp;T$5, LS_previous!$D$2:$AY$2&amp;LS_previous!$D$3:$AY$3, 0)),SUM(VLOOKUP($A12, LS_previous!$B$4:$AY$138, LS_previous!L$149, FALSE), VLOOKUP('Staging Table'!$A12, LS_previous!$B$4:$AY$138,LS_previous!AJ$149, FALSE))/2)</f>
        <v>1976.5187310884003</v>
      </c>
      <c r="U12" s="192">
        <f t="array" ref="U12">IF($G12=0, INDEX(LS_previous!$D$4:$AY$138, MATCH('Staging Table'!$A12, LS_previous!$B$4:$B$138, 0), MATCH(U$4&amp;U$5, LS_previous!$D$2:$AY$2&amp;LS_previous!$D$3:$AY$3, 0)),SUM(VLOOKUP($A12, LS_previous!$B$4:$AY$138, LS_previous!M$149, FALSE), VLOOKUP('Staging Table'!$A12, LS_previous!$B$4:$AY$138,LS_previous!AK$149, FALSE))/2)</f>
        <v>971.06191379160009</v>
      </c>
      <c r="V12" s="192">
        <f t="array" ref="V12">IF($G12=0, INDEX(LS_previous!$D$4:$AY$138, MATCH('Staging Table'!$A12, LS_previous!$B$4:$B$138, 0), MATCH(V$4&amp;V$5, LS_previous!$D$2:$AY$2&amp;LS_previous!$D$3:$AY$3, 0)),SUM(VLOOKUP($A12, LS_previous!$B$4:$AY$138, LS_previous!N$149, FALSE), VLOOKUP('Staging Table'!$A12, LS_previous!$B$4:$AY$138,LS_previous!AL$149, FALSE))/2)</f>
        <v>1631.1316445656012</v>
      </c>
      <c r="W12" s="192">
        <f t="array" ref="W12">IF($G12=0, INDEX(LS_previous!$D$4:$AY$138, MATCH('Staging Table'!$A12, LS_previous!$B$4:$B$138, 0), MATCH(W$4&amp;W$5, LS_previous!$D$2:$AY$2&amp;LS_previous!$D$3:$AY$3, 0)),SUM(VLOOKUP($A12, LS_previous!$B$4:$AY$138, LS_previous!O$149, FALSE), VLOOKUP('Staging Table'!$A12, LS_previous!$B$4:$AY$138,LS_previous!AM$149, FALSE))/2)</f>
        <v>595.17366821609994</v>
      </c>
      <c r="X12" s="192">
        <f t="array" ref="X12">IF($G12=0, INDEX(LS_previous!$D$4:$AY$138, MATCH('Staging Table'!$A12, LS_previous!$B$4:$B$138, 0), MATCH(X$4&amp;X$5, LS_previous!$D$2:$AY$2&amp;LS_previous!$D$3:$AY$3, 0)),SUM(VLOOKUP($A12, LS_previous!$B$4:$AY$138, LS_previous!P$149, FALSE), VLOOKUP('Staging Table'!$A12, LS_previous!$B$4:$AY$138,LS_previous!AN$149, FALSE))/2)</f>
        <v>2486.9566347303999</v>
      </c>
      <c r="Y12" s="192">
        <f t="array" ref="Y12">IF($G12=0, INDEX(LS_previous!$D$4:$AY$138, MATCH('Staging Table'!$A12, LS_previous!$B$4:$B$138, 0), MATCH(Y$4&amp;Y$5, LS_previous!$D$2:$AY$2&amp;LS_previous!$D$3:$AY$3, 0)),SUM(VLOOKUP($A12, LS_previous!$B$4:$AY$138, LS_previous!Q$149, FALSE), VLOOKUP('Staging Table'!$A12, LS_previous!$B$4:$AY$138,LS_previous!AO$149, FALSE))/2)</f>
        <v>993.37073463760044</v>
      </c>
      <c r="Z12" s="192">
        <f t="array" ref="Z12">IF($G12=0, INDEX(LS_previous!$D$4:$AY$138, MATCH('Staging Table'!$A12, LS_previous!$B$4:$B$138, 0), MATCH(Z$4&amp;Z$5, LS_previous!$D$2:$AY$2&amp;LS_previous!$D$3:$AY$3, 0)),SUM(VLOOKUP($A12, LS_previous!$B$4:$AY$138, LS_previous!R$149, FALSE), VLOOKUP('Staging Table'!$A12, LS_previous!$B$4:$AY$138,LS_previous!AP$149, FALSE))/2)</f>
        <v>-1513.5056908899987</v>
      </c>
      <c r="AA12" s="192">
        <f t="array" ref="AA12">IF($G12=0, INDEX(LS_previous!$D$4:$AY$138, MATCH('Staging Table'!$A12, LS_previous!$B$4:$B$138, 0), MATCH(AA$4&amp;AA$5, LS_previous!$D$2:$AY$2&amp;LS_previous!$D$3:$AY$3, 0)),SUM(VLOOKUP($A12, LS_previous!$B$4:$AY$138, LS_previous!S$149, FALSE), VLOOKUP('Staging Table'!$A12, LS_previous!$B$4:$AY$138,LS_previous!AQ$149, FALSE))/2)</f>
        <v>-137.48464303639958</v>
      </c>
      <c r="AB12" s="192">
        <f t="array" ref="AB12">IF($G12=0, INDEX(LS_previous!$D$4:$AY$138, MATCH('Staging Table'!$A12, LS_previous!$B$4:$B$138, 0), MATCH(AB$4&amp;AB$5, LS_previous!$D$2:$AY$2&amp;LS_previous!$D$3:$AY$3, 0)),SUM(VLOOKUP($A12, LS_previous!$B$4:$AY$138, LS_previous!T$149, FALSE), VLOOKUP('Staging Table'!$A12, LS_previous!$B$4:$AY$138,LS_previous!AR$149, FALSE))/2)</f>
        <v>-3341.9537489195991</v>
      </c>
      <c r="AC12" s="192">
        <f t="array" ref="AC12">IF($G12=0, INDEX(LS_previous!$D$4:$AY$138, MATCH('Staging Table'!$A12, LS_previous!$B$4:$B$138, 0), MATCH(AC$4&amp;AC$5, LS_previous!$D$2:$AY$2&amp;LS_previous!$D$3:$AY$3, 0)),SUM(VLOOKUP($A12, LS_previous!$B$4:$AY$138, LS_previous!U$149, FALSE), VLOOKUP('Staging Table'!$A12, LS_previous!$B$4:$AY$138,LS_previous!AS$149, FALSE))/2)</f>
        <v>-1852.1693727623997</v>
      </c>
      <c r="AD12" s="192">
        <f t="array" ref="AD12">IF($G12=0, INDEX(LS_previous!$D$4:$AY$138, MATCH('Staging Table'!$A12, LS_previous!$B$4:$B$138, 0), MATCH(AD$4&amp;AD$5, LS_previous!$D$2:$AY$2&amp;LS_previous!$D$3:$AY$3, 0)),SUM(VLOOKUP($A12, LS_previous!$B$4:$AY$138, LS_previous!V$149, FALSE), VLOOKUP('Staging Table'!$A12, LS_previous!$B$4:$AY$138,LS_previous!AT$149, FALSE))/2)</f>
        <v>-623.06685841959916</v>
      </c>
      <c r="AE12" s="192">
        <f t="array" ref="AE12">IF($G12=0, INDEX(LS_previous!$D$4:$AY$138, MATCH('Staging Table'!$A12, LS_previous!$B$4:$B$138, 0), MATCH(AE$4&amp;AE$5, LS_previous!$D$2:$AY$2&amp;LS_previous!$D$3:$AY$3, 0)),SUM(VLOOKUP($A12, LS_previous!$B$4:$AY$138, LS_previous!W$149, FALSE), VLOOKUP('Staging Table'!$A12, LS_previous!$B$4:$AY$138,LS_previous!AU$149, FALSE))/2)</f>
        <v>1387.0911768432006</v>
      </c>
      <c r="AF12" s="192">
        <f t="array" ref="AF12">IF($G12=0, INDEX(LS_previous!$D$4:$AY$138, MATCH('Staging Table'!$A12, LS_previous!$B$4:$B$138, 0), MATCH(AF$4&amp;AF$5, LS_previous!$D$2:$AY$2&amp;LS_previous!$D$3:$AY$3, 0)),SUM(VLOOKUP($A12, LS_previous!$B$4:$AY$138, LS_previous!X$149, FALSE), VLOOKUP('Staging Table'!$A12, LS_previous!$B$4:$AY$138,LS_previous!AV$149, FALSE))/2)</f>
        <v>457.09212453039981</v>
      </c>
      <c r="AG12" s="192">
        <f t="array" ref="AG12">IF($G12=0, INDEX(LS_previous!$D$4:$AY$138, MATCH('Staging Table'!$A12, LS_previous!$B$4:$B$138, 0), MATCH(AG$4&amp;AG$5, LS_previous!$D$2:$AY$2&amp;LS_previous!$D$3:$AY$3, 0)),SUM(VLOOKUP($A12, LS_previous!$B$4:$AY$138, LS_previous!Y$149, FALSE), VLOOKUP('Staging Table'!$A12, LS_previous!$B$4:$AY$138,LS_previous!AW$149, FALSE))/2)</f>
        <v>896.85594484319972</v>
      </c>
      <c r="AH12" s="192">
        <f t="array" ref="AH12">IF($G12=0, INDEX(LS_previous!$D$4:$AY$138, MATCH('Staging Table'!$A12, LS_previous!$B$4:$B$138, 0), MATCH(AH$4&amp;AH$5, LS_previous!$D$2:$AY$2&amp;LS_previous!$D$3:$AY$3, 0)),SUM(VLOOKUP($A12, LS_previous!$B$4:$AY$138, LS_previous!Z$149, FALSE), VLOOKUP('Staging Table'!$A12, LS_previous!$B$4:$AY$138,LS_previous!AX$149, FALSE))/2)</f>
        <v>298.81235295999977</v>
      </c>
      <c r="AI12" s="192">
        <f t="array" ref="AI12">IF($G12=0, INDEX(LS_previous!$D$4:$AY$138, MATCH('Staging Table'!$A12, LS_previous!$B$4:$B$138, 0), MATCH(AI$4&amp;AI$5, LS_previous!$D$2:$AY$2&amp;LS_previous!$D$3:$AY$3, 0)),SUM(VLOOKUP($A12, LS_previous!$B$4:$AY$138, LS_previous!AA$149, FALSE), VLOOKUP('Staging Table'!$A12, LS_previous!$B$4:$AY$138,LS_previous!AY$149, FALSE))/2)</f>
        <v>336.76139850800064</v>
      </c>
      <c r="AJ12" s="314">
        <f t="array" ref="AJ12">INDEX(Demand_previous!$D$4:$AY$138, MATCH('Staging Table'!$A12, Demand_previous!$B$4:$B$138, 0), MATCH(AJ$4&amp;AJ$5,Demand_previous!$D$2:$AY$2&amp;Demand_previous!$D$3:$AY$3, 0))/1000</f>
        <v>1.0612962962962995</v>
      </c>
      <c r="AK12" s="314">
        <f t="array" ref="AK12">INDEX(Demand_previous!$D$4:$AY$138, MATCH('Staging Table'!$A12, Demand_previous!$B$4:$B$138, 0), MATCH(AK$4&amp;AK$5,Demand_previous!$D$2:$AY$2&amp;Demand_previous!$D$3:$AY$3, 0))/1000</f>
        <v>3.4635499999999988</v>
      </c>
      <c r="AL12" s="314">
        <f t="array" ref="AL12">INDEX(Demand_previous!$D$4:$AY$138, MATCH('Staging Table'!$A12, Demand_previous!$B$4:$B$138, 0), MATCH(AL$4&amp;AL$5,Demand_previous!$D$2:$AY$2&amp;Demand_previous!$D$3:$AY$3, 0))/1000</f>
        <v>1.0501800000000001</v>
      </c>
      <c r="AM12" s="314">
        <f t="array" ref="AM12">INDEX(Demand_previous!$D$4:$AY$138, MATCH('Staging Table'!$A12, Demand_previous!$B$4:$B$138, 0), MATCH(AM$4&amp;AM$5,Demand_previous!$D$2:$AY$2&amp;Demand_previous!$D$3:$AY$3, 0))/1000</f>
        <v>3.5182259615384579</v>
      </c>
      <c r="AN12" s="314">
        <f t="array" ref="AN12">INDEX(Demand_previous!$D$4:$AY$138, MATCH('Staging Table'!$A12, Demand_previous!$B$4:$B$138, 0), MATCH(AN$4&amp;AN$5,Demand_previous!$D$2:$AY$2&amp;Demand_previous!$D$3:$AY$3, 0))/1000</f>
        <v>3.0607000000000033</v>
      </c>
      <c r="AO12" s="314">
        <f t="array" ref="AO12">INDEX(Demand_previous!$D$4:$AY$138, MATCH('Staging Table'!$A12, Demand_previous!$B$4:$B$138, 0), MATCH(AO$4&amp;AO$5,Demand_previous!$D$2:$AY$2&amp;Demand_previous!$D$3:$AY$3, 0))/1000</f>
        <v>2.3943990384615415</v>
      </c>
      <c r="AP12" s="314">
        <f t="array" ref="AP12">INDEX(Demand_previous!$D$4:$AY$138, MATCH('Staging Table'!$A12, Demand_previous!$B$4:$B$138, 0), MATCH(AP$4&amp;AP$5,Demand_previous!$D$2:$AY$2&amp;Demand_previous!$D$3:$AY$3, 0))/1000</f>
        <v>0.23103605769230828</v>
      </c>
      <c r="AQ12" s="314">
        <f t="array" ref="AQ12">INDEX(Demand_previous!$D$4:$AY$138, MATCH('Staging Table'!$A12, Demand_previous!$B$4:$B$138, 0), MATCH(AQ$4&amp;AQ$5,Demand_previous!$D$2:$AY$2&amp;Demand_previous!$D$3:$AY$3, 0))/1000</f>
        <v>2.7160850000000001</v>
      </c>
      <c r="AR12" s="314">
        <f t="array" ref="AR12">INDEX(Demand_previous!$D$4:$AY$138, MATCH('Staging Table'!$A12, Demand_previous!$B$4:$B$138, 0), MATCH(AR$4&amp;AR$5,Demand_previous!$D$2:$AY$2&amp;Demand_previous!$D$3:$AY$3, 0))/1000</f>
        <v>7.1093341346153869</v>
      </c>
      <c r="AS12" s="314">
        <f t="array" ref="AS12">INDEX(Demand_previous!$D$4:$AY$138, MATCH('Staging Table'!$A12, Demand_previous!$B$4:$B$138, 0), MATCH(AS$4&amp;AS$5,Demand_previous!$D$2:$AY$2&amp;Demand_previous!$D$3:$AY$3, 0))/1000</f>
        <v>3.5549375000000012</v>
      </c>
      <c r="AT12" s="314">
        <f t="array" ref="AT12">INDEX(Demand_previous!$D$4:$AY$138, MATCH('Staging Table'!$A12, Demand_previous!$B$4:$B$138, 0), MATCH(AT$4&amp;AT$5,Demand_previous!$D$2:$AY$2&amp;Demand_previous!$D$3:$AY$3, 0))/1000</f>
        <v>4.6644879807692332</v>
      </c>
      <c r="AU12" s="314">
        <f t="array" ref="AU12">INDEX(Demand_previous!$D$4:$AY$138, MATCH('Staging Table'!$A12, Demand_previous!$B$4:$B$138, 0), MATCH(AU$4&amp;AU$5,Demand_previous!$D$2:$AY$2&amp;Demand_previous!$D$3:$AY$3, 0))/1000</f>
        <v>3.4302749999999991</v>
      </c>
      <c r="AV12" s="192">
        <f>$F12*(VLOOKUP(AV$4, Rates_previous!$G$6:$Q$29, 10, FALSE)+VLOOKUP(AV$4, Rates_previous!$G$6:$Q$29, 11, FALSE))</f>
        <v>13278.942523976399</v>
      </c>
      <c r="AW12" s="192">
        <f>$F12*(VLOOKUP(AW$4, Rates_previous!$G$6:$Q$29, 10, FALSE)+VLOOKUP(AW$4, Rates_previous!$G$6:$Q$29, 11, FALSE))</f>
        <v>16868.399452040099</v>
      </c>
      <c r="AX12" s="192">
        <f>$F12*(VLOOKUP(AX$4, Rates_previous!$G$6:$Q$29, 10, FALSE)+VLOOKUP(AX$4, Rates_previous!$G$6:$Q$29, 11, FALSE))</f>
        <v>16664.690703676399</v>
      </c>
      <c r="AY12" s="192">
        <f>$F12*(VLOOKUP(AY$4, Rates_previous!$G$6:$Q$29, 10, FALSE)+VLOOKUP(AY$4, Rates_previous!$G$6:$Q$29, 11, FALSE))</f>
        <v>13891.034700476401</v>
      </c>
      <c r="AZ12" s="192">
        <f>$F12*(VLOOKUP(AZ$4, Rates_previous!$G$6:$Q$29, 10, FALSE)+VLOOKUP(AZ$4, Rates_previous!$G$6:$Q$29, 11, FALSE))</f>
        <v>12583.836355119998</v>
      </c>
      <c r="BA12" s="192">
        <f>$F12*(VLOOKUP(BA$4, Rates_previous!$G$6:$Q$29, 10, FALSE)+VLOOKUP(BA$4, Rates_previous!$G$6:$Q$29, 11, FALSE))</f>
        <v>13997.223687218298</v>
      </c>
      <c r="BB12" s="192">
        <f>$F12*(VLOOKUP(BB$4, Rates_previous!$G$6:$Q$29, 10, FALSE)+VLOOKUP(BB$4, Rates_previous!$G$6:$Q$29, 11, FALSE))</f>
        <v>11396.554630631999</v>
      </c>
      <c r="BC12" s="192">
        <f>$F12*(VLOOKUP(BC$4, Rates_previous!$G$6:$Q$29, 10, FALSE)+VLOOKUP(BC$4, Rates_previous!$G$6:$Q$29, 11, FALSE))</f>
        <v>15369.9533339264</v>
      </c>
      <c r="BD12" s="192">
        <f>$F12*(VLOOKUP(BD$4, Rates_previous!$G$6:$Q$29, 10, FALSE)+VLOOKUP(BD$4, Rates_previous!$G$6:$Q$29, 11, FALSE))</f>
        <v>19611.015121682001</v>
      </c>
      <c r="BE12" s="192">
        <f>$F12*(VLOOKUP(BE$4, Rates_previous!$G$6:$Q$29, 10, FALSE)+VLOOKUP(BE$4, Rates_previous!$G$6:$Q$29, 11, FALSE))</f>
        <v>15375.6576815764</v>
      </c>
      <c r="BF12" s="192">
        <f>$F12*(VLOOKUP(BF$4, Rates_previous!$G$6:$Q$29, 10, FALSE)+VLOOKUP(BF$4, Rates_previous!$G$6:$Q$29, 11, FALSE))</f>
        <v>14972.8289306264</v>
      </c>
      <c r="BG12" s="192">
        <f>$F12*(VLOOKUP(BG$4, Rates_previous!$G$6:$Q$29, 10, FALSE)+VLOOKUP(BG$4, Rates_previous!$G$6:$Q$29, 11, FALSE))</f>
        <v>13442.415248532001</v>
      </c>
      <c r="BH12" s="314">
        <f>IF($D12=0,IF(C12=0, MAX(BJ12 - (VLOOKUP($A12,TOCA_previous!$A$2:$AI$137,MATCH("RHWM 2020",TOCA_previous!$A$2:$AI$2,0),FALSE)*$F$2*TOCA_previous!C9),0),0), 0)</f>
        <v>14017.307660584367</v>
      </c>
      <c r="BI12" s="204">
        <f>MIN(VLOOKUP($A12,TOCA_previous!$A$2:$AI$137,MATCH("TRL - NLSL - Existing Resource "&amp;$F$1,TOCA_previous!$A$2:$AI$2,0),FALSE)*$F$2,(VLOOKUP($A12,TOCA_previous!$A$2:$AI$137,MATCH("RHWM 2020",TOCA_previous!$A$2:$AI$2,0),FALSE)*$F$2))</f>
        <v>177454.36800000002</v>
      </c>
      <c r="BJ12" s="418">
        <f>SUM(L12:AI12)+(F12*RT1SC!$C$3*$F$2)</f>
        <v>191471.67566058438</v>
      </c>
      <c r="BK12" s="417">
        <f>VLOOKUP($A12,TOCA_previous!$A$2:$AI$137,MATCH("Above RHWM Not Served with LS "&amp;$F$1,TOCA_previous!$A$2:$AI$2,0),FALSE)*$F$2</f>
        <v>0</v>
      </c>
      <c r="BL12" s="418">
        <f t="shared" si="8"/>
        <v>14017.307660584367</v>
      </c>
      <c r="BM12" s="417">
        <f>(VLOOKUP($A12,TOCA_previous!$A$2:$AI$137,MATCH("RHWM 2020",TOCA_previous!$A$2:$AI$2,0),FALSE)*$F$2) - $BI12</f>
        <v>0</v>
      </c>
      <c r="BN12" s="418">
        <f t="shared" si="9"/>
        <v>0</v>
      </c>
      <c r="BO12" s="417">
        <f t="shared" si="10"/>
        <v>0</v>
      </c>
      <c r="BP12" s="418">
        <f t="shared" si="11"/>
        <v>0</v>
      </c>
      <c r="BQ12" s="417">
        <f t="shared" si="2"/>
        <v>0</v>
      </c>
      <c r="BR12" s="120">
        <f>VLOOKUP($A12,TOCA_current!$A$2:$AI$137,MATCH(BR$4,TOCA_current!$A$2:$AI$2,0),FALSE)</f>
        <v>2.8758999999999998E-3</v>
      </c>
      <c r="BS12" s="120">
        <f>VLOOKUP($A12,TOCA_current!$A$2:$AI$137,MATCH(BS$4,TOCA_current!$A$2:$AI$2,0),FALSE)</f>
        <v>2.8758999999999998E-3</v>
      </c>
      <c r="BT12" s="201">
        <f t="shared" si="12"/>
        <v>0</v>
      </c>
      <c r="BU12" s="120">
        <f>VLOOKUP($A12,TOCA_current!A8:BG143,MATCH(BU$4,TOCA_current!$A$2:$BG$2,0),FALSE)</f>
        <v>0</v>
      </c>
      <c r="BV12" s="120">
        <f t="shared" si="3"/>
        <v>0</v>
      </c>
      <c r="BW12" s="120">
        <f t="shared" si="4"/>
        <v>0</v>
      </c>
      <c r="BX12" s="191">
        <f>VLOOKUP($A12,IRD!$A$4:$G$139, 7, FALSE)</f>
        <v>0</v>
      </c>
      <c r="BY12" s="192">
        <f t="array" ref="BY12">IF($BT12=0, INDEX(LS_current!$D$4:$AY$138, MATCH('Staging Table'!$A12, LS_current!$B$4:$B$138, 0), MATCH(BY$4&amp;BY$5, LS_current!$D$2:$AY$2&amp;LS_current!$D$3:$AY$3, 0)),SUM(VLOOKUP($A12, LS_current!$B$4:$AY$138, LS_current!D$148, FALSE), VLOOKUP($A12, LS_current!$B$4:$AY$138,LS_current!AB$148, FALSE))/2)</f>
        <v>140.27527822235606</v>
      </c>
      <c r="BZ12" s="192">
        <f t="array" ref="BZ12">IF($BT12=0, INDEX(LS_current!$D$4:$AY$138, MATCH('Staging Table'!$A12, LS_current!$B$4:$B$138, 0), MATCH(BZ$4&amp;BZ$5, LS_current!$D$2:$AY$2&amp;LS_current!$D$3:$AY$3, 0)),SUM(VLOOKUP($A12, LS_current!$B$4:$AY$138, LS_current!E$148, FALSE), VLOOKUP($A12, LS_current!$B$4:$AY$138,LS_current!AC$148, FALSE))/2)</f>
        <v>82.400480105332463</v>
      </c>
      <c r="CA12" s="192">
        <f t="array" ref="CA12">IF($BT12=0, INDEX(LS_current!$D$4:$AY$138, MATCH('Staging Table'!$A12, LS_current!$B$4:$B$138, 0), MATCH(CA$4&amp;CA$5, LS_current!$D$2:$AY$2&amp;LS_current!$D$3:$AY$3, 0)),SUM(VLOOKUP($A12, LS_current!$B$4:$AY$138, LS_current!F$148, FALSE), VLOOKUP($A12, LS_current!$B$4:$AY$138,LS_current!AD$148, FALSE))/2)</f>
        <v>-870.59651600056168</v>
      </c>
      <c r="CB12" s="192">
        <f t="array" ref="CB12">IF($BT12=0, INDEX(LS_current!$D$4:$AY$138, MATCH('Staging Table'!$A12, LS_current!$B$4:$B$138, 0), MATCH(CB$4&amp;CB$5, LS_current!$D$2:$AY$2&amp;LS_current!$D$3:$AY$3, 0)),SUM(VLOOKUP($A12, LS_current!$B$4:$AY$138, LS_current!G$148, FALSE), VLOOKUP($A12, LS_current!$B$4:$AY$138,LS_current!AE$148, FALSE))/2)</f>
        <v>-907.28494541285363</v>
      </c>
      <c r="CC12" s="192">
        <f t="array" ref="CC12">IF($BT12=0, INDEX(LS_current!$D$4:$AY$138, MATCH('Staging Table'!$A12, LS_current!$B$4:$B$138, 0), MATCH(CC$4&amp;CC$5, LS_current!$D$2:$AY$2&amp;LS_current!$D$3:$AY$3, 0)),SUM(VLOOKUP($A12, LS_current!$B$4:$AY$138, LS_current!H$148, FALSE), VLOOKUP($A12, LS_current!$B$4:$AY$138,LS_current!AF$148, FALSE))/2)</f>
        <v>1549.5923994622026</v>
      </c>
      <c r="CD12" s="192">
        <f t="array" ref="CD12">IF($BT12=0, INDEX(LS_current!$D$4:$AY$138, MATCH('Staging Table'!$A12, LS_current!$B$4:$B$138, 0), MATCH(CD$4&amp;CD$5, LS_current!$D$2:$AY$2&amp;LS_current!$D$3:$AY$3, 0)),SUM(VLOOKUP($A12, LS_current!$B$4:$AY$138, LS_current!I$148, FALSE), VLOOKUP($A12, LS_current!$B$4:$AY$138,LS_current!AG$148, FALSE))/2)</f>
        <v>-643.86327355165395</v>
      </c>
      <c r="CE12" s="192">
        <f t="array" ref="CE12">IF($BT12=0, INDEX(LS_current!$D$4:$AY$138, MATCH('Staging Table'!$A12, LS_current!$B$4:$B$138, 0), MATCH(CE$4&amp;CE$5, LS_current!$D$2:$AY$2&amp;LS_current!$D$3:$AY$3, 0)),SUM(VLOOKUP($A12, LS_current!$B$4:$AY$138, LS_current!J$148, FALSE), VLOOKUP($A12, LS_current!$B$4:$AY$138,LS_current!AH$148, FALSE))/2)</f>
        <v>2848.2598682901307</v>
      </c>
      <c r="CF12" s="192">
        <f t="array" ref="CF12">IF($BT12=0, INDEX(LS_current!$D$4:$AY$138, MATCH('Staging Table'!$A12, LS_current!$B$4:$B$138, 0), MATCH(CF$4&amp;CF$5, LS_current!$D$2:$AY$2&amp;LS_current!$D$3:$AY$3, 0)),SUM(VLOOKUP($A12, LS_current!$B$4:$AY$138, LS_current!K$148, FALSE), VLOOKUP($A12, LS_current!$B$4:$AY$138,LS_current!AI$148, FALSE))/2)</f>
        <v>897.67475816578826</v>
      </c>
      <c r="CG12" s="192">
        <f t="array" ref="CG12">IF($BT12=0, INDEX(LS_current!$D$4:$AY$138, MATCH('Staging Table'!$A12, LS_current!$B$4:$B$138, 0), MATCH(CG$4&amp;CG$5, LS_current!$D$2:$AY$2&amp;LS_current!$D$3:$AY$3, 0)),SUM(VLOOKUP($A12, LS_current!$B$4:$AY$138, LS_current!L$148, FALSE), VLOOKUP($A12, LS_current!$B$4:$AY$138,LS_current!AJ$148, FALSE))/2)</f>
        <v>2158.8738791093792</v>
      </c>
      <c r="CH12" s="192">
        <f t="array" ref="CH12">IF($BT12=0, INDEX(LS_current!$D$4:$AY$138, MATCH('Staging Table'!$A12, LS_current!$B$4:$B$138, 0), MATCH(CH$4&amp;CH$5, LS_current!$D$2:$AY$2&amp;LS_current!$D$3:$AY$3, 0)),SUM(VLOOKUP($A12, LS_current!$B$4:$AY$138, LS_current!M$148, FALSE), VLOOKUP($A12, LS_current!$B$4:$AY$138,LS_current!AK$148, FALSE))/2)</f>
        <v>-9.6148855239925979</v>
      </c>
      <c r="CI12" s="192">
        <f t="array" ref="CI12">IF($BT12=0, INDEX(LS_current!$D$4:$AY$138, MATCH('Staging Table'!$A12, LS_current!$B$4:$B$138, 0), MATCH(CI$4&amp;CI$5, LS_current!$D$2:$AY$2&amp;LS_current!$D$3:$AY$3, 0)),SUM(VLOOKUP($A12, LS_current!$B$4:$AY$138, LS_current!N$148, FALSE), VLOOKUP($A12, LS_current!$B$4:$AY$138,LS_current!AL$148, FALSE))/2)</f>
        <v>878.92049715325811</v>
      </c>
      <c r="CJ12" s="192">
        <f t="array" ref="CJ12">IF($BT12=0, INDEX(LS_current!$D$4:$AY$138, MATCH('Staging Table'!$A12, LS_current!$B$4:$B$138, 0), MATCH(CJ$4&amp;CJ$5, LS_current!$D$2:$AY$2&amp;LS_current!$D$3:$AY$3, 0)),SUM(VLOOKUP($A12, LS_current!$B$4:$AY$138, LS_current!O$148, FALSE), VLOOKUP($A12, LS_current!$B$4:$AY$138,LS_current!AM$148, FALSE))/2)</f>
        <v>-475.50099473380396</v>
      </c>
      <c r="CK12" s="192">
        <f t="array" ref="CK12">IF($BT12=0, INDEX(LS_current!$D$4:$AY$138, MATCH('Staging Table'!$A12, LS_current!$B$4:$B$138, 0), MATCH(CK$4&amp;CK$5, LS_current!$D$2:$AY$2&amp;LS_current!$D$3:$AY$3, 0)),SUM(VLOOKUP($A12, LS_current!$B$4:$AY$138, LS_current!P$148, FALSE), VLOOKUP($A12, LS_current!$B$4:$AY$138,LS_current!AN$148, FALSE))/2)</f>
        <v>1930.653724260178</v>
      </c>
      <c r="CL12" s="192">
        <f t="array" ref="CL12">IF($BT12=0, INDEX(LS_current!$D$4:$AY$138, MATCH('Staging Table'!$A12, LS_current!$B$4:$B$138, 0), MATCH(CL$4&amp;CL$5, LS_current!$D$2:$AY$2&amp;LS_current!$D$3:$AY$3, 0)),SUM(VLOOKUP($A12, LS_current!$B$4:$AY$138, LS_current!Q$148, FALSE), VLOOKUP($A12, LS_current!$B$4:$AY$138,LS_current!AO$148, FALSE))/2)</f>
        <v>288.22590085694992</v>
      </c>
      <c r="CM12" s="192">
        <f t="array" ref="CM12">IF($BT12=0, INDEX(LS_current!$D$4:$AY$138, MATCH('Staging Table'!$A12, LS_current!$B$4:$B$138, 0), MATCH(CM$4&amp;CM$5, LS_current!$D$2:$AY$2&amp;LS_current!$D$3:$AY$3, 0)),SUM(VLOOKUP($A12, LS_current!$B$4:$AY$138, LS_current!R$148, FALSE), VLOOKUP($A12, LS_current!$B$4:$AY$138,LS_current!AP$148, FALSE))/2)</f>
        <v>-2642.9454518290277</v>
      </c>
      <c r="CN12" s="192">
        <f t="array" ref="CN12">IF($BT12=0, INDEX(LS_current!$D$4:$AY$138, MATCH('Staging Table'!$A12, LS_current!$B$4:$B$138, 0), MATCH(CN$4&amp;CN$5, LS_current!$D$2:$AY$2&amp;LS_current!$D$3:$AY$3, 0)),SUM(VLOOKUP($A12, LS_current!$B$4:$AY$138, LS_current!S$148, FALSE), VLOOKUP($A12, LS_current!$B$4:$AY$138,LS_current!AQ$148, FALSE))/2)</f>
        <v>-510.23808012972131</v>
      </c>
      <c r="CO12" s="192">
        <f t="array" ref="CO12">IF($BT12=0, INDEX(LS_current!$D$4:$AY$138, MATCH('Staging Table'!$A12, LS_current!$B$4:$B$138, 0), MATCH(CO$4&amp;CO$5, LS_current!$D$2:$AY$2&amp;LS_current!$D$3:$AY$3, 0)),SUM(VLOOKUP($A12, LS_current!$B$4:$AY$138, LS_current!T$148, FALSE), VLOOKUP($A12, LS_current!$B$4:$AY$138,LS_current!AR$148, FALSE))/2)</f>
        <v>-3074.586764269503</v>
      </c>
      <c r="CP12" s="192">
        <f t="array" ref="CP12">IF($BT12=0, INDEX(LS_current!$D$4:$AY$138, MATCH('Staging Table'!$A12, LS_current!$B$4:$B$138, 0), MATCH(CP$4&amp;CP$5, LS_current!$D$2:$AY$2&amp;LS_current!$D$3:$AY$3, 0)),SUM(VLOOKUP($A12, LS_current!$B$4:$AY$138, LS_current!U$148, FALSE), VLOOKUP($A12, LS_current!$B$4:$AY$138,LS_current!AS$148, FALSE))/2)</f>
        <v>-339.94169939462154</v>
      </c>
      <c r="CQ12" s="192">
        <f t="array" ref="CQ12">IF($BT12=0, INDEX(LS_current!$D$4:$AY$138, MATCH('Staging Table'!$A12, LS_current!$B$4:$B$138, 0), MATCH(CQ$4&amp;CQ$5, LS_current!$D$2:$AY$2&amp;LS_current!$D$3:$AY$3, 0)),SUM(VLOOKUP($A12, LS_current!$B$4:$AY$138, LS_current!V$148, FALSE), VLOOKUP($A12, LS_current!$B$4:$AY$138,LS_current!AT$148, FALSE))/2)</f>
        <v>-1169.8593218662609</v>
      </c>
      <c r="CR12" s="192">
        <f t="array" ref="CR12">IF($BT12=0, INDEX(LS_current!$D$4:$AY$138, MATCH('Staging Table'!$A12, LS_current!$B$4:$B$138, 0), MATCH(CR$4&amp;CR$5, LS_current!$D$2:$AY$2&amp;LS_current!$D$3:$AY$3, 0)),SUM(VLOOKUP($A12, LS_current!$B$4:$AY$138, LS_current!W$148, FALSE), VLOOKUP($A12, LS_current!$B$4:$AY$138,LS_current!AU$148, FALSE))/2)</f>
        <v>220.88444462181178</v>
      </c>
      <c r="CS12" s="192">
        <f t="array" ref="CS12">IF($BT12=0, INDEX(LS_current!$D$4:$AY$138, MATCH('Staging Table'!$A12, LS_current!$B$4:$B$138, 0), MATCH(CS$4&amp;CS$5, LS_current!$D$2:$AY$2&amp;LS_current!$D$3:$AY$3, 0)),SUM(VLOOKUP($A12, LS_current!$B$4:$AY$138, LS_current!X$148, FALSE), VLOOKUP($A12, LS_current!$B$4:$AY$138,LS_current!AV$148, FALSE))/2)</f>
        <v>-267.08180011001241</v>
      </c>
      <c r="CT12" s="192">
        <f t="array" ref="CT12">IF($BT12=0, INDEX(LS_current!$D$4:$AY$138, MATCH('Staging Table'!$A12, LS_current!$B$4:$B$138, 0), MATCH(CT$4&amp;CT$5, LS_current!$D$2:$AY$2&amp;LS_current!$D$3:$AY$3, 0)),SUM(VLOOKUP($A12, LS_current!$B$4:$AY$138, LS_current!Y$148, FALSE), VLOOKUP($A12, LS_current!$B$4:$AY$138,LS_current!AW$148, FALSE))/2)</f>
        <v>13.414083428340746</v>
      </c>
      <c r="CU12" s="192">
        <f t="array" ref="CU12">IF($BT12=0, INDEX(LS_current!$D$4:$AY$138, MATCH('Staging Table'!$A12, LS_current!$B$4:$B$138, 0), MATCH(CU$4&amp;CU$5, LS_current!$D$2:$AY$2&amp;LS_current!$D$3:$AY$3, 0)),SUM(VLOOKUP($A12, LS_current!$B$4:$AY$138, LS_current!Z$148, FALSE), VLOOKUP($A12, LS_current!$B$4:$AY$138,LS_current!AX$148, FALSE))/2)</f>
        <v>-769.30407361334073</v>
      </c>
      <c r="CV12" s="192">
        <f t="array" ref="CV12">IF($BT12=0, INDEX(LS_current!$D$4:$AY$138, MATCH('Staging Table'!$A12, LS_current!$B$4:$B$138, 0), MATCH(CV$4&amp;CV$5, LS_current!$D$2:$AY$2&amp;LS_current!$D$3:$AY$3, 0)),SUM(VLOOKUP($A12, LS_current!$B$4:$AY$138, LS_current!AA$148, FALSE), VLOOKUP($A12, LS_current!$B$4:$AY$138,LS_current!AY$148, FALSE))/2)</f>
        <v>-559.99069528240034</v>
      </c>
      <c r="CW12" s="194">
        <f t="array" ref="CW12">INDEX(Demand_current!$D$4:$AY$138, MATCH($A12, Demand_current!$B$4:$B$138, 0), MATCH(CW$4&amp;CW$5,Demand_current!$D$2:$AY$2&amp;Demand_current!$D$3:$AY$3, 0))/1000</f>
        <v>0.20373076923077127</v>
      </c>
      <c r="CX12" s="194">
        <f t="array" ref="CX12">INDEX(Demand_current!$D$4:$AY$138, MATCH($A12, Demand_current!$B$4:$B$138, 0), MATCH(CX$4&amp;CX$5,Demand_current!$D$2:$AY$2&amp;Demand_current!$D$3:$AY$3, 0))/1000</f>
        <v>3.4635499999999988</v>
      </c>
      <c r="CY12" s="194">
        <f t="array" ref="CY12">INDEX(Demand_current!$D$4:$AY$138, MATCH($A12, Demand_current!$B$4:$B$138, 0), MATCH(CY$4&amp;CY$5,Demand_current!$D$2:$AY$2&amp;Demand_current!$D$3:$AY$3, 0))/1000</f>
        <v>2.1956730769230779</v>
      </c>
      <c r="CZ12" s="194">
        <f t="array" ref="CZ12">INDEX(Demand_current!$D$4:$AY$138, MATCH($A12, Demand_current!$B$4:$B$138, 0), MATCH(CZ$4&amp;CZ$5,Demand_current!$D$2:$AY$2&amp;Demand_current!$D$3:$AY$3, 0))/1000</f>
        <v>2.4101549999999987</v>
      </c>
      <c r="DA12" s="194">
        <f t="array" ref="DA12">INDEX(Demand_current!$D$4:$AY$138, MATCH($A12, Demand_current!$B$4:$B$138, 0), MATCH(DA$4&amp;DA$5,Demand_current!$D$2:$AY$2&amp;Demand_current!$D$3:$AY$3, 0))/1000</f>
        <v>2.0278125000000022</v>
      </c>
      <c r="DB12" s="194">
        <f t="array" ref="DB12">INDEX(Demand_current!$D$4:$AY$138, MATCH($A12, Demand_current!$B$4:$B$138, 0), MATCH(DB$4&amp;DB$5,Demand_current!$D$2:$AY$2&amp;Demand_current!$D$3:$AY$3, 0))/1000</f>
        <v>3.331976851851854</v>
      </c>
      <c r="DC12" s="194">
        <f t="array" ref="DC12">INDEX(Demand_current!$D$4:$AY$138, MATCH($A12, Demand_current!$B$4:$B$138, 0), MATCH(DC$4&amp;DC$5,Demand_current!$D$2:$AY$2&amp;Demand_current!$D$3:$AY$3, 0))/1000</f>
        <v>0.23103605769230828</v>
      </c>
      <c r="DD12" s="194">
        <f t="array" ref="DD12">INDEX(Demand_current!$D$4:$AY$138, MATCH($A12, Demand_current!$B$4:$B$138, 0), MATCH(DD$4&amp;DD$5,Demand_current!$D$2:$AY$2&amp;Demand_current!$D$3:$AY$3, 0))/1000</f>
        <v>2.7160850000000001</v>
      </c>
      <c r="DE12" s="194">
        <f t="array" ref="DE12">INDEX(Demand_current!$D$4:$AY$138, MATCH($A12, Demand_current!$B$4:$B$138, 0), MATCH(DE$4&amp;DE$5,Demand_current!$D$2:$AY$2&amp;Demand_current!$D$3:$AY$3, 0))/1000</f>
        <v>7.1093341346153869</v>
      </c>
      <c r="DF12" s="194">
        <f t="array" ref="DF12">INDEX(Demand_current!$D$4:$AY$138, MATCH($A12, Demand_current!$B$4:$B$138, 0), MATCH(DF$4&amp;DF$5,Demand_current!$D$2:$AY$2&amp;Demand_current!$D$3:$AY$3, 0))/1000</f>
        <v>2.5971350000000015</v>
      </c>
      <c r="DG12" s="194">
        <f t="array" ref="DG12">INDEX(Demand_current!$D$4:$AY$138, MATCH($A12, Demand_current!$B$4:$B$138, 0), MATCH(DG$4&amp;DG$5,Demand_current!$D$2:$AY$2&amp;Demand_current!$D$3:$AY$3, 0))/1000</f>
        <v>5.6186921296296317</v>
      </c>
      <c r="DH12" s="194">
        <f t="array" ref="DH12">INDEX(Demand_current!$D$4:$AY$138, MATCH($A12, Demand_current!$B$4:$B$138, 0), MATCH(DH$4&amp;DH$5,Demand_current!$D$2:$AY$2&amp;Demand_current!$D$3:$AY$3, 0))/1000</f>
        <v>3.4302749999999991</v>
      </c>
      <c r="DI12" s="192">
        <f>$BS12*(VLOOKUP(DI$4, Rates_current!$G$6:$Q$29, 10, FALSE)+VLOOKUP(DI$4, Rates_current!$G$6:$Q$29, 11, FALSE))</f>
        <v>13096.63124167231</v>
      </c>
      <c r="DJ12" s="192">
        <f>$BS12*(VLOOKUP(DJ$4, Rates_current!$G$6:$Q$29, 10, FALSE)+VLOOKUP(DJ$4, Rates_current!$G$6:$Q$29, 11, FALSE))</f>
        <v>16580.810461413417</v>
      </c>
      <c r="DK12" s="192">
        <f>$BS12*(VLOOKUP(DK$4, Rates_current!$G$6:$Q$29, 10, FALSE)+VLOOKUP(DK$4, Rates_current!$G$6:$Q$29, 11, FALSE))</f>
        <v>16229.300874089453</v>
      </c>
      <c r="DL12" s="192">
        <f>$BS12*(VLOOKUP(DL$4, Rates_current!$G$6:$Q$29, 10, FALSE)+VLOOKUP(DL$4, Rates_current!$G$6:$Q$29, 11, FALSE))</f>
        <v>13404.71237354408</v>
      </c>
      <c r="DM12" s="192">
        <f>$BS12*(VLOOKUP(DM$4, Rates_current!$G$6:$Q$29, 10, FALSE)+VLOOKUP(DM$4, Rates_current!$G$6:$Q$29, 11, FALSE))</f>
        <v>11618.158006414613</v>
      </c>
      <c r="DN12" s="192">
        <f>$BS12*(VLOOKUP(DN$4, Rates_current!$G$6:$Q$29, 10, FALSE)+VLOOKUP(DN$4, Rates_current!$G$6:$Q$29, 11, FALSE))</f>
        <v>13869.734497580546</v>
      </c>
      <c r="DO12" s="192">
        <f>$BS12*(VLOOKUP(DO$4, Rates_current!$G$6:$Q$29, 10, FALSE)+VLOOKUP(DO$4, Rates_current!$G$6:$Q$29, 11, FALSE))</f>
        <v>10768.002374882872</v>
      </c>
      <c r="DP12" s="192">
        <f>$BS12*(VLOOKUP(DP$4, Rates_current!$G$6:$Q$29, 10, FALSE)+VLOOKUP(DP$4, Rates_current!$G$6:$Q$29, 11, FALSE))</f>
        <v>14919.14653195875</v>
      </c>
      <c r="DQ12" s="192">
        <f>$BS12*(VLOOKUP(DQ$4, Rates_current!$G$6:$Q$29, 10, FALSE)+VLOOKUP(DQ$4, Rates_current!$G$6:$Q$29, 11, FALSE))</f>
        <v>15941.420463664123</v>
      </c>
      <c r="DR12" s="192">
        <f>$BS12*(VLOOKUP(DR$4, Rates_current!$G$6:$Q$29, 10, FALSE)+VLOOKUP(DR$4, Rates_current!$G$6:$Q$29, 11, FALSE))</f>
        <v>15135.65687724445</v>
      </c>
      <c r="DS12" s="192">
        <f>$BS12*(VLOOKUP(DS$4, Rates_current!$G$6:$Q$29, 10, FALSE)+VLOOKUP(DS$4, Rates_current!$G$6:$Q$29, 11, FALSE))</f>
        <v>14627.44471668167</v>
      </c>
      <c r="DT12" s="192">
        <f>$BS12*(VLOOKUP(DT$4, Rates_current!$G$6:$Q$29, 10, FALSE)+VLOOKUP(DT$4, Rates_current!$G$6:$Q$29, 11, FALSE))</f>
        <v>13517.283768895741</v>
      </c>
      <c r="DU12" s="418">
        <f>IF(D12=0,IF(C12=0,MAX(0,DW12 - (VLOOKUP($A12,TOCA_current!$A$2:$AI$137,MATCH("RHWM 2022",TOCA_current!$A$2:$AI$2,0),FALSE)*$BS$2)), 0),0)</f>
        <v>0</v>
      </c>
      <c r="DV12" s="419">
        <f>MIN(VLOOKUP($A12,TOCA_current!$A$2:$AI$137,MATCH("TRL - NLSL - Existing Resource "&amp;$BS$1,TOCA_current!$A$2:$AI$2,0),FALSE)*$BS$2, VLOOKUP($A12,TOCA_current!$A$2:$AI$137,MATCH("RHWM 2022",TOCA_current!$A$2:$AI$2,0),FALSE)*$BS$2)</f>
        <v>169707.48</v>
      </c>
      <c r="DW12" s="419">
        <f>SUM(BY12:CV12)+(BS12*RT1SC!$C$4*$BS$2)</f>
        <v>168476.67768131397</v>
      </c>
      <c r="DX12" s="419">
        <f>VLOOKUP($A12,TOCA_current!$A$2:$AI$137,MATCH("Above RHWM Not Served with LS "&amp;$BS$1,TOCA_current!$A$2:$AI$2,0),FALSE)*$BS$2</f>
        <v>22995</v>
      </c>
      <c r="DY12" s="419">
        <f t="shared" si="13"/>
        <v>-1230.8023186860373</v>
      </c>
      <c r="DZ12" s="419">
        <f>(VLOOKUP($A12,TOCA_current!$A$2:$AI$137,MATCH("RHWM 2022",TOCA_current!$A$2:$AI$2,0),FALSE)*$BS$2) - $DV12</f>
        <v>0</v>
      </c>
      <c r="EA12" s="419">
        <f t="shared" si="14"/>
        <v>0</v>
      </c>
      <c r="EB12" s="419">
        <f t="shared" si="15"/>
        <v>0</v>
      </c>
      <c r="EC12" s="419">
        <f t="shared" si="16"/>
        <v>0</v>
      </c>
      <c r="ED12" s="419">
        <f t="shared" si="17"/>
        <v>0</v>
      </c>
    </row>
    <row r="13" spans="1:134">
      <c r="A13" s="135">
        <v>10046</v>
      </c>
      <c r="B13" s="136" t="s">
        <v>14</v>
      </c>
      <c r="C13" s="244">
        <f>VLOOKUP(A13, TOCA_current!$A$3:$D$137, 4, FALSE)</f>
        <v>1</v>
      </c>
      <c r="D13" s="203">
        <v>0</v>
      </c>
      <c r="E13" s="119">
        <f>VLOOKUP($A13,TOCA_previous!$A$2:$AI$137,MATCH(E$4,TOCA_previous!$A$2:$AI$2,0),FALSE)</f>
        <v>1.15906E-2</v>
      </c>
      <c r="F13" s="120">
        <f>VLOOKUP($A13,TOCA_previous!$A$2:$AI$137,MATCH(F$4,TOCA_previous!$A$2:$AI$2,0),FALSE)</f>
        <v>1.15906E-2</v>
      </c>
      <c r="G13" s="120">
        <f t="shared" si="5"/>
        <v>0</v>
      </c>
      <c r="H13" s="120">
        <f>VLOOKUP($A13,TOCA_previous!$A$2:$AI$137,MATCH(H$4,TOCA_previous!$A$2:$AI$2,0),FALSE)</f>
        <v>7.2325652804048235E-2</v>
      </c>
      <c r="I13" s="120">
        <f t="shared" si="6"/>
        <v>7.2325652804048235E-2</v>
      </c>
      <c r="J13" s="120">
        <f t="shared" si="7"/>
        <v>1.15906E-2</v>
      </c>
      <c r="K13" s="191">
        <f>VLOOKUP(A13, IRD!$A$5:$C$139, 3, FALSE)</f>
        <v>41085.457000000002</v>
      </c>
      <c r="L13" s="192">
        <f t="array" ref="L13">IF($G13=0, INDEX(LS_previous!$D$4:$AY$138, MATCH('Staging Table'!$A13, LS_previous!$B$4:$B$138, 0), MATCH(L$4&amp;L$5, LS_previous!$D$2:$AY$2&amp;LS_previous!$D$3:$AY$3, 0)),SUM(VLOOKUP($A13, LS_previous!$B$4:$AY$138, LS_previous!D$149, FALSE), VLOOKUP('Staging Table'!$A13, LS_previous!$B$4:$AY$138,LS_previous!AB$149, FALSE))/2)</f>
        <v>0</v>
      </c>
      <c r="M13" s="192">
        <f t="array" ref="M13">IF($G13=0, INDEX(LS_previous!$D$4:$AY$138, MATCH('Staging Table'!$A13, LS_previous!$B$4:$B$138, 0), MATCH(M$4&amp;M$5, LS_previous!$D$2:$AY$2&amp;LS_previous!$D$3:$AY$3, 0)),SUM(VLOOKUP($A13, LS_previous!$B$4:$AY$138, LS_previous!E$149, FALSE), VLOOKUP('Staging Table'!$A13, LS_previous!$B$4:$AY$138,LS_previous!AC$149, FALSE))/2)</f>
        <v>0</v>
      </c>
      <c r="N13" s="192">
        <f t="array" ref="N13">IF($G13=0, INDEX(LS_previous!$D$4:$AY$138, MATCH('Staging Table'!$A13, LS_previous!$B$4:$B$138, 0), MATCH(N$4&amp;N$5, LS_previous!$D$2:$AY$2&amp;LS_previous!$D$3:$AY$3, 0)),SUM(VLOOKUP($A13, LS_previous!$B$4:$AY$138, LS_previous!F$149, FALSE), VLOOKUP('Staging Table'!$A13, LS_previous!$B$4:$AY$138,LS_previous!AD$149, FALSE))/2)</f>
        <v>0</v>
      </c>
      <c r="O13" s="192">
        <f t="array" ref="O13">IF($G13=0, INDEX(LS_previous!$D$4:$AY$138, MATCH('Staging Table'!$A13, LS_previous!$B$4:$B$138, 0), MATCH(O$4&amp;O$5, LS_previous!$D$2:$AY$2&amp;LS_previous!$D$3:$AY$3, 0)),SUM(VLOOKUP($A13, LS_previous!$B$4:$AY$138, LS_previous!G$149, FALSE), VLOOKUP('Staging Table'!$A13, LS_previous!$B$4:$AY$138,LS_previous!AE$149, FALSE))/2)</f>
        <v>0</v>
      </c>
      <c r="P13" s="192">
        <f t="array" ref="P13">IF($G13=0, INDEX(LS_previous!$D$4:$AY$138, MATCH('Staging Table'!$A13, LS_previous!$B$4:$B$138, 0), MATCH(P$4&amp;P$5, LS_previous!$D$2:$AY$2&amp;LS_previous!$D$3:$AY$3, 0)),SUM(VLOOKUP($A13, LS_previous!$B$4:$AY$138, LS_previous!H$149, FALSE), VLOOKUP('Staging Table'!$A13, LS_previous!$B$4:$AY$138,LS_previous!AF$149, FALSE))/2)</f>
        <v>0</v>
      </c>
      <c r="Q13" s="192">
        <f t="array" ref="Q13">IF($G13=0, INDEX(LS_previous!$D$4:$AY$138, MATCH('Staging Table'!$A13, LS_previous!$B$4:$B$138, 0), MATCH(Q$4&amp;Q$5, LS_previous!$D$2:$AY$2&amp;LS_previous!$D$3:$AY$3, 0)),SUM(VLOOKUP($A13, LS_previous!$B$4:$AY$138, LS_previous!I$149, FALSE), VLOOKUP('Staging Table'!$A13, LS_previous!$B$4:$AY$138,LS_previous!AG$149, FALSE))/2)</f>
        <v>0</v>
      </c>
      <c r="R13" s="192">
        <f t="array" ref="R13">IF($G13=0, INDEX(LS_previous!$D$4:$AY$138, MATCH('Staging Table'!$A13, LS_previous!$B$4:$B$138, 0), MATCH(R$4&amp;R$5, LS_previous!$D$2:$AY$2&amp;LS_previous!$D$3:$AY$3, 0)),SUM(VLOOKUP($A13, LS_previous!$B$4:$AY$138, LS_previous!J$149, FALSE), VLOOKUP('Staging Table'!$A13, LS_previous!$B$4:$AY$138,LS_previous!AH$149, FALSE))/2)</f>
        <v>0</v>
      </c>
      <c r="S13" s="192">
        <f t="array" ref="S13">IF($G13=0, INDEX(LS_previous!$D$4:$AY$138, MATCH('Staging Table'!$A13, LS_previous!$B$4:$B$138, 0), MATCH(S$4&amp;S$5, LS_previous!$D$2:$AY$2&amp;LS_previous!$D$3:$AY$3, 0)),SUM(VLOOKUP($A13, LS_previous!$B$4:$AY$138, LS_previous!K$149, FALSE), VLOOKUP('Staging Table'!$A13, LS_previous!$B$4:$AY$138,LS_previous!AI$149, FALSE))/2)</f>
        <v>0</v>
      </c>
      <c r="T13" s="192">
        <f t="array" ref="T13">IF($G13=0, INDEX(LS_previous!$D$4:$AY$138, MATCH('Staging Table'!$A13, LS_previous!$B$4:$B$138, 0), MATCH(T$4&amp;T$5, LS_previous!$D$2:$AY$2&amp;LS_previous!$D$3:$AY$3, 0)),SUM(VLOOKUP($A13, LS_previous!$B$4:$AY$138, LS_previous!L$149, FALSE), VLOOKUP('Staging Table'!$A13, LS_previous!$B$4:$AY$138,LS_previous!AJ$149, FALSE))/2)</f>
        <v>0</v>
      </c>
      <c r="U13" s="192">
        <f t="array" ref="U13">IF($G13=0, INDEX(LS_previous!$D$4:$AY$138, MATCH('Staging Table'!$A13, LS_previous!$B$4:$B$138, 0), MATCH(U$4&amp;U$5, LS_previous!$D$2:$AY$2&amp;LS_previous!$D$3:$AY$3, 0)),SUM(VLOOKUP($A13, LS_previous!$B$4:$AY$138, LS_previous!M$149, FALSE), VLOOKUP('Staging Table'!$A13, LS_previous!$B$4:$AY$138,LS_previous!AK$149, FALSE))/2)</f>
        <v>0</v>
      </c>
      <c r="V13" s="192">
        <f t="array" ref="V13">IF($G13=0, INDEX(LS_previous!$D$4:$AY$138, MATCH('Staging Table'!$A13, LS_previous!$B$4:$B$138, 0), MATCH(V$4&amp;V$5, LS_previous!$D$2:$AY$2&amp;LS_previous!$D$3:$AY$3, 0)),SUM(VLOOKUP($A13, LS_previous!$B$4:$AY$138, LS_previous!N$149, FALSE), VLOOKUP('Staging Table'!$A13, LS_previous!$B$4:$AY$138,LS_previous!AL$149, FALSE))/2)</f>
        <v>0</v>
      </c>
      <c r="W13" s="192">
        <f t="array" ref="W13">IF($G13=0, INDEX(LS_previous!$D$4:$AY$138, MATCH('Staging Table'!$A13, LS_previous!$B$4:$B$138, 0), MATCH(W$4&amp;W$5, LS_previous!$D$2:$AY$2&amp;LS_previous!$D$3:$AY$3, 0)),SUM(VLOOKUP($A13, LS_previous!$B$4:$AY$138, LS_previous!O$149, FALSE), VLOOKUP('Staging Table'!$A13, LS_previous!$B$4:$AY$138,LS_previous!AM$149, FALSE))/2)</f>
        <v>0</v>
      </c>
      <c r="X13" s="192">
        <f t="array" ref="X13">IF($G13=0, INDEX(LS_previous!$D$4:$AY$138, MATCH('Staging Table'!$A13, LS_previous!$B$4:$B$138, 0), MATCH(X$4&amp;X$5, LS_previous!$D$2:$AY$2&amp;LS_previous!$D$3:$AY$3, 0)),SUM(VLOOKUP($A13, LS_previous!$B$4:$AY$138, LS_previous!P$149, FALSE), VLOOKUP('Staging Table'!$A13, LS_previous!$B$4:$AY$138,LS_previous!AN$149, FALSE))/2)</f>
        <v>0</v>
      </c>
      <c r="Y13" s="192">
        <f t="array" ref="Y13">IF($G13=0, INDEX(LS_previous!$D$4:$AY$138, MATCH('Staging Table'!$A13, LS_previous!$B$4:$B$138, 0), MATCH(Y$4&amp;Y$5, LS_previous!$D$2:$AY$2&amp;LS_previous!$D$3:$AY$3, 0)),SUM(VLOOKUP($A13, LS_previous!$B$4:$AY$138, LS_previous!Q$149, FALSE), VLOOKUP('Staging Table'!$A13, LS_previous!$B$4:$AY$138,LS_previous!AO$149, FALSE))/2)</f>
        <v>0</v>
      </c>
      <c r="Z13" s="192">
        <f t="array" ref="Z13">IF($G13=0, INDEX(LS_previous!$D$4:$AY$138, MATCH('Staging Table'!$A13, LS_previous!$B$4:$B$138, 0), MATCH(Z$4&amp;Z$5, LS_previous!$D$2:$AY$2&amp;LS_previous!$D$3:$AY$3, 0)),SUM(VLOOKUP($A13, LS_previous!$B$4:$AY$138, LS_previous!R$149, FALSE), VLOOKUP('Staging Table'!$A13, LS_previous!$B$4:$AY$138,LS_previous!AP$149, FALSE))/2)</f>
        <v>0</v>
      </c>
      <c r="AA13" s="192">
        <f t="array" ref="AA13">IF($G13=0, INDEX(LS_previous!$D$4:$AY$138, MATCH('Staging Table'!$A13, LS_previous!$B$4:$B$138, 0), MATCH(AA$4&amp;AA$5, LS_previous!$D$2:$AY$2&amp;LS_previous!$D$3:$AY$3, 0)),SUM(VLOOKUP($A13, LS_previous!$B$4:$AY$138, LS_previous!S$149, FALSE), VLOOKUP('Staging Table'!$A13, LS_previous!$B$4:$AY$138,LS_previous!AQ$149, FALSE))/2)</f>
        <v>0</v>
      </c>
      <c r="AB13" s="192">
        <f t="array" ref="AB13">IF($G13=0, INDEX(LS_previous!$D$4:$AY$138, MATCH('Staging Table'!$A13, LS_previous!$B$4:$B$138, 0), MATCH(AB$4&amp;AB$5, LS_previous!$D$2:$AY$2&amp;LS_previous!$D$3:$AY$3, 0)),SUM(VLOOKUP($A13, LS_previous!$B$4:$AY$138, LS_previous!T$149, FALSE), VLOOKUP('Staging Table'!$A13, LS_previous!$B$4:$AY$138,LS_previous!AR$149, FALSE))/2)</f>
        <v>0</v>
      </c>
      <c r="AC13" s="192">
        <f t="array" ref="AC13">IF($G13=0, INDEX(LS_previous!$D$4:$AY$138, MATCH('Staging Table'!$A13, LS_previous!$B$4:$B$138, 0), MATCH(AC$4&amp;AC$5, LS_previous!$D$2:$AY$2&amp;LS_previous!$D$3:$AY$3, 0)),SUM(VLOOKUP($A13, LS_previous!$B$4:$AY$138, LS_previous!U$149, FALSE), VLOOKUP('Staging Table'!$A13, LS_previous!$B$4:$AY$138,LS_previous!AS$149, FALSE))/2)</f>
        <v>0</v>
      </c>
      <c r="AD13" s="192">
        <f t="array" ref="AD13">IF($G13=0, INDEX(LS_previous!$D$4:$AY$138, MATCH('Staging Table'!$A13, LS_previous!$B$4:$B$138, 0), MATCH(AD$4&amp;AD$5, LS_previous!$D$2:$AY$2&amp;LS_previous!$D$3:$AY$3, 0)),SUM(VLOOKUP($A13, LS_previous!$B$4:$AY$138, LS_previous!V$149, FALSE), VLOOKUP('Staging Table'!$A13, LS_previous!$B$4:$AY$138,LS_previous!AT$149, FALSE))/2)</f>
        <v>0</v>
      </c>
      <c r="AE13" s="192">
        <f t="array" ref="AE13">IF($G13=0, INDEX(LS_previous!$D$4:$AY$138, MATCH('Staging Table'!$A13, LS_previous!$B$4:$B$138, 0), MATCH(AE$4&amp;AE$5, LS_previous!$D$2:$AY$2&amp;LS_previous!$D$3:$AY$3, 0)),SUM(VLOOKUP($A13, LS_previous!$B$4:$AY$138, LS_previous!W$149, FALSE), VLOOKUP('Staging Table'!$A13, LS_previous!$B$4:$AY$138,LS_previous!AU$149, FALSE))/2)</f>
        <v>0</v>
      </c>
      <c r="AF13" s="192">
        <f t="array" ref="AF13">IF($G13=0, INDEX(LS_previous!$D$4:$AY$138, MATCH('Staging Table'!$A13, LS_previous!$B$4:$B$138, 0), MATCH(AF$4&amp;AF$5, LS_previous!$D$2:$AY$2&amp;LS_previous!$D$3:$AY$3, 0)),SUM(VLOOKUP($A13, LS_previous!$B$4:$AY$138, LS_previous!X$149, FALSE), VLOOKUP('Staging Table'!$A13, LS_previous!$B$4:$AY$138,LS_previous!AV$149, FALSE))/2)</f>
        <v>0</v>
      </c>
      <c r="AG13" s="192">
        <f t="array" ref="AG13">IF($G13=0, INDEX(LS_previous!$D$4:$AY$138, MATCH('Staging Table'!$A13, LS_previous!$B$4:$B$138, 0), MATCH(AG$4&amp;AG$5, LS_previous!$D$2:$AY$2&amp;LS_previous!$D$3:$AY$3, 0)),SUM(VLOOKUP($A13, LS_previous!$B$4:$AY$138, LS_previous!Y$149, FALSE), VLOOKUP('Staging Table'!$A13, LS_previous!$B$4:$AY$138,LS_previous!AW$149, FALSE))/2)</f>
        <v>0</v>
      </c>
      <c r="AH13" s="192">
        <f t="array" ref="AH13">IF($G13=0, INDEX(LS_previous!$D$4:$AY$138, MATCH('Staging Table'!$A13, LS_previous!$B$4:$B$138, 0), MATCH(AH$4&amp;AH$5, LS_previous!$D$2:$AY$2&amp;LS_previous!$D$3:$AY$3, 0)),SUM(VLOOKUP($A13, LS_previous!$B$4:$AY$138, LS_previous!Z$149, FALSE), VLOOKUP('Staging Table'!$A13, LS_previous!$B$4:$AY$138,LS_previous!AX$149, FALSE))/2)</f>
        <v>0</v>
      </c>
      <c r="AI13" s="192">
        <f t="array" ref="AI13">IF($G13=0, INDEX(LS_previous!$D$4:$AY$138, MATCH('Staging Table'!$A13, LS_previous!$B$4:$B$138, 0), MATCH(AI$4&amp;AI$5, LS_previous!$D$2:$AY$2&amp;LS_previous!$D$3:$AY$3, 0)),SUM(VLOOKUP($A13, LS_previous!$B$4:$AY$138, LS_previous!AA$149, FALSE), VLOOKUP('Staging Table'!$A13, LS_previous!$B$4:$AY$138,LS_previous!AY$149, FALSE))/2)</f>
        <v>0</v>
      </c>
      <c r="AJ13" s="314">
        <f t="array" ref="AJ13">INDEX(Demand_previous!$D$4:$AY$138, MATCH('Staging Table'!$A13, Demand_previous!$B$4:$B$138, 0), MATCH(AJ$4&amp;AJ$5,Demand_previous!$D$2:$AY$2&amp;Demand_previous!$D$3:$AY$3, 0))/1000</f>
        <v>0</v>
      </c>
      <c r="AK13" s="314">
        <f t="array" ref="AK13">INDEX(Demand_previous!$D$4:$AY$138, MATCH('Staging Table'!$A13, Demand_previous!$B$4:$B$138, 0), MATCH(AK$4&amp;AK$5,Demand_previous!$D$2:$AY$2&amp;Demand_previous!$D$3:$AY$3, 0))/1000</f>
        <v>0</v>
      </c>
      <c r="AL13" s="314">
        <f t="array" ref="AL13">INDEX(Demand_previous!$D$4:$AY$138, MATCH('Staging Table'!$A13, Demand_previous!$B$4:$B$138, 0), MATCH(AL$4&amp;AL$5,Demand_previous!$D$2:$AY$2&amp;Demand_previous!$D$3:$AY$3, 0))/1000</f>
        <v>0</v>
      </c>
      <c r="AM13" s="314">
        <f t="array" ref="AM13">INDEX(Demand_previous!$D$4:$AY$138, MATCH('Staging Table'!$A13, Demand_previous!$B$4:$B$138, 0), MATCH(AM$4&amp;AM$5,Demand_previous!$D$2:$AY$2&amp;Demand_previous!$D$3:$AY$3, 0))/1000</f>
        <v>0</v>
      </c>
      <c r="AN13" s="314">
        <f t="array" ref="AN13">INDEX(Demand_previous!$D$4:$AY$138, MATCH('Staging Table'!$A13, Demand_previous!$B$4:$B$138, 0), MATCH(AN$4&amp;AN$5,Demand_previous!$D$2:$AY$2&amp;Demand_previous!$D$3:$AY$3, 0))/1000</f>
        <v>0</v>
      </c>
      <c r="AO13" s="314">
        <f t="array" ref="AO13">INDEX(Demand_previous!$D$4:$AY$138, MATCH('Staging Table'!$A13, Demand_previous!$B$4:$B$138, 0), MATCH(AO$4&amp;AO$5,Demand_previous!$D$2:$AY$2&amp;Demand_previous!$D$3:$AY$3, 0))/1000</f>
        <v>0</v>
      </c>
      <c r="AP13" s="314">
        <f t="array" ref="AP13">INDEX(Demand_previous!$D$4:$AY$138, MATCH('Staging Table'!$A13, Demand_previous!$B$4:$B$138, 0), MATCH(AP$4&amp;AP$5,Demand_previous!$D$2:$AY$2&amp;Demand_previous!$D$3:$AY$3, 0))/1000</f>
        <v>0</v>
      </c>
      <c r="AQ13" s="314">
        <f t="array" ref="AQ13">INDEX(Demand_previous!$D$4:$AY$138, MATCH('Staging Table'!$A13, Demand_previous!$B$4:$B$138, 0), MATCH(AQ$4&amp;AQ$5,Demand_previous!$D$2:$AY$2&amp;Demand_previous!$D$3:$AY$3, 0))/1000</f>
        <v>0</v>
      </c>
      <c r="AR13" s="314">
        <f t="array" ref="AR13">INDEX(Demand_previous!$D$4:$AY$138, MATCH('Staging Table'!$A13, Demand_previous!$B$4:$B$138, 0), MATCH(AR$4&amp;AR$5,Demand_previous!$D$2:$AY$2&amp;Demand_previous!$D$3:$AY$3, 0))/1000</f>
        <v>0</v>
      </c>
      <c r="AS13" s="314">
        <f t="array" ref="AS13">INDEX(Demand_previous!$D$4:$AY$138, MATCH('Staging Table'!$A13, Demand_previous!$B$4:$B$138, 0), MATCH(AS$4&amp;AS$5,Demand_previous!$D$2:$AY$2&amp;Demand_previous!$D$3:$AY$3, 0))/1000</f>
        <v>0</v>
      </c>
      <c r="AT13" s="314">
        <f t="array" ref="AT13">INDEX(Demand_previous!$D$4:$AY$138, MATCH('Staging Table'!$A13, Demand_previous!$B$4:$B$138, 0), MATCH(AT$4&amp;AT$5,Demand_previous!$D$2:$AY$2&amp;Demand_previous!$D$3:$AY$3, 0))/1000</f>
        <v>0</v>
      </c>
      <c r="AU13" s="314">
        <f t="array" ref="AU13">INDEX(Demand_previous!$D$4:$AY$138, MATCH('Staging Table'!$A13, Demand_previous!$B$4:$B$138, 0), MATCH(AU$4&amp;AU$5,Demand_previous!$D$2:$AY$2&amp;Demand_previous!$D$3:$AY$3, 0))/1000</f>
        <v>0</v>
      </c>
      <c r="AV13" s="192">
        <f>$F13*(VLOOKUP(AV$4, Rates_previous!$G$6:$Q$29, 10, FALSE)+VLOOKUP(AV$4, Rates_previous!$G$6:$Q$29, 11, FALSE))</f>
        <v>53517.476691957592</v>
      </c>
      <c r="AW13" s="192">
        <f>$F13*(VLOOKUP(AW$4, Rates_previous!$G$6:$Q$29, 10, FALSE)+VLOOKUP(AW$4, Rates_previous!$G$6:$Q$29, 11, FALSE))</f>
        <v>67983.890499953399</v>
      </c>
      <c r="AX13" s="192">
        <f>$F13*(VLOOKUP(AX$4, Rates_previous!$G$6:$Q$29, 10, FALSE)+VLOOKUP(AX$4, Rates_previous!$G$6:$Q$29, 11, FALSE))</f>
        <v>67162.893031757601</v>
      </c>
      <c r="AY13" s="192">
        <f>$F13*(VLOOKUP(AY$4, Rates_previous!$G$6:$Q$29, 10, FALSE)+VLOOKUP(AY$4, Rates_previous!$G$6:$Q$29, 11, FALSE))</f>
        <v>55984.362042957604</v>
      </c>
      <c r="AZ13" s="192">
        <f>$F13*(VLOOKUP(AZ$4, Rates_previous!$G$6:$Q$29, 10, FALSE)+VLOOKUP(AZ$4, Rates_previous!$G$6:$Q$29, 11, FALSE))</f>
        <v>50716.024082079995</v>
      </c>
      <c r="BA13" s="192">
        <f>$F13*(VLOOKUP(BA$4, Rates_previous!$G$6:$Q$29, 10, FALSE)+VLOOKUP(BA$4, Rates_previous!$G$6:$Q$29, 11, FALSE))</f>
        <v>56412.330355392194</v>
      </c>
      <c r="BB13" s="192">
        <f>$F13*(VLOOKUP(BB$4, Rates_previous!$G$6:$Q$29, 10, FALSE)+VLOOKUP(BB$4, Rates_previous!$G$6:$Q$29, 11, FALSE))</f>
        <v>45930.980250287997</v>
      </c>
      <c r="BC13" s="192">
        <f>$F13*(VLOOKUP(BC$4, Rates_previous!$G$6:$Q$29, 10, FALSE)+VLOOKUP(BC$4, Rates_previous!$G$6:$Q$29, 11, FALSE))</f>
        <v>61944.775935257603</v>
      </c>
      <c r="BD13" s="192">
        <f>$F13*(VLOOKUP(BD$4, Rates_previous!$G$6:$Q$29, 10, FALSE)+VLOOKUP(BD$4, Rates_previous!$G$6:$Q$29, 11, FALSE))</f>
        <v>79037.321140988002</v>
      </c>
      <c r="BE13" s="192">
        <f>$F13*(VLOOKUP(BE$4, Rates_previous!$G$6:$Q$29, 10, FALSE)+VLOOKUP(BE$4, Rates_previous!$G$6:$Q$29, 11, FALSE))</f>
        <v>61967.765890357601</v>
      </c>
      <c r="BF13" s="192">
        <f>$F13*(VLOOKUP(BF$4, Rates_previous!$G$6:$Q$29, 10, FALSE)+VLOOKUP(BF$4, Rates_previous!$G$6:$Q$29, 11, FALSE))</f>
        <v>60344.2647530576</v>
      </c>
      <c r="BG13" s="192">
        <f>$F13*(VLOOKUP(BG$4, Rates_previous!$G$6:$Q$29, 10, FALSE)+VLOOKUP(BG$4, Rates_previous!$G$6:$Q$29, 11, FALSE))</f>
        <v>54176.312868888002</v>
      </c>
      <c r="BH13" s="314">
        <f>IF($D13=0,IF(C13=0, MAX(BJ13 - (VLOOKUP($A13,TOCA_previous!$A$2:$AI$137,MATCH("RHWM 2020",TOCA_previous!$A$2:$AI$2,0),FALSE)*$F$2*TOCA_previous!C10),0),0), 0)</f>
        <v>0</v>
      </c>
      <c r="BI13" s="204">
        <f>MIN(VLOOKUP($A13,TOCA_previous!$A$2:$AI$137,MATCH("TRL - NLSL - Existing Resource "&amp;$F$1,TOCA_previous!$A$2:$AI$2,0),FALSE)*$F$2,(VLOOKUP($A13,TOCA_previous!$A$2:$AI$137,MATCH("RHWM 2020",TOCA_previous!$A$2:$AI$2,0),FALSE)*$F$2))</f>
        <v>715175.71200000006</v>
      </c>
      <c r="BJ13" s="418">
        <f>SUM(L13:AI13)+(F13*RT1SC!$C$3*$F$2)</f>
        <v>715178.42438676476</v>
      </c>
      <c r="BK13" s="417">
        <f>VLOOKUP($A13,TOCA_previous!$A$2:$AI$137,MATCH("Above RHWM Not Served with LS "&amp;$F$1,TOCA_previous!$A$2:$AI$2,0),FALSE)*$F$2</f>
        <v>80601.983999999997</v>
      </c>
      <c r="BL13" s="418">
        <f t="shared" si="8"/>
        <v>2.7123867647023872</v>
      </c>
      <c r="BM13" s="417">
        <f>(VLOOKUP($A13,TOCA_previous!$A$2:$AI$137,MATCH("RHWM 2020",TOCA_previous!$A$2:$AI$2,0),FALSE)*$F$2) - $BI13</f>
        <v>0</v>
      </c>
      <c r="BN13" s="418">
        <f t="shared" si="9"/>
        <v>0</v>
      </c>
      <c r="BO13" s="417">
        <f t="shared" si="10"/>
        <v>0</v>
      </c>
      <c r="BP13" s="418">
        <f t="shared" si="11"/>
        <v>0</v>
      </c>
      <c r="BQ13" s="417">
        <f t="shared" si="2"/>
        <v>0</v>
      </c>
      <c r="BR13" s="120">
        <f>VLOOKUP($A13,TOCA_current!$A$2:$AI$137,MATCH(BR$4,TOCA_current!$A$2:$AI$2,0),FALSE)</f>
        <v>1.15905E-2</v>
      </c>
      <c r="BS13" s="120">
        <f>VLOOKUP($A13,TOCA_current!$A$2:$AI$137,MATCH(BS$4,TOCA_current!$A$2:$AI$2,0),FALSE)</f>
        <v>1.15905E-2</v>
      </c>
      <c r="BT13" s="201">
        <f t="shared" si="12"/>
        <v>0</v>
      </c>
      <c r="BU13" s="120">
        <f>VLOOKUP($A13,TOCA_current!A9:BG144,MATCH(BU$4,TOCA_current!$A$2:$BG$2,0),FALSE)</f>
        <v>7.9780219780219777E-2</v>
      </c>
      <c r="BV13" s="120">
        <f t="shared" si="3"/>
        <v>7.9780219780219777E-2</v>
      </c>
      <c r="BW13" s="120">
        <f t="shared" si="4"/>
        <v>1.15905E-2</v>
      </c>
      <c r="BX13" s="191">
        <f>VLOOKUP($A13,IRD!$A$4:$G$139, 7, FALSE)</f>
        <v>41085.457000000002</v>
      </c>
      <c r="BY13" s="192">
        <f t="array" ref="BY13">IF($BT13=0, INDEX(LS_current!$D$4:$AY$138, MATCH('Staging Table'!$A13, LS_current!$B$4:$B$138, 0), MATCH(BY$4&amp;BY$5, LS_current!$D$2:$AY$2&amp;LS_current!$D$3:$AY$3, 0)),SUM(VLOOKUP($A13, LS_current!$B$4:$AY$138, LS_current!D$148, FALSE), VLOOKUP($A13, LS_current!$B$4:$AY$138,LS_current!AB$148, FALSE))/2)</f>
        <v>0</v>
      </c>
      <c r="BZ13" s="192">
        <f t="array" ref="BZ13">IF($BT13=0, INDEX(LS_current!$D$4:$AY$138, MATCH('Staging Table'!$A13, LS_current!$B$4:$B$138, 0), MATCH(BZ$4&amp;BZ$5, LS_current!$D$2:$AY$2&amp;LS_current!$D$3:$AY$3, 0)),SUM(VLOOKUP($A13, LS_current!$B$4:$AY$138, LS_current!E$148, FALSE), VLOOKUP($A13, LS_current!$B$4:$AY$138,LS_current!AC$148, FALSE))/2)</f>
        <v>0</v>
      </c>
      <c r="CA13" s="192">
        <f t="array" ref="CA13">IF($BT13=0, INDEX(LS_current!$D$4:$AY$138, MATCH('Staging Table'!$A13, LS_current!$B$4:$B$138, 0), MATCH(CA$4&amp;CA$5, LS_current!$D$2:$AY$2&amp;LS_current!$D$3:$AY$3, 0)),SUM(VLOOKUP($A13, LS_current!$B$4:$AY$138, LS_current!F$148, FALSE), VLOOKUP($A13, LS_current!$B$4:$AY$138,LS_current!AD$148, FALSE))/2)</f>
        <v>0</v>
      </c>
      <c r="CB13" s="192">
        <f t="array" ref="CB13">IF($BT13=0, INDEX(LS_current!$D$4:$AY$138, MATCH('Staging Table'!$A13, LS_current!$B$4:$B$138, 0), MATCH(CB$4&amp;CB$5, LS_current!$D$2:$AY$2&amp;LS_current!$D$3:$AY$3, 0)),SUM(VLOOKUP($A13, LS_current!$B$4:$AY$138, LS_current!G$148, FALSE), VLOOKUP($A13, LS_current!$B$4:$AY$138,LS_current!AE$148, FALSE))/2)</f>
        <v>0</v>
      </c>
      <c r="CC13" s="192">
        <f t="array" ref="CC13">IF($BT13=0, INDEX(LS_current!$D$4:$AY$138, MATCH('Staging Table'!$A13, LS_current!$B$4:$B$138, 0), MATCH(CC$4&amp;CC$5, LS_current!$D$2:$AY$2&amp;LS_current!$D$3:$AY$3, 0)),SUM(VLOOKUP($A13, LS_current!$B$4:$AY$138, LS_current!H$148, FALSE), VLOOKUP($A13, LS_current!$B$4:$AY$138,LS_current!AF$148, FALSE))/2)</f>
        <v>0</v>
      </c>
      <c r="CD13" s="192">
        <f t="array" ref="CD13">IF($BT13=0, INDEX(LS_current!$D$4:$AY$138, MATCH('Staging Table'!$A13, LS_current!$B$4:$B$138, 0), MATCH(CD$4&amp;CD$5, LS_current!$D$2:$AY$2&amp;LS_current!$D$3:$AY$3, 0)),SUM(VLOOKUP($A13, LS_current!$B$4:$AY$138, LS_current!I$148, FALSE), VLOOKUP($A13, LS_current!$B$4:$AY$138,LS_current!AG$148, FALSE))/2)</f>
        <v>0</v>
      </c>
      <c r="CE13" s="192">
        <f t="array" ref="CE13">IF($BT13=0, INDEX(LS_current!$D$4:$AY$138, MATCH('Staging Table'!$A13, LS_current!$B$4:$B$138, 0), MATCH(CE$4&amp;CE$5, LS_current!$D$2:$AY$2&amp;LS_current!$D$3:$AY$3, 0)),SUM(VLOOKUP($A13, LS_current!$B$4:$AY$138, LS_current!J$148, FALSE), VLOOKUP($A13, LS_current!$B$4:$AY$138,LS_current!AH$148, FALSE))/2)</f>
        <v>0</v>
      </c>
      <c r="CF13" s="192">
        <f t="array" ref="CF13">IF($BT13=0, INDEX(LS_current!$D$4:$AY$138, MATCH('Staging Table'!$A13, LS_current!$B$4:$B$138, 0), MATCH(CF$4&amp;CF$5, LS_current!$D$2:$AY$2&amp;LS_current!$D$3:$AY$3, 0)),SUM(VLOOKUP($A13, LS_current!$B$4:$AY$138, LS_current!K$148, FALSE), VLOOKUP($A13, LS_current!$B$4:$AY$138,LS_current!AI$148, FALSE))/2)</f>
        <v>0</v>
      </c>
      <c r="CG13" s="192">
        <f t="array" ref="CG13">IF($BT13=0, INDEX(LS_current!$D$4:$AY$138, MATCH('Staging Table'!$A13, LS_current!$B$4:$B$138, 0), MATCH(CG$4&amp;CG$5, LS_current!$D$2:$AY$2&amp;LS_current!$D$3:$AY$3, 0)),SUM(VLOOKUP($A13, LS_current!$B$4:$AY$138, LS_current!L$148, FALSE), VLOOKUP($A13, LS_current!$B$4:$AY$138,LS_current!AJ$148, FALSE))/2)</f>
        <v>0</v>
      </c>
      <c r="CH13" s="192">
        <f t="array" ref="CH13">IF($BT13=0, INDEX(LS_current!$D$4:$AY$138, MATCH('Staging Table'!$A13, LS_current!$B$4:$B$138, 0), MATCH(CH$4&amp;CH$5, LS_current!$D$2:$AY$2&amp;LS_current!$D$3:$AY$3, 0)),SUM(VLOOKUP($A13, LS_current!$B$4:$AY$138, LS_current!M$148, FALSE), VLOOKUP($A13, LS_current!$B$4:$AY$138,LS_current!AK$148, FALSE))/2)</f>
        <v>0</v>
      </c>
      <c r="CI13" s="192">
        <f t="array" ref="CI13">IF($BT13=0, INDEX(LS_current!$D$4:$AY$138, MATCH('Staging Table'!$A13, LS_current!$B$4:$B$138, 0), MATCH(CI$4&amp;CI$5, LS_current!$D$2:$AY$2&amp;LS_current!$D$3:$AY$3, 0)),SUM(VLOOKUP($A13, LS_current!$B$4:$AY$138, LS_current!N$148, FALSE), VLOOKUP($A13, LS_current!$B$4:$AY$138,LS_current!AL$148, FALSE))/2)</f>
        <v>0</v>
      </c>
      <c r="CJ13" s="192">
        <f t="array" ref="CJ13">IF($BT13=0, INDEX(LS_current!$D$4:$AY$138, MATCH('Staging Table'!$A13, LS_current!$B$4:$B$138, 0), MATCH(CJ$4&amp;CJ$5, LS_current!$D$2:$AY$2&amp;LS_current!$D$3:$AY$3, 0)),SUM(VLOOKUP($A13, LS_current!$B$4:$AY$138, LS_current!O$148, FALSE), VLOOKUP($A13, LS_current!$B$4:$AY$138,LS_current!AM$148, FALSE))/2)</f>
        <v>0</v>
      </c>
      <c r="CK13" s="192">
        <f t="array" ref="CK13">IF($BT13=0, INDEX(LS_current!$D$4:$AY$138, MATCH('Staging Table'!$A13, LS_current!$B$4:$B$138, 0), MATCH(CK$4&amp;CK$5, LS_current!$D$2:$AY$2&amp;LS_current!$D$3:$AY$3, 0)),SUM(VLOOKUP($A13, LS_current!$B$4:$AY$138, LS_current!P$148, FALSE), VLOOKUP($A13, LS_current!$B$4:$AY$138,LS_current!AN$148, FALSE))/2)</f>
        <v>0</v>
      </c>
      <c r="CL13" s="192">
        <f t="array" ref="CL13">IF($BT13=0, INDEX(LS_current!$D$4:$AY$138, MATCH('Staging Table'!$A13, LS_current!$B$4:$B$138, 0), MATCH(CL$4&amp;CL$5, LS_current!$D$2:$AY$2&amp;LS_current!$D$3:$AY$3, 0)),SUM(VLOOKUP($A13, LS_current!$B$4:$AY$138, LS_current!Q$148, FALSE), VLOOKUP($A13, LS_current!$B$4:$AY$138,LS_current!AO$148, FALSE))/2)</f>
        <v>0</v>
      </c>
      <c r="CM13" s="192">
        <f t="array" ref="CM13">IF($BT13=0, INDEX(LS_current!$D$4:$AY$138, MATCH('Staging Table'!$A13, LS_current!$B$4:$B$138, 0), MATCH(CM$4&amp;CM$5, LS_current!$D$2:$AY$2&amp;LS_current!$D$3:$AY$3, 0)),SUM(VLOOKUP($A13, LS_current!$B$4:$AY$138, LS_current!R$148, FALSE), VLOOKUP($A13, LS_current!$B$4:$AY$138,LS_current!AP$148, FALSE))/2)</f>
        <v>0</v>
      </c>
      <c r="CN13" s="192">
        <f t="array" ref="CN13">IF($BT13=0, INDEX(LS_current!$D$4:$AY$138, MATCH('Staging Table'!$A13, LS_current!$B$4:$B$138, 0), MATCH(CN$4&amp;CN$5, LS_current!$D$2:$AY$2&amp;LS_current!$D$3:$AY$3, 0)),SUM(VLOOKUP($A13, LS_current!$B$4:$AY$138, LS_current!S$148, FALSE), VLOOKUP($A13, LS_current!$B$4:$AY$138,LS_current!AQ$148, FALSE))/2)</f>
        <v>0</v>
      </c>
      <c r="CO13" s="192">
        <f t="array" ref="CO13">IF($BT13=0, INDEX(LS_current!$D$4:$AY$138, MATCH('Staging Table'!$A13, LS_current!$B$4:$B$138, 0), MATCH(CO$4&amp;CO$5, LS_current!$D$2:$AY$2&amp;LS_current!$D$3:$AY$3, 0)),SUM(VLOOKUP($A13, LS_current!$B$4:$AY$138, LS_current!T$148, FALSE), VLOOKUP($A13, LS_current!$B$4:$AY$138,LS_current!AR$148, FALSE))/2)</f>
        <v>0</v>
      </c>
      <c r="CP13" s="192">
        <f t="array" ref="CP13">IF($BT13=0, INDEX(LS_current!$D$4:$AY$138, MATCH('Staging Table'!$A13, LS_current!$B$4:$B$138, 0), MATCH(CP$4&amp;CP$5, LS_current!$D$2:$AY$2&amp;LS_current!$D$3:$AY$3, 0)),SUM(VLOOKUP($A13, LS_current!$B$4:$AY$138, LS_current!U$148, FALSE), VLOOKUP($A13, LS_current!$B$4:$AY$138,LS_current!AS$148, FALSE))/2)</f>
        <v>0</v>
      </c>
      <c r="CQ13" s="192">
        <f t="array" ref="CQ13">IF($BT13=0, INDEX(LS_current!$D$4:$AY$138, MATCH('Staging Table'!$A13, LS_current!$B$4:$B$138, 0), MATCH(CQ$4&amp;CQ$5, LS_current!$D$2:$AY$2&amp;LS_current!$D$3:$AY$3, 0)),SUM(VLOOKUP($A13, LS_current!$B$4:$AY$138, LS_current!V$148, FALSE), VLOOKUP($A13, LS_current!$B$4:$AY$138,LS_current!AT$148, FALSE))/2)</f>
        <v>0</v>
      </c>
      <c r="CR13" s="192">
        <f t="array" ref="CR13">IF($BT13=0, INDEX(LS_current!$D$4:$AY$138, MATCH('Staging Table'!$A13, LS_current!$B$4:$B$138, 0), MATCH(CR$4&amp;CR$5, LS_current!$D$2:$AY$2&amp;LS_current!$D$3:$AY$3, 0)),SUM(VLOOKUP($A13, LS_current!$B$4:$AY$138, LS_current!W$148, FALSE), VLOOKUP($A13, LS_current!$B$4:$AY$138,LS_current!AU$148, FALSE))/2)</f>
        <v>0</v>
      </c>
      <c r="CS13" s="192">
        <f t="array" ref="CS13">IF($BT13=0, INDEX(LS_current!$D$4:$AY$138, MATCH('Staging Table'!$A13, LS_current!$B$4:$B$138, 0), MATCH(CS$4&amp;CS$5, LS_current!$D$2:$AY$2&amp;LS_current!$D$3:$AY$3, 0)),SUM(VLOOKUP($A13, LS_current!$B$4:$AY$138, LS_current!X$148, FALSE), VLOOKUP($A13, LS_current!$B$4:$AY$138,LS_current!AV$148, FALSE))/2)</f>
        <v>0</v>
      </c>
      <c r="CT13" s="192">
        <f t="array" ref="CT13">IF($BT13=0, INDEX(LS_current!$D$4:$AY$138, MATCH('Staging Table'!$A13, LS_current!$B$4:$B$138, 0), MATCH(CT$4&amp;CT$5, LS_current!$D$2:$AY$2&amp;LS_current!$D$3:$AY$3, 0)),SUM(VLOOKUP($A13, LS_current!$B$4:$AY$138, LS_current!Y$148, FALSE), VLOOKUP($A13, LS_current!$B$4:$AY$138,LS_current!AW$148, FALSE))/2)</f>
        <v>0</v>
      </c>
      <c r="CU13" s="192">
        <f t="array" ref="CU13">IF($BT13=0, INDEX(LS_current!$D$4:$AY$138, MATCH('Staging Table'!$A13, LS_current!$B$4:$B$138, 0), MATCH(CU$4&amp;CU$5, LS_current!$D$2:$AY$2&amp;LS_current!$D$3:$AY$3, 0)),SUM(VLOOKUP($A13, LS_current!$B$4:$AY$138, LS_current!Z$148, FALSE), VLOOKUP($A13, LS_current!$B$4:$AY$138,LS_current!AX$148, FALSE))/2)</f>
        <v>0</v>
      </c>
      <c r="CV13" s="192">
        <f t="array" ref="CV13">IF($BT13=0, INDEX(LS_current!$D$4:$AY$138, MATCH('Staging Table'!$A13, LS_current!$B$4:$B$138, 0), MATCH(CV$4&amp;CV$5, LS_current!$D$2:$AY$2&amp;LS_current!$D$3:$AY$3, 0)),SUM(VLOOKUP($A13, LS_current!$B$4:$AY$138, LS_current!AA$148, FALSE), VLOOKUP($A13, LS_current!$B$4:$AY$138,LS_current!AY$148, FALSE))/2)</f>
        <v>0</v>
      </c>
      <c r="CW13" s="194">
        <f t="array" ref="CW13">INDEX(Demand_current!$D$4:$AY$138, MATCH($A13, Demand_current!$B$4:$B$138, 0), MATCH(CW$4&amp;CW$5,Demand_current!$D$2:$AY$2&amp;Demand_current!$D$3:$AY$3, 0))/1000</f>
        <v>0</v>
      </c>
      <c r="CX13" s="194">
        <f t="array" ref="CX13">INDEX(Demand_current!$D$4:$AY$138, MATCH($A13, Demand_current!$B$4:$B$138, 0), MATCH(CX$4&amp;CX$5,Demand_current!$D$2:$AY$2&amp;Demand_current!$D$3:$AY$3, 0))/1000</f>
        <v>0</v>
      </c>
      <c r="CY13" s="194">
        <f t="array" ref="CY13">INDEX(Demand_current!$D$4:$AY$138, MATCH($A13, Demand_current!$B$4:$B$138, 0), MATCH(CY$4&amp;CY$5,Demand_current!$D$2:$AY$2&amp;Demand_current!$D$3:$AY$3, 0))/1000</f>
        <v>0</v>
      </c>
      <c r="CZ13" s="194">
        <f t="array" ref="CZ13">INDEX(Demand_current!$D$4:$AY$138, MATCH($A13, Demand_current!$B$4:$B$138, 0), MATCH(CZ$4&amp;CZ$5,Demand_current!$D$2:$AY$2&amp;Demand_current!$D$3:$AY$3, 0))/1000</f>
        <v>0</v>
      </c>
      <c r="DA13" s="194">
        <f t="array" ref="DA13">INDEX(Demand_current!$D$4:$AY$138, MATCH($A13, Demand_current!$B$4:$B$138, 0), MATCH(DA$4&amp;DA$5,Demand_current!$D$2:$AY$2&amp;Demand_current!$D$3:$AY$3, 0))/1000</f>
        <v>0</v>
      </c>
      <c r="DB13" s="194">
        <f t="array" ref="DB13">INDEX(Demand_current!$D$4:$AY$138, MATCH($A13, Demand_current!$B$4:$B$138, 0), MATCH(DB$4&amp;DB$5,Demand_current!$D$2:$AY$2&amp;Demand_current!$D$3:$AY$3, 0))/1000</f>
        <v>0</v>
      </c>
      <c r="DC13" s="194">
        <f t="array" ref="DC13">INDEX(Demand_current!$D$4:$AY$138, MATCH($A13, Demand_current!$B$4:$B$138, 0), MATCH(DC$4&amp;DC$5,Demand_current!$D$2:$AY$2&amp;Demand_current!$D$3:$AY$3, 0))/1000</f>
        <v>0</v>
      </c>
      <c r="DD13" s="194">
        <f t="array" ref="DD13">INDEX(Demand_current!$D$4:$AY$138, MATCH($A13, Demand_current!$B$4:$B$138, 0), MATCH(DD$4&amp;DD$5,Demand_current!$D$2:$AY$2&amp;Demand_current!$D$3:$AY$3, 0))/1000</f>
        <v>0</v>
      </c>
      <c r="DE13" s="194">
        <f t="array" ref="DE13">INDEX(Demand_current!$D$4:$AY$138, MATCH($A13, Demand_current!$B$4:$B$138, 0), MATCH(DE$4&amp;DE$5,Demand_current!$D$2:$AY$2&amp;Demand_current!$D$3:$AY$3, 0))/1000</f>
        <v>0</v>
      </c>
      <c r="DF13" s="194">
        <f t="array" ref="DF13">INDEX(Demand_current!$D$4:$AY$138, MATCH($A13, Demand_current!$B$4:$B$138, 0), MATCH(DF$4&amp;DF$5,Demand_current!$D$2:$AY$2&amp;Demand_current!$D$3:$AY$3, 0))/1000</f>
        <v>0</v>
      </c>
      <c r="DG13" s="194">
        <f t="array" ref="DG13">INDEX(Demand_current!$D$4:$AY$138, MATCH($A13, Demand_current!$B$4:$B$138, 0), MATCH(DG$4&amp;DG$5,Demand_current!$D$2:$AY$2&amp;Demand_current!$D$3:$AY$3, 0))/1000</f>
        <v>0</v>
      </c>
      <c r="DH13" s="194">
        <f t="array" ref="DH13">INDEX(Demand_current!$D$4:$AY$138, MATCH($A13, Demand_current!$B$4:$B$138, 0), MATCH(DH$4&amp;DH$5,Demand_current!$D$2:$AY$2&amp;Demand_current!$D$3:$AY$3, 0))/1000</f>
        <v>0</v>
      </c>
      <c r="DI13" s="192">
        <f>$BS13*(VLOOKUP(DI$4, Rates_current!$G$6:$Q$29, 10, FALSE)+VLOOKUP(DI$4, Rates_current!$G$6:$Q$29, 11, FALSE))</f>
        <v>52782.260998853548</v>
      </c>
      <c r="DJ13" s="192">
        <f>$BS13*(VLOOKUP(DJ$4, Rates_current!$G$6:$Q$29, 10, FALSE)+VLOOKUP(DJ$4, Rates_current!$G$6:$Q$29, 11, FALSE))</f>
        <v>66824.258024622628</v>
      </c>
      <c r="DK13" s="192">
        <f>$BS13*(VLOOKUP(DK$4, Rates_current!$G$6:$Q$29, 10, FALSE)+VLOOKUP(DK$4, Rates_current!$G$6:$Q$29, 11, FALSE))</f>
        <v>65407.59824094503</v>
      </c>
      <c r="DL13" s="192">
        <f>$BS13*(VLOOKUP(DL$4, Rates_current!$G$6:$Q$29, 10, FALSE)+VLOOKUP(DL$4, Rates_current!$G$6:$Q$29, 11, FALSE))</f>
        <v>54023.894699246383</v>
      </c>
      <c r="DM13" s="192">
        <f>$BS13*(VLOOKUP(DM$4, Rates_current!$G$6:$Q$29, 10, FALSE)+VLOOKUP(DM$4, Rates_current!$G$6:$Q$29, 11, FALSE))</f>
        <v>46823.693582304179</v>
      </c>
      <c r="DN13" s="192">
        <f>$BS13*(VLOOKUP(DN$4, Rates_current!$G$6:$Q$29, 10, FALSE)+VLOOKUP(DN$4, Rates_current!$G$6:$Q$29, 11, FALSE))</f>
        <v>55898.034595850804</v>
      </c>
      <c r="DO13" s="192">
        <f>$BS13*(VLOOKUP(DO$4, Rates_current!$G$6:$Q$29, 10, FALSE)+VLOOKUP(DO$4, Rates_current!$G$6:$Q$29, 11, FALSE))</f>
        <v>43397.382219854633</v>
      </c>
      <c r="DP13" s="192">
        <f>$BS13*(VLOOKUP(DP$4, Rates_current!$G$6:$Q$29, 10, FALSE)+VLOOKUP(DP$4, Rates_current!$G$6:$Q$29, 11, FALSE))</f>
        <v>60127.392426255399</v>
      </c>
      <c r="DQ13" s="192">
        <f>$BS13*(VLOOKUP(DQ$4, Rates_current!$G$6:$Q$29, 10, FALSE)+VLOOKUP(DQ$4, Rates_current!$G$6:$Q$29, 11, FALSE))</f>
        <v>64247.377824019968</v>
      </c>
      <c r="DR13" s="192">
        <f>$BS13*(VLOOKUP(DR$4, Rates_current!$G$6:$Q$29, 10, FALSE)+VLOOKUP(DR$4, Rates_current!$G$6:$Q$29, 11, FALSE))</f>
        <v>60999.976019924827</v>
      </c>
      <c r="DS13" s="192">
        <f>$BS13*(VLOOKUP(DS$4, Rates_current!$G$6:$Q$29, 10, FALSE)+VLOOKUP(DS$4, Rates_current!$G$6:$Q$29, 11, FALSE))</f>
        <v>58951.770919955117</v>
      </c>
      <c r="DT13" s="192">
        <f>$BS13*(VLOOKUP(DT$4, Rates_current!$G$6:$Q$29, 10, FALSE)+VLOOKUP(DT$4, Rates_current!$G$6:$Q$29, 11, FALSE))</f>
        <v>54477.581808611598</v>
      </c>
      <c r="DU13" s="418">
        <f>IF(D13=0,IF(C13=0,MAX(0,DW13 - (VLOOKUP($A13,TOCA_current!$A$2:$AI$137,MATCH("RHWM 2022",TOCA_current!$A$2:$AI$2,0),FALSE)*$BS$2)), 0),0)</f>
        <v>0</v>
      </c>
      <c r="DV13" s="419">
        <f>MIN(VLOOKUP($A13,TOCA_current!$A$2:$AI$137,MATCH("TRL - NLSL - Existing Resource "&amp;$BS$1,TOCA_current!$A$2:$AI$2,0),FALSE)*$BS$2, VLOOKUP($A13,TOCA_current!$A$2:$AI$137,MATCH("RHWM 2022",TOCA_current!$A$2:$AI$2,0),FALSE)*$BS$2)</f>
        <v>683963.28</v>
      </c>
      <c r="DW13" s="419">
        <f>SUM(BY13:CV13)+(BS13*RT1SC!$C$4*$BS$2)</f>
        <v>683961.25634802005</v>
      </c>
      <c r="DX13" s="419">
        <f>VLOOKUP($A13,TOCA_current!$A$2:$AI$137,MATCH("Above RHWM Not Served with LS "&amp;$BS$1,TOCA_current!$A$2:$AI$2,0),FALSE)*$BS$2</f>
        <v>155525.04</v>
      </c>
      <c r="DY13" s="419">
        <f t="shared" si="13"/>
        <v>-2.023651979980059</v>
      </c>
      <c r="DZ13" s="419">
        <f>(VLOOKUP($A13,TOCA_current!$A$2:$AI$137,MATCH("RHWM 2022",TOCA_current!$A$2:$AI$2,0),FALSE)*$BS$2) - $DV13</f>
        <v>0</v>
      </c>
      <c r="EA13" s="419">
        <f t="shared" si="14"/>
        <v>0</v>
      </c>
      <c r="EB13" s="419">
        <f t="shared" si="15"/>
        <v>0</v>
      </c>
      <c r="EC13" s="419">
        <f t="shared" si="16"/>
        <v>0</v>
      </c>
      <c r="ED13" s="419">
        <f t="shared" si="17"/>
        <v>0</v>
      </c>
    </row>
    <row r="14" spans="1:134">
      <c r="A14" s="135">
        <v>10047</v>
      </c>
      <c r="B14" s="136" t="s">
        <v>15</v>
      </c>
      <c r="C14" s="244">
        <f>VLOOKUP(A14, TOCA_current!$A$3:$D$137, 4, FALSE)</f>
        <v>0</v>
      </c>
      <c r="D14" s="203">
        <v>0</v>
      </c>
      <c r="E14" s="119">
        <f>VLOOKUP($A14,TOCA_previous!$A$2:$AI$137,MATCH(E$4,TOCA_previous!$A$2:$AI$2,0),FALSE)</f>
        <v>2.19518E-2</v>
      </c>
      <c r="F14" s="120">
        <f>VLOOKUP($A14,TOCA_previous!$A$2:$AI$137,MATCH(F$4,TOCA_previous!$A$2:$AI$2,0),FALSE)</f>
        <v>2.19518E-2</v>
      </c>
      <c r="G14" s="120">
        <f t="shared" si="5"/>
        <v>0</v>
      </c>
      <c r="H14" s="120">
        <f>VLOOKUP($A14,TOCA_previous!$A$2:$AI$137,MATCH(H$4,TOCA_previous!$A$2:$AI$2,0),FALSE)</f>
        <v>0</v>
      </c>
      <c r="I14" s="120">
        <f t="shared" si="6"/>
        <v>0</v>
      </c>
      <c r="J14" s="120">
        <f t="shared" si="7"/>
        <v>0</v>
      </c>
      <c r="K14" s="191">
        <f>VLOOKUP(A14, IRD!$A$5:$C$139, 3, FALSE)</f>
        <v>0</v>
      </c>
      <c r="L14" s="192">
        <f t="array" ref="L14">IF($G14=0, INDEX(LS_previous!$D$4:$AY$138, MATCH('Staging Table'!$A14, LS_previous!$B$4:$B$138, 0), MATCH(L$4&amp;L$5, LS_previous!$D$2:$AY$2&amp;LS_previous!$D$3:$AY$3, 0)),SUM(VLOOKUP($A14, LS_previous!$B$4:$AY$138, LS_previous!D$149, FALSE), VLOOKUP('Staging Table'!$A14, LS_previous!$B$4:$AY$138,LS_previous!AB$149, FALSE))/2)</f>
        <v>-1529.0885842983917</v>
      </c>
      <c r="M14" s="192">
        <f t="array" ref="M14">IF($G14=0, INDEX(LS_previous!$D$4:$AY$138, MATCH('Staging Table'!$A14, LS_previous!$B$4:$B$138, 0), MATCH(M$4&amp;M$5, LS_previous!$D$2:$AY$2&amp;LS_previous!$D$3:$AY$3, 0)),SUM(VLOOKUP($A14, LS_previous!$B$4:$AY$138, LS_previous!E$149, FALSE), VLOOKUP('Staging Table'!$A14, LS_previous!$B$4:$AY$138,LS_previous!AC$149, FALSE))/2)</f>
        <v>10265.934961145605</v>
      </c>
      <c r="N14" s="192">
        <f t="array" ref="N14">IF($G14=0, INDEX(LS_previous!$D$4:$AY$138, MATCH('Staging Table'!$A14, LS_previous!$B$4:$B$138, 0), MATCH(N$4&amp;N$5, LS_previous!$D$2:$AY$2&amp;LS_previous!$D$3:$AY$3, 0)),SUM(VLOOKUP($A14, LS_previous!$B$4:$AY$138, LS_previous!F$149, FALSE), VLOOKUP('Staging Table'!$A14, LS_previous!$B$4:$AY$138,LS_previous!AD$149, FALSE))/2)</f>
        <v>-15186.531501150414</v>
      </c>
      <c r="O14" s="192">
        <f t="array" ref="O14">IF($G14=0, INDEX(LS_previous!$D$4:$AY$138, MATCH('Staging Table'!$A14, LS_previous!$B$4:$B$138, 0), MATCH(O$4&amp;O$5, LS_previous!$D$2:$AY$2&amp;LS_previous!$D$3:$AY$3, 0)),SUM(VLOOKUP($A14, LS_previous!$B$4:$AY$138, LS_previous!G$149, FALSE), VLOOKUP('Staging Table'!$A14, LS_previous!$B$4:$AY$138,LS_previous!AE$149, FALSE))/2)</f>
        <v>-643.69187472980411</v>
      </c>
      <c r="P14" s="192">
        <f t="array" ref="P14">IF($G14=0, INDEX(LS_previous!$D$4:$AY$138, MATCH('Staging Table'!$A14, LS_previous!$B$4:$B$138, 0), MATCH(P$4&amp;P$5, LS_previous!$D$2:$AY$2&amp;LS_previous!$D$3:$AY$3, 0)),SUM(VLOOKUP($A14, LS_previous!$B$4:$AY$138, LS_previous!H$149, FALSE), VLOOKUP('Staging Table'!$A14, LS_previous!$B$4:$AY$138,LS_previous!AF$149, FALSE))/2)</f>
        <v>2228.4148275904008</v>
      </c>
      <c r="Q14" s="192">
        <f t="array" ref="Q14">IF($G14=0, INDEX(LS_previous!$D$4:$AY$138, MATCH('Staging Table'!$A14, LS_previous!$B$4:$B$138, 0), MATCH(Q$4&amp;Q$5, LS_previous!$D$2:$AY$2&amp;LS_previous!$D$3:$AY$3, 0)),SUM(VLOOKUP($A14, LS_previous!$B$4:$AY$138, LS_previous!I$149, FALSE), VLOOKUP('Staging Table'!$A14, LS_previous!$B$4:$AY$138,LS_previous!AG$149, FALSE))/2)</f>
        <v>8943.9545898567958</v>
      </c>
      <c r="R14" s="192">
        <f t="array" ref="R14">IF($G14=0, INDEX(LS_previous!$D$4:$AY$138, MATCH('Staging Table'!$A14, LS_previous!$B$4:$B$138, 0), MATCH(R$4&amp;R$5, LS_previous!$D$2:$AY$2&amp;LS_previous!$D$3:$AY$3, 0)),SUM(VLOOKUP($A14, LS_previous!$B$4:$AY$138, LS_previous!J$149, FALSE), VLOOKUP('Staging Table'!$A14, LS_previous!$B$4:$AY$138,LS_previous!AH$149, FALSE))/2)</f>
        <v>7298.8212043903914</v>
      </c>
      <c r="S14" s="192">
        <f t="array" ref="S14">IF($G14=0, INDEX(LS_previous!$D$4:$AY$138, MATCH('Staging Table'!$A14, LS_previous!$B$4:$B$138, 0), MATCH(S$4&amp;S$5, LS_previous!$D$2:$AY$2&amp;LS_previous!$D$3:$AY$3, 0)),SUM(VLOOKUP($A14, LS_previous!$B$4:$AY$138, LS_previous!K$149, FALSE), VLOOKUP('Staging Table'!$A14, LS_previous!$B$4:$AY$138,LS_previous!AI$149, FALSE))/2)</f>
        <v>18122.604819456799</v>
      </c>
      <c r="T14" s="192">
        <f t="array" ref="T14">IF($G14=0, INDEX(LS_previous!$D$4:$AY$138, MATCH('Staging Table'!$A14, LS_previous!$B$4:$B$138, 0), MATCH(T$4&amp;T$5, LS_previous!$D$2:$AY$2&amp;LS_previous!$D$3:$AY$3, 0)),SUM(VLOOKUP($A14, LS_previous!$B$4:$AY$138, LS_previous!L$149, FALSE), VLOOKUP('Staging Table'!$A14, LS_previous!$B$4:$AY$138,LS_previous!AJ$149, FALSE))/2)</f>
        <v>4389.0290533768057</v>
      </c>
      <c r="U14" s="192">
        <f t="array" ref="U14">IF($G14=0, INDEX(LS_previous!$D$4:$AY$138, MATCH('Staging Table'!$A14, LS_previous!$B$4:$B$138, 0), MATCH(U$4&amp;U$5, LS_previous!$D$2:$AY$2&amp;LS_previous!$D$3:$AY$3, 0)),SUM(VLOOKUP($A14, LS_previous!$B$4:$AY$138, LS_previous!M$149, FALSE), VLOOKUP('Staging Table'!$A14, LS_previous!$B$4:$AY$138,LS_previous!AK$149, FALSE))/2)</f>
        <v>8215.1690763832012</v>
      </c>
      <c r="V14" s="192">
        <f t="array" ref="V14">IF($G14=0, INDEX(LS_previous!$D$4:$AY$138, MATCH('Staging Table'!$A14, LS_previous!$B$4:$B$138, 0), MATCH(V$4&amp;V$5, LS_previous!$D$2:$AY$2&amp;LS_previous!$D$3:$AY$3, 0)),SUM(VLOOKUP($A14, LS_previous!$B$4:$AY$138, LS_previous!N$149, FALSE), VLOOKUP('Staging Table'!$A14, LS_previous!$B$4:$AY$138,LS_previous!AL$149, FALSE))/2)</f>
        <v>4754.7434699312143</v>
      </c>
      <c r="W14" s="192">
        <f t="array" ref="W14">IF($G14=0, INDEX(LS_previous!$D$4:$AY$138, MATCH('Staging Table'!$A14, LS_previous!$B$4:$B$138, 0), MATCH(W$4&amp;W$5, LS_previous!$D$2:$AY$2&amp;LS_previous!$D$3:$AY$3, 0)),SUM(VLOOKUP($A14, LS_previous!$B$4:$AY$138, LS_previous!O$149, FALSE), VLOOKUP('Staging Table'!$A14, LS_previous!$B$4:$AY$138,LS_previous!AM$149, FALSE))/2)</f>
        <v>8100.002976232201</v>
      </c>
      <c r="X14" s="192">
        <f t="array" ref="X14">IF($G14=0, INDEX(LS_previous!$D$4:$AY$138, MATCH('Staging Table'!$A14, LS_previous!$B$4:$B$138, 0), MATCH(X$4&amp;X$5, LS_previous!$D$2:$AY$2&amp;LS_previous!$D$3:$AY$3, 0)),SUM(VLOOKUP($A14, LS_previous!$B$4:$AY$138, LS_previous!P$149, FALSE), VLOOKUP('Staging Table'!$A14, LS_previous!$B$4:$AY$138,LS_previous!AN$149, FALSE))/2)</f>
        <v>12359.467416660802</v>
      </c>
      <c r="Y14" s="192">
        <f t="array" ref="Y14">IF($G14=0, INDEX(LS_previous!$D$4:$AY$138, MATCH('Staging Table'!$A14, LS_previous!$B$4:$B$138, 0), MATCH(Y$4&amp;Y$5, LS_previous!$D$2:$AY$2&amp;LS_previous!$D$3:$AY$3, 0)),SUM(VLOOKUP($A14, LS_previous!$B$4:$AY$138, LS_previous!Q$149, FALSE), VLOOKUP('Staging Table'!$A14, LS_previous!$B$4:$AY$138,LS_previous!AO$149, FALSE))/2)</f>
        <v>12281.556946075198</v>
      </c>
      <c r="Z14" s="192">
        <f t="array" ref="Z14">IF($G14=0, INDEX(LS_previous!$D$4:$AY$138, MATCH('Staging Table'!$A14, LS_previous!$B$4:$B$138, 0), MATCH(Z$4&amp;Z$5, LS_previous!$D$2:$AY$2&amp;LS_previous!$D$3:$AY$3, 0)),SUM(VLOOKUP($A14, LS_previous!$B$4:$AY$138, LS_previous!R$149, FALSE), VLOOKUP('Staging Table'!$A14, LS_previous!$B$4:$AY$138,LS_previous!AP$149, FALSE))/2)</f>
        <v>-22480.039401780014</v>
      </c>
      <c r="AA14" s="192">
        <f t="array" ref="AA14">IF($G14=0, INDEX(LS_previous!$D$4:$AY$138, MATCH('Staging Table'!$A14, LS_previous!$B$4:$B$138, 0), MATCH(AA$4&amp;AA$5, LS_previous!$D$2:$AY$2&amp;LS_previous!$D$3:$AY$3, 0)),SUM(VLOOKUP($A14, LS_previous!$B$4:$AY$138, LS_previous!S$149, FALSE), VLOOKUP('Staging Table'!$A14, LS_previous!$B$4:$AY$138,LS_previous!AQ$149, FALSE))/2)</f>
        <v>696.19905872720119</v>
      </c>
      <c r="AB14" s="192">
        <f t="array" ref="AB14">IF($G14=0, INDEX(LS_previous!$D$4:$AY$138, MATCH('Staging Table'!$A14, LS_previous!$B$4:$B$138, 0), MATCH(AB$4&amp;AB$5, LS_previous!$D$2:$AY$2&amp;LS_previous!$D$3:$AY$3, 0)),SUM(VLOOKUP($A14, LS_previous!$B$4:$AY$138, LS_previous!T$149, FALSE), VLOOKUP('Staging Table'!$A14, LS_previous!$B$4:$AY$138,LS_previous!AR$149, FALSE))/2)</f>
        <v>-40732.337050639202</v>
      </c>
      <c r="AC14" s="192">
        <f t="array" ref="AC14">IF($G14=0, INDEX(LS_previous!$D$4:$AY$138, MATCH('Staging Table'!$A14, LS_previous!$B$4:$B$138, 0), MATCH(AC$4&amp;AC$5, LS_previous!$D$2:$AY$2&amp;LS_previous!$D$3:$AY$3, 0)),SUM(VLOOKUP($A14, LS_previous!$B$4:$AY$138, LS_previous!U$149, FALSE), VLOOKUP('Staging Table'!$A14, LS_previous!$B$4:$AY$138,LS_previous!AS$149, FALSE))/2)</f>
        <v>-15259.4114687248</v>
      </c>
      <c r="AD14" s="192">
        <f t="array" ref="AD14">IF($G14=0, INDEX(LS_previous!$D$4:$AY$138, MATCH('Staging Table'!$A14, LS_previous!$B$4:$B$138, 0), MATCH(AD$4&amp;AD$5, LS_previous!$D$2:$AY$2&amp;LS_previous!$D$3:$AY$3, 0)),SUM(VLOOKUP($A14, LS_previous!$B$4:$AY$138, LS_previous!V$149, FALSE), VLOOKUP('Staging Table'!$A14, LS_previous!$B$4:$AY$138,LS_previous!AT$149, FALSE))/2)</f>
        <v>-25739.375269639204</v>
      </c>
      <c r="AE14" s="192">
        <f t="array" ref="AE14">IF($G14=0, INDEX(LS_previous!$D$4:$AY$138, MATCH('Staging Table'!$A14, LS_previous!$B$4:$B$138, 0), MATCH(AE$4&amp;AE$5, LS_previous!$D$2:$AY$2&amp;LS_previous!$D$3:$AY$3, 0)),SUM(VLOOKUP($A14, LS_previous!$B$4:$AY$138, LS_previous!W$149, FALSE), VLOOKUP('Staging Table'!$A14, LS_previous!$B$4:$AY$138,LS_previous!AU$149, FALSE))/2)</f>
        <v>6545.2195312863987</v>
      </c>
      <c r="AF14" s="192">
        <f t="array" ref="AF14">IF($G14=0, INDEX(LS_previous!$D$4:$AY$138, MATCH('Staging Table'!$A14, LS_previous!$B$4:$B$138, 0), MATCH(AF$4&amp;AF$5, LS_previous!$D$2:$AY$2&amp;LS_previous!$D$3:$AY$3, 0)),SUM(VLOOKUP($A14, LS_previous!$B$4:$AY$138, LS_previous!X$149, FALSE), VLOOKUP('Staging Table'!$A14, LS_previous!$B$4:$AY$138,LS_previous!AV$149, FALSE))/2)</f>
        <v>-17737.552203739193</v>
      </c>
      <c r="AG14" s="192">
        <f t="array" ref="AG14">IF($G14=0, INDEX(LS_previous!$D$4:$AY$138, MATCH('Staging Table'!$A14, LS_previous!$B$4:$B$138, 0), MATCH(AG$4&amp;AG$5, LS_previous!$D$2:$AY$2&amp;LS_previous!$D$3:$AY$3, 0)),SUM(VLOOKUP($A14, LS_previous!$B$4:$AY$138, LS_previous!Y$149, FALSE), VLOOKUP('Staging Table'!$A14, LS_previous!$B$4:$AY$138,LS_previous!AW$149, FALSE))/2)</f>
        <v>3234.1730672863996</v>
      </c>
      <c r="AH14" s="192">
        <f t="array" ref="AH14">IF($G14=0, INDEX(LS_previous!$D$4:$AY$138, MATCH('Staging Table'!$A14, LS_previous!$B$4:$B$138, 0), MATCH(AH$4&amp;AH$5, LS_previous!$D$2:$AY$2&amp;LS_previous!$D$3:$AY$3, 0)),SUM(VLOOKUP($A14, LS_previous!$B$4:$AY$138, LS_previous!Z$149, FALSE), VLOOKUP('Staging Table'!$A14, LS_previous!$B$4:$AY$138,LS_previous!AX$149, FALSE))/2)</f>
        <v>-11197.839014080004</v>
      </c>
      <c r="AI14" s="192">
        <f t="array" ref="AI14">IF($G14=0, INDEX(LS_previous!$D$4:$AY$138, MATCH('Staging Table'!$A14, LS_previous!$B$4:$B$138, 0), MATCH(AI$4&amp;AI$5, LS_previous!$D$2:$AY$2&amp;LS_previous!$D$3:$AY$3, 0)),SUM(VLOOKUP($A14, LS_previous!$B$4:$AY$138, LS_previous!AA$149, FALSE), VLOOKUP('Staging Table'!$A14, LS_previous!$B$4:$AY$138,LS_previous!AY$149, FALSE))/2)</f>
        <v>2594.257941015996</v>
      </c>
      <c r="AJ14" s="314">
        <f t="array" ref="AJ14">INDEX(Demand_previous!$D$4:$AY$138, MATCH('Staging Table'!$A14, Demand_previous!$B$4:$B$138, 0), MATCH(AJ$4&amp;AJ$5,Demand_previous!$D$2:$AY$2&amp;Demand_previous!$D$3:$AY$3, 0))/1000</f>
        <v>7.1128495370370359</v>
      </c>
      <c r="AK14" s="314">
        <f t="array" ref="AK14">INDEX(Demand_previous!$D$4:$AY$138, MATCH('Staging Table'!$A14, Demand_previous!$B$4:$B$138, 0), MATCH(AK$4&amp;AK$5,Demand_previous!$D$2:$AY$2&amp;Demand_previous!$D$3:$AY$3, 0))/1000</f>
        <v>0.63023750000001411</v>
      </c>
      <c r="AL14" s="314">
        <f t="array" ref="AL14">INDEX(Demand_previous!$D$4:$AY$138, MATCH('Staging Table'!$A14, Demand_previous!$B$4:$B$138, 0), MATCH(AL$4&amp;AL$5,Demand_previous!$D$2:$AY$2&amp;Demand_previous!$D$3:$AY$3, 0))/1000</f>
        <v>4.4994599999999707</v>
      </c>
      <c r="AM14" s="314">
        <f t="array" ref="AM14">INDEX(Demand_previous!$D$4:$AY$138, MATCH('Staging Table'!$A14, Demand_previous!$B$4:$B$138, 0), MATCH(AM$4&amp;AM$5,Demand_previous!$D$2:$AY$2&amp;Demand_previous!$D$3:$AY$3, 0))/1000</f>
        <v>18.816959134615374</v>
      </c>
      <c r="AN14" s="314">
        <f t="array" ref="AN14">INDEX(Demand_previous!$D$4:$AY$138, MATCH('Staging Table'!$A14, Demand_previous!$B$4:$B$138, 0), MATCH(AN$4&amp;AN$5,Demand_previous!$D$2:$AY$2&amp;Demand_previous!$D$3:$AY$3, 0))/1000</f>
        <v>0</v>
      </c>
      <c r="AO14" s="314">
        <f t="array" ref="AO14">INDEX(Demand_previous!$D$4:$AY$138, MATCH('Staging Table'!$A14, Demand_previous!$B$4:$B$138, 0), MATCH(AO$4&amp;AO$5,Demand_previous!$D$2:$AY$2&amp;Demand_previous!$D$3:$AY$3, 0))/1000</f>
        <v>15.322480769230767</v>
      </c>
      <c r="AP14" s="314">
        <f t="array" ref="AP14">INDEX(Demand_previous!$D$4:$AY$138, MATCH('Staging Table'!$A14, Demand_previous!$B$4:$B$138, 0), MATCH(AP$4&amp;AP$5,Demand_previous!$D$2:$AY$2&amp;Demand_previous!$D$3:$AY$3, 0))/1000</f>
        <v>24.235391826923056</v>
      </c>
      <c r="AQ14" s="314">
        <f t="array" ref="AQ14">INDEX(Demand_previous!$D$4:$AY$138, MATCH('Staging Table'!$A14, Demand_previous!$B$4:$B$138, 0), MATCH(AQ$4&amp;AQ$5,Demand_previous!$D$2:$AY$2&amp;Demand_previous!$D$3:$AY$3, 0))/1000</f>
        <v>15.289212500000009</v>
      </c>
      <c r="AR14" s="314">
        <f t="array" ref="AR14">INDEX(Demand_previous!$D$4:$AY$138, MATCH('Staging Table'!$A14, Demand_previous!$B$4:$B$138, 0), MATCH(AR$4&amp;AR$5,Demand_previous!$D$2:$AY$2&amp;Demand_previous!$D$3:$AY$3, 0))/1000</f>
        <v>4.9124567307692146</v>
      </c>
      <c r="AS14" s="314">
        <f t="array" ref="AS14">INDEX(Demand_previous!$D$4:$AY$138, MATCH('Staging Table'!$A14, Demand_previous!$B$4:$B$138, 0), MATCH(AS$4&amp;AS$5,Demand_previous!$D$2:$AY$2&amp;Demand_previous!$D$3:$AY$3, 0))/1000</f>
        <v>13.949968750000004</v>
      </c>
      <c r="AT14" s="314">
        <f t="array" ref="AT14">INDEX(Demand_previous!$D$4:$AY$138, MATCH('Staging Table'!$A14, Demand_previous!$B$4:$B$138, 0), MATCH(AT$4&amp;AT$5,Demand_previous!$D$2:$AY$2&amp;Demand_previous!$D$3:$AY$3, 0))/1000</f>
        <v>6.4799663461538435</v>
      </c>
      <c r="AU14" s="314">
        <f t="array" ref="AU14">INDEX(Demand_previous!$D$4:$AY$138, MATCH('Staging Table'!$A14, Demand_previous!$B$4:$B$138, 0), MATCH(AU$4&amp;AU$5,Demand_previous!$D$2:$AY$2&amp;Demand_previous!$D$3:$AY$3, 0))/1000</f>
        <v>9.3570925000000251</v>
      </c>
      <c r="AV14" s="192">
        <f>$F14*(VLOOKUP(AV$4, Rates_previous!$G$6:$Q$29, 10, FALSE)+VLOOKUP(AV$4, Rates_previous!$G$6:$Q$29, 11, FALSE))</f>
        <v>101358.42362315279</v>
      </c>
      <c r="AW14" s="192">
        <f>$F14*(VLOOKUP(AW$4, Rates_previous!$G$6:$Q$29, 10, FALSE)+VLOOKUP(AW$4, Rates_previous!$G$6:$Q$29, 11, FALSE))</f>
        <v>128756.8173758802</v>
      </c>
      <c r="AX14" s="192">
        <f>$F14*(VLOOKUP(AX$4, Rates_previous!$G$6:$Q$29, 10, FALSE)+VLOOKUP(AX$4, Rates_previous!$G$6:$Q$29, 11, FALSE))</f>
        <v>127201.90458255282</v>
      </c>
      <c r="AY14" s="192">
        <f>$F14*(VLOOKUP(AY$4, Rates_previous!$G$6:$Q$29, 10, FALSE)+VLOOKUP(AY$4, Rates_previous!$G$6:$Q$29, 11, FALSE))</f>
        <v>106030.53497615282</v>
      </c>
      <c r="AZ14" s="192">
        <f>$F14*(VLOOKUP(AZ$4, Rates_previous!$G$6:$Q$29, 10, FALSE)+VLOOKUP(AZ$4, Rates_previous!$G$6:$Q$29, 11, FALSE))</f>
        <v>96052.664870239998</v>
      </c>
      <c r="BA14" s="192">
        <f>$F14*(VLOOKUP(BA$4, Rates_previous!$G$6:$Q$29, 10, FALSE)+VLOOKUP(BA$4, Rates_previous!$G$6:$Q$29, 11, FALSE))</f>
        <v>106841.0775538366</v>
      </c>
      <c r="BB14" s="192">
        <f>$F14*(VLOOKUP(BB$4, Rates_previous!$G$6:$Q$29, 10, FALSE)+VLOOKUP(BB$4, Rates_previous!$G$6:$Q$29, 11, FALSE))</f>
        <v>86990.120637264001</v>
      </c>
      <c r="BC14" s="192">
        <f>$F14*(VLOOKUP(BC$4, Rates_previous!$G$6:$Q$29, 10, FALSE)+VLOOKUP(BC$4, Rates_previous!$G$6:$Q$29, 11, FALSE))</f>
        <v>117319.14934305281</v>
      </c>
      <c r="BD14" s="192">
        <f>$F14*(VLOOKUP(BD$4, Rates_previous!$G$6:$Q$29, 10, FALSE)+VLOOKUP(BD$4, Rates_previous!$G$6:$Q$29, 11, FALSE))</f>
        <v>149691.255519364</v>
      </c>
      <c r="BE14" s="192">
        <f>$F14*(VLOOKUP(BE$4, Rates_previous!$G$6:$Q$29, 10, FALSE)+VLOOKUP(BE$4, Rates_previous!$G$6:$Q$29, 11, FALSE))</f>
        <v>117362.69073835282</v>
      </c>
      <c r="BF14" s="192">
        <f>$F14*(VLOOKUP(BF$4, Rates_previous!$G$6:$Q$29, 10, FALSE)+VLOOKUP(BF$4, Rates_previous!$G$6:$Q$29, 11, FALSE))</f>
        <v>114287.89113645282</v>
      </c>
      <c r="BG14" s="192">
        <f>$F14*(VLOOKUP(BG$4, Rates_previous!$G$6:$Q$29, 10, FALSE)+VLOOKUP(BG$4, Rates_previous!$G$6:$Q$29, 11, FALSE))</f>
        <v>102606.21407306401</v>
      </c>
      <c r="BH14" s="314">
        <f>IF($D14=0,IF(C14=0, MAX(BJ14 - (VLOOKUP($A14,TOCA_previous!$A$2:$AI$137,MATCH("RHWM 2020",TOCA_previous!$A$2:$AI$2,0),FALSE)*$F$2*TOCA_previous!C11),0),0), 0)</f>
        <v>0</v>
      </c>
      <c r="BI14" s="204">
        <f>MIN(VLOOKUP($A14,TOCA_previous!$A$2:$AI$137,MATCH("TRL - NLSL - Existing Resource "&amp;$F$1,TOCA_previous!$A$2:$AI$2,0),FALSE)*$F$2,(VLOOKUP($A14,TOCA_previous!$A$2:$AI$137,MATCH("RHWM 2020",TOCA_previous!$A$2:$AI$2,0),FALSE)*$F$2))</f>
        <v>1354501.584</v>
      </c>
      <c r="BJ14" s="418">
        <f>SUM(L14:AI14)+(F14*RT1SC!$C$3*$F$2)</f>
        <v>1314022.4778403686</v>
      </c>
      <c r="BK14" s="417">
        <f>VLOOKUP($A14,TOCA_previous!$A$2:$AI$137,MATCH("Above RHWM Not Served with LS "&amp;$F$1,TOCA_previous!$A$2:$AI$2,0),FALSE)*$F$2</f>
        <v>0</v>
      </c>
      <c r="BL14" s="418">
        <f t="shared" si="8"/>
        <v>-40479.106159631396</v>
      </c>
      <c r="BM14" s="417">
        <f>(VLOOKUP($A14,TOCA_previous!$A$2:$AI$137,MATCH("RHWM 2020",TOCA_previous!$A$2:$AI$2,0),FALSE)*$F$2) - $BI14</f>
        <v>14423.32799999998</v>
      </c>
      <c r="BN14" s="418">
        <f t="shared" si="9"/>
        <v>0</v>
      </c>
      <c r="BO14" s="417">
        <f t="shared" si="10"/>
        <v>40479.106159631396</v>
      </c>
      <c r="BP14" s="418">
        <f t="shared" si="11"/>
        <v>0</v>
      </c>
      <c r="BQ14" s="417">
        <f t="shared" si="2"/>
        <v>40479.106159631396</v>
      </c>
      <c r="BR14" s="120">
        <f>VLOOKUP($A14,TOCA_current!$A$2:$AI$137,MATCH(BR$4,TOCA_current!$A$2:$AI$2,0),FALSE)</f>
        <v>2.21856E-2</v>
      </c>
      <c r="BS14" s="120">
        <f>VLOOKUP($A14,TOCA_current!$A$2:$AI$137,MATCH(BS$4,TOCA_current!$A$2:$AI$2,0),FALSE)</f>
        <v>2.21856E-2</v>
      </c>
      <c r="BT14" s="201">
        <f t="shared" si="12"/>
        <v>0</v>
      </c>
      <c r="BU14" s="120">
        <f>VLOOKUP($A14,TOCA_current!A10:BG145,MATCH(BU$4,TOCA_current!$A$2:$BG$2,0),FALSE)</f>
        <v>0</v>
      </c>
      <c r="BV14" s="120">
        <f t="shared" si="3"/>
        <v>0</v>
      </c>
      <c r="BW14" s="120">
        <f t="shared" si="4"/>
        <v>0</v>
      </c>
      <c r="BX14" s="191">
        <f>VLOOKUP($A14,IRD!$A$4:$G$139, 7, FALSE)</f>
        <v>0</v>
      </c>
      <c r="BY14" s="192">
        <f t="array" ref="BY14">IF($BT14=0, INDEX(LS_current!$D$4:$AY$138, MATCH('Staging Table'!$A14, LS_current!$B$4:$B$138, 0), MATCH(BY$4&amp;BY$5, LS_current!$D$2:$AY$2&amp;LS_current!$D$3:$AY$3, 0)),SUM(VLOOKUP($A14, LS_current!$B$4:$AY$138, LS_current!D$148, FALSE), VLOOKUP($A14, LS_current!$B$4:$AY$138,LS_current!AB$148, FALSE))/2)</f>
        <v>-2023.8674928787805</v>
      </c>
      <c r="BZ14" s="192">
        <f t="array" ref="BZ14">IF($BT14=0, INDEX(LS_current!$D$4:$AY$138, MATCH('Staging Table'!$A14, LS_current!$B$4:$B$138, 0), MATCH(BZ$4&amp;BZ$5, LS_current!$D$2:$AY$2&amp;LS_current!$D$3:$AY$3, 0)),SUM(VLOOKUP($A14, LS_current!$B$4:$AY$138, LS_current!E$148, FALSE), VLOOKUP($A14, LS_current!$B$4:$AY$138,LS_current!AC$148, FALSE))/2)</f>
        <v>7958.3278635991737</v>
      </c>
      <c r="CA14" s="192">
        <f t="array" ref="CA14">IF($BT14=0, INDEX(LS_current!$D$4:$AY$138, MATCH('Staging Table'!$A14, LS_current!$B$4:$B$138, 0), MATCH(CA$4&amp;CA$5, LS_current!$D$2:$AY$2&amp;LS_current!$D$3:$AY$3, 0)),SUM(VLOOKUP($A14, LS_current!$B$4:$AY$138, LS_current!F$148, FALSE), VLOOKUP($A14, LS_current!$B$4:$AY$138,LS_current!AD$148, FALSE))/2)</f>
        <v>-14635.531375876111</v>
      </c>
      <c r="CB14" s="192">
        <f t="array" ref="CB14">IF($BT14=0, INDEX(LS_current!$D$4:$AY$138, MATCH('Staging Table'!$A14, LS_current!$B$4:$B$138, 0), MATCH(CB$4&amp;CB$5, LS_current!$D$2:$AY$2&amp;LS_current!$D$3:$AY$3, 0)),SUM(VLOOKUP($A14, LS_current!$B$4:$AY$138, LS_current!G$148, FALSE), VLOOKUP($A14, LS_current!$B$4:$AY$138,LS_current!AE$148, FALSE))/2)</f>
        <v>-3380.0040779065384</v>
      </c>
      <c r="CC14" s="192">
        <f t="array" ref="CC14">IF($BT14=0, INDEX(LS_current!$D$4:$AY$138, MATCH('Staging Table'!$A14, LS_current!$B$4:$B$138, 0), MATCH(CC$4&amp;CC$5, LS_current!$D$2:$AY$2&amp;LS_current!$D$3:$AY$3, 0)),SUM(VLOOKUP($A14, LS_current!$B$4:$AY$138, LS_current!H$148, FALSE), VLOOKUP($A14, LS_current!$B$4:$AY$138,LS_current!AF$148, FALSE))/2)</f>
        <v>7947.7690353310754</v>
      </c>
      <c r="CD14" s="192">
        <f t="array" ref="CD14">IF($BT14=0, INDEX(LS_current!$D$4:$AY$138, MATCH('Staging Table'!$A14, LS_current!$B$4:$B$138, 0), MATCH(CD$4&amp;CD$5, LS_current!$D$2:$AY$2&amp;LS_current!$D$3:$AY$3, 0)),SUM(VLOOKUP($A14, LS_current!$B$4:$AY$138, LS_current!I$148, FALSE), VLOOKUP($A14, LS_current!$B$4:$AY$138,LS_current!AG$148, FALSE))/2)</f>
        <v>2099.2933753233519</v>
      </c>
      <c r="CE14" s="192">
        <f t="array" ref="CE14">IF($BT14=0, INDEX(LS_current!$D$4:$AY$138, MATCH('Staging Table'!$A14, LS_current!$B$4:$B$138, 0), MATCH(CE$4&amp;CE$5, LS_current!$D$2:$AY$2&amp;LS_current!$D$3:$AY$3, 0)),SUM(VLOOKUP($A14, LS_current!$B$4:$AY$138, LS_current!J$148, FALSE), VLOOKUP($A14, LS_current!$B$4:$AY$138,LS_current!AH$148, FALSE))/2)</f>
        <v>13425.993848547427</v>
      </c>
      <c r="CF14" s="192">
        <f t="array" ref="CF14">IF($BT14=0, INDEX(LS_current!$D$4:$AY$138, MATCH('Staging Table'!$A14, LS_current!$B$4:$B$138, 0), MATCH(CF$4&amp;CF$5, LS_current!$D$2:$AY$2&amp;LS_current!$D$3:$AY$3, 0)),SUM(VLOOKUP($A14, LS_current!$B$4:$AY$138, LS_current!K$148, FALSE), VLOOKUP($A14, LS_current!$B$4:$AY$138,LS_current!AI$148, FALSE))/2)</f>
        <v>11488.522465580485</v>
      </c>
      <c r="CG14" s="192">
        <f t="array" ref="CG14">IF($BT14=0, INDEX(LS_current!$D$4:$AY$138, MATCH('Staging Table'!$A14, LS_current!$B$4:$B$138, 0), MATCH(CG$4&amp;CG$5, LS_current!$D$2:$AY$2&amp;LS_current!$D$3:$AY$3, 0)),SUM(VLOOKUP($A14, LS_current!$B$4:$AY$138, LS_current!L$148, FALSE), VLOOKUP($A14, LS_current!$B$4:$AY$138,LS_current!AJ$148, FALSE))/2)</f>
        <v>11311.272636833361</v>
      </c>
      <c r="CH14" s="192">
        <f t="array" ref="CH14">IF($BT14=0, INDEX(LS_current!$D$4:$AY$138, MATCH('Staging Table'!$A14, LS_current!$B$4:$B$138, 0), MATCH(CH$4&amp;CH$5, LS_current!$D$2:$AY$2&amp;LS_current!$D$3:$AY$3, 0)),SUM(VLOOKUP($A14, LS_current!$B$4:$AY$138, LS_current!M$148, FALSE), VLOOKUP($A14, LS_current!$B$4:$AY$138,LS_current!AK$148, FALSE))/2)</f>
        <v>4893.0217565001949</v>
      </c>
      <c r="CI14" s="192">
        <f t="array" ref="CI14">IF($BT14=0, INDEX(LS_current!$D$4:$AY$138, MATCH('Staging Table'!$A14, LS_current!$B$4:$B$138, 0), MATCH(CI$4&amp;CI$5, LS_current!$D$2:$AY$2&amp;LS_current!$D$3:$AY$3, 0)),SUM(VLOOKUP($A14, LS_current!$B$4:$AY$138, LS_current!N$148, FALSE), VLOOKUP($A14, LS_current!$B$4:$AY$138,LS_current!AL$148, FALSE))/2)</f>
        <v>5159.4751061035931</v>
      </c>
      <c r="CJ14" s="192">
        <f t="array" ref="CJ14">IF($BT14=0, INDEX(LS_current!$D$4:$AY$138, MATCH('Staging Table'!$A14, LS_current!$B$4:$B$138, 0), MATCH(CJ$4&amp;CJ$5, LS_current!$D$2:$AY$2&amp;LS_current!$D$3:$AY$3, 0)),SUM(VLOOKUP($A14, LS_current!$B$4:$AY$138, LS_current!O$148, FALSE), VLOOKUP($A14, LS_current!$B$4:$AY$138,LS_current!AM$148, FALSE))/2)</f>
        <v>4415.7828200680597</v>
      </c>
      <c r="CK14" s="192">
        <f t="array" ref="CK14">IF($BT14=0, INDEX(LS_current!$D$4:$AY$138, MATCH('Staging Table'!$A14, LS_current!$B$4:$B$138, 0), MATCH(CK$4&amp;CK$5, LS_current!$D$2:$AY$2&amp;LS_current!$D$3:$AY$3, 0)),SUM(VLOOKUP($A14, LS_current!$B$4:$AY$138, LS_current!P$148, FALSE), VLOOKUP($A14, LS_current!$B$4:$AY$138,LS_current!AN$148, FALSE))/2)</f>
        <v>14159.307674552867</v>
      </c>
      <c r="CL14" s="192">
        <f t="array" ref="CL14">IF($BT14=0, INDEX(LS_current!$D$4:$AY$138, MATCH('Staging Table'!$A14, LS_current!$B$4:$B$138, 0), MATCH(CL$4&amp;CL$5, LS_current!$D$2:$AY$2&amp;LS_current!$D$3:$AY$3, 0)),SUM(VLOOKUP($A14, LS_current!$B$4:$AY$138, LS_current!Q$148, FALSE), VLOOKUP($A14, LS_current!$B$4:$AY$138,LS_current!AO$148, FALSE))/2)</f>
        <v>11375.749500348393</v>
      </c>
      <c r="CM14" s="192">
        <f t="array" ref="CM14">IF($BT14=0, INDEX(LS_current!$D$4:$AY$138, MATCH('Staging Table'!$A14, LS_current!$B$4:$B$138, 0), MATCH(CM$4&amp;CM$5, LS_current!$D$2:$AY$2&amp;LS_current!$D$3:$AY$3, 0)),SUM(VLOOKUP($A14, LS_current!$B$4:$AY$138, LS_current!R$148, FALSE), VLOOKUP($A14, LS_current!$B$4:$AY$138,LS_current!AP$148, FALSE))/2)</f>
        <v>-25586.101546367434</v>
      </c>
      <c r="CN14" s="192">
        <f t="array" ref="CN14">IF($BT14=0, INDEX(LS_current!$D$4:$AY$138, MATCH('Staging Table'!$A14, LS_current!$B$4:$B$138, 0), MATCH(CN$4&amp;CN$5, LS_current!$D$2:$AY$2&amp;LS_current!$D$3:$AY$3, 0)),SUM(VLOOKUP($A14, LS_current!$B$4:$AY$138, LS_current!S$148, FALSE), VLOOKUP($A14, LS_current!$B$4:$AY$138,LS_current!AQ$148, FALSE))/2)</f>
        <v>2901.1429303084369</v>
      </c>
      <c r="CO14" s="192">
        <f t="array" ref="CO14">IF($BT14=0, INDEX(LS_current!$D$4:$AY$138, MATCH('Staging Table'!$A14, LS_current!$B$4:$B$138, 0), MATCH(CO$4&amp;CO$5, LS_current!$D$2:$AY$2&amp;LS_current!$D$3:$AY$3, 0)),SUM(VLOOKUP($A14, LS_current!$B$4:$AY$138, LS_current!T$148, FALSE), VLOOKUP($A14, LS_current!$B$4:$AY$138,LS_current!AR$148, FALSE))/2)</f>
        <v>-33030.154432900148</v>
      </c>
      <c r="CP14" s="192">
        <f t="array" ref="CP14">IF($BT14=0, INDEX(LS_current!$D$4:$AY$138, MATCH('Staging Table'!$A14, LS_current!$B$4:$B$138, 0), MATCH(CP$4&amp;CP$5, LS_current!$D$2:$AY$2&amp;LS_current!$D$3:$AY$3, 0)),SUM(VLOOKUP($A14, LS_current!$B$4:$AY$138, LS_current!U$148, FALSE), VLOOKUP($A14, LS_current!$B$4:$AY$138,LS_current!AS$148, FALSE))/2)</f>
        <v>724.19416120542883</v>
      </c>
      <c r="CQ14" s="192">
        <f t="array" ref="CQ14">IF($BT14=0, INDEX(LS_current!$D$4:$AY$138, MATCH('Staging Table'!$A14, LS_current!$B$4:$B$138, 0), MATCH(CQ$4&amp;CQ$5, LS_current!$D$2:$AY$2&amp;LS_current!$D$3:$AY$3, 0)),SUM(VLOOKUP($A14, LS_current!$B$4:$AY$138, LS_current!V$148, FALSE), VLOOKUP($A14, LS_current!$B$4:$AY$138,LS_current!AT$148, FALSE))/2)</f>
        <v>-24400.330797766313</v>
      </c>
      <c r="CR14" s="192">
        <f t="array" ref="CR14">IF($BT14=0, INDEX(LS_current!$D$4:$AY$138, MATCH('Staging Table'!$A14, LS_current!$B$4:$B$138, 0), MATCH(CR$4&amp;CR$5, LS_current!$D$2:$AY$2&amp;LS_current!$D$3:$AY$3, 0)),SUM(VLOOKUP($A14, LS_current!$B$4:$AY$138, LS_current!W$148, FALSE), VLOOKUP($A14, LS_current!$B$4:$AY$138,LS_current!AU$148, FALSE))/2)</f>
        <v>2678.3690651280194</v>
      </c>
      <c r="CS14" s="192">
        <f t="array" ref="CS14">IF($BT14=0, INDEX(LS_current!$D$4:$AY$138, MATCH('Staging Table'!$A14, LS_current!$B$4:$B$138, 0), MATCH(CS$4&amp;CS$5, LS_current!$D$2:$AY$2&amp;LS_current!$D$3:$AY$3, 0)),SUM(VLOOKUP($A14, LS_current!$B$4:$AY$138, LS_current!X$148, FALSE), VLOOKUP($A14, LS_current!$B$4:$AY$138,LS_current!AV$148, FALSE))/2)</f>
        <v>-17227.159480204689</v>
      </c>
      <c r="CT14" s="192">
        <f t="array" ref="CT14">IF($BT14=0, INDEX(LS_current!$D$4:$AY$138, MATCH('Staging Table'!$A14, LS_current!$B$4:$B$138, 0), MATCH(CT$4&amp;CT$5, LS_current!$D$2:$AY$2&amp;LS_current!$D$3:$AY$3, 0)),SUM(VLOOKUP($A14, LS_current!$B$4:$AY$138, LS_current!Y$148, FALSE), VLOOKUP($A14, LS_current!$B$4:$AY$138,LS_current!AW$148, FALSE))/2)</f>
        <v>1041.6837045473731</v>
      </c>
      <c r="CU14" s="192">
        <f t="array" ref="CU14">IF($BT14=0, INDEX(LS_current!$D$4:$AY$138, MATCH('Staging Table'!$A14, LS_current!$B$4:$B$138, 0), MATCH(CU$4&amp;CU$5, LS_current!$D$2:$AY$2&amp;LS_current!$D$3:$AY$3, 0)),SUM(VLOOKUP($A14, LS_current!$B$4:$AY$138, LS_current!Z$148, FALSE), VLOOKUP($A14, LS_current!$B$4:$AY$138,LS_current!AX$148, FALSE))/2)</f>
        <v>-13719.848398016671</v>
      </c>
      <c r="CV14" s="192">
        <f t="array" ref="CV14">IF($BT14=0, INDEX(LS_current!$D$4:$AY$138, MATCH('Staging Table'!$A14, LS_current!$B$4:$B$138, 0), MATCH(CV$4&amp;CV$5, LS_current!$D$2:$AY$2&amp;LS_current!$D$3:$AY$3, 0)),SUM(VLOOKUP($A14, LS_current!$B$4:$AY$138, LS_current!AA$148, FALSE), VLOOKUP($A14, LS_current!$B$4:$AY$138,LS_current!AY$148, FALSE))/2)</f>
        <v>417.56945003051806</v>
      </c>
      <c r="CW14" s="194">
        <f t="array" ref="CW14">INDEX(Demand_current!$D$4:$AY$138, MATCH($A14, Demand_current!$B$4:$B$138, 0), MATCH(CW$4&amp;CW$5,Demand_current!$D$2:$AY$2&amp;Demand_current!$D$3:$AY$3, 0))/1000</f>
        <v>1.3680745192307453</v>
      </c>
      <c r="CX14" s="194">
        <f t="array" ref="CX14">INDEX(Demand_current!$D$4:$AY$138, MATCH($A14, Demand_current!$B$4:$B$138, 0), MATCH(CX$4&amp;CX$5,Demand_current!$D$2:$AY$2&amp;Demand_current!$D$3:$AY$3, 0))/1000</f>
        <v>0.63023750000001411</v>
      </c>
      <c r="CY14" s="194">
        <f t="array" ref="CY14">INDEX(Demand_current!$D$4:$AY$138, MATCH($A14, Demand_current!$B$4:$B$138, 0), MATCH(CY$4&amp;CY$5,Demand_current!$D$2:$AY$2&amp;Demand_current!$D$3:$AY$3, 0))/1000</f>
        <v>12.309173076923059</v>
      </c>
      <c r="CZ14" s="194">
        <f t="array" ref="CZ14">INDEX(Demand_current!$D$4:$AY$138, MATCH($A14, Demand_current!$B$4:$B$138, 0), MATCH(CZ$4&amp;CZ$5,Demand_current!$D$2:$AY$2&amp;Demand_current!$D$3:$AY$3, 0))/1000</f>
        <v>11.707797500000012</v>
      </c>
      <c r="DA14" s="194">
        <f t="array" ref="DA14">INDEX(Demand_current!$D$4:$AY$138, MATCH($A14, Demand_current!$B$4:$B$138, 0), MATCH(DA$4&amp;DA$5,Demand_current!$D$2:$AY$2&amp;Demand_current!$D$3:$AY$3, 0))/1000</f>
        <v>0</v>
      </c>
      <c r="DB14" s="194">
        <f t="array" ref="DB14">INDEX(Demand_current!$D$4:$AY$138, MATCH($A14, Demand_current!$B$4:$B$138, 0), MATCH(DB$4&amp;DB$5,Demand_current!$D$2:$AY$2&amp;Demand_current!$D$3:$AY$3, 0))/1000</f>
        <v>21.793870370370371</v>
      </c>
      <c r="DC14" s="194">
        <f t="array" ref="DC14">INDEX(Demand_current!$D$4:$AY$138, MATCH($A14, Demand_current!$B$4:$B$138, 0), MATCH(DC$4&amp;DC$5,Demand_current!$D$2:$AY$2&amp;Demand_current!$D$3:$AY$3, 0))/1000</f>
        <v>24.235391826923056</v>
      </c>
      <c r="DD14" s="194">
        <f t="array" ref="DD14">INDEX(Demand_current!$D$4:$AY$138, MATCH($A14, Demand_current!$B$4:$B$138, 0), MATCH(DD$4&amp;DD$5,Demand_current!$D$2:$AY$2&amp;Demand_current!$D$3:$AY$3, 0))/1000</f>
        <v>15.289212500000009</v>
      </c>
      <c r="DE14" s="194">
        <f t="array" ref="DE14">INDEX(Demand_current!$D$4:$AY$138, MATCH($A14, Demand_current!$B$4:$B$138, 0), MATCH(DE$4&amp;DE$5,Demand_current!$D$2:$AY$2&amp;Demand_current!$D$3:$AY$3, 0))/1000</f>
        <v>4.9124567307692146</v>
      </c>
      <c r="DF14" s="194">
        <f t="array" ref="DF14">INDEX(Demand_current!$D$4:$AY$138, MATCH($A14, Demand_current!$B$4:$B$138, 0), MATCH(DF$4&amp;DF$5,Demand_current!$D$2:$AY$2&amp;Demand_current!$D$3:$AY$3, 0))/1000</f>
        <v>8.6566874999999968</v>
      </c>
      <c r="DG14" s="194">
        <f t="array" ref="DG14">INDEX(Demand_current!$D$4:$AY$138, MATCH($A14, Demand_current!$B$4:$B$138, 0), MATCH(DG$4&amp;DG$5,Demand_current!$D$2:$AY$2&amp;Demand_current!$D$3:$AY$3, 0))/1000</f>
        <v>11.87359722222223</v>
      </c>
      <c r="DH14" s="194">
        <f t="array" ref="DH14">INDEX(Demand_current!$D$4:$AY$138, MATCH($A14, Demand_current!$B$4:$B$138, 0), MATCH(DH$4&amp;DH$5,Demand_current!$D$2:$AY$2&amp;Demand_current!$D$3:$AY$3, 0))/1000</f>
        <v>9.3570925000000251</v>
      </c>
      <c r="DI14" s="192">
        <f>$BS14*(VLOOKUP(DI$4, Rates_current!$G$6:$Q$29, 10, FALSE)+VLOOKUP(DI$4, Rates_current!$G$6:$Q$29, 11, FALSE))</f>
        <v>101031.54562927962</v>
      </c>
      <c r="DJ14" s="192">
        <f>$BS14*(VLOOKUP(DJ$4, Rates_current!$G$6:$Q$29, 10, FALSE)+VLOOKUP(DJ$4, Rates_current!$G$6:$Q$29, 11, FALSE))</f>
        <v>127909.60345378265</v>
      </c>
      <c r="DK14" s="192">
        <f>$BS14*(VLOOKUP(DK$4, Rates_current!$G$6:$Q$29, 10, FALSE)+VLOOKUP(DK$4, Rates_current!$G$6:$Q$29, 11, FALSE))</f>
        <v>125197.9475893456</v>
      </c>
      <c r="DL14" s="192">
        <f>$BS14*(VLOOKUP(DL$4, Rates_current!$G$6:$Q$29, 10, FALSE)+VLOOKUP(DL$4, Rates_current!$G$6:$Q$29, 11, FALSE))</f>
        <v>103408.1806858721</v>
      </c>
      <c r="DM14" s="192">
        <f>$BS14*(VLOOKUP(DM$4, Rates_current!$G$6:$Q$29, 10, FALSE)+VLOOKUP(DM$4, Rates_current!$G$6:$Q$29, 11, FALSE))</f>
        <v>89626.136606666449</v>
      </c>
      <c r="DN14" s="192">
        <f>$BS14*(VLOOKUP(DN$4, Rates_current!$G$6:$Q$29, 10, FALSE)+VLOOKUP(DN$4, Rates_current!$G$6:$Q$29, 11, FALSE))</f>
        <v>106995.50807382836</v>
      </c>
      <c r="DO14" s="192">
        <f>$BS14*(VLOOKUP(DO$4, Rates_current!$G$6:$Q$29, 10, FALSE)+VLOOKUP(DO$4, Rates_current!$G$6:$Q$29, 11, FALSE))</f>
        <v>83067.767825098737</v>
      </c>
      <c r="DP14" s="192">
        <f>$BS14*(VLOOKUP(DP$4, Rates_current!$G$6:$Q$29, 10, FALSE)+VLOOKUP(DP$4, Rates_current!$G$6:$Q$29, 11, FALSE))</f>
        <v>115091.00361605898</v>
      </c>
      <c r="DQ14" s="192">
        <f>$BS14*(VLOOKUP(DQ$4, Rates_current!$G$6:$Q$29, 10, FALSE)+VLOOKUP(DQ$4, Rates_current!$G$6:$Q$29, 11, FALSE))</f>
        <v>122977.1472716947</v>
      </c>
      <c r="DR14" s="192">
        <f>$BS14*(VLOOKUP(DR$4, Rates_current!$G$6:$Q$29, 10, FALSE)+VLOOKUP(DR$4, Rates_current!$G$6:$Q$29, 11, FALSE))</f>
        <v>116761.23273263831</v>
      </c>
      <c r="DS14" s="192">
        <f>$BS14*(VLOOKUP(DS$4, Rates_current!$G$6:$Q$29, 10, FALSE)+VLOOKUP(DS$4, Rates_current!$G$6:$Q$29, 11, FALSE))</f>
        <v>112840.72377565732</v>
      </c>
      <c r="DT14" s="192">
        <f>$BS14*(VLOOKUP(DT$4, Rates_current!$G$6:$Q$29, 10, FALSE)+VLOOKUP(DT$4, Rates_current!$G$6:$Q$29, 11, FALSE))</f>
        <v>104276.59194798615</v>
      </c>
      <c r="DU14" s="418">
        <f>IF(D14=0,IF(C14=0,MAX(0,DW14 - (VLOOKUP($A14,TOCA_current!$A$2:$AI$137,MATCH("RHWM 2022",TOCA_current!$A$2:$AI$2,0),FALSE)*$BS$2)), 0),0)</f>
        <v>0</v>
      </c>
      <c r="DV14" s="419">
        <f>MIN(VLOOKUP($A14,TOCA_current!$A$2:$AI$137,MATCH("TRL - NLSL - Existing Resource "&amp;$BS$1,TOCA_current!$A$2:$AI$2,0),FALSE)*$BS$2, VLOOKUP($A14,TOCA_current!$A$2:$AI$137,MATCH("RHWM 2022",TOCA_current!$A$2:$AI$2,0),FALSE)*$BS$2)</f>
        <v>1309182</v>
      </c>
      <c r="DW14" s="419">
        <f>SUM(BY14:CV14)+(BS14*RT1SC!$C$4*$BS$2)</f>
        <v>1277177.933970395</v>
      </c>
      <c r="DX14" s="419">
        <f>VLOOKUP($A14,TOCA_current!$A$2:$AI$137,MATCH("Above RHWM Not Served with LS "&amp;$BS$1,TOCA_current!$A$2:$AI$2,0),FALSE)*$BS$2</f>
        <v>36844.560000000005</v>
      </c>
      <c r="DY14" s="419">
        <f t="shared" si="13"/>
        <v>-32004.06602960499</v>
      </c>
      <c r="DZ14" s="419">
        <f>(VLOOKUP($A14,TOCA_current!$A$2:$AI$137,MATCH("RHWM 2022",TOCA_current!$A$2:$AI$2,0),FALSE)*$BS$2) - $DV14</f>
        <v>0</v>
      </c>
      <c r="EA14" s="419">
        <f t="shared" si="14"/>
        <v>0</v>
      </c>
      <c r="EB14" s="419">
        <f t="shared" si="15"/>
        <v>0</v>
      </c>
      <c r="EC14" s="419">
        <f t="shared" si="16"/>
        <v>0</v>
      </c>
      <c r="ED14" s="419">
        <f t="shared" si="17"/>
        <v>0</v>
      </c>
    </row>
    <row r="15" spans="1:134">
      <c r="A15" s="135">
        <v>10055</v>
      </c>
      <c r="B15" s="136" t="s">
        <v>16</v>
      </c>
      <c r="C15" s="244">
        <f>VLOOKUP(A15, TOCA_current!$A$3:$D$137, 4, FALSE)</f>
        <v>0</v>
      </c>
      <c r="D15" s="203">
        <v>0</v>
      </c>
      <c r="E15" s="119">
        <f>VLOOKUP($A15,TOCA_previous!$A$2:$AI$137,MATCH(E$4,TOCA_previous!$A$2:$AI$2,0),FALSE)</f>
        <v>5.4799999999999997E-5</v>
      </c>
      <c r="F15" s="120">
        <f>VLOOKUP($A15,TOCA_previous!$A$2:$AI$137,MATCH(F$4,TOCA_previous!$A$2:$AI$2,0),FALSE)</f>
        <v>5.4799999999999997E-5</v>
      </c>
      <c r="G15" s="120">
        <f t="shared" si="5"/>
        <v>0</v>
      </c>
      <c r="H15" s="120">
        <f>VLOOKUP($A15,TOCA_previous!$A$2:$AI$137,MATCH(H$4,TOCA_previous!$A$2:$AI$2,0),FALSE)</f>
        <v>0</v>
      </c>
      <c r="I15" s="120">
        <f t="shared" si="6"/>
        <v>0</v>
      </c>
      <c r="J15" s="120">
        <f t="shared" si="7"/>
        <v>0</v>
      </c>
      <c r="K15" s="191">
        <f>VLOOKUP(A15, IRD!$A$5:$C$139, 3, FALSE)</f>
        <v>0</v>
      </c>
      <c r="L15" s="192">
        <f t="array" ref="L15">IF($G15=0, INDEX(LS_previous!$D$4:$AY$138, MATCH('Staging Table'!$A15, LS_previous!$B$4:$B$138, 0), MATCH(L$4&amp;L$5, LS_previous!$D$2:$AY$2&amp;LS_previous!$D$3:$AY$3, 0)),SUM(VLOOKUP($A15, LS_previous!$B$4:$AY$138, LS_previous!D$149, FALSE), VLOOKUP('Staging Table'!$A15, LS_previous!$B$4:$AY$138,LS_previous!AB$149, FALSE))/2)</f>
        <v>-14.394783262399983</v>
      </c>
      <c r="M15" s="192">
        <f t="array" ref="M15">IF($G15=0, INDEX(LS_previous!$D$4:$AY$138, MATCH('Staging Table'!$A15, LS_previous!$B$4:$B$138, 0), MATCH(M$4&amp;M$5, LS_previous!$D$2:$AY$2&amp;LS_previous!$D$3:$AY$3, 0)),SUM(VLOOKUP($A15, LS_previous!$B$4:$AY$138, LS_previous!E$149, FALSE), VLOOKUP('Staging Table'!$A15, LS_previous!$B$4:$AY$138,LS_previous!AC$149, FALSE))/2)</f>
        <v>18.705800921600002</v>
      </c>
      <c r="N15" s="192">
        <f t="array" ref="N15">IF($G15=0, INDEX(LS_previous!$D$4:$AY$138, MATCH('Staging Table'!$A15, LS_previous!$B$4:$B$138, 0), MATCH(N$4&amp;N$5, LS_previous!$D$2:$AY$2&amp;LS_previous!$D$3:$AY$3, 0)),SUM(VLOOKUP($A15, LS_previous!$B$4:$AY$138, LS_previous!F$149, FALSE), VLOOKUP('Staging Table'!$A15, LS_previous!$B$4:$AY$138,LS_previous!AD$149, FALSE))/2)</f>
        <v>-36.680740534399973</v>
      </c>
      <c r="O15" s="192">
        <f t="array" ref="O15">IF($G15=0, INDEX(LS_previous!$D$4:$AY$138, MATCH('Staging Table'!$A15, LS_previous!$B$4:$B$138, 0), MATCH(O$4&amp;O$5, LS_previous!$D$2:$AY$2&amp;LS_previous!$D$3:$AY$3, 0)),SUM(VLOOKUP($A15, LS_previous!$B$4:$AY$138, LS_previous!G$149, FALSE), VLOOKUP('Staging Table'!$A15, LS_previous!$B$4:$AY$138,LS_previous!AE$149, FALSE))/2)</f>
        <v>7.3749990371999985</v>
      </c>
      <c r="P15" s="192">
        <f t="array" ref="P15">IF($G15=0, INDEX(LS_previous!$D$4:$AY$138, MATCH('Staging Table'!$A15, LS_previous!$B$4:$B$138, 0), MATCH(P$4&amp;P$5, LS_previous!$D$2:$AY$2&amp;LS_previous!$D$3:$AY$3, 0)),SUM(VLOOKUP($A15, LS_previous!$B$4:$AY$138, LS_previous!H$149, FALSE), VLOOKUP('Staging Table'!$A15, LS_previous!$B$4:$AY$138,LS_previous!AF$149, FALSE))/2)</f>
        <v>61.124574374399998</v>
      </c>
      <c r="Q15" s="192">
        <f t="array" ref="Q15">IF($G15=0, INDEX(LS_previous!$D$4:$AY$138, MATCH('Staging Table'!$A15, LS_previous!$B$4:$B$138, 0), MATCH(Q$4&amp;Q$5, LS_previous!$D$2:$AY$2&amp;LS_previous!$D$3:$AY$3, 0)),SUM(VLOOKUP($A15, LS_previous!$B$4:$AY$138, LS_previous!I$149, FALSE), VLOOKUP('Staging Table'!$A15, LS_previous!$B$4:$AY$138,LS_previous!AG$149, FALSE))/2)</f>
        <v>74.668334884799989</v>
      </c>
      <c r="R15" s="192">
        <f t="array" ref="R15">IF($G15=0, INDEX(LS_previous!$D$4:$AY$138, MATCH('Staging Table'!$A15, LS_previous!$B$4:$B$138, 0), MATCH(R$4&amp;R$5, LS_previous!$D$2:$AY$2&amp;LS_previous!$D$3:$AY$3, 0)),SUM(VLOOKUP($A15, LS_previous!$B$4:$AY$138, LS_previous!J$149, FALSE), VLOOKUP('Staging Table'!$A15, LS_previous!$B$4:$AY$138,LS_previous!AH$149, FALSE))/2)</f>
        <v>69.77417917439999</v>
      </c>
      <c r="S15" s="192">
        <f t="array" ref="S15">IF($G15=0, INDEX(LS_previous!$D$4:$AY$138, MATCH('Staging Table'!$A15, LS_previous!$B$4:$B$138, 0), MATCH(S$4&amp;S$5, LS_previous!$D$2:$AY$2&amp;LS_previous!$D$3:$AY$3, 0)),SUM(VLOOKUP($A15, LS_previous!$B$4:$AY$138, LS_previous!K$149, FALSE), VLOOKUP('Staging Table'!$A15, LS_previous!$B$4:$AY$138,LS_previous!AI$149, FALSE))/2)</f>
        <v>103.43448048479999</v>
      </c>
      <c r="T15" s="192">
        <f t="array" ref="T15">IF($G15=0, INDEX(LS_previous!$D$4:$AY$138, MATCH('Staging Table'!$A15, LS_previous!$B$4:$B$138, 0), MATCH(T$4&amp;T$5, LS_previous!$D$2:$AY$2&amp;LS_previous!$D$3:$AY$3, 0)),SUM(VLOOKUP($A15, LS_previous!$B$4:$AY$138, LS_previous!L$149, FALSE), VLOOKUP('Staging Table'!$A15, LS_previous!$B$4:$AY$138,LS_previous!AJ$149, FALSE))/2)</f>
        <v>43.768277604800033</v>
      </c>
      <c r="U15" s="192">
        <f t="array" ref="U15">IF($G15=0, INDEX(LS_previous!$D$4:$AY$138, MATCH('Staging Table'!$A15, LS_previous!$B$4:$B$138, 0), MATCH(U$4&amp;U$5, LS_previous!$D$2:$AY$2&amp;LS_previous!$D$3:$AY$3, 0)),SUM(VLOOKUP($A15, LS_previous!$B$4:$AY$138, LS_previous!M$149, FALSE), VLOOKUP('Staging Table'!$A15, LS_previous!$B$4:$AY$138,LS_previous!AK$149, FALSE))/2)</f>
        <v>54.778921755200017</v>
      </c>
      <c r="V15" s="192">
        <f t="array" ref="V15">IF($G15=0, INDEX(LS_previous!$D$4:$AY$138, MATCH('Staging Table'!$A15, LS_previous!$B$4:$B$138, 0), MATCH(V$4&amp;V$5, LS_previous!$D$2:$AY$2&amp;LS_previous!$D$3:$AY$3, 0)),SUM(VLOOKUP($A15, LS_previous!$B$4:$AY$138, LS_previous!N$149, FALSE), VLOOKUP('Staging Table'!$A15, LS_previous!$B$4:$AY$138,LS_previous!AL$149, FALSE))/2)</f>
        <v>14.027258883200005</v>
      </c>
      <c r="W15" s="192">
        <f t="array" ref="W15">IF($G15=0, INDEX(LS_previous!$D$4:$AY$138, MATCH('Staging Table'!$A15, LS_previous!$B$4:$B$138, 0), MATCH(W$4&amp;W$5, LS_previous!$D$2:$AY$2&amp;LS_previous!$D$3:$AY$3, 0)),SUM(VLOOKUP($A15, LS_previous!$B$4:$AY$138, LS_previous!O$149, FALSE), VLOOKUP('Staging Table'!$A15, LS_previous!$B$4:$AY$138,LS_previous!AM$149, FALSE))/2)</f>
        <v>31.665979769200007</v>
      </c>
      <c r="X15" s="192">
        <f t="array" ref="X15">IF($G15=0, INDEX(LS_previous!$D$4:$AY$138, MATCH('Staging Table'!$A15, LS_previous!$B$4:$B$138, 0), MATCH(X$4&amp;X$5, LS_previous!$D$2:$AY$2&amp;LS_previous!$D$3:$AY$3, 0)),SUM(VLOOKUP($A15, LS_previous!$B$4:$AY$138, LS_previous!P$149, FALSE), VLOOKUP('Staging Table'!$A15, LS_previous!$B$4:$AY$138,LS_previous!AN$149, FALSE))/2)</f>
        <v>13.827556028800018</v>
      </c>
      <c r="Y15" s="192">
        <f t="array" ref="Y15">IF($G15=0, INDEX(LS_previous!$D$4:$AY$138, MATCH('Staging Table'!$A15, LS_previous!$B$4:$B$138, 0), MATCH(Y$4&amp;Y$5, LS_previous!$D$2:$AY$2&amp;LS_previous!$D$3:$AY$3, 0)),SUM(VLOOKUP($A15, LS_previous!$B$4:$AY$138, LS_previous!Q$149, FALSE), VLOOKUP('Staging Table'!$A15, LS_previous!$B$4:$AY$138,LS_previous!AO$149, FALSE))/2)</f>
        <v>23.078183267200004</v>
      </c>
      <c r="Z15" s="192">
        <f t="array" ref="Z15">IF($G15=0, INDEX(LS_previous!$D$4:$AY$138, MATCH('Staging Table'!$A15, LS_previous!$B$4:$B$138, 0), MATCH(Z$4&amp;Z$5, LS_previous!$D$2:$AY$2&amp;LS_previous!$D$3:$AY$3, 0)),SUM(VLOOKUP($A15, LS_previous!$B$4:$AY$138, LS_previous!R$149, FALSE), VLOOKUP('Staging Table'!$A15, LS_previous!$B$4:$AY$138,LS_previous!AP$149, FALSE))/2)</f>
        <v>-71.630173079999977</v>
      </c>
      <c r="AA15" s="192">
        <f t="array" ref="AA15">IF($G15=0, INDEX(LS_previous!$D$4:$AY$138, MATCH('Staging Table'!$A15, LS_previous!$B$4:$B$138, 0), MATCH(AA$4&amp;AA$5, LS_previous!$D$2:$AY$2&amp;LS_previous!$D$3:$AY$3, 0)),SUM(VLOOKUP($A15, LS_previous!$B$4:$AY$138, LS_previous!S$149, FALSE), VLOOKUP('Staging Table'!$A15, LS_previous!$B$4:$AY$138,LS_previous!AQ$149, FALSE))/2)</f>
        <v>-11.905820660799989</v>
      </c>
      <c r="AB15" s="192">
        <f t="array" ref="AB15">IF($G15=0, INDEX(LS_previous!$D$4:$AY$138, MATCH('Staging Table'!$A15, LS_previous!$B$4:$B$138, 0), MATCH(AB$4&amp;AB$5, LS_previous!$D$2:$AY$2&amp;LS_previous!$D$3:$AY$3, 0)),SUM(VLOOKUP($A15, LS_previous!$B$4:$AY$138, LS_previous!T$149, FALSE), VLOOKUP('Staging Table'!$A15, LS_previous!$B$4:$AY$138,LS_previous!AR$149, FALSE))/2)</f>
        <v>-118.96233177119998</v>
      </c>
      <c r="AC15" s="192">
        <f t="array" ref="AC15">IF($G15=0, INDEX(LS_previous!$D$4:$AY$138, MATCH('Staging Table'!$A15, LS_previous!$B$4:$B$138, 0), MATCH(AC$4&amp;AC$5, LS_previous!$D$2:$AY$2&amp;LS_previous!$D$3:$AY$3, 0)),SUM(VLOOKUP($A15, LS_previous!$B$4:$AY$138, LS_previous!U$149, FALSE), VLOOKUP('Staging Table'!$A15, LS_previous!$B$4:$AY$138,LS_previous!AS$149, FALSE))/2)</f>
        <v>-60.316689532799984</v>
      </c>
      <c r="AD15" s="192">
        <f t="array" ref="AD15">IF($G15=0, INDEX(LS_previous!$D$4:$AY$138, MATCH('Staging Table'!$A15, LS_previous!$B$4:$B$138, 0), MATCH(AD$4&amp;AD$5, LS_previous!$D$2:$AY$2&amp;LS_previous!$D$3:$AY$3, 0)),SUM(VLOOKUP($A15, LS_previous!$B$4:$AY$138, LS_previous!V$149, FALSE), VLOOKUP('Staging Table'!$A15, LS_previous!$B$4:$AY$138,LS_previous!AT$149, FALSE))/2)</f>
        <v>-66.927165771200009</v>
      </c>
      <c r="AE15" s="192">
        <f t="array" ref="AE15">IF($G15=0, INDEX(LS_previous!$D$4:$AY$138, MATCH('Staging Table'!$A15, LS_previous!$B$4:$B$138, 0), MATCH(AE$4&amp;AE$5, LS_previous!$D$2:$AY$2&amp;LS_previous!$D$3:$AY$3, 0)),SUM(VLOOKUP($A15, LS_previous!$B$4:$AY$138, LS_previous!W$149, FALSE), VLOOKUP('Staging Table'!$A15, LS_previous!$B$4:$AY$138,LS_previous!AU$149, FALSE))/2)</f>
        <v>-4.0805237695999921</v>
      </c>
      <c r="AF15" s="192">
        <f t="array" ref="AF15">IF($G15=0, INDEX(LS_previous!$D$4:$AY$138, MATCH('Staging Table'!$A15, LS_previous!$B$4:$B$138, 0), MATCH(AF$4&amp;AF$5, LS_previous!$D$2:$AY$2&amp;LS_previous!$D$3:$AY$3, 0)),SUM(VLOOKUP($A15, LS_previous!$B$4:$AY$138, LS_previous!X$149, FALSE), VLOOKUP('Staging Table'!$A15, LS_previous!$B$4:$AY$138,LS_previous!AV$149, FALSE))/2)</f>
        <v>-60.532398371200003</v>
      </c>
      <c r="AG15" s="192">
        <f t="array" ref="AG15">IF($G15=0, INDEX(LS_previous!$D$4:$AY$138, MATCH('Staging Table'!$A15, LS_previous!$B$4:$B$138, 0), MATCH(AG$4&amp;AG$5, LS_previous!$D$2:$AY$2&amp;LS_previous!$D$3:$AY$3, 0)),SUM(VLOOKUP($A15, LS_previous!$B$4:$AY$138, LS_previous!Y$149, FALSE), VLOOKUP('Staging Table'!$A15, LS_previous!$B$4:$AY$138,LS_previous!AW$149, FALSE))/2)</f>
        <v>-17.863427769599994</v>
      </c>
      <c r="AH15" s="192">
        <f t="array" ref="AH15">IF($G15=0, INDEX(LS_previous!$D$4:$AY$138, MATCH('Staging Table'!$A15, LS_previous!$B$4:$B$138, 0), MATCH(AH$4&amp;AH$5, LS_previous!$D$2:$AY$2&amp;LS_previous!$D$3:$AY$3, 0)),SUM(VLOOKUP($A15, LS_previous!$B$4:$AY$138, LS_previous!Z$149, FALSE), VLOOKUP('Staging Table'!$A15, LS_previous!$B$4:$AY$138,LS_previous!AX$149, FALSE))/2)</f>
        <v>-50.233530879999989</v>
      </c>
      <c r="AI15" s="192">
        <f t="array" ref="AI15">IF($G15=0, INDEX(LS_previous!$D$4:$AY$138, MATCH('Staging Table'!$A15, LS_previous!$B$4:$B$138, 0), MATCH(AI$4&amp;AI$5, LS_previous!$D$2:$AY$2&amp;LS_previous!$D$3:$AY$3, 0)),SUM(VLOOKUP($A15, LS_previous!$B$4:$AY$138, LS_previous!AA$149, FALSE), VLOOKUP('Staging Table'!$A15, LS_previous!$B$4:$AY$138,LS_previous!AY$149, FALSE))/2)</f>
        <v>-18.539408623999989</v>
      </c>
      <c r="AJ15" s="314">
        <f t="array" ref="AJ15">INDEX(Demand_previous!$D$4:$AY$138, MATCH('Staging Table'!$A15, Demand_previous!$B$4:$B$138, 0), MATCH(AJ$4&amp;AJ$5,Demand_previous!$D$2:$AY$2&amp;Demand_previous!$D$3:$AY$3, 0))/1000</f>
        <v>0.13061574074074078</v>
      </c>
      <c r="AK15" s="314">
        <f t="array" ref="AK15">INDEX(Demand_previous!$D$4:$AY$138, MATCH('Staging Table'!$A15, Demand_previous!$B$4:$B$138, 0), MATCH(AK$4&amp;AK$5,Demand_previous!$D$2:$AY$2&amp;Demand_previous!$D$3:$AY$3, 0))/1000</f>
        <v>2.690249999999994E-2</v>
      </c>
      <c r="AL15" s="314">
        <f t="array" ref="AL15">INDEX(Demand_previous!$D$4:$AY$138, MATCH('Staging Table'!$A15, Demand_previous!$B$4:$B$138, 0), MATCH(AL$4&amp;AL$5,Demand_previous!$D$2:$AY$2&amp;Demand_previous!$D$3:$AY$3, 0))/1000</f>
        <v>0.22619999999999998</v>
      </c>
      <c r="AM15" s="314">
        <f t="array" ref="AM15">INDEX(Demand_previous!$D$4:$AY$138, MATCH('Staging Table'!$A15, Demand_previous!$B$4:$B$138, 0), MATCH(AM$4&amp;AM$5,Demand_previous!$D$2:$AY$2&amp;Demand_previous!$D$3:$AY$3, 0))/1000</f>
        <v>0.22639423076923076</v>
      </c>
      <c r="AN15" s="314">
        <f t="array" ref="AN15">INDEX(Demand_previous!$D$4:$AY$138, MATCH('Staging Table'!$A15, Demand_previous!$B$4:$B$138, 0), MATCH(AN$4&amp;AN$5,Demand_previous!$D$2:$AY$2&amp;Demand_previous!$D$3:$AY$3, 0))/1000</f>
        <v>0.11237750000000005</v>
      </c>
      <c r="AO15" s="314">
        <f t="array" ref="AO15">INDEX(Demand_previous!$D$4:$AY$138, MATCH('Staging Table'!$A15, Demand_previous!$B$4:$B$138, 0), MATCH(AO$4&amp;AO$5,Demand_previous!$D$2:$AY$2&amp;Demand_previous!$D$3:$AY$3, 0))/1000</f>
        <v>8.3627403846153858E-2</v>
      </c>
      <c r="AP15" s="314">
        <f t="array" ref="AP15">INDEX(Demand_previous!$D$4:$AY$138, MATCH('Staging Table'!$A15, Demand_previous!$B$4:$B$138, 0), MATCH(AP$4&amp;AP$5,Demand_previous!$D$2:$AY$2&amp;Demand_previous!$D$3:$AY$3, 0))/1000</f>
        <v>0</v>
      </c>
      <c r="AQ15" s="314">
        <f t="array" ref="AQ15">INDEX(Demand_previous!$D$4:$AY$138, MATCH('Staging Table'!$A15, Demand_previous!$B$4:$B$138, 0), MATCH(AQ$4&amp;AQ$5,Demand_previous!$D$2:$AY$2&amp;Demand_previous!$D$3:$AY$3, 0))/1000</f>
        <v>3.1947500000000018E-2</v>
      </c>
      <c r="AR15" s="314">
        <f t="array" ref="AR15">INDEX(Demand_previous!$D$4:$AY$138, MATCH('Staging Table'!$A15, Demand_previous!$B$4:$B$138, 0), MATCH(AR$4&amp;AR$5,Demand_previous!$D$2:$AY$2&amp;Demand_previous!$D$3:$AY$3, 0))/1000</f>
        <v>3.0978365384615375E-2</v>
      </c>
      <c r="AS15" s="314">
        <f t="array" ref="AS15">INDEX(Demand_previous!$D$4:$AY$138, MATCH('Staging Table'!$A15, Demand_previous!$B$4:$B$138, 0), MATCH(AS$4&amp;AS$5,Demand_previous!$D$2:$AY$2&amp;Demand_previous!$D$3:$AY$3, 0))/1000</f>
        <v>7.1072115384615442E-2</v>
      </c>
      <c r="AT15" s="314">
        <f t="array" ref="AT15">INDEX(Demand_previous!$D$4:$AY$138, MATCH('Staging Table'!$A15, Demand_previous!$B$4:$B$138, 0), MATCH(AT$4&amp;AT$5,Demand_previous!$D$2:$AY$2&amp;Demand_previous!$D$3:$AY$3, 0))/1000</f>
        <v>5.6526442307692326E-2</v>
      </c>
      <c r="AU15" s="314">
        <f t="array" ref="AU15">INDEX(Demand_previous!$D$4:$AY$138, MATCH('Staging Table'!$A15, Demand_previous!$B$4:$B$138, 0), MATCH(AU$4&amp;AU$5,Demand_previous!$D$2:$AY$2&amp;Demand_previous!$D$3:$AY$3, 0))/1000</f>
        <v>0</v>
      </c>
      <c r="AV15" s="192">
        <f>$F15*(VLOOKUP(AV$4, Rates_previous!$G$6:$Q$29, 10, FALSE)+VLOOKUP(AV$4, Rates_previous!$G$6:$Q$29, 11, FALSE))</f>
        <v>253.02898234079996</v>
      </c>
      <c r="AW15" s="192">
        <f>$F15*(VLOOKUP(AW$4, Rates_previous!$G$6:$Q$29, 10, FALSE)+VLOOKUP(AW$4, Rates_previous!$G$6:$Q$29, 11, FALSE))</f>
        <v>321.42574149719997</v>
      </c>
      <c r="AX15" s="192">
        <f>$F15*(VLOOKUP(AX$4, Rates_previous!$G$6:$Q$29, 10, FALSE)+VLOOKUP(AX$4, Rates_previous!$G$6:$Q$29, 11, FALSE))</f>
        <v>317.54409074080002</v>
      </c>
      <c r="AY15" s="192">
        <f>$F15*(VLOOKUP(AY$4, Rates_previous!$G$6:$Q$29, 10, FALSE)+VLOOKUP(AY$4, Rates_previous!$G$6:$Q$29, 11, FALSE))</f>
        <v>264.6923403408</v>
      </c>
      <c r="AZ15" s="192">
        <f>$F15*(VLOOKUP(AZ$4, Rates_previous!$G$6:$Q$29, 10, FALSE)+VLOOKUP(AZ$4, Rates_previous!$G$6:$Q$29, 11, FALSE))</f>
        <v>239.78380063999998</v>
      </c>
      <c r="BA15" s="192">
        <f>$F15*(VLOOKUP(BA$4, Rates_previous!$G$6:$Q$29, 10, FALSE)+VLOOKUP(BA$4, Rates_previous!$G$6:$Q$29, 11, FALSE))</f>
        <v>266.71576134759999</v>
      </c>
      <c r="BB15" s="192">
        <f>$F15*(VLOOKUP(BB$4, Rates_previous!$G$6:$Q$29, 10, FALSE)+VLOOKUP(BB$4, Rates_previous!$G$6:$Q$29, 11, FALSE))</f>
        <v>217.160260704</v>
      </c>
      <c r="BC15" s="192">
        <f>$F15*(VLOOKUP(BC$4, Rates_previous!$G$6:$Q$29, 10, FALSE)+VLOOKUP(BC$4, Rates_previous!$G$6:$Q$29, 11, FALSE))</f>
        <v>292.87299374079998</v>
      </c>
      <c r="BD15" s="192">
        <f>$F15*(VLOOKUP(BD$4, Rates_previous!$G$6:$Q$29, 10, FALSE)+VLOOKUP(BD$4, Rates_previous!$G$6:$Q$29, 11, FALSE))</f>
        <v>373.68602130400001</v>
      </c>
      <c r="BE15" s="192">
        <f>$F15*(VLOOKUP(BE$4, Rates_previous!$G$6:$Q$29, 10, FALSE)+VLOOKUP(BE$4, Rates_previous!$G$6:$Q$29, 11, FALSE))</f>
        <v>292.98168954080001</v>
      </c>
      <c r="BF15" s="192">
        <f>$F15*(VLOOKUP(BF$4, Rates_previous!$G$6:$Q$29, 10, FALSE)+VLOOKUP(BF$4, Rates_previous!$G$6:$Q$29, 11, FALSE))</f>
        <v>285.30582614080004</v>
      </c>
      <c r="BG15" s="192">
        <f>$F15*(VLOOKUP(BG$4, Rates_previous!$G$6:$Q$29, 10, FALSE)+VLOOKUP(BG$4, Rates_previous!$G$6:$Q$29, 11, FALSE))</f>
        <v>256.143939504</v>
      </c>
      <c r="BH15" s="314">
        <f>IF($D15=0,IF(C15=0, MAX(BJ15 - (VLOOKUP($A15,TOCA_previous!$A$2:$AI$137,MATCH("RHWM 2020",TOCA_previous!$A$2:$AI$2,0),FALSE)*$F$2*TOCA_previous!C12),0),0), 0)</f>
        <v>0</v>
      </c>
      <c r="BI15" s="204">
        <f>MIN(VLOOKUP($A15,TOCA_previous!$A$2:$AI$137,MATCH("TRL - NLSL - Existing Resource "&amp;$F$1,TOCA_previous!$A$2:$AI$2,0),FALSE)*$F$2,(VLOOKUP($A15,TOCA_previous!$A$2:$AI$137,MATCH("RHWM 2020",TOCA_previous!$A$2:$AI$2,0),FALSE)*$F$2))</f>
        <v>3381.84</v>
      </c>
      <c r="BJ15" s="418">
        <f>SUM(L15:AI15)+(F15*RT1SC!$C$3*$F$2)</f>
        <v>3365.5031269168003</v>
      </c>
      <c r="BK15" s="417">
        <f>VLOOKUP($A15,TOCA_previous!$A$2:$AI$137,MATCH("Above RHWM Not Served with LS "&amp;$F$1,TOCA_previous!$A$2:$AI$2,0),FALSE)*$F$2</f>
        <v>0</v>
      </c>
      <c r="BL15" s="418">
        <f t="shared" si="8"/>
        <v>-16.336873083199862</v>
      </c>
      <c r="BM15" s="417">
        <f>(VLOOKUP($A15,TOCA_previous!$A$2:$AI$137,MATCH("RHWM 2020",TOCA_previous!$A$2:$AI$2,0),FALSE)*$F$2) - $BI15</f>
        <v>96.623999999999796</v>
      </c>
      <c r="BN15" s="418">
        <f t="shared" si="9"/>
        <v>0</v>
      </c>
      <c r="BO15" s="417">
        <f>IF(BL15&lt;0,IF(BK15&lt;ABS(BL15),MAX(0,ABS($BL15)-(BK15)),0),0)</f>
        <v>16.336873083199862</v>
      </c>
      <c r="BP15" s="418">
        <f t="shared" si="11"/>
        <v>0</v>
      </c>
      <c r="BQ15" s="417">
        <f t="shared" si="2"/>
        <v>16.336873083199862</v>
      </c>
      <c r="BR15" s="120">
        <f>VLOOKUP($A15,TOCA_current!$A$2:$AI$137,MATCH(BR$4,TOCA_current!$A$2:$AI$2,0),FALSE)</f>
        <v>5.6400000000000002E-5</v>
      </c>
      <c r="BS15" s="120">
        <f>VLOOKUP($A15,TOCA_current!$A$2:$AI$137,MATCH(BS$4,TOCA_current!$A$2:$AI$2,0),FALSE)</f>
        <v>5.6400000000000002E-5</v>
      </c>
      <c r="BT15" s="201">
        <f t="shared" si="12"/>
        <v>0</v>
      </c>
      <c r="BU15" s="120">
        <f>VLOOKUP($A15,TOCA_current!A11:BG146,MATCH(BU$4,TOCA_current!$A$2:$BG$2,0),FALSE)</f>
        <v>0</v>
      </c>
      <c r="BV15" s="120">
        <f t="shared" si="3"/>
        <v>0</v>
      </c>
      <c r="BW15" s="120">
        <f t="shared" si="4"/>
        <v>0</v>
      </c>
      <c r="BX15" s="191">
        <f>VLOOKUP($A15,IRD!$A$4:$G$139, 7, FALSE)</f>
        <v>0</v>
      </c>
      <c r="BY15" s="192">
        <f t="array" ref="BY15">IF($BT15=0, INDEX(LS_current!$D$4:$AY$138, MATCH('Staging Table'!$A15, LS_current!$B$4:$B$138, 0), MATCH(BY$4&amp;BY$5, LS_current!$D$2:$AY$2&amp;LS_current!$D$3:$AY$3, 0)),SUM(VLOOKUP($A15, LS_current!$B$4:$AY$138, LS_current!D$148, FALSE), VLOOKUP($A15, LS_current!$B$4:$AY$138,LS_current!AB$148, FALSE))/2)</f>
        <v>-14.230570919802176</v>
      </c>
      <c r="BZ15" s="192">
        <f t="array" ref="BZ15">IF($BT15=0, INDEX(LS_current!$D$4:$AY$138, MATCH('Staging Table'!$A15, LS_current!$B$4:$B$138, 0), MATCH(BZ$4&amp;BZ$5, LS_current!$D$2:$AY$2&amp;LS_current!$D$3:$AY$3, 0)),SUM(VLOOKUP($A15, LS_current!$B$4:$AY$138, LS_current!E$148, FALSE), VLOOKUP($A15, LS_current!$B$4:$AY$138,LS_current!AC$148, FALSE))/2)</f>
        <v>14.729233588768977</v>
      </c>
      <c r="CA15" s="192">
        <f t="array" ref="CA15">IF($BT15=0, INDEX(LS_current!$D$4:$AY$138, MATCH('Staging Table'!$A15, LS_current!$B$4:$B$138, 0), MATCH(CA$4&amp;CA$5, LS_current!$D$2:$AY$2&amp;LS_current!$D$3:$AY$3, 0)),SUM(VLOOKUP($A15, LS_current!$B$4:$AY$138, LS_current!F$148, FALSE), VLOOKUP($A15, LS_current!$B$4:$AY$138,LS_current!AD$148, FALSE))/2)</f>
        <v>-34.70110761933023</v>
      </c>
      <c r="CB15" s="192">
        <f t="array" ref="CB15">IF($BT15=0, INDEX(LS_current!$D$4:$AY$138, MATCH('Staging Table'!$A15, LS_current!$B$4:$B$138, 0), MATCH(CB$4&amp;CB$5, LS_current!$D$2:$AY$2&amp;LS_current!$D$3:$AY$3, 0)),SUM(VLOOKUP($A15, LS_current!$B$4:$AY$138, LS_current!G$148, FALSE), VLOOKUP($A15, LS_current!$B$4:$AY$138,LS_current!AE$148, FALSE))/2)</f>
        <v>1.6506531446556068</v>
      </c>
      <c r="CC15" s="192">
        <f t="array" ref="CC15">IF($BT15=0, INDEX(LS_current!$D$4:$AY$138, MATCH('Staging Table'!$A15, LS_current!$B$4:$B$138, 0), MATCH(CC$4&amp;CC$5, LS_current!$D$2:$AY$2&amp;LS_current!$D$3:$AY$3, 0)),SUM(VLOOKUP($A15, LS_current!$B$4:$AY$138, LS_current!H$148, FALSE), VLOOKUP($A15, LS_current!$B$4:$AY$138,LS_current!AF$148, FALSE))/2)</f>
        <v>76.493577707732584</v>
      </c>
      <c r="CD15" s="192">
        <f t="array" ref="CD15">IF($BT15=0, INDEX(LS_current!$D$4:$AY$138, MATCH('Staging Table'!$A15, LS_current!$B$4:$B$138, 0), MATCH(CD$4&amp;CD$5, LS_current!$D$2:$AY$2&amp;LS_current!$D$3:$AY$3, 0)),SUM(VLOOKUP($A15, LS_current!$B$4:$AY$138, LS_current!I$148, FALSE), VLOOKUP($A15, LS_current!$B$4:$AY$138,LS_current!AG$148, FALSE))/2)</f>
        <v>58.566510960633764</v>
      </c>
      <c r="CE15" s="192">
        <f t="array" ref="CE15">IF($BT15=0, INDEX(LS_current!$D$4:$AY$138, MATCH('Staging Table'!$A15, LS_current!$B$4:$B$138, 0), MATCH(CE$4&amp;CE$5, LS_current!$D$2:$AY$2&amp;LS_current!$D$3:$AY$3, 0)),SUM(VLOOKUP($A15, LS_current!$B$4:$AY$138, LS_current!J$148, FALSE), VLOOKUP($A15, LS_current!$B$4:$AY$138,LS_current!AH$148, FALSE))/2)</f>
        <v>86.574903498579005</v>
      </c>
      <c r="CF15" s="192">
        <f t="array" ref="CF15">IF($BT15=0, INDEX(LS_current!$D$4:$AY$138, MATCH('Staging Table'!$A15, LS_current!$B$4:$B$138, 0), MATCH(CF$4&amp;CF$5, LS_current!$D$2:$AY$2&amp;LS_current!$D$3:$AY$3, 0)),SUM(VLOOKUP($A15, LS_current!$B$4:$AY$138, LS_current!K$148, FALSE), VLOOKUP($A15, LS_current!$B$4:$AY$138,LS_current!AI$148, FALSE))/2)</f>
        <v>88.442902416826186</v>
      </c>
      <c r="CG15" s="192">
        <f t="array" ref="CG15">IF($BT15=0, INDEX(LS_current!$D$4:$AY$138, MATCH('Staging Table'!$A15, LS_current!$B$4:$B$138, 0), MATCH(CG$4&amp;CG$5, LS_current!$D$2:$AY$2&amp;LS_current!$D$3:$AY$3, 0)),SUM(VLOOKUP($A15, LS_current!$B$4:$AY$138, LS_current!L$148, FALSE), VLOOKUP($A15, LS_current!$B$4:$AY$138,LS_current!AJ$148, FALSE))/2)</f>
        <v>62.695677138206833</v>
      </c>
      <c r="CH15" s="192">
        <f t="array" ref="CH15">IF($BT15=0, INDEX(LS_current!$D$4:$AY$138, MATCH('Staging Table'!$A15, LS_current!$B$4:$B$138, 0), MATCH(CH$4&amp;CH$5, LS_current!$D$2:$AY$2&amp;LS_current!$D$3:$AY$3, 0)),SUM(VLOOKUP($A15, LS_current!$B$4:$AY$138, LS_current!M$148, FALSE), VLOOKUP($A15, LS_current!$B$4:$AY$138,LS_current!AK$148, FALSE))/2)</f>
        <v>47.788696914512613</v>
      </c>
      <c r="CI15" s="192">
        <f t="array" ref="CI15">IF($BT15=0, INDEX(LS_current!$D$4:$AY$138, MATCH('Staging Table'!$A15, LS_current!$B$4:$B$138, 0), MATCH(CI$4&amp;CI$5, LS_current!$D$2:$AY$2&amp;LS_current!$D$3:$AY$3, 0)),SUM(VLOOKUP($A15, LS_current!$B$4:$AY$138, LS_current!N$148, FALSE), VLOOKUP($A15, LS_current!$B$4:$AY$138,LS_current!AL$148, FALSE))/2)</f>
        <v>16.563266226031402</v>
      </c>
      <c r="CJ15" s="192">
        <f t="array" ref="CJ15">IF($BT15=0, INDEX(LS_current!$D$4:$AY$138, MATCH('Staging Table'!$A15, LS_current!$B$4:$B$138, 0), MATCH(CJ$4&amp;CJ$5, LS_current!$D$2:$AY$2&amp;LS_current!$D$3:$AY$3, 0)),SUM(VLOOKUP($A15, LS_current!$B$4:$AY$138, LS_current!O$148, FALSE), VLOOKUP($A15, LS_current!$B$4:$AY$138,LS_current!AM$148, FALSE))/2)</f>
        <v>23.842873568974397</v>
      </c>
      <c r="CK15" s="192">
        <f t="array" ref="CK15">IF($BT15=0, INDEX(LS_current!$D$4:$AY$138, MATCH('Staging Table'!$A15, LS_current!$B$4:$B$138, 0), MATCH(CK$4&amp;CK$5, LS_current!$D$2:$AY$2&amp;LS_current!$D$3:$AY$3, 0)),SUM(VLOOKUP($A15, LS_current!$B$4:$AY$138, LS_current!P$148, FALSE), VLOOKUP($A15, LS_current!$B$4:$AY$138,LS_current!AN$148, FALSE))/2)</f>
        <v>20.343511126351416</v>
      </c>
      <c r="CL15" s="192">
        <f t="array" ref="CL15">IF($BT15=0, INDEX(LS_current!$D$4:$AY$138, MATCH('Staging Table'!$A15, LS_current!$B$4:$B$138, 0), MATCH(CL$4&amp;CL$5, LS_current!$D$2:$AY$2&amp;LS_current!$D$3:$AY$3, 0)),SUM(VLOOKUP($A15, LS_current!$B$4:$AY$138, LS_current!Q$148, FALSE), VLOOKUP($A15, LS_current!$B$4:$AY$138,LS_current!AO$148, FALSE))/2)</f>
        <v>22.548479365879189</v>
      </c>
      <c r="CM15" s="192">
        <f t="array" ref="CM15">IF($BT15=0, INDEX(LS_current!$D$4:$AY$138, MATCH('Staging Table'!$A15, LS_current!$B$4:$B$138, 0), MATCH(CM$4&amp;CM$5, LS_current!$D$2:$AY$2&amp;LS_current!$D$3:$AY$3, 0)),SUM(VLOOKUP($A15, LS_current!$B$4:$AY$138, LS_current!R$148, FALSE), VLOOKUP($A15, LS_current!$B$4:$AY$138,LS_current!AP$148, FALSE))/2)</f>
        <v>-78.737025620903793</v>
      </c>
      <c r="CN15" s="192">
        <f t="array" ref="CN15">IF($BT15=0, INDEX(LS_current!$D$4:$AY$138, MATCH('Staging Table'!$A15, LS_current!$B$4:$B$138, 0), MATCH(CN$4&amp;CN$5, LS_current!$D$2:$AY$2&amp;LS_current!$D$3:$AY$3, 0)),SUM(VLOOKUP($A15, LS_current!$B$4:$AY$138, LS_current!S$148, FALSE), VLOOKUP($A15, LS_current!$B$4:$AY$138,LS_current!AQ$148, FALSE))/2)</f>
        <v>-4.5091185782942063</v>
      </c>
      <c r="CO15" s="192">
        <f t="array" ref="CO15">IF($BT15=0, INDEX(LS_current!$D$4:$AY$138, MATCH('Staging Table'!$A15, LS_current!$B$4:$B$138, 0), MATCH(CO$4&amp;CO$5, LS_current!$D$2:$AY$2&amp;LS_current!$D$3:$AY$3, 0)),SUM(VLOOKUP($A15, LS_current!$B$4:$AY$138, LS_current!T$148, FALSE), VLOOKUP($A15, LS_current!$B$4:$AY$138,LS_current!AR$148, FALSE))/2)</f>
        <v>-99.384416288744404</v>
      </c>
      <c r="CP15" s="192">
        <f t="array" ref="CP15">IF($BT15=0, INDEX(LS_current!$D$4:$AY$138, MATCH('Staging Table'!$A15, LS_current!$B$4:$B$138, 0), MATCH(CP$4&amp;CP$5, LS_current!$D$2:$AY$2&amp;LS_current!$D$3:$AY$3, 0)),SUM(VLOOKUP($A15, LS_current!$B$4:$AY$138, LS_current!U$148, FALSE), VLOOKUP($A15, LS_current!$B$4:$AY$138,LS_current!AS$148, FALSE))/2)</f>
        <v>-18.839799730817006</v>
      </c>
      <c r="CQ15" s="192">
        <f t="array" ref="CQ15">IF($BT15=0, INDEX(LS_current!$D$4:$AY$138, MATCH('Staging Table'!$A15, LS_current!$B$4:$B$138, 0), MATCH(CQ$4&amp;CQ$5, LS_current!$D$2:$AY$2&amp;LS_current!$D$3:$AY$3, 0)),SUM(VLOOKUP($A15, LS_current!$B$4:$AY$138, LS_current!V$148, FALSE), VLOOKUP($A15, LS_current!$B$4:$AY$138,LS_current!AT$148, FALSE))/2)</f>
        <v>-62.947137088653022</v>
      </c>
      <c r="CR15" s="192">
        <f t="array" ref="CR15">IF($BT15=0, INDEX(LS_current!$D$4:$AY$138, MATCH('Staging Table'!$A15, LS_current!$B$4:$B$138, 0), MATCH(CR$4&amp;CR$5, LS_current!$D$2:$AY$2&amp;LS_current!$D$3:$AY$3, 0)),SUM(VLOOKUP($A15, LS_current!$B$4:$AY$138, LS_current!W$148, FALSE), VLOOKUP($A15, LS_current!$B$4:$AY$138,LS_current!AU$148, FALSE))/2)</f>
        <v>-11.908046080646002</v>
      </c>
      <c r="CS15" s="192">
        <f t="array" ref="CS15">IF($BT15=0, INDEX(LS_current!$D$4:$AY$138, MATCH('Staging Table'!$A15, LS_current!$B$4:$B$138, 0), MATCH(CS$4&amp;CS$5, LS_current!$D$2:$AY$2&amp;LS_current!$D$3:$AY$3, 0)),SUM(VLOOKUP($A15, LS_current!$B$4:$AY$138, LS_current!X$148, FALSE), VLOOKUP($A15, LS_current!$B$4:$AY$138,LS_current!AV$148, FALSE))/2)</f>
        <v>-58.203616268369785</v>
      </c>
      <c r="CT15" s="192">
        <f t="array" ref="CT15">IF($BT15=0, INDEX(LS_current!$D$4:$AY$138, MATCH('Staging Table'!$A15, LS_current!$B$4:$B$138, 0), MATCH(CT$4&amp;CT$5, LS_current!$D$2:$AY$2&amp;LS_current!$D$3:$AY$3, 0)),SUM(VLOOKUP($A15, LS_current!$B$4:$AY$138, LS_current!Y$148, FALSE), VLOOKUP($A15, LS_current!$B$4:$AY$138,LS_current!AW$148, FALSE))/2)</f>
        <v>-21.748890084718397</v>
      </c>
      <c r="CU15" s="192">
        <f t="array" ref="CU15">IF($BT15=0, INDEX(LS_current!$D$4:$AY$138, MATCH('Staging Table'!$A15, LS_current!$B$4:$B$138, 0), MATCH(CU$4&amp;CU$5, LS_current!$D$2:$AY$2&amp;LS_current!$D$3:$AY$3, 0)),SUM(VLOOKUP($A15, LS_current!$B$4:$AY$138, LS_current!Z$148, FALSE), VLOOKUP($A15, LS_current!$B$4:$AY$138,LS_current!AX$148, FALSE))/2)</f>
        <v>-55.378233649220221</v>
      </c>
      <c r="CV15" s="192">
        <f t="array" ref="CV15">IF($BT15=0, INDEX(LS_current!$D$4:$AY$138, MATCH('Staging Table'!$A15, LS_current!$B$4:$B$138, 0), MATCH(CV$4&amp;CV$5, LS_current!$D$2:$AY$2&amp;LS_current!$D$3:$AY$3, 0)),SUM(VLOOKUP($A15, LS_current!$B$4:$AY$138, LS_current!AA$148, FALSE), VLOOKUP($A15, LS_current!$B$4:$AY$138,LS_current!AY$148, FALSE))/2)</f>
        <v>-22.341626452215806</v>
      </c>
      <c r="CW15" s="194">
        <f t="array" ref="CW15">INDEX(Demand_current!$D$4:$AY$138, MATCH($A15, Demand_current!$B$4:$B$138, 0), MATCH(CW$4&amp;CW$5,Demand_current!$D$2:$AY$2&amp;Demand_current!$D$3:$AY$3, 0))/1000</f>
        <v>0.11721634615384618</v>
      </c>
      <c r="CX15" s="194">
        <f t="array" ref="CX15">INDEX(Demand_current!$D$4:$AY$138, MATCH($A15, Demand_current!$B$4:$B$138, 0), MATCH(CX$4&amp;CX$5,Demand_current!$D$2:$AY$2&amp;Demand_current!$D$3:$AY$3, 0))/1000</f>
        <v>2.690249999999994E-2</v>
      </c>
      <c r="CY15" s="194">
        <f t="array" ref="CY15">INDEX(Demand_current!$D$4:$AY$138, MATCH($A15, Demand_current!$B$4:$B$138, 0), MATCH(CY$4&amp;CY$5,Demand_current!$D$2:$AY$2&amp;Demand_current!$D$3:$AY$3, 0))/1000</f>
        <v>0.25103846153846143</v>
      </c>
      <c r="CZ15" s="194">
        <f t="array" ref="CZ15">INDEX(Demand_current!$D$4:$AY$138, MATCH($A15, Demand_current!$B$4:$B$138, 0), MATCH(CZ$4&amp;CZ$5,Demand_current!$D$2:$AY$2&amp;Demand_current!$D$3:$AY$3, 0))/1000</f>
        <v>0.20368999999999998</v>
      </c>
      <c r="DA15" s="194">
        <f t="array" ref="DA15">INDEX(Demand_current!$D$4:$AY$138, MATCH($A15, Demand_current!$B$4:$B$138, 0), MATCH(DA$4&amp;DA$5,Demand_current!$D$2:$AY$2&amp;Demand_current!$D$3:$AY$3, 0))/1000</f>
        <v>9.2059895833333377E-2</v>
      </c>
      <c r="DB15" s="194">
        <f t="array" ref="DB15">INDEX(Demand_current!$D$4:$AY$138, MATCH($A15, Demand_current!$B$4:$B$138, 0), MATCH(DB$4&amp;DB$5,Demand_current!$D$2:$AY$2&amp;Demand_current!$D$3:$AY$3, 0))/1000</f>
        <v>9.9974537037037015E-2</v>
      </c>
      <c r="DC15" s="194">
        <f t="array" ref="DC15">INDEX(Demand_current!$D$4:$AY$138, MATCH($A15, Demand_current!$B$4:$B$138, 0), MATCH(DC$4&amp;DC$5,Demand_current!$D$2:$AY$2&amp;Demand_current!$D$3:$AY$3, 0))/1000</f>
        <v>0</v>
      </c>
      <c r="DD15" s="194">
        <f t="array" ref="DD15">INDEX(Demand_current!$D$4:$AY$138, MATCH($A15, Demand_current!$B$4:$B$138, 0), MATCH(DD$4&amp;DD$5,Demand_current!$D$2:$AY$2&amp;Demand_current!$D$3:$AY$3, 0))/1000</f>
        <v>3.1947500000000018E-2</v>
      </c>
      <c r="DE15" s="194">
        <f t="array" ref="DE15">INDEX(Demand_current!$D$4:$AY$138, MATCH($A15, Demand_current!$B$4:$B$138, 0), MATCH(DE$4&amp;DE$5,Demand_current!$D$2:$AY$2&amp;Demand_current!$D$3:$AY$3, 0))/1000</f>
        <v>3.0978365384615375E-2</v>
      </c>
      <c r="DF15" s="194">
        <f t="array" ref="DF15">INDEX(Demand_current!$D$4:$AY$138, MATCH($A15, Demand_current!$B$4:$B$138, 0), MATCH(DF$4&amp;DF$5,Demand_current!$D$2:$AY$2&amp;Demand_current!$D$3:$AY$3, 0))/1000</f>
        <v>5.8115000000000021E-2</v>
      </c>
      <c r="DG15" s="194">
        <f t="array" ref="DG15">INDEX(Demand_current!$D$4:$AY$138, MATCH($A15, Demand_current!$B$4:$B$138, 0), MATCH(DG$4&amp;DG$5,Demand_current!$D$2:$AY$2&amp;Demand_current!$D$3:$AY$3, 0))/1000</f>
        <v>6.8543981481481497E-2</v>
      </c>
      <c r="DH15" s="194">
        <f t="array" ref="DH15">INDEX(Demand_current!$D$4:$AY$138, MATCH($A15, Demand_current!$B$4:$B$138, 0), MATCH(DH$4&amp;DH$5,Demand_current!$D$2:$AY$2&amp;Demand_current!$D$3:$AY$3, 0))/1000</f>
        <v>0</v>
      </c>
      <c r="DI15" s="192">
        <f>$BS15*(VLOOKUP(DI$4, Rates_current!$G$6:$Q$29, 10, FALSE)+VLOOKUP(DI$4, Rates_current!$G$6:$Q$29, 11, FALSE))</f>
        <v>256.84133733103323</v>
      </c>
      <c r="DJ15" s="192">
        <f>$BS15*(VLOOKUP(DJ$4, Rates_current!$G$6:$Q$29, 10, FALSE)+VLOOKUP(DJ$4, Rates_current!$G$6:$Q$29, 11, FALSE))</f>
        <v>325.17045447467467</v>
      </c>
      <c r="DK15" s="192">
        <f>$BS15*(VLOOKUP(DK$4, Rates_current!$G$6:$Q$29, 10, FALSE)+VLOOKUP(DK$4, Rates_current!$G$6:$Q$29, 11, FALSE))</f>
        <v>318.27691133163364</v>
      </c>
      <c r="DL15" s="192">
        <f>$BS15*(VLOOKUP(DL$4, Rates_current!$G$6:$Q$29, 10, FALSE)+VLOOKUP(DL$4, Rates_current!$G$6:$Q$29, 11, FALSE))</f>
        <v>262.88319408459483</v>
      </c>
      <c r="DM15" s="192">
        <f>$BS15*(VLOOKUP(DM$4, Rates_current!$G$6:$Q$29, 10, FALSE)+VLOOKUP(DM$4, Rates_current!$G$6:$Q$29, 11, FALSE))</f>
        <v>227.84662594728059</v>
      </c>
      <c r="DN15" s="192">
        <f>$BS15*(VLOOKUP(DN$4, Rates_current!$G$6:$Q$29, 10, FALSE)+VLOOKUP(DN$4, Rates_current!$G$6:$Q$29, 11, FALSE))</f>
        <v>272.00286020499419</v>
      </c>
      <c r="DO15" s="192">
        <f>$BS15*(VLOOKUP(DO$4, Rates_current!$G$6:$Q$29, 10, FALSE)+VLOOKUP(DO$4, Rates_current!$G$6:$Q$29, 11, FALSE))</f>
        <v>211.1740095077694</v>
      </c>
      <c r="DP15" s="192">
        <f>$BS15*(VLOOKUP(DP$4, Rates_current!$G$6:$Q$29, 10, FALSE)+VLOOKUP(DP$4, Rates_current!$G$6:$Q$29, 11, FALSE))</f>
        <v>292.58314419919799</v>
      </c>
      <c r="DQ15" s="192">
        <f>$BS15*(VLOOKUP(DQ$4, Rates_current!$G$6:$Q$29, 10, FALSE)+VLOOKUP(DQ$4, Rates_current!$G$6:$Q$29, 11, FALSE))</f>
        <v>312.63121601956141</v>
      </c>
      <c r="DR15" s="192">
        <f>$BS15*(VLOOKUP(DR$4, Rates_current!$G$6:$Q$29, 10, FALSE)+VLOOKUP(DR$4, Rates_current!$G$6:$Q$29, 11, FALSE))</f>
        <v>296.82918316929903</v>
      </c>
      <c r="DS15" s="192">
        <f>$BS15*(VLOOKUP(DS$4, Rates_current!$G$6:$Q$29, 10, FALSE)+VLOOKUP(DS$4, Rates_current!$G$6:$Q$29, 11, FALSE))</f>
        <v>286.86250635308818</v>
      </c>
      <c r="DT15" s="192">
        <f>$BS15*(VLOOKUP(DT$4, Rates_current!$G$6:$Q$29, 10, FALSE)+VLOOKUP(DT$4, Rates_current!$G$6:$Q$29, 11, FALSE))</f>
        <v>265.09086010143602</v>
      </c>
      <c r="DU15" s="418">
        <f>IF(D15=0,IF(C15=0,MAX(0,DW15 - (VLOOKUP($A15,TOCA_current!$A$2:$AI$137,MATCH("RHWM 2022",TOCA_current!$A$2:$AI$2,0),FALSE)*$BS$2)), 0),0)</f>
        <v>36.703170251436859</v>
      </c>
      <c r="DV15" s="419">
        <f>MIN(VLOOKUP($A15,TOCA_current!$A$2:$AI$137,MATCH("TRL - NLSL - Existing Resource "&amp;$BS$1,TOCA_current!$A$2:$AI$2,0),FALSE)*$BS$2, VLOOKUP($A15,TOCA_current!$A$2:$AI$137,MATCH("RHWM 2022",TOCA_current!$A$2:$AI$2,0),FALSE)*$BS$2)</f>
        <v>3328.8</v>
      </c>
      <c r="DW15" s="419">
        <f>SUM(BY15:CV15)+(BS15*RT1SC!$C$4*$BS$2)</f>
        <v>3365.503170251437</v>
      </c>
      <c r="DX15" s="419">
        <f>VLOOKUP($A15,TOCA_current!$A$2:$AI$137,MATCH("Above RHWM Not Served with LS "&amp;$BS$1,TOCA_current!$A$2:$AI$2,0),FALSE)*$BS$2</f>
        <v>0</v>
      </c>
      <c r="DY15" s="419">
        <f t="shared" si="13"/>
        <v>36.703170251436859</v>
      </c>
      <c r="DZ15" s="419">
        <f>(VLOOKUP($A15,TOCA_current!$A$2:$AI$137,MATCH("RHWM 2022",TOCA_current!$A$2:$AI$2,0),FALSE)*$BS$2) - $DV15</f>
        <v>0</v>
      </c>
      <c r="EA15" s="419">
        <f t="shared" si="14"/>
        <v>0</v>
      </c>
      <c r="EB15" s="419">
        <f t="shared" si="15"/>
        <v>0</v>
      </c>
      <c r="EC15" s="419">
        <f t="shared" si="16"/>
        <v>0</v>
      </c>
      <c r="ED15" s="419">
        <f t="shared" si="17"/>
        <v>0</v>
      </c>
    </row>
    <row r="16" spans="1:134">
      <c r="A16" s="135">
        <v>10057</v>
      </c>
      <c r="B16" s="136" t="s">
        <v>17</v>
      </c>
      <c r="C16" s="244">
        <f>VLOOKUP(A16, TOCA_current!$A$3:$D$137, 4, FALSE)</f>
        <v>0</v>
      </c>
      <c r="D16" s="203">
        <v>0</v>
      </c>
      <c r="E16" s="119">
        <f>VLOOKUP($A16,TOCA_previous!$A$2:$AI$137,MATCH(E$4,TOCA_previous!$A$2:$AI$2,0),FALSE)</f>
        <v>2.8459000000000002E-3</v>
      </c>
      <c r="F16" s="120">
        <f>VLOOKUP($A16,TOCA_previous!$A$2:$AI$137,MATCH(F$4,TOCA_previous!$A$2:$AI$2,0),FALSE)</f>
        <v>2.8459000000000002E-3</v>
      </c>
      <c r="G16" s="120">
        <f t="shared" si="5"/>
        <v>0</v>
      </c>
      <c r="H16" s="120">
        <f>VLOOKUP($A16,TOCA_previous!$A$2:$AI$137,MATCH(H$4,TOCA_previous!$A$2:$AI$2,0),FALSE)</f>
        <v>0</v>
      </c>
      <c r="I16" s="120">
        <f t="shared" si="6"/>
        <v>0</v>
      </c>
      <c r="J16" s="120">
        <f t="shared" si="7"/>
        <v>0</v>
      </c>
      <c r="K16" s="191">
        <f>VLOOKUP(A16, IRD!$A$5:$C$139, 3, FALSE)</f>
        <v>0</v>
      </c>
      <c r="L16" s="192">
        <f t="array" ref="L16">IF($G16=0, INDEX(LS_previous!$D$4:$AY$138, MATCH('Staging Table'!$A16, LS_previous!$B$4:$B$138, 0), MATCH(L$4&amp;L$5, LS_previous!$D$2:$AY$2&amp;LS_previous!$D$3:$AY$3, 0)),SUM(VLOOKUP($A16, LS_previous!$B$4:$AY$138, LS_previous!D$149, FALSE), VLOOKUP('Staging Table'!$A16, LS_previous!$B$4:$AY$138,LS_previous!AB$149, FALSE))/2)</f>
        <v>-167.8391877091999</v>
      </c>
      <c r="M16" s="192">
        <f t="array" ref="M16">IF($G16=0, INDEX(LS_previous!$D$4:$AY$138, MATCH('Staging Table'!$A16, LS_previous!$B$4:$B$138, 0), MATCH(M$4&amp;M$5, LS_previous!$D$2:$AY$2&amp;LS_previous!$D$3:$AY$3, 0)),SUM(VLOOKUP($A16, LS_previous!$B$4:$AY$138, LS_previous!E$149, FALSE), VLOOKUP('Staging Table'!$A16, LS_previous!$B$4:$AY$138,LS_previous!AC$149, FALSE))/2)</f>
        <v>263.34217961279955</v>
      </c>
      <c r="N16" s="192">
        <f t="array" ref="N16">IF($G16=0, INDEX(LS_previous!$D$4:$AY$138, MATCH('Staging Table'!$A16, LS_previous!$B$4:$B$138, 0), MATCH(N$4&amp;N$5, LS_previous!$D$2:$AY$2&amp;LS_previous!$D$3:$AY$3, 0)),SUM(VLOOKUP($A16, LS_previous!$B$4:$AY$138, LS_previous!F$149, FALSE), VLOOKUP('Staging Table'!$A16, LS_previous!$B$4:$AY$138,LS_previous!AD$149, FALSE))/2)</f>
        <v>-398.93924793520091</v>
      </c>
      <c r="O16" s="192">
        <f t="array" ref="O16">IF($G16=0, INDEX(LS_previous!$D$4:$AY$138, MATCH('Staging Table'!$A16, LS_previous!$B$4:$B$138, 0), MATCH(O$4&amp;O$5, LS_previous!$D$2:$AY$2&amp;LS_previous!$D$3:$AY$3, 0)),SUM(VLOOKUP($A16, LS_previous!$B$4:$AY$138, LS_previous!G$149, FALSE), VLOOKUP('Staging Table'!$A16, LS_previous!$B$4:$AY$138,LS_previous!AE$149, FALSE))/2)</f>
        <v>-118.70020693490096</v>
      </c>
      <c r="P16" s="192">
        <f t="array" ref="P16">IF($G16=0, INDEX(LS_previous!$D$4:$AY$138, MATCH('Staging Table'!$A16, LS_previous!$B$4:$B$138, 0), MATCH(P$4&amp;P$5, LS_previous!$D$2:$AY$2&amp;LS_previous!$D$3:$AY$3, 0)),SUM(VLOOKUP($A16, LS_previous!$B$4:$AY$138, LS_previous!H$149, FALSE), VLOOKUP('Staging Table'!$A16, LS_previous!$B$4:$AY$138,LS_previous!AF$149, FALSE))/2)</f>
        <v>887.132157155198</v>
      </c>
      <c r="Q16" s="192">
        <f t="array" ref="Q16">IF($G16=0, INDEX(LS_previous!$D$4:$AY$138, MATCH('Staging Table'!$A16, LS_previous!$B$4:$B$138, 0), MATCH(Q$4&amp;Q$5, LS_previous!$D$2:$AY$2&amp;LS_previous!$D$3:$AY$3, 0)),SUM(VLOOKUP($A16, LS_previous!$B$4:$AY$138, LS_previous!I$149, FALSE), VLOOKUP('Staging Table'!$A16, LS_previous!$B$4:$AY$138,LS_previous!AG$149, FALSE))/2)</f>
        <v>442.6021450483986</v>
      </c>
      <c r="R16" s="192">
        <f t="array" ref="R16">IF($G16=0, INDEX(LS_previous!$D$4:$AY$138, MATCH('Staging Table'!$A16, LS_previous!$B$4:$B$138, 0), MATCH(R$4&amp;R$5, LS_previous!$D$2:$AY$2&amp;LS_previous!$D$3:$AY$3, 0)),SUM(VLOOKUP($A16, LS_previous!$B$4:$AY$138, LS_previous!J$149, FALSE), VLOOKUP('Staging Table'!$A16, LS_previous!$B$4:$AY$138,LS_previous!AH$149, FALSE))/2)</f>
        <v>2251.0239655551995</v>
      </c>
      <c r="S16" s="192">
        <f t="array" ref="S16">IF($G16=0, INDEX(LS_previous!$D$4:$AY$138, MATCH('Staging Table'!$A16, LS_previous!$B$4:$B$138, 0), MATCH(S$4&amp;S$5, LS_previous!$D$2:$AY$2&amp;LS_previous!$D$3:$AY$3, 0)),SUM(VLOOKUP($A16, LS_previous!$B$4:$AY$138, LS_previous!K$149, FALSE), VLOOKUP('Staging Table'!$A16, LS_previous!$B$4:$AY$138,LS_previous!AI$149, FALSE))/2)</f>
        <v>2141.9978998483994</v>
      </c>
      <c r="T16" s="192">
        <f t="array" ref="T16">IF($G16=0, INDEX(LS_previous!$D$4:$AY$138, MATCH('Staging Table'!$A16, LS_previous!$B$4:$B$138, 0), MATCH(T$4&amp;T$5, LS_previous!$D$2:$AY$2&amp;LS_previous!$D$3:$AY$3, 0)),SUM(VLOOKUP($A16, LS_previous!$B$4:$AY$138, LS_previous!L$149, FALSE), VLOOKUP('Staging Table'!$A16, LS_previous!$B$4:$AY$138,LS_previous!AJ$149, FALSE))/2)</f>
        <v>1613.2536448084011</v>
      </c>
      <c r="U16" s="192">
        <f t="array" ref="U16">IF($G16=0, INDEX(LS_previous!$D$4:$AY$138, MATCH('Staging Table'!$A16, LS_previous!$B$4:$B$138, 0), MATCH(U$4&amp;U$5, LS_previous!$D$2:$AY$2&amp;LS_previous!$D$3:$AY$3, 0)),SUM(VLOOKUP($A16, LS_previous!$B$4:$AY$138, LS_previous!M$149, FALSE), VLOOKUP('Staging Table'!$A16, LS_previous!$B$4:$AY$138,LS_previous!AK$149, FALSE))/2)</f>
        <v>826.44550407160023</v>
      </c>
      <c r="V16" s="192">
        <f t="array" ref="V16">IF($G16=0, INDEX(LS_previous!$D$4:$AY$138, MATCH('Staging Table'!$A16, LS_previous!$B$4:$B$138, 0), MATCH(V$4&amp;V$5, LS_previous!$D$2:$AY$2&amp;LS_previous!$D$3:$AY$3, 0)),SUM(VLOOKUP($A16, LS_previous!$B$4:$AY$138, LS_previous!N$149, FALSE), VLOOKUP('Staging Table'!$A16, LS_previous!$B$4:$AY$138,LS_previous!AL$149, FALSE))/2)</f>
        <v>700.62945904560002</v>
      </c>
      <c r="W16" s="192">
        <f t="array" ref="W16">IF($G16=0, INDEX(LS_previous!$D$4:$AY$138, MATCH('Staging Table'!$A16, LS_previous!$B$4:$B$138, 0), MATCH(W$4&amp;W$5, LS_previous!$D$2:$AY$2&amp;LS_previous!$D$3:$AY$3, 0)),SUM(VLOOKUP($A16, LS_previous!$B$4:$AY$138, LS_previous!O$149, FALSE), VLOOKUP('Staging Table'!$A16, LS_previous!$B$4:$AY$138,LS_previous!AM$149, FALSE))/2)</f>
        <v>125.54713184609955</v>
      </c>
      <c r="X16" s="192">
        <f t="array" ref="X16">IF($G16=0, INDEX(LS_previous!$D$4:$AY$138, MATCH('Staging Table'!$A16, LS_previous!$B$4:$B$138, 0), MATCH(X$4&amp;X$5, LS_previous!$D$2:$AY$2&amp;LS_previous!$D$3:$AY$3, 0)),SUM(VLOOKUP($A16, LS_previous!$B$4:$AY$138, LS_previous!P$149, FALSE), VLOOKUP('Staging Table'!$A16, LS_previous!$B$4:$AY$138,LS_previous!AN$149, FALSE))/2)</f>
        <v>1663.5631770504006</v>
      </c>
      <c r="Y16" s="192">
        <f t="array" ref="Y16">IF($G16=0, INDEX(LS_previous!$D$4:$AY$138, MATCH('Staging Table'!$A16, LS_previous!$B$4:$B$138, 0), MATCH(Y$4&amp;Y$5, LS_previous!$D$2:$AY$2&amp;LS_previous!$D$3:$AY$3, 0)),SUM(VLOOKUP($A16, LS_previous!$B$4:$AY$138, LS_previous!Q$149, FALSE), VLOOKUP('Staging Table'!$A16, LS_previous!$B$4:$AY$138,LS_previous!AO$149, FALSE))/2)</f>
        <v>542.4275467175994</v>
      </c>
      <c r="Z16" s="192">
        <f t="array" ref="Z16">IF($G16=0, INDEX(LS_previous!$D$4:$AY$138, MATCH('Staging Table'!$A16, LS_previous!$B$4:$B$138, 0), MATCH(Z$4&amp;Z$5, LS_previous!$D$2:$AY$2&amp;LS_previous!$D$3:$AY$3, 0)),SUM(VLOOKUP($A16, LS_previous!$B$4:$AY$138, LS_previous!R$149, FALSE), VLOOKUP('Staging Table'!$A16, LS_previous!$B$4:$AY$138,LS_previous!AP$149, FALSE))/2)</f>
        <v>-2225.3800778900013</v>
      </c>
      <c r="AA16" s="192">
        <f t="array" ref="AA16">IF($G16=0, INDEX(LS_previous!$D$4:$AY$138, MATCH('Staging Table'!$A16, LS_previous!$B$4:$B$138, 0), MATCH(AA$4&amp;AA$5, LS_previous!$D$2:$AY$2&amp;LS_previous!$D$3:$AY$3, 0)),SUM(VLOOKUP($A16, LS_previous!$B$4:$AY$138, LS_previous!S$149, FALSE), VLOOKUP('Staging Table'!$A16, LS_previous!$B$4:$AY$138,LS_previous!AQ$149, FALSE))/2)</f>
        <v>-493.87532515639941</v>
      </c>
      <c r="AB16" s="192">
        <f t="array" ref="AB16">IF($G16=0, INDEX(LS_previous!$D$4:$AY$138, MATCH('Staging Table'!$A16, LS_previous!$B$4:$B$138, 0), MATCH(AB$4&amp;AB$5, LS_previous!$D$2:$AY$2&amp;LS_previous!$D$3:$AY$3, 0)),SUM(VLOOKUP($A16, LS_previous!$B$4:$AY$138, LS_previous!T$149, FALSE), VLOOKUP('Staging Table'!$A16, LS_previous!$B$4:$AY$138,LS_previous!AR$149, FALSE))/2)</f>
        <v>-4663.4585015996008</v>
      </c>
      <c r="AC16" s="192">
        <f t="array" ref="AC16">IF($G16=0, INDEX(LS_previous!$D$4:$AY$138, MATCH('Staging Table'!$A16, LS_previous!$B$4:$B$138, 0), MATCH(AC$4&amp;AC$5, LS_previous!$D$2:$AY$2&amp;LS_previous!$D$3:$AY$3, 0)),SUM(VLOOKUP($A16, LS_previous!$B$4:$AY$138, LS_previous!U$149, FALSE), VLOOKUP('Staging Table'!$A16, LS_previous!$B$4:$AY$138,LS_previous!AS$149, FALSE))/2)</f>
        <v>-2707.8109806824004</v>
      </c>
      <c r="AD16" s="192">
        <f t="array" ref="AD16">IF($G16=0, INDEX(LS_previous!$D$4:$AY$138, MATCH('Staging Table'!$A16, LS_previous!$B$4:$B$138, 0), MATCH(AD$4&amp;AD$5, LS_previous!$D$2:$AY$2&amp;LS_previous!$D$3:$AY$3, 0)),SUM(VLOOKUP($A16, LS_previous!$B$4:$AY$138, LS_previous!V$149, FALSE), VLOOKUP('Staging Table'!$A16, LS_previous!$B$4:$AY$138,LS_previous!AT$149, FALSE))/2)</f>
        <v>-989.35846109960039</v>
      </c>
      <c r="AE16" s="192">
        <f t="array" ref="AE16">IF($G16=0, INDEX(LS_previous!$D$4:$AY$138, MATCH('Staging Table'!$A16, LS_previous!$B$4:$B$138, 0), MATCH(AE$4&amp;AE$5, LS_previous!$D$2:$AY$2&amp;LS_previous!$D$3:$AY$3, 0)),SUM(VLOOKUP($A16, LS_previous!$B$4:$AY$138, LS_previous!W$149, FALSE), VLOOKUP('Staging Table'!$A16, LS_previous!$B$4:$AY$138,LS_previous!AU$149, FALSE))/2)</f>
        <v>907.18521540319944</v>
      </c>
      <c r="AF16" s="192">
        <f t="array" ref="AF16">IF($G16=0, INDEX(LS_previous!$D$4:$AY$138, MATCH('Staging Table'!$A16, LS_previous!$B$4:$B$138, 0), MATCH(AF$4&amp;AF$5, LS_previous!$D$2:$AY$2&amp;LS_previous!$D$3:$AY$3, 0)),SUM(VLOOKUP($A16, LS_previous!$B$4:$AY$138, LS_previous!X$149, FALSE), VLOOKUP('Staging Table'!$A16, LS_previous!$B$4:$AY$138,LS_previous!AV$149, FALSE))/2)</f>
        <v>-106.19599314960033</v>
      </c>
      <c r="AG16" s="192">
        <f t="array" ref="AG16">IF($G16=0, INDEX(LS_previous!$D$4:$AY$138, MATCH('Staging Table'!$A16, LS_previous!$B$4:$B$138, 0), MATCH(AG$4&amp;AG$5, LS_previous!$D$2:$AY$2&amp;LS_previous!$D$3:$AY$3, 0)),SUM(VLOOKUP($A16, LS_previous!$B$4:$AY$138, LS_previous!Y$149, FALSE), VLOOKUP('Staging Table'!$A16, LS_previous!$B$4:$AY$138,LS_previous!AW$149, FALSE))/2)</f>
        <v>292.08138340319965</v>
      </c>
      <c r="AH16" s="192">
        <f t="array" ref="AH16">IF($G16=0, INDEX(LS_previous!$D$4:$AY$138, MATCH('Staging Table'!$A16, LS_previous!$B$4:$B$138, 0), MATCH(AH$4&amp;AH$5, LS_previous!$D$2:$AY$2&amp;LS_previous!$D$3:$AY$3, 0)),SUM(VLOOKUP($A16, LS_previous!$B$4:$AY$138, LS_previous!Z$149, FALSE), VLOOKUP('Staging Table'!$A16, LS_previous!$B$4:$AY$138,LS_previous!AX$149, FALSE))/2)</f>
        <v>-908.75607904000117</v>
      </c>
      <c r="AI16" s="192">
        <f t="array" ref="AI16">IF($G16=0, INDEX(LS_previous!$D$4:$AY$138, MATCH('Staging Table'!$A16, LS_previous!$B$4:$B$138, 0), MATCH(AI$4&amp;AI$5, LS_previous!$D$2:$AY$2&amp;LS_previous!$D$3:$AY$3, 0)),SUM(VLOOKUP($A16, LS_previous!$B$4:$AY$138, LS_previous!AA$149, FALSE), VLOOKUP('Staging Table'!$A16, LS_previous!$B$4:$AY$138,LS_previous!AY$149, FALSE))/2)</f>
        <v>-490.16638509199947</v>
      </c>
      <c r="AJ16" s="314">
        <f t="array" ref="AJ16">INDEX(Demand_previous!$D$4:$AY$138, MATCH('Staging Table'!$A16, Demand_previous!$B$4:$B$138, 0), MATCH(AJ$4&amp;AJ$5,Demand_previous!$D$2:$AY$2&amp;Demand_previous!$D$3:$AY$3, 0))/1000</f>
        <v>2.0074351851851837</v>
      </c>
      <c r="AK16" s="314">
        <f t="array" ref="AK16">INDEX(Demand_previous!$D$4:$AY$138, MATCH('Staging Table'!$A16, Demand_previous!$B$4:$B$138, 0), MATCH(AK$4&amp;AK$5,Demand_previous!$D$2:$AY$2&amp;Demand_previous!$D$3:$AY$3, 0))/1000</f>
        <v>0</v>
      </c>
      <c r="AL16" s="314">
        <f t="array" ref="AL16">INDEX(Demand_previous!$D$4:$AY$138, MATCH('Staging Table'!$A16, Demand_previous!$B$4:$B$138, 0), MATCH(AL$4&amp;AL$5,Demand_previous!$D$2:$AY$2&amp;Demand_previous!$D$3:$AY$3, 0))/1000</f>
        <v>1.7450500000000027</v>
      </c>
      <c r="AM16" s="314">
        <f t="array" ref="AM16">INDEX(Demand_previous!$D$4:$AY$138, MATCH('Staging Table'!$A16, Demand_previous!$B$4:$B$138, 0), MATCH(AM$4&amp;AM$5,Demand_previous!$D$2:$AY$2&amp;Demand_previous!$D$3:$AY$3, 0))/1000</f>
        <v>2.7125600961538447</v>
      </c>
      <c r="AN16" s="314">
        <f t="array" ref="AN16">INDEX(Demand_previous!$D$4:$AY$138, MATCH('Staging Table'!$A16, Demand_previous!$B$4:$B$138, 0), MATCH(AN$4&amp;AN$5,Demand_previous!$D$2:$AY$2&amp;Demand_previous!$D$3:$AY$3, 0))/1000</f>
        <v>3.5954075000000003</v>
      </c>
      <c r="AO16" s="314">
        <f t="array" ref="AO16">INDEX(Demand_previous!$D$4:$AY$138, MATCH('Staging Table'!$A16, Demand_previous!$B$4:$B$138, 0), MATCH(AO$4&amp;AO$5,Demand_previous!$D$2:$AY$2&amp;Demand_previous!$D$3:$AY$3, 0))/1000</f>
        <v>3.2334471153846165</v>
      </c>
      <c r="AP16" s="314">
        <f t="array" ref="AP16">INDEX(Demand_previous!$D$4:$AY$138, MATCH('Staging Table'!$A16, Demand_previous!$B$4:$B$138, 0), MATCH(AP$4&amp;AP$5,Demand_previous!$D$2:$AY$2&amp;Demand_previous!$D$3:$AY$3, 0))/1000</f>
        <v>2.593038461538459</v>
      </c>
      <c r="AQ16" s="314">
        <f t="array" ref="AQ16">INDEX(Demand_previous!$D$4:$AY$138, MATCH('Staging Table'!$A16, Demand_previous!$B$4:$B$138, 0), MATCH(AQ$4&amp;AQ$5,Demand_previous!$D$2:$AY$2&amp;Demand_previous!$D$3:$AY$3, 0))/1000</f>
        <v>0</v>
      </c>
      <c r="AR16" s="314">
        <f t="array" ref="AR16">INDEX(Demand_previous!$D$4:$AY$138, MATCH('Staging Table'!$A16, Demand_previous!$B$4:$B$138, 0), MATCH(AR$4&amp;AR$5,Demand_previous!$D$2:$AY$2&amp;Demand_previous!$D$3:$AY$3, 0))/1000</f>
        <v>3.9170096153846128</v>
      </c>
      <c r="AS16" s="314">
        <f t="array" ref="AS16">INDEX(Demand_previous!$D$4:$AY$138, MATCH('Staging Table'!$A16, Demand_previous!$B$4:$B$138, 0), MATCH(AS$4&amp;AS$5,Demand_previous!$D$2:$AY$2&amp;Demand_previous!$D$3:$AY$3, 0))/1000</f>
        <v>5.1943533653846146</v>
      </c>
      <c r="AT16" s="314">
        <f t="array" ref="AT16">INDEX(Demand_previous!$D$4:$AY$138, MATCH('Staging Table'!$A16, Demand_previous!$B$4:$B$138, 0), MATCH(AT$4&amp;AT$5,Demand_previous!$D$2:$AY$2&amp;Demand_previous!$D$3:$AY$3, 0))/1000</f>
        <v>2.7115865384615407</v>
      </c>
      <c r="AU16" s="314">
        <f t="array" ref="AU16">INDEX(Demand_previous!$D$4:$AY$138, MATCH('Staging Table'!$A16, Demand_previous!$B$4:$B$138, 0), MATCH(AU$4&amp;AU$5,Demand_previous!$D$2:$AY$2&amp;Demand_previous!$D$3:$AY$3, 0))/1000</f>
        <v>5.0487000000000002</v>
      </c>
      <c r="AV16" s="192">
        <f>$F16*(VLOOKUP(AV$4, Rates_previous!$G$6:$Q$29, 10, FALSE)+VLOOKUP(AV$4, Rates_previous!$G$6:$Q$29, 11, FALSE))</f>
        <v>13140.423008096399</v>
      </c>
      <c r="AW16" s="192">
        <f>$F16*(VLOOKUP(AW$4, Rates_previous!$G$6:$Q$29, 10, FALSE)+VLOOKUP(AW$4, Rates_previous!$G$6:$Q$29, 11, FALSE))</f>
        <v>16692.436454870101</v>
      </c>
      <c r="AX16" s="192">
        <f>$F16*(VLOOKUP(AX$4, Rates_previous!$G$6:$Q$29, 10, FALSE)+VLOOKUP(AX$4, Rates_previous!$G$6:$Q$29, 11, FALSE))</f>
        <v>16490.852697796403</v>
      </c>
      <c r="AY16" s="192">
        <f>$F16*(VLOOKUP(AY$4, Rates_previous!$G$6:$Q$29, 10, FALSE)+VLOOKUP(AY$4, Rates_previous!$G$6:$Q$29, 11, FALSE))</f>
        <v>13746.130134596402</v>
      </c>
      <c r="AZ16" s="192">
        <f>$F16*(VLOOKUP(AZ$4, Rates_previous!$G$6:$Q$29, 10, FALSE)+VLOOKUP(AZ$4, Rates_previous!$G$6:$Q$29, 11, FALSE))</f>
        <v>12452.56785112</v>
      </c>
      <c r="BA16" s="192">
        <f>$F16*(VLOOKUP(BA$4, Rates_previous!$G$6:$Q$29, 10, FALSE)+VLOOKUP(BA$4, Rates_previous!$G$6:$Q$29, 11, FALSE))</f>
        <v>13851.2114091083</v>
      </c>
      <c r="BB16" s="192">
        <f>$F16*(VLOOKUP(BB$4, Rates_previous!$G$6:$Q$29, 10, FALSE)+VLOOKUP(BB$4, Rates_previous!$G$6:$Q$29, 11, FALSE))</f>
        <v>11277.671276232</v>
      </c>
      <c r="BC16" s="192">
        <f>$F16*(VLOOKUP(BC$4, Rates_previous!$G$6:$Q$29, 10, FALSE)+VLOOKUP(BC$4, Rates_previous!$G$6:$Q$29, 11, FALSE))</f>
        <v>15209.621403046402</v>
      </c>
      <c r="BD16" s="192">
        <f>$F16*(VLOOKUP(BD$4, Rates_previous!$G$6:$Q$29, 10, FALSE)+VLOOKUP(BD$4, Rates_previous!$G$6:$Q$29, 11, FALSE))</f>
        <v>19406.442482282004</v>
      </c>
      <c r="BE16" s="192">
        <f>$F16*(VLOOKUP(BE$4, Rates_previous!$G$6:$Q$29, 10, FALSE)+VLOOKUP(BE$4, Rates_previous!$G$6:$Q$29, 11, FALSE))</f>
        <v>15215.266245696403</v>
      </c>
      <c r="BF16" s="192">
        <f>$F16*(VLOOKUP(BF$4, Rates_previous!$G$6:$Q$29, 10, FALSE)+VLOOKUP(BF$4, Rates_previous!$G$6:$Q$29, 11, FALSE))</f>
        <v>14816.639609746402</v>
      </c>
      <c r="BG16" s="192">
        <f>$F16*(VLOOKUP(BG$4, Rates_previous!$G$6:$Q$29, 10, FALSE)+VLOOKUP(BG$4, Rates_previous!$G$6:$Q$29, 11, FALSE))</f>
        <v>13302.190464132002</v>
      </c>
      <c r="BH16" s="314">
        <f>IF($D16=0,IF(C16=0, MAX(BJ16 - (VLOOKUP($A16,TOCA_previous!$A$2:$AI$137,MATCH("RHWM 2020",TOCA_previous!$A$2:$AI$2,0),FALSE)*$F$2*TOCA_previous!C13),0),0), 0)</f>
        <v>0</v>
      </c>
      <c r="BI16" s="204">
        <f>MIN(VLOOKUP($A16,TOCA_previous!$A$2:$AI$137,MATCH("TRL - NLSL - Existing Resource "&amp;$F$1,TOCA_previous!$A$2:$AI$2,0),FALSE)*$F$2,(VLOOKUP($A16,TOCA_previous!$A$2:$AI$137,MATCH("RHWM 2020",TOCA_previous!$A$2:$AI$2,0),FALSE)*$F$2))</f>
        <v>175600.94399999999</v>
      </c>
      <c r="BJ16" s="418">
        <f>SUM(L16:AI16)+(F16*RT1SC!$C$3*$F$2)</f>
        <v>174988.21059110438</v>
      </c>
      <c r="BK16" s="417">
        <f>VLOOKUP($A16,TOCA_previous!$A$2:$AI$137,MATCH("Above RHWM Not Served with LS "&amp;$F$1,TOCA_previous!$A$2:$AI$2,0),FALSE)*$F$2</f>
        <v>0</v>
      </c>
      <c r="BL16" s="418">
        <f t="shared" si="8"/>
        <v>-612.73340889561223</v>
      </c>
      <c r="BM16" s="417">
        <f>(VLOOKUP($A16,TOCA_previous!$A$2:$AI$137,MATCH("RHWM 2020",TOCA_previous!$A$2:$AI$2,0),FALSE)*$F$2) - $BI16</f>
        <v>8485.3440000000119</v>
      </c>
      <c r="BN16" s="418">
        <f t="shared" si="9"/>
        <v>0</v>
      </c>
      <c r="BO16" s="417">
        <f t="shared" si="10"/>
        <v>612.73340889561223</v>
      </c>
      <c r="BP16" s="418">
        <f t="shared" si="11"/>
        <v>0</v>
      </c>
      <c r="BQ16" s="417">
        <f t="shared" si="2"/>
        <v>612.73340889561223</v>
      </c>
      <c r="BR16" s="120">
        <f>VLOOKUP($A16,TOCA_current!$A$2:$AI$137,MATCH(BR$4,TOCA_current!$A$2:$AI$2,0),FALSE)</f>
        <v>2.9654E-3</v>
      </c>
      <c r="BS16" s="120">
        <f>VLOOKUP($A16,TOCA_current!$A$2:$AI$137,MATCH(BS$4,TOCA_current!$A$2:$AI$2,0),FALSE)</f>
        <v>2.9654E-3</v>
      </c>
      <c r="BT16" s="201">
        <f t="shared" si="12"/>
        <v>0</v>
      </c>
      <c r="BU16" s="120">
        <f>VLOOKUP($A16,TOCA_current!A12:BG147,MATCH(BU$4,TOCA_current!$A$2:$BG$2,0),FALSE)</f>
        <v>0</v>
      </c>
      <c r="BV16" s="120">
        <f t="shared" si="3"/>
        <v>0</v>
      </c>
      <c r="BW16" s="120">
        <f t="shared" si="4"/>
        <v>0</v>
      </c>
      <c r="BX16" s="191">
        <f>VLOOKUP($A16,IRD!$A$4:$G$139, 7, FALSE)</f>
        <v>0</v>
      </c>
      <c r="BY16" s="192">
        <f t="array" ref="BY16">IF($BT16=0, INDEX(LS_current!$D$4:$AY$138, MATCH('Staging Table'!$A16, LS_current!$B$4:$B$138, 0), MATCH(BY$4&amp;BY$5, LS_current!$D$2:$AY$2&amp;LS_current!$D$3:$AY$3, 0)),SUM(VLOOKUP($A16, LS_current!$B$4:$AY$138, LS_current!D$148, FALSE), VLOOKUP($A16, LS_current!$B$4:$AY$138,LS_current!AB$148, FALSE))/2)</f>
        <v>-265.65145045357167</v>
      </c>
      <c r="BZ16" s="192">
        <f t="array" ref="BZ16">IF($BT16=0, INDEX(LS_current!$D$4:$AY$138, MATCH('Staging Table'!$A16, LS_current!$B$4:$B$138, 0), MATCH(BZ$4&amp;BZ$5, LS_current!$D$2:$AY$2&amp;LS_current!$D$3:$AY$3, 0)),SUM(VLOOKUP($A16, LS_current!$B$4:$AY$138, LS_current!E$148, FALSE), VLOOKUP($A16, LS_current!$B$4:$AY$138,LS_current!AC$148, FALSE))/2)</f>
        <v>-2.630026877029195</v>
      </c>
      <c r="CA16" s="192">
        <f t="array" ref="CA16">IF($BT16=0, INDEX(LS_current!$D$4:$AY$138, MATCH('Staging Table'!$A16, LS_current!$B$4:$B$138, 0), MATCH(CA$4&amp;CA$5, LS_current!$D$2:$AY$2&amp;LS_current!$D$3:$AY$3, 0)),SUM(VLOOKUP($A16, LS_current!$B$4:$AY$138, LS_current!F$148, FALSE), VLOOKUP($A16, LS_current!$B$4:$AY$138,LS_current!AD$148, FALSE))/2)</f>
        <v>-424.94160876528076</v>
      </c>
      <c r="CB16" s="192">
        <f t="array" ref="CB16">IF($BT16=0, INDEX(LS_current!$D$4:$AY$138, MATCH('Staging Table'!$A16, LS_current!$B$4:$B$138, 0), MATCH(CB$4&amp;CB$5, LS_current!$D$2:$AY$2&amp;LS_current!$D$3:$AY$3, 0)),SUM(VLOOKUP($A16, LS_current!$B$4:$AY$138, LS_current!G$148, FALSE), VLOOKUP($A16, LS_current!$B$4:$AY$138,LS_current!AE$148, FALSE))/2)</f>
        <v>-497.0781589510334</v>
      </c>
      <c r="CC16" s="192">
        <f t="array" ref="CC16">IF($BT16=0, INDEX(LS_current!$D$4:$AY$138, MATCH('Staging Table'!$A16, LS_current!$B$4:$B$138, 0), MATCH(CC$4&amp;CC$5, LS_current!$D$2:$AY$2&amp;LS_current!$D$3:$AY$3, 0)),SUM(VLOOKUP($A16, LS_current!$B$4:$AY$138, LS_current!H$148, FALSE), VLOOKUP($A16, LS_current!$B$4:$AY$138,LS_current!AF$148, FALSE))/2)</f>
        <v>1567.9077896189756</v>
      </c>
      <c r="CD16" s="192">
        <f t="array" ref="CD16">IF($BT16=0, INDEX(LS_current!$D$4:$AY$138, MATCH('Staging Table'!$A16, LS_current!$B$4:$B$138, 0), MATCH(CD$4&amp;CD$5, LS_current!$D$2:$AY$2&amp;LS_current!$D$3:$AY$3, 0)),SUM(VLOOKUP($A16, LS_current!$B$4:$AY$138, LS_current!I$148, FALSE), VLOOKUP($A16, LS_current!$B$4:$AY$138,LS_current!AG$148, FALSE))/2)</f>
        <v>-481.68874817972664</v>
      </c>
      <c r="CE16" s="192">
        <f t="array" ref="CE16">IF($BT16=0, INDEX(LS_current!$D$4:$AY$138, MATCH('Staging Table'!$A16, LS_current!$B$4:$B$138, 0), MATCH(CE$4&amp;CE$5, LS_current!$D$2:$AY$2&amp;LS_current!$D$3:$AY$3, 0)),SUM(VLOOKUP($A16, LS_current!$B$4:$AY$138, LS_current!J$148, FALSE), VLOOKUP($A16, LS_current!$B$4:$AY$138,LS_current!AH$148, FALSE))/2)</f>
        <v>3026.988482884507</v>
      </c>
      <c r="CF16" s="192">
        <f t="array" ref="CF16">IF($BT16=0, INDEX(LS_current!$D$4:$AY$138, MATCH('Staging Table'!$A16, LS_current!$B$4:$B$138, 0), MATCH(CF$4&amp;CF$5, LS_current!$D$2:$AY$2&amp;LS_current!$D$3:$AY$3, 0)),SUM(VLOOKUP($A16, LS_current!$B$4:$AY$138, LS_current!K$148, FALSE), VLOOKUP($A16, LS_current!$B$4:$AY$138,LS_current!AI$148, FALSE))/2)</f>
        <v>1290.2872096960355</v>
      </c>
      <c r="CG16" s="192">
        <f t="array" ref="CG16">IF($BT16=0, INDEX(LS_current!$D$4:$AY$138, MATCH('Staging Table'!$A16, LS_current!$B$4:$B$138, 0), MATCH(CG$4&amp;CG$5, LS_current!$D$2:$AY$2&amp;LS_current!$D$3:$AY$3, 0)),SUM(VLOOKUP($A16, LS_current!$B$4:$AY$138, LS_current!L$148, FALSE), VLOOKUP($A16, LS_current!$B$4:$AY$138,LS_current!AJ$148, FALSE))/2)</f>
        <v>2510.7621132205422</v>
      </c>
      <c r="CH16" s="192">
        <f t="array" ref="CH16">IF($BT16=0, INDEX(LS_current!$D$4:$AY$138, MATCH('Staging Table'!$A16, LS_current!$B$4:$B$138, 0), MATCH(CH$4&amp;CH$5, LS_current!$D$2:$AY$2&amp;LS_current!$D$3:$AY$3, 0)),SUM(VLOOKUP($A16, LS_current!$B$4:$AY$138, LS_current!M$148, FALSE), VLOOKUP($A16, LS_current!$B$4:$AY$138,LS_current!AK$148, FALSE))/2)</f>
        <v>401.78175585630652</v>
      </c>
      <c r="CI16" s="192">
        <f t="array" ref="CI16">IF($BT16=0, INDEX(LS_current!$D$4:$AY$138, MATCH('Staging Table'!$A16, LS_current!$B$4:$B$138, 0), MATCH(CI$4&amp;CI$5, LS_current!$D$2:$AY$2&amp;LS_current!$D$3:$AY$3, 0)),SUM(VLOOKUP($A16, LS_current!$B$4:$AY$138, LS_current!N$148, FALSE), VLOOKUP($A16, LS_current!$B$4:$AY$138,LS_current!AL$148, FALSE))/2)</f>
        <v>724.49588416087863</v>
      </c>
      <c r="CJ16" s="192">
        <f t="array" ref="CJ16">IF($BT16=0, INDEX(LS_current!$D$4:$AY$138, MATCH('Staging Table'!$A16, LS_current!$B$4:$B$138, 0), MATCH(CJ$4&amp;CJ$5, LS_current!$D$2:$AY$2&amp;LS_current!$D$3:$AY$3, 0)),SUM(VLOOKUP($A16, LS_current!$B$4:$AY$138, LS_current!O$148, FALSE), VLOOKUP($A16, LS_current!$B$4:$AY$138,LS_current!AM$148, FALSE))/2)</f>
        <v>-348.47812621566118</v>
      </c>
      <c r="CK16" s="192">
        <f t="array" ref="CK16">IF($BT16=0, INDEX(LS_current!$D$4:$AY$138, MATCH('Staging Table'!$A16, LS_current!$B$4:$B$138, 0), MATCH(CK$4&amp;CK$5, LS_current!$D$2:$AY$2&amp;LS_current!$D$3:$AY$3, 0)),SUM(VLOOKUP($A16, LS_current!$B$4:$AY$138, LS_current!P$148, FALSE), VLOOKUP($A16, LS_current!$B$4:$AY$138,LS_current!AN$148, FALSE))/2)</f>
        <v>1917.9481541503992</v>
      </c>
      <c r="CL16" s="192">
        <f t="array" ref="CL16">IF($BT16=0, INDEX(LS_current!$D$4:$AY$138, MATCH('Staging Table'!$A16, LS_current!$B$4:$B$138, 0), MATCH(CL$4&amp;CL$5, LS_current!$D$2:$AY$2&amp;LS_current!$D$3:$AY$3, 0)),SUM(VLOOKUP($A16, LS_current!$B$4:$AY$138, LS_current!Q$148, FALSE), VLOOKUP($A16, LS_current!$B$4:$AY$138,LS_current!AO$148, FALSE))/2)</f>
        <v>462.60377857408093</v>
      </c>
      <c r="CM16" s="192">
        <f t="array" ref="CM16">IF($BT16=0, INDEX(LS_current!$D$4:$AY$138, MATCH('Staging Table'!$A16, LS_current!$B$4:$B$138, 0), MATCH(CM$4&amp;CM$5, LS_current!$D$2:$AY$2&amp;LS_current!$D$3:$AY$3, 0)),SUM(VLOOKUP($A16, LS_current!$B$4:$AY$138, LS_current!R$148, FALSE), VLOOKUP($A16, LS_current!$B$4:$AY$138,LS_current!AP$148, FALSE))/2)</f>
        <v>-2721.72846766362</v>
      </c>
      <c r="CN16" s="192">
        <f t="array" ref="CN16">IF($BT16=0, INDEX(LS_current!$D$4:$AY$138, MATCH('Staging Table'!$A16, LS_current!$B$4:$B$138, 0), MATCH(CN$4&amp;CN$5, LS_current!$D$2:$AY$2&amp;LS_current!$D$3:$AY$3, 0)),SUM(VLOOKUP($A16, LS_current!$B$4:$AY$138, LS_current!S$148, FALSE), VLOOKUP($A16, LS_current!$B$4:$AY$138,LS_current!AQ$148, FALSE))/2)</f>
        <v>-171.34623815733357</v>
      </c>
      <c r="CO16" s="192">
        <f t="array" ref="CO16">IF($BT16=0, INDEX(LS_current!$D$4:$AY$138, MATCH('Staging Table'!$A16, LS_current!$B$4:$B$138, 0), MATCH(CO$4&amp;CO$5, LS_current!$D$2:$AY$2&amp;LS_current!$D$3:$AY$3, 0)),SUM(VLOOKUP($A16, LS_current!$B$4:$AY$138, LS_current!T$148, FALSE), VLOOKUP($A16, LS_current!$B$4:$AY$138,LS_current!AR$148, FALSE))/2)</f>
        <v>-3790.6472599759336</v>
      </c>
      <c r="CP16" s="192">
        <f t="array" ref="CP16">IF($BT16=0, INDEX(LS_current!$D$4:$AY$138, MATCH('Staging Table'!$A16, LS_current!$B$4:$B$138, 0), MATCH(CP$4&amp;CP$5, LS_current!$D$2:$AY$2&amp;LS_current!$D$3:$AY$3, 0)),SUM(VLOOKUP($A16, LS_current!$B$4:$AY$138, LS_current!U$148, FALSE), VLOOKUP($A16, LS_current!$B$4:$AY$138,LS_current!AS$148, FALSE))/2)</f>
        <v>-611.7082503859001</v>
      </c>
      <c r="CQ16" s="192">
        <f t="array" ref="CQ16">IF($BT16=0, INDEX(LS_current!$D$4:$AY$138, MATCH('Staging Table'!$A16, LS_current!$B$4:$B$138, 0), MATCH(CQ$4&amp;CQ$5, LS_current!$D$2:$AY$2&amp;LS_current!$D$3:$AY$3, 0)),SUM(VLOOKUP($A16, LS_current!$B$4:$AY$138, LS_current!V$148, FALSE), VLOOKUP($A16, LS_current!$B$4:$AY$138,LS_current!AT$148, FALSE))/2)</f>
        <v>-910.28819011864471</v>
      </c>
      <c r="CR16" s="192">
        <f t="array" ref="CR16">IF($BT16=0, INDEX(LS_current!$D$4:$AY$138, MATCH('Staging Table'!$A16, LS_current!$B$4:$B$138, 0), MATCH(CR$4&amp;CR$5, LS_current!$D$2:$AY$2&amp;LS_current!$D$3:$AY$3, 0)),SUM(VLOOKUP($A16, LS_current!$B$4:$AY$138, LS_current!W$148, FALSE), VLOOKUP($A16, LS_current!$B$4:$AY$138,LS_current!AU$148, FALSE))/2)</f>
        <v>436.6921871002196</v>
      </c>
      <c r="CS16" s="192">
        <f t="array" ref="CS16">IF($BT16=0, INDEX(LS_current!$D$4:$AY$138, MATCH('Staging Table'!$A16, LS_current!$B$4:$B$138, 0), MATCH(CS$4&amp;CS$5, LS_current!$D$2:$AY$2&amp;LS_current!$D$3:$AY$3, 0)),SUM(VLOOKUP($A16, LS_current!$B$4:$AY$138, LS_current!X$148, FALSE), VLOOKUP($A16, LS_current!$B$4:$AY$138,LS_current!AV$148, FALSE))/2)</f>
        <v>-109.96349436567107</v>
      </c>
      <c r="CT16" s="192">
        <f t="array" ref="CT16">IF($BT16=0, INDEX(LS_current!$D$4:$AY$138, MATCH('Staging Table'!$A16, LS_current!$B$4:$B$138, 0), MATCH(CT$4&amp;CT$5, LS_current!$D$2:$AY$2&amp;LS_current!$D$3:$AY$3, 0)),SUM(VLOOKUP($A16, LS_current!$B$4:$AY$138, LS_current!Y$148, FALSE), VLOOKUP($A16, LS_current!$B$4:$AY$138,LS_current!AW$148, FALSE))/2)</f>
        <v>29.827566361278514</v>
      </c>
      <c r="CU16" s="192">
        <f t="array" ref="CU16">IF($BT16=0, INDEX(LS_current!$D$4:$AY$138, MATCH('Staging Table'!$A16, LS_current!$B$4:$B$138, 0), MATCH(CU$4&amp;CU$5, LS_current!$D$2:$AY$2&amp;LS_current!$D$3:$AY$3, 0)),SUM(VLOOKUP($A16, LS_current!$B$4:$AY$138, LS_current!Z$148, FALSE), VLOOKUP($A16, LS_current!$B$4:$AY$138,LS_current!AX$148, FALSE))/2)</f>
        <v>-1285.1458805566954</v>
      </c>
      <c r="CV16" s="192">
        <f t="array" ref="CV16">IF($BT16=0, INDEX(LS_current!$D$4:$AY$138, MATCH('Staging Table'!$A16, LS_current!$B$4:$B$138, 0), MATCH(CV$4&amp;CV$5, LS_current!$D$2:$AY$2&amp;LS_current!$D$3:$AY$3, 0)),SUM(VLOOKUP($A16, LS_current!$B$4:$AY$138, LS_current!AA$148, FALSE), VLOOKUP($A16, LS_current!$B$4:$AY$138,LS_current!AY$148, FALSE))/2)</f>
        <v>-749.53712201065082</v>
      </c>
      <c r="CW16" s="194">
        <f t="array" ref="CW16">INDEX(Demand_current!$D$4:$AY$138, MATCH($A16, Demand_current!$B$4:$B$138, 0), MATCH(CW$4&amp;CW$5,Demand_current!$D$2:$AY$2&amp;Demand_current!$D$3:$AY$3, 0))/1000</f>
        <v>1.2559519230769209</v>
      </c>
      <c r="CX16" s="194">
        <f t="array" ref="CX16">INDEX(Demand_current!$D$4:$AY$138, MATCH($A16, Demand_current!$B$4:$B$138, 0), MATCH(CX$4&amp;CX$5,Demand_current!$D$2:$AY$2&amp;Demand_current!$D$3:$AY$3, 0))/1000</f>
        <v>0</v>
      </c>
      <c r="CY16" s="194">
        <f t="array" ref="CY16">INDEX(Demand_current!$D$4:$AY$138, MATCH($A16, Demand_current!$B$4:$B$138, 0), MATCH(CY$4&amp;CY$5,Demand_current!$D$2:$AY$2&amp;Demand_current!$D$3:$AY$3, 0))/1000</f>
        <v>2.8196634615384646</v>
      </c>
      <c r="CZ16" s="194">
        <f t="array" ref="CZ16">INDEX(Demand_current!$D$4:$AY$138, MATCH($A16, Demand_current!$B$4:$B$138, 0), MATCH(CZ$4&amp;CZ$5,Demand_current!$D$2:$AY$2&amp;Demand_current!$D$3:$AY$3, 0))/1000</f>
        <v>1.6605424999999991</v>
      </c>
      <c r="DA16" s="194">
        <f t="array" ref="DA16">INDEX(Demand_current!$D$4:$AY$138, MATCH($A16, Demand_current!$B$4:$B$138, 0), MATCH(DA$4&amp;DA$5,Demand_current!$D$2:$AY$2&amp;Demand_current!$D$3:$AY$3, 0))/1000</f>
        <v>2.602216145833335</v>
      </c>
      <c r="DB16" s="194">
        <f t="array" ref="DB16">INDEX(Demand_current!$D$4:$AY$138, MATCH($A16, Demand_current!$B$4:$B$138, 0), MATCH(DB$4&amp;DB$5,Demand_current!$D$2:$AY$2&amp;Demand_current!$D$3:$AY$3, 0))/1000</f>
        <v>4.0869490740740764</v>
      </c>
      <c r="DC16" s="194">
        <f t="array" ref="DC16">INDEX(Demand_current!$D$4:$AY$138, MATCH($A16, Demand_current!$B$4:$B$138, 0), MATCH(DC$4&amp;DC$5,Demand_current!$D$2:$AY$2&amp;Demand_current!$D$3:$AY$3, 0))/1000</f>
        <v>2.593038461538459</v>
      </c>
      <c r="DD16" s="194">
        <f t="array" ref="DD16">INDEX(Demand_current!$D$4:$AY$138, MATCH($A16, Demand_current!$B$4:$B$138, 0), MATCH(DD$4&amp;DD$5,Demand_current!$D$2:$AY$2&amp;Demand_current!$D$3:$AY$3, 0))/1000</f>
        <v>0</v>
      </c>
      <c r="DE16" s="194">
        <f t="array" ref="DE16">INDEX(Demand_current!$D$4:$AY$138, MATCH($A16, Demand_current!$B$4:$B$138, 0), MATCH(DE$4&amp;DE$5,Demand_current!$D$2:$AY$2&amp;Demand_current!$D$3:$AY$3, 0))/1000</f>
        <v>3.9170096153846128</v>
      </c>
      <c r="DF16" s="194">
        <f t="array" ref="DF16">INDEX(Demand_current!$D$4:$AY$138, MATCH($A16, Demand_current!$B$4:$B$138, 0), MATCH(DF$4&amp;DF$5,Demand_current!$D$2:$AY$2&amp;Demand_current!$D$3:$AY$3, 0))/1000</f>
        <v>4.2748874999999984</v>
      </c>
      <c r="DG16" s="194">
        <f t="array" ref="DG16">INDEX(Demand_current!$D$4:$AY$138, MATCH($A16, Demand_current!$B$4:$B$138, 0), MATCH(DG$4&amp;DG$5,Demand_current!$D$2:$AY$2&amp;Demand_current!$D$3:$AY$3, 0))/1000</f>
        <v>3.6118981481481516</v>
      </c>
      <c r="DH16" s="194">
        <f t="array" ref="DH16">INDEX(Demand_current!$D$4:$AY$138, MATCH($A16, Demand_current!$B$4:$B$138, 0), MATCH(DH$4&amp;DH$5,Demand_current!$D$2:$AY$2&amp;Demand_current!$D$3:$AY$3, 0))/1000</f>
        <v>5.0487000000000002</v>
      </c>
      <c r="DI16" s="192">
        <f>$BS16*(VLOOKUP(DI$4, Rates_current!$G$6:$Q$29, 10, FALSE)+VLOOKUP(DI$4, Rates_current!$G$6:$Q$29, 11, FALSE))</f>
        <v>13504.207477330599</v>
      </c>
      <c r="DJ16" s="192">
        <f>$BS16*(VLOOKUP(DJ$4, Rates_current!$G$6:$Q$29, 10, FALSE)+VLOOKUP(DJ$4, Rates_current!$G$6:$Q$29, 11, FALSE))</f>
        <v>17096.816767716315</v>
      </c>
      <c r="DK16" s="192">
        <f>$BS16*(VLOOKUP(DK$4, Rates_current!$G$6:$Q$29, 10, FALSE)+VLOOKUP(DK$4, Rates_current!$G$6:$Q$29, 11, FALSE))</f>
        <v>16734.367958560753</v>
      </c>
      <c r="DL16" s="192">
        <f>$BS16*(VLOOKUP(DL$4, Rates_current!$G$6:$Q$29, 10, FALSE)+VLOOKUP(DL$4, Rates_current!$G$6:$Q$29, 11, FALSE))</f>
        <v>13821.876307419458</v>
      </c>
      <c r="DM16" s="192">
        <f>$BS16*(VLOOKUP(DM$4, Rates_current!$G$6:$Q$29, 10, FALSE)+VLOOKUP(DM$4, Rates_current!$G$6:$Q$29, 11, FALSE))</f>
        <v>11979.723130923154</v>
      </c>
      <c r="DN16" s="192">
        <f>$BS16*(VLOOKUP(DN$4, Rates_current!$G$6:$Q$29, 10, FALSE)+VLOOKUP(DN$4, Rates_current!$G$6:$Q$29, 11, FALSE))</f>
        <v>14301.370242054783</v>
      </c>
      <c r="DO16" s="192">
        <f>$BS16*(VLOOKUP(DO$4, Rates_current!$G$6:$Q$29, 10, FALSE)+VLOOKUP(DO$4, Rates_current!$G$6:$Q$29, 11, FALSE))</f>
        <v>11103.11006727552</v>
      </c>
      <c r="DP16" s="192">
        <f>$BS16*(VLOOKUP(DP$4, Rates_current!$G$6:$Q$29, 10, FALSE)+VLOOKUP(DP$4, Rates_current!$G$6:$Q$29, 11, FALSE))</f>
        <v>15383.440705820953</v>
      </c>
      <c r="DQ16" s="192">
        <f>$BS16*(VLOOKUP(DQ$4, Rates_current!$G$6:$Q$29, 10, FALSE)+VLOOKUP(DQ$4, Rates_current!$G$6:$Q$29, 11, FALSE))</f>
        <v>16437.528510361833</v>
      </c>
      <c r="DR16" s="192">
        <f>$BS16*(VLOOKUP(DR$4, Rates_current!$G$6:$Q$29, 10, FALSE)+VLOOKUP(DR$4, Rates_current!$G$6:$Q$29, 11, FALSE))</f>
        <v>15606.689003018428</v>
      </c>
      <c r="DS16" s="192">
        <f>$BS16*(VLOOKUP(DS$4, Rates_current!$G$6:$Q$29, 10, FALSE)+VLOOKUP(DS$4, Rates_current!$G$6:$Q$29, 11, FALSE))</f>
        <v>15082.66092800439</v>
      </c>
      <c r="DT16" s="192">
        <f>$BS16*(VLOOKUP(DT$4, Rates_current!$G$6:$Q$29, 10, FALSE)+VLOOKUP(DT$4, Rates_current!$G$6:$Q$29, 11, FALSE))</f>
        <v>13937.951002567346</v>
      </c>
      <c r="DU16" s="418">
        <f>IF(D16=0,IF(C16=0,MAX(0,DW16 - (VLOOKUP($A16,TOCA_current!$A$2:$AI$137,MATCH("RHWM 2022",TOCA_current!$A$2:$AI$2,0),FALSE)*$BS$2)), 0),0)</f>
        <v>0</v>
      </c>
      <c r="DV16" s="419">
        <f>MIN(VLOOKUP($A16,TOCA_current!$A$2:$AI$137,MATCH("TRL - NLSL - Existing Resource "&amp;$BS$1,TOCA_current!$A$2:$AI$2,0),FALSE)*$BS$2, VLOOKUP($A16,TOCA_current!$A$2:$AI$137,MATCH("RHWM 2022",TOCA_current!$A$2:$AI$2,0),FALSE)*$BS$2)</f>
        <v>174989.75999999998</v>
      </c>
      <c r="DW16" s="419">
        <f>SUM(BY16:CV16)+(BS16*RT1SC!$C$4*$BS$2)</f>
        <v>174988.21295148248</v>
      </c>
      <c r="DX16" s="419">
        <f>VLOOKUP($A16,TOCA_current!$A$2:$AI$137,MATCH("Above RHWM Not Served with LS "&amp;$BS$1,TOCA_current!$A$2:$AI$2,0),FALSE)*$BS$2</f>
        <v>0</v>
      </c>
      <c r="DY16" s="419">
        <f t="shared" si="13"/>
        <v>-1.5470485175028443</v>
      </c>
      <c r="DZ16" s="419">
        <f>(VLOOKUP($A16,TOCA_current!$A$2:$AI$137,MATCH("RHWM 2022",TOCA_current!$A$2:$AI$2,0),FALSE)*$BS$2) - $DV16</f>
        <v>1059.960000000021</v>
      </c>
      <c r="EA16" s="419">
        <f t="shared" si="14"/>
        <v>0</v>
      </c>
      <c r="EB16" s="419">
        <f t="shared" si="15"/>
        <v>1.5470485175028443</v>
      </c>
      <c r="EC16" s="419">
        <f t="shared" si="16"/>
        <v>0</v>
      </c>
      <c r="ED16" s="419">
        <f t="shared" si="17"/>
        <v>1.5470485175028443</v>
      </c>
    </row>
    <row r="17" spans="1:134">
      <c r="A17" s="135">
        <v>10059</v>
      </c>
      <c r="B17" s="136" t="s">
        <v>18</v>
      </c>
      <c r="C17" s="244">
        <f>VLOOKUP(A17, TOCA_current!$A$3:$D$137, 4, FALSE)</f>
        <v>0</v>
      </c>
      <c r="D17" s="203">
        <v>0</v>
      </c>
      <c r="E17" s="119">
        <f>VLOOKUP($A17,TOCA_previous!$A$2:$AI$137,MATCH(E$4,TOCA_previous!$A$2:$AI$2,0),FALSE)</f>
        <v>1.0625999999999999E-3</v>
      </c>
      <c r="F17" s="120">
        <f>VLOOKUP($A17,TOCA_previous!$A$2:$AI$137,MATCH(F$4,TOCA_previous!$A$2:$AI$2,0),FALSE)</f>
        <v>1.0625999999999999E-3</v>
      </c>
      <c r="G17" s="120">
        <f t="shared" si="5"/>
        <v>0</v>
      </c>
      <c r="H17" s="120">
        <f>VLOOKUP($A17,TOCA_previous!$A$2:$AI$137,MATCH(H$4,TOCA_previous!$A$2:$AI$2,0),FALSE)</f>
        <v>0</v>
      </c>
      <c r="I17" s="120">
        <f t="shared" si="6"/>
        <v>0</v>
      </c>
      <c r="J17" s="120">
        <f t="shared" si="7"/>
        <v>0</v>
      </c>
      <c r="K17" s="191">
        <f>VLOOKUP(A17, IRD!$A$5:$C$139, 3, FALSE)</f>
        <v>0</v>
      </c>
      <c r="L17" s="192">
        <f t="array" ref="L17">IF($G17=0, INDEX(LS_previous!$D$4:$AY$138, MATCH('Staging Table'!$A17, LS_previous!$B$4:$B$138, 0), MATCH(L$4&amp;L$5, LS_previous!$D$2:$AY$2&amp;LS_previous!$D$3:$AY$3, 0)),SUM(VLOOKUP($A17, LS_previous!$B$4:$AY$138, LS_previous!D$149, FALSE), VLOOKUP('Staging Table'!$A17, LS_previous!$B$4:$AY$138,LS_previous!AB$149, FALSE))/2)</f>
        <v>56.032118711200383</v>
      </c>
      <c r="M17" s="192">
        <f t="array" ref="M17">IF($G17=0, INDEX(LS_previous!$D$4:$AY$138, MATCH('Staging Table'!$A17, LS_previous!$B$4:$B$138, 0), MATCH(M$4&amp;M$5, LS_previous!$D$2:$AY$2&amp;LS_previous!$D$3:$AY$3, 0)),SUM(VLOOKUP($A17, LS_previous!$B$4:$AY$138, LS_previous!E$149, FALSE), VLOOKUP('Staging Table'!$A17, LS_previous!$B$4:$AY$138,LS_previous!AC$149, FALSE))/2)</f>
        <v>241.15662881920025</v>
      </c>
      <c r="N17" s="192">
        <f t="array" ref="N17">IF($G17=0, INDEX(LS_previous!$D$4:$AY$138, MATCH('Staging Table'!$A17, LS_previous!$B$4:$B$138, 0), MATCH(N$4&amp;N$5, LS_previous!$D$2:$AY$2&amp;LS_previous!$D$3:$AY$3, 0)),SUM(VLOOKUP($A17, LS_previous!$B$4:$AY$138, LS_previous!F$149, FALSE), VLOOKUP('Staging Table'!$A17, LS_previous!$B$4:$AY$138,LS_previous!AD$149, FALSE))/2)</f>
        <v>-363.67073525279966</v>
      </c>
      <c r="O17" s="192">
        <f t="array" ref="O17">IF($G17=0, INDEX(LS_previous!$D$4:$AY$138, MATCH('Staging Table'!$A17, LS_previous!$B$4:$B$138, 0), MATCH(O$4&amp;O$5, LS_previous!$D$2:$AY$2&amp;LS_previous!$D$3:$AY$3, 0)),SUM(VLOOKUP($A17, LS_previous!$B$4:$AY$138, LS_previous!G$149, FALSE), VLOOKUP('Staging Table'!$A17, LS_previous!$B$4:$AY$138,LS_previous!AE$149, FALSE))/2)</f>
        <v>-44.894624508600373</v>
      </c>
      <c r="P17" s="192">
        <f t="array" ref="P17">IF($G17=0, INDEX(LS_previous!$D$4:$AY$138, MATCH('Staging Table'!$A17, LS_previous!$B$4:$B$138, 0), MATCH(P$4&amp;P$5, LS_previous!$D$2:$AY$2&amp;LS_previous!$D$3:$AY$3, 0)),SUM(VLOOKUP($A17, LS_previous!$B$4:$AY$138, LS_previous!H$149, FALSE), VLOOKUP('Staging Table'!$A17, LS_previous!$B$4:$AY$138,LS_previous!AF$149, FALSE))/2)</f>
        <v>566.58294033279981</v>
      </c>
      <c r="Q17" s="192">
        <f t="array" ref="Q17">IF($G17=0, INDEX(LS_previous!$D$4:$AY$138, MATCH('Staging Table'!$A17, LS_previous!$B$4:$B$138, 0), MATCH(Q$4&amp;Q$5, LS_previous!$D$2:$AY$2&amp;LS_previous!$D$3:$AY$3, 0)),SUM(VLOOKUP($A17, LS_previous!$B$4:$AY$138, LS_previous!I$149, FALSE), VLOOKUP('Staging Table'!$A17, LS_previous!$B$4:$AY$138,LS_previous!AG$149, FALSE))/2)</f>
        <v>459.93689139759999</v>
      </c>
      <c r="R17" s="192">
        <f t="array" ref="R17">IF($G17=0, INDEX(LS_previous!$D$4:$AY$138, MATCH('Staging Table'!$A17, LS_previous!$B$4:$B$138, 0), MATCH(R$4&amp;R$5, LS_previous!$D$2:$AY$2&amp;LS_previous!$D$3:$AY$3, 0)),SUM(VLOOKUP($A17, LS_previous!$B$4:$AY$138, LS_previous!J$149, FALSE), VLOOKUP('Staging Table'!$A17, LS_previous!$B$4:$AY$138,LS_previous!AH$149, FALSE))/2)</f>
        <v>1132.0419779327995</v>
      </c>
      <c r="S17" s="192">
        <f t="array" ref="S17">IF($G17=0, INDEX(LS_previous!$D$4:$AY$138, MATCH('Staging Table'!$A17, LS_previous!$B$4:$B$138, 0), MATCH(S$4&amp;S$5, LS_previous!$D$2:$AY$2&amp;LS_previous!$D$3:$AY$3, 0)),SUM(VLOOKUP($A17, LS_previous!$B$4:$AY$138, LS_previous!K$149, FALSE), VLOOKUP('Staging Table'!$A17, LS_previous!$B$4:$AY$138,LS_previous!AI$149, FALSE))/2)</f>
        <v>1216.0682985976002</v>
      </c>
      <c r="T17" s="192">
        <f t="array" ref="T17">IF($G17=0, INDEX(LS_previous!$D$4:$AY$138, MATCH('Staging Table'!$A17, LS_previous!$B$4:$B$138, 0), MATCH(T$4&amp;T$5, LS_previous!$D$2:$AY$2&amp;LS_previous!$D$3:$AY$3, 0)),SUM(VLOOKUP($A17, LS_previous!$B$4:$AY$138, LS_previous!L$149, FALSE), VLOOKUP('Staging Table'!$A17, LS_previous!$B$4:$AY$138,LS_previous!AJ$149, FALSE))/2)</f>
        <v>1134.6714960376003</v>
      </c>
      <c r="U17" s="192">
        <f t="array" ref="U17">IF($G17=0, INDEX(LS_previous!$D$4:$AY$138, MATCH('Staging Table'!$A17, LS_previous!$B$4:$B$138, 0), MATCH(U$4&amp;U$5, LS_previous!$D$2:$AY$2&amp;LS_previous!$D$3:$AY$3, 0)),SUM(VLOOKUP($A17, LS_previous!$B$4:$AY$138, LS_previous!M$149, FALSE), VLOOKUP('Staging Table'!$A17, LS_previous!$B$4:$AY$138,LS_previous!AK$149, FALSE))/2)</f>
        <v>744.80609228240019</v>
      </c>
      <c r="V17" s="192">
        <f t="array" ref="V17">IF($G17=0, INDEX(LS_previous!$D$4:$AY$138, MATCH('Staging Table'!$A17, LS_previous!$B$4:$B$138, 0), MATCH(V$4&amp;V$5, LS_previous!$D$2:$AY$2&amp;LS_previous!$D$3:$AY$3, 0)),SUM(VLOOKUP($A17, LS_previous!$B$4:$AY$138, LS_previous!N$149, FALSE), VLOOKUP('Staging Table'!$A17, LS_previous!$B$4:$AY$138,LS_previous!AL$149, FALSE))/2)</f>
        <v>654.01061111840045</v>
      </c>
      <c r="W17" s="192">
        <f t="array" ref="W17">IF($G17=0, INDEX(LS_previous!$D$4:$AY$138, MATCH('Staging Table'!$A17, LS_previous!$B$4:$B$138, 0), MATCH(W$4&amp;W$5, LS_previous!$D$2:$AY$2&amp;LS_previous!$D$3:$AY$3, 0)),SUM(VLOOKUP($A17, LS_previous!$B$4:$AY$138, LS_previous!O$149, FALSE), VLOOKUP('Staging Table'!$A17, LS_previous!$B$4:$AY$138,LS_previous!AM$149, FALSE))/2)</f>
        <v>412.43349822540017</v>
      </c>
      <c r="X17" s="192">
        <f t="array" ref="X17">IF($G17=0, INDEX(LS_previous!$D$4:$AY$138, MATCH('Staging Table'!$A17, LS_previous!$B$4:$B$138, 0), MATCH(X$4&amp;X$5, LS_previous!$D$2:$AY$2&amp;LS_previous!$D$3:$AY$3, 0)),SUM(VLOOKUP($A17, LS_previous!$B$4:$AY$138, LS_previous!P$149, FALSE), VLOOKUP('Staging Table'!$A17, LS_previous!$B$4:$AY$138,LS_previous!AN$149, FALSE))/2)</f>
        <v>929.02185102559997</v>
      </c>
      <c r="Y17" s="192">
        <f t="array" ref="Y17">IF($G17=0, INDEX(LS_previous!$D$4:$AY$138, MATCH('Staging Table'!$A17, LS_previous!$B$4:$B$138, 0), MATCH(Y$4&amp;Y$5, LS_previous!$D$2:$AY$2&amp;LS_previous!$D$3:$AY$3, 0)),SUM(VLOOKUP($A17, LS_previous!$B$4:$AY$138, LS_previous!Q$149, FALSE), VLOOKUP('Staging Table'!$A17, LS_previous!$B$4:$AY$138,LS_previous!AO$149, FALSE))/2)</f>
        <v>574.91973612640004</v>
      </c>
      <c r="Z17" s="192">
        <f t="array" ref="Z17">IF($G17=0, INDEX(LS_previous!$D$4:$AY$138, MATCH('Staging Table'!$A17, LS_previous!$B$4:$B$138, 0), MATCH(Z$4&amp;Z$5, LS_previous!$D$2:$AY$2&amp;LS_previous!$D$3:$AY$3, 0)),SUM(VLOOKUP($A17, LS_previous!$B$4:$AY$138, LS_previous!R$149, FALSE), VLOOKUP('Staging Table'!$A17, LS_previous!$B$4:$AY$138,LS_previous!AP$149, FALSE))/2)</f>
        <v>-838.76335246000008</v>
      </c>
      <c r="AA17" s="192">
        <f t="array" ref="AA17">IF($G17=0, INDEX(LS_previous!$D$4:$AY$138, MATCH('Staging Table'!$A17, LS_previous!$B$4:$B$138, 0), MATCH(AA$4&amp;AA$5, LS_previous!$D$2:$AY$2&amp;LS_previous!$D$3:$AY$3, 0)),SUM(VLOOKUP($A17, LS_previous!$B$4:$AY$138, LS_previous!S$149, FALSE), VLOOKUP('Staging Table'!$A17, LS_previous!$B$4:$AY$138,LS_previous!AQ$149, FALSE))/2)</f>
        <v>-16.470639309599619</v>
      </c>
      <c r="AB17" s="192">
        <f t="array" ref="AB17">IF($G17=0, INDEX(LS_previous!$D$4:$AY$138, MATCH('Staging Table'!$A17, LS_previous!$B$4:$B$138, 0), MATCH(AB$4&amp;AB$5, LS_previous!$D$2:$AY$2&amp;LS_previous!$D$3:$AY$3, 0)),SUM(VLOOKUP($A17, LS_previous!$B$4:$AY$138, LS_previous!T$149, FALSE), VLOOKUP('Staging Table'!$A17, LS_previous!$B$4:$AY$138,LS_previous!AR$149, FALSE))/2)</f>
        <v>-1878.6543200743995</v>
      </c>
      <c r="AC17" s="192">
        <f t="array" ref="AC17">IF($G17=0, INDEX(LS_previous!$D$4:$AY$138, MATCH('Staging Table'!$A17, LS_previous!$B$4:$B$138, 0), MATCH(AC$4&amp;AC$5, LS_previous!$D$2:$AY$2&amp;LS_previous!$D$3:$AY$3, 0)),SUM(VLOOKUP($A17, LS_previous!$B$4:$AY$138, LS_previous!U$149, FALSE), VLOOKUP('Staging Table'!$A17, LS_previous!$B$4:$AY$138,LS_previous!AS$149, FALSE))/2)</f>
        <v>-944.81456747359994</v>
      </c>
      <c r="AD17" s="192">
        <f t="array" ref="AD17">IF($G17=0, INDEX(LS_previous!$D$4:$AY$138, MATCH('Staging Table'!$A17, LS_previous!$B$4:$B$138, 0), MATCH(AD$4&amp;AD$5, LS_previous!$D$2:$AY$2&amp;LS_previous!$D$3:$AY$3, 0)),SUM(VLOOKUP($A17, LS_previous!$B$4:$AY$138, LS_previous!V$149, FALSE), VLOOKUP('Staging Table'!$A17, LS_previous!$B$4:$AY$138,LS_previous!AT$149, FALSE))/2)</f>
        <v>-1269.6198530743995</v>
      </c>
      <c r="AE17" s="192">
        <f t="array" ref="AE17">IF($G17=0, INDEX(LS_previous!$D$4:$AY$138, MATCH('Staging Table'!$A17, LS_previous!$B$4:$B$138, 0), MATCH(AE$4&amp;AE$5, LS_previous!$D$2:$AY$2&amp;LS_previous!$D$3:$AY$3, 0)),SUM(VLOOKUP($A17, LS_previous!$B$4:$AY$138, LS_previous!W$149, FALSE), VLOOKUP('Staging Table'!$A17, LS_previous!$B$4:$AY$138,LS_previous!AU$149, FALSE))/2)</f>
        <v>7.9761942048000947</v>
      </c>
      <c r="AF17" s="192">
        <f t="array" ref="AF17">IF($G17=0, INDEX(LS_previous!$D$4:$AY$138, MATCH('Staging Table'!$A17, LS_previous!$B$4:$B$138, 0), MATCH(AF$4&amp;AF$5, LS_previous!$D$2:$AY$2&amp;LS_previous!$D$3:$AY$3, 0)),SUM(VLOOKUP($A17, LS_previous!$B$4:$AY$138, LS_previous!X$149, FALSE), VLOOKUP('Staging Table'!$A17, LS_previous!$B$4:$AY$138,LS_previous!AV$149, FALSE))/2)</f>
        <v>-939.84869177439987</v>
      </c>
      <c r="AG17" s="192">
        <f t="array" ref="AG17">IF($G17=0, INDEX(LS_previous!$D$4:$AY$138, MATCH('Staging Table'!$A17, LS_previous!$B$4:$B$138, 0), MATCH(AG$4&amp;AG$5, LS_previous!$D$2:$AY$2&amp;LS_previous!$D$3:$AY$3, 0)),SUM(VLOOKUP($A17, LS_previous!$B$4:$AY$138, LS_previous!Y$149, FALSE), VLOOKUP('Staging Table'!$A17, LS_previous!$B$4:$AY$138,LS_previous!AW$149, FALSE))/2)</f>
        <v>-193.82905379520002</v>
      </c>
      <c r="AH17" s="192">
        <f t="array" ref="AH17">IF($G17=0, INDEX(LS_previous!$D$4:$AY$138, MATCH('Staging Table'!$A17, LS_previous!$B$4:$B$138, 0), MATCH(AH$4&amp;AH$5, LS_previous!$D$2:$AY$2&amp;LS_previous!$D$3:$AY$3, 0)),SUM(VLOOKUP($A17, LS_previous!$B$4:$AY$138, LS_previous!Z$149, FALSE), VLOOKUP('Staging Table'!$A17, LS_previous!$B$4:$AY$138,LS_previous!AX$149, FALSE))/2)</f>
        <v>-487.16653855999994</v>
      </c>
      <c r="AI17" s="192">
        <f t="array" ref="AI17">IF($G17=0, INDEX(LS_previous!$D$4:$AY$138, MATCH('Staging Table'!$A17, LS_previous!$B$4:$B$138, 0), MATCH(AI$4&amp;AI$5, LS_previous!$D$2:$AY$2&amp;LS_previous!$D$3:$AY$3, 0)),SUM(VLOOKUP($A17, LS_previous!$B$4:$AY$138, LS_previous!AA$149, FALSE), VLOOKUP('Staging Table'!$A17, LS_previous!$B$4:$AY$138,LS_previous!AY$149, FALSE))/2)</f>
        <v>-154.42032488799987</v>
      </c>
      <c r="AJ17" s="314">
        <f t="array" ref="AJ17">INDEX(Demand_previous!$D$4:$AY$138, MATCH('Staging Table'!$A17, Demand_previous!$B$4:$B$138, 0), MATCH(AJ$4&amp;AJ$5,Demand_previous!$D$2:$AY$2&amp;Demand_previous!$D$3:$AY$3, 0))/1000</f>
        <v>0.3608310185185184</v>
      </c>
      <c r="AK17" s="314">
        <f t="array" ref="AK17">INDEX(Demand_previous!$D$4:$AY$138, MATCH('Staging Table'!$A17, Demand_previous!$B$4:$B$138, 0), MATCH(AK$4&amp;AK$5,Demand_previous!$D$2:$AY$2&amp;Demand_previous!$D$3:$AY$3, 0))/1000</f>
        <v>0.20224999999999937</v>
      </c>
      <c r="AL17" s="314">
        <f t="array" ref="AL17">INDEX(Demand_previous!$D$4:$AY$138, MATCH('Staging Table'!$A17, Demand_previous!$B$4:$B$138, 0), MATCH(AL$4&amp;AL$5,Demand_previous!$D$2:$AY$2&amp;Demand_previous!$D$3:$AY$3, 0))/1000</f>
        <v>1.2762424999999991</v>
      </c>
      <c r="AM17" s="314">
        <f t="array" ref="AM17">INDEX(Demand_previous!$D$4:$AY$138, MATCH('Staging Table'!$A17, Demand_previous!$B$4:$B$138, 0), MATCH(AM$4&amp;AM$5,Demand_previous!$D$2:$AY$2&amp;Demand_previous!$D$3:$AY$3, 0))/1000</f>
        <v>3.3008798076923087</v>
      </c>
      <c r="AN17" s="314">
        <f t="array" ref="AN17">INDEX(Demand_previous!$D$4:$AY$138, MATCH('Staging Table'!$A17, Demand_previous!$B$4:$B$138, 0), MATCH(AN$4&amp;AN$5,Demand_previous!$D$2:$AY$2&amp;Demand_previous!$D$3:$AY$3, 0))/1000</f>
        <v>1.4157950000000001</v>
      </c>
      <c r="AO17" s="314">
        <f t="array" ref="AO17">INDEX(Demand_previous!$D$4:$AY$138, MATCH('Staging Table'!$A17, Demand_previous!$B$4:$B$138, 0), MATCH(AO$4&amp;AO$5,Demand_previous!$D$2:$AY$2&amp;Demand_previous!$D$3:$AY$3, 0))/1000</f>
        <v>1.8322548076923066</v>
      </c>
      <c r="AP17" s="314">
        <f t="array" ref="AP17">INDEX(Demand_previous!$D$4:$AY$138, MATCH('Staging Table'!$A17, Demand_previous!$B$4:$B$138, 0), MATCH(AP$4&amp;AP$5,Demand_previous!$D$2:$AY$2&amp;Demand_previous!$D$3:$AY$3, 0))/1000</f>
        <v>1.2743437500000003</v>
      </c>
      <c r="AQ17" s="314">
        <f t="array" ref="AQ17">INDEX(Demand_previous!$D$4:$AY$138, MATCH('Staging Table'!$A17, Demand_previous!$B$4:$B$138, 0), MATCH(AQ$4&amp;AQ$5,Demand_previous!$D$2:$AY$2&amp;Demand_previous!$D$3:$AY$3, 0))/1000</f>
        <v>2.4934999999999707E-2</v>
      </c>
      <c r="AR17" s="314">
        <f t="array" ref="AR17">INDEX(Demand_previous!$D$4:$AY$138, MATCH('Staging Table'!$A17, Demand_previous!$B$4:$B$138, 0), MATCH(AR$4&amp;AR$5,Demand_previous!$D$2:$AY$2&amp;Demand_previous!$D$3:$AY$3, 0))/1000</f>
        <v>0.75754567307692344</v>
      </c>
      <c r="AS17" s="314">
        <f t="array" ref="AS17">INDEX(Demand_previous!$D$4:$AY$138, MATCH('Staging Table'!$A17, Demand_previous!$B$4:$B$138, 0), MATCH(AS$4&amp;AS$5,Demand_previous!$D$2:$AY$2&amp;Demand_previous!$D$3:$AY$3, 0))/1000</f>
        <v>0.77324759615384597</v>
      </c>
      <c r="AT17" s="314">
        <f t="array" ref="AT17">INDEX(Demand_previous!$D$4:$AY$138, MATCH('Staging Table'!$A17, Demand_previous!$B$4:$B$138, 0), MATCH(AT$4&amp;AT$5,Demand_previous!$D$2:$AY$2&amp;Demand_previous!$D$3:$AY$3, 0))/1000</f>
        <v>0.31201923076923199</v>
      </c>
      <c r="AU17" s="314">
        <f t="array" ref="AU17">INDEX(Demand_previous!$D$4:$AY$138, MATCH('Staging Table'!$A17, Demand_previous!$B$4:$B$138, 0), MATCH(AU$4&amp;AU$5,Demand_previous!$D$2:$AY$2&amp;Demand_previous!$D$3:$AY$3, 0))/1000</f>
        <v>0.36398749999999991</v>
      </c>
      <c r="AV17" s="192">
        <f>$F17*(VLOOKUP(AV$4, Rates_previous!$G$6:$Q$29, 10, FALSE)+VLOOKUP(AV$4, Rates_previous!$G$6:$Q$29, 11, FALSE))</f>
        <v>4906.3612524695991</v>
      </c>
      <c r="AW17" s="192">
        <f>$F17*(VLOOKUP(AW$4, Rates_previous!$G$6:$Q$29, 10, FALSE)+VLOOKUP(AW$4, Rates_previous!$G$6:$Q$29, 11, FALSE))</f>
        <v>6232.6093597613999</v>
      </c>
      <c r="AX17" s="192">
        <f>$F17*(VLOOKUP(AX$4, Rates_previous!$G$6:$Q$29, 10, FALSE)+VLOOKUP(AX$4, Rates_previous!$G$6:$Q$29, 11, FALSE))</f>
        <v>6157.3421682695998</v>
      </c>
      <c r="AY17" s="192">
        <f>$F17*(VLOOKUP(AY$4, Rates_previous!$G$6:$Q$29, 10, FALSE)+VLOOKUP(AY$4, Rates_previous!$G$6:$Q$29, 11, FALSE))</f>
        <v>5132.5197234695997</v>
      </c>
      <c r="AZ17" s="192">
        <f>$F17*(VLOOKUP(AZ$4, Rates_previous!$G$6:$Q$29, 10, FALSE)+VLOOKUP(AZ$4, Rates_previous!$G$6:$Q$29, 11, FALSE))</f>
        <v>4649.5304116799998</v>
      </c>
      <c r="BA17" s="192">
        <f>$F17*(VLOOKUP(BA$4, Rates_previous!$G$6:$Q$29, 10, FALSE)+VLOOKUP(BA$4, Rates_previous!$G$6:$Q$29, 11, FALSE))</f>
        <v>5171.7548906561997</v>
      </c>
      <c r="BB17" s="192">
        <f>$F17*(VLOOKUP(BB$4, Rates_previous!$G$6:$Q$29, 10, FALSE)+VLOOKUP(BB$4, Rates_previous!$G$6:$Q$29, 11, FALSE))</f>
        <v>4210.8484128479995</v>
      </c>
      <c r="BC17" s="192">
        <f>$F17*(VLOOKUP(BC$4, Rates_previous!$G$6:$Q$29, 10, FALSE)+VLOOKUP(BC$4, Rates_previous!$G$6:$Q$29, 11, FALSE))</f>
        <v>5678.9569917695999</v>
      </c>
      <c r="BD17" s="192">
        <f>$F17*(VLOOKUP(BD$4, Rates_previous!$G$6:$Q$29, 10, FALSE)+VLOOKUP(BD$4, Rates_previous!$G$6:$Q$29, 11, FALSE))</f>
        <v>7245.9628875480003</v>
      </c>
      <c r="BE17" s="192">
        <f>$F17*(VLOOKUP(BE$4, Rates_previous!$G$6:$Q$29, 10, FALSE)+VLOOKUP(BE$4, Rates_previous!$G$6:$Q$29, 11, FALSE))</f>
        <v>5681.0646588696</v>
      </c>
      <c r="BF17" s="192">
        <f>$F17*(VLOOKUP(BF$4, Rates_previous!$G$6:$Q$29, 10, FALSE)+VLOOKUP(BF$4, Rates_previous!$G$6:$Q$29, 11, FALSE))</f>
        <v>5532.2257455695999</v>
      </c>
      <c r="BG17" s="192">
        <f>$F17*(VLOOKUP(BG$4, Rates_previous!$G$6:$Q$29, 10, FALSE)+VLOOKUP(BG$4, Rates_previous!$G$6:$Q$29, 11, FALSE))</f>
        <v>4966.7618634480004</v>
      </c>
      <c r="BH17" s="314">
        <f>IF($D17=0,IF(C17=0, MAX(BJ17 - (VLOOKUP($A17,TOCA_previous!$A$2:$AI$137,MATCH("RHWM 2020",TOCA_previous!$A$2:$AI$2,0),FALSE)*$F$2*TOCA_previous!C14),0),0), 0)</f>
        <v>0</v>
      </c>
      <c r="BI17" s="204">
        <f>MIN(VLOOKUP($A17,TOCA_previous!$A$2:$AI$137,MATCH("TRL - NLSL - Existing Resource "&amp;$F$1,TOCA_previous!$A$2:$AI$2,0),FALSE)*$F$2,(VLOOKUP($A17,TOCA_previous!$A$2:$AI$137,MATCH("RHWM 2020",TOCA_previous!$A$2:$AI$2,0),FALSE)*$F$2))</f>
        <v>65563.775999999998</v>
      </c>
      <c r="BJ17" s="418">
        <f>SUM(L17:AI17)+(F17*RT1SC!$C$3*$F$2)</f>
        <v>66563.446460981591</v>
      </c>
      <c r="BK17" s="417">
        <f>VLOOKUP($A17,TOCA_previous!$A$2:$AI$137,MATCH("Above RHWM Not Served with LS "&amp;$F$1,TOCA_previous!$A$2:$AI$2,0),FALSE)*$F$2</f>
        <v>0</v>
      </c>
      <c r="BL17" s="418">
        <f t="shared" si="8"/>
        <v>999.67046098159335</v>
      </c>
      <c r="BM17" s="417">
        <f>(VLOOKUP($A17,TOCA_previous!$A$2:$AI$137,MATCH("RHWM 2020",TOCA_previous!$A$2:$AI$2,0),FALSE)*$F$2) - $BI17</f>
        <v>1185.8399999999965</v>
      </c>
      <c r="BN17" s="418">
        <f t="shared" si="9"/>
        <v>-999.67046098159335</v>
      </c>
      <c r="BO17" s="417">
        <f t="shared" si="10"/>
        <v>0</v>
      </c>
      <c r="BP17" s="418">
        <f t="shared" si="11"/>
        <v>0</v>
      </c>
      <c r="BQ17" s="417">
        <f t="shared" si="2"/>
        <v>-999.67046098159335</v>
      </c>
      <c r="BR17" s="120">
        <f>VLOOKUP($A17,TOCA_current!$A$2:$AI$137,MATCH(BR$4,TOCA_current!$A$2:$AI$2,0),FALSE)</f>
        <v>1.0816999999999999E-3</v>
      </c>
      <c r="BS17" s="120">
        <f>VLOOKUP($A17,TOCA_current!$A$2:$AI$137,MATCH(BS$4,TOCA_current!$A$2:$AI$2,0),FALSE)</f>
        <v>1.0816999999999999E-3</v>
      </c>
      <c r="BT17" s="201">
        <f t="shared" si="12"/>
        <v>0</v>
      </c>
      <c r="BU17" s="120">
        <f>VLOOKUP($A17,TOCA_current!A13:BG148,MATCH(BU$4,TOCA_current!$A$2:$BG$2,0),FALSE)</f>
        <v>0</v>
      </c>
      <c r="BV17" s="120">
        <f t="shared" si="3"/>
        <v>0</v>
      </c>
      <c r="BW17" s="120">
        <f t="shared" si="4"/>
        <v>0</v>
      </c>
      <c r="BX17" s="191">
        <f>VLOOKUP($A17,IRD!$A$4:$G$139, 7, FALSE)</f>
        <v>0</v>
      </c>
      <c r="BY17" s="192">
        <f t="array" ref="BY17">IF($BT17=0, INDEX(LS_current!$D$4:$AY$138, MATCH('Staging Table'!$A17, LS_current!$B$4:$B$138, 0), MATCH(BY$4&amp;BY$5, LS_current!$D$2:$AY$2&amp;LS_current!$D$3:$AY$3, 0)),SUM(VLOOKUP($A17, LS_current!$B$4:$AY$138, LS_current!D$148, FALSE), VLOOKUP($A17, LS_current!$B$4:$AY$138,LS_current!AB$148, FALSE))/2)</f>
        <v>94.046170851950592</v>
      </c>
      <c r="BZ17" s="192">
        <f t="array" ref="BZ17">IF($BT17=0, INDEX(LS_current!$D$4:$AY$138, MATCH('Staging Table'!$A17, LS_current!$B$4:$B$138, 0), MATCH(BZ$4&amp;BZ$5, LS_current!$D$2:$AY$2&amp;LS_current!$D$3:$AY$3, 0)),SUM(VLOOKUP($A17, LS_current!$B$4:$AY$138, LS_current!E$148, FALSE), VLOOKUP($A17, LS_current!$B$4:$AY$138,LS_current!AC$148, FALSE))/2)</f>
        <v>183.52378320871321</v>
      </c>
      <c r="CA17" s="192">
        <f t="array" ref="CA17">IF($BT17=0, INDEX(LS_current!$D$4:$AY$138, MATCH('Staging Table'!$A17, LS_current!$B$4:$B$138, 0), MATCH(CA$4&amp;CA$5, LS_current!$D$2:$AY$2&amp;LS_current!$D$3:$AY$3, 0)),SUM(VLOOKUP($A17, LS_current!$B$4:$AY$138, LS_current!F$148, FALSE), VLOOKUP($A17, LS_current!$B$4:$AY$138,LS_current!AD$148, FALSE))/2)</f>
        <v>-283.09529098988423</v>
      </c>
      <c r="CB17" s="192">
        <f t="array" ref="CB17">IF($BT17=0, INDEX(LS_current!$D$4:$AY$138, MATCH('Staging Table'!$A17, LS_current!$B$4:$B$138, 0), MATCH(CB$4&amp;CB$5, LS_current!$D$2:$AY$2&amp;LS_current!$D$3:$AY$3, 0)),SUM(VLOOKUP($A17, LS_current!$B$4:$AY$138, LS_current!G$148, FALSE), VLOOKUP($A17, LS_current!$B$4:$AY$138,LS_current!AE$148, FALSE))/2)</f>
        <v>-129.33022328769584</v>
      </c>
      <c r="CC17" s="192">
        <f t="array" ref="CC17">IF($BT17=0, INDEX(LS_current!$D$4:$AY$138, MATCH('Staging Table'!$A17, LS_current!$B$4:$B$138, 0), MATCH(CC$4&amp;CC$5, LS_current!$D$2:$AY$2&amp;LS_current!$D$3:$AY$3, 0)),SUM(VLOOKUP($A17, LS_current!$B$4:$AY$138, LS_current!H$148, FALSE), VLOOKUP($A17, LS_current!$B$4:$AY$138,LS_current!AF$148, FALSE))/2)</f>
        <v>903.03986181656683</v>
      </c>
      <c r="CD17" s="192">
        <f t="array" ref="CD17">IF($BT17=0, INDEX(LS_current!$D$4:$AY$138, MATCH('Staging Table'!$A17, LS_current!$B$4:$B$138, 0), MATCH(CD$4&amp;CD$5, LS_current!$D$2:$AY$2&amp;LS_current!$D$3:$AY$3, 0)),SUM(VLOOKUP($A17, LS_current!$B$4:$AY$138, LS_current!I$148, FALSE), VLOOKUP($A17, LS_current!$B$4:$AY$138,LS_current!AG$148, FALSE))/2)</f>
        <v>176.56442564038298</v>
      </c>
      <c r="CE17" s="192">
        <f t="array" ref="CE17">IF($BT17=0, INDEX(LS_current!$D$4:$AY$138, MATCH('Staging Table'!$A17, LS_current!$B$4:$B$138, 0), MATCH(CE$4&amp;CE$5, LS_current!$D$2:$AY$2&amp;LS_current!$D$3:$AY$3, 0)),SUM(VLOOKUP($A17, LS_current!$B$4:$AY$138, LS_current!J$148, FALSE), VLOOKUP($A17, LS_current!$B$4:$AY$138,LS_current!AH$148, FALSE))/2)</f>
        <v>1489.4362112484559</v>
      </c>
      <c r="CF17" s="192">
        <f t="array" ref="CF17">IF($BT17=0, INDEX(LS_current!$D$4:$AY$138, MATCH('Staging Table'!$A17, LS_current!$B$4:$B$138, 0), MATCH(CF$4&amp;CF$5, LS_current!$D$2:$AY$2&amp;LS_current!$D$3:$AY$3, 0)),SUM(VLOOKUP($A17, LS_current!$B$4:$AY$138, LS_current!K$148, FALSE), VLOOKUP($A17, LS_current!$B$4:$AY$138,LS_current!AI$148, FALSE))/2)</f>
        <v>949.33650078512255</v>
      </c>
      <c r="CG17" s="192">
        <f t="array" ref="CG17">IF($BT17=0, INDEX(LS_current!$D$4:$AY$138, MATCH('Staging Table'!$A17, LS_current!$B$4:$B$138, 0), MATCH(CG$4&amp;CG$5, LS_current!$D$2:$AY$2&amp;LS_current!$D$3:$AY$3, 0)),SUM(VLOOKUP($A17, LS_current!$B$4:$AY$138, LS_current!L$148, FALSE), VLOOKUP($A17, LS_current!$B$4:$AY$138,LS_current!AJ$148, FALSE))/2)</f>
        <v>1529.6672953971338</v>
      </c>
      <c r="CH17" s="192">
        <f t="array" ref="CH17">IF($BT17=0, INDEX(LS_current!$D$4:$AY$138, MATCH('Staging Table'!$A17, LS_current!$B$4:$B$138, 0), MATCH(CH$4&amp;CH$5, LS_current!$D$2:$AY$2&amp;LS_current!$D$3:$AY$3, 0)),SUM(VLOOKUP($A17, LS_current!$B$4:$AY$138, LS_current!M$148, FALSE), VLOOKUP($A17, LS_current!$B$4:$AY$138,LS_current!AK$148, FALSE))/2)</f>
        <v>629.45249029128172</v>
      </c>
      <c r="CI17" s="192">
        <f t="array" ref="CI17">IF($BT17=0, INDEX(LS_current!$D$4:$AY$138, MATCH('Staging Table'!$A17, LS_current!$B$4:$B$138, 0), MATCH(CI$4&amp;CI$5, LS_current!$D$2:$AY$2&amp;LS_current!$D$3:$AY$3, 0)),SUM(VLOOKUP($A17, LS_current!$B$4:$AY$138, LS_current!N$148, FALSE), VLOOKUP($A17, LS_current!$B$4:$AY$138,LS_current!AL$148, FALSE))/2)</f>
        <v>738.50448185635105</v>
      </c>
      <c r="CJ17" s="192">
        <f t="array" ref="CJ17">IF($BT17=0, INDEX(LS_current!$D$4:$AY$138, MATCH('Staging Table'!$A17, LS_current!$B$4:$B$138, 0), MATCH(CJ$4&amp;CJ$5, LS_current!$D$2:$AY$2&amp;LS_current!$D$3:$AY$3, 0)),SUM(VLOOKUP($A17, LS_current!$B$4:$AY$138, LS_current!O$148, FALSE), VLOOKUP($A17, LS_current!$B$4:$AY$138,LS_current!AM$148, FALSE))/2)</f>
        <v>282.93044219077342</v>
      </c>
      <c r="CK17" s="192">
        <f t="array" ref="CK17">IF($BT17=0, INDEX(LS_current!$D$4:$AY$138, MATCH('Staging Table'!$A17, LS_current!$B$4:$B$138, 0), MATCH(CK$4&amp;CK$5, LS_current!$D$2:$AY$2&amp;LS_current!$D$3:$AY$3, 0)),SUM(VLOOKUP($A17, LS_current!$B$4:$AY$138, LS_current!P$148, FALSE), VLOOKUP($A17, LS_current!$B$4:$AY$138,LS_current!AN$148, FALSE))/2)</f>
        <v>1082.8838437123109</v>
      </c>
      <c r="CL17" s="192">
        <f t="array" ref="CL17">IF($BT17=0, INDEX(LS_current!$D$4:$AY$138, MATCH('Staging Table'!$A17, LS_current!$B$4:$B$138, 0), MATCH(CL$4&amp;CL$5, LS_current!$D$2:$AY$2&amp;LS_current!$D$3:$AY$3, 0)),SUM(VLOOKUP($A17, LS_current!$B$4:$AY$138, LS_current!Q$148, FALSE), VLOOKUP($A17, LS_current!$B$4:$AY$138,LS_current!AO$148, FALSE))/2)</f>
        <v>581.78335337006274</v>
      </c>
      <c r="CM17" s="192">
        <f t="array" ref="CM17">IF($BT17=0, INDEX(LS_current!$D$4:$AY$138, MATCH('Staging Table'!$A17, LS_current!$B$4:$B$138, 0), MATCH(CM$4&amp;CM$5, LS_current!$D$2:$AY$2&amp;LS_current!$D$3:$AY$3, 0)),SUM(VLOOKUP($A17, LS_current!$B$4:$AY$138, LS_current!R$148, FALSE), VLOOKUP($A17, LS_current!$B$4:$AY$138,LS_current!AP$148, FALSE))/2)</f>
        <v>-934.8831545058797</v>
      </c>
      <c r="CN17" s="192">
        <f t="array" ref="CN17">IF($BT17=0, INDEX(LS_current!$D$4:$AY$138, MATCH('Staging Table'!$A17, LS_current!$B$4:$B$138, 0), MATCH(CN$4&amp;CN$5, LS_current!$D$2:$AY$2&amp;LS_current!$D$3:$AY$3, 0)),SUM(VLOOKUP($A17, LS_current!$B$4:$AY$138, LS_current!S$148, FALSE), VLOOKUP($A17, LS_current!$B$4:$AY$138,LS_current!AQ$148, FALSE))/2)</f>
        <v>147.13120627409876</v>
      </c>
      <c r="CO17" s="192">
        <f t="array" ref="CO17">IF($BT17=0, INDEX(LS_current!$D$4:$AY$138, MATCH('Staging Table'!$A17, LS_current!$B$4:$B$138, 0), MATCH(CO$4&amp;CO$5, LS_current!$D$2:$AY$2&amp;LS_current!$D$3:$AY$3, 0)),SUM(VLOOKUP($A17, LS_current!$B$4:$AY$138, LS_current!T$148, FALSE), VLOOKUP($A17, LS_current!$B$4:$AY$138,LS_current!AR$148, FALSE))/2)</f>
        <v>-1451.8905319066457</v>
      </c>
      <c r="CP17" s="192">
        <f t="array" ref="CP17">IF($BT17=0, INDEX(LS_current!$D$4:$AY$138, MATCH('Staging Table'!$A17, LS_current!$B$4:$B$138, 0), MATCH(CP$4&amp;CP$5, LS_current!$D$2:$AY$2&amp;LS_current!$D$3:$AY$3, 0)),SUM(VLOOKUP($A17, LS_current!$B$4:$AY$138, LS_current!U$148, FALSE), VLOOKUP($A17, LS_current!$B$4:$AY$138,LS_current!AS$148, FALSE))/2)</f>
        <v>-121.59394980185721</v>
      </c>
      <c r="CQ17" s="192">
        <f t="array" ref="CQ17">IF($BT17=0, INDEX(LS_current!$D$4:$AY$138, MATCH('Staging Table'!$A17, LS_current!$B$4:$B$138, 0), MATCH(CQ$4&amp;CQ$5, LS_current!$D$2:$AY$2&amp;LS_current!$D$3:$AY$3, 0)),SUM(VLOOKUP($A17, LS_current!$B$4:$AY$138, LS_current!V$148, FALSE), VLOOKUP($A17, LS_current!$B$4:$AY$138,LS_current!AT$148, FALSE))/2)</f>
        <v>-1150.6445317162397</v>
      </c>
      <c r="CR17" s="192">
        <f t="array" ref="CR17">IF($BT17=0, INDEX(LS_current!$D$4:$AY$138, MATCH('Staging Table'!$A17, LS_current!$B$4:$B$138, 0), MATCH(CR$4&amp;CR$5, LS_current!$D$2:$AY$2&amp;LS_current!$D$3:$AY$3, 0)),SUM(VLOOKUP($A17, LS_current!$B$4:$AY$138, LS_current!W$148, FALSE), VLOOKUP($A17, LS_current!$B$4:$AY$138,LS_current!AU$148, FALSE))/2)</f>
        <v>-122.84452917437534</v>
      </c>
      <c r="CS17" s="192">
        <f t="array" ref="CS17">IF($BT17=0, INDEX(LS_current!$D$4:$AY$138, MATCH('Staging Table'!$A17, LS_current!$B$4:$B$138, 0), MATCH(CS$4&amp;CS$5, LS_current!$D$2:$AY$2&amp;LS_current!$D$3:$AY$3, 0)),SUM(VLOOKUP($A17, LS_current!$B$4:$AY$138, LS_current!X$148, FALSE), VLOOKUP($A17, LS_current!$B$4:$AY$138,LS_current!AV$148, FALSE))/2)</f>
        <v>-853.8468265513402</v>
      </c>
      <c r="CT17" s="192">
        <f t="array" ref="CT17">IF($BT17=0, INDEX(LS_current!$D$4:$AY$138, MATCH('Staging Table'!$A17, LS_current!$B$4:$B$138, 0), MATCH(CT$4&amp;CT$5, LS_current!$D$2:$AY$2&amp;LS_current!$D$3:$AY$3, 0)),SUM(VLOOKUP($A17, LS_current!$B$4:$AY$138, LS_current!Y$148, FALSE), VLOOKUP($A17, LS_current!$B$4:$AY$138,LS_current!AW$148, FALSE))/2)</f>
        <v>-249.3635621390049</v>
      </c>
      <c r="CU17" s="192">
        <f t="array" ref="CU17">IF($BT17=0, INDEX(LS_current!$D$4:$AY$138, MATCH('Staging Table'!$A17, LS_current!$B$4:$B$138, 0), MATCH(CU$4&amp;CU$5, LS_current!$D$2:$AY$2&amp;LS_current!$D$3:$AY$3, 0)),SUM(VLOOKUP($A17, LS_current!$B$4:$AY$138, LS_current!Z$148, FALSE), VLOOKUP($A17, LS_current!$B$4:$AY$138,LS_current!AX$148, FALSE))/2)</f>
        <v>-551.15425777236669</v>
      </c>
      <c r="CV17" s="192">
        <f t="array" ref="CV17">IF($BT17=0, INDEX(LS_current!$D$4:$AY$138, MATCH('Staging Table'!$A17, LS_current!$B$4:$B$138, 0), MATCH(CV$4&amp;CV$5, LS_current!$D$2:$AY$2&amp;LS_current!$D$3:$AY$3, 0)),SUM(VLOOKUP($A17, LS_current!$B$4:$AY$138, LS_current!AA$148, FALSE), VLOOKUP($A17, LS_current!$B$4:$AY$138,LS_current!AY$148, FALSE))/2)</f>
        <v>-207.86902896031575</v>
      </c>
      <c r="CW17" s="194">
        <f t="array" ref="CW17">INDEX(Demand_current!$D$4:$AY$138, MATCH($A17, Demand_current!$B$4:$B$138, 0), MATCH(CW$4&amp;CW$5,Demand_current!$D$2:$AY$2&amp;Demand_current!$D$3:$AY$3, 0))/1000</f>
        <v>7.1170673076923499E-2</v>
      </c>
      <c r="CX17" s="194">
        <f t="array" ref="CX17">INDEX(Demand_current!$D$4:$AY$138, MATCH($A17, Demand_current!$B$4:$B$138, 0), MATCH(CX$4&amp;CX$5,Demand_current!$D$2:$AY$2&amp;Demand_current!$D$3:$AY$3, 0))/1000</f>
        <v>0.20224999999999937</v>
      </c>
      <c r="CY17" s="194">
        <f t="array" ref="CY17">INDEX(Demand_current!$D$4:$AY$138, MATCH($A17, Demand_current!$B$4:$B$138, 0), MATCH(CY$4&amp;CY$5,Demand_current!$D$2:$AY$2&amp;Demand_current!$D$3:$AY$3, 0))/1000</f>
        <v>1.6983870192307688</v>
      </c>
      <c r="CZ17" s="194">
        <f t="array" ref="CZ17">INDEX(Demand_current!$D$4:$AY$138, MATCH($A17, Demand_current!$B$4:$B$138, 0), MATCH(CZ$4&amp;CZ$5,Demand_current!$D$2:$AY$2&amp;Demand_current!$D$3:$AY$3, 0))/1000</f>
        <v>2.8818750000000017</v>
      </c>
      <c r="DA17" s="194">
        <f t="array" ref="DA17">INDEX(Demand_current!$D$4:$AY$138, MATCH($A17, Demand_current!$B$4:$B$138, 0), MATCH(DA$4&amp;DA$5,Demand_current!$D$2:$AY$2&amp;Demand_current!$D$3:$AY$3, 0))/1000</f>
        <v>0.99203645833333365</v>
      </c>
      <c r="DB17" s="194">
        <f t="array" ref="DB17">INDEX(Demand_current!$D$4:$AY$138, MATCH($A17, Demand_current!$B$4:$B$138, 0), MATCH(DB$4&amp;DB$5,Demand_current!$D$2:$AY$2&amp;Demand_current!$D$3:$AY$3, 0))/1000</f>
        <v>2.1832453703703703</v>
      </c>
      <c r="DC17" s="194">
        <f t="array" ref="DC17">INDEX(Demand_current!$D$4:$AY$138, MATCH($A17, Demand_current!$B$4:$B$138, 0), MATCH(DC$4&amp;DC$5,Demand_current!$D$2:$AY$2&amp;Demand_current!$D$3:$AY$3, 0))/1000</f>
        <v>1.2743437500000003</v>
      </c>
      <c r="DD17" s="194">
        <f t="array" ref="DD17">INDEX(Demand_current!$D$4:$AY$138, MATCH($A17, Demand_current!$B$4:$B$138, 0), MATCH(DD$4&amp;DD$5,Demand_current!$D$2:$AY$2&amp;Demand_current!$D$3:$AY$3, 0))/1000</f>
        <v>2.4934999999999707E-2</v>
      </c>
      <c r="DE17" s="194">
        <f t="array" ref="DE17">INDEX(Demand_current!$D$4:$AY$138, MATCH($A17, Demand_current!$B$4:$B$138, 0), MATCH(DE$4&amp;DE$5,Demand_current!$D$2:$AY$2&amp;Demand_current!$D$3:$AY$3, 0))/1000</f>
        <v>0.75754567307692344</v>
      </c>
      <c r="DF17" s="194">
        <f t="array" ref="DF17">INDEX(Demand_current!$D$4:$AY$138, MATCH($A17, Demand_current!$B$4:$B$138, 0), MATCH(DF$4&amp;DF$5,Demand_current!$D$2:$AY$2&amp;Demand_current!$D$3:$AY$3, 0))/1000</f>
        <v>0.51929749999999963</v>
      </c>
      <c r="DG17" s="194">
        <f t="array" ref="DG17">INDEX(Demand_current!$D$4:$AY$138, MATCH($A17, Demand_current!$B$4:$B$138, 0), MATCH(DG$4&amp;DG$5,Demand_current!$D$2:$AY$2&amp;Demand_current!$D$3:$AY$3, 0))/1000</f>
        <v>0.56587037037037158</v>
      </c>
      <c r="DH17" s="194">
        <f t="array" ref="DH17">INDEX(Demand_current!$D$4:$AY$138, MATCH($A17, Demand_current!$B$4:$B$138, 0), MATCH(DH$4&amp;DH$5,Demand_current!$D$2:$AY$2&amp;Demand_current!$D$3:$AY$3, 0))/1000</f>
        <v>0.36398749999999991</v>
      </c>
      <c r="DI17" s="192">
        <f>$BS17*(VLOOKUP(DI$4, Rates_current!$G$6:$Q$29, 10, FALSE)+VLOOKUP(DI$4, Rates_current!$G$6:$Q$29, 11, FALSE))</f>
        <v>4925.9800459393364</v>
      </c>
      <c r="DJ17" s="192">
        <f>$BS17*(VLOOKUP(DJ$4, Rates_current!$G$6:$Q$29, 10, FALSE)+VLOOKUP(DJ$4, Rates_current!$G$6:$Q$29, 11, FALSE))</f>
        <v>6236.4695142775799</v>
      </c>
      <c r="DK17" s="192">
        <f>$BS17*(VLOOKUP(DK$4, Rates_current!$G$6:$Q$29, 10, FALSE)+VLOOKUP(DK$4, Rates_current!$G$6:$Q$29, 11, FALSE))</f>
        <v>6104.2577125430507</v>
      </c>
      <c r="DL17" s="192">
        <f>$BS17*(VLOOKUP(DL$4, Rates_current!$G$6:$Q$29, 10, FALSE)+VLOOKUP(DL$4, Rates_current!$G$6:$Q$29, 11, FALSE))</f>
        <v>5041.8572879664216</v>
      </c>
      <c r="DM17" s="192">
        <f>$BS17*(VLOOKUP(DM$4, Rates_current!$G$6:$Q$29, 10, FALSE)+VLOOKUP(DM$4, Rates_current!$G$6:$Q$29, 11, FALSE))</f>
        <v>4369.8882143115843</v>
      </c>
      <c r="DN17" s="192">
        <f>$BS17*(VLOOKUP(DN$4, Rates_current!$G$6:$Q$29, 10, FALSE)+VLOOKUP(DN$4, Rates_current!$G$6:$Q$29, 11, FALSE))</f>
        <v>5216.7640759528758</v>
      </c>
      <c r="DO17" s="192">
        <f>$BS17*(VLOOKUP(DO$4, Rates_current!$G$6:$Q$29, 10, FALSE)+VLOOKUP(DO$4, Rates_current!$G$6:$Q$29, 11, FALSE))</f>
        <v>4050.1228029176264</v>
      </c>
      <c r="DP17" s="192">
        <f>$BS17*(VLOOKUP(DP$4, Rates_current!$G$6:$Q$29, 10, FALSE)+VLOOKUP(DP$4, Rates_current!$G$6:$Q$29, 11, FALSE))</f>
        <v>5611.4749482317811</v>
      </c>
      <c r="DQ17" s="192">
        <f>$BS17*(VLOOKUP(DQ$4, Rates_current!$G$6:$Q$29, 10, FALSE)+VLOOKUP(DQ$4, Rates_current!$G$6:$Q$29, 11, FALSE))</f>
        <v>5995.9784817085019</v>
      </c>
      <c r="DR17" s="192">
        <f>$BS17*(VLOOKUP(DR$4, Rates_current!$G$6:$Q$29, 10, FALSE)+VLOOKUP(DR$4, Rates_current!$G$6:$Q$29, 11, FALSE))</f>
        <v>5692.9100608906156</v>
      </c>
      <c r="DS17" s="192">
        <f>$BS17*(VLOOKUP(DS$4, Rates_current!$G$6:$Q$29, 10, FALSE)+VLOOKUP(DS$4, Rates_current!$G$6:$Q$29, 11, FALSE))</f>
        <v>5501.7583886903449</v>
      </c>
      <c r="DT17" s="192">
        <f>$BS17*(VLOOKUP(DT$4, Rates_current!$G$6:$Q$29, 10, FALSE)+VLOOKUP(DT$4, Rates_current!$G$6:$Q$29, 11, FALSE))</f>
        <v>5084.1982867326824</v>
      </c>
      <c r="DU17" s="418">
        <f>IF(D17=0,IF(C17=0,MAX(0,DW17 - (VLOOKUP($A17,TOCA_current!$A$2:$AI$137,MATCH("RHWM 2022",TOCA_current!$A$2:$AI$2,0),FALSE)*$BS$2)), 0),0)</f>
        <v>2729.3272652655942</v>
      </c>
      <c r="DV17" s="419">
        <f>MIN(VLOOKUP($A17,TOCA_current!$A$2:$AI$137,MATCH("TRL - NLSL - Existing Resource "&amp;$BS$1,TOCA_current!$A$2:$AI$2,0),FALSE)*$BS$2, VLOOKUP($A17,TOCA_current!$A$2:$AI$137,MATCH("RHWM 2022",TOCA_current!$A$2:$AI$2,0),FALSE)*$BS$2)</f>
        <v>63834.12</v>
      </c>
      <c r="DW17" s="419">
        <f>SUM(BY17:CV17)+(BS17*RT1SC!$C$4*$BS$2)</f>
        <v>66563.447265265597</v>
      </c>
      <c r="DX17" s="419">
        <f>VLOOKUP($A17,TOCA_current!$A$2:$AI$137,MATCH("Above RHWM Not Served with LS "&amp;$BS$1,TOCA_current!$A$2:$AI$2,0),FALSE)*$BS$2</f>
        <v>0</v>
      </c>
      <c r="DY17" s="419">
        <f t="shared" si="13"/>
        <v>2729.3272652655942</v>
      </c>
      <c r="DZ17" s="419">
        <f>(VLOOKUP($A17,TOCA_current!$A$2:$AI$137,MATCH("RHWM 2022",TOCA_current!$A$2:$AI$2,0),FALSE)*$BS$2) - $DV17</f>
        <v>0</v>
      </c>
      <c r="EA17" s="419">
        <f t="shared" si="14"/>
        <v>0</v>
      </c>
      <c r="EB17" s="419">
        <f t="shared" si="15"/>
        <v>0</v>
      </c>
      <c r="EC17" s="419">
        <f t="shared" si="16"/>
        <v>0</v>
      </c>
      <c r="ED17" s="419">
        <f t="shared" si="17"/>
        <v>0</v>
      </c>
    </row>
    <row r="18" spans="1:134">
      <c r="A18" s="135">
        <v>10061</v>
      </c>
      <c r="B18" s="136" t="s">
        <v>19</v>
      </c>
      <c r="C18" s="244">
        <f>VLOOKUP(A18, TOCA_current!$A$3:$D$137, 4, FALSE)</f>
        <v>0</v>
      </c>
      <c r="D18" s="203">
        <v>0</v>
      </c>
      <c r="E18" s="119">
        <f>VLOOKUP($A18,TOCA_previous!$A$2:$AI$137,MATCH(E$4,TOCA_previous!$A$2:$AI$2,0),FALSE)</f>
        <v>1.2385E-3</v>
      </c>
      <c r="F18" s="120">
        <f>VLOOKUP($A18,TOCA_previous!$A$2:$AI$137,MATCH(F$4,TOCA_previous!$A$2:$AI$2,0),FALSE)</f>
        <v>1.2385E-3</v>
      </c>
      <c r="G18" s="120">
        <f t="shared" si="5"/>
        <v>0</v>
      </c>
      <c r="H18" s="120">
        <f>VLOOKUP($A18,TOCA_previous!$A$2:$AI$137,MATCH(H$4,TOCA_previous!$A$2:$AI$2,0),FALSE)</f>
        <v>0</v>
      </c>
      <c r="I18" s="120">
        <f t="shared" si="6"/>
        <v>0</v>
      </c>
      <c r="J18" s="120">
        <f t="shared" si="7"/>
        <v>0</v>
      </c>
      <c r="K18" s="191">
        <f>VLOOKUP(A18, IRD!$A$5:$C$139, 3, FALSE)</f>
        <v>0</v>
      </c>
      <c r="L18" s="192">
        <f t="array" ref="L18">IF($G18=0, INDEX(LS_previous!$D$4:$AY$138, MATCH('Staging Table'!$A18, LS_previous!$B$4:$B$138, 0), MATCH(L$4&amp;L$5, LS_previous!$D$2:$AY$2&amp;LS_previous!$D$3:$AY$3, 0)),SUM(VLOOKUP($A18, LS_previous!$B$4:$AY$138, LS_previous!D$149, FALSE), VLOOKUP('Staging Table'!$A18, LS_previous!$B$4:$AY$138,LS_previous!AB$149, FALSE))/2)</f>
        <v>281.82551696200017</v>
      </c>
      <c r="M18" s="192">
        <f t="array" ref="M18">IF($G18=0, INDEX(LS_previous!$D$4:$AY$138, MATCH('Staging Table'!$A18, LS_previous!$B$4:$B$138, 0), MATCH(M$4&amp;M$5, LS_previous!$D$2:$AY$2&amp;LS_previous!$D$3:$AY$3, 0)),SUM(VLOOKUP($A18, LS_previous!$B$4:$AY$138, LS_previous!E$149, FALSE), VLOOKUP('Staging Table'!$A18, LS_previous!$B$4:$AY$138,LS_previous!AC$149, FALSE))/2)</f>
        <v>552.19313579200002</v>
      </c>
      <c r="N18" s="192">
        <f t="array" ref="N18">IF($G18=0, INDEX(LS_previous!$D$4:$AY$138, MATCH('Staging Table'!$A18, LS_previous!$B$4:$B$138, 0), MATCH(N$4&amp;N$5, LS_previous!$D$2:$AY$2&amp;LS_previous!$D$3:$AY$3, 0)),SUM(VLOOKUP($A18, LS_previous!$B$4:$AY$138, LS_previous!F$149, FALSE), VLOOKUP('Staging Table'!$A18, LS_previous!$B$4:$AY$138,LS_previous!AD$149, FALSE))/2)</f>
        <v>-127.40568342799997</v>
      </c>
      <c r="O18" s="192">
        <f t="array" ref="O18">IF($G18=0, INDEX(LS_previous!$D$4:$AY$138, MATCH('Staging Table'!$A18, LS_previous!$B$4:$B$138, 0), MATCH(O$4&amp;O$5, LS_previous!$D$2:$AY$2&amp;LS_previous!$D$3:$AY$3, 0)),SUM(VLOOKUP($A18, LS_previous!$B$4:$AY$138, LS_previous!G$149, FALSE), VLOOKUP('Staging Table'!$A18, LS_previous!$B$4:$AY$138,LS_previous!AE$149, FALSE))/2)</f>
        <v>183.11761692649952</v>
      </c>
      <c r="P18" s="192">
        <f t="array" ref="P18">IF($G18=0, INDEX(LS_previous!$D$4:$AY$138, MATCH('Staging Table'!$A18, LS_previous!$B$4:$B$138, 0), MATCH(P$4&amp;P$5, LS_previous!$D$2:$AY$2&amp;LS_previous!$D$3:$AY$3, 0)),SUM(VLOOKUP($A18, LS_previous!$B$4:$AY$138, LS_previous!H$149, FALSE), VLOOKUP('Staging Table'!$A18, LS_previous!$B$4:$AY$138,LS_previous!AF$149, FALSE))/2)</f>
        <v>408.08241172799899</v>
      </c>
      <c r="Q18" s="192">
        <f t="array" ref="Q18">IF($G18=0, INDEX(LS_previous!$D$4:$AY$138, MATCH('Staging Table'!$A18, LS_previous!$B$4:$B$138, 0), MATCH(Q$4&amp;Q$5, LS_previous!$D$2:$AY$2&amp;LS_previous!$D$3:$AY$3, 0)),SUM(VLOOKUP($A18, LS_previous!$B$4:$AY$138, LS_previous!I$149, FALSE), VLOOKUP('Staging Table'!$A18, LS_previous!$B$4:$AY$138,LS_previous!AG$149, FALSE))/2)</f>
        <v>380.02824552599986</v>
      </c>
      <c r="R18" s="192">
        <f t="array" ref="R18">IF($G18=0, INDEX(LS_previous!$D$4:$AY$138, MATCH('Staging Table'!$A18, LS_previous!$B$4:$B$138, 0), MATCH(R$4&amp;R$5, LS_previous!$D$2:$AY$2&amp;LS_previous!$D$3:$AY$3, 0)),SUM(VLOOKUP($A18, LS_previous!$B$4:$AY$138, LS_previous!J$149, FALSE), VLOOKUP('Staging Table'!$A18, LS_previous!$B$4:$AY$138,LS_previous!AH$149, FALSE))/2)</f>
        <v>1186.6653377279995</v>
      </c>
      <c r="S18" s="192">
        <f t="array" ref="S18">IF($G18=0, INDEX(LS_previous!$D$4:$AY$138, MATCH('Staging Table'!$A18, LS_previous!$B$4:$B$138, 0), MATCH(S$4&amp;S$5, LS_previous!$D$2:$AY$2&amp;LS_previous!$D$3:$AY$3, 0)),SUM(VLOOKUP($A18, LS_previous!$B$4:$AY$138, LS_previous!K$149, FALSE), VLOOKUP('Staging Table'!$A18, LS_previous!$B$4:$AY$138,LS_previous!AI$149, FALSE))/2)</f>
        <v>1310.7191675259996</v>
      </c>
      <c r="T18" s="192">
        <f t="array" ref="T18">IF($G18=0, INDEX(LS_previous!$D$4:$AY$138, MATCH('Staging Table'!$A18, LS_previous!$B$4:$B$138, 0), MATCH(T$4&amp;T$5, LS_previous!$D$2:$AY$2&amp;LS_previous!$D$3:$AY$3, 0)),SUM(VLOOKUP($A18, LS_previous!$B$4:$AY$138, LS_previous!L$149, FALSE), VLOOKUP('Staging Table'!$A18, LS_previous!$B$4:$AY$138,LS_previous!AJ$149, FALSE))/2)</f>
        <v>1017.1394619260004</v>
      </c>
      <c r="U18" s="192">
        <f t="array" ref="U18">IF($G18=0, INDEX(LS_previous!$D$4:$AY$138, MATCH('Staging Table'!$A18, LS_previous!$B$4:$B$138, 0), MATCH(U$4&amp;U$5, LS_previous!$D$2:$AY$2&amp;LS_previous!$D$3:$AY$3, 0)),SUM(VLOOKUP($A18, LS_previous!$B$4:$AY$138, LS_previous!M$149, FALSE), VLOOKUP('Staging Table'!$A18, LS_previous!$B$4:$AY$138,LS_previous!AK$149, FALSE))/2)</f>
        <v>807.3501312740002</v>
      </c>
      <c r="V18" s="192">
        <f t="array" ref="V18">IF($G18=0, INDEX(LS_previous!$D$4:$AY$138, MATCH('Staging Table'!$A18, LS_previous!$B$4:$B$138, 0), MATCH(V$4&amp;V$5, LS_previous!$D$2:$AY$2&amp;LS_previous!$D$3:$AY$3, 0)),SUM(VLOOKUP($A18, LS_previous!$B$4:$AY$138, LS_previous!N$149, FALSE), VLOOKUP('Staging Table'!$A18, LS_previous!$B$4:$AY$138,LS_previous!AL$149, FALSE))/2)</f>
        <v>697.50255888400034</v>
      </c>
      <c r="W18" s="192">
        <f t="array" ref="W18">IF($G18=0, INDEX(LS_previous!$D$4:$AY$138, MATCH('Staging Table'!$A18, LS_previous!$B$4:$B$138, 0), MATCH(W$4&amp;W$5, LS_previous!$D$2:$AY$2&amp;LS_previous!$D$3:$AY$3, 0)),SUM(VLOOKUP($A18, LS_previous!$B$4:$AY$138, LS_previous!O$149, FALSE), VLOOKUP('Staging Table'!$A18, LS_previous!$B$4:$AY$138,LS_previous!AM$149, FALSE))/2)</f>
        <v>532.02089314149953</v>
      </c>
      <c r="X18" s="192">
        <f t="array" ref="X18">IF($G18=0, INDEX(LS_previous!$D$4:$AY$138, MATCH('Staging Table'!$A18, LS_previous!$B$4:$B$138, 0), MATCH(X$4&amp;X$5, LS_previous!$D$2:$AY$2&amp;LS_previous!$D$3:$AY$3, 0)),SUM(VLOOKUP($A18, LS_previous!$B$4:$AY$138, LS_previous!P$149, FALSE), VLOOKUP('Staging Table'!$A18, LS_previous!$B$4:$AY$138,LS_previous!AN$149, FALSE))/2)</f>
        <v>964.68629455600012</v>
      </c>
      <c r="Y18" s="192">
        <f t="array" ref="Y18">IF($G18=0, INDEX(LS_previous!$D$4:$AY$138, MATCH('Staging Table'!$A18, LS_previous!$B$4:$B$138, 0), MATCH(Y$4&amp;Y$5, LS_previous!$D$2:$AY$2&amp;LS_previous!$D$3:$AY$3, 0)),SUM(VLOOKUP($A18, LS_previous!$B$4:$AY$138, LS_previous!Q$149, FALSE), VLOOKUP('Staging Table'!$A18, LS_previous!$B$4:$AY$138,LS_previous!AO$149, FALSE))/2)</f>
        <v>616.67855796399999</v>
      </c>
      <c r="Z18" s="192">
        <f t="array" ref="Z18">IF($G18=0, INDEX(LS_previous!$D$4:$AY$138, MATCH('Staging Table'!$A18, LS_previous!$B$4:$B$138, 0), MATCH(Z$4&amp;Z$5, LS_previous!$D$2:$AY$2&amp;LS_previous!$D$3:$AY$3, 0)),SUM(VLOOKUP($A18, LS_previous!$B$4:$AY$138, LS_previous!R$149, FALSE), VLOOKUP('Staging Table'!$A18, LS_previous!$B$4:$AY$138,LS_previous!AP$149, FALSE))/2)</f>
        <v>-729.17787335000048</v>
      </c>
      <c r="AA18" s="192">
        <f t="array" ref="AA18">IF($G18=0, INDEX(LS_previous!$D$4:$AY$138, MATCH('Staging Table'!$A18, LS_previous!$B$4:$B$138, 0), MATCH(AA$4&amp;AA$5, LS_previous!$D$2:$AY$2&amp;LS_previous!$D$3:$AY$3, 0)),SUM(VLOOKUP($A18, LS_previous!$B$4:$AY$138, LS_previous!S$149, FALSE), VLOOKUP('Staging Table'!$A18, LS_previous!$B$4:$AY$138,LS_previous!AQ$149, FALSE))/2)</f>
        <v>187.41632685400009</v>
      </c>
      <c r="AB18" s="192">
        <f t="array" ref="AB18">IF($G18=0, INDEX(LS_previous!$D$4:$AY$138, MATCH('Staging Table'!$A18, LS_previous!$B$4:$B$138, 0), MATCH(AB$4&amp;AB$5, LS_previous!$D$2:$AY$2&amp;LS_previous!$D$3:$AY$3, 0)),SUM(VLOOKUP($A18, LS_previous!$B$4:$AY$138, LS_previous!T$149, FALSE), VLOOKUP('Staging Table'!$A18, LS_previous!$B$4:$AY$138,LS_previous!AR$149, FALSE))/2)</f>
        <v>-1851.2068101939999</v>
      </c>
      <c r="AC18" s="192">
        <f t="array" ref="AC18">IF($G18=0, INDEX(LS_previous!$D$4:$AY$138, MATCH('Staging Table'!$A18, LS_previous!$B$4:$B$138, 0), MATCH(AC$4&amp;AC$5, LS_previous!$D$2:$AY$2&amp;LS_previous!$D$3:$AY$3, 0)),SUM(VLOOKUP($A18, LS_previous!$B$4:$AY$138, LS_previous!U$149, FALSE), VLOOKUP('Staging Table'!$A18, LS_previous!$B$4:$AY$138,LS_previous!AS$149, FALSE))/2)</f>
        <v>-825.7616530360001</v>
      </c>
      <c r="AD18" s="192">
        <f t="array" ref="AD18">IF($G18=0, INDEX(LS_previous!$D$4:$AY$138, MATCH('Staging Table'!$A18, LS_previous!$B$4:$B$138, 0), MATCH(AD$4&amp;AD$5, LS_previous!$D$2:$AY$2&amp;LS_previous!$D$3:$AY$3, 0)),SUM(VLOOKUP($A18, LS_previous!$B$4:$AY$138, LS_previous!V$149, FALSE), VLOOKUP('Staging Table'!$A18, LS_previous!$B$4:$AY$138,LS_previous!AT$149, FALSE))/2)</f>
        <v>-867.38495269400028</v>
      </c>
      <c r="AE18" s="192">
        <f t="array" ref="AE18">IF($G18=0, INDEX(LS_previous!$D$4:$AY$138, MATCH('Staging Table'!$A18, LS_previous!$B$4:$B$138, 0), MATCH(AE$4&amp;AE$5, LS_previous!$D$2:$AY$2&amp;LS_previous!$D$3:$AY$3, 0)),SUM(VLOOKUP($A18, LS_previous!$B$4:$AY$138, LS_previous!W$149, FALSE), VLOOKUP('Staging Table'!$A18, LS_previous!$B$4:$AY$138,LS_previous!AU$149, FALSE))/2)</f>
        <v>525.75084144799985</v>
      </c>
      <c r="AF18" s="192">
        <f t="array" ref="AF18">IF($G18=0, INDEX(LS_previous!$D$4:$AY$138, MATCH('Staging Table'!$A18, LS_previous!$B$4:$B$138, 0), MATCH(AF$4&amp;AF$5, LS_previous!$D$2:$AY$2&amp;LS_previous!$D$3:$AY$3, 0)),SUM(VLOOKUP($A18, LS_previous!$B$4:$AY$138, LS_previous!X$149, FALSE), VLOOKUP('Staging Table'!$A18, LS_previous!$B$4:$AY$138,LS_previous!AV$149, FALSE))/2)</f>
        <v>-519.37515844399968</v>
      </c>
      <c r="AG18" s="192">
        <f t="array" ref="AG18">IF($G18=0, INDEX(LS_previous!$D$4:$AY$138, MATCH('Staging Table'!$A18, LS_previous!$B$4:$B$138, 0), MATCH(AG$4&amp;AG$5, LS_previous!$D$2:$AY$2&amp;LS_previous!$D$3:$AY$3, 0)),SUM(VLOOKUP($A18, LS_previous!$B$4:$AY$138, LS_previous!Y$149, FALSE), VLOOKUP('Staging Table'!$A18, LS_previous!$B$4:$AY$138,LS_previous!AW$149, FALSE))/2)</f>
        <v>205.11936144799961</v>
      </c>
      <c r="AH18" s="192">
        <f t="array" ref="AH18">IF($G18=0, INDEX(LS_previous!$D$4:$AY$138, MATCH('Staging Table'!$A18, LS_previous!$B$4:$B$138, 0), MATCH(AH$4&amp;AH$5, LS_previous!$D$2:$AY$2&amp;LS_previous!$D$3:$AY$3, 0)),SUM(VLOOKUP($A18, LS_previous!$B$4:$AY$138, LS_previous!Z$149, FALSE), VLOOKUP('Staging Table'!$A18, LS_previous!$B$4:$AY$138,LS_previous!AX$149, FALSE))/2)</f>
        <v>-131.51706560000002</v>
      </c>
      <c r="AI18" s="192">
        <f t="array" ref="AI18">IF($G18=0, INDEX(LS_previous!$D$4:$AY$138, MATCH('Staging Table'!$A18, LS_previous!$B$4:$B$138, 0), MATCH(AI$4&amp;AI$5, LS_previous!$D$2:$AY$2&amp;LS_previous!$D$3:$AY$3, 0)),SUM(VLOOKUP($A18, LS_previous!$B$4:$AY$138, LS_previous!AA$149, FALSE), VLOOKUP('Staging Table'!$A18, LS_previous!$B$4:$AY$138,LS_previous!AY$149, FALSE))/2)</f>
        <v>197.48654962000001</v>
      </c>
      <c r="AJ18" s="314">
        <f t="array" ref="AJ18">INDEX(Demand_previous!$D$4:$AY$138, MATCH('Staging Table'!$A18, Demand_previous!$B$4:$B$138, 0), MATCH(AJ$4&amp;AJ$5,Demand_previous!$D$2:$AY$2&amp;Demand_previous!$D$3:$AY$3, 0))/1000</f>
        <v>1.2469421296296312</v>
      </c>
      <c r="AK18" s="314">
        <f t="array" ref="AK18">INDEX(Demand_previous!$D$4:$AY$138, MATCH('Staging Table'!$A18, Demand_previous!$B$4:$B$138, 0), MATCH(AK$4&amp;AK$5,Demand_previous!$D$2:$AY$2&amp;Demand_previous!$D$3:$AY$3, 0))/1000</f>
        <v>1.093465000000001</v>
      </c>
      <c r="AL18" s="314">
        <f t="array" ref="AL18">INDEX(Demand_previous!$D$4:$AY$138, MATCH('Staging Table'!$A18, Demand_previous!$B$4:$B$138, 0), MATCH(AL$4&amp;AL$5,Demand_previous!$D$2:$AY$2&amp;Demand_previous!$D$3:$AY$3, 0))/1000</f>
        <v>1.4000725000000012</v>
      </c>
      <c r="AM18" s="314">
        <f t="array" ref="AM18">INDEX(Demand_previous!$D$4:$AY$138, MATCH('Staging Table'!$A18, Demand_previous!$B$4:$B$138, 0), MATCH(AM$4&amp;AM$5,Demand_previous!$D$2:$AY$2&amp;Demand_previous!$D$3:$AY$3, 0))/1000</f>
        <v>1.9630192307692305</v>
      </c>
      <c r="AN18" s="314">
        <f t="array" ref="AN18">INDEX(Demand_previous!$D$4:$AY$138, MATCH('Staging Table'!$A18, Demand_previous!$B$4:$B$138, 0), MATCH(AN$4&amp;AN$5,Demand_previous!$D$2:$AY$2&amp;Demand_previous!$D$3:$AY$3, 0))/1000</f>
        <v>1.9956524999999996</v>
      </c>
      <c r="AO18" s="314">
        <f t="array" ref="AO18">INDEX(Demand_previous!$D$4:$AY$138, MATCH('Staging Table'!$A18, Demand_previous!$B$4:$B$138, 0), MATCH(AO$4&amp;AO$5,Demand_previous!$D$2:$AY$2&amp;Demand_previous!$D$3:$AY$3, 0))/1000</f>
        <v>1.3371995192307682</v>
      </c>
      <c r="AP18" s="314">
        <f t="array" ref="AP18">INDEX(Demand_previous!$D$4:$AY$138, MATCH('Staging Table'!$A18, Demand_previous!$B$4:$B$138, 0), MATCH(AP$4&amp;AP$5,Demand_previous!$D$2:$AY$2&amp;Demand_previous!$D$3:$AY$3, 0))/1000</f>
        <v>1.1352331730769232</v>
      </c>
      <c r="AQ18" s="314">
        <f t="array" ref="AQ18">INDEX(Demand_previous!$D$4:$AY$138, MATCH('Staging Table'!$A18, Demand_previous!$B$4:$B$138, 0), MATCH(AQ$4&amp;AQ$5,Demand_previous!$D$2:$AY$2&amp;Demand_previous!$D$3:$AY$3, 0))/1000</f>
        <v>1.2488799999999995</v>
      </c>
      <c r="AR18" s="314">
        <f t="array" ref="AR18">INDEX(Demand_previous!$D$4:$AY$138, MATCH('Staging Table'!$A18, Demand_previous!$B$4:$B$138, 0), MATCH(AR$4&amp;AR$5,Demand_previous!$D$2:$AY$2&amp;Demand_previous!$D$3:$AY$3, 0))/1000</f>
        <v>1.3482572115384615</v>
      </c>
      <c r="AS18" s="314">
        <f t="array" ref="AS18">INDEX(Demand_previous!$D$4:$AY$138, MATCH('Staging Table'!$A18, Demand_previous!$B$4:$B$138, 0), MATCH(AS$4&amp;AS$5,Demand_previous!$D$2:$AY$2&amp;Demand_previous!$D$3:$AY$3, 0))/1000</f>
        <v>1.5461658653846151</v>
      </c>
      <c r="AT18" s="314">
        <f t="array" ref="AT18">INDEX(Demand_previous!$D$4:$AY$138, MATCH('Staging Table'!$A18, Demand_previous!$B$4:$B$138, 0), MATCH(AT$4&amp;AT$5,Demand_previous!$D$2:$AY$2&amp;Demand_previous!$D$3:$AY$3, 0))/1000</f>
        <v>1.1616850961538459</v>
      </c>
      <c r="AU18" s="314">
        <f t="array" ref="AU18">INDEX(Demand_previous!$D$4:$AY$138, MATCH('Staging Table'!$A18, Demand_previous!$B$4:$B$138, 0), MATCH(AU$4&amp;AU$5,Demand_previous!$D$2:$AY$2&amp;Demand_previous!$D$3:$AY$3, 0))/1000</f>
        <v>1.281522499999999</v>
      </c>
      <c r="AV18" s="192">
        <f>$F18*(VLOOKUP(AV$4, Rates_previous!$G$6:$Q$29, 10, FALSE)+VLOOKUP(AV$4, Rates_previous!$G$6:$Q$29, 11, FALSE))</f>
        <v>5718.5473472459998</v>
      </c>
      <c r="AW18" s="192">
        <f>$F18*(VLOOKUP(AW$4, Rates_previous!$G$6:$Q$29, 10, FALSE)+VLOOKUP(AW$4, Rates_previous!$G$6:$Q$29, 11, FALSE))</f>
        <v>7264.3390665015004</v>
      </c>
      <c r="AX18" s="192">
        <f>$F18*(VLOOKUP(AX$4, Rates_previous!$G$6:$Q$29, 10, FALSE)+VLOOKUP(AX$4, Rates_previous!$G$6:$Q$29, 11, FALSE))</f>
        <v>7176.6123427460006</v>
      </c>
      <c r="AY18" s="192">
        <f>$F18*(VLOOKUP(AY$4, Rates_previous!$G$6:$Q$29, 10, FALSE)+VLOOKUP(AY$4, Rates_previous!$G$6:$Q$29, 11, FALSE))</f>
        <v>5982.1434947460002</v>
      </c>
      <c r="AZ18" s="192">
        <f>$F18*(VLOOKUP(AZ$4, Rates_previous!$G$6:$Q$29, 10, FALSE)+VLOOKUP(AZ$4, Rates_previous!$G$6:$Q$29, 11, FALSE))</f>
        <v>5419.2014067999999</v>
      </c>
      <c r="BA18" s="192">
        <f>$F18*(VLOOKUP(BA$4, Rates_previous!$G$6:$Q$29, 10, FALSE)+VLOOKUP(BA$4, Rates_previous!$G$6:$Q$29, 11, FALSE))</f>
        <v>6027.8735479745001</v>
      </c>
      <c r="BB18" s="192">
        <f>$F18*(VLOOKUP(BB$4, Rates_previous!$G$6:$Q$29, 10, FALSE)+VLOOKUP(BB$4, Rates_previous!$G$6:$Q$29, 11, FALSE))</f>
        <v>4907.90114748</v>
      </c>
      <c r="BC18" s="192">
        <f>$F18*(VLOOKUP(BC$4, Rates_previous!$G$6:$Q$29, 10, FALSE)+VLOOKUP(BC$4, Rates_previous!$G$6:$Q$29, 11, FALSE))</f>
        <v>6619.0365464960005</v>
      </c>
      <c r="BD18" s="192">
        <f>$F18*(VLOOKUP(BD$4, Rates_previous!$G$6:$Q$29, 10, FALSE)+VLOOKUP(BD$4, Rates_previous!$G$6:$Q$29, 11, FALSE))</f>
        <v>8445.4404632300011</v>
      </c>
      <c r="BE18" s="192">
        <f>$F18*(VLOOKUP(BE$4, Rates_previous!$G$6:$Q$29, 10, FALSE)+VLOOKUP(BE$4, Rates_previous!$G$6:$Q$29, 11, FALSE))</f>
        <v>6621.4931112460008</v>
      </c>
      <c r="BF18" s="192">
        <f>$F18*(VLOOKUP(BF$4, Rates_previous!$G$6:$Q$29, 10, FALSE)+VLOOKUP(BF$4, Rates_previous!$G$6:$Q$29, 11, FALSE))</f>
        <v>6448.015796996001</v>
      </c>
      <c r="BG18" s="192">
        <f>$F18*(VLOOKUP(BG$4, Rates_previous!$G$6:$Q$29, 10, FALSE)+VLOOKUP(BG$4, Rates_previous!$G$6:$Q$29, 11, FALSE))</f>
        <v>5788.9465159800002</v>
      </c>
      <c r="BH18" s="314">
        <f>IF($D18=0,IF(C18=0, MAX(BJ18 - (VLOOKUP($A18,TOCA_previous!$A$2:$AI$137,MATCH("RHWM 2020",TOCA_previous!$A$2:$AI$2,0),FALSE)*$F$2*TOCA_previous!C15),0),0), 0)</f>
        <v>5000.7068683660036</v>
      </c>
      <c r="BI18" s="204">
        <f>MIN(VLOOKUP($A18,TOCA_previous!$A$2:$AI$137,MATCH("TRL - NLSL - Existing Resource "&amp;$F$1,TOCA_previous!$A$2:$AI$2,0),FALSE)*$F$2,(VLOOKUP($A18,TOCA_previous!$A$2:$AI$137,MATCH("RHWM 2020",TOCA_previous!$A$2:$AI$2,0),FALSE)*$F$2))</f>
        <v>76420.799999999988</v>
      </c>
      <c r="BJ18" s="418">
        <f>SUM(L18:AI18)+(F18*RT1SC!$C$3*$F$2)</f>
        <v>81421.506868365992</v>
      </c>
      <c r="BK18" s="417">
        <f>VLOOKUP($A18,TOCA_previous!$A$2:$AI$137,MATCH("Above RHWM Not Served with LS "&amp;$F$1,TOCA_previous!$A$2:$AI$2,0),FALSE)*$F$2</f>
        <v>0</v>
      </c>
      <c r="BL18" s="418">
        <f t="shared" si="8"/>
        <v>5000.7068683660036</v>
      </c>
      <c r="BM18" s="417">
        <f>(VLOOKUP($A18,TOCA_previous!$A$2:$AI$137,MATCH("RHWM 2020",TOCA_previous!$A$2:$AI$2,0),FALSE)*$F$2) - $BI18</f>
        <v>0</v>
      </c>
      <c r="BN18" s="418">
        <f t="shared" si="9"/>
        <v>0</v>
      </c>
      <c r="BO18" s="417">
        <f t="shared" si="10"/>
        <v>0</v>
      </c>
      <c r="BP18" s="418">
        <f t="shared" si="11"/>
        <v>0</v>
      </c>
      <c r="BQ18" s="417">
        <f t="shared" si="2"/>
        <v>0</v>
      </c>
      <c r="BR18" s="120">
        <f>VLOOKUP($A18,TOCA_current!$A$2:$AI$137,MATCH(BR$4,TOCA_current!$A$2:$AI$2,0),FALSE)</f>
        <v>1.2385E-3</v>
      </c>
      <c r="BS18" s="120">
        <f>VLOOKUP($A18,TOCA_current!$A$2:$AI$137,MATCH(BS$4,TOCA_current!$A$2:$AI$2,0),FALSE)</f>
        <v>1.2385E-3</v>
      </c>
      <c r="BT18" s="201">
        <f t="shared" si="12"/>
        <v>0</v>
      </c>
      <c r="BU18" s="120">
        <f>VLOOKUP($A18,TOCA_current!A14:BG149,MATCH(BU$4,TOCA_current!$A$2:$BG$2,0),FALSE)</f>
        <v>0</v>
      </c>
      <c r="BV18" s="120">
        <f t="shared" si="3"/>
        <v>0</v>
      </c>
      <c r="BW18" s="120">
        <f t="shared" si="4"/>
        <v>0</v>
      </c>
      <c r="BX18" s="191">
        <f>VLOOKUP($A18,IRD!$A$4:$G$139, 7, FALSE)</f>
        <v>0</v>
      </c>
      <c r="BY18" s="192">
        <f t="array" ref="BY18">IF($BT18=0, INDEX(LS_current!$D$4:$AY$138, MATCH('Staging Table'!$A18, LS_current!$B$4:$B$138, 0), MATCH(BY$4&amp;BY$5, LS_current!$D$2:$AY$2&amp;LS_current!$D$3:$AY$3, 0)),SUM(VLOOKUP($A18, LS_current!$B$4:$AY$138, LS_current!D$148, FALSE), VLOOKUP($A18, LS_current!$B$4:$AY$138,LS_current!AB$148, FALSE))/2)</f>
        <v>-62.285742627216678</v>
      </c>
      <c r="BZ18" s="192">
        <f t="array" ref="BZ18">IF($BT18=0, INDEX(LS_current!$D$4:$AY$138, MATCH('Staging Table'!$A18, LS_current!$B$4:$B$138, 0), MATCH(BZ$4&amp;BZ$5, LS_current!$D$2:$AY$2&amp;LS_current!$D$3:$AY$3, 0)),SUM(VLOOKUP($A18, LS_current!$B$4:$AY$138, LS_current!E$148, FALSE), VLOOKUP($A18, LS_current!$B$4:$AY$138,LS_current!AC$148, FALSE))/2)</f>
        <v>163.85634751224097</v>
      </c>
      <c r="CA18" s="192">
        <f t="array" ref="CA18">IF($BT18=0, INDEX(LS_current!$D$4:$AY$138, MATCH('Staging Table'!$A18, LS_current!$B$4:$B$138, 0), MATCH(CA$4&amp;CA$5, LS_current!$D$2:$AY$2&amp;LS_current!$D$3:$AY$3, 0)),SUM(VLOOKUP($A18, LS_current!$B$4:$AY$138, LS_current!F$148, FALSE), VLOOKUP($A18, LS_current!$B$4:$AY$138,LS_current!AD$148, FALSE))/2)</f>
        <v>-390.73109373298666</v>
      </c>
      <c r="CB18" s="192">
        <f t="array" ref="CB18">IF($BT18=0, INDEX(LS_current!$D$4:$AY$138, MATCH('Staging Table'!$A18, LS_current!$B$4:$B$138, 0), MATCH(CB$4&amp;CB$5, LS_current!$D$2:$AY$2&amp;LS_current!$D$3:$AY$3, 0)),SUM(VLOOKUP($A18, LS_current!$B$4:$AY$138, LS_current!G$148, FALSE), VLOOKUP($A18, LS_current!$B$4:$AY$138,LS_current!AE$148, FALSE))/2)</f>
        <v>-215.59740745290856</v>
      </c>
      <c r="CC18" s="192">
        <f t="array" ref="CC18">IF($BT18=0, INDEX(LS_current!$D$4:$AY$138, MATCH('Staging Table'!$A18, LS_current!$B$4:$B$138, 0), MATCH(CC$4&amp;CC$5, LS_current!$D$2:$AY$2&amp;LS_current!$D$3:$AY$3, 0)),SUM(VLOOKUP($A18, LS_current!$B$4:$AY$138, LS_current!H$148, FALSE), VLOOKUP($A18, LS_current!$B$4:$AY$138,LS_current!AF$148, FALSE))/2)</f>
        <v>418.5646168621779</v>
      </c>
      <c r="CD18" s="192">
        <f t="array" ref="CD18">IF($BT18=0, INDEX(LS_current!$D$4:$AY$138, MATCH('Staging Table'!$A18, LS_current!$B$4:$B$138, 0), MATCH(CD$4&amp;CD$5, LS_current!$D$2:$AY$2&amp;LS_current!$D$3:$AY$3, 0)),SUM(VLOOKUP($A18, LS_current!$B$4:$AY$138, LS_current!I$148, FALSE), VLOOKUP($A18, LS_current!$B$4:$AY$138,LS_current!AG$148, FALSE))/2)</f>
        <v>-253.91428856835182</v>
      </c>
      <c r="CE18" s="192">
        <f t="array" ref="CE18">IF($BT18=0, INDEX(LS_current!$D$4:$AY$138, MATCH('Staging Table'!$A18, LS_current!$B$4:$B$138, 0), MATCH(CE$4&amp;CE$5, LS_current!$D$2:$AY$2&amp;LS_current!$D$3:$AY$3, 0)),SUM(VLOOKUP($A18, LS_current!$B$4:$AY$138, LS_current!J$148, FALSE), VLOOKUP($A18, LS_current!$B$4:$AY$138,LS_current!AH$148, FALSE))/2)</f>
        <v>1226.2505103367039</v>
      </c>
      <c r="CF18" s="192">
        <f t="array" ref="CF18">IF($BT18=0, INDEX(LS_current!$D$4:$AY$138, MATCH('Staging Table'!$A18, LS_current!$B$4:$B$138, 0), MATCH(CF$4&amp;CF$5, LS_current!$D$2:$AY$2&amp;LS_current!$D$3:$AY$3, 0)),SUM(VLOOKUP($A18, LS_current!$B$4:$AY$138, LS_current!K$148, FALSE), VLOOKUP($A18, LS_current!$B$4:$AY$138,LS_current!AI$148, FALSE))/2)</f>
        <v>669.60763374537646</v>
      </c>
      <c r="CG18" s="192">
        <f t="array" ref="CG18">IF($BT18=0, INDEX(LS_current!$D$4:$AY$138, MATCH('Staging Table'!$A18, LS_current!$B$4:$B$138, 0), MATCH(CG$4&amp;CG$5, LS_current!$D$2:$AY$2&amp;LS_current!$D$3:$AY$3, 0)),SUM(VLOOKUP($A18, LS_current!$B$4:$AY$138, LS_current!L$148, FALSE), VLOOKUP($A18, LS_current!$B$4:$AY$138,LS_current!AJ$148, FALSE))/2)</f>
        <v>1111.2032843203751</v>
      </c>
      <c r="CH18" s="192">
        <f t="array" ref="CH18">IF($BT18=0, INDEX(LS_current!$D$4:$AY$138, MATCH('Staging Table'!$A18, LS_current!$B$4:$B$138, 0), MATCH(CH$4&amp;CH$5, LS_current!$D$2:$AY$2&amp;LS_current!$D$3:$AY$3, 0)),SUM(VLOOKUP($A18, LS_current!$B$4:$AY$138, LS_current!M$148, FALSE), VLOOKUP($A18, LS_current!$B$4:$AY$138,LS_current!AK$148, FALSE))/2)</f>
        <v>396.67356256425273</v>
      </c>
      <c r="CI18" s="192">
        <f t="array" ref="CI18">IF($BT18=0, INDEX(LS_current!$D$4:$AY$138, MATCH('Staging Table'!$A18, LS_current!$B$4:$B$138, 0), MATCH(CI$4&amp;CI$5, LS_current!$D$2:$AY$2&amp;LS_current!$D$3:$AY$3, 0)),SUM(VLOOKUP($A18, LS_current!$B$4:$AY$138, LS_current!N$148, FALSE), VLOOKUP($A18, LS_current!$B$4:$AY$138,LS_current!AL$148, FALSE))/2)</f>
        <v>391.03908725070778</v>
      </c>
      <c r="CJ18" s="192">
        <f t="array" ref="CJ18">IF($BT18=0, INDEX(LS_current!$D$4:$AY$138, MATCH('Staging Table'!$A18, LS_current!$B$4:$B$138, 0), MATCH(CJ$4&amp;CJ$5, LS_current!$D$2:$AY$2&amp;LS_current!$D$3:$AY$3, 0)),SUM(VLOOKUP($A18, LS_current!$B$4:$AY$138, LS_current!O$148, FALSE), VLOOKUP($A18, LS_current!$B$4:$AY$138,LS_current!AM$148, FALSE))/2)</f>
        <v>83.517303460545918</v>
      </c>
      <c r="CK18" s="192">
        <f t="array" ref="CK18">IF($BT18=0, INDEX(LS_current!$D$4:$AY$138, MATCH('Staging Table'!$A18, LS_current!$B$4:$B$138, 0), MATCH(CK$4&amp;CK$5, LS_current!$D$2:$AY$2&amp;LS_current!$D$3:$AY$3, 0)),SUM(VLOOKUP($A18, LS_current!$B$4:$AY$138, LS_current!P$148, FALSE), VLOOKUP($A18, LS_current!$B$4:$AY$138,LS_current!AN$148, FALSE))/2)</f>
        <v>741.94306613450726</v>
      </c>
      <c r="CL18" s="192">
        <f t="array" ref="CL18">IF($BT18=0, INDEX(LS_current!$D$4:$AY$138, MATCH('Staging Table'!$A18, LS_current!$B$4:$B$138, 0), MATCH(CL$4&amp;CL$5, LS_current!$D$2:$AY$2&amp;LS_current!$D$3:$AY$3, 0)),SUM(VLOOKUP($A18, LS_current!$B$4:$AY$138, LS_current!Q$148, FALSE), VLOOKUP($A18, LS_current!$B$4:$AY$138,LS_current!AO$148, FALSE))/2)</f>
        <v>325.30643075605281</v>
      </c>
      <c r="CM18" s="192">
        <f t="array" ref="CM18">IF($BT18=0, INDEX(LS_current!$D$4:$AY$138, MATCH('Staging Table'!$A18, LS_current!$B$4:$B$138, 0), MATCH(CM$4&amp;CM$5, LS_current!$D$2:$AY$2&amp;LS_current!$D$3:$AY$3, 0)),SUM(VLOOKUP($A18, LS_current!$B$4:$AY$138, LS_current!R$148, FALSE), VLOOKUP($A18, LS_current!$B$4:$AY$138,LS_current!AP$148, FALSE))/2)</f>
        <v>-1199.3884314093857</v>
      </c>
      <c r="CN18" s="192">
        <f t="array" ref="CN18">IF($BT18=0, INDEX(LS_current!$D$4:$AY$138, MATCH('Staging Table'!$A18, LS_current!$B$4:$B$138, 0), MATCH(CN$4&amp;CN$5, LS_current!$D$2:$AY$2&amp;LS_current!$D$3:$AY$3, 0)),SUM(VLOOKUP($A18, LS_current!$B$4:$AY$138, LS_current!S$148, FALSE), VLOOKUP($A18, LS_current!$B$4:$AY$138,LS_current!AQ$148, FALSE))/2)</f>
        <v>40.805841148628133</v>
      </c>
      <c r="CO18" s="192">
        <f t="array" ref="CO18">IF($BT18=0, INDEX(LS_current!$D$4:$AY$138, MATCH('Staging Table'!$A18, LS_current!$B$4:$B$138, 0), MATCH(CO$4&amp;CO$5, LS_current!$D$2:$AY$2&amp;LS_current!$D$3:$AY$3, 0)),SUM(VLOOKUP($A18, LS_current!$B$4:$AY$138, LS_current!T$148, FALSE), VLOOKUP($A18, LS_current!$B$4:$AY$138,LS_current!AR$148, FALSE))/2)</f>
        <v>-1719.2384126526586</v>
      </c>
      <c r="CP18" s="192">
        <f t="array" ref="CP18">IF($BT18=0, INDEX(LS_current!$D$4:$AY$138, MATCH('Staging Table'!$A18, LS_current!$B$4:$B$138, 0), MATCH(CP$4&amp;CP$5, LS_current!$D$2:$AY$2&amp;LS_current!$D$3:$AY$3, 0)),SUM(VLOOKUP($A18, LS_current!$B$4:$AY$138, LS_current!U$148, FALSE), VLOOKUP($A18, LS_current!$B$4:$AY$138,LS_current!AS$148, FALSE))/2)</f>
        <v>-162.2271944435613</v>
      </c>
      <c r="CQ18" s="192">
        <f t="array" ref="CQ18">IF($BT18=0, INDEX(LS_current!$D$4:$AY$138, MATCH('Staging Table'!$A18, LS_current!$B$4:$B$138, 0), MATCH(CQ$4&amp;CQ$5, LS_current!$D$2:$AY$2&amp;LS_current!$D$3:$AY$3, 0)),SUM(VLOOKUP($A18, LS_current!$B$4:$AY$138, LS_current!V$148, FALSE), VLOOKUP($A18, LS_current!$B$4:$AY$138,LS_current!AT$148, FALSE))/2)</f>
        <v>-1086.6797355371764</v>
      </c>
      <c r="CR18" s="192">
        <f t="array" ref="CR18">IF($BT18=0, INDEX(LS_current!$D$4:$AY$138, MATCH('Staging Table'!$A18, LS_current!$B$4:$B$138, 0), MATCH(CR$4&amp;CR$5, LS_current!$D$2:$AY$2&amp;LS_current!$D$3:$AY$3, 0)),SUM(VLOOKUP($A18, LS_current!$B$4:$AY$138, LS_current!W$148, FALSE), VLOOKUP($A18, LS_current!$B$4:$AY$138,LS_current!AU$148, FALSE))/2)</f>
        <v>37.441442005672343</v>
      </c>
      <c r="CS18" s="192">
        <f t="array" ref="CS18">IF($BT18=0, INDEX(LS_current!$D$4:$AY$138, MATCH('Staging Table'!$A18, LS_current!$B$4:$B$138, 0), MATCH(CS$4&amp;CS$5, LS_current!$D$2:$AY$2&amp;LS_current!$D$3:$AY$3, 0)),SUM(VLOOKUP($A18, LS_current!$B$4:$AY$138, LS_current!X$148, FALSE), VLOOKUP($A18, LS_current!$B$4:$AY$138,LS_current!AV$148, FALSE))/2)</f>
        <v>-813.76446185063833</v>
      </c>
      <c r="CT18" s="192">
        <f t="array" ref="CT18">IF($BT18=0, INDEX(LS_current!$D$4:$AY$138, MATCH('Staging Table'!$A18, LS_current!$B$4:$B$138, 0), MATCH(CT$4&amp;CT$5, LS_current!$D$2:$AY$2&amp;LS_current!$D$3:$AY$3, 0)),SUM(VLOOKUP($A18, LS_current!$B$4:$AY$138, LS_current!Y$148, FALSE), VLOOKUP($A18, LS_current!$B$4:$AY$138,LS_current!AW$148, FALSE))/2)</f>
        <v>-162.71238421850603</v>
      </c>
      <c r="CU18" s="192">
        <f t="array" ref="CU18">IF($BT18=0, INDEX(LS_current!$D$4:$AY$138, MATCH('Staging Table'!$A18, LS_current!$B$4:$B$138, 0), MATCH(CU$4&amp;CU$5, LS_current!$D$2:$AY$2&amp;LS_current!$D$3:$AY$3, 0)),SUM(VLOOKUP($A18, LS_current!$B$4:$AY$138, LS_current!Z$148, FALSE), VLOOKUP($A18, LS_current!$B$4:$AY$138,LS_current!AX$148, FALSE))/2)</f>
        <v>-575.31886479714967</v>
      </c>
      <c r="CV18" s="192">
        <f t="array" ref="CV18">IF($BT18=0, INDEX(LS_current!$D$4:$AY$138, MATCH('Staging Table'!$A18, LS_current!$B$4:$B$138, 0), MATCH(CV$4&amp;CV$5, LS_current!$D$2:$AY$2&amp;LS_current!$D$3:$AY$3, 0)),SUM(VLOOKUP($A18, LS_current!$B$4:$AY$138, LS_current!AA$148, FALSE), VLOOKUP($A18, LS_current!$B$4:$AY$138,LS_current!AY$148, FALSE))/2)</f>
        <v>-175.75361455796542</v>
      </c>
      <c r="CW18" s="194">
        <f t="array" ref="CW18">INDEX(Demand_current!$D$4:$AY$138, MATCH($A18, Demand_current!$B$4:$B$138, 0), MATCH(CW$4&amp;CW$5,Demand_current!$D$2:$AY$2&amp;Demand_current!$D$3:$AY$3, 0))/1000</f>
        <v>0.89005528846154025</v>
      </c>
      <c r="CX18" s="194">
        <f t="array" ref="CX18">INDEX(Demand_current!$D$4:$AY$138, MATCH($A18, Demand_current!$B$4:$B$138, 0), MATCH(CX$4&amp;CX$5,Demand_current!$D$2:$AY$2&amp;Demand_current!$D$3:$AY$3, 0))/1000</f>
        <v>1.093465000000001</v>
      </c>
      <c r="CY18" s="194">
        <f t="array" ref="CY18">INDEX(Demand_current!$D$4:$AY$138, MATCH($A18, Demand_current!$B$4:$B$138, 0), MATCH(CY$4&amp;CY$5,Demand_current!$D$2:$AY$2&amp;Demand_current!$D$3:$AY$3, 0))/1000</f>
        <v>1.8678389423076913</v>
      </c>
      <c r="CZ18" s="194">
        <f t="array" ref="CZ18">INDEX(Demand_current!$D$4:$AY$138, MATCH($A18, Demand_current!$B$4:$B$138, 0), MATCH(CZ$4&amp;CZ$5,Demand_current!$D$2:$AY$2&amp;Demand_current!$D$3:$AY$3, 0))/1000</f>
        <v>1.48742</v>
      </c>
      <c r="DA18" s="194">
        <f t="array" ref="DA18">INDEX(Demand_current!$D$4:$AY$138, MATCH($A18, Demand_current!$B$4:$B$138, 0), MATCH(DA$4&amp;DA$5,Demand_current!$D$2:$AY$2&amp;Demand_current!$D$3:$AY$3, 0))/1000</f>
        <v>1.5335546874999999</v>
      </c>
      <c r="DB18" s="194">
        <f t="array" ref="DB18">INDEX(Demand_current!$D$4:$AY$138, MATCH($A18, Demand_current!$B$4:$B$138, 0), MATCH(DB$4&amp;DB$5,Demand_current!$D$2:$AY$2&amp;Demand_current!$D$3:$AY$3, 0))/1000</f>
        <v>1.7405254629629616</v>
      </c>
      <c r="DC18" s="194">
        <f t="array" ref="DC18">INDEX(Demand_current!$D$4:$AY$138, MATCH($A18, Demand_current!$B$4:$B$138, 0), MATCH(DC$4&amp;DC$5,Demand_current!$D$2:$AY$2&amp;Demand_current!$D$3:$AY$3, 0))/1000</f>
        <v>1.1352331730769232</v>
      </c>
      <c r="DD18" s="194">
        <f t="array" ref="DD18">INDEX(Demand_current!$D$4:$AY$138, MATCH($A18, Demand_current!$B$4:$B$138, 0), MATCH(DD$4&amp;DD$5,Demand_current!$D$2:$AY$2&amp;Demand_current!$D$3:$AY$3, 0))/1000</f>
        <v>1.2488799999999995</v>
      </c>
      <c r="DE18" s="194">
        <f t="array" ref="DE18">INDEX(Demand_current!$D$4:$AY$138, MATCH($A18, Demand_current!$B$4:$B$138, 0), MATCH(DE$4&amp;DE$5,Demand_current!$D$2:$AY$2&amp;Demand_current!$D$3:$AY$3, 0))/1000</f>
        <v>1.3482572115384615</v>
      </c>
      <c r="DF18" s="194">
        <f t="array" ref="DF18">INDEX(Demand_current!$D$4:$AY$138, MATCH($A18, Demand_current!$B$4:$B$138, 0), MATCH(DF$4&amp;DF$5,Demand_current!$D$2:$AY$2&amp;Demand_current!$D$3:$AY$3, 0))/1000</f>
        <v>1.1912925000000005</v>
      </c>
      <c r="DG18" s="194">
        <f t="array" ref="DG18">INDEX(Demand_current!$D$4:$AY$138, MATCH($A18, Demand_current!$B$4:$B$138, 0), MATCH(DG$4&amp;DG$5,Demand_current!$D$2:$AY$2&amp;Demand_current!$D$3:$AY$3, 0))/1000</f>
        <v>1.5088449074074075</v>
      </c>
      <c r="DH18" s="194">
        <f t="array" ref="DH18">INDEX(Demand_current!$D$4:$AY$138, MATCH($A18, Demand_current!$B$4:$B$138, 0), MATCH(DH$4&amp;DH$5,Demand_current!$D$2:$AY$2&amp;Demand_current!$D$3:$AY$3, 0))/1000</f>
        <v>1.281522499999999</v>
      </c>
      <c r="DI18" s="192">
        <f>$BS18*(VLOOKUP(DI$4, Rates_current!$G$6:$Q$29, 10, FALSE)+VLOOKUP(DI$4, Rates_current!$G$6:$Q$29, 11, FALSE))</f>
        <v>5640.0353951149755</v>
      </c>
      <c r="DJ18" s="192">
        <f>$BS18*(VLOOKUP(DJ$4, Rates_current!$G$6:$Q$29, 10, FALSE)+VLOOKUP(DJ$4, Rates_current!$G$6:$Q$29, 11, FALSE))</f>
        <v>7140.4895011858962</v>
      </c>
      <c r="DK18" s="192">
        <f>$BS18*(VLOOKUP(DK$4, Rates_current!$G$6:$Q$29, 10, FALSE)+VLOOKUP(DK$4, Rates_current!$G$6:$Q$29, 11, FALSE))</f>
        <v>6989.1126717061752</v>
      </c>
      <c r="DL18" s="192">
        <f>$BS18*(VLOOKUP(DL$4, Rates_current!$G$6:$Q$29, 10, FALSE)+VLOOKUP(DL$4, Rates_current!$G$6:$Q$29, 11, FALSE))</f>
        <v>5772.7098559179194</v>
      </c>
      <c r="DM18" s="192">
        <f>$BS18*(VLOOKUP(DM$4, Rates_current!$G$6:$Q$29, 10, FALSE)+VLOOKUP(DM$4, Rates_current!$G$6:$Q$29, 11, FALSE))</f>
        <v>5003.3341531153728</v>
      </c>
      <c r="DN18" s="192">
        <f>$BS18*(VLOOKUP(DN$4, Rates_current!$G$6:$Q$29, 10, FALSE)+VLOOKUP(DN$4, Rates_current!$G$6:$Q$29, 11, FALSE))</f>
        <v>5972.9706092887473</v>
      </c>
      <c r="DO18" s="192">
        <f>$BS18*(VLOOKUP(DO$4, Rates_current!$G$6:$Q$29, 10, FALSE)+VLOOKUP(DO$4, Rates_current!$G$6:$Q$29, 11, FALSE))</f>
        <v>4637.2165031094401</v>
      </c>
      <c r="DP18" s="192">
        <f>$BS18*(VLOOKUP(DP$4, Rates_current!$G$6:$Q$29, 10, FALSE)+VLOOKUP(DP$4, Rates_current!$G$6:$Q$29, 11, FALSE))</f>
        <v>6424.8975902607572</v>
      </c>
      <c r="DQ18" s="192">
        <f>$BS18*(VLOOKUP(DQ$4, Rates_current!$G$6:$Q$29, 10, FALSE)+VLOOKUP(DQ$4, Rates_current!$G$6:$Q$29, 11, FALSE))</f>
        <v>6865.1376070962197</v>
      </c>
      <c r="DR18" s="192">
        <f>$BS18*(VLOOKUP(DR$4, Rates_current!$G$6:$Q$29, 10, FALSE)+VLOOKUP(DR$4, Rates_current!$G$6:$Q$29, 11, FALSE))</f>
        <v>6518.1372935315039</v>
      </c>
      <c r="DS18" s="192">
        <f>$BS18*(VLOOKUP(DS$4, Rates_current!$G$6:$Q$29, 10, FALSE)+VLOOKUP(DS$4, Rates_current!$G$6:$Q$29, 11, FALSE))</f>
        <v>6299.2768460691441</v>
      </c>
      <c r="DT18" s="192">
        <f>$BS18*(VLOOKUP(DT$4, Rates_current!$G$6:$Q$29, 10, FALSE)+VLOOKUP(DT$4, Rates_current!$G$6:$Q$29, 11, FALSE))</f>
        <v>5821.1884793551153</v>
      </c>
      <c r="DU18" s="418">
        <f>IF(D18=0,IF(C18=0,MAX(0,DW18 - (VLOOKUP($A18,TOCA_current!$A$2:$AI$137,MATCH("RHWM 2022",TOCA_current!$A$2:$AI$2,0),FALSE)*$BS$2)), 0),0)</f>
        <v>0</v>
      </c>
      <c r="DV18" s="419">
        <f>MIN(VLOOKUP($A18,TOCA_current!$A$2:$AI$137,MATCH("TRL - NLSL - Existing Resource "&amp;$BS$1,TOCA_current!$A$2:$AI$2,0),FALSE)*$BS$2, VLOOKUP($A18,TOCA_current!$A$2:$AI$137,MATCH("RHWM 2022",TOCA_current!$A$2:$AI$2,0),FALSE)*$BS$2)</f>
        <v>73084.679999999993</v>
      </c>
      <c r="DW18" s="419">
        <f>SUM(BY18:CV18)+(BS18*RT1SC!$C$4*$BS$2)</f>
        <v>71873.107738588747</v>
      </c>
      <c r="DX18" s="419">
        <f>VLOOKUP($A18,TOCA_current!$A$2:$AI$137,MATCH("Above RHWM Not Served with LS "&amp;$BS$1,TOCA_current!$A$2:$AI$2,0),FALSE)*$BS$2</f>
        <v>9548.4000000000015</v>
      </c>
      <c r="DY18" s="419">
        <f t="shared" si="13"/>
        <v>-1211.5722614112456</v>
      </c>
      <c r="DZ18" s="419">
        <f>(VLOOKUP($A18,TOCA_current!$A$2:$AI$137,MATCH("RHWM 2022",TOCA_current!$A$2:$AI$2,0),FALSE)*$BS$2) - $DV18</f>
        <v>0</v>
      </c>
      <c r="EA18" s="419">
        <f t="shared" si="14"/>
        <v>0</v>
      </c>
      <c r="EB18" s="419">
        <f t="shared" si="15"/>
        <v>0</v>
      </c>
      <c r="EC18" s="419">
        <f t="shared" si="16"/>
        <v>0</v>
      </c>
      <c r="ED18" s="419">
        <f t="shared" si="17"/>
        <v>0</v>
      </c>
    </row>
    <row r="19" spans="1:134">
      <c r="A19" s="135">
        <v>10062</v>
      </c>
      <c r="B19" s="136" t="s">
        <v>20</v>
      </c>
      <c r="C19" s="244">
        <f>VLOOKUP(A19, TOCA_current!$A$3:$D$137, 4, FALSE)</f>
        <v>0</v>
      </c>
      <c r="D19" s="203">
        <v>0</v>
      </c>
      <c r="E19" s="119">
        <f>VLOOKUP($A19,TOCA_previous!$A$2:$AI$137,MATCH(E$4,TOCA_previous!$A$2:$AI$2,0),FALSE)</f>
        <v>7.5319999999999998E-4</v>
      </c>
      <c r="F19" s="120">
        <f>VLOOKUP($A19,TOCA_previous!$A$2:$AI$137,MATCH(F$4,TOCA_previous!$A$2:$AI$2,0),FALSE)</f>
        <v>7.5319999999999998E-4</v>
      </c>
      <c r="G19" s="120">
        <f t="shared" si="5"/>
        <v>0</v>
      </c>
      <c r="H19" s="120">
        <f>VLOOKUP($A19,TOCA_previous!$A$2:$AI$137,MATCH(H$4,TOCA_previous!$A$2:$AI$2,0),FALSE)</f>
        <v>0</v>
      </c>
      <c r="I19" s="120">
        <f t="shared" si="6"/>
        <v>0</v>
      </c>
      <c r="J19" s="120">
        <f t="shared" si="7"/>
        <v>0</v>
      </c>
      <c r="K19" s="191">
        <f>VLOOKUP(A19, IRD!$A$5:$C$139, 3, FALSE)</f>
        <v>0</v>
      </c>
      <c r="L19" s="192">
        <f t="array" ref="L19">IF($G19=0, INDEX(LS_previous!$D$4:$AY$138, MATCH('Staging Table'!$A19, LS_previous!$B$4:$B$138, 0), MATCH(L$4&amp;L$5, LS_previous!$D$2:$AY$2&amp;LS_previous!$D$3:$AY$3, 0)),SUM(VLOOKUP($A19, LS_previous!$B$4:$AY$138, LS_previous!D$149, FALSE), VLOOKUP('Staging Table'!$A19, LS_previous!$B$4:$AY$138,LS_previous!AB$149, FALSE))/2)</f>
        <v>609.86894975840005</v>
      </c>
      <c r="M19" s="192">
        <f t="array" ref="M19">IF($G19=0, INDEX(LS_previous!$D$4:$AY$138, MATCH('Staging Table'!$A19, LS_previous!$B$4:$B$138, 0), MATCH(M$4&amp;M$5, LS_previous!$D$2:$AY$2&amp;LS_previous!$D$3:$AY$3, 0)),SUM(VLOOKUP($A19, LS_previous!$B$4:$AY$138, LS_previous!E$149, FALSE), VLOOKUP('Staging Table'!$A19, LS_previous!$B$4:$AY$138,LS_previous!AC$149, FALSE))/2)</f>
        <v>59.826738214400166</v>
      </c>
      <c r="N19" s="192">
        <f t="array" ref="N19">IF($G19=0, INDEX(LS_previous!$D$4:$AY$138, MATCH('Staging Table'!$A19, LS_previous!$B$4:$B$138, 0), MATCH(N$4&amp;N$5, LS_previous!$D$2:$AY$2&amp;LS_previous!$D$3:$AY$3, 0)),SUM(VLOOKUP($A19, LS_previous!$B$4:$AY$138, LS_previous!F$149, FALSE), VLOOKUP('Staging Table'!$A19, LS_previous!$B$4:$AY$138,LS_previous!AD$149, FALSE))/2)</f>
        <v>531.7817779103998</v>
      </c>
      <c r="O19" s="192">
        <f t="array" ref="O19">IF($G19=0, INDEX(LS_previous!$D$4:$AY$138, MATCH('Staging Table'!$A19, LS_previous!$B$4:$B$138, 0), MATCH(O$4&amp;O$5, LS_previous!$D$2:$AY$2&amp;LS_previous!$D$3:$AY$3, 0)),SUM(VLOOKUP($A19, LS_previous!$B$4:$AY$138, LS_previous!G$149, FALSE), VLOOKUP('Staging Table'!$A19, LS_previous!$B$4:$AY$138,LS_previous!AE$149, FALSE))/2)</f>
        <v>153.05890647479964</v>
      </c>
      <c r="P19" s="192">
        <f t="array" ref="P19">IF($G19=0, INDEX(LS_previous!$D$4:$AY$138, MATCH('Staging Table'!$A19, LS_previous!$B$4:$B$138, 0), MATCH(P$4&amp;P$5, LS_previous!$D$2:$AY$2&amp;LS_previous!$D$3:$AY$3, 0)),SUM(VLOOKUP($A19, LS_previous!$B$4:$AY$138, LS_previous!H$149, FALSE), VLOOKUP('Staging Table'!$A19, LS_previous!$B$4:$AY$138,LS_previous!AF$149, FALSE))/2)</f>
        <v>1466.5924346495995</v>
      </c>
      <c r="Q19" s="192">
        <f t="array" ref="Q19">IF($G19=0, INDEX(LS_previous!$D$4:$AY$138, MATCH('Staging Table'!$A19, LS_previous!$B$4:$B$138, 0), MATCH(Q$4&amp;Q$5, LS_previous!$D$2:$AY$2&amp;LS_previous!$D$3:$AY$3, 0)),SUM(VLOOKUP($A19, LS_previous!$B$4:$AY$138, LS_previous!I$149, FALSE), VLOOKUP('Staging Table'!$A19, LS_previous!$B$4:$AY$138,LS_previous!AG$149, FALSE))/2)</f>
        <v>787.48869772319972</v>
      </c>
      <c r="R19" s="192">
        <f t="array" ref="R19">IF($G19=0, INDEX(LS_previous!$D$4:$AY$138, MATCH('Staging Table'!$A19, LS_previous!$B$4:$B$138, 0), MATCH(R$4&amp;R$5, LS_previous!$D$2:$AY$2&amp;LS_previous!$D$3:$AY$3, 0)),SUM(VLOOKUP($A19, LS_previous!$B$4:$AY$138, LS_previous!J$149, FALSE), VLOOKUP('Staging Table'!$A19, LS_previous!$B$4:$AY$138,LS_previous!AH$149, FALSE))/2)</f>
        <v>1830.6446378495998</v>
      </c>
      <c r="S19" s="192">
        <f t="array" ref="S19">IF($G19=0, INDEX(LS_previous!$D$4:$AY$138, MATCH('Staging Table'!$A19, LS_previous!$B$4:$B$138, 0), MATCH(S$4&amp;S$5, LS_previous!$D$2:$AY$2&amp;LS_previous!$D$3:$AY$3, 0)),SUM(VLOOKUP($A19, LS_previous!$B$4:$AY$138, LS_previous!K$149, FALSE), VLOOKUP('Staging Table'!$A19, LS_previous!$B$4:$AY$138,LS_previous!AI$149, FALSE))/2)</f>
        <v>1088.8487281232001</v>
      </c>
      <c r="T19" s="192">
        <f t="array" ref="T19">IF($G19=0, INDEX(LS_previous!$D$4:$AY$138, MATCH('Staging Table'!$A19, LS_previous!$B$4:$B$138, 0), MATCH(T$4&amp;T$5, LS_previous!$D$2:$AY$2&amp;LS_previous!$D$3:$AY$3, 0)),SUM(VLOOKUP($A19, LS_previous!$B$4:$AY$138, LS_previous!L$149, FALSE), VLOOKUP('Staging Table'!$A19, LS_previous!$B$4:$AY$138,LS_previous!AJ$149, FALSE))/2)</f>
        <v>1490.3502462031997</v>
      </c>
      <c r="U19" s="192">
        <f t="array" ref="U19">IF($G19=0, INDEX(LS_previous!$D$4:$AY$138, MATCH('Staging Table'!$A19, LS_previous!$B$4:$B$138, 0), MATCH(U$4&amp;U$5, LS_previous!$D$2:$AY$2&amp;LS_previous!$D$3:$AY$3, 0)),SUM(VLOOKUP($A19, LS_previous!$B$4:$AY$138, LS_previous!M$149, FALSE), VLOOKUP('Staging Table'!$A19, LS_previous!$B$4:$AY$138,LS_previous!AK$149, FALSE))/2)</f>
        <v>735.30418003680006</v>
      </c>
      <c r="V19" s="192">
        <f t="array" ref="V19">IF($G19=0, INDEX(LS_previous!$D$4:$AY$138, MATCH('Staging Table'!$A19, LS_previous!$B$4:$B$138, 0), MATCH(V$4&amp;V$5, LS_previous!$D$2:$AY$2&amp;LS_previous!$D$3:$AY$3, 0)),SUM(VLOOKUP($A19, LS_previous!$B$4:$AY$138, LS_previous!N$149, FALSE), VLOOKUP('Staging Table'!$A19, LS_previous!$B$4:$AY$138,LS_previous!AL$149, FALSE))/2)</f>
        <v>896.32593778880027</v>
      </c>
      <c r="W19" s="192">
        <f t="array" ref="W19">IF($G19=0, INDEX(LS_previous!$D$4:$AY$138, MATCH('Staging Table'!$A19, LS_previous!$B$4:$B$138, 0), MATCH(W$4&amp;W$5, LS_previous!$D$2:$AY$2&amp;LS_previous!$D$3:$AY$3, 0)),SUM(VLOOKUP($A19, LS_previous!$B$4:$AY$138, LS_previous!O$149, FALSE), VLOOKUP('Staging Table'!$A19, LS_previous!$B$4:$AY$138,LS_previous!AM$149, FALSE))/2)</f>
        <v>265.32546646280048</v>
      </c>
      <c r="X19" s="192">
        <f t="array" ref="X19">IF($G19=0, INDEX(LS_previous!$D$4:$AY$138, MATCH('Staging Table'!$A19, LS_previous!$B$4:$B$138, 0), MATCH(X$4&amp;X$5, LS_previous!$D$2:$AY$2&amp;LS_previous!$D$3:$AY$3, 0)),SUM(VLOOKUP($A19, LS_previous!$B$4:$AY$138, LS_previous!P$149, FALSE), VLOOKUP('Staging Table'!$A19, LS_previous!$B$4:$AY$138,LS_previous!AN$149, FALSE))/2)</f>
        <v>297.93897081919999</v>
      </c>
      <c r="Y19" s="192">
        <f t="array" ref="Y19">IF($G19=0, INDEX(LS_previous!$D$4:$AY$138, MATCH('Staging Table'!$A19, LS_previous!$B$4:$B$138, 0), MATCH(Y$4&amp;Y$5, LS_previous!$D$2:$AY$2&amp;LS_previous!$D$3:$AY$3, 0)),SUM(VLOOKUP($A19, LS_previous!$B$4:$AY$138, LS_previous!Q$149, FALSE), VLOOKUP('Staging Table'!$A19, LS_previous!$B$4:$AY$138,LS_previous!AO$149, FALSE))/2)</f>
        <v>-201.11072195520001</v>
      </c>
      <c r="Z19" s="192">
        <f t="array" ref="Z19">IF($G19=0, INDEX(LS_previous!$D$4:$AY$138, MATCH('Staging Table'!$A19, LS_previous!$B$4:$B$138, 0), MATCH(Z$4&amp;Z$5, LS_previous!$D$2:$AY$2&amp;LS_previous!$D$3:$AY$3, 0)),SUM(VLOOKUP($A19, LS_previous!$B$4:$AY$138, LS_previous!R$149, FALSE), VLOOKUP('Staging Table'!$A19, LS_previous!$B$4:$AY$138,LS_previous!AP$149, FALSE))/2)</f>
        <v>-1320.6932037200004</v>
      </c>
      <c r="AA19" s="192">
        <f t="array" ref="AA19">IF($G19=0, INDEX(LS_previous!$D$4:$AY$138, MATCH('Staging Table'!$A19, LS_previous!$B$4:$B$138, 0), MATCH(AA$4&amp;AA$5, LS_previous!$D$2:$AY$2&amp;LS_previous!$D$3:$AY$3, 0)),SUM(VLOOKUP($A19, LS_previous!$B$4:$AY$138, LS_previous!S$149, FALSE), VLOOKUP('Staging Table'!$A19, LS_previous!$B$4:$AY$138,LS_previous!AQ$149, FALSE))/2)</f>
        <v>-1389.0571409072002</v>
      </c>
      <c r="AB19" s="192">
        <f t="array" ref="AB19">IF($G19=0, INDEX(LS_previous!$D$4:$AY$138, MATCH('Staging Table'!$A19, LS_previous!$B$4:$B$138, 0), MATCH(AB$4&amp;AB$5, LS_previous!$D$2:$AY$2&amp;LS_previous!$D$3:$AY$3, 0)),SUM(VLOOKUP($A19, LS_previous!$B$4:$AY$138, LS_previous!T$149, FALSE), VLOOKUP('Staging Table'!$A19, LS_previous!$B$4:$AY$138,LS_previous!AR$149, FALSE))/2)</f>
        <v>-2073.9671293808001</v>
      </c>
      <c r="AC19" s="192">
        <f t="array" ref="AC19">IF($G19=0, INDEX(LS_previous!$D$4:$AY$138, MATCH('Staging Table'!$A19, LS_previous!$B$4:$B$138, 0), MATCH(AC$4&amp;AC$5, LS_previous!$D$2:$AY$2&amp;LS_previous!$D$3:$AY$3, 0)),SUM(VLOOKUP($A19, LS_previous!$B$4:$AY$138, LS_previous!U$149, FALSE), VLOOKUP('Staging Table'!$A19, LS_previous!$B$4:$AY$138,LS_previous!AS$149, FALSE))/2)</f>
        <v>-1709.1549371552001</v>
      </c>
      <c r="AD19" s="192">
        <f t="array" ref="AD19">IF($G19=0, INDEX(LS_previous!$D$4:$AY$138, MATCH('Staging Table'!$A19, LS_previous!$B$4:$B$138, 0), MATCH(AD$4&amp;AD$5, LS_previous!$D$2:$AY$2&amp;LS_previous!$D$3:$AY$3, 0)),SUM(VLOOKUP($A19, LS_previous!$B$4:$AY$138, LS_previous!V$149, FALSE), VLOOKUP('Staging Table'!$A19, LS_previous!$B$4:$AY$138,LS_previous!AT$149, FALSE))/2)</f>
        <v>-792.23293538079997</v>
      </c>
      <c r="AE19" s="192">
        <f t="array" ref="AE19">IF($G19=0, INDEX(LS_previous!$D$4:$AY$138, MATCH('Staging Table'!$A19, LS_previous!$B$4:$B$138, 0), MATCH(AE$4&amp;AE$5, LS_previous!$D$2:$AY$2&amp;LS_previous!$D$3:$AY$3, 0)),SUM(VLOOKUP($A19, LS_previous!$B$4:$AY$138, LS_previous!W$149, FALSE), VLOOKUP('Staging Table'!$A19, LS_previous!$B$4:$AY$138,LS_previous!AU$149, FALSE))/2)</f>
        <v>-702.35038144639975</v>
      </c>
      <c r="AF19" s="192">
        <f t="array" ref="AF19">IF($G19=0, INDEX(LS_previous!$D$4:$AY$138, MATCH('Staging Table'!$A19, LS_previous!$B$4:$B$138, 0), MATCH(AF$4&amp;AF$5, LS_previous!$D$2:$AY$2&amp;LS_previous!$D$3:$AY$3, 0)),SUM(VLOOKUP($A19, LS_previous!$B$4:$AY$138, LS_previous!X$149, FALSE), VLOOKUP('Staging Table'!$A19, LS_previous!$B$4:$AY$138,LS_previous!AV$149, FALSE))/2)</f>
        <v>183.54510121920021</v>
      </c>
      <c r="AG19" s="192">
        <f t="array" ref="AG19">IF($G19=0, INDEX(LS_previous!$D$4:$AY$138, MATCH('Staging Table'!$A19, LS_previous!$B$4:$B$138, 0), MATCH(AG$4&amp;AG$5, LS_previous!$D$2:$AY$2&amp;LS_previous!$D$3:$AY$3, 0)),SUM(VLOOKUP($A19, LS_previous!$B$4:$AY$138, LS_previous!Y$149, FALSE), VLOOKUP('Staging Table'!$A19, LS_previous!$B$4:$AY$138,LS_previous!AW$149, FALSE))/2)</f>
        <v>-127.20631744640013</v>
      </c>
      <c r="AH19" s="192">
        <f t="array" ref="AH19">IF($G19=0, INDEX(LS_previous!$D$4:$AY$138, MATCH('Staging Table'!$A19, LS_previous!$B$4:$B$138, 0), MATCH(AH$4&amp;AH$5, LS_previous!$D$2:$AY$2&amp;LS_previous!$D$3:$AY$3, 0)),SUM(VLOOKUP($A19, LS_previous!$B$4:$AY$138, LS_previous!Z$149, FALSE), VLOOKUP('Staging Table'!$A19, LS_previous!$B$4:$AY$138,LS_previous!AX$149, FALSE))/2)</f>
        <v>334.76796607999995</v>
      </c>
      <c r="AI19" s="192">
        <f t="array" ref="AI19">IF($G19=0, INDEX(LS_previous!$D$4:$AY$138, MATCH('Staging Table'!$A19, LS_previous!$B$4:$B$138, 0), MATCH(AI$4&amp;AI$5, LS_previous!$D$2:$AY$2&amp;LS_previous!$D$3:$AY$3, 0)),SUM(VLOOKUP($A19, LS_previous!$B$4:$AY$138, LS_previous!AA$149, FALSE), VLOOKUP('Staging Table'!$A19, LS_previous!$B$4:$AY$138,LS_previous!AY$149, FALSE))/2)</f>
        <v>-63.936886415999879</v>
      </c>
      <c r="AJ19" s="314">
        <f t="array" ref="AJ19">INDEX(Demand_previous!$D$4:$AY$138, MATCH('Staging Table'!$A19, Demand_previous!$B$4:$B$138, 0), MATCH(AJ$4&amp;AJ$5,Demand_previous!$D$2:$AY$2&amp;Demand_previous!$D$3:$AY$3, 0))/1000</f>
        <v>0.28986805555555462</v>
      </c>
      <c r="AK19" s="314">
        <f t="array" ref="AK19">INDEX(Demand_previous!$D$4:$AY$138, MATCH('Staging Table'!$A19, Demand_previous!$B$4:$B$138, 0), MATCH(AK$4&amp;AK$5,Demand_previous!$D$2:$AY$2&amp;Demand_previous!$D$3:$AY$3, 0))/1000</f>
        <v>0.49006250000000073</v>
      </c>
      <c r="AL19" s="314">
        <f t="array" ref="AL19">INDEX(Demand_previous!$D$4:$AY$138, MATCH('Staging Table'!$A19, Demand_previous!$B$4:$B$138, 0), MATCH(AL$4&amp;AL$5,Demand_previous!$D$2:$AY$2&amp;Demand_previous!$D$3:$AY$3, 0))/1000</f>
        <v>1.5051249999999998</v>
      </c>
      <c r="AM19" s="314">
        <f t="array" ref="AM19">INDEX(Demand_previous!$D$4:$AY$138, MATCH('Staging Table'!$A19, Demand_previous!$B$4:$B$138, 0), MATCH(AM$4&amp;AM$5,Demand_previous!$D$2:$AY$2&amp;Demand_previous!$D$3:$AY$3, 0))/1000</f>
        <v>1.1859326923076936</v>
      </c>
      <c r="AN19" s="314">
        <f t="array" ref="AN19">INDEX(Demand_previous!$D$4:$AY$138, MATCH('Staging Table'!$A19, Demand_previous!$B$4:$B$138, 0), MATCH(AN$4&amp;AN$5,Demand_previous!$D$2:$AY$2&amp;Demand_previous!$D$3:$AY$3, 0))/1000</f>
        <v>1.5314200000000016</v>
      </c>
      <c r="AO19" s="314">
        <f t="array" ref="AO19">INDEX(Demand_previous!$D$4:$AY$138, MATCH('Staging Table'!$A19, Demand_previous!$B$4:$B$138, 0), MATCH(AO$4&amp;AO$5,Demand_previous!$D$2:$AY$2&amp;Demand_previous!$D$3:$AY$3, 0))/1000</f>
        <v>0.13592788461538485</v>
      </c>
      <c r="AP19" s="314">
        <f t="array" ref="AP19">INDEX(Demand_previous!$D$4:$AY$138, MATCH('Staging Table'!$A19, Demand_previous!$B$4:$B$138, 0), MATCH(AP$4&amp;AP$5,Demand_previous!$D$2:$AY$2&amp;Demand_previous!$D$3:$AY$3, 0))/1000</f>
        <v>0.95005048076923071</v>
      </c>
      <c r="AQ19" s="314">
        <f t="array" ref="AQ19">INDEX(Demand_previous!$D$4:$AY$138, MATCH('Staging Table'!$A19, Demand_previous!$B$4:$B$138, 0), MATCH(AQ$4&amp;AQ$5,Demand_previous!$D$2:$AY$2&amp;Demand_previous!$D$3:$AY$3, 0))/1000</f>
        <v>0.18432499999999963</v>
      </c>
      <c r="AR19" s="314">
        <f t="array" ref="AR19">INDEX(Demand_previous!$D$4:$AY$138, MATCH('Staging Table'!$A19, Demand_previous!$B$4:$B$138, 0), MATCH(AR$4&amp;AR$5,Demand_previous!$D$2:$AY$2&amp;Demand_previous!$D$3:$AY$3, 0))/1000</f>
        <v>0.91884375000000174</v>
      </c>
      <c r="AS19" s="314">
        <f t="array" ref="AS19">INDEX(Demand_previous!$D$4:$AY$138, MATCH('Staging Table'!$A19, Demand_previous!$B$4:$B$138, 0), MATCH(AS$4&amp;AS$5,Demand_previous!$D$2:$AY$2&amp;Demand_previous!$D$3:$AY$3, 0))/1000</f>
        <v>0.47837740384615479</v>
      </c>
      <c r="AT19" s="314">
        <f t="array" ref="AT19">INDEX(Demand_previous!$D$4:$AY$138, MATCH('Staging Table'!$A19, Demand_previous!$B$4:$B$138, 0), MATCH(AT$4&amp;AT$5,Demand_previous!$D$2:$AY$2&amp;Demand_previous!$D$3:$AY$3, 0))/1000</f>
        <v>3.365384615384559E-2</v>
      </c>
      <c r="AU19" s="314">
        <f t="array" ref="AU19">INDEX(Demand_previous!$D$4:$AY$138, MATCH('Staging Table'!$A19, Demand_previous!$B$4:$B$138, 0), MATCH(AU$4&amp;AU$5,Demand_previous!$D$2:$AY$2&amp;Demand_previous!$D$3:$AY$3, 0))/1000</f>
        <v>0.77853499999999864</v>
      </c>
      <c r="AV19" s="192">
        <f>$F19*(VLOOKUP(AV$4, Rates_previous!$G$6:$Q$29, 10, FALSE)+VLOOKUP(AV$4, Rates_previous!$G$6:$Q$29, 11, FALSE))</f>
        <v>3477.7633120271994</v>
      </c>
      <c r="AW19" s="192">
        <f>$F19*(VLOOKUP(AW$4, Rates_previous!$G$6:$Q$29, 10, FALSE)+VLOOKUP(AW$4, Rates_previous!$G$6:$Q$29, 11, FALSE))</f>
        <v>4417.8443156147996</v>
      </c>
      <c r="AX19" s="192">
        <f>$F19*(VLOOKUP(AX$4, Rates_previous!$G$6:$Q$29, 10, FALSE)+VLOOKUP(AX$4, Rates_previous!$G$6:$Q$29, 11, FALSE))</f>
        <v>4364.4928676272002</v>
      </c>
      <c r="AY19" s="192">
        <f>$F19*(VLOOKUP(AY$4, Rates_previous!$G$6:$Q$29, 10, FALSE)+VLOOKUP(AY$4, Rates_previous!$G$6:$Q$29, 11, FALSE))</f>
        <v>3638.0706340272004</v>
      </c>
      <c r="AZ19" s="192">
        <f>$F19*(VLOOKUP(AZ$4, Rates_previous!$G$6:$Q$29, 10, FALSE)+VLOOKUP(AZ$4, Rates_previous!$G$6:$Q$29, 11, FALSE))</f>
        <v>3295.7145737599999</v>
      </c>
      <c r="BA19" s="192">
        <f>$F19*(VLOOKUP(BA$4, Rates_previous!$G$6:$Q$29, 10, FALSE)+VLOOKUP(BA$4, Rates_previous!$G$6:$Q$29, 11, FALSE))</f>
        <v>3665.8815957483998</v>
      </c>
      <c r="BB19" s="192">
        <f>$F19*(VLOOKUP(BB$4, Rates_previous!$G$6:$Q$29, 10, FALSE)+VLOOKUP(BB$4, Rates_previous!$G$6:$Q$29, 11, FALSE))</f>
        <v>2984.7647511360001</v>
      </c>
      <c r="BC19" s="192">
        <f>$F19*(VLOOKUP(BC$4, Rates_previous!$G$6:$Q$29, 10, FALSE)+VLOOKUP(BC$4, Rates_previous!$G$6:$Q$29, 11, FALSE))</f>
        <v>4025.4003446272004</v>
      </c>
      <c r="BD19" s="192">
        <f>$F19*(VLOOKUP(BD$4, Rates_previous!$G$6:$Q$29, 10, FALSE)+VLOOKUP(BD$4, Rates_previous!$G$6:$Q$29, 11, FALSE))</f>
        <v>5136.137066536</v>
      </c>
      <c r="BE19" s="192">
        <f>$F19*(VLOOKUP(BE$4, Rates_previous!$G$6:$Q$29, 10, FALSE)+VLOOKUP(BE$4, Rates_previous!$G$6:$Q$29, 11, FALSE))</f>
        <v>4026.8943168272003</v>
      </c>
      <c r="BF19" s="192">
        <f>$F19*(VLOOKUP(BF$4, Rates_previous!$G$6:$Q$29, 10, FALSE)+VLOOKUP(BF$4, Rates_previous!$G$6:$Q$29, 11, FALSE))</f>
        <v>3921.3932162272004</v>
      </c>
      <c r="BG19" s="192">
        <f>$F19*(VLOOKUP(BG$4, Rates_previous!$G$6:$Q$29, 10, FALSE)+VLOOKUP(BG$4, Rates_previous!$G$6:$Q$29, 11, FALSE))</f>
        <v>3520.5769203360001</v>
      </c>
      <c r="BH19" s="314">
        <f>IF($D19=0,IF(C19=0, MAX(BJ19 - (VLOOKUP($A19,TOCA_previous!$A$2:$AI$137,MATCH("RHWM 2020",TOCA_previous!$A$2:$AI$2,0),FALSE)*$F$2*TOCA_previous!C16),0),0), 0)</f>
        <v>2350.750744411198</v>
      </c>
      <c r="BI19" s="204">
        <f>MIN(VLOOKUP($A19,TOCA_previous!$A$2:$AI$137,MATCH("TRL - NLSL - Existing Resource "&amp;$F$1,TOCA_previous!$A$2:$AI$2,0),FALSE)*$F$2,(VLOOKUP($A19,TOCA_previous!$A$2:$AI$137,MATCH("RHWM 2020",TOCA_previous!$A$2:$AI$2,0),FALSE)*$F$2))</f>
        <v>46476.144</v>
      </c>
      <c r="BJ19" s="418">
        <f>SUM(L19:AI19)+(F19*RT1SC!$C$3*$F$2)</f>
        <v>48826.894744411198</v>
      </c>
      <c r="BK19" s="417">
        <f>VLOOKUP($A19,TOCA_previous!$A$2:$AI$137,MATCH("Above RHWM Not Served with LS "&amp;$F$1,TOCA_previous!$A$2:$AI$2,0),FALSE)*$F$2</f>
        <v>13984.128000000001</v>
      </c>
      <c r="BL19" s="418">
        <f t="shared" si="8"/>
        <v>2350.750744411198</v>
      </c>
      <c r="BM19" s="417">
        <f>(VLOOKUP($A19,TOCA_previous!$A$2:$AI$137,MATCH("RHWM 2020",TOCA_previous!$A$2:$AI$2,0),FALSE)*$F$2) - $BI19</f>
        <v>0</v>
      </c>
      <c r="BN19" s="418">
        <f t="shared" si="9"/>
        <v>0</v>
      </c>
      <c r="BO19" s="417">
        <f t="shared" si="10"/>
        <v>0</v>
      </c>
      <c r="BP19" s="418">
        <f t="shared" si="11"/>
        <v>0</v>
      </c>
      <c r="BQ19" s="417">
        <f t="shared" si="2"/>
        <v>0</v>
      </c>
      <c r="BR19" s="120">
        <f>VLOOKUP($A19,TOCA_current!$A$2:$AI$137,MATCH(BR$4,TOCA_current!$A$2:$AI$2,0),FALSE)</f>
        <v>7.5319999999999998E-4</v>
      </c>
      <c r="BS19" s="120">
        <f>VLOOKUP($A19,TOCA_current!$A$2:$AI$137,MATCH(BS$4,TOCA_current!$A$2:$AI$2,0),FALSE)</f>
        <v>7.5319999999999998E-4</v>
      </c>
      <c r="BT19" s="201">
        <f t="shared" si="12"/>
        <v>0</v>
      </c>
      <c r="BU19" s="120">
        <f>VLOOKUP($A19,TOCA_current!A15:BG150,MATCH(BU$4,TOCA_current!$A$2:$BG$2,0),FALSE)</f>
        <v>0</v>
      </c>
      <c r="BV19" s="120">
        <f t="shared" si="3"/>
        <v>0</v>
      </c>
      <c r="BW19" s="120">
        <f t="shared" si="4"/>
        <v>0</v>
      </c>
      <c r="BX19" s="191">
        <f>VLOOKUP($A19,IRD!$A$4:$G$139, 7, FALSE)</f>
        <v>0</v>
      </c>
      <c r="BY19" s="192">
        <f t="array" ref="BY19">IF($BT19=0, INDEX(LS_current!$D$4:$AY$138, MATCH('Staging Table'!$A19, LS_current!$B$4:$B$138, 0), MATCH(BY$4&amp;BY$5, LS_current!$D$2:$AY$2&amp;LS_current!$D$3:$AY$3, 0)),SUM(VLOOKUP($A19, LS_current!$B$4:$AY$138, LS_current!D$148, FALSE), VLOOKUP($A19, LS_current!$B$4:$AY$138,LS_current!AB$148, FALSE))/2)</f>
        <v>492.16577275186182</v>
      </c>
      <c r="BZ19" s="192">
        <f t="array" ref="BZ19">IF($BT19=0, INDEX(LS_current!$D$4:$AY$138, MATCH('Staging Table'!$A19, LS_current!$B$4:$B$138, 0), MATCH(BZ$4&amp;BZ$5, LS_current!$D$2:$AY$2&amp;LS_current!$D$3:$AY$3, 0)),SUM(VLOOKUP($A19, LS_current!$B$4:$AY$138, LS_current!E$148, FALSE), VLOOKUP($A19, LS_current!$B$4:$AY$138,LS_current!AC$148, FALSE))/2)</f>
        <v>-149.69864647055329</v>
      </c>
      <c r="CA19" s="192">
        <f t="array" ref="CA19">IF($BT19=0, INDEX(LS_current!$D$4:$AY$138, MATCH('Staging Table'!$A19, LS_current!$B$4:$B$138, 0), MATCH(CA$4&amp;CA$5, LS_current!$D$2:$AY$2&amp;LS_current!$D$3:$AY$3, 0)),SUM(VLOOKUP($A19, LS_current!$B$4:$AY$138, LS_current!F$148, FALSE), VLOOKUP($A19, LS_current!$B$4:$AY$138,LS_current!AD$148, FALSE))/2)</f>
        <v>435.19469753759722</v>
      </c>
      <c r="CB19" s="192">
        <f t="array" ref="CB19">IF($BT19=0, INDEX(LS_current!$D$4:$AY$138, MATCH('Staging Table'!$A19, LS_current!$B$4:$B$138, 0), MATCH(CB$4&amp;CB$5, LS_current!$D$2:$AY$2&amp;LS_current!$D$3:$AY$3, 0)),SUM(VLOOKUP($A19, LS_current!$B$4:$AY$138, LS_current!G$148, FALSE), VLOOKUP($A19, LS_current!$B$4:$AY$138,LS_current!AE$148, FALSE))/2)</f>
        <v>-38.418277507897074</v>
      </c>
      <c r="CC19" s="192">
        <f t="array" ref="CC19">IF($BT19=0, INDEX(LS_current!$D$4:$AY$138, MATCH('Staging Table'!$A19, LS_current!$B$4:$B$138, 0), MATCH(CC$4&amp;CC$5, LS_current!$D$2:$AY$2&amp;LS_current!$D$3:$AY$3, 0)),SUM(VLOOKUP($A19, LS_current!$B$4:$AY$138, LS_current!H$148, FALSE), VLOOKUP($A19, LS_current!$B$4:$AY$138,LS_current!AF$148, FALSE))/2)</f>
        <v>1513.5930554869542</v>
      </c>
      <c r="CD19" s="192">
        <f t="array" ref="CD19">IF($BT19=0, INDEX(LS_current!$D$4:$AY$138, MATCH('Staging Table'!$A19, LS_current!$B$4:$B$138, 0), MATCH(CD$4&amp;CD$5, LS_current!$D$2:$AY$2&amp;LS_current!$D$3:$AY$3, 0)),SUM(VLOOKUP($A19, LS_current!$B$4:$AY$138, LS_current!I$148, FALSE), VLOOKUP($A19, LS_current!$B$4:$AY$138,LS_current!AG$148, FALSE))/2)</f>
        <v>479.54094424732898</v>
      </c>
      <c r="CE19" s="192">
        <f t="array" ref="CE19">IF($BT19=0, INDEX(LS_current!$D$4:$AY$138, MATCH('Staging Table'!$A19, LS_current!$B$4:$B$138, 0), MATCH(CE$4&amp;CE$5, LS_current!$D$2:$AY$2&amp;LS_current!$D$3:$AY$3, 0)),SUM(VLOOKUP($A19, LS_current!$B$4:$AY$138, LS_current!J$148, FALSE), VLOOKUP($A19, LS_current!$B$4:$AY$138,LS_current!AH$148, FALSE))/2)</f>
        <v>1943.7461509774764</v>
      </c>
      <c r="CF19" s="192">
        <f t="array" ref="CF19">IF($BT19=0, INDEX(LS_current!$D$4:$AY$138, MATCH('Staging Table'!$A19, LS_current!$B$4:$B$138, 0), MATCH(CF$4&amp;CF$5, LS_current!$D$2:$AY$2&amp;LS_current!$D$3:$AY$3, 0)),SUM(VLOOKUP($A19, LS_current!$B$4:$AY$138, LS_current!K$148, FALSE), VLOOKUP($A19, LS_current!$B$4:$AY$138,LS_current!AI$148, FALSE))/2)</f>
        <v>728.13933511265054</v>
      </c>
      <c r="CG19" s="192">
        <f t="array" ref="CG19">IF($BT19=0, INDEX(LS_current!$D$4:$AY$138, MATCH('Staging Table'!$A19, LS_current!$B$4:$B$138, 0), MATCH(CG$4&amp;CG$5, LS_current!$D$2:$AY$2&amp;LS_current!$D$3:$AY$3, 0)),SUM(VLOOKUP($A19, LS_current!$B$4:$AY$138, LS_current!L$148, FALSE), VLOOKUP($A19, LS_current!$B$4:$AY$138,LS_current!AJ$148, FALSE))/2)</f>
        <v>1634.0410003634286</v>
      </c>
      <c r="CH19" s="192">
        <f t="array" ref="CH19">IF($BT19=0, INDEX(LS_current!$D$4:$AY$138, MATCH('Staging Table'!$A19, LS_current!$B$4:$B$138, 0), MATCH(CH$4&amp;CH$5, LS_current!$D$2:$AY$2&amp;LS_current!$D$3:$AY$3, 0)),SUM(VLOOKUP($A19, LS_current!$B$4:$AY$138, LS_current!M$148, FALSE), VLOOKUP($A19, LS_current!$B$4:$AY$138,LS_current!AK$148, FALSE))/2)</f>
        <v>544.04518645409371</v>
      </c>
      <c r="CI19" s="192">
        <f t="array" ref="CI19">IF($BT19=0, INDEX(LS_current!$D$4:$AY$138, MATCH('Staging Table'!$A19, LS_current!$B$4:$B$138, 0), MATCH(CI$4&amp;CI$5, LS_current!$D$2:$AY$2&amp;LS_current!$D$3:$AY$3, 0)),SUM(VLOOKUP($A19, LS_current!$B$4:$AY$138, LS_current!N$148, FALSE), VLOOKUP($A19, LS_current!$B$4:$AY$138,LS_current!AL$148, FALSE))/2)</f>
        <v>753.11667591217883</v>
      </c>
      <c r="CJ19" s="192">
        <f t="array" ref="CJ19">IF($BT19=0, INDEX(LS_current!$D$4:$AY$138, MATCH('Staging Table'!$A19, LS_current!$B$4:$B$138, 0), MATCH(CJ$4&amp;CJ$5, LS_current!$D$2:$AY$2&amp;LS_current!$D$3:$AY$3, 0)),SUM(VLOOKUP($A19, LS_current!$B$4:$AY$138, LS_current!O$148, FALSE), VLOOKUP($A19, LS_current!$B$4:$AY$138,LS_current!AM$148, FALSE))/2)</f>
        <v>67.452226456587368</v>
      </c>
      <c r="CK19" s="192">
        <f t="array" ref="CK19">IF($BT19=0, INDEX(LS_current!$D$4:$AY$138, MATCH('Staging Table'!$A19, LS_current!$B$4:$B$138, 0), MATCH(CK$4&amp;CK$5, LS_current!$D$2:$AY$2&amp;LS_current!$D$3:$AY$3, 0)),SUM(VLOOKUP($A19, LS_current!$B$4:$AY$138, LS_current!P$148, FALSE), VLOOKUP($A19, LS_current!$B$4:$AY$138,LS_current!AN$148, FALSE))/2)</f>
        <v>228.57437199233823</v>
      </c>
      <c r="CL19" s="192">
        <f t="array" ref="CL19">IF($BT19=0, INDEX(LS_current!$D$4:$AY$138, MATCH('Staging Table'!$A19, LS_current!$B$4:$B$138, 0), MATCH(CL$4&amp;CL$5, LS_current!$D$2:$AY$2&amp;LS_current!$D$3:$AY$3, 0)),SUM(VLOOKUP($A19, LS_current!$B$4:$AY$138, LS_current!Q$148, FALSE), VLOOKUP($A19, LS_current!$B$4:$AY$138,LS_current!AO$148, FALSE))/2)</f>
        <v>-330.00789612801032</v>
      </c>
      <c r="CM19" s="192">
        <f t="array" ref="CM19">IF($BT19=0, INDEX(LS_current!$D$4:$AY$138, MATCH('Staging Table'!$A19, LS_current!$B$4:$B$138, 0), MATCH(CM$4&amp;CM$5, LS_current!$D$2:$AY$2&amp;LS_current!$D$3:$AY$3, 0)),SUM(VLOOKUP($A19, LS_current!$B$4:$AY$138, LS_current!R$148, FALSE), VLOOKUP($A19, LS_current!$B$4:$AY$138,LS_current!AP$148, FALSE))/2)</f>
        <v>-1543.0985265543395</v>
      </c>
      <c r="CN19" s="192">
        <f t="array" ref="CN19">IF($BT19=0, INDEX(LS_current!$D$4:$AY$138, MATCH('Staging Table'!$A19, LS_current!$B$4:$B$138, 0), MATCH(CN$4&amp;CN$5, LS_current!$D$2:$AY$2&amp;LS_current!$D$3:$AY$3, 0)),SUM(VLOOKUP($A19, LS_current!$B$4:$AY$138, LS_current!S$148, FALSE), VLOOKUP($A19, LS_current!$B$4:$AY$138,LS_current!AQ$148, FALSE))/2)</f>
        <v>-1423.5612360491345</v>
      </c>
      <c r="CO19" s="192">
        <f t="array" ref="CO19">IF($BT19=0, INDEX(LS_current!$D$4:$AY$138, MATCH('Staging Table'!$A19, LS_current!$B$4:$B$138, 0), MATCH(CO$4&amp;CO$5, LS_current!$D$2:$AY$2&amp;LS_current!$D$3:$AY$3, 0)),SUM(VLOOKUP($A19, LS_current!$B$4:$AY$138, LS_current!T$148, FALSE), VLOOKUP($A19, LS_current!$B$4:$AY$138,LS_current!AR$148, FALSE))/2)</f>
        <v>-1927.6120700120978</v>
      </c>
      <c r="CP19" s="192">
        <f t="array" ref="CP19">IF($BT19=0, INDEX(LS_current!$D$4:$AY$138, MATCH('Staging Table'!$A19, LS_current!$B$4:$B$138, 0), MATCH(CP$4&amp;CP$5, LS_current!$D$2:$AY$2&amp;LS_current!$D$3:$AY$3, 0)),SUM(VLOOKUP($A19, LS_current!$B$4:$AY$138, LS_current!U$148, FALSE), VLOOKUP($A19, LS_current!$B$4:$AY$138,LS_current!AS$148, FALSE))/2)</f>
        <v>-1257.320871582471</v>
      </c>
      <c r="CQ19" s="192">
        <f t="array" ref="CQ19">IF($BT19=0, INDEX(LS_current!$D$4:$AY$138, MATCH('Staging Table'!$A19, LS_current!$B$4:$B$138, 0), MATCH(CQ$4&amp;CQ$5, LS_current!$D$2:$AY$2&amp;LS_current!$D$3:$AY$3, 0)),SUM(VLOOKUP($A19, LS_current!$B$4:$AY$138, LS_current!V$148, FALSE), VLOOKUP($A19, LS_current!$B$4:$AY$138,LS_current!AT$148, FALSE))/2)</f>
        <v>-836.57056835413914</v>
      </c>
      <c r="CR19" s="192">
        <f t="array" ref="CR19">IF($BT19=0, INDEX(LS_current!$D$4:$AY$138, MATCH('Staging Table'!$A19, LS_current!$B$4:$B$138, 0), MATCH(CR$4&amp;CR$5, LS_current!$D$2:$AY$2&amp;LS_current!$D$3:$AY$3, 0)),SUM(VLOOKUP($A19, LS_current!$B$4:$AY$138, LS_current!W$148, FALSE), VLOOKUP($A19, LS_current!$B$4:$AY$138,LS_current!AU$148, FALSE))/2)</f>
        <v>-970.13238843869772</v>
      </c>
      <c r="CS19" s="192">
        <f t="array" ref="CS19">IF($BT19=0, INDEX(LS_current!$D$4:$AY$138, MATCH('Staging Table'!$A19, LS_current!$B$4:$B$138, 0), MATCH(CS$4&amp;CS$5, LS_current!$D$2:$AY$2&amp;LS_current!$D$3:$AY$3, 0)),SUM(VLOOKUP($A19, LS_current!$B$4:$AY$138, LS_current!X$148, FALSE), VLOOKUP($A19, LS_current!$B$4:$AY$138,LS_current!AV$148, FALSE))/2)</f>
        <v>47.678805437302799</v>
      </c>
      <c r="CT19" s="192">
        <f t="array" ref="CT19">IF($BT19=0, INDEX(LS_current!$D$4:$AY$138, MATCH('Staging Table'!$A19, LS_current!$B$4:$B$138, 0), MATCH(CT$4&amp;CT$5, LS_current!$D$2:$AY$2&amp;LS_current!$D$3:$AY$3, 0)),SUM(VLOOKUP($A19, LS_current!$B$4:$AY$138, LS_current!Y$148, FALSE), VLOOKUP($A19, LS_current!$B$4:$AY$138,LS_current!AW$148, FALSE))/2)</f>
        <v>-275.85968106045902</v>
      </c>
      <c r="CU19" s="192">
        <f t="array" ref="CU19">IF($BT19=0, INDEX(LS_current!$D$4:$AY$138, MATCH('Staging Table'!$A19, LS_current!$B$4:$B$138, 0), MATCH(CU$4&amp;CU$5, LS_current!$D$2:$AY$2&amp;LS_current!$D$3:$AY$3, 0)),SUM(VLOOKUP($A19, LS_current!$B$4:$AY$138, LS_current!Z$148, FALSE), VLOOKUP($A19, LS_current!$B$4:$AY$138,LS_current!AX$148, FALSE))/2)</f>
        <v>128.42326268452734</v>
      </c>
      <c r="CV19" s="192">
        <f t="array" ref="CV19">IF($BT19=0, INDEX(LS_current!$D$4:$AY$138, MATCH('Staging Table'!$A19, LS_current!$B$4:$B$138, 0), MATCH(CV$4&amp;CV$5, LS_current!$D$2:$AY$2&amp;LS_current!$D$3:$AY$3, 0)),SUM(VLOOKUP($A19, LS_current!$B$4:$AY$138, LS_current!AA$148, FALSE), VLOOKUP($A19, LS_current!$B$4:$AY$138,LS_current!AY$148, FALSE))/2)</f>
        <v>-240.08029510299525</v>
      </c>
      <c r="CW19" s="194">
        <f t="array" ref="CW19">INDEX(Demand_current!$D$4:$AY$138, MATCH($A19, Demand_current!$B$4:$B$138, 0), MATCH(CW$4&amp;CW$5,Demand_current!$D$2:$AY$2&amp;Demand_current!$D$3:$AY$3, 0))/1000</f>
        <v>0</v>
      </c>
      <c r="CX19" s="194">
        <f t="array" ref="CX19">INDEX(Demand_current!$D$4:$AY$138, MATCH($A19, Demand_current!$B$4:$B$138, 0), MATCH(CX$4&amp;CX$5,Demand_current!$D$2:$AY$2&amp;Demand_current!$D$3:$AY$3, 0))/1000</f>
        <v>0.49006250000000073</v>
      </c>
      <c r="CY19" s="194">
        <f t="array" ref="CY19">INDEX(Demand_current!$D$4:$AY$138, MATCH($A19, Demand_current!$B$4:$B$138, 0), MATCH(CY$4&amp;CY$5,Demand_current!$D$2:$AY$2&amp;Demand_current!$D$3:$AY$3, 0))/1000</f>
        <v>1.9932740384615377</v>
      </c>
      <c r="CZ19" s="194">
        <f t="array" ref="CZ19">INDEX(Demand_current!$D$4:$AY$138, MATCH($A19, Demand_current!$B$4:$B$138, 0), MATCH(CZ$4&amp;CZ$5,Demand_current!$D$2:$AY$2&amp;Demand_current!$D$3:$AY$3, 0))/1000</f>
        <v>0.70821000000000334</v>
      </c>
      <c r="DA19" s="194">
        <f t="array" ref="DA19">INDEX(Demand_current!$D$4:$AY$138, MATCH($A19, Demand_current!$B$4:$B$138, 0), MATCH(DA$4&amp;DA$5,Demand_current!$D$2:$AY$2&amp;Demand_current!$D$3:$AY$3, 0))/1000</f>
        <v>1.0621041666666686</v>
      </c>
      <c r="DB19" s="194">
        <f t="array" ref="DB19">INDEX(Demand_current!$D$4:$AY$138, MATCH($A19, Demand_current!$B$4:$B$138, 0), MATCH(DB$4&amp;DB$5,Demand_current!$D$2:$AY$2&amp;Demand_current!$D$3:$AY$3, 0))/1000</f>
        <v>0.54337499999999994</v>
      </c>
      <c r="DC19" s="194">
        <f t="array" ref="DC19">INDEX(Demand_current!$D$4:$AY$138, MATCH($A19, Demand_current!$B$4:$B$138, 0), MATCH(DC$4&amp;DC$5,Demand_current!$D$2:$AY$2&amp;Demand_current!$D$3:$AY$3, 0))/1000</f>
        <v>0.95005048076923071</v>
      </c>
      <c r="DD19" s="194">
        <f t="array" ref="DD19">INDEX(Demand_current!$D$4:$AY$138, MATCH($A19, Demand_current!$B$4:$B$138, 0), MATCH(DD$4&amp;DD$5,Demand_current!$D$2:$AY$2&amp;Demand_current!$D$3:$AY$3, 0))/1000</f>
        <v>0.18432499999999963</v>
      </c>
      <c r="DE19" s="194">
        <f t="array" ref="DE19">INDEX(Demand_current!$D$4:$AY$138, MATCH($A19, Demand_current!$B$4:$B$138, 0), MATCH(DE$4&amp;DE$5,Demand_current!$D$2:$AY$2&amp;Demand_current!$D$3:$AY$3, 0))/1000</f>
        <v>0.91884375000000174</v>
      </c>
      <c r="DF19" s="194">
        <f t="array" ref="DF19">INDEX(Demand_current!$D$4:$AY$138, MATCH($A19, Demand_current!$B$4:$B$138, 0), MATCH(DF$4&amp;DF$5,Demand_current!$D$2:$AY$2&amp;Demand_current!$D$3:$AY$3, 0))/1000</f>
        <v>0.11087250000000104</v>
      </c>
      <c r="DG19" s="194">
        <f t="array" ref="DG19">INDEX(Demand_current!$D$4:$AY$138, MATCH($A19, Demand_current!$B$4:$B$138, 0), MATCH(DG$4&amp;DG$5,Demand_current!$D$2:$AY$2&amp;Demand_current!$D$3:$AY$3, 0))/1000</f>
        <v>0.39040740740740776</v>
      </c>
      <c r="DH19" s="194">
        <f t="array" ref="DH19">INDEX(Demand_current!$D$4:$AY$138, MATCH($A19, Demand_current!$B$4:$B$138, 0), MATCH(DH$4&amp;DH$5,Demand_current!$D$2:$AY$2&amp;Demand_current!$D$3:$AY$3, 0))/1000</f>
        <v>0.77853499999999864</v>
      </c>
      <c r="DI19" s="192">
        <f>$BS19*(VLOOKUP(DI$4, Rates_current!$G$6:$Q$29, 10, FALSE)+VLOOKUP(DI$4, Rates_current!$G$6:$Q$29, 11, FALSE))</f>
        <v>3430.0158737186916</v>
      </c>
      <c r="DJ19" s="192">
        <f>$BS19*(VLOOKUP(DJ$4, Rates_current!$G$6:$Q$29, 10, FALSE)+VLOOKUP(DJ$4, Rates_current!$G$6:$Q$29, 11, FALSE))</f>
        <v>4342.5245799703007</v>
      </c>
      <c r="DK19" s="192">
        <f>$BS19*(VLOOKUP(DK$4, Rates_current!$G$6:$Q$29, 10, FALSE)+VLOOKUP(DK$4, Rates_current!$G$6:$Q$29, 11, FALSE))</f>
        <v>4250.464000265717</v>
      </c>
      <c r="DL19" s="192">
        <f>$BS19*(VLOOKUP(DL$4, Rates_current!$G$6:$Q$29, 10, FALSE)+VLOOKUP(DL$4, Rates_current!$G$6:$Q$29, 11, FALSE))</f>
        <v>3510.7025139098723</v>
      </c>
      <c r="DM19" s="192">
        <f>$BS19*(VLOOKUP(DM$4, Rates_current!$G$6:$Q$29, 10, FALSE)+VLOOKUP(DM$4, Rates_current!$G$6:$Q$29, 11, FALSE))</f>
        <v>3042.8028131824776</v>
      </c>
      <c r="DN19" s="192">
        <f>$BS19*(VLOOKUP(DN$4, Rates_current!$G$6:$Q$29, 10, FALSE)+VLOOKUP(DN$4, Rates_current!$G$6:$Q$29, 11, FALSE))</f>
        <v>3632.4920976312346</v>
      </c>
      <c r="DO19" s="192">
        <f>$BS19*(VLOOKUP(DO$4, Rates_current!$G$6:$Q$29, 10, FALSE)+VLOOKUP(DO$4, Rates_current!$G$6:$Q$29, 11, FALSE))</f>
        <v>2820.1465241356723</v>
      </c>
      <c r="DP19" s="192">
        <f>$BS19*(VLOOKUP(DP$4, Rates_current!$G$6:$Q$29, 10, FALSE)+VLOOKUP(DP$4, Rates_current!$G$6:$Q$29, 11, FALSE))</f>
        <v>3907.3337626034736</v>
      </c>
      <c r="DQ19" s="192">
        <f>$BS19*(VLOOKUP(DQ$4, Rates_current!$G$6:$Q$29, 10, FALSE)+VLOOKUP(DQ$4, Rates_current!$G$6:$Q$29, 11, FALSE))</f>
        <v>4175.0679415945679</v>
      </c>
      <c r="DR19" s="192">
        <f>$BS19*(VLOOKUP(DR$4, Rates_current!$G$6:$Q$29, 10, FALSE)+VLOOKUP(DR$4, Rates_current!$G$6:$Q$29, 11, FALSE))</f>
        <v>3964.0379567928371</v>
      </c>
      <c r="DS19" s="192">
        <f>$BS19*(VLOOKUP(DS$4, Rates_current!$G$6:$Q$29, 10, FALSE)+VLOOKUP(DS$4, Rates_current!$G$6:$Q$29, 11, FALSE))</f>
        <v>3830.9368756231561</v>
      </c>
      <c r="DT19" s="192">
        <f>$BS19*(VLOOKUP(DT$4, Rates_current!$G$6:$Q$29, 10, FALSE)+VLOOKUP(DT$4, Rates_current!$G$6:$Q$29, 11, FALSE))</f>
        <v>3540.1850324184679</v>
      </c>
      <c r="DU19" s="418">
        <f>IF(D19=0,IF(C19=0,MAX(0,DW19 - (VLOOKUP($A19,TOCA_current!$A$2:$AI$137,MATCH("RHWM 2022",TOCA_current!$A$2:$AI$2,0),FALSE)*$BS$2)), 0),0)</f>
        <v>1.8232736415302497</v>
      </c>
      <c r="DV19" s="419">
        <f>MIN(VLOOKUP($A19,TOCA_current!$A$2:$AI$137,MATCH("TRL - NLSL - Existing Resource "&amp;$BS$1,TOCA_current!$A$2:$AI$2,0),FALSE)*$BS$2, VLOOKUP($A19,TOCA_current!$A$2:$AI$137,MATCH("RHWM 2022",TOCA_current!$A$2:$AI$2,0),FALSE)*$BS$2)</f>
        <v>44448.24</v>
      </c>
      <c r="DW19" s="419">
        <f>SUM(BY19:CV19)+(BS19*RT1SC!$C$4*$BS$2)</f>
        <v>44450.063273641528</v>
      </c>
      <c r="DX19" s="419">
        <f>VLOOKUP($A19,TOCA_current!$A$2:$AI$137,MATCH("Above RHWM Not Served with LS "&amp;$BS$1,TOCA_current!$A$2:$AI$2,0),FALSE)*$BS$2</f>
        <v>18360.96</v>
      </c>
      <c r="DY19" s="419">
        <f t="shared" si="13"/>
        <v>1.8232736415302497</v>
      </c>
      <c r="DZ19" s="419">
        <f>(VLOOKUP($A19,TOCA_current!$A$2:$AI$137,MATCH("RHWM 2022",TOCA_current!$A$2:$AI$2,0),FALSE)*$BS$2) - $DV19</f>
        <v>0</v>
      </c>
      <c r="EA19" s="419">
        <f t="shared" si="14"/>
        <v>0</v>
      </c>
      <c r="EB19" s="419">
        <f t="shared" si="15"/>
        <v>0</v>
      </c>
      <c r="EC19" s="419">
        <f t="shared" si="16"/>
        <v>0</v>
      </c>
      <c r="ED19" s="419">
        <f t="shared" si="17"/>
        <v>0</v>
      </c>
    </row>
    <row r="20" spans="1:134">
      <c r="A20" s="135">
        <v>10064</v>
      </c>
      <c r="B20" s="136" t="s">
        <v>21</v>
      </c>
      <c r="C20" s="244">
        <f>VLOOKUP(A20, TOCA_current!$A$3:$D$137, 4, FALSE)</f>
        <v>0</v>
      </c>
      <c r="D20" s="203">
        <v>0</v>
      </c>
      <c r="E20" s="119">
        <f>VLOOKUP($A20,TOCA_previous!$A$2:$AI$137,MATCH(E$4,TOCA_previous!$A$2:$AI$2,0),FALSE)</f>
        <v>1.9792E-3</v>
      </c>
      <c r="F20" s="120">
        <f>VLOOKUP($A20,TOCA_previous!$A$2:$AI$137,MATCH(F$4,TOCA_previous!$A$2:$AI$2,0),FALSE)</f>
        <v>1.9792E-3</v>
      </c>
      <c r="G20" s="120">
        <f t="shared" si="5"/>
        <v>0</v>
      </c>
      <c r="H20" s="120">
        <f>VLOOKUP($A20,TOCA_previous!$A$2:$AI$137,MATCH(H$4,TOCA_previous!$A$2:$AI$2,0),FALSE)</f>
        <v>0</v>
      </c>
      <c r="I20" s="120">
        <f t="shared" si="6"/>
        <v>0</v>
      </c>
      <c r="J20" s="120">
        <f t="shared" si="7"/>
        <v>0</v>
      </c>
      <c r="K20" s="191">
        <f>VLOOKUP(A20, IRD!$A$5:$C$139, 3, FALSE)</f>
        <v>0</v>
      </c>
      <c r="L20" s="192">
        <f t="array" ref="L20">IF($G20=0, INDEX(LS_previous!$D$4:$AY$138, MATCH('Staging Table'!$A20, LS_previous!$B$4:$B$138, 0), MATCH(L$4&amp;L$5, LS_previous!$D$2:$AY$2&amp;LS_previous!$D$3:$AY$3, 0)),SUM(VLOOKUP($A20, LS_previous!$B$4:$AY$138, LS_previous!D$149, FALSE), VLOOKUP('Staging Table'!$A20, LS_previous!$B$4:$AY$138,LS_previous!AB$149, FALSE))/2)</f>
        <v>-200.71421592959905</v>
      </c>
      <c r="M20" s="192">
        <f t="array" ref="M20">IF($G20=0, INDEX(LS_previous!$D$4:$AY$138, MATCH('Staging Table'!$A20, LS_previous!$B$4:$B$138, 0), MATCH(M$4&amp;M$5, LS_previous!$D$2:$AY$2&amp;LS_previous!$D$3:$AY$3, 0)),SUM(VLOOKUP($A20, LS_previous!$B$4:$AY$138, LS_previous!E$149, FALSE), VLOOKUP('Staging Table'!$A20, LS_previous!$B$4:$AY$138,LS_previous!AC$149, FALSE))/2)</f>
        <v>314.88802160640034</v>
      </c>
      <c r="N20" s="192">
        <f t="array" ref="N20">IF($G20=0, INDEX(LS_previous!$D$4:$AY$138, MATCH('Staging Table'!$A20, LS_previous!$B$4:$B$138, 0), MATCH(N$4&amp;N$5, LS_previous!$D$2:$AY$2&amp;LS_previous!$D$3:$AY$3, 0)),SUM(VLOOKUP($A20, LS_previous!$B$4:$AY$138, LS_previous!F$149, FALSE), VLOOKUP('Staging Table'!$A20, LS_previous!$B$4:$AY$138,LS_previous!AD$149, FALSE))/2)</f>
        <v>-1344.8358114175999</v>
      </c>
      <c r="O20" s="192">
        <f t="array" ref="O20">IF($G20=0, INDEX(LS_previous!$D$4:$AY$138, MATCH('Staging Table'!$A20, LS_previous!$B$4:$B$138, 0), MATCH(O$4&amp;O$5, LS_previous!$D$2:$AY$2&amp;LS_previous!$D$3:$AY$3, 0)),SUM(VLOOKUP($A20, LS_previous!$B$4:$AY$138, LS_previous!G$149, FALSE), VLOOKUP('Staging Table'!$A20, LS_previous!$B$4:$AY$138,LS_previous!AE$149, FALSE))/2)</f>
        <v>-465.82865521120038</v>
      </c>
      <c r="P20" s="192">
        <f t="array" ref="P20">IF($G20=0, INDEX(LS_previous!$D$4:$AY$138, MATCH('Staging Table'!$A20, LS_previous!$B$4:$B$138, 0), MATCH(P$4&amp;P$5, LS_previous!$D$2:$AY$2&amp;LS_previous!$D$3:$AY$3, 0)),SUM(VLOOKUP($A20, LS_previous!$B$4:$AY$138, LS_previous!H$149, FALSE), VLOOKUP('Staging Table'!$A20, LS_previous!$B$4:$AY$138,LS_previous!AF$149, FALSE))/2)</f>
        <v>608.66955477759893</v>
      </c>
      <c r="Q20" s="192">
        <f t="array" ref="Q20">IF($G20=0, INDEX(LS_previous!$D$4:$AY$138, MATCH('Staging Table'!$A20, LS_previous!$B$4:$B$138, 0), MATCH(Q$4&amp;Q$5, LS_previous!$D$2:$AY$2&amp;LS_previous!$D$3:$AY$3, 0)),SUM(VLOOKUP($A20, LS_previous!$B$4:$AY$138, LS_previous!I$149, FALSE), VLOOKUP('Staging Table'!$A20, LS_previous!$B$4:$AY$138,LS_previous!AG$149, FALSE))/2)</f>
        <v>679.66973729919937</v>
      </c>
      <c r="R20" s="192">
        <f t="array" ref="R20">IF($G20=0, INDEX(LS_previous!$D$4:$AY$138, MATCH('Staging Table'!$A20, LS_previous!$B$4:$B$138, 0), MATCH(R$4&amp;R$5, LS_previous!$D$2:$AY$2&amp;LS_previous!$D$3:$AY$3, 0)),SUM(VLOOKUP($A20, LS_previous!$B$4:$AY$138, LS_previous!J$149, FALSE), VLOOKUP('Staging Table'!$A20, LS_previous!$B$4:$AY$138,LS_previous!AH$149, FALSE))/2)</f>
        <v>1411.0867339775996</v>
      </c>
      <c r="S20" s="192">
        <f t="array" ref="S20">IF($G20=0, INDEX(LS_previous!$D$4:$AY$138, MATCH('Staging Table'!$A20, LS_previous!$B$4:$B$138, 0), MATCH(S$4&amp;S$5, LS_previous!$D$2:$AY$2&amp;LS_previous!$D$3:$AY$3, 0)),SUM(VLOOKUP($A20, LS_previous!$B$4:$AY$138, LS_previous!K$149, FALSE), VLOOKUP('Staging Table'!$A20, LS_previous!$B$4:$AY$138,LS_previous!AI$149, FALSE))/2)</f>
        <v>1785.8600396992006</v>
      </c>
      <c r="T20" s="192">
        <f t="array" ref="T20">IF($G20=0, INDEX(LS_previous!$D$4:$AY$138, MATCH('Staging Table'!$A20, LS_previous!$B$4:$B$138, 0), MATCH(T$4&amp;T$5, LS_previous!$D$2:$AY$2&amp;LS_previous!$D$3:$AY$3, 0)),SUM(VLOOKUP($A20, LS_previous!$B$4:$AY$138, LS_previous!L$149, FALSE), VLOOKUP('Staging Table'!$A20, LS_previous!$B$4:$AY$138,LS_previous!AJ$149, FALSE))/2)</f>
        <v>976.84717217920024</v>
      </c>
      <c r="U20" s="192">
        <f t="array" ref="U20">IF($G20=0, INDEX(LS_previous!$D$4:$AY$138, MATCH('Staging Table'!$A20, LS_previous!$B$4:$B$138, 0), MATCH(U$4&amp;U$5, LS_previous!$D$2:$AY$2&amp;LS_previous!$D$3:$AY$3, 0)),SUM(VLOOKUP($A20, LS_previous!$B$4:$AY$138, LS_previous!M$149, FALSE), VLOOKUP('Staging Table'!$A20, LS_previous!$B$4:$AY$138,LS_previous!AK$149, FALSE))/2)</f>
        <v>794.87805726079978</v>
      </c>
      <c r="V20" s="192">
        <f t="array" ref="V20">IF($G20=0, INDEX(LS_previous!$D$4:$AY$138, MATCH('Staging Table'!$A20, LS_previous!$B$4:$B$138, 0), MATCH(V$4&amp;V$5, LS_previous!$D$2:$AY$2&amp;LS_previous!$D$3:$AY$3, 0)),SUM(VLOOKUP($A20, LS_previous!$B$4:$AY$138, LS_previous!N$149, FALSE), VLOOKUP('Staging Table'!$A20, LS_previous!$B$4:$AY$138,LS_previous!AL$149, FALSE))/2)</f>
        <v>343.82691937280106</v>
      </c>
      <c r="W20" s="192">
        <f t="array" ref="W20">IF($G20=0, INDEX(LS_previous!$D$4:$AY$138, MATCH('Staging Table'!$A20, LS_previous!$B$4:$B$138, 0), MATCH(W$4&amp;W$5, LS_previous!$D$2:$AY$2&amp;LS_previous!$D$3:$AY$3, 0)),SUM(VLOOKUP($A20, LS_previous!$B$4:$AY$138, LS_previous!O$149, FALSE), VLOOKUP('Staging Table'!$A20, LS_previous!$B$4:$AY$138,LS_previous!AM$149, FALSE))/2)</f>
        <v>284.60938611680012</v>
      </c>
      <c r="X20" s="192">
        <f t="array" ref="X20">IF($G20=0, INDEX(LS_previous!$D$4:$AY$138, MATCH('Staging Table'!$A20, LS_previous!$B$4:$B$138, 0), MATCH(X$4&amp;X$5, LS_previous!$D$2:$AY$2&amp;LS_previous!$D$3:$AY$3, 0)),SUM(VLOOKUP($A20, LS_previous!$B$4:$AY$138, LS_previous!P$149, FALSE), VLOOKUP('Staging Table'!$A20, LS_previous!$B$4:$AY$138,LS_previous!AN$149, FALSE))/2)</f>
        <v>789.19607467520018</v>
      </c>
      <c r="Y20" s="192">
        <f t="array" ref="Y20">IF($G20=0, INDEX(LS_previous!$D$4:$AY$138, MATCH('Staging Table'!$A20, LS_previous!$B$4:$B$138, 0), MATCH(Y$4&amp;Y$5, LS_previous!$D$2:$AY$2&amp;LS_previous!$D$3:$AY$3, 0)),SUM(VLOOKUP($A20, LS_previous!$B$4:$AY$138, LS_previous!Q$149, FALSE), VLOOKUP('Staging Table'!$A20, LS_previous!$B$4:$AY$138,LS_previous!AO$149, FALSE))/2)</f>
        <v>363.52975770879993</v>
      </c>
      <c r="Z20" s="192">
        <f t="array" ref="Z20">IF($G20=0, INDEX(LS_previous!$D$4:$AY$138, MATCH('Staging Table'!$A20, LS_previous!$B$4:$B$138, 0), MATCH(Z$4&amp;Z$5, LS_previous!$D$2:$AY$2&amp;LS_previous!$D$3:$AY$3, 0)),SUM(VLOOKUP($A20, LS_previous!$B$4:$AY$138, LS_previous!R$149, FALSE), VLOOKUP('Staging Table'!$A20, LS_previous!$B$4:$AY$138,LS_previous!AP$149, FALSE))/2)</f>
        <v>-1693.3119883200006</v>
      </c>
      <c r="AA20" s="192">
        <f t="array" ref="AA20">IF($G20=0, INDEX(LS_previous!$D$4:$AY$138, MATCH('Staging Table'!$A20, LS_previous!$B$4:$B$138, 0), MATCH(AA$4&amp;AA$5, LS_previous!$D$2:$AY$2&amp;LS_previous!$D$3:$AY$3, 0)),SUM(VLOOKUP($A20, LS_previous!$B$4:$AY$138, LS_previous!S$149, FALSE), VLOOKUP('Staging Table'!$A20, LS_previous!$B$4:$AY$138,LS_previous!AQ$149, FALSE))/2)</f>
        <v>-347.1169316032001</v>
      </c>
      <c r="AB20" s="192">
        <f t="array" ref="AB20">IF($G20=0, INDEX(LS_previous!$D$4:$AY$138, MATCH('Staging Table'!$A20, LS_previous!$B$4:$B$138, 0), MATCH(AB$4&amp;AB$5, LS_previous!$D$2:$AY$2&amp;LS_previous!$D$3:$AY$3, 0)),SUM(VLOOKUP($A20, LS_previous!$B$4:$AY$138, LS_previous!T$149, FALSE), VLOOKUP('Staging Table'!$A20, LS_previous!$B$4:$AY$138,LS_previous!AR$149, FALSE))/2)</f>
        <v>-2951.8408365247997</v>
      </c>
      <c r="AC20" s="192">
        <f t="array" ref="AC20">IF($G20=0, INDEX(LS_previous!$D$4:$AY$138, MATCH('Staging Table'!$A20, LS_previous!$B$4:$B$138, 0), MATCH(AC$4&amp;AC$5, LS_previous!$D$2:$AY$2&amp;LS_previous!$D$3:$AY$3, 0)),SUM(VLOOKUP($A20, LS_previous!$B$4:$AY$138, LS_previous!U$149, FALSE), VLOOKUP('Staging Table'!$A20, LS_previous!$B$4:$AY$138,LS_previous!AS$149, FALSE))/2)</f>
        <v>-1675.7430934911999</v>
      </c>
      <c r="AD20" s="192">
        <f t="array" ref="AD20">IF($G20=0, INDEX(LS_previous!$D$4:$AY$138, MATCH('Staging Table'!$A20, LS_previous!$B$4:$B$138, 0), MATCH(AD$4&amp;AD$5, LS_previous!$D$2:$AY$2&amp;LS_previous!$D$3:$AY$3, 0)),SUM(VLOOKUP($A20, LS_previous!$B$4:$AY$138, LS_previous!V$149, FALSE), VLOOKUP('Staging Table'!$A20, LS_previous!$B$4:$AY$138,LS_previous!AT$149, FALSE))/2)</f>
        <v>-910.20097252479991</v>
      </c>
      <c r="AE20" s="192">
        <f t="array" ref="AE20">IF($G20=0, INDEX(LS_previous!$D$4:$AY$138, MATCH('Staging Table'!$A20, LS_previous!$B$4:$B$138, 0), MATCH(AE$4&amp;AE$5, LS_previous!$D$2:$AY$2&amp;LS_previous!$D$3:$AY$3, 0)),SUM(VLOOKUP($A20, LS_previous!$B$4:$AY$138, LS_previous!W$149, FALSE), VLOOKUP('Staging Table'!$A20, LS_previous!$B$4:$AY$138,LS_previous!AU$149, FALSE))/2)</f>
        <v>646.17530940160032</v>
      </c>
      <c r="AF20" s="192">
        <f t="array" ref="AF20">IF($G20=0, INDEX(LS_previous!$D$4:$AY$138, MATCH('Staging Table'!$A20, LS_previous!$B$4:$B$138, 0), MATCH(AF$4&amp;AF$5, LS_previous!$D$2:$AY$2&amp;LS_previous!$D$3:$AY$3, 0)),SUM(VLOOKUP($A20, LS_previous!$B$4:$AY$138, LS_previous!X$149, FALSE), VLOOKUP('Staging Table'!$A20, LS_previous!$B$4:$AY$138,LS_previous!AV$149, FALSE))/2)</f>
        <v>-391.77502292479949</v>
      </c>
      <c r="AG20" s="192">
        <f t="array" ref="AG20">IF($G20=0, INDEX(LS_previous!$D$4:$AY$138, MATCH('Staging Table'!$A20, LS_previous!$B$4:$B$138, 0), MATCH(AG$4&amp;AG$5, LS_previous!$D$2:$AY$2&amp;LS_previous!$D$3:$AY$3, 0)),SUM(VLOOKUP($A20, LS_previous!$B$4:$AY$138, LS_previous!Y$149, FALSE), VLOOKUP('Staging Table'!$A20, LS_previous!$B$4:$AY$138,LS_previous!AW$149, FALSE))/2)</f>
        <v>229.68389340160002</v>
      </c>
      <c r="AH20" s="192">
        <f t="array" ref="AH20">IF($G20=0, INDEX(LS_previous!$D$4:$AY$138, MATCH('Staging Table'!$A20, LS_previous!$B$4:$B$138, 0), MATCH(AH$4&amp;AH$5, LS_previous!$D$2:$AY$2&amp;LS_previous!$D$3:$AY$3, 0)),SUM(VLOOKUP($A20, LS_previous!$B$4:$AY$138, LS_previous!Z$149, FALSE), VLOOKUP('Staging Table'!$A20, LS_previous!$B$4:$AY$138,LS_previous!AX$149, FALSE))/2)</f>
        <v>-697.43577951999941</v>
      </c>
      <c r="AI20" s="192">
        <f t="array" ref="AI20">IF($G20=0, INDEX(LS_previous!$D$4:$AY$138, MATCH('Staging Table'!$A20, LS_previous!$B$4:$B$138, 0), MATCH(AI$4&amp;AI$5, LS_previous!$D$2:$AY$2&amp;LS_previous!$D$3:$AY$3, 0)),SUM(VLOOKUP($A20, LS_previous!$B$4:$AY$138, LS_previous!AA$149, FALSE), VLOOKUP('Staging Table'!$A20, LS_previous!$B$4:$AY$138,LS_previous!AY$149, FALSE))/2)</f>
        <v>-255.04466329599973</v>
      </c>
      <c r="AJ20" s="314">
        <f t="array" ref="AJ20">INDEX(Demand_previous!$D$4:$AY$138, MATCH('Staging Table'!$A20, Demand_previous!$B$4:$B$138, 0), MATCH(AJ$4&amp;AJ$5,Demand_previous!$D$2:$AY$2&amp;Demand_previous!$D$3:$AY$3, 0))/1000</f>
        <v>2.515638888888887</v>
      </c>
      <c r="AK20" s="314">
        <f t="array" ref="AK20">INDEX(Demand_previous!$D$4:$AY$138, MATCH('Staging Table'!$A20, Demand_previous!$B$4:$B$138, 0), MATCH(AK$4&amp;AK$5,Demand_previous!$D$2:$AY$2&amp;Demand_previous!$D$3:$AY$3, 0))/1000</f>
        <v>0</v>
      </c>
      <c r="AL20" s="314">
        <f t="array" ref="AL20">INDEX(Demand_previous!$D$4:$AY$138, MATCH('Staging Table'!$A20, Demand_previous!$B$4:$B$138, 0), MATCH(AL$4&amp;AL$5,Demand_previous!$D$2:$AY$2&amp;Demand_previous!$D$3:$AY$3, 0))/1000</f>
        <v>0.64116249999999964</v>
      </c>
      <c r="AM20" s="314">
        <f t="array" ref="AM20">INDEX(Demand_previous!$D$4:$AY$138, MATCH('Staging Table'!$A20, Demand_previous!$B$4:$B$138, 0), MATCH(AM$4&amp;AM$5,Demand_previous!$D$2:$AY$2&amp;Demand_previous!$D$3:$AY$3, 0))/1000</f>
        <v>2.3466057692307674</v>
      </c>
      <c r="AN20" s="314">
        <f t="array" ref="AN20">INDEX(Demand_previous!$D$4:$AY$138, MATCH('Staging Table'!$A20, Demand_previous!$B$4:$B$138, 0), MATCH(AN$4&amp;AN$5,Demand_previous!$D$2:$AY$2&amp;Demand_previous!$D$3:$AY$3, 0))/1000</f>
        <v>1.1604474999999996</v>
      </c>
      <c r="AO20" s="314">
        <f t="array" ref="AO20">INDEX(Demand_previous!$D$4:$AY$138, MATCH('Staging Table'!$A20, Demand_previous!$B$4:$B$138, 0), MATCH(AO$4&amp;AO$5,Demand_previous!$D$2:$AY$2&amp;Demand_previous!$D$3:$AY$3, 0))/1000</f>
        <v>1.1133677884615394</v>
      </c>
      <c r="AP20" s="314">
        <f t="array" ref="AP20">INDEX(Demand_previous!$D$4:$AY$138, MATCH('Staging Table'!$A20, Demand_previous!$B$4:$B$138, 0), MATCH(AP$4&amp;AP$5,Demand_previous!$D$2:$AY$2&amp;Demand_previous!$D$3:$AY$3, 0))/1000</f>
        <v>1.0621850961538484</v>
      </c>
      <c r="AQ20" s="314">
        <f t="array" ref="AQ20">INDEX(Demand_previous!$D$4:$AY$138, MATCH('Staging Table'!$A20, Demand_previous!$B$4:$B$138, 0), MATCH(AQ$4&amp;AQ$5,Demand_previous!$D$2:$AY$2&amp;Demand_previous!$D$3:$AY$3, 0))/1000</f>
        <v>0.32818500000000134</v>
      </c>
      <c r="AR20" s="314">
        <f t="array" ref="AR20">INDEX(Demand_previous!$D$4:$AY$138, MATCH('Staging Table'!$A20, Demand_previous!$B$4:$B$138, 0), MATCH(AR$4&amp;AR$5,Demand_previous!$D$2:$AY$2&amp;Demand_previous!$D$3:$AY$3, 0))/1000</f>
        <v>2.370088942307691</v>
      </c>
      <c r="AS20" s="314">
        <f t="array" ref="AS20">INDEX(Demand_previous!$D$4:$AY$138, MATCH('Staging Table'!$A20, Demand_previous!$B$4:$B$138, 0), MATCH(AS$4&amp;AS$5,Demand_previous!$D$2:$AY$2&amp;Demand_previous!$D$3:$AY$3, 0))/1000</f>
        <v>2.9671850961538473</v>
      </c>
      <c r="AT20" s="314">
        <f t="array" ref="AT20">INDEX(Demand_previous!$D$4:$AY$138, MATCH('Staging Table'!$A20, Demand_previous!$B$4:$B$138, 0), MATCH(AT$4&amp;AT$5,Demand_previous!$D$2:$AY$2&amp;Demand_previous!$D$3:$AY$3, 0))/1000</f>
        <v>1.4194495192307697</v>
      </c>
      <c r="AU20" s="314">
        <f t="array" ref="AU20">INDEX(Demand_previous!$D$4:$AY$138, MATCH('Staging Table'!$A20, Demand_previous!$B$4:$B$138, 0), MATCH(AU$4&amp;AU$5,Demand_previous!$D$2:$AY$2&amp;Demand_previous!$D$3:$AY$3, 0))/1000</f>
        <v>1.0433175000000006</v>
      </c>
      <c r="AV20" s="192">
        <f>$F20*(VLOOKUP(AV$4, Rates_previous!$G$6:$Q$29, 10, FALSE)+VLOOKUP(AV$4, Rates_previous!$G$6:$Q$29, 11, FALSE))</f>
        <v>9138.5941943231992</v>
      </c>
      <c r="AW20" s="192">
        <f>$F20*(VLOOKUP(AW$4, Rates_previous!$G$6:$Q$29, 10, FALSE)+VLOOKUP(AW$4, Rates_previous!$G$6:$Q$29, 11, FALSE))</f>
        <v>11608.8654666288</v>
      </c>
      <c r="AX20" s="192">
        <f>$F20*(VLOOKUP(AX$4, Rates_previous!$G$6:$Q$29, 10, FALSE)+VLOOKUP(AX$4, Rates_previous!$G$6:$Q$29, 11, FALSE))</f>
        <v>11468.672707923201</v>
      </c>
      <c r="AY20" s="192">
        <f>$F20*(VLOOKUP(AY$4, Rates_previous!$G$6:$Q$29, 10, FALSE)+VLOOKUP(AY$4, Rates_previous!$G$6:$Q$29, 11, FALSE))</f>
        <v>9559.8372263232013</v>
      </c>
      <c r="AZ20" s="192">
        <f>$F20*(VLOOKUP(AZ$4, Rates_previous!$G$6:$Q$29, 10, FALSE)+VLOOKUP(AZ$4, Rates_previous!$G$6:$Q$29, 11, FALSE))</f>
        <v>8660.2207705599994</v>
      </c>
      <c r="BA20" s="192">
        <f>$F20*(VLOOKUP(BA$4, Rates_previous!$G$6:$Q$29, 10, FALSE)+VLOOKUP(BA$4, Rates_previous!$G$6:$Q$29, 11, FALSE))</f>
        <v>9632.9166945103989</v>
      </c>
      <c r="BB20" s="192">
        <f>$F20*(VLOOKUP(BB$4, Rates_previous!$G$6:$Q$29, 10, FALSE)+VLOOKUP(BB$4, Rates_previous!$G$6:$Q$29, 11, FALSE))</f>
        <v>7843.1311676159994</v>
      </c>
      <c r="BC20" s="192">
        <f>$F20*(VLOOKUP(BC$4, Rates_previous!$G$6:$Q$29, 10, FALSE)+VLOOKUP(BC$4, Rates_previous!$G$6:$Q$29, 11, FALSE))</f>
        <v>10577.6319199232</v>
      </c>
      <c r="BD20" s="192">
        <f>$F20*(VLOOKUP(BD$4, Rates_previous!$G$6:$Q$29, 10, FALSE)+VLOOKUP(BD$4, Rates_previous!$G$6:$Q$29, 11, FALSE))</f>
        <v>13496.338930016002</v>
      </c>
      <c r="BE20" s="192">
        <f>$F20*(VLOOKUP(BE$4, Rates_previous!$G$6:$Q$29, 10, FALSE)+VLOOKUP(BE$4, Rates_previous!$G$6:$Q$29, 11, FALSE))</f>
        <v>10581.557663123202</v>
      </c>
      <c r="BF20" s="192">
        <f>$F20*(VLOOKUP(BF$4, Rates_previous!$G$6:$Q$29, 10, FALSE)+VLOOKUP(BF$4, Rates_previous!$G$6:$Q$29, 11, FALSE))</f>
        <v>10304.330129523201</v>
      </c>
      <c r="BG20" s="192">
        <f>$F20*(VLOOKUP(BG$4, Rates_previous!$G$6:$Q$29, 10, FALSE)+VLOOKUP(BG$4, Rates_previous!$G$6:$Q$29, 11, FALSE))</f>
        <v>9251.0964428160005</v>
      </c>
      <c r="BH20" s="314">
        <f>IF($D20=0,IF(C20=0, MAX(BJ20 - (VLOOKUP($A20,TOCA_previous!$A$2:$AI$137,MATCH("RHWM 2020",TOCA_previous!$A$2:$AI$2,0),FALSE)*$F$2*TOCA_previous!C17),0),0), 0)</f>
        <v>0</v>
      </c>
      <c r="BI20" s="204">
        <f>MIN(VLOOKUP($A20,TOCA_previous!$A$2:$AI$137,MATCH("TRL - NLSL - Existing Resource "&amp;$F$1,TOCA_previous!$A$2:$AI$2,0),FALSE)*$F$2,(VLOOKUP($A20,TOCA_previous!$A$2:$AI$137,MATCH("RHWM 2020",TOCA_previous!$A$2:$AI$2,0),FALSE)*$F$2))</f>
        <v>122123.952</v>
      </c>
      <c r="BJ20" s="418">
        <f>SUM(L20:AI20)+(F20*RT1SC!$C$3*$F$2)</f>
        <v>120418.27058382719</v>
      </c>
      <c r="BK20" s="417">
        <f>VLOOKUP($A20,TOCA_previous!$A$2:$AI$137,MATCH("Above RHWM Not Served with LS "&amp;$F$1,TOCA_previous!$A$2:$AI$2,0),FALSE)*$F$2</f>
        <v>0</v>
      </c>
      <c r="BL20" s="418">
        <f t="shared" si="8"/>
        <v>-1705.6814161728107</v>
      </c>
      <c r="BM20" s="417">
        <f>(VLOOKUP($A20,TOCA_previous!$A$2:$AI$137,MATCH("RHWM 2020",TOCA_previous!$A$2:$AI$2,0),FALSE)*$F$2) - $BI20</f>
        <v>764.20799999999872</v>
      </c>
      <c r="BN20" s="418">
        <f t="shared" si="9"/>
        <v>0</v>
      </c>
      <c r="BO20" s="417">
        <f t="shared" si="10"/>
        <v>1705.6814161728107</v>
      </c>
      <c r="BP20" s="418">
        <f t="shared" si="11"/>
        <v>0</v>
      </c>
      <c r="BQ20" s="417">
        <f t="shared" si="2"/>
        <v>1705.6814161728107</v>
      </c>
      <c r="BR20" s="120">
        <f>VLOOKUP($A20,TOCA_current!$A$2:$AI$137,MATCH(BR$4,TOCA_current!$A$2:$AI$2,0),FALSE)</f>
        <v>1.9916000000000001E-3</v>
      </c>
      <c r="BS20" s="120">
        <f>VLOOKUP($A20,TOCA_current!$A$2:$AI$137,MATCH(BS$4,TOCA_current!$A$2:$AI$2,0),FALSE)</f>
        <v>1.9916000000000001E-3</v>
      </c>
      <c r="BT20" s="201">
        <f t="shared" si="12"/>
        <v>0</v>
      </c>
      <c r="BU20" s="120">
        <f>VLOOKUP($A20,TOCA_current!A16:BG151,MATCH(BU$4,TOCA_current!$A$2:$BG$2,0),FALSE)</f>
        <v>0</v>
      </c>
      <c r="BV20" s="120">
        <f t="shared" si="3"/>
        <v>0</v>
      </c>
      <c r="BW20" s="120">
        <f t="shared" si="4"/>
        <v>0</v>
      </c>
      <c r="BX20" s="191">
        <f>VLOOKUP($A20,IRD!$A$4:$G$139, 7, FALSE)</f>
        <v>0</v>
      </c>
      <c r="BY20" s="192">
        <f t="array" ref="BY20">IF($BT20=0, INDEX(LS_current!$D$4:$AY$138, MATCH('Staging Table'!$A20, LS_current!$B$4:$B$138, 0), MATCH(BY$4&amp;BY$5, LS_current!$D$2:$AY$2&amp;LS_current!$D$3:$AY$3, 0)),SUM(VLOOKUP($A20, LS_current!$B$4:$AY$138, LS_current!D$148, FALSE), VLOOKUP($A20, LS_current!$B$4:$AY$138,LS_current!AB$148, FALSE))/2)</f>
        <v>-62.217890848901334</v>
      </c>
      <c r="BZ20" s="192">
        <f t="array" ref="BZ20">IF($BT20=0, INDEX(LS_current!$D$4:$AY$138, MATCH('Staging Table'!$A20, LS_current!$B$4:$B$138, 0), MATCH(BZ$4&amp;BZ$5, LS_current!$D$2:$AY$2&amp;LS_current!$D$3:$AY$3, 0)),SUM(VLOOKUP($A20, LS_current!$B$4:$AY$138, LS_current!E$148, FALSE), VLOOKUP($A20, LS_current!$B$4:$AY$138,LS_current!AC$148, FALSE))/2)</f>
        <v>245.39001445731083</v>
      </c>
      <c r="CA20" s="192">
        <f t="array" ref="CA20">IF($BT20=0, INDEX(LS_current!$D$4:$AY$138, MATCH('Staging Table'!$A20, LS_current!$B$4:$B$138, 0), MATCH(CA$4&amp;CA$5, LS_current!$D$2:$AY$2&amp;LS_current!$D$3:$AY$3, 0)),SUM(VLOOKUP($A20, LS_current!$B$4:$AY$138, LS_current!F$148, FALSE), VLOOKUP($A20, LS_current!$B$4:$AY$138,LS_current!AD$148, FALSE))/2)</f>
        <v>-1112.761601678335</v>
      </c>
      <c r="CB20" s="192">
        <f t="array" ref="CB20">IF($BT20=0, INDEX(LS_current!$D$4:$AY$138, MATCH('Staging Table'!$A20, LS_current!$B$4:$B$138, 0), MATCH(CB$4&amp;CB$5, LS_current!$D$2:$AY$2&amp;LS_current!$D$3:$AY$3, 0)),SUM(VLOOKUP($A20, LS_current!$B$4:$AY$138, LS_current!G$148, FALSE), VLOOKUP($A20, LS_current!$B$4:$AY$138,LS_current!AE$148, FALSE))/2)</f>
        <v>-571.4749361188633</v>
      </c>
      <c r="CC20" s="192">
        <f t="array" ref="CC20">IF($BT20=0, INDEX(LS_current!$D$4:$AY$138, MATCH('Staging Table'!$A20, LS_current!$B$4:$B$138, 0), MATCH(CC$4&amp;CC$5, LS_current!$D$2:$AY$2&amp;LS_current!$D$3:$AY$3, 0)),SUM(VLOOKUP($A20, LS_current!$B$4:$AY$138, LS_current!H$148, FALSE), VLOOKUP($A20, LS_current!$B$4:$AY$138,LS_current!AF$148, FALSE))/2)</f>
        <v>1310.0700596226989</v>
      </c>
      <c r="CD20" s="192">
        <f t="array" ref="CD20">IF($BT20=0, INDEX(LS_current!$D$4:$AY$138, MATCH('Staging Table'!$A20, LS_current!$B$4:$B$138, 0), MATCH(CD$4&amp;CD$5, LS_current!$D$2:$AY$2&amp;LS_current!$D$3:$AY$3, 0)),SUM(VLOOKUP($A20, LS_current!$B$4:$AY$138, LS_current!I$148, FALSE), VLOOKUP($A20, LS_current!$B$4:$AY$138,LS_current!AG$148, FALSE))/2)</f>
        <v>207.92958917018132</v>
      </c>
      <c r="CE20" s="192">
        <f t="array" ref="CE20">IF($BT20=0, INDEX(LS_current!$D$4:$AY$138, MATCH('Staging Table'!$A20, LS_current!$B$4:$B$138, 0), MATCH(CE$4&amp;CE$5, LS_current!$D$2:$AY$2&amp;LS_current!$D$3:$AY$3, 0)),SUM(VLOOKUP($A20, LS_current!$B$4:$AY$138, LS_current!J$148, FALSE), VLOOKUP($A20, LS_current!$B$4:$AY$138,LS_current!AH$148, FALSE))/2)</f>
        <v>2138.2218192867012</v>
      </c>
      <c r="CF20" s="192">
        <f t="array" ref="CF20">IF($BT20=0, INDEX(LS_current!$D$4:$AY$138, MATCH('Staging Table'!$A20, LS_current!$B$4:$B$138, 0), MATCH(CF$4&amp;CF$5, LS_current!$D$2:$AY$2&amp;LS_current!$D$3:$AY$3, 0)),SUM(VLOOKUP($A20, LS_current!$B$4:$AY$138, LS_current!K$148, FALSE), VLOOKUP($A20, LS_current!$B$4:$AY$138,LS_current!AI$148, FALSE))/2)</f>
        <v>1335.6159158395581</v>
      </c>
      <c r="CG20" s="192">
        <f t="array" ref="CG20">IF($BT20=0, INDEX(LS_current!$D$4:$AY$138, MATCH('Staging Table'!$A20, LS_current!$B$4:$B$138, 0), MATCH(CG$4&amp;CG$5, LS_current!$D$2:$AY$2&amp;LS_current!$D$3:$AY$3, 0)),SUM(VLOOKUP($A20, LS_current!$B$4:$AY$138, LS_current!L$148, FALSE), VLOOKUP($A20, LS_current!$B$4:$AY$138,LS_current!AJ$148, FALSE))/2)</f>
        <v>1766.9529536959699</v>
      </c>
      <c r="CH20" s="192">
        <f t="array" ref="CH20">IF($BT20=0, INDEX(LS_current!$D$4:$AY$138, MATCH('Staging Table'!$A20, LS_current!$B$4:$B$138, 0), MATCH(CH$4&amp;CH$5, LS_current!$D$2:$AY$2&amp;LS_current!$D$3:$AY$3, 0)),SUM(VLOOKUP($A20, LS_current!$B$4:$AY$138, LS_current!M$148, FALSE), VLOOKUP($A20, LS_current!$B$4:$AY$138,LS_current!AK$148, FALSE))/2)</f>
        <v>619.26006338551906</v>
      </c>
      <c r="CI20" s="192">
        <f t="array" ref="CI20">IF($BT20=0, INDEX(LS_current!$D$4:$AY$138, MATCH('Staging Table'!$A20, LS_current!$B$4:$B$138, 0), MATCH(CI$4&amp;CI$5, LS_current!$D$2:$AY$2&amp;LS_current!$D$3:$AY$3, 0)),SUM(VLOOKUP($A20, LS_current!$B$4:$AY$138, LS_current!N$148, FALSE), VLOOKUP($A20, LS_current!$B$4:$AY$138,LS_current!AL$148, FALSE))/2)</f>
        <v>569.84794708801746</v>
      </c>
      <c r="CJ20" s="192">
        <f t="array" ref="CJ20">IF($BT20=0, INDEX(LS_current!$D$4:$AY$138, MATCH('Staging Table'!$A20, LS_current!$B$4:$B$138, 0), MATCH(CJ$4&amp;CJ$5, LS_current!$D$2:$AY$2&amp;LS_current!$D$3:$AY$3, 0)),SUM(VLOOKUP($A20, LS_current!$B$4:$AY$138, LS_current!O$148, FALSE), VLOOKUP($A20, LS_current!$B$4:$AY$138,LS_current!AM$148, FALSE))/2)</f>
        <v>86.524620566833619</v>
      </c>
      <c r="CK20" s="192">
        <f t="array" ref="CK20">IF($BT20=0, INDEX(LS_current!$D$4:$AY$138, MATCH('Staging Table'!$A20, LS_current!$B$4:$B$138, 0), MATCH(CK$4&amp;CK$5, LS_current!$D$2:$AY$2&amp;LS_current!$D$3:$AY$3, 0)),SUM(VLOOKUP($A20, LS_current!$B$4:$AY$138, LS_current!P$148, FALSE), VLOOKUP($A20, LS_current!$B$4:$AY$138,LS_current!AN$148, FALSE))/2)</f>
        <v>1129.2531694900963</v>
      </c>
      <c r="CL20" s="192">
        <f t="array" ref="CL20">IF($BT20=0, INDEX(LS_current!$D$4:$AY$138, MATCH('Staging Table'!$A20, LS_current!$B$4:$B$138, 0), MATCH(CL$4&amp;CL$5, LS_current!$D$2:$AY$2&amp;LS_current!$D$3:$AY$3, 0)),SUM(VLOOKUP($A20, LS_current!$B$4:$AY$138, LS_current!Q$148, FALSE), VLOOKUP($A20, LS_current!$B$4:$AY$138,LS_current!AO$148, FALSE))/2)</f>
        <v>409.61522526746467</v>
      </c>
      <c r="CM20" s="192">
        <f t="array" ref="CM20">IF($BT20=0, INDEX(LS_current!$D$4:$AY$138, MATCH('Staging Table'!$A20, LS_current!$B$4:$B$138, 0), MATCH(CM$4&amp;CM$5, LS_current!$D$2:$AY$2&amp;LS_current!$D$3:$AY$3, 0)),SUM(VLOOKUP($A20, LS_current!$B$4:$AY$138, LS_current!R$148, FALSE), VLOOKUP($A20, LS_current!$B$4:$AY$138,LS_current!AP$148, FALSE))/2)</f>
        <v>-1791.3293869963127</v>
      </c>
      <c r="CN20" s="192">
        <f t="array" ref="CN20">IF($BT20=0, INDEX(LS_current!$D$4:$AY$138, MATCH('Staging Table'!$A20, LS_current!$B$4:$B$138, 0), MATCH(CN$4&amp;CN$5, LS_current!$D$2:$AY$2&amp;LS_current!$D$3:$AY$3, 0)),SUM(VLOOKUP($A20, LS_current!$B$4:$AY$138, LS_current!S$148, FALSE), VLOOKUP($A20, LS_current!$B$4:$AY$138,LS_current!AQ$148, FALSE))/2)</f>
        <v>-3.1802014278500792</v>
      </c>
      <c r="CO20" s="192">
        <f t="array" ref="CO20">IF($BT20=0, INDEX(LS_current!$D$4:$AY$138, MATCH('Staging Table'!$A20, LS_current!$B$4:$B$138, 0), MATCH(CO$4&amp;CO$5, LS_current!$D$2:$AY$2&amp;LS_current!$D$3:$AY$3, 0)),SUM(VLOOKUP($A20, LS_current!$B$4:$AY$138, LS_current!T$148, FALSE), VLOOKUP($A20, LS_current!$B$4:$AY$138,LS_current!AR$148, FALSE))/2)</f>
        <v>-2065.338189373464</v>
      </c>
      <c r="CP20" s="192">
        <f t="array" ref="CP20">IF($BT20=0, INDEX(LS_current!$D$4:$AY$138, MATCH('Staging Table'!$A20, LS_current!$B$4:$B$138, 0), MATCH(CP$4&amp;CP$5, LS_current!$D$2:$AY$2&amp;LS_current!$D$3:$AY$3, 0)),SUM(VLOOKUP($A20, LS_current!$B$4:$AY$138, LS_current!U$148, FALSE), VLOOKUP($A20, LS_current!$B$4:$AY$138,LS_current!AS$148, FALSE))/2)</f>
        <v>-105.55804865062328</v>
      </c>
      <c r="CQ20" s="192">
        <f t="array" ref="CQ20">IF($BT20=0, INDEX(LS_current!$D$4:$AY$138, MATCH('Staging Table'!$A20, LS_current!$B$4:$B$138, 0), MATCH(CQ$4&amp;CQ$5, LS_current!$D$2:$AY$2&amp;LS_current!$D$3:$AY$3, 0)),SUM(VLOOKUP($A20, LS_current!$B$4:$AY$138, LS_current!V$148, FALSE), VLOOKUP($A20, LS_current!$B$4:$AY$138,LS_current!AT$148, FALSE))/2)</f>
        <v>-607.35876996030674</v>
      </c>
      <c r="CR20" s="192">
        <f t="array" ref="CR20">IF($BT20=0, INDEX(LS_current!$D$4:$AY$138, MATCH('Staging Table'!$A20, LS_current!$B$4:$B$138, 0), MATCH(CR$4&amp;CR$5, LS_current!$D$2:$AY$2&amp;LS_current!$D$3:$AY$3, 0)),SUM(VLOOKUP($A20, LS_current!$B$4:$AY$138, LS_current!W$148, FALSE), VLOOKUP($A20, LS_current!$B$4:$AY$138,LS_current!AU$148, FALSE))/2)</f>
        <v>443.24181251392611</v>
      </c>
      <c r="CS20" s="192">
        <f t="array" ref="CS20">IF($BT20=0, INDEX(LS_current!$D$4:$AY$138, MATCH('Staging Table'!$A20, LS_current!$B$4:$B$138, 0), MATCH(CS$4&amp;CS$5, LS_current!$D$2:$AY$2&amp;LS_current!$D$3:$AY$3, 0)),SUM(VLOOKUP($A20, LS_current!$B$4:$AY$138, LS_current!X$148, FALSE), VLOOKUP($A20, LS_current!$B$4:$AY$138,LS_current!AV$148, FALSE))/2)</f>
        <v>-152.20513049796591</v>
      </c>
      <c r="CT20" s="192">
        <f t="array" ref="CT20">IF($BT20=0, INDEX(LS_current!$D$4:$AY$138, MATCH('Staging Table'!$A20, LS_current!$B$4:$B$138, 0), MATCH(CT$4&amp;CT$5, LS_current!$D$2:$AY$2&amp;LS_current!$D$3:$AY$3, 0)),SUM(VLOOKUP($A20, LS_current!$B$4:$AY$138, LS_current!Y$148, FALSE), VLOOKUP($A20, LS_current!$B$4:$AY$138,LS_current!AW$148, FALSE))/2)</f>
        <v>164.73903027083043</v>
      </c>
      <c r="CU20" s="192">
        <f t="array" ref="CU20">IF($BT20=0, INDEX(LS_current!$D$4:$AY$138, MATCH('Staging Table'!$A20, LS_current!$B$4:$B$138, 0), MATCH(CU$4&amp;CU$5, LS_current!$D$2:$AY$2&amp;LS_current!$D$3:$AY$3, 0)),SUM(VLOOKUP($A20, LS_current!$B$4:$AY$138, LS_current!Z$148, FALSE), VLOOKUP($A20, LS_current!$B$4:$AY$138,LS_current!AX$148, FALSE))/2)</f>
        <v>-747.0996336132439</v>
      </c>
      <c r="CV20" s="192">
        <f t="array" ref="CV20">IF($BT20=0, INDEX(LS_current!$D$4:$AY$138, MATCH('Staging Table'!$A20, LS_current!$B$4:$B$138, 0), MATCH(CV$4&amp;CV$5, LS_current!$D$2:$AY$2&amp;LS_current!$D$3:$AY$3, 0)),SUM(VLOOKUP($A20, LS_current!$B$4:$AY$138, LS_current!AA$148, FALSE), VLOOKUP($A20, LS_current!$B$4:$AY$138,LS_current!AY$148, FALSE))/2)</f>
        <v>-315.18785890483969</v>
      </c>
      <c r="CW20" s="194">
        <f t="array" ref="CW20">INDEX(Demand_current!$D$4:$AY$138, MATCH($A20, Demand_current!$B$4:$B$138, 0), MATCH(CW$4&amp;CW$5,Demand_current!$D$2:$AY$2&amp;Demand_current!$D$3:$AY$3, 0))/1000</f>
        <v>2.0032788461538455</v>
      </c>
      <c r="CX20" s="194">
        <f t="array" ref="CX20">INDEX(Demand_current!$D$4:$AY$138, MATCH($A20, Demand_current!$B$4:$B$138, 0), MATCH(CX$4&amp;CX$5,Demand_current!$D$2:$AY$2&amp;Demand_current!$D$3:$AY$3, 0))/1000</f>
        <v>0</v>
      </c>
      <c r="CY20" s="194">
        <f t="array" ref="CY20">INDEX(Demand_current!$D$4:$AY$138, MATCH($A20, Demand_current!$B$4:$B$138, 0), MATCH(CY$4&amp;CY$5,Demand_current!$D$2:$AY$2&amp;Demand_current!$D$3:$AY$3, 0))/1000</f>
        <v>1.3845024038461555</v>
      </c>
      <c r="CZ20" s="194">
        <f t="array" ref="CZ20">INDEX(Demand_current!$D$4:$AY$138, MATCH($A20, Demand_current!$B$4:$B$138, 0), MATCH(CZ$4&amp;CZ$5,Demand_current!$D$2:$AY$2&amp;Demand_current!$D$3:$AY$3, 0))/1000</f>
        <v>1.6332299999999986</v>
      </c>
      <c r="DA20" s="194">
        <f t="array" ref="DA20">INDEX(Demand_current!$D$4:$AY$138, MATCH($A20, Demand_current!$B$4:$B$138, 0), MATCH(DA$4&amp;DA$5,Demand_current!$D$2:$AY$2&amp;Demand_current!$D$3:$AY$3, 0))/1000</f>
        <v>0.48954947916666525</v>
      </c>
      <c r="DB20" s="194">
        <f t="array" ref="DB20">INDEX(Demand_current!$D$4:$AY$138, MATCH($A20, Demand_current!$B$4:$B$138, 0), MATCH(DB$4&amp;DB$5,Demand_current!$D$2:$AY$2&amp;Demand_current!$D$3:$AY$3, 0))/1000</f>
        <v>1.6892800925925946</v>
      </c>
      <c r="DC20" s="194">
        <f t="array" ref="DC20">INDEX(Demand_current!$D$4:$AY$138, MATCH($A20, Demand_current!$B$4:$B$138, 0), MATCH(DC$4&amp;DC$5,Demand_current!$D$2:$AY$2&amp;Demand_current!$D$3:$AY$3, 0))/1000</f>
        <v>1.0621850961538484</v>
      </c>
      <c r="DD20" s="194">
        <f t="array" ref="DD20">INDEX(Demand_current!$D$4:$AY$138, MATCH($A20, Demand_current!$B$4:$B$138, 0), MATCH(DD$4&amp;DD$5,Demand_current!$D$2:$AY$2&amp;Demand_current!$D$3:$AY$3, 0))/1000</f>
        <v>0.32818500000000134</v>
      </c>
      <c r="DE20" s="194">
        <f t="array" ref="DE20">INDEX(Demand_current!$D$4:$AY$138, MATCH($A20, Demand_current!$B$4:$B$138, 0), MATCH(DE$4&amp;DE$5,Demand_current!$D$2:$AY$2&amp;Demand_current!$D$3:$AY$3, 0))/1000</f>
        <v>2.370088942307691</v>
      </c>
      <c r="DF20" s="194">
        <f t="array" ref="DF20">INDEX(Demand_current!$D$4:$AY$138, MATCH($A20, Demand_current!$B$4:$B$138, 0), MATCH(DF$4&amp;DF$5,Demand_current!$D$2:$AY$2&amp;Demand_current!$D$3:$AY$3, 0))/1000</f>
        <v>2.3543124999999998</v>
      </c>
      <c r="DG20" s="194">
        <f t="array" ref="DG20">INDEX(Demand_current!$D$4:$AY$138, MATCH($A20, Demand_current!$B$4:$B$138, 0), MATCH(DG$4&amp;DG$5,Demand_current!$D$2:$AY$2&amp;Demand_current!$D$3:$AY$3, 0))/1000</f>
        <v>2.0132476851851857</v>
      </c>
      <c r="DH20" s="194">
        <f t="array" ref="DH20">INDEX(Demand_current!$D$4:$AY$138, MATCH($A20, Demand_current!$B$4:$B$138, 0), MATCH(DH$4&amp;DH$5,Demand_current!$D$2:$AY$2&amp;Demand_current!$D$3:$AY$3, 0))/1000</f>
        <v>1.0433175000000006</v>
      </c>
      <c r="DI20" s="192">
        <f>$BS20*(VLOOKUP(DI$4, Rates_current!$G$6:$Q$29, 10, FALSE)+VLOOKUP(DI$4, Rates_current!$G$6:$Q$29, 11, FALSE))</f>
        <v>9069.5958763915914</v>
      </c>
      <c r="DJ20" s="192">
        <f>$BS20*(VLOOKUP(DJ$4, Rates_current!$G$6:$Q$29, 10, FALSE)+VLOOKUP(DJ$4, Rates_current!$G$6:$Q$29, 11, FALSE))</f>
        <v>11482.437537797199</v>
      </c>
      <c r="DK20" s="192">
        <f>$BS20*(VLOOKUP(DK$4, Rates_current!$G$6:$Q$29, 10, FALSE)+VLOOKUP(DK$4, Rates_current!$G$6:$Q$29, 11, FALSE))</f>
        <v>11239.01235120712</v>
      </c>
      <c r="DL20" s="192">
        <f>$BS20*(VLOOKUP(DL$4, Rates_current!$G$6:$Q$29, 10, FALSE)+VLOOKUP(DL$4, Rates_current!$G$6:$Q$29, 11, FALSE))</f>
        <v>9282.9462648737408</v>
      </c>
      <c r="DM20" s="192">
        <f>$BS20*(VLOOKUP(DM$4, Rates_current!$G$6:$Q$29, 10, FALSE)+VLOOKUP(DM$4, Rates_current!$G$6:$Q$29, 11, FALSE))</f>
        <v>8045.732982918511</v>
      </c>
      <c r="DN20" s="192">
        <f>$BS20*(VLOOKUP(DN$4, Rates_current!$G$6:$Q$29, 10, FALSE)+VLOOKUP(DN$4, Rates_current!$G$6:$Q$29, 11, FALSE))</f>
        <v>9604.9804323451499</v>
      </c>
      <c r="DO20" s="192">
        <f>$BS20*(VLOOKUP(DO$4, Rates_current!$G$6:$Q$29, 10, FALSE)+VLOOKUP(DO$4, Rates_current!$G$6:$Q$29, 11, FALSE))</f>
        <v>7456.988605242439</v>
      </c>
      <c r="DP20" s="192">
        <f>$BS20*(VLOOKUP(DP$4, Rates_current!$G$6:$Q$29, 10, FALSE)+VLOOKUP(DP$4, Rates_current!$G$6:$Q$29, 11, FALSE))</f>
        <v>10331.712588424161</v>
      </c>
      <c r="DQ20" s="192">
        <f>$BS20*(VLOOKUP(DQ$4, Rates_current!$G$6:$Q$29, 10, FALSE)+VLOOKUP(DQ$4, Rates_current!$G$6:$Q$29, 11, FALSE))</f>
        <v>11039.651238024087</v>
      </c>
      <c r="DR20" s="192">
        <f>$BS20*(VLOOKUP(DR$4, Rates_current!$G$6:$Q$29, 10, FALSE)+VLOOKUP(DR$4, Rates_current!$G$6:$Q$29, 11, FALSE))</f>
        <v>10481.648957446381</v>
      </c>
      <c r="DS20" s="192">
        <f>$BS20*(VLOOKUP(DS$4, Rates_current!$G$6:$Q$29, 10, FALSE)+VLOOKUP(DS$4, Rates_current!$G$6:$Q$29, 11, FALSE))</f>
        <v>10129.705100227135</v>
      </c>
      <c r="DT20" s="192">
        <f>$BS20*(VLOOKUP(DT$4, Rates_current!$G$6:$Q$29, 10, FALSE)+VLOOKUP(DT$4, Rates_current!$G$6:$Q$29, 11, FALSE))</f>
        <v>9360.903492518084</v>
      </c>
      <c r="DU20" s="418">
        <f>IF(D20=0,IF(C20=0,MAX(0,DW20 - (VLOOKUP($A20,TOCA_current!$A$2:$AI$137,MATCH("RHWM 2022",TOCA_current!$A$2:$AI$2,0),FALSE)*$BS$2)), 0),0)</f>
        <v>2894.1120119284169</v>
      </c>
      <c r="DV20" s="419">
        <f>MIN(VLOOKUP($A20,TOCA_current!$A$2:$AI$137,MATCH("TRL - NLSL - Existing Resource "&amp;$BS$1,TOCA_current!$A$2:$AI$2,0),FALSE)*$BS$2, VLOOKUP($A20,TOCA_current!$A$2:$AI$137,MATCH("RHWM 2022",TOCA_current!$A$2:$AI$2,0),FALSE)*$BS$2)</f>
        <v>117524.16</v>
      </c>
      <c r="DW20" s="419">
        <f>SUM(BY20:CV20)+(BS20*RT1SC!$C$4*$BS$2)</f>
        <v>120418.27201192842</v>
      </c>
      <c r="DX20" s="419">
        <f>VLOOKUP($A20,TOCA_current!$A$2:$AI$137,MATCH("Above RHWM Not Served with LS "&amp;$BS$1,TOCA_current!$A$2:$AI$2,0),FALSE)*$BS$2</f>
        <v>0</v>
      </c>
      <c r="DY20" s="419">
        <f t="shared" si="13"/>
        <v>2894.1120119284169</v>
      </c>
      <c r="DZ20" s="419">
        <f>(VLOOKUP($A20,TOCA_current!$A$2:$AI$137,MATCH("RHWM 2022",TOCA_current!$A$2:$AI$2,0),FALSE)*$BS$2) - $DV20</f>
        <v>0</v>
      </c>
      <c r="EA20" s="419">
        <f t="shared" si="14"/>
        <v>0</v>
      </c>
      <c r="EB20" s="419">
        <f t="shared" si="15"/>
        <v>0</v>
      </c>
      <c r="EC20" s="419">
        <f t="shared" si="16"/>
        <v>0</v>
      </c>
      <c r="ED20" s="419">
        <f t="shared" si="17"/>
        <v>0</v>
      </c>
    </row>
    <row r="21" spans="1:134">
      <c r="A21" s="135">
        <v>10065</v>
      </c>
      <c r="B21" s="136" t="s">
        <v>22</v>
      </c>
      <c r="C21" s="244">
        <f>VLOOKUP(A21, TOCA_current!$A$3:$D$137, 4, FALSE)</f>
        <v>0</v>
      </c>
      <c r="D21" s="203">
        <v>0</v>
      </c>
      <c r="E21" s="119">
        <f>VLOOKUP($A21,TOCA_previous!$A$2:$AI$137,MATCH(E$4,TOCA_previous!$A$2:$AI$2,0),FALSE)</f>
        <v>3.367E-4</v>
      </c>
      <c r="F21" s="120">
        <f>VLOOKUP($A21,TOCA_previous!$A$2:$AI$137,MATCH(F$4,TOCA_previous!$A$2:$AI$2,0),FALSE)</f>
        <v>3.367E-4</v>
      </c>
      <c r="G21" s="120">
        <f t="shared" si="5"/>
        <v>0</v>
      </c>
      <c r="H21" s="120">
        <f>VLOOKUP($A21,TOCA_previous!$A$2:$AI$137,MATCH(H$4,TOCA_previous!$A$2:$AI$2,0),FALSE)</f>
        <v>5.7348837209302332E-2</v>
      </c>
      <c r="I21" s="120">
        <f t="shared" si="6"/>
        <v>0</v>
      </c>
      <c r="J21" s="120">
        <f t="shared" si="7"/>
        <v>0</v>
      </c>
      <c r="K21" s="191">
        <f>VLOOKUP(A21, IRD!$A$5:$C$139, 3, FALSE)</f>
        <v>0</v>
      </c>
      <c r="L21" s="192">
        <f t="array" ref="L21">IF($G21=0, INDEX(LS_previous!$D$4:$AY$138, MATCH('Staging Table'!$A21, LS_previous!$B$4:$B$138, 0), MATCH(L$4&amp;L$5, LS_previous!$D$2:$AY$2&amp;LS_previous!$D$3:$AY$3, 0)),SUM(VLOOKUP($A21, LS_previous!$B$4:$AY$138, LS_previous!D$149, FALSE), VLOOKUP('Staging Table'!$A21, LS_previous!$B$4:$AY$138,LS_previous!AB$149, FALSE))/2)</f>
        <v>810.0216838604</v>
      </c>
      <c r="M21" s="192">
        <f t="array" ref="M21">IF($G21=0, INDEX(LS_previous!$D$4:$AY$138, MATCH('Staging Table'!$A21, LS_previous!$B$4:$B$138, 0), MATCH(M$4&amp;M$5, LS_previous!$D$2:$AY$2&amp;LS_previous!$D$3:$AY$3, 0)),SUM(VLOOKUP($A21, LS_previous!$B$4:$AY$138, LS_previous!E$149, FALSE), VLOOKUP('Staging Table'!$A21, LS_previous!$B$4:$AY$138,LS_previous!AC$149, FALSE))/2)</f>
        <v>740.52261624639993</v>
      </c>
      <c r="N21" s="192">
        <f t="array" ref="N21">IF($G21=0, INDEX(LS_previous!$D$4:$AY$138, MATCH('Staging Table'!$A21, LS_previous!$B$4:$B$138, 0), MATCH(N$4&amp;N$5, LS_previous!$D$2:$AY$2&amp;LS_previous!$D$3:$AY$3, 0)),SUM(VLOOKUP($A21, LS_previous!$B$4:$AY$138, LS_previous!F$149, FALSE), VLOOKUP('Staging Table'!$A21, LS_previous!$B$4:$AY$138,LS_previous!AD$149, FALSE))/2)</f>
        <v>682.4613533224001</v>
      </c>
      <c r="O21" s="192">
        <f t="array" ref="O21">IF($G21=0, INDEX(LS_previous!$D$4:$AY$138, MATCH('Staging Table'!$A21, LS_previous!$B$4:$B$138, 0), MATCH(O$4&amp;O$5, LS_previous!$D$2:$AY$2&amp;LS_previous!$D$3:$AY$3, 0)),SUM(VLOOKUP($A21, LS_previous!$B$4:$AY$138, LS_previous!G$149, FALSE), VLOOKUP('Staging Table'!$A21, LS_previous!$B$4:$AY$138,LS_previous!AE$149, FALSE))/2)</f>
        <v>637.67427510629989</v>
      </c>
      <c r="P21" s="192">
        <f t="array" ref="P21">IF($G21=0, INDEX(LS_previous!$D$4:$AY$138, MATCH('Staging Table'!$A21, LS_previous!$B$4:$B$138, 0), MATCH(P$4&amp;P$5, LS_previous!$D$2:$AY$2&amp;LS_previous!$D$3:$AY$3, 0)),SUM(VLOOKUP($A21, LS_previous!$B$4:$AY$138, LS_previous!H$149, FALSE), VLOOKUP('Staging Table'!$A21, LS_previous!$B$4:$AY$138,LS_previous!AF$149, FALSE))/2)</f>
        <v>1280.7226385375998</v>
      </c>
      <c r="Q21" s="192">
        <f t="array" ref="Q21">IF($G21=0, INDEX(LS_previous!$D$4:$AY$138, MATCH('Staging Table'!$A21, LS_previous!$B$4:$B$138, 0), MATCH(Q$4&amp;Q$5, LS_previous!$D$2:$AY$2&amp;LS_previous!$D$3:$AY$3, 0)),SUM(VLOOKUP($A21, LS_previous!$B$4:$AY$138, LS_previous!I$149, FALSE), VLOOKUP('Staging Table'!$A21, LS_previous!$B$4:$AY$138,LS_previous!AG$149, FALSE))/2)</f>
        <v>1001.2784754692</v>
      </c>
      <c r="R21" s="192">
        <f t="array" ref="R21">IF($G21=0, INDEX(LS_previous!$D$4:$AY$138, MATCH('Staging Table'!$A21, LS_previous!$B$4:$B$138, 0), MATCH(R$4&amp;R$5, LS_previous!$D$2:$AY$2&amp;LS_previous!$D$3:$AY$3, 0)),SUM(VLOOKUP($A21, LS_previous!$B$4:$AY$138, LS_previous!J$149, FALSE), VLOOKUP('Staging Table'!$A21, LS_previous!$B$4:$AY$138,LS_previous!AH$149, FALSE))/2)</f>
        <v>1499.5849877375999</v>
      </c>
      <c r="S21" s="192">
        <f t="array" ref="S21">IF($G21=0, INDEX(LS_previous!$D$4:$AY$138, MATCH('Staging Table'!$A21, LS_previous!$B$4:$B$138, 0), MATCH(S$4&amp;S$5, LS_previous!$D$2:$AY$2&amp;LS_previous!$D$3:$AY$3, 0)),SUM(VLOOKUP($A21, LS_previous!$B$4:$AY$138, LS_previous!K$149, FALSE), VLOOKUP('Staging Table'!$A21, LS_previous!$B$4:$AY$138,LS_previous!AI$149, FALSE))/2)</f>
        <v>1307.5577678692</v>
      </c>
      <c r="T21" s="192">
        <f t="array" ref="T21">IF($G21=0, INDEX(LS_previous!$D$4:$AY$138, MATCH('Staging Table'!$A21, LS_previous!$B$4:$B$138, 0), MATCH(T$4&amp;T$5, LS_previous!$D$2:$AY$2&amp;LS_previous!$D$3:$AY$3, 0)),SUM(VLOOKUP($A21, LS_previous!$B$4:$AY$138, LS_previous!L$149, FALSE), VLOOKUP('Staging Table'!$A21, LS_previous!$B$4:$AY$138,LS_previous!AJ$149, FALSE))/2)</f>
        <v>1554.6299483492003</v>
      </c>
      <c r="U21" s="192">
        <f t="array" ref="U21">IF($G21=0, INDEX(LS_previous!$D$4:$AY$138, MATCH('Staging Table'!$A21, LS_previous!$B$4:$B$138, 0), MATCH(U$4&amp;U$5, LS_previous!$D$2:$AY$2&amp;LS_previous!$D$3:$AY$3, 0)),SUM(VLOOKUP($A21, LS_previous!$B$4:$AY$138, LS_previous!M$149, FALSE), VLOOKUP('Staging Table'!$A21, LS_previous!$B$4:$AY$138,LS_previous!AK$149, FALSE))/2)</f>
        <v>1141.3338750908001</v>
      </c>
      <c r="V21" s="192">
        <f t="array" ref="V21">IF($G21=0, INDEX(LS_previous!$D$4:$AY$138, MATCH('Staging Table'!$A21, LS_previous!$B$4:$B$138, 0), MATCH(V$4&amp;V$5, LS_previous!$D$2:$AY$2&amp;LS_previous!$D$3:$AY$3, 0)),SUM(VLOOKUP($A21, LS_previous!$B$4:$AY$138, LS_previous!N$149, FALSE), VLOOKUP('Staging Table'!$A21, LS_previous!$B$4:$AY$138,LS_previous!AL$149, FALSE))/2)</f>
        <v>1418.1892621528002</v>
      </c>
      <c r="W21" s="192">
        <f t="array" ref="W21">IF($G21=0, INDEX(LS_previous!$D$4:$AY$138, MATCH('Staging Table'!$A21, LS_previous!$B$4:$B$138, 0), MATCH(W$4&amp;W$5, LS_previous!$D$2:$AY$2&amp;LS_previous!$D$3:$AY$3, 0)),SUM(VLOOKUP($A21, LS_previous!$B$4:$AY$138, LS_previous!O$149, FALSE), VLOOKUP('Staging Table'!$A21, LS_previous!$B$4:$AY$138,LS_previous!AM$149, FALSE))/2)</f>
        <v>1038.3172698593</v>
      </c>
      <c r="X21" s="192">
        <f t="array" ref="X21">IF($G21=0, INDEX(LS_previous!$D$4:$AY$138, MATCH('Staging Table'!$A21, LS_previous!$B$4:$B$138, 0), MATCH(X$4&amp;X$5, LS_previous!$D$2:$AY$2&amp;LS_previous!$D$3:$AY$3, 0)),SUM(VLOOKUP($A21, LS_previous!$B$4:$AY$138, LS_previous!P$149, FALSE), VLOOKUP('Staging Table'!$A21, LS_previous!$B$4:$AY$138,LS_previous!AN$149, FALSE))/2)</f>
        <v>1204.5200166952</v>
      </c>
      <c r="Y21" s="192">
        <f t="array" ref="Y21">IF($G21=0, INDEX(LS_previous!$D$4:$AY$138, MATCH('Staging Table'!$A21, LS_previous!$B$4:$B$138, 0), MATCH(Y$4&amp;Y$5, LS_previous!$D$2:$AY$2&amp;LS_previous!$D$3:$AY$3, 0)),SUM(VLOOKUP($A21, LS_previous!$B$4:$AY$138, LS_previous!Q$149, FALSE), VLOOKUP('Staging Table'!$A21, LS_previous!$B$4:$AY$138,LS_previous!AO$149, FALSE))/2)</f>
        <v>890.46646908880007</v>
      </c>
      <c r="Z21" s="192">
        <f t="array" ref="Z21">IF($G21=0, INDEX(LS_previous!$D$4:$AY$138, MATCH('Staging Table'!$A21, LS_previous!$B$4:$B$138, 0), MATCH(Z$4&amp;Z$5, LS_previous!$D$2:$AY$2&amp;LS_previous!$D$3:$AY$3, 0)),SUM(VLOOKUP($A21, LS_previous!$B$4:$AY$138, LS_previous!R$149, FALSE), VLOOKUP('Staging Table'!$A21, LS_previous!$B$4:$AY$138,LS_previous!AP$149, FALSE))/2)</f>
        <v>741.03507343000001</v>
      </c>
      <c r="AA21" s="192">
        <f t="array" ref="AA21">IF($G21=0, INDEX(LS_previous!$D$4:$AY$138, MATCH('Staging Table'!$A21, LS_previous!$B$4:$B$138, 0), MATCH(AA$4&amp;AA$5, LS_previous!$D$2:$AY$2&amp;LS_previous!$D$3:$AY$3, 0)),SUM(VLOOKUP($A21, LS_previous!$B$4:$AY$138, LS_previous!S$149, FALSE), VLOOKUP('Staging Table'!$A21, LS_previous!$B$4:$AY$138,LS_previous!AQ$149, FALSE))/2)</f>
        <v>791.11922232680013</v>
      </c>
      <c r="AB21" s="192">
        <f t="array" ref="AB21">IF($G21=0, INDEX(LS_previous!$D$4:$AY$138, MATCH('Staging Table'!$A21, LS_previous!$B$4:$B$138, 0), MATCH(AB$4&amp;AB$5, LS_previous!$D$2:$AY$2&amp;LS_previous!$D$3:$AY$3, 0)),SUM(VLOOKUP($A21, LS_previous!$B$4:$AY$138, LS_previous!T$149, FALSE), VLOOKUP('Staging Table'!$A21, LS_previous!$B$4:$AY$138,LS_previous!AR$149, FALSE))/2)</f>
        <v>402.05370424519992</v>
      </c>
      <c r="AC21" s="192">
        <f t="array" ref="AC21">IF($G21=0, INDEX(LS_previous!$D$4:$AY$138, MATCH('Staging Table'!$A21, LS_previous!$B$4:$B$138, 0), MATCH(AC$4&amp;AC$5, LS_previous!$D$2:$AY$2&amp;LS_previous!$D$3:$AY$3, 0)),SUM(VLOOKUP($A21, LS_previous!$B$4:$AY$138, LS_previous!U$149, FALSE), VLOOKUP('Staging Table'!$A21, LS_previous!$B$4:$AY$138,LS_previous!AS$149, FALSE))/2)</f>
        <v>462.83137288879993</v>
      </c>
      <c r="AD21" s="192">
        <f t="array" ref="AD21">IF($G21=0, INDEX(LS_previous!$D$4:$AY$138, MATCH('Staging Table'!$A21, LS_previous!$B$4:$B$138, 0), MATCH(AD$4&amp;AD$5, LS_previous!$D$2:$AY$2&amp;LS_previous!$D$3:$AY$3, 0)),SUM(VLOOKUP($A21, LS_previous!$B$4:$AY$138, LS_previous!V$149, FALSE), VLOOKUP('Staging Table'!$A21, LS_previous!$B$4:$AY$138,LS_previous!AT$149, FALSE))/2)</f>
        <v>611.08253074519985</v>
      </c>
      <c r="AE21" s="192">
        <f t="array" ref="AE21">IF($G21=0, INDEX(LS_previous!$D$4:$AY$138, MATCH('Staging Table'!$A21, LS_previous!$B$4:$B$138, 0), MATCH(AE$4&amp;AE$5, LS_previous!$D$2:$AY$2&amp;LS_previous!$D$3:$AY$3, 0)),SUM(VLOOKUP($A21, LS_previous!$B$4:$AY$138, LS_previous!W$149, FALSE), VLOOKUP('Staging Table'!$A21, LS_previous!$B$4:$AY$138,LS_previous!AU$149, FALSE))/2)</f>
        <v>795.06592056159991</v>
      </c>
      <c r="AF21" s="192">
        <f t="array" ref="AF21">IF($G21=0, INDEX(LS_previous!$D$4:$AY$138, MATCH('Staging Table'!$A21, LS_previous!$B$4:$B$138, 0), MATCH(AF$4&amp;AF$5, LS_previous!$D$2:$AY$2&amp;LS_previous!$D$3:$AY$3, 0)),SUM(VLOOKUP($A21, LS_previous!$B$4:$AY$138, LS_previous!X$149, FALSE), VLOOKUP('Staging Table'!$A21, LS_previous!$B$4:$AY$138,LS_previous!AV$149, FALSE))/2)</f>
        <v>804.85328409520002</v>
      </c>
      <c r="AG21" s="192">
        <f t="array" ref="AG21">IF($G21=0, INDEX(LS_previous!$D$4:$AY$138, MATCH('Staging Table'!$A21, LS_previous!$B$4:$B$138, 0), MATCH(AG$4&amp;AG$5, LS_previous!$D$2:$AY$2&amp;LS_previous!$D$3:$AY$3, 0)),SUM(VLOOKUP($A21, LS_previous!$B$4:$AY$138, LS_previous!Y$149, FALSE), VLOOKUP('Staging Table'!$A21, LS_previous!$B$4:$AY$138,LS_previous!AW$149, FALSE))/2)</f>
        <v>753.2609045616</v>
      </c>
      <c r="AH21" s="192">
        <f t="array" ref="AH21">IF($G21=0, INDEX(LS_previous!$D$4:$AY$138, MATCH('Staging Table'!$A21, LS_previous!$B$4:$B$138, 0), MATCH(AH$4&amp;AH$5, LS_previous!$D$2:$AY$2&amp;LS_previous!$D$3:$AY$3, 0)),SUM(VLOOKUP($A21, LS_previous!$B$4:$AY$138, LS_previous!Z$149, FALSE), VLOOKUP('Staging Table'!$A21, LS_previous!$B$4:$AY$138,LS_previous!AX$149, FALSE))/2)</f>
        <v>656.94506847999992</v>
      </c>
      <c r="AI21" s="192">
        <f t="array" ref="AI21">IF($G21=0, INDEX(LS_previous!$D$4:$AY$138, MATCH('Staging Table'!$A21, LS_previous!$B$4:$B$138, 0), MATCH(AI$4&amp;AI$5, LS_previous!$D$2:$AY$2&amp;LS_previous!$D$3:$AY$3, 0)),SUM(VLOOKUP($A21, LS_previous!$B$4:$AY$138, LS_previous!AA$149, FALSE), VLOOKUP('Staging Table'!$A21, LS_previous!$B$4:$AY$138,LS_previous!AY$149, FALSE))/2)</f>
        <v>613.33443460399997</v>
      </c>
      <c r="AJ21" s="314">
        <f t="array" ref="AJ21">INDEX(Demand_previous!$D$4:$AY$138, MATCH('Staging Table'!$A21, Demand_previous!$B$4:$B$138, 0), MATCH(AJ$4&amp;AJ$5,Demand_previous!$D$2:$AY$2&amp;Demand_previous!$D$3:$AY$3, 0))/1000</f>
        <v>0</v>
      </c>
      <c r="AK21" s="314">
        <f t="array" ref="AK21">INDEX(Demand_previous!$D$4:$AY$138, MATCH('Staging Table'!$A21, Demand_previous!$B$4:$B$138, 0), MATCH(AK$4&amp;AK$5,Demand_previous!$D$2:$AY$2&amp;Demand_previous!$D$3:$AY$3, 0))/1000</f>
        <v>0</v>
      </c>
      <c r="AL21" s="314">
        <f t="array" ref="AL21">INDEX(Demand_previous!$D$4:$AY$138, MATCH('Staging Table'!$A21, Demand_previous!$B$4:$B$138, 0), MATCH(AL$4&amp;AL$5,Demand_previous!$D$2:$AY$2&amp;Demand_previous!$D$3:$AY$3, 0))/1000</f>
        <v>0</v>
      </c>
      <c r="AM21" s="314">
        <f t="array" ref="AM21">INDEX(Demand_previous!$D$4:$AY$138, MATCH('Staging Table'!$A21, Demand_previous!$B$4:$B$138, 0), MATCH(AM$4&amp;AM$5,Demand_previous!$D$2:$AY$2&amp;Demand_previous!$D$3:$AY$3, 0))/1000</f>
        <v>0</v>
      </c>
      <c r="AN21" s="314">
        <f t="array" ref="AN21">INDEX(Demand_previous!$D$4:$AY$138, MATCH('Staging Table'!$A21, Demand_previous!$B$4:$B$138, 0), MATCH(AN$4&amp;AN$5,Demand_previous!$D$2:$AY$2&amp;Demand_previous!$D$3:$AY$3, 0))/1000</f>
        <v>0</v>
      </c>
      <c r="AO21" s="314">
        <f t="array" ref="AO21">INDEX(Demand_previous!$D$4:$AY$138, MATCH('Staging Table'!$A21, Demand_previous!$B$4:$B$138, 0), MATCH(AO$4&amp;AO$5,Demand_previous!$D$2:$AY$2&amp;Demand_previous!$D$3:$AY$3, 0))/1000</f>
        <v>0</v>
      </c>
      <c r="AP21" s="314">
        <f t="array" ref="AP21">INDEX(Demand_previous!$D$4:$AY$138, MATCH('Staging Table'!$A21, Demand_previous!$B$4:$B$138, 0), MATCH(AP$4&amp;AP$5,Demand_previous!$D$2:$AY$2&amp;Demand_previous!$D$3:$AY$3, 0))/1000</f>
        <v>0</v>
      </c>
      <c r="AQ21" s="314">
        <f t="array" ref="AQ21">INDEX(Demand_previous!$D$4:$AY$138, MATCH('Staging Table'!$A21, Demand_previous!$B$4:$B$138, 0), MATCH(AQ$4&amp;AQ$5,Demand_previous!$D$2:$AY$2&amp;Demand_previous!$D$3:$AY$3, 0))/1000</f>
        <v>0</v>
      </c>
      <c r="AR21" s="314">
        <f t="array" ref="AR21">INDEX(Demand_previous!$D$4:$AY$138, MATCH('Staging Table'!$A21, Demand_previous!$B$4:$B$138, 0), MATCH(AR$4&amp;AR$5,Demand_previous!$D$2:$AY$2&amp;Demand_previous!$D$3:$AY$3, 0))/1000</f>
        <v>0</v>
      </c>
      <c r="AS21" s="314">
        <f t="array" ref="AS21">INDEX(Demand_previous!$D$4:$AY$138, MATCH('Staging Table'!$A21, Demand_previous!$B$4:$B$138, 0), MATCH(AS$4&amp;AS$5,Demand_previous!$D$2:$AY$2&amp;Demand_previous!$D$3:$AY$3, 0))/1000</f>
        <v>0</v>
      </c>
      <c r="AT21" s="314">
        <f t="array" ref="AT21">INDEX(Demand_previous!$D$4:$AY$138, MATCH('Staging Table'!$A21, Demand_previous!$B$4:$B$138, 0), MATCH(AT$4&amp;AT$5,Demand_previous!$D$2:$AY$2&amp;Demand_previous!$D$3:$AY$3, 0))/1000</f>
        <v>0</v>
      </c>
      <c r="AU21" s="314">
        <f t="array" ref="AU21">INDEX(Demand_previous!$D$4:$AY$138, MATCH('Staging Table'!$A21, Demand_previous!$B$4:$B$138, 0), MATCH(AU$4&amp;AU$5,Demand_previous!$D$2:$AY$2&amp;Demand_previous!$D$3:$AY$3, 0))/1000</f>
        <v>0</v>
      </c>
      <c r="AV21" s="192">
        <f>$F21*(VLOOKUP(AV$4, Rates_previous!$G$6:$Q$29, 10, FALSE)+VLOOKUP(AV$4, Rates_previous!$G$6:$Q$29, 11, FALSE))</f>
        <v>1554.6506998931998</v>
      </c>
      <c r="AW21" s="192">
        <f>$F21*(VLOOKUP(AW$4, Rates_previous!$G$6:$Q$29, 10, FALSE)+VLOOKUP(AW$4, Rates_previous!$G$6:$Q$29, 11, FALSE))</f>
        <v>1974.8913715712999</v>
      </c>
      <c r="AX21" s="192">
        <f>$F21*(VLOOKUP(AX$4, Rates_previous!$G$6:$Q$29, 10, FALSE)+VLOOKUP(AX$4, Rates_previous!$G$6:$Q$29, 11, FALSE))</f>
        <v>1951.0418859932001</v>
      </c>
      <c r="AY21" s="192">
        <f>$F21*(VLOOKUP(AY$4, Rates_previous!$G$6:$Q$29, 10, FALSE)+VLOOKUP(AY$4, Rates_previous!$G$6:$Q$29, 11, FALSE))</f>
        <v>1626.3122443932002</v>
      </c>
      <c r="AZ21" s="192">
        <f>$F21*(VLOOKUP(AZ$4, Rates_previous!$G$6:$Q$29, 10, FALSE)+VLOOKUP(AZ$4, Rates_previous!$G$6:$Q$29, 11, FALSE))</f>
        <v>1473.27017656</v>
      </c>
      <c r="BA21" s="192">
        <f>$F21*(VLOOKUP(BA$4, Rates_previous!$G$6:$Q$29, 10, FALSE)+VLOOKUP(BA$4, Rates_previous!$G$6:$Q$29, 11, FALSE))</f>
        <v>1638.7444679879</v>
      </c>
      <c r="BB21" s="192">
        <f>$F21*(VLOOKUP(BB$4, Rates_previous!$G$6:$Q$29, 10, FALSE)+VLOOKUP(BB$4, Rates_previous!$G$6:$Q$29, 11, FALSE))</f>
        <v>1334.2675142159999</v>
      </c>
      <c r="BC21" s="192">
        <f>$F21*(VLOOKUP(BC$4, Rates_previous!$G$6:$Q$29, 10, FALSE)+VLOOKUP(BC$4, Rates_previous!$G$6:$Q$29, 11, FALSE))</f>
        <v>1799.4587042432001</v>
      </c>
      <c r="BD21" s="192">
        <f>$F21*(VLOOKUP(BD$4, Rates_previous!$G$6:$Q$29, 10, FALSE)+VLOOKUP(BD$4, Rates_previous!$G$6:$Q$29, 11, FALSE))</f>
        <v>2295.986922866</v>
      </c>
      <c r="BE21" s="192">
        <f>$F21*(VLOOKUP(BE$4, Rates_previous!$G$6:$Q$29, 10, FALSE)+VLOOKUP(BE$4, Rates_previous!$G$6:$Q$29, 11, FALSE))</f>
        <v>1800.1265486932002</v>
      </c>
      <c r="BF21" s="192">
        <f>$F21*(VLOOKUP(BF$4, Rates_previous!$G$6:$Q$29, 10, FALSE)+VLOOKUP(BF$4, Rates_previous!$G$6:$Q$29, 11, FALSE))</f>
        <v>1752.9648113432002</v>
      </c>
      <c r="BG21" s="192">
        <f>$F21*(VLOOKUP(BG$4, Rates_previous!$G$6:$Q$29, 10, FALSE)+VLOOKUP(BG$4, Rates_previous!$G$6:$Q$29, 11, FALSE))</f>
        <v>1573.7894969160002</v>
      </c>
      <c r="BH21" s="314">
        <f>IF($D21=0,IF(C21=0, MAX(BJ21 - (VLOOKUP($A21,TOCA_previous!$A$2:$AI$137,MATCH("RHWM 2020",TOCA_previous!$A$2:$AI$2,0),FALSE)*$F$2*TOCA_previous!C18),0),0), 0)</f>
        <v>21840.207779797202</v>
      </c>
      <c r="BI21" s="204">
        <f>MIN(VLOOKUP($A21,TOCA_previous!$A$2:$AI$137,MATCH("TRL - NLSL - Existing Resource "&amp;$F$1,TOCA_previous!$A$2:$AI$2,0),FALSE)*$F$2,(VLOOKUP($A21,TOCA_previous!$A$2:$AI$137,MATCH("RHWM 2020",TOCA_previous!$A$2:$AI$2,0),FALSE)*$F$2))</f>
        <v>20774.160000000003</v>
      </c>
      <c r="BJ21" s="418">
        <f>SUM(L21:AI21)+(F21*RT1SC!$C$3*$F$2)</f>
        <v>42614.367779797205</v>
      </c>
      <c r="BK21" s="417">
        <f>VLOOKUP($A21,TOCA_previous!$A$2:$AI$137,MATCH("Above RHWM Not Served with LS "&amp;$F$1,TOCA_previous!$A$2:$AI$2,0),FALSE)*$F$2</f>
        <v>0</v>
      </c>
      <c r="BL21" s="418">
        <f t="shared" si="8"/>
        <v>21840.207779797202</v>
      </c>
      <c r="BM21" s="417">
        <f>(VLOOKUP($A21,TOCA_previous!$A$2:$AI$137,MATCH("RHWM 2020",TOCA_previous!$A$2:$AI$2,0),FALSE)*$F$2) - $BI21</f>
        <v>0</v>
      </c>
      <c r="BN21" s="418">
        <f t="shared" si="9"/>
        <v>0</v>
      </c>
      <c r="BO21" s="417">
        <f t="shared" si="10"/>
        <v>0</v>
      </c>
      <c r="BP21" s="418">
        <f t="shared" si="11"/>
        <v>0</v>
      </c>
      <c r="BQ21" s="417">
        <f t="shared" si="2"/>
        <v>0</v>
      </c>
      <c r="BR21" s="120">
        <f>VLOOKUP($A21,TOCA_current!$A$2:$AI$137,MATCH(BR$4,TOCA_current!$A$2:$AI$2,0),FALSE)</f>
        <v>3.367E-4</v>
      </c>
      <c r="BS21" s="120">
        <f>VLOOKUP($A21,TOCA_current!$A$2:$AI$137,MATCH(BS$4,TOCA_current!$A$2:$AI$2,0),FALSE)</f>
        <v>3.367E-4</v>
      </c>
      <c r="BT21" s="201">
        <f t="shared" si="12"/>
        <v>0</v>
      </c>
      <c r="BU21" s="120">
        <f>VLOOKUP($A21,TOCA_current!A17:BG152,MATCH(BU$4,TOCA_current!$A$2:$BG$2,0),FALSE)</f>
        <v>8.6587301587301602E-2</v>
      </c>
      <c r="BV21" s="120">
        <f t="shared" si="3"/>
        <v>0</v>
      </c>
      <c r="BW21" s="120">
        <f t="shared" si="4"/>
        <v>0</v>
      </c>
      <c r="BX21" s="191">
        <f>VLOOKUP($A21,IRD!$A$4:$G$139, 7, FALSE)</f>
        <v>0</v>
      </c>
      <c r="BY21" s="192">
        <f t="array" ref="BY21">IF($BT21=0, INDEX(LS_current!$D$4:$AY$138, MATCH('Staging Table'!$A21, LS_current!$B$4:$B$138, 0), MATCH(BY$4&amp;BY$5, LS_current!$D$2:$AY$2&amp;LS_current!$D$3:$AY$3, 0)),SUM(VLOOKUP($A21, LS_current!$B$4:$AY$138, LS_current!D$148, FALSE), VLOOKUP($A21, LS_current!$B$4:$AY$138,LS_current!AB$148, FALSE))/2)</f>
        <v>-32.192082069102867</v>
      </c>
      <c r="BZ21" s="192">
        <f t="array" ref="BZ21">IF($BT21=0, INDEX(LS_current!$D$4:$AY$138, MATCH('Staging Table'!$A21, LS_current!$B$4:$B$138, 0), MATCH(BZ$4&amp;BZ$5, LS_current!$D$2:$AY$2&amp;LS_current!$D$3:$AY$3, 0)),SUM(VLOOKUP($A21, LS_current!$B$4:$AY$138, LS_current!E$148, FALSE), VLOOKUP($A21, LS_current!$B$4:$AY$138,LS_current!AC$148, FALSE))/2)</f>
        <v>44.656729598200627</v>
      </c>
      <c r="CA21" s="192">
        <f t="array" ref="CA21">IF($BT21=0, INDEX(LS_current!$D$4:$AY$138, MATCH('Staging Table'!$A21, LS_current!$B$4:$B$138, 0), MATCH(CA$4&amp;CA$5, LS_current!$D$2:$AY$2&amp;LS_current!$D$3:$AY$3, 0)),SUM(VLOOKUP($A21, LS_current!$B$4:$AY$138, LS_current!F$148, FALSE), VLOOKUP($A21, LS_current!$B$4:$AY$138,LS_current!AD$148, FALSE))/2)</f>
        <v>-108.99513892603704</v>
      </c>
      <c r="CB21" s="192">
        <f t="array" ref="CB21">IF($BT21=0, INDEX(LS_current!$D$4:$AY$138, MATCH('Staging Table'!$A21, LS_current!$B$4:$B$138, 0), MATCH(CB$4&amp;CB$5, LS_current!$D$2:$AY$2&amp;LS_current!$D$3:$AY$3, 0)),SUM(VLOOKUP($A21, LS_current!$B$4:$AY$138, LS_current!G$148, FALSE), VLOOKUP($A21, LS_current!$B$4:$AY$138,LS_current!AE$148, FALSE))/2)</f>
        <v>-48.415350819050786</v>
      </c>
      <c r="CC21" s="192">
        <f t="array" ref="CC21">IF($BT21=0, INDEX(LS_current!$D$4:$AY$138, MATCH('Staging Table'!$A21, LS_current!$B$4:$B$138, 0), MATCH(CC$4&amp;CC$5, LS_current!$D$2:$AY$2&amp;LS_current!$D$3:$AY$3, 0)),SUM(VLOOKUP($A21, LS_current!$B$4:$AY$138, LS_current!H$148, FALSE), VLOOKUP($A21, LS_current!$B$4:$AY$138,LS_current!AF$148, FALSE))/2)</f>
        <v>534.90904989704882</v>
      </c>
      <c r="CD21" s="192">
        <f t="array" ref="CD21">IF($BT21=0, INDEX(LS_current!$D$4:$AY$138, MATCH('Staging Table'!$A21, LS_current!$B$4:$B$138, 0), MATCH(CD$4&amp;CD$5, LS_current!$D$2:$AY$2&amp;LS_current!$D$3:$AY$3, 0)),SUM(VLOOKUP($A21, LS_current!$B$4:$AY$138, LS_current!I$148, FALSE), VLOOKUP($A21, LS_current!$B$4:$AY$138,LS_current!AG$148, FALSE))/2)</f>
        <v>238.64193511428005</v>
      </c>
      <c r="CE21" s="192">
        <f t="array" ref="CE21">IF($BT21=0, INDEX(LS_current!$D$4:$AY$138, MATCH('Staging Table'!$A21, LS_current!$B$4:$B$138, 0), MATCH(CE$4&amp;CE$5, LS_current!$D$2:$AY$2&amp;LS_current!$D$3:$AY$3, 0)),SUM(VLOOKUP($A21, LS_current!$B$4:$AY$138, LS_current!J$148, FALSE), VLOOKUP($A21, LS_current!$B$4:$AY$138,LS_current!AH$148, FALSE))/2)</f>
        <v>790.47810652431815</v>
      </c>
      <c r="CF21" s="192">
        <f t="array" ref="CF21">IF($BT21=0, INDEX(LS_current!$D$4:$AY$138, MATCH('Staging Table'!$A21, LS_current!$B$4:$B$138, 0), MATCH(CF$4&amp;CF$5, LS_current!$D$2:$AY$2&amp;LS_current!$D$3:$AY$3, 0)),SUM(VLOOKUP($A21, LS_current!$B$4:$AY$138, LS_current!K$148, FALSE), VLOOKUP($A21, LS_current!$B$4:$AY$138,LS_current!AI$148, FALSE))/2)</f>
        <v>514.17751318697492</v>
      </c>
      <c r="CG21" s="192">
        <f t="array" ref="CG21">IF($BT21=0, INDEX(LS_current!$D$4:$AY$138, MATCH('Staging Table'!$A21, LS_current!$B$4:$B$138, 0), MATCH(CG$4&amp;CG$5, LS_current!$D$2:$AY$2&amp;LS_current!$D$3:$AY$3, 0)),SUM(VLOOKUP($A21, LS_current!$B$4:$AY$138, LS_current!L$148, FALSE), VLOOKUP($A21, LS_current!$B$4:$AY$138,LS_current!AJ$148, FALSE))/2)</f>
        <v>889.12843603606814</v>
      </c>
      <c r="CH21" s="192">
        <f t="array" ref="CH21">IF($BT21=0, INDEX(LS_current!$D$4:$AY$138, MATCH('Staging Table'!$A21, LS_current!$B$4:$B$138, 0), MATCH(CH$4&amp;CH$5, LS_current!$D$2:$AY$2&amp;LS_current!$D$3:$AY$3, 0)),SUM(VLOOKUP($A21, LS_current!$B$4:$AY$138, LS_current!M$148, FALSE), VLOOKUP($A21, LS_current!$B$4:$AY$138,LS_current!AK$148, FALSE))/2)</f>
        <v>511.38152572901424</v>
      </c>
      <c r="CI21" s="192">
        <f t="array" ref="CI21">IF($BT21=0, INDEX(LS_current!$D$4:$AY$138, MATCH('Staging Table'!$A21, LS_current!$B$4:$B$138, 0), MATCH(CI$4&amp;CI$5, LS_current!$D$2:$AY$2&amp;LS_current!$D$3:$AY$3, 0)),SUM(VLOOKUP($A21, LS_current!$B$4:$AY$138, LS_current!N$148, FALSE), VLOOKUP($A21, LS_current!$B$4:$AY$138,LS_current!AL$148, FALSE))/2)</f>
        <v>557.41572408341824</v>
      </c>
      <c r="CJ21" s="192">
        <f t="array" ref="CJ21">IF($BT21=0, INDEX(LS_current!$D$4:$AY$138, MATCH('Staging Table'!$A21, LS_current!$B$4:$B$138, 0), MATCH(CJ$4&amp;CJ$5, LS_current!$D$2:$AY$2&amp;LS_current!$D$3:$AY$3, 0)),SUM(VLOOKUP($A21, LS_current!$B$4:$AY$138, LS_current!O$148, FALSE), VLOOKUP($A21, LS_current!$B$4:$AY$138,LS_current!AM$148, FALSE))/2)</f>
        <v>356.68878245875328</v>
      </c>
      <c r="CK21" s="192">
        <f t="array" ref="CK21">IF($BT21=0, INDEX(LS_current!$D$4:$AY$138, MATCH('Staging Table'!$A21, LS_current!$B$4:$B$138, 0), MATCH(CK$4&amp;CK$5, LS_current!$D$2:$AY$2&amp;LS_current!$D$3:$AY$3, 0)),SUM(VLOOKUP($A21, LS_current!$B$4:$AY$138, LS_current!P$148, FALSE), VLOOKUP($A21, LS_current!$B$4:$AY$138,LS_current!AN$148, FALSE))/2)</f>
        <v>395.30149993337795</v>
      </c>
      <c r="CL21" s="192">
        <f t="array" ref="CL21">IF($BT21=0, INDEX(LS_current!$D$4:$AY$138, MATCH('Staging Table'!$A21, LS_current!$B$4:$B$138, 0), MATCH(CL$4&amp;CL$5, LS_current!$D$2:$AY$2&amp;LS_current!$D$3:$AY$3, 0)),SUM(VLOOKUP($A21, LS_current!$B$4:$AY$138, LS_current!Q$148, FALSE), VLOOKUP($A21, LS_current!$B$4:$AY$138,LS_current!AO$148, FALSE))/2)</f>
        <v>264.15361706545258</v>
      </c>
      <c r="CM21" s="192">
        <f t="array" ref="CM21">IF($BT21=0, INDEX(LS_current!$D$4:$AY$138, MATCH('Staging Table'!$A21, LS_current!$B$4:$B$138, 0), MATCH(CM$4&amp;CM$5, LS_current!$D$2:$AY$2&amp;LS_current!$D$3:$AY$3, 0)),SUM(VLOOKUP($A21, LS_current!$B$4:$AY$138, LS_current!R$148, FALSE), VLOOKUP($A21, LS_current!$B$4:$AY$138,LS_current!AP$148, FALSE))/2)</f>
        <v>-106.66544727940277</v>
      </c>
      <c r="CN21" s="192">
        <f t="array" ref="CN21">IF($BT21=0, INDEX(LS_current!$D$4:$AY$138, MATCH('Staging Table'!$A21, LS_current!$B$4:$B$138, 0), MATCH(CN$4&amp;CN$5, LS_current!$D$2:$AY$2&amp;LS_current!$D$3:$AY$3, 0)),SUM(VLOOKUP($A21, LS_current!$B$4:$AY$138, LS_current!S$148, FALSE), VLOOKUP($A21, LS_current!$B$4:$AY$138,LS_current!AQ$148, FALSE))/2)</f>
        <v>132.17457756539613</v>
      </c>
      <c r="CO21" s="192">
        <f t="array" ref="CO21">IF($BT21=0, INDEX(LS_current!$D$4:$AY$138, MATCH('Staging Table'!$A21, LS_current!$B$4:$B$138, 0), MATCH(CO$4&amp;CO$5, LS_current!$D$2:$AY$2&amp;LS_current!$D$3:$AY$3, 0)),SUM(VLOOKUP($A21, LS_current!$B$4:$AY$138, LS_current!T$148, FALSE), VLOOKUP($A21, LS_current!$B$4:$AY$138,LS_current!AR$148, FALSE))/2)</f>
        <v>-310.73251178050089</v>
      </c>
      <c r="CP21" s="192">
        <f t="array" ref="CP21">IF($BT21=0, INDEX(LS_current!$D$4:$AY$138, MATCH('Staging Table'!$A21, LS_current!$B$4:$B$138, 0), MATCH(CP$4&amp;CP$5, LS_current!$D$2:$AY$2&amp;LS_current!$D$3:$AY$3, 0)),SUM(VLOOKUP($A21, LS_current!$B$4:$AY$138, LS_current!U$148, FALSE), VLOOKUP($A21, LS_current!$B$4:$AY$138,LS_current!AS$148, FALSE))/2)</f>
        <v>96.12049699705517</v>
      </c>
      <c r="CQ21" s="192">
        <f t="array" ref="CQ21">IF($BT21=0, INDEX(LS_current!$D$4:$AY$138, MATCH('Staging Table'!$A21, LS_current!$B$4:$B$138, 0), MATCH(CQ$4&amp;CQ$5, LS_current!$D$2:$AY$2&amp;LS_current!$D$3:$AY$3, 0)),SUM(VLOOKUP($A21, LS_current!$B$4:$AY$138, LS_current!V$148, FALSE), VLOOKUP($A21, LS_current!$B$4:$AY$138,LS_current!AT$148, FALSE))/2)</f>
        <v>-168.40374570477798</v>
      </c>
      <c r="CR21" s="192">
        <f t="array" ref="CR21">IF($BT21=0, INDEX(LS_current!$D$4:$AY$138, MATCH('Staging Table'!$A21, LS_current!$B$4:$B$138, 0), MATCH(CR$4&amp;CR$5, LS_current!$D$2:$AY$2&amp;LS_current!$D$3:$AY$3, 0)),SUM(VLOOKUP($A21, LS_current!$B$4:$AY$138, LS_current!W$148, FALSE), VLOOKUP($A21, LS_current!$B$4:$AY$138,LS_current!AU$148, FALSE))/2)</f>
        <v>43.226625614299451</v>
      </c>
      <c r="CS21" s="192">
        <f t="array" ref="CS21">IF($BT21=0, INDEX(LS_current!$D$4:$AY$138, MATCH('Staging Table'!$A21, LS_current!$B$4:$B$138, 0), MATCH(CS$4&amp;CS$5, LS_current!$D$2:$AY$2&amp;LS_current!$D$3:$AY$3, 0)),SUM(VLOOKUP($A21, LS_current!$B$4:$AY$138, LS_current!X$148, FALSE), VLOOKUP($A21, LS_current!$B$4:$AY$138,LS_current!AV$148, FALSE))/2)</f>
        <v>-52.637757048938056</v>
      </c>
      <c r="CT21" s="192">
        <f t="array" ref="CT21">IF($BT21=0, INDEX(LS_current!$D$4:$AY$138, MATCH('Staging Table'!$A21, LS_current!$B$4:$B$138, 0), MATCH(CT$4&amp;CT$5, LS_current!$D$2:$AY$2&amp;LS_current!$D$3:$AY$3, 0)),SUM(VLOOKUP($A21, LS_current!$B$4:$AY$138, LS_current!Y$148, FALSE), VLOOKUP($A21, LS_current!$B$4:$AY$138,LS_current!AW$148, FALSE))/2)</f>
        <v>91.764283838214851</v>
      </c>
      <c r="CU21" s="192">
        <f t="array" ref="CU21">IF($BT21=0, INDEX(LS_current!$D$4:$AY$138, MATCH('Staging Table'!$A21, LS_current!$B$4:$B$138, 0), MATCH(CU$4&amp;CU$5, LS_current!$D$2:$AY$2&amp;LS_current!$D$3:$AY$3, 0)),SUM(VLOOKUP($A21, LS_current!$B$4:$AY$138, LS_current!Z$148, FALSE), VLOOKUP($A21, LS_current!$B$4:$AY$138,LS_current!AX$148, FALSE))/2)</f>
        <v>-183.57593740589459</v>
      </c>
      <c r="CV21" s="192">
        <f t="array" ref="CV21">IF($BT21=0, INDEX(LS_current!$D$4:$AY$138, MATCH('Staging Table'!$A21, LS_current!$B$4:$B$138, 0), MATCH(CV$4&amp;CV$5, LS_current!$D$2:$AY$2&amp;LS_current!$D$3:$AY$3, 0)),SUM(VLOOKUP($A21, LS_current!$B$4:$AY$138, LS_current!AA$148, FALSE), VLOOKUP($A21, LS_current!$B$4:$AY$138,LS_current!AY$148, FALSE))/2)</f>
        <v>-64.02989585923865</v>
      </c>
      <c r="CW21" s="194">
        <f t="array" ref="CW21">INDEX(Demand_current!$D$4:$AY$138, MATCH($A21, Demand_current!$B$4:$B$138, 0), MATCH(CW$4&amp;CW$5,Demand_current!$D$2:$AY$2&amp;Demand_current!$D$3:$AY$3, 0))/1000</f>
        <v>0</v>
      </c>
      <c r="CX21" s="194">
        <f t="array" ref="CX21">INDEX(Demand_current!$D$4:$AY$138, MATCH($A21, Demand_current!$B$4:$B$138, 0), MATCH(CX$4&amp;CX$5,Demand_current!$D$2:$AY$2&amp;Demand_current!$D$3:$AY$3, 0))/1000</f>
        <v>0</v>
      </c>
      <c r="CY21" s="194">
        <f t="array" ref="CY21">INDEX(Demand_current!$D$4:$AY$138, MATCH($A21, Demand_current!$B$4:$B$138, 0), MATCH(CY$4&amp;CY$5,Demand_current!$D$2:$AY$2&amp;Demand_current!$D$3:$AY$3, 0))/1000</f>
        <v>0</v>
      </c>
      <c r="CZ21" s="194">
        <f t="array" ref="CZ21">INDEX(Demand_current!$D$4:$AY$138, MATCH($A21, Demand_current!$B$4:$B$138, 0), MATCH(CZ$4&amp;CZ$5,Demand_current!$D$2:$AY$2&amp;Demand_current!$D$3:$AY$3, 0))/1000</f>
        <v>0</v>
      </c>
      <c r="DA21" s="194">
        <f t="array" ref="DA21">INDEX(Demand_current!$D$4:$AY$138, MATCH($A21, Demand_current!$B$4:$B$138, 0), MATCH(DA$4&amp;DA$5,Demand_current!$D$2:$AY$2&amp;Demand_current!$D$3:$AY$3, 0))/1000</f>
        <v>0</v>
      </c>
      <c r="DB21" s="194">
        <f t="array" ref="DB21">INDEX(Demand_current!$D$4:$AY$138, MATCH($A21, Demand_current!$B$4:$B$138, 0), MATCH(DB$4&amp;DB$5,Demand_current!$D$2:$AY$2&amp;Demand_current!$D$3:$AY$3, 0))/1000</f>
        <v>0</v>
      </c>
      <c r="DC21" s="194">
        <f t="array" ref="DC21">INDEX(Demand_current!$D$4:$AY$138, MATCH($A21, Demand_current!$B$4:$B$138, 0), MATCH(DC$4&amp;DC$5,Demand_current!$D$2:$AY$2&amp;Demand_current!$D$3:$AY$3, 0))/1000</f>
        <v>0</v>
      </c>
      <c r="DD21" s="194">
        <f t="array" ref="DD21">INDEX(Demand_current!$D$4:$AY$138, MATCH($A21, Demand_current!$B$4:$B$138, 0), MATCH(DD$4&amp;DD$5,Demand_current!$D$2:$AY$2&amp;Demand_current!$D$3:$AY$3, 0))/1000</f>
        <v>0</v>
      </c>
      <c r="DE21" s="194">
        <f t="array" ref="DE21">INDEX(Demand_current!$D$4:$AY$138, MATCH($A21, Demand_current!$B$4:$B$138, 0), MATCH(DE$4&amp;DE$5,Demand_current!$D$2:$AY$2&amp;Demand_current!$D$3:$AY$3, 0))/1000</f>
        <v>0</v>
      </c>
      <c r="DF21" s="194">
        <f t="array" ref="DF21">INDEX(Demand_current!$D$4:$AY$138, MATCH($A21, Demand_current!$B$4:$B$138, 0), MATCH(DF$4&amp;DF$5,Demand_current!$D$2:$AY$2&amp;Demand_current!$D$3:$AY$3, 0))/1000</f>
        <v>0</v>
      </c>
      <c r="DG21" s="194">
        <f t="array" ref="DG21">INDEX(Demand_current!$D$4:$AY$138, MATCH($A21, Demand_current!$B$4:$B$138, 0), MATCH(DG$4&amp;DG$5,Demand_current!$D$2:$AY$2&amp;Demand_current!$D$3:$AY$3, 0))/1000</f>
        <v>0</v>
      </c>
      <c r="DH21" s="194">
        <f t="array" ref="DH21">INDEX(Demand_current!$D$4:$AY$138, MATCH($A21, Demand_current!$B$4:$B$138, 0), MATCH(DH$4&amp;DH$5,Demand_current!$D$2:$AY$2&amp;Demand_current!$D$3:$AY$3, 0))/1000</f>
        <v>0</v>
      </c>
      <c r="DI21" s="192">
        <f>$BS21*(VLOOKUP(DI$4, Rates_current!$G$6:$Q$29, 10, FALSE)+VLOOKUP(DI$4, Rates_current!$G$6:$Q$29, 11, FALSE))</f>
        <v>1533.3063524709021</v>
      </c>
      <c r="DJ21" s="192">
        <f>$BS21*(VLOOKUP(DJ$4, Rates_current!$G$6:$Q$29, 10, FALSE)+VLOOKUP(DJ$4, Rates_current!$G$6:$Q$29, 11, FALSE))</f>
        <v>1941.2214897450879</v>
      </c>
      <c r="DK21" s="192">
        <f>$BS21*(VLOOKUP(DK$4, Rates_current!$G$6:$Q$29, 10, FALSE)+VLOOKUP(DK$4, Rates_current!$G$6:$Q$29, 11, FALSE))</f>
        <v>1900.0680149886709</v>
      </c>
      <c r="DL21" s="192">
        <f>$BS21*(VLOOKUP(DL$4, Rates_current!$G$6:$Q$29, 10, FALSE)+VLOOKUP(DL$4, Rates_current!$G$6:$Q$29, 11, FALSE))</f>
        <v>1569.3753802887068</v>
      </c>
      <c r="DM21" s="192">
        <f>$BS21*(VLOOKUP(DM$4, Rates_current!$G$6:$Q$29, 10, FALSE)+VLOOKUP(DM$4, Rates_current!$G$6:$Q$29, 11, FALSE))</f>
        <v>1360.2120382349178</v>
      </c>
      <c r="DN21" s="192">
        <f>$BS21*(VLOOKUP(DN$4, Rates_current!$G$6:$Q$29, 10, FALSE)+VLOOKUP(DN$4, Rates_current!$G$6:$Q$29, 11, FALSE))</f>
        <v>1623.8184934578289</v>
      </c>
      <c r="DO21" s="192">
        <f>$BS21*(VLOOKUP(DO$4, Rates_current!$G$6:$Q$29, 10, FALSE)+VLOOKUP(DO$4, Rates_current!$G$6:$Q$29, 11, FALSE))</f>
        <v>1260.6788830011694</v>
      </c>
      <c r="DP21" s="192">
        <f>$BS21*(VLOOKUP(DP$4, Rates_current!$G$6:$Q$29, 10, FALSE)+VLOOKUP(DP$4, Rates_current!$G$6:$Q$29, 11, FALSE))</f>
        <v>1746.6798697140064</v>
      </c>
      <c r="DQ21" s="192">
        <f>$BS21*(VLOOKUP(DQ$4, Rates_current!$G$6:$Q$29, 10, FALSE)+VLOOKUP(DQ$4, Rates_current!$G$6:$Q$29, 11, FALSE))</f>
        <v>1866.3640147834453</v>
      </c>
      <c r="DR21" s="192">
        <f>$BS21*(VLOOKUP(DR$4, Rates_current!$G$6:$Q$29, 10, FALSE)+VLOOKUP(DR$4, Rates_current!$G$6:$Q$29, 11, FALSE))</f>
        <v>1772.0281200904783</v>
      </c>
      <c r="DS21" s="192">
        <f>$BS21*(VLOOKUP(DS$4, Rates_current!$G$6:$Q$29, 10, FALSE)+VLOOKUP(DS$4, Rates_current!$G$6:$Q$29, 11, FALSE))</f>
        <v>1712.5284732107232</v>
      </c>
      <c r="DT21" s="192">
        <f>$BS21*(VLOOKUP(DT$4, Rates_current!$G$6:$Q$29, 10, FALSE)+VLOOKUP(DT$4, Rates_current!$G$6:$Q$29, 11, FALSE))</f>
        <v>1582.5548332651331</v>
      </c>
      <c r="DU21" s="418">
        <f>IF(D21=0,IF(C21=0,MAX(0,DW21 - (VLOOKUP($A21,TOCA_current!$A$2:$AI$137,MATCH("RHWM 2022",TOCA_current!$A$2:$AI$2,0),FALSE)*$BS$2)), 0),0)</f>
        <v>4385.7280163769356</v>
      </c>
      <c r="DV21" s="419">
        <f>MIN(VLOOKUP($A21,TOCA_current!$A$2:$AI$137,MATCH("TRL - NLSL - Existing Resource "&amp;$BS$1,TOCA_current!$A$2:$AI$2,0),FALSE)*$BS$2, VLOOKUP($A21,TOCA_current!$A$2:$AI$137,MATCH("RHWM 2022",TOCA_current!$A$2:$AI$2,0),FALSE)*$BS$2)</f>
        <v>19867.679999999997</v>
      </c>
      <c r="DW21" s="419">
        <f>SUM(BY21:CV21)+(BS21*RT1SC!$C$4*$BS$2)</f>
        <v>24253.408016376932</v>
      </c>
      <c r="DX21" s="419">
        <f>VLOOKUP($A21,TOCA_current!$A$2:$AI$137,MATCH("Above RHWM Not Served with LS "&amp;$BS$1,TOCA_current!$A$2:$AI$2,0),FALSE)*$BS$2</f>
        <v>18360.96</v>
      </c>
      <c r="DY21" s="419">
        <f t="shared" si="13"/>
        <v>4385.7280163769356</v>
      </c>
      <c r="DZ21" s="419">
        <f>(VLOOKUP($A21,TOCA_current!$A$2:$AI$137,MATCH("RHWM 2022",TOCA_current!$A$2:$AI$2,0),FALSE)*$BS$2) - $DV21</f>
        <v>0</v>
      </c>
      <c r="EA21" s="419">
        <f t="shared" si="14"/>
        <v>0</v>
      </c>
      <c r="EB21" s="419">
        <f t="shared" si="15"/>
        <v>0</v>
      </c>
      <c r="EC21" s="419">
        <f t="shared" si="16"/>
        <v>0</v>
      </c>
      <c r="ED21" s="419">
        <f t="shared" si="17"/>
        <v>0</v>
      </c>
    </row>
    <row r="22" spans="1:134">
      <c r="A22" s="135">
        <v>10066</v>
      </c>
      <c r="B22" s="136" t="s">
        <v>23</v>
      </c>
      <c r="C22" s="244">
        <f>VLOOKUP(A22, TOCA_current!$A$3:$D$137, 4, FALSE)</f>
        <v>0</v>
      </c>
      <c r="D22" s="203">
        <v>0</v>
      </c>
      <c r="E22" s="119">
        <f>VLOOKUP($A22,TOCA_previous!$A$2:$AI$137,MATCH(E$4,TOCA_previous!$A$2:$AI$2,0),FALSE)</f>
        <v>3.4510999999999999E-3</v>
      </c>
      <c r="F22" s="120">
        <f>VLOOKUP($A22,TOCA_previous!$A$2:$AI$137,MATCH(F$4,TOCA_previous!$A$2:$AI$2,0),FALSE)</f>
        <v>3.4510999999999999E-3</v>
      </c>
      <c r="G22" s="120">
        <f t="shared" si="5"/>
        <v>0</v>
      </c>
      <c r="H22" s="120">
        <f>VLOOKUP($A22,TOCA_previous!$A$2:$AI$137,MATCH(H$4,TOCA_previous!$A$2:$AI$2,0),FALSE)</f>
        <v>0</v>
      </c>
      <c r="I22" s="120">
        <f t="shared" si="6"/>
        <v>0</v>
      </c>
      <c r="J22" s="120">
        <f t="shared" si="7"/>
        <v>0</v>
      </c>
      <c r="K22" s="191">
        <f>VLOOKUP(A22, IRD!$A$5:$C$139, 3, FALSE)</f>
        <v>0</v>
      </c>
      <c r="L22" s="192">
        <f t="array" ref="L22">IF($G22=0, INDEX(LS_previous!$D$4:$AY$138, MATCH('Staging Table'!$A22, LS_previous!$B$4:$B$138, 0), MATCH(L$4&amp;L$5, LS_previous!$D$2:$AY$2&amp;LS_previous!$D$3:$AY$3, 0)),SUM(VLOOKUP($A22, LS_previous!$B$4:$AY$138, LS_previous!D$149, FALSE), VLOOKUP('Staging Table'!$A22, LS_previous!$B$4:$AY$138,LS_previous!AB$149, FALSE))/2)</f>
        <v>-2806.6685605267976</v>
      </c>
      <c r="M22" s="192">
        <f t="array" ref="M22">IF($G22=0, INDEX(LS_previous!$D$4:$AY$138, MATCH('Staging Table'!$A22, LS_previous!$B$4:$B$138, 0), MATCH(M$4&amp;M$5, LS_previous!$D$2:$AY$2&amp;LS_previous!$D$3:$AY$3, 0)),SUM(VLOOKUP($A22, LS_previous!$B$4:$AY$138, LS_previous!E$149, FALSE), VLOOKUP('Staging Table'!$A22, LS_previous!$B$4:$AY$138,LS_previous!AC$149, FALSE))/2)</f>
        <v>-2006.6958145888002</v>
      </c>
      <c r="N22" s="192">
        <f t="array" ref="N22">IF($G22=0, INDEX(LS_previous!$D$4:$AY$138, MATCH('Staging Table'!$A22, LS_previous!$B$4:$B$138, 0), MATCH(N$4&amp;N$5, LS_previous!$D$2:$AY$2&amp;LS_previous!$D$3:$AY$3, 0)),SUM(VLOOKUP($A22, LS_previous!$B$4:$AY$138, LS_previous!F$149, FALSE), VLOOKUP('Staging Table'!$A22, LS_previous!$B$4:$AY$138,LS_previous!AD$149, FALSE))/2)</f>
        <v>-2246.7540758807991</v>
      </c>
      <c r="O22" s="192">
        <f t="array" ref="O22">IF($G22=0, INDEX(LS_previous!$D$4:$AY$138, MATCH('Staging Table'!$A22, LS_previous!$B$4:$B$138, 0), MATCH(O$4&amp;O$5, LS_previous!$D$2:$AY$2&amp;LS_previous!$D$3:$AY$3, 0)),SUM(VLOOKUP($A22, LS_previous!$B$4:$AY$138, LS_previous!G$149, FALSE), VLOOKUP('Staging Table'!$A22, LS_previous!$B$4:$AY$138,LS_previous!AE$149, FALSE))/2)</f>
        <v>-1805.2685752321004</v>
      </c>
      <c r="P22" s="192">
        <f t="array" ref="P22">IF($G22=0, INDEX(LS_previous!$D$4:$AY$138, MATCH('Staging Table'!$A22, LS_previous!$B$4:$B$138, 0), MATCH(P$4&amp;P$5, LS_previous!$D$2:$AY$2&amp;LS_previous!$D$3:$AY$3, 0)),SUM(VLOOKUP($A22, LS_previous!$B$4:$AY$138, LS_previous!H$149, FALSE), VLOOKUP('Staging Table'!$A22, LS_previous!$B$4:$AY$138,LS_previous!AF$149, FALSE))/2)</f>
        <v>1608.5281792608002</v>
      </c>
      <c r="Q22" s="192">
        <f t="array" ref="Q22">IF($G22=0, INDEX(LS_previous!$D$4:$AY$138, MATCH('Staging Table'!$A22, LS_previous!$B$4:$B$138, 0), MATCH(Q$4&amp;Q$5, LS_previous!$D$2:$AY$2&amp;LS_previous!$D$3:$AY$3, 0)),SUM(VLOOKUP($A22, LS_previous!$B$4:$AY$138, LS_previous!I$149, FALSE), VLOOKUP('Staging Table'!$A22, LS_previous!$B$4:$AY$138,LS_previous!AG$149, FALSE))/2)</f>
        <v>692.7100843235994</v>
      </c>
      <c r="R22" s="192">
        <f t="array" ref="R22">IF($G22=0, INDEX(LS_previous!$D$4:$AY$138, MATCH('Staging Table'!$A22, LS_previous!$B$4:$B$138, 0), MATCH(R$4&amp;R$5, LS_previous!$D$2:$AY$2&amp;LS_previous!$D$3:$AY$3, 0)),SUM(VLOOKUP($A22, LS_previous!$B$4:$AY$138, LS_previous!J$149, FALSE), VLOOKUP('Staging Table'!$A22, LS_previous!$B$4:$AY$138,LS_previous!AH$149, FALSE))/2)</f>
        <v>4182.9655428608003</v>
      </c>
      <c r="S22" s="192">
        <f t="array" ref="S22">IF($G22=0, INDEX(LS_previous!$D$4:$AY$138, MATCH('Staging Table'!$A22, LS_previous!$B$4:$B$138, 0), MATCH(S$4&amp;S$5, LS_previous!$D$2:$AY$2&amp;LS_previous!$D$3:$AY$3, 0)),SUM(VLOOKUP($A22, LS_previous!$B$4:$AY$138, LS_previous!K$149, FALSE), VLOOKUP('Staging Table'!$A22, LS_previous!$B$4:$AY$138,LS_previous!AI$149, FALSE))/2)</f>
        <v>3553.6312135236003</v>
      </c>
      <c r="T22" s="192">
        <f t="array" ref="T22">IF($G22=0, INDEX(LS_previous!$D$4:$AY$138, MATCH('Staging Table'!$A22, LS_previous!$B$4:$B$138, 0), MATCH(T$4&amp;T$5, LS_previous!$D$2:$AY$2&amp;LS_previous!$D$3:$AY$3, 0)),SUM(VLOOKUP($A22, LS_previous!$B$4:$AY$138, LS_previous!L$149, FALSE), VLOOKUP('Staging Table'!$A22, LS_previous!$B$4:$AY$138,LS_previous!AJ$149, FALSE))/2)</f>
        <v>2634.2282653636012</v>
      </c>
      <c r="U22" s="192">
        <f t="array" ref="U22">IF($G22=0, INDEX(LS_previous!$D$4:$AY$138, MATCH('Staging Table'!$A22, LS_previous!$B$4:$B$138, 0), MATCH(U$4&amp;U$5, LS_previous!$D$2:$AY$2&amp;LS_previous!$D$3:$AY$3, 0)),SUM(VLOOKUP($A22, LS_previous!$B$4:$AY$138, LS_previous!M$149, FALSE), VLOOKUP('Staging Table'!$A22, LS_previous!$B$4:$AY$138,LS_previous!AK$149, FALSE))/2)</f>
        <v>1265.2395961564007</v>
      </c>
      <c r="V22" s="192">
        <f t="array" ref="V22">IF($G22=0, INDEX(LS_previous!$D$4:$AY$138, MATCH('Staging Table'!$A22, LS_previous!$B$4:$B$138, 0), MATCH(V$4&amp;V$5, LS_previous!$D$2:$AY$2&amp;LS_previous!$D$3:$AY$3, 0)),SUM(VLOOKUP($A22, LS_previous!$B$4:$AY$138, LS_previous!N$149, FALSE), VLOOKUP('Staging Table'!$A22, LS_previous!$B$4:$AY$138,LS_previous!AL$149, FALSE))/2)</f>
        <v>885.96628160240107</v>
      </c>
      <c r="W22" s="192">
        <f t="array" ref="W22">IF($G22=0, INDEX(LS_previous!$D$4:$AY$138, MATCH('Staging Table'!$A22, LS_previous!$B$4:$B$138, 0), MATCH(W$4&amp;W$5, LS_previous!$D$2:$AY$2&amp;LS_previous!$D$3:$AY$3, 0)),SUM(VLOOKUP($A22, LS_previous!$B$4:$AY$138, LS_previous!O$149, FALSE), VLOOKUP('Staging Table'!$A22, LS_previous!$B$4:$AY$138,LS_previous!AM$149, FALSE))/2)</f>
        <v>-184.76504778310027</v>
      </c>
      <c r="X22" s="192">
        <f t="array" ref="X22">IF($G22=0, INDEX(LS_previous!$D$4:$AY$138, MATCH('Staging Table'!$A22, LS_previous!$B$4:$B$138, 0), MATCH(X$4&amp;X$5, LS_previous!$D$2:$AY$2&amp;LS_previous!$D$3:$AY$3, 0)),SUM(VLOOKUP($A22, LS_previous!$B$4:$AY$138, LS_previous!P$149, FALSE), VLOOKUP('Staging Table'!$A22, LS_previous!$B$4:$AY$138,LS_previous!AN$149, FALSE))/2)</f>
        <v>763.01268998160049</v>
      </c>
      <c r="Y22" s="192">
        <f t="array" ref="Y22">IF($G22=0, INDEX(LS_previous!$D$4:$AY$138, MATCH('Staging Table'!$A22, LS_previous!$B$4:$B$138, 0), MATCH(Y$4&amp;Y$5, LS_previous!$D$2:$AY$2&amp;LS_previous!$D$3:$AY$3, 0)),SUM(VLOOKUP($A22, LS_previous!$B$4:$AY$138, LS_previous!Q$149, FALSE), VLOOKUP('Staging Table'!$A22, LS_previous!$B$4:$AY$138,LS_previous!AO$149, FALSE))/2)</f>
        <v>-318.10750230960002</v>
      </c>
      <c r="Z22" s="192">
        <f t="array" ref="Z22">IF($G22=0, INDEX(LS_previous!$D$4:$AY$138, MATCH('Staging Table'!$A22, LS_previous!$B$4:$B$138, 0), MATCH(Z$4&amp;Z$5, LS_previous!$D$2:$AY$2&amp;LS_previous!$D$3:$AY$3, 0)),SUM(VLOOKUP($A22, LS_previous!$B$4:$AY$138, LS_previous!R$149, FALSE), VLOOKUP('Staging Table'!$A22, LS_previous!$B$4:$AY$138,LS_previous!AP$149, FALSE))/2)</f>
        <v>-4550.2583908100005</v>
      </c>
      <c r="AA22" s="192">
        <f t="array" ref="AA22">IF($G22=0, INDEX(LS_previous!$D$4:$AY$138, MATCH('Staging Table'!$A22, LS_previous!$B$4:$B$138, 0), MATCH(AA$4&amp;AA$5, LS_previous!$D$2:$AY$2&amp;LS_previous!$D$3:$AY$3, 0)),SUM(VLOOKUP($A22, LS_previous!$B$4:$AY$138, LS_previous!S$149, FALSE), VLOOKUP('Staging Table'!$A22, LS_previous!$B$4:$AY$138,LS_previous!AQ$149, FALSE))/2)</f>
        <v>-2696.6644978555996</v>
      </c>
      <c r="AB22" s="192">
        <f t="array" ref="AB22">IF($G22=0, INDEX(LS_previous!$D$4:$AY$138, MATCH('Staging Table'!$A22, LS_previous!$B$4:$B$138, 0), MATCH(AB$4&amp;AB$5, LS_previous!$D$2:$AY$2&amp;LS_previous!$D$3:$AY$3, 0)),SUM(VLOOKUP($A22, LS_previous!$B$4:$AY$138, LS_previous!T$149, FALSE), VLOOKUP('Staging Table'!$A22, LS_previous!$B$4:$AY$138,LS_previous!AR$149, FALSE))/2)</f>
        <v>-8103.8366108684004</v>
      </c>
      <c r="AC22" s="192">
        <f t="array" ref="AC22">IF($G22=0, INDEX(LS_previous!$D$4:$AY$138, MATCH('Staging Table'!$A22, LS_previous!$B$4:$B$138, 0), MATCH(AC$4&amp;AC$5, LS_previous!$D$2:$AY$2&amp;LS_previous!$D$3:$AY$3, 0)),SUM(VLOOKUP($A22, LS_previous!$B$4:$AY$138, LS_previous!U$149, FALSE), VLOOKUP('Staging Table'!$A22, LS_previous!$B$4:$AY$138,LS_previous!AS$149, FALSE))/2)</f>
        <v>-5228.9819169095999</v>
      </c>
      <c r="AD22" s="192">
        <f t="array" ref="AD22">IF($G22=0, INDEX(LS_previous!$D$4:$AY$138, MATCH('Staging Table'!$A22, LS_previous!$B$4:$B$138, 0), MATCH(AD$4&amp;AD$5, LS_previous!$D$2:$AY$2&amp;LS_previous!$D$3:$AY$3, 0)),SUM(VLOOKUP($A22, LS_previous!$B$4:$AY$138, LS_previous!V$149, FALSE), VLOOKUP('Staging Table'!$A22, LS_previous!$B$4:$AY$138,LS_previous!AT$149, FALSE))/2)</f>
        <v>-5816.9820363684012</v>
      </c>
      <c r="AE22" s="192">
        <f t="array" ref="AE22">IF($G22=0, INDEX(LS_previous!$D$4:$AY$138, MATCH('Staging Table'!$A22, LS_previous!$B$4:$B$138, 0), MATCH(AE$4&amp;AE$5, LS_previous!$D$2:$AY$2&amp;LS_previous!$D$3:$AY$3, 0)),SUM(VLOOKUP($A22, LS_previous!$B$4:$AY$138, LS_previous!W$149, FALSE), VLOOKUP('Staging Table'!$A22, LS_previous!$B$4:$AY$138,LS_previous!AU$149, FALSE))/2)</f>
        <v>-2503.4181091472001</v>
      </c>
      <c r="AF22" s="192">
        <f t="array" ref="AF22">IF($G22=0, INDEX(LS_previous!$D$4:$AY$138, MATCH('Staging Table'!$A22, LS_previous!$B$4:$B$138, 0), MATCH(AF$4&amp;AF$5, LS_previous!$D$2:$AY$2&amp;LS_previous!$D$3:$AY$3, 0)),SUM(VLOOKUP($A22, LS_previous!$B$4:$AY$138, LS_previous!X$149, FALSE), VLOOKUP('Staging Table'!$A22, LS_previous!$B$4:$AY$138,LS_previous!AV$149, FALSE))/2)</f>
        <v>-5046.6760058184009</v>
      </c>
      <c r="AG22" s="192">
        <f t="array" ref="AG22">IF($G22=0, INDEX(LS_previous!$D$4:$AY$138, MATCH('Staging Table'!$A22, LS_previous!$B$4:$B$138, 0), MATCH(AG$4&amp;AG$5, LS_previous!$D$2:$AY$2&amp;LS_previous!$D$3:$AY$3, 0)),SUM(VLOOKUP($A22, LS_previous!$B$4:$AY$138, LS_previous!Y$149, FALSE), VLOOKUP('Staging Table'!$A22, LS_previous!$B$4:$AY$138,LS_previous!AW$149, FALSE))/2)</f>
        <v>-3151.3788371471992</v>
      </c>
      <c r="AH22" s="192">
        <f t="array" ref="AH22">IF($G22=0, INDEX(LS_previous!$D$4:$AY$138, MATCH('Staging Table'!$A22, LS_previous!$B$4:$B$138, 0), MATCH(AH$4&amp;AH$5, LS_previous!$D$2:$AY$2&amp;LS_previous!$D$3:$AY$3, 0)),SUM(VLOOKUP($A22, LS_previous!$B$4:$AY$138, LS_previous!Z$149, FALSE), VLOOKUP('Staging Table'!$A22, LS_previous!$B$4:$AY$138,LS_previous!AX$149, FALSE))/2)</f>
        <v>-4107.2480441600001</v>
      </c>
      <c r="AI22" s="192">
        <f t="array" ref="AI22">IF($G22=0, INDEX(LS_previous!$D$4:$AY$138, MATCH('Staging Table'!$A22, LS_previous!$B$4:$B$138, 0), MATCH(AI$4&amp;AI$5, LS_previous!$D$2:$AY$2&amp;LS_previous!$D$3:$AY$3, 0)),SUM(VLOOKUP($A22, LS_previous!$B$4:$AY$138, LS_previous!AA$149, FALSE), VLOOKUP('Staging Table'!$A22, LS_previous!$B$4:$AY$138,LS_previous!AY$149, FALSE))/2)</f>
        <v>-3223.8827372679998</v>
      </c>
      <c r="AJ22" s="314">
        <f t="array" ref="AJ22">INDEX(Demand_previous!$D$4:$AY$138, MATCH('Staging Table'!$A22, Demand_previous!$B$4:$B$138, 0), MATCH(AJ$4&amp;AJ$5,Demand_previous!$D$2:$AY$2&amp;Demand_previous!$D$3:$AY$3, 0))/1000</f>
        <v>0</v>
      </c>
      <c r="AK22" s="314">
        <f t="array" ref="AK22">INDEX(Demand_previous!$D$4:$AY$138, MATCH('Staging Table'!$A22, Demand_previous!$B$4:$B$138, 0), MATCH(AK$4&amp;AK$5,Demand_previous!$D$2:$AY$2&amp;Demand_previous!$D$3:$AY$3, 0))/1000</f>
        <v>0</v>
      </c>
      <c r="AL22" s="314">
        <f t="array" ref="AL22">INDEX(Demand_previous!$D$4:$AY$138, MATCH('Staging Table'!$A22, Demand_previous!$B$4:$B$138, 0), MATCH(AL$4&amp;AL$5,Demand_previous!$D$2:$AY$2&amp;Demand_previous!$D$3:$AY$3, 0))/1000</f>
        <v>5.1685950000000043</v>
      </c>
      <c r="AM22" s="314">
        <f t="array" ref="AM22">INDEX(Demand_previous!$D$4:$AY$138, MATCH('Staging Table'!$A22, Demand_previous!$B$4:$B$138, 0), MATCH(AM$4&amp;AM$5,Demand_previous!$D$2:$AY$2&amp;Demand_previous!$D$3:$AY$3, 0))/1000</f>
        <v>4.2805336538461543</v>
      </c>
      <c r="AN22" s="314">
        <f t="array" ref="AN22">INDEX(Demand_previous!$D$4:$AY$138, MATCH('Staging Table'!$A22, Demand_previous!$B$4:$B$138, 0), MATCH(AN$4&amp;AN$5,Demand_previous!$D$2:$AY$2&amp;Demand_previous!$D$3:$AY$3, 0))/1000</f>
        <v>2.1241875000000032</v>
      </c>
      <c r="AO22" s="314">
        <f t="array" ref="AO22">INDEX(Demand_previous!$D$4:$AY$138, MATCH('Staging Table'!$A22, Demand_previous!$B$4:$B$138, 0), MATCH(AO$4&amp;AO$5,Demand_previous!$D$2:$AY$2&amp;Demand_previous!$D$3:$AY$3, 0))/1000</f>
        <v>0</v>
      </c>
      <c r="AP22" s="314">
        <f t="array" ref="AP22">INDEX(Demand_previous!$D$4:$AY$138, MATCH('Staging Table'!$A22, Demand_previous!$B$4:$B$138, 0), MATCH(AP$4&amp;AP$5,Demand_previous!$D$2:$AY$2&amp;Demand_previous!$D$3:$AY$3, 0))/1000</f>
        <v>0.99732932692307585</v>
      </c>
      <c r="AQ22" s="314">
        <f t="array" ref="AQ22">INDEX(Demand_previous!$D$4:$AY$138, MATCH('Staging Table'!$A22, Demand_previous!$B$4:$B$138, 0), MATCH(AQ$4&amp;AQ$5,Demand_previous!$D$2:$AY$2&amp;Demand_previous!$D$3:$AY$3, 0))/1000</f>
        <v>0</v>
      </c>
      <c r="AR22" s="314">
        <f t="array" ref="AR22">INDEX(Demand_previous!$D$4:$AY$138, MATCH('Staging Table'!$A22, Demand_previous!$B$4:$B$138, 0), MATCH(AR$4&amp;AR$5,Demand_previous!$D$2:$AY$2&amp;Demand_previous!$D$3:$AY$3, 0))/1000</f>
        <v>1.6688557692307677</v>
      </c>
      <c r="AS22" s="314">
        <f t="array" ref="AS22">INDEX(Demand_previous!$D$4:$AY$138, MATCH('Staging Table'!$A22, Demand_previous!$B$4:$B$138, 0), MATCH(AS$4&amp;AS$5,Demand_previous!$D$2:$AY$2&amp;Demand_previous!$D$3:$AY$3, 0))/1000</f>
        <v>0</v>
      </c>
      <c r="AT22" s="314">
        <f t="array" ref="AT22">INDEX(Demand_previous!$D$4:$AY$138, MATCH('Staging Table'!$A22, Demand_previous!$B$4:$B$138, 0), MATCH(AT$4&amp;AT$5,Demand_previous!$D$2:$AY$2&amp;Demand_previous!$D$3:$AY$3, 0))/1000</f>
        <v>0</v>
      </c>
      <c r="AU22" s="314">
        <f t="array" ref="AU22">INDEX(Demand_previous!$D$4:$AY$138, MATCH('Staging Table'!$A22, Demand_previous!$B$4:$B$138, 0), MATCH(AU$4&amp;AU$5,Demand_previous!$D$2:$AY$2&amp;Demand_previous!$D$3:$AY$3, 0))/1000</f>
        <v>0</v>
      </c>
      <c r="AV22" s="192">
        <f>$F22*(VLOOKUP(AV$4, Rates_previous!$G$6:$Q$29, 10, FALSE)+VLOOKUP(AV$4, Rates_previous!$G$6:$Q$29, 11, FALSE))</f>
        <v>15934.823375115599</v>
      </c>
      <c r="AW22" s="192">
        <f>$F22*(VLOOKUP(AW$4, Rates_previous!$G$6:$Q$29, 10, FALSE)+VLOOKUP(AW$4, Rates_previous!$G$6:$Q$29, 11, FALSE))</f>
        <v>20242.196651112899</v>
      </c>
      <c r="AX22" s="192">
        <f>$F22*(VLOOKUP(AX$4, Rates_previous!$G$6:$Q$29, 10, FALSE)+VLOOKUP(AX$4, Rates_previous!$G$6:$Q$29, 11, FALSE))</f>
        <v>19997.7447364156</v>
      </c>
      <c r="AY22" s="192">
        <f>$F22*(VLOOKUP(AY$4, Rates_previous!$G$6:$Q$29, 10, FALSE)+VLOOKUP(AY$4, Rates_previous!$G$6:$Q$29, 11, FALSE))</f>
        <v>16669.338243615603</v>
      </c>
      <c r="AZ22" s="192">
        <f>$F22*(VLOOKUP(AZ$4, Rates_previous!$G$6:$Q$29, 10, FALSE)+VLOOKUP(AZ$4, Rates_previous!$G$6:$Q$29, 11, FALSE))</f>
        <v>15100.691138479999</v>
      </c>
      <c r="BA22" s="192">
        <f>$F22*(VLOOKUP(BA$4, Rates_previous!$G$6:$Q$29, 10, FALSE)+VLOOKUP(BA$4, Rates_previous!$G$6:$Q$29, 11, FALSE))</f>
        <v>16796.765766180699</v>
      </c>
      <c r="BB22" s="192">
        <f>$F22*(VLOOKUP(BB$4, Rates_previous!$G$6:$Q$29, 10, FALSE)+VLOOKUP(BB$4, Rates_previous!$G$6:$Q$29, 11, FALSE))</f>
        <v>13675.944812328</v>
      </c>
      <c r="BC22" s="192">
        <f>$F22*(VLOOKUP(BC$4, Rates_previous!$G$6:$Q$29, 10, FALSE)+VLOOKUP(BC$4, Rates_previous!$G$6:$Q$29, 11, FALSE))</f>
        <v>18444.050888665603</v>
      </c>
      <c r="BD22" s="192">
        <f>$F22*(VLOOKUP(BD$4, Rates_previous!$G$6:$Q$29, 10, FALSE)+VLOOKUP(BD$4, Rates_previous!$G$6:$Q$29, 11, FALSE))</f>
        <v>23533.354527777999</v>
      </c>
      <c r="BE22" s="192">
        <f>$F22*(VLOOKUP(BE$4, Rates_previous!$G$6:$Q$29, 10, FALSE)+VLOOKUP(BE$4, Rates_previous!$G$6:$Q$29, 11, FALSE))</f>
        <v>18450.896145515602</v>
      </c>
      <c r="BF22" s="192">
        <f>$F22*(VLOOKUP(BF$4, Rates_previous!$G$6:$Q$29, 10, FALSE)+VLOOKUP(BF$4, Rates_previous!$G$6:$Q$29, 11, FALSE))</f>
        <v>17967.4988429656</v>
      </c>
      <c r="BG22" s="192">
        <f>$F22*(VLOOKUP(BG$4, Rates_previous!$G$6:$Q$29, 10, FALSE)+VLOOKUP(BG$4, Rates_previous!$G$6:$Q$29, 11, FALSE))</f>
        <v>16130.991781428002</v>
      </c>
      <c r="BH22" s="314">
        <f>IF($D22=0,IF(C22=0, MAX(BJ22 - (VLOOKUP($A22,TOCA_previous!$A$2:$AI$137,MATCH("RHWM 2020",TOCA_previous!$A$2:$AI$2,0),FALSE)*$F$2*TOCA_previous!C19),0),0), 0)</f>
        <v>0</v>
      </c>
      <c r="BI22" s="204">
        <f>MIN(VLOOKUP($A22,TOCA_previous!$A$2:$AI$137,MATCH("TRL - NLSL - Existing Resource "&amp;$F$1,TOCA_previous!$A$2:$AI$2,0),FALSE)*$F$2,(VLOOKUP($A22,TOCA_previous!$A$2:$AI$137,MATCH("RHWM 2020",TOCA_previous!$A$2:$AI$2,0),FALSE)*$F$2))</f>
        <v>212941.728</v>
      </c>
      <c r="BJ22" s="418">
        <f>SUM(L22:AI22)+(F22*RT1SC!$C$3*$F$2)</f>
        <v>174732.99999274759</v>
      </c>
      <c r="BK22" s="417">
        <f>VLOOKUP($A22,TOCA_previous!$A$2:$AI$137,MATCH("Above RHWM Not Served with LS "&amp;$F$1,TOCA_previous!$A$2:$AI$2,0),FALSE)*$F$2</f>
        <v>41416.559999999998</v>
      </c>
      <c r="BL22" s="418">
        <f t="shared" si="8"/>
        <v>-38208.728007252415</v>
      </c>
      <c r="BM22" s="417">
        <f>(VLOOKUP($A22,TOCA_previous!$A$2:$AI$137,MATCH("RHWM 2020",TOCA_previous!$A$2:$AI$2,0),FALSE)*$F$2) - $BI22</f>
        <v>0</v>
      </c>
      <c r="BN22" s="418">
        <f t="shared" si="9"/>
        <v>0</v>
      </c>
      <c r="BO22" s="417">
        <f t="shared" si="10"/>
        <v>0</v>
      </c>
      <c r="BP22" s="418">
        <f t="shared" si="11"/>
        <v>0</v>
      </c>
      <c r="BQ22" s="417">
        <f t="shared" si="2"/>
        <v>0</v>
      </c>
      <c r="BR22" s="120">
        <f>VLOOKUP($A22,TOCA_current!$A$2:$AI$137,MATCH(BR$4,TOCA_current!$A$2:$AI$2,0),FALSE)</f>
        <v>3.4510999999999999E-3</v>
      </c>
      <c r="BS22" s="120">
        <f>VLOOKUP($A22,TOCA_current!$A$2:$AI$137,MATCH(BS$4,TOCA_current!$A$2:$AI$2,0),FALSE)</f>
        <v>3.4510999999999999E-3</v>
      </c>
      <c r="BT22" s="201">
        <f t="shared" si="12"/>
        <v>0</v>
      </c>
      <c r="BU22" s="120">
        <f>VLOOKUP($A22,TOCA_current!A18:BG153,MATCH(BU$4,TOCA_current!$A$2:$BG$2,0),FALSE)</f>
        <v>0</v>
      </c>
      <c r="BV22" s="120">
        <f t="shared" si="3"/>
        <v>0</v>
      </c>
      <c r="BW22" s="120">
        <f t="shared" si="4"/>
        <v>0</v>
      </c>
      <c r="BX22" s="191">
        <f>VLOOKUP($A22,IRD!$A$4:$G$139, 7, FALSE)</f>
        <v>0</v>
      </c>
      <c r="BY22" s="192">
        <f t="array" ref="BY22">IF($BT22=0, INDEX(LS_current!$D$4:$AY$138, MATCH('Staging Table'!$A22, LS_current!$B$4:$B$138, 0), MATCH(BY$4&amp;BY$5, LS_current!$D$2:$AY$2&amp;LS_current!$D$3:$AY$3, 0)),SUM(VLOOKUP($A22, LS_current!$B$4:$AY$138, LS_current!D$148, FALSE), VLOOKUP($A22, LS_current!$B$4:$AY$138,LS_current!AB$148, FALSE))/2)</f>
        <v>-1453.9742819384628</v>
      </c>
      <c r="BZ22" s="192">
        <f t="array" ref="BZ22">IF($BT22=0, INDEX(LS_current!$D$4:$AY$138, MATCH('Staging Table'!$A22, LS_current!$B$4:$B$138, 0), MATCH(BZ$4&amp;BZ$5, LS_current!$D$2:$AY$2&amp;LS_current!$D$3:$AY$3, 0)),SUM(VLOOKUP($A22, LS_current!$B$4:$AY$138, LS_current!E$148, FALSE), VLOOKUP($A22, LS_current!$B$4:$AY$138,LS_current!AC$148, FALSE))/2)</f>
        <v>-1401.1432865567267</v>
      </c>
      <c r="CA22" s="192">
        <f t="array" ref="CA22">IF($BT22=0, INDEX(LS_current!$D$4:$AY$138, MATCH('Staging Table'!$A22, LS_current!$B$4:$B$138, 0), MATCH(CA$4&amp;CA$5, LS_current!$D$2:$AY$2&amp;LS_current!$D$3:$AY$3, 0)),SUM(VLOOKUP($A22, LS_current!$B$4:$AY$138, LS_current!F$148, FALSE), VLOOKUP($A22, LS_current!$B$4:$AY$138,LS_current!AD$148, FALSE))/2)</f>
        <v>-830.39357810408546</v>
      </c>
      <c r="CB22" s="192">
        <f t="array" ref="CB22">IF($BT22=0, INDEX(LS_current!$D$4:$AY$138, MATCH('Staging Table'!$A22, LS_current!$B$4:$B$138, 0), MATCH(CB$4&amp;CB$5, LS_current!$D$2:$AY$2&amp;LS_current!$D$3:$AY$3, 0)),SUM(VLOOKUP($A22, LS_current!$B$4:$AY$138, LS_current!G$148, FALSE), VLOOKUP($A22, LS_current!$B$4:$AY$138,LS_current!AE$148, FALSE))/2)</f>
        <v>-1190.8222842638133</v>
      </c>
      <c r="CC22" s="192">
        <f t="array" ref="CC22">IF($BT22=0, INDEX(LS_current!$D$4:$AY$138, MATCH('Staging Table'!$A22, LS_current!$B$4:$B$138, 0), MATCH(CC$4&amp;CC$5, LS_current!$D$2:$AY$2&amp;LS_current!$D$3:$AY$3, 0)),SUM(VLOOKUP($A22, LS_current!$B$4:$AY$138, LS_current!H$148, FALSE), VLOOKUP($A22, LS_current!$B$4:$AY$138,LS_current!AF$148, FALSE))/2)</f>
        <v>3798.4228018999311</v>
      </c>
      <c r="CD22" s="192">
        <f t="array" ref="CD22">IF($BT22=0, INDEX(LS_current!$D$4:$AY$138, MATCH('Staging Table'!$A22, LS_current!$B$4:$B$138, 0), MATCH(CD$4&amp;CD$5, LS_current!$D$2:$AY$2&amp;LS_current!$D$3:$AY$3, 0)),SUM(VLOOKUP($A22, LS_current!$B$4:$AY$138, LS_current!I$148, FALSE), VLOOKUP($A22, LS_current!$B$4:$AY$138,LS_current!AG$148, FALSE))/2)</f>
        <v>764.75828503977391</v>
      </c>
      <c r="CE22" s="192">
        <f t="array" ref="CE22">IF($BT22=0, INDEX(LS_current!$D$4:$AY$138, MATCH('Staging Table'!$A22, LS_current!$B$4:$B$138, 0), MATCH(CE$4&amp;CE$5, LS_current!$D$2:$AY$2&amp;LS_current!$D$3:$AY$3, 0)),SUM(VLOOKUP($A22, LS_current!$B$4:$AY$138, LS_current!J$148, FALSE), VLOOKUP($A22, LS_current!$B$4:$AY$138,LS_current!AH$148, FALSE))/2)</f>
        <v>6518.8312103536537</v>
      </c>
      <c r="CF22" s="192">
        <f t="array" ref="CF22">IF($BT22=0, INDEX(LS_current!$D$4:$AY$138, MATCH('Staging Table'!$A22, LS_current!$B$4:$B$138, 0), MATCH(CF$4&amp;CF$5, LS_current!$D$2:$AY$2&amp;LS_current!$D$3:$AY$3, 0)),SUM(VLOOKUP($A22, LS_current!$B$4:$AY$138, LS_current!K$148, FALSE), VLOOKUP($A22, LS_current!$B$4:$AY$138,LS_current!AI$148, FALSE))/2)</f>
        <v>3540.8277204026408</v>
      </c>
      <c r="CG22" s="192">
        <f t="array" ref="CG22">IF($BT22=0, INDEX(LS_current!$D$4:$AY$138, MATCH('Staging Table'!$A22, LS_current!$B$4:$B$138, 0), MATCH(CG$4&amp;CG$5, LS_current!$D$2:$AY$2&amp;LS_current!$D$3:$AY$3, 0)),SUM(VLOOKUP($A22, LS_current!$B$4:$AY$138, LS_current!L$148, FALSE), VLOOKUP($A22, LS_current!$B$4:$AY$138,LS_current!AJ$148, FALSE))/2)</f>
        <v>5035.8947211288232</v>
      </c>
      <c r="CH22" s="192">
        <f t="array" ref="CH22">IF($BT22=0, INDEX(LS_current!$D$4:$AY$138, MATCH('Staging Table'!$A22, LS_current!$B$4:$B$138, 0), MATCH(CH$4&amp;CH$5, LS_current!$D$2:$AY$2&amp;LS_current!$D$3:$AY$3, 0)),SUM(VLOOKUP($A22, LS_current!$B$4:$AY$138, LS_current!M$148, FALSE), VLOOKUP($A22, LS_current!$B$4:$AY$138,LS_current!AK$148, FALSE))/2)</f>
        <v>1706.6898744977752</v>
      </c>
      <c r="CI22" s="192">
        <f t="array" ref="CI22">IF($BT22=0, INDEX(LS_current!$D$4:$AY$138, MATCH('Staging Table'!$A22, LS_current!$B$4:$B$138, 0), MATCH(CI$4&amp;CI$5, LS_current!$D$2:$AY$2&amp;LS_current!$D$3:$AY$3, 0)),SUM(VLOOKUP($A22, LS_current!$B$4:$AY$138, LS_current!N$148, FALSE), VLOOKUP($A22, LS_current!$B$4:$AY$138,LS_current!AL$148, FALSE))/2)</f>
        <v>2278.6915597988846</v>
      </c>
      <c r="CJ22" s="192">
        <f t="array" ref="CJ22">IF($BT22=0, INDEX(LS_current!$D$4:$AY$138, MATCH('Staging Table'!$A22, LS_current!$B$4:$B$138, 0), MATCH(CJ$4&amp;CJ$5, LS_current!$D$2:$AY$2&amp;LS_current!$D$3:$AY$3, 0)),SUM(VLOOKUP($A22, LS_current!$B$4:$AY$138, LS_current!O$148, FALSE), VLOOKUP($A22, LS_current!$B$4:$AY$138,LS_current!AM$148, FALSE))/2)</f>
        <v>312.63158818949614</v>
      </c>
      <c r="CK22" s="192">
        <f t="array" ref="CK22">IF($BT22=0, INDEX(LS_current!$D$4:$AY$138, MATCH('Staging Table'!$A22, LS_current!$B$4:$B$138, 0), MATCH(CK$4&amp;CK$5, LS_current!$D$2:$AY$2&amp;LS_current!$D$3:$AY$3, 0)),SUM(VLOOKUP($A22, LS_current!$B$4:$AY$138, LS_current!P$148, FALSE), VLOOKUP($A22, LS_current!$B$4:$AY$138,LS_current!AN$148, FALSE))/2)</f>
        <v>2378.460922839563</v>
      </c>
      <c r="CL22" s="192">
        <f t="array" ref="CL22">IF($BT22=0, INDEX(LS_current!$D$4:$AY$138, MATCH('Staging Table'!$A22, LS_current!$B$4:$B$138, 0), MATCH(CL$4&amp;CL$5, LS_current!$D$2:$AY$2&amp;LS_current!$D$3:$AY$3, 0)),SUM(VLOOKUP($A22, LS_current!$B$4:$AY$138, LS_current!Q$148, FALSE), VLOOKUP($A22, LS_current!$B$4:$AY$138,LS_current!AO$148, FALSE))/2)</f>
        <v>504.07134290045451</v>
      </c>
      <c r="CM22" s="192">
        <f t="array" ref="CM22">IF($BT22=0, INDEX(LS_current!$D$4:$AY$138, MATCH('Staging Table'!$A22, LS_current!$B$4:$B$138, 0), MATCH(CM$4&amp;CM$5, LS_current!$D$2:$AY$2&amp;LS_current!$D$3:$AY$3, 0)),SUM(VLOOKUP($A22, LS_current!$B$4:$AY$138, LS_current!R$148, FALSE), VLOOKUP($A22, LS_current!$B$4:$AY$138,LS_current!AP$148, FALSE))/2)</f>
        <v>-3710.3866563883166</v>
      </c>
      <c r="CN22" s="192">
        <f t="array" ref="CN22">IF($BT22=0, INDEX(LS_current!$D$4:$AY$138, MATCH('Staging Table'!$A22, LS_current!$B$4:$B$138, 0), MATCH(CN$4&amp;CN$5, LS_current!$D$2:$AY$2&amp;LS_current!$D$3:$AY$3, 0)),SUM(VLOOKUP($A22, LS_current!$B$4:$AY$138, LS_current!S$148, FALSE), VLOOKUP($A22, LS_current!$B$4:$AY$138,LS_current!AQ$148, FALSE))/2)</f>
        <v>-1256.0929348501968</v>
      </c>
      <c r="CO22" s="192">
        <f t="array" ref="CO22">IF($BT22=0, INDEX(LS_current!$D$4:$AY$138, MATCH('Staging Table'!$A22, LS_current!$B$4:$B$138, 0), MATCH(CO$4&amp;CO$5, LS_current!$D$2:$AY$2&amp;LS_current!$D$3:$AY$3, 0)),SUM(VLOOKUP($A22, LS_current!$B$4:$AY$138, LS_current!T$148, FALSE), VLOOKUP($A22, LS_current!$B$4:$AY$138,LS_current!AR$148, FALSE))/2)</f>
        <v>-5499.9787757816648</v>
      </c>
      <c r="CP22" s="192">
        <f t="array" ref="CP22">IF($BT22=0, INDEX(LS_current!$D$4:$AY$138, MATCH('Staging Table'!$A22, LS_current!$B$4:$B$138, 0), MATCH(CP$4&amp;CP$5, LS_current!$D$2:$AY$2&amp;LS_current!$D$3:$AY$3, 0)),SUM(VLOOKUP($A22, LS_current!$B$4:$AY$138, LS_current!U$148, FALSE), VLOOKUP($A22, LS_current!$B$4:$AY$138,LS_current!AS$148, FALSE))/2)</f>
        <v>-1745.9406427486274</v>
      </c>
      <c r="CQ22" s="192">
        <f t="array" ref="CQ22">IF($BT22=0, INDEX(LS_current!$D$4:$AY$138, MATCH('Staging Table'!$A22, LS_current!$B$4:$B$138, 0), MATCH(CQ$4&amp;CQ$5, LS_current!$D$2:$AY$2&amp;LS_current!$D$3:$AY$3, 0)),SUM(VLOOKUP($A22, LS_current!$B$4:$AY$138, LS_current!V$148, FALSE), VLOOKUP($A22, LS_current!$B$4:$AY$138,LS_current!AT$148, FALSE))/2)</f>
        <v>-4202.4894930257142</v>
      </c>
      <c r="CR22" s="192">
        <f t="array" ref="CR22">IF($BT22=0, INDEX(LS_current!$D$4:$AY$138, MATCH('Staging Table'!$A22, LS_current!$B$4:$B$138, 0), MATCH(CR$4&amp;CR$5, LS_current!$D$2:$AY$2&amp;LS_current!$D$3:$AY$3, 0)),SUM(VLOOKUP($A22, LS_current!$B$4:$AY$138, LS_current!W$148, FALSE), VLOOKUP($A22, LS_current!$B$4:$AY$138,LS_current!AU$148, FALSE))/2)</f>
        <v>-2090.4360182432165</v>
      </c>
      <c r="CS22" s="192">
        <f t="array" ref="CS22">IF($BT22=0, INDEX(LS_current!$D$4:$AY$138, MATCH('Staging Table'!$A22, LS_current!$B$4:$B$138, 0), MATCH(CS$4&amp;CS$5, LS_current!$D$2:$AY$2&amp;LS_current!$D$3:$AY$3, 0)),SUM(VLOOKUP($A22, LS_current!$B$4:$AY$138, LS_current!X$148, FALSE), VLOOKUP($A22, LS_current!$B$4:$AY$138,LS_current!AV$148, FALSE))/2)</f>
        <v>-3620.3058653150874</v>
      </c>
      <c r="CT22" s="192">
        <f t="array" ref="CT22">IF($BT22=0, INDEX(LS_current!$D$4:$AY$138, MATCH('Staging Table'!$A22, LS_current!$B$4:$B$138, 0), MATCH(CT$4&amp;CT$5, LS_current!$D$2:$AY$2&amp;LS_current!$D$3:$AY$3, 0)),SUM(VLOOKUP($A22, LS_current!$B$4:$AY$138, LS_current!Y$148, FALSE), VLOOKUP($A22, LS_current!$B$4:$AY$138,LS_current!AW$148, FALSE))/2)</f>
        <v>-2423.8135189959503</v>
      </c>
      <c r="CU22" s="192">
        <f t="array" ref="CU22">IF($BT22=0, INDEX(LS_current!$D$4:$AY$138, MATCH('Staging Table'!$A22, LS_current!$B$4:$B$138, 0), MATCH(CU$4&amp;CU$5, LS_current!$D$2:$AY$2&amp;LS_current!$D$3:$AY$3, 0)),SUM(VLOOKUP($A22, LS_current!$B$4:$AY$138, LS_current!Z$148, FALSE), VLOOKUP($A22, LS_current!$B$4:$AY$138,LS_current!AX$148, FALSE))/2)</f>
        <v>-3193.7878820358837</v>
      </c>
      <c r="CV22" s="192">
        <f t="array" ref="CV22">IF($BT22=0, INDEX(LS_current!$D$4:$AY$138, MATCH('Staging Table'!$A22, LS_current!$B$4:$B$138, 0), MATCH(CV$4&amp;CV$5, LS_current!$D$2:$AY$2&amp;LS_current!$D$3:$AY$3, 0)),SUM(VLOOKUP($A22, LS_current!$B$4:$AY$138, LS_current!AA$148, FALSE), VLOOKUP($A22, LS_current!$B$4:$AY$138,LS_current!AY$148, FALSE))/2)</f>
        <v>-2543.8256444901044</v>
      </c>
      <c r="CW22" s="194">
        <f t="array" ref="CW22">INDEX(Demand_current!$D$4:$AY$138, MATCH($A22, Demand_current!$B$4:$B$138, 0), MATCH(CW$4&amp;CW$5,Demand_current!$D$2:$AY$2&amp;Demand_current!$D$3:$AY$3, 0))/1000</f>
        <v>0</v>
      </c>
      <c r="CX22" s="194">
        <f t="array" ref="CX22">INDEX(Demand_current!$D$4:$AY$138, MATCH($A22, Demand_current!$B$4:$B$138, 0), MATCH(CX$4&amp;CX$5,Demand_current!$D$2:$AY$2&amp;Demand_current!$D$3:$AY$3, 0))/1000</f>
        <v>0</v>
      </c>
      <c r="CY22" s="194">
        <f t="array" ref="CY22">INDEX(Demand_current!$D$4:$AY$138, MATCH($A22, Demand_current!$B$4:$B$138, 0), MATCH(CY$4&amp;CY$5,Demand_current!$D$2:$AY$2&amp;Demand_current!$D$3:$AY$3, 0))/1000</f>
        <v>6.8976490384615312</v>
      </c>
      <c r="CZ22" s="194">
        <f t="array" ref="CZ22">INDEX(Demand_current!$D$4:$AY$138, MATCH($A22, Demand_current!$B$4:$B$138, 0), MATCH(CZ$4&amp;CZ$5,Demand_current!$D$2:$AY$2&amp;Demand_current!$D$3:$AY$3, 0))/1000</f>
        <v>2.508754999999999</v>
      </c>
      <c r="DA22" s="194">
        <f t="array" ref="DA22">INDEX(Demand_current!$D$4:$AY$138, MATCH($A22, Demand_current!$B$4:$B$138, 0), MATCH(DA$4&amp;DA$5,Demand_current!$D$2:$AY$2&amp;Demand_current!$D$3:$AY$3, 0))/1000</f>
        <v>0.45019531249999822</v>
      </c>
      <c r="DB22" s="194">
        <f t="array" ref="DB22">INDEX(Demand_current!$D$4:$AY$138, MATCH($A22, Demand_current!$B$4:$B$138, 0), MATCH(DB$4&amp;DB$5,Demand_current!$D$2:$AY$2&amp;Demand_current!$D$3:$AY$3, 0))/1000</f>
        <v>2.8854166666667069E-2</v>
      </c>
      <c r="DC22" s="194">
        <f t="array" ref="DC22">INDEX(Demand_current!$D$4:$AY$138, MATCH($A22, Demand_current!$B$4:$B$138, 0), MATCH(DC$4&amp;DC$5,Demand_current!$D$2:$AY$2&amp;Demand_current!$D$3:$AY$3, 0))/1000</f>
        <v>0.99732932692307585</v>
      </c>
      <c r="DD22" s="194">
        <f t="array" ref="DD22">INDEX(Demand_current!$D$4:$AY$138, MATCH($A22, Demand_current!$B$4:$B$138, 0), MATCH(DD$4&amp;DD$5,Demand_current!$D$2:$AY$2&amp;Demand_current!$D$3:$AY$3, 0))/1000</f>
        <v>0</v>
      </c>
      <c r="DE22" s="194">
        <f t="array" ref="DE22">INDEX(Demand_current!$D$4:$AY$138, MATCH($A22, Demand_current!$B$4:$B$138, 0), MATCH(DE$4&amp;DE$5,Demand_current!$D$2:$AY$2&amp;Demand_current!$D$3:$AY$3, 0))/1000</f>
        <v>1.6688557692307677</v>
      </c>
      <c r="DF22" s="194">
        <f t="array" ref="DF22">INDEX(Demand_current!$D$4:$AY$138, MATCH($A22, Demand_current!$B$4:$B$138, 0), MATCH(DF$4&amp;DF$5,Demand_current!$D$2:$AY$2&amp;Demand_current!$D$3:$AY$3, 0))/1000</f>
        <v>0</v>
      </c>
      <c r="DG22" s="194">
        <f t="array" ref="DG22">INDEX(Demand_current!$D$4:$AY$138, MATCH($A22, Demand_current!$B$4:$B$138, 0), MATCH(DG$4&amp;DG$5,Demand_current!$D$2:$AY$2&amp;Demand_current!$D$3:$AY$3, 0))/1000</f>
        <v>0.96137500000000298</v>
      </c>
      <c r="DH22" s="194">
        <f t="array" ref="DH22">INDEX(Demand_current!$D$4:$AY$138, MATCH($A22, Demand_current!$B$4:$B$138, 0), MATCH(DH$4&amp;DH$5,Demand_current!$D$2:$AY$2&amp;Demand_current!$D$3:$AY$3, 0))/1000</f>
        <v>0</v>
      </c>
      <c r="DI22" s="192">
        <f>$BS22*(VLOOKUP(DI$4, Rates_current!$G$6:$Q$29, 10, FALSE)+VLOOKUP(DI$4, Rates_current!$G$6:$Q$29, 11, FALSE))</f>
        <v>15716.048568495189</v>
      </c>
      <c r="DJ22" s="192">
        <f>$BS22*(VLOOKUP(DJ$4, Rates_current!$G$6:$Q$29, 10, FALSE)+VLOOKUP(DJ$4, Rates_current!$G$6:$Q$29, 11, FALSE))</f>
        <v>19897.087862367902</v>
      </c>
      <c r="DK22" s="192">
        <f>$BS22*(VLOOKUP(DK$4, Rates_current!$G$6:$Q$29, 10, FALSE)+VLOOKUP(DK$4, Rates_current!$G$6:$Q$29, 11, FALSE))</f>
        <v>19475.273913060297</v>
      </c>
      <c r="DL22" s="192">
        <f>$BS22*(VLOOKUP(DL$4, Rates_current!$G$6:$Q$29, 10, FALSE)+VLOOKUP(DL$4, Rates_current!$G$6:$Q$29, 11, FALSE))</f>
        <v>16085.748069243708</v>
      </c>
      <c r="DM22" s="192">
        <f>$BS22*(VLOOKUP(DM$4, Rates_current!$G$6:$Q$29, 10, FALSE)+VLOOKUP(DM$4, Rates_current!$G$6:$Q$29, 11, FALSE))</f>
        <v>13941.870404373403</v>
      </c>
      <c r="DN22" s="192">
        <f>$BS22*(VLOOKUP(DN$4, Rates_current!$G$6:$Q$29, 10, FALSE)+VLOOKUP(DN$4, Rates_current!$G$6:$Q$29, 11, FALSE))</f>
        <v>16643.777852011623</v>
      </c>
      <c r="DO22" s="192">
        <f>$BS22*(VLOOKUP(DO$4, Rates_current!$G$6:$Q$29, 10, FALSE)+VLOOKUP(DO$4, Rates_current!$G$6:$Q$29, 11, FALSE))</f>
        <v>12921.677734259982</v>
      </c>
      <c r="DP22" s="192">
        <f>$BS22*(VLOOKUP(DP$4, Rates_current!$G$6:$Q$29, 10, FALSE)+VLOOKUP(DP$4, Rates_current!$G$6:$Q$29, 11, FALSE))</f>
        <v>17903.079591238515</v>
      </c>
      <c r="DQ22" s="192">
        <f>$BS22*(VLOOKUP(DQ$4, Rates_current!$G$6:$Q$29, 10, FALSE)+VLOOKUP(DQ$4, Rates_current!$G$6:$Q$29, 11, FALSE))</f>
        <v>19129.815418530288</v>
      </c>
      <c r="DR22" s="192">
        <f>$BS22*(VLOOKUP(DR$4, Rates_current!$G$6:$Q$29, 10, FALSE)+VLOOKUP(DR$4, Rates_current!$G$6:$Q$29, 11, FALSE))</f>
        <v>18162.893511268932</v>
      </c>
      <c r="DS22" s="192">
        <f>$BS22*(VLOOKUP(DS$4, Rates_current!$G$6:$Q$29, 10, FALSE)+VLOOKUP(DS$4, Rates_current!$G$6:$Q$29, 11, FALSE))</f>
        <v>17553.035384311039</v>
      </c>
      <c r="DT22" s="192">
        <f>$BS22*(VLOOKUP(DT$4, Rates_current!$G$6:$Q$29, 10, FALSE)+VLOOKUP(DT$4, Rates_current!$G$6:$Q$29, 11, FALSE))</f>
        <v>16220.834526525989</v>
      </c>
      <c r="DU22" s="418">
        <f>IF(D22=0,IF(C22=0,MAX(0,DW22 - (VLOOKUP($A22,TOCA_current!$A$2:$AI$137,MATCH("RHWM 2022",TOCA_current!$A$2:$AI$2,0),FALSE)*$BS$2)), 0),0)</f>
        <v>0</v>
      </c>
      <c r="DV22" s="419">
        <f>MIN(VLOOKUP($A22,TOCA_current!$A$2:$AI$137,MATCH("TRL - NLSL - Existing Resource "&amp;$BS$1,TOCA_current!$A$2:$AI$2,0),FALSE)*$BS$2, VLOOKUP($A22,TOCA_current!$A$2:$AI$137,MATCH("RHWM 2022",TOCA_current!$A$2:$AI$2,0),FALSE)*$BS$2)</f>
        <v>203652.48000000001</v>
      </c>
      <c r="DW22" s="419">
        <f>SUM(BY22:CV22)+(BS22*RT1SC!$C$4*$BS$2)</f>
        <v>195327.04241763716</v>
      </c>
      <c r="DX22" s="419">
        <f>VLOOKUP($A22,TOCA_current!$A$2:$AI$137,MATCH("Above RHWM Not Served with LS "&amp;$BS$1,TOCA_current!$A$2:$AI$2,0),FALSE)*$BS$2</f>
        <v>20822.519999999997</v>
      </c>
      <c r="DY22" s="419">
        <f t="shared" si="13"/>
        <v>-8325.4375823628507</v>
      </c>
      <c r="DZ22" s="419">
        <f>(VLOOKUP($A22,TOCA_current!$A$2:$AI$137,MATCH("RHWM 2022",TOCA_current!$A$2:$AI$2,0),FALSE)*$BS$2) - $DV22</f>
        <v>0</v>
      </c>
      <c r="EA22" s="419">
        <f t="shared" si="14"/>
        <v>0</v>
      </c>
      <c r="EB22" s="419">
        <f t="shared" si="15"/>
        <v>0</v>
      </c>
      <c r="EC22" s="419">
        <f t="shared" si="16"/>
        <v>0</v>
      </c>
      <c r="ED22" s="419">
        <f t="shared" si="17"/>
        <v>0</v>
      </c>
    </row>
    <row r="23" spans="1:134">
      <c r="A23" s="135">
        <v>10067</v>
      </c>
      <c r="B23" s="136" t="s">
        <v>24</v>
      </c>
      <c r="C23" s="244">
        <f>VLOOKUP(A23, TOCA_current!$A$3:$D$137, 4, FALSE)</f>
        <v>0</v>
      </c>
      <c r="D23" s="203">
        <v>0</v>
      </c>
      <c r="E23" s="119">
        <f>VLOOKUP($A23,TOCA_previous!$A$2:$AI$137,MATCH(E$4,TOCA_previous!$A$2:$AI$2,0),FALSE)</f>
        <v>2.2396999999999999E-3</v>
      </c>
      <c r="F23" s="120">
        <f>VLOOKUP($A23,TOCA_previous!$A$2:$AI$137,MATCH(F$4,TOCA_previous!$A$2:$AI$2,0),FALSE)</f>
        <v>2.2396999999999999E-3</v>
      </c>
      <c r="G23" s="120">
        <f t="shared" si="5"/>
        <v>0</v>
      </c>
      <c r="H23" s="120">
        <f>VLOOKUP($A23,TOCA_previous!$A$2:$AI$137,MATCH(H$4,TOCA_previous!$A$2:$AI$2,0),FALSE)</f>
        <v>0</v>
      </c>
      <c r="I23" s="120">
        <f t="shared" si="6"/>
        <v>0</v>
      </c>
      <c r="J23" s="120">
        <f t="shared" si="7"/>
        <v>0</v>
      </c>
      <c r="K23" s="191">
        <f>VLOOKUP(A23, IRD!$A$5:$C$139, 3, FALSE)</f>
        <v>0</v>
      </c>
      <c r="L23" s="192">
        <f t="array" ref="L23">IF($G23=0, INDEX(LS_previous!$D$4:$AY$138, MATCH('Staging Table'!$A23, LS_previous!$B$4:$B$138, 0), MATCH(L$4&amp;L$5, LS_previous!$D$2:$AY$2&amp;LS_previous!$D$3:$AY$3, 0)),SUM(VLOOKUP($A23, LS_previous!$B$4:$AY$138, LS_previous!D$149, FALSE), VLOOKUP('Staging Table'!$A23, LS_previous!$B$4:$AY$138,LS_previous!AB$149, FALSE))/2)</f>
        <v>89.25025049640044</v>
      </c>
      <c r="M23" s="192">
        <f t="array" ref="M23">IF($G23=0, INDEX(LS_previous!$D$4:$AY$138, MATCH('Staging Table'!$A23, LS_previous!$B$4:$B$138, 0), MATCH(M$4&amp;M$5, LS_previous!$D$2:$AY$2&amp;LS_previous!$D$3:$AY$3, 0)),SUM(VLOOKUP($A23, LS_previous!$B$4:$AY$138, LS_previous!E$149, FALSE), VLOOKUP('Staging Table'!$A23, LS_previous!$B$4:$AY$138,LS_previous!AC$149, FALSE))/2)</f>
        <v>285.18242562240039</v>
      </c>
      <c r="N23" s="192">
        <f t="array" ref="N23">IF($G23=0, INDEX(LS_previous!$D$4:$AY$138, MATCH('Staging Table'!$A23, LS_previous!$B$4:$B$138, 0), MATCH(N$4&amp;N$5, LS_previous!$D$2:$AY$2&amp;LS_previous!$D$3:$AY$3, 0)),SUM(VLOOKUP($A23, LS_previous!$B$4:$AY$138, LS_previous!F$149, FALSE), VLOOKUP('Staging Table'!$A23, LS_previous!$B$4:$AY$138,LS_previous!AD$149, FALSE))/2)</f>
        <v>-1582.5260524615996</v>
      </c>
      <c r="O23" s="192">
        <f t="array" ref="O23">IF($G23=0, INDEX(LS_previous!$D$4:$AY$138, MATCH('Staging Table'!$A23, LS_previous!$B$4:$B$138, 0), MATCH(O$4&amp;O$5, LS_previous!$D$2:$AY$2&amp;LS_previous!$D$3:$AY$3, 0)),SUM(VLOOKUP($A23, LS_previous!$B$4:$AY$138, LS_previous!G$149, FALSE), VLOOKUP('Staging Table'!$A23, LS_previous!$B$4:$AY$138,LS_previous!AE$149, FALSE))/2)</f>
        <v>-447.63977292670006</v>
      </c>
      <c r="P23" s="192">
        <f t="array" ref="P23">IF($G23=0, INDEX(LS_previous!$D$4:$AY$138, MATCH('Staging Table'!$A23, LS_previous!$B$4:$B$138, 0), MATCH(P$4&amp;P$5, LS_previous!$D$2:$AY$2&amp;LS_previous!$D$3:$AY$3, 0)),SUM(VLOOKUP($A23, LS_previous!$B$4:$AY$138, LS_previous!H$149, FALSE), VLOOKUP('Staging Table'!$A23, LS_previous!$B$4:$AY$138,LS_previous!AF$149, FALSE))/2)</f>
        <v>61.822591721600475</v>
      </c>
      <c r="Q23" s="192">
        <f t="array" ref="Q23">IF($G23=0, INDEX(LS_previous!$D$4:$AY$138, MATCH('Staging Table'!$A23, LS_previous!$B$4:$B$138, 0), MATCH(Q$4&amp;Q$5, LS_previous!$D$2:$AY$2&amp;LS_previous!$D$3:$AY$3, 0)),SUM(VLOOKUP($A23, LS_previous!$B$4:$AY$138, LS_previous!I$149, FALSE), VLOOKUP('Staging Table'!$A23, LS_previous!$B$4:$AY$138,LS_previous!AG$149, FALSE))/2)</f>
        <v>782.32234929720016</v>
      </c>
      <c r="R23" s="192">
        <f t="array" ref="R23">IF($G23=0, INDEX(LS_previous!$D$4:$AY$138, MATCH('Staging Table'!$A23, LS_previous!$B$4:$B$138, 0), MATCH(R$4&amp;R$5, LS_previous!$D$2:$AY$2&amp;LS_previous!$D$3:$AY$3, 0)),SUM(VLOOKUP($A23, LS_previous!$B$4:$AY$138, LS_previous!J$149, FALSE), VLOOKUP('Staging Table'!$A23, LS_previous!$B$4:$AY$138,LS_previous!AH$149, FALSE))/2)</f>
        <v>1679.2459689216003</v>
      </c>
      <c r="S23" s="192">
        <f t="array" ref="S23">IF($G23=0, INDEX(LS_previous!$D$4:$AY$138, MATCH('Staging Table'!$A23, LS_previous!$B$4:$B$138, 0), MATCH(S$4&amp;S$5, LS_previous!$D$2:$AY$2&amp;LS_previous!$D$3:$AY$3, 0)),SUM(VLOOKUP($A23, LS_previous!$B$4:$AY$138, LS_previous!K$149, FALSE), VLOOKUP('Staging Table'!$A23, LS_previous!$B$4:$AY$138,LS_previous!AI$149, FALSE))/2)</f>
        <v>1805.8241576972005</v>
      </c>
      <c r="T23" s="192">
        <f t="array" ref="T23">IF($G23=0, INDEX(LS_previous!$D$4:$AY$138, MATCH('Staging Table'!$A23, LS_previous!$B$4:$B$138, 0), MATCH(T$4&amp;T$5, LS_previous!$D$2:$AY$2&amp;LS_previous!$D$3:$AY$3, 0)),SUM(VLOOKUP($A23, LS_previous!$B$4:$AY$138, LS_previous!L$149, FALSE), VLOOKUP('Staging Table'!$A23, LS_previous!$B$4:$AY$138,LS_previous!AJ$149, FALSE))/2)</f>
        <v>1361.6776213772</v>
      </c>
      <c r="U23" s="192">
        <f t="array" ref="U23">IF($G23=0, INDEX(LS_previous!$D$4:$AY$138, MATCH('Staging Table'!$A23, LS_previous!$B$4:$B$138, 0), MATCH(U$4&amp;U$5, LS_previous!$D$2:$AY$2&amp;LS_previous!$D$3:$AY$3, 0)),SUM(VLOOKUP($A23, LS_previous!$B$4:$AY$138, LS_previous!M$149, FALSE), VLOOKUP('Staging Table'!$A23, LS_previous!$B$4:$AY$138,LS_previous!AK$149, FALSE))/2)</f>
        <v>1200.1724316628006</v>
      </c>
      <c r="V23" s="192">
        <f t="array" ref="V23">IF($G23=0, INDEX(LS_previous!$D$4:$AY$138, MATCH('Staging Table'!$A23, LS_previous!$B$4:$B$138, 0), MATCH(V$4&amp;V$5, LS_previous!$D$2:$AY$2&amp;LS_previous!$D$3:$AY$3, 0)),SUM(VLOOKUP($A23, LS_previous!$B$4:$AY$138, LS_previous!N$149, FALSE), VLOOKUP('Staging Table'!$A23, LS_previous!$B$4:$AY$138,LS_previous!AL$149, FALSE))/2)</f>
        <v>439.36623030480041</v>
      </c>
      <c r="W23" s="192">
        <f t="array" ref="W23">IF($G23=0, INDEX(LS_previous!$D$4:$AY$138, MATCH('Staging Table'!$A23, LS_previous!$B$4:$B$138, 0), MATCH(W$4&amp;W$5, LS_previous!$D$2:$AY$2&amp;LS_previous!$D$3:$AY$3, 0)),SUM(VLOOKUP($A23, LS_previous!$B$4:$AY$138, LS_previous!O$149, FALSE), VLOOKUP('Staging Table'!$A23, LS_previous!$B$4:$AY$138,LS_previous!AM$149, FALSE))/2)</f>
        <v>555.15779359630096</v>
      </c>
      <c r="X23" s="192">
        <f t="array" ref="X23">IF($G23=0, INDEX(LS_previous!$D$4:$AY$138, MATCH('Staging Table'!$A23, LS_previous!$B$4:$B$138, 0), MATCH(X$4&amp;X$5, LS_previous!$D$2:$AY$2&amp;LS_previous!$D$3:$AY$3, 0)),SUM(VLOOKUP($A23, LS_previous!$B$4:$AY$138, LS_previous!P$149, FALSE), VLOOKUP('Staging Table'!$A23, LS_previous!$B$4:$AY$138,LS_previous!AN$149, FALSE))/2)</f>
        <v>1093.0612488632005</v>
      </c>
      <c r="Y23" s="192">
        <f t="array" ref="Y23">IF($G23=0, INDEX(LS_previous!$D$4:$AY$138, MATCH('Staging Table'!$A23, LS_previous!$B$4:$B$138, 0), MATCH(Y$4&amp;Y$5, LS_previous!$D$2:$AY$2&amp;LS_previous!$D$3:$AY$3, 0)),SUM(VLOOKUP($A23, LS_previous!$B$4:$AY$138, LS_previous!Q$149, FALSE), VLOOKUP('Staging Table'!$A23, LS_previous!$B$4:$AY$138,LS_previous!AO$149, FALSE))/2)</f>
        <v>725.86178948080078</v>
      </c>
      <c r="Z23" s="192">
        <f t="array" ref="Z23">IF($G23=0, INDEX(LS_previous!$D$4:$AY$138, MATCH('Staging Table'!$A23, LS_previous!$B$4:$B$138, 0), MATCH(Z$4&amp;Z$5, LS_previous!$D$2:$AY$2&amp;LS_previous!$D$3:$AY$3, 0)),SUM(VLOOKUP($A23, LS_previous!$B$4:$AY$138, LS_previous!R$149, FALSE), VLOOKUP('Staging Table'!$A23, LS_previous!$B$4:$AY$138,LS_previous!AP$149, FALSE))/2)</f>
        <v>-2042.9776778700007</v>
      </c>
      <c r="AA23" s="192">
        <f t="array" ref="AA23">IF($G23=0, INDEX(LS_previous!$D$4:$AY$138, MATCH('Staging Table'!$A23, LS_previous!$B$4:$B$138, 0), MATCH(AA$4&amp;AA$5, LS_previous!$D$2:$AY$2&amp;LS_previous!$D$3:$AY$3, 0)),SUM(VLOOKUP($A23, LS_previous!$B$4:$AY$138, LS_previous!S$149, FALSE), VLOOKUP('Staging Table'!$A23, LS_previous!$B$4:$AY$138,LS_previous!AQ$149, FALSE))/2)</f>
        <v>-808.25384186119891</v>
      </c>
      <c r="AB23" s="192">
        <f t="array" ref="AB23">IF($G23=0, INDEX(LS_previous!$D$4:$AY$138, MATCH('Staging Table'!$A23, LS_previous!$B$4:$B$138, 0), MATCH(AB$4&amp;AB$5, LS_previous!$D$2:$AY$2&amp;LS_previous!$D$3:$AY$3, 0)),SUM(VLOOKUP($A23, LS_previous!$B$4:$AY$138, LS_previous!T$149, FALSE), VLOOKUP('Staging Table'!$A23, LS_previous!$B$4:$AY$138,LS_previous!AR$149, FALSE))/2)</f>
        <v>-3716.0067840867996</v>
      </c>
      <c r="AC23" s="192">
        <f t="array" ref="AC23">IF($G23=0, INDEX(LS_previous!$D$4:$AY$138, MATCH('Staging Table'!$A23, LS_previous!$B$4:$B$138, 0), MATCH(AC$4&amp;AC$5, LS_previous!$D$2:$AY$2&amp;LS_previous!$D$3:$AY$3, 0)),SUM(VLOOKUP($A23, LS_previous!$B$4:$AY$138, LS_previous!U$149, FALSE), VLOOKUP('Staging Table'!$A23, LS_previous!$B$4:$AY$138,LS_previous!AS$149, FALSE))/2)</f>
        <v>-1884.4175647191996</v>
      </c>
      <c r="AD23" s="192">
        <f t="array" ref="AD23">IF($G23=0, INDEX(LS_previous!$D$4:$AY$138, MATCH('Staging Table'!$A23, LS_previous!$B$4:$B$138, 0), MATCH(AD$4&amp;AD$5, LS_previous!$D$2:$AY$2&amp;LS_previous!$D$3:$AY$3, 0)),SUM(VLOOKUP($A23, LS_previous!$B$4:$AY$138, LS_previous!V$149, FALSE), VLOOKUP('Staging Table'!$A23, LS_previous!$B$4:$AY$138,LS_previous!AT$149, FALSE))/2)</f>
        <v>-2210.1065725868002</v>
      </c>
      <c r="AE23" s="192">
        <f t="array" ref="AE23">IF($G23=0, INDEX(LS_previous!$D$4:$AY$138, MATCH('Staging Table'!$A23, LS_previous!$B$4:$B$138, 0), MATCH(AE$4&amp;AE$5, LS_previous!$D$2:$AY$2&amp;LS_previous!$D$3:$AY$3, 0)),SUM(VLOOKUP($A23, LS_previous!$B$4:$AY$138, LS_previous!W$149, FALSE), VLOOKUP('Staging Table'!$A23, LS_previous!$B$4:$AY$138,LS_previous!AU$149, FALSE))/2)</f>
        <v>2.8956079056001727</v>
      </c>
      <c r="AF23" s="192">
        <f t="array" ref="AF23">IF($G23=0, INDEX(LS_previous!$D$4:$AY$138, MATCH('Staging Table'!$A23, LS_previous!$B$4:$B$138, 0), MATCH(AF$4&amp;AF$5, LS_previous!$D$2:$AY$2&amp;LS_previous!$D$3:$AY$3, 0)),SUM(VLOOKUP($A23, LS_previous!$B$4:$AY$138, LS_previous!X$149, FALSE), VLOOKUP('Staging Table'!$A23, LS_previous!$B$4:$AY$138,LS_previous!AV$149, FALSE))/2)</f>
        <v>-1178.0602177368</v>
      </c>
      <c r="AG23" s="192">
        <f t="array" ref="AG23">IF($G23=0, INDEX(LS_previous!$D$4:$AY$138, MATCH('Staging Table'!$A23, LS_previous!$B$4:$B$138, 0), MATCH(AG$4&amp;AG$5, LS_previous!$D$2:$AY$2&amp;LS_previous!$D$3:$AY$3, 0)),SUM(VLOOKUP($A23, LS_previous!$B$4:$AY$138, LS_previous!Y$149, FALSE), VLOOKUP('Staging Table'!$A23, LS_previous!$B$4:$AY$138,LS_previous!AW$149, FALSE))/2)</f>
        <v>16.317151905600895</v>
      </c>
      <c r="AH23" s="192">
        <f t="array" ref="AH23">IF($G23=0, INDEX(LS_previous!$D$4:$AY$138, MATCH('Staging Table'!$A23, LS_previous!$B$4:$B$138, 0), MATCH(AH$4&amp;AH$5, LS_previous!$D$2:$AY$2&amp;LS_previous!$D$3:$AY$3, 0)),SUM(VLOOKUP($A23, LS_previous!$B$4:$AY$138, LS_previous!Z$149, FALSE), VLOOKUP('Staging Table'!$A23, LS_previous!$B$4:$AY$138,LS_previous!AX$149, FALSE))/2)</f>
        <v>-1132.8767283200004</v>
      </c>
      <c r="AI23" s="192">
        <f t="array" ref="AI23">IF($G23=0, INDEX(LS_previous!$D$4:$AY$138, MATCH('Staging Table'!$A23, LS_previous!$B$4:$B$138, 0), MATCH(AI$4&amp;AI$5, LS_previous!$D$2:$AY$2&amp;LS_previous!$D$3:$AY$3, 0)),SUM(VLOOKUP($A23, LS_previous!$B$4:$AY$138, LS_previous!AA$149, FALSE), VLOOKUP('Staging Table'!$A23, LS_previous!$B$4:$AY$138,LS_previous!AY$149, FALSE))/2)</f>
        <v>-323.24525903599942</v>
      </c>
      <c r="AJ23" s="314">
        <f t="array" ref="AJ23">INDEX(Demand_previous!$D$4:$AY$138, MATCH('Staging Table'!$A23, Demand_previous!$B$4:$B$138, 0), MATCH(AJ$4&amp;AJ$5,Demand_previous!$D$2:$AY$2&amp;Demand_previous!$D$3:$AY$3, 0))/1000</f>
        <v>3.6099305555555556</v>
      </c>
      <c r="AK23" s="314">
        <f t="array" ref="AK23">INDEX(Demand_previous!$D$4:$AY$138, MATCH('Staging Table'!$A23, Demand_previous!$B$4:$B$138, 0), MATCH(AK$4&amp;AK$5,Demand_previous!$D$2:$AY$2&amp;Demand_previous!$D$3:$AY$3, 0))/1000</f>
        <v>5.8668149999999972</v>
      </c>
      <c r="AL23" s="314">
        <f t="array" ref="AL23">INDEX(Demand_previous!$D$4:$AY$138, MATCH('Staging Table'!$A23, Demand_previous!$B$4:$B$138, 0), MATCH(AL$4&amp;AL$5,Demand_previous!$D$2:$AY$2&amp;Demand_previous!$D$3:$AY$3, 0))/1000</f>
        <v>4.0077849999999984</v>
      </c>
      <c r="AM23" s="314">
        <f t="array" ref="AM23">INDEX(Demand_previous!$D$4:$AY$138, MATCH('Staging Table'!$A23, Demand_previous!$B$4:$B$138, 0), MATCH(AM$4&amp;AM$5,Demand_previous!$D$2:$AY$2&amp;Demand_previous!$D$3:$AY$3, 0))/1000</f>
        <v>6.9191057692307716</v>
      </c>
      <c r="AN23" s="314">
        <f t="array" ref="AN23">INDEX(Demand_previous!$D$4:$AY$138, MATCH('Staging Table'!$A23, Demand_previous!$B$4:$B$138, 0), MATCH(AN$4&amp;AN$5,Demand_previous!$D$2:$AY$2&amp;Demand_previous!$D$3:$AY$3, 0))/1000</f>
        <v>3.6945324999999984</v>
      </c>
      <c r="AO23" s="314">
        <f t="array" ref="AO23">INDEX(Demand_previous!$D$4:$AY$138, MATCH('Staging Table'!$A23, Demand_previous!$B$4:$B$138, 0), MATCH(AO$4&amp;AO$5,Demand_previous!$D$2:$AY$2&amp;Demand_previous!$D$3:$AY$3, 0))/1000</f>
        <v>4.3938653846153839</v>
      </c>
      <c r="AP23" s="314">
        <f t="array" ref="AP23">INDEX(Demand_previous!$D$4:$AY$138, MATCH('Staging Table'!$A23, Demand_previous!$B$4:$B$138, 0), MATCH(AP$4&amp;AP$5,Demand_previous!$D$2:$AY$2&amp;Demand_previous!$D$3:$AY$3, 0))/1000</f>
        <v>5.3852524038461542</v>
      </c>
      <c r="AQ23" s="314">
        <f t="array" ref="AQ23">INDEX(Demand_previous!$D$4:$AY$138, MATCH('Staging Table'!$A23, Demand_previous!$B$4:$B$138, 0), MATCH(AQ$4&amp;AQ$5,Demand_previous!$D$2:$AY$2&amp;Demand_previous!$D$3:$AY$3, 0))/1000</f>
        <v>5.0387575000000009</v>
      </c>
      <c r="AR23" s="314">
        <f t="array" ref="AR23">INDEX(Demand_previous!$D$4:$AY$138, MATCH('Staging Table'!$A23, Demand_previous!$B$4:$B$138, 0), MATCH(AR$4&amp;AR$5,Demand_previous!$D$2:$AY$2&amp;Demand_previous!$D$3:$AY$3, 0))/1000</f>
        <v>3.6827019230769205</v>
      </c>
      <c r="AS23" s="314">
        <f t="array" ref="AS23">INDEX(Demand_previous!$D$4:$AY$138, MATCH('Staging Table'!$A23, Demand_previous!$B$4:$B$138, 0), MATCH(AS$4&amp;AS$5,Demand_previous!$D$2:$AY$2&amp;Demand_previous!$D$3:$AY$3, 0))/1000</f>
        <v>6.4613389423076919</v>
      </c>
      <c r="AT23" s="314">
        <f t="array" ref="AT23">INDEX(Demand_previous!$D$4:$AY$138, MATCH('Staging Table'!$A23, Demand_previous!$B$4:$B$138, 0), MATCH(AT$4&amp;AT$5,Demand_previous!$D$2:$AY$2&amp;Demand_previous!$D$3:$AY$3, 0))/1000</f>
        <v>3.7074182692307707</v>
      </c>
      <c r="AU23" s="314">
        <f t="array" ref="AU23">INDEX(Demand_previous!$D$4:$AY$138, MATCH('Staging Table'!$A23, Demand_previous!$B$4:$B$138, 0), MATCH(AU$4&amp;AU$5,Demand_previous!$D$2:$AY$2&amp;Demand_previous!$D$3:$AY$3, 0))/1000</f>
        <v>6.0124775000000019</v>
      </c>
      <c r="AV23" s="192">
        <f>$F23*(VLOOKUP(AV$4, Rates_previous!$G$6:$Q$29, 10, FALSE)+VLOOKUP(AV$4, Rates_previous!$G$6:$Q$29, 11, FALSE))</f>
        <v>10341.405323881198</v>
      </c>
      <c r="AW23" s="192">
        <f>$F23*(VLOOKUP(AW$4, Rates_previous!$G$6:$Q$29, 10, FALSE)+VLOOKUP(AW$4, Rates_previous!$G$6:$Q$29, 11, FALSE))</f>
        <v>13136.8108253883</v>
      </c>
      <c r="AX23" s="192">
        <f>$F23*(VLOOKUP(AX$4, Rates_previous!$G$6:$Q$29, 10, FALSE)+VLOOKUP(AX$4, Rates_previous!$G$6:$Q$29, 11, FALSE))</f>
        <v>12978.1660589812</v>
      </c>
      <c r="AY23" s="192">
        <f>$F23*(VLOOKUP(AY$4, Rates_previous!$G$6:$Q$29, 10, FALSE)+VLOOKUP(AY$4, Rates_previous!$G$6:$Q$29, 11, FALSE))</f>
        <v>10818.0918733812</v>
      </c>
      <c r="AZ23" s="192">
        <f>$F23*(VLOOKUP(AZ$4, Rates_previous!$G$6:$Q$29, 10, FALSE)+VLOOKUP(AZ$4, Rates_previous!$G$6:$Q$29, 11, FALSE))</f>
        <v>9800.0689469599984</v>
      </c>
      <c r="BA23" s="192">
        <f>$F23*(VLOOKUP(BA$4, Rates_previous!$G$6:$Q$29, 10, FALSE)+VLOOKUP(BA$4, Rates_previous!$G$6:$Q$29, 11, FALSE))</f>
        <v>10900.789976098898</v>
      </c>
      <c r="BB23" s="192">
        <f>$F23*(VLOOKUP(BB$4, Rates_previous!$G$6:$Q$29, 10, FALSE)+VLOOKUP(BB$4, Rates_previous!$G$6:$Q$29, 11, FALSE))</f>
        <v>8875.4349616559994</v>
      </c>
      <c r="BC23" s="192">
        <f>$F23*(VLOOKUP(BC$4, Rates_previous!$G$6:$Q$29, 10, FALSE)+VLOOKUP(BC$4, Rates_previous!$G$6:$Q$29, 11, FALSE))</f>
        <v>11969.8475197312</v>
      </c>
      <c r="BD23" s="192">
        <f>$F23*(VLOOKUP(BD$4, Rates_previous!$G$6:$Q$29, 10, FALSE)+VLOOKUP(BD$4, Rates_previous!$G$6:$Q$29, 11, FALSE))</f>
        <v>15272.711348806</v>
      </c>
      <c r="BE23" s="192">
        <f>$F23*(VLOOKUP(BE$4, Rates_previous!$G$6:$Q$29, 10, FALSE)+VLOOKUP(BE$4, Rates_previous!$G$6:$Q$29, 11, FALSE))</f>
        <v>11974.2899646812</v>
      </c>
      <c r="BF23" s="192">
        <f>$F23*(VLOOKUP(BF$4, Rates_previous!$G$6:$Q$29, 10, FALSE)+VLOOKUP(BF$4, Rates_previous!$G$6:$Q$29, 11, FALSE))</f>
        <v>11660.574065831201</v>
      </c>
      <c r="BG23" s="192">
        <f>$F23*(VLOOKUP(BG$4, Rates_previous!$G$6:$Q$29, 10, FALSE)+VLOOKUP(BG$4, Rates_previous!$G$6:$Q$29, 11, FALSE))</f>
        <v>10468.714987356001</v>
      </c>
      <c r="BH23" s="314">
        <f>IF($D23=0,IF(C23=0, MAX(BJ23 - (VLOOKUP($A23,TOCA_previous!$A$2:$AI$137,MATCH("RHWM 2020",TOCA_previous!$A$2:$AI$2,0),FALSE)*$F$2*TOCA_previous!C20),0),0), 0)</f>
        <v>0</v>
      </c>
      <c r="BI23" s="204">
        <f>MIN(VLOOKUP($A23,TOCA_previous!$A$2:$AI$137,MATCH("TRL - NLSL - Existing Resource "&amp;$F$1,TOCA_previous!$A$2:$AI$2,0),FALSE)*$F$2,(VLOOKUP($A23,TOCA_previous!$A$2:$AI$137,MATCH("RHWM 2020",TOCA_previous!$A$2:$AI$2,0),FALSE)*$F$2))</f>
        <v>138198.67199999999</v>
      </c>
      <c r="BJ23" s="418">
        <f>SUM(L23:AI23)+(F23*RT1SC!$C$3*$F$2)</f>
        <v>132968.95818714521</v>
      </c>
      <c r="BK23" s="417">
        <f>VLOOKUP($A23,TOCA_previous!$A$2:$AI$137,MATCH("Above RHWM Not Served with LS "&amp;$F$1,TOCA_previous!$A$2:$AI$2,0),FALSE)*$F$2</f>
        <v>11849.616</v>
      </c>
      <c r="BL23" s="418">
        <f t="shared" si="8"/>
        <v>-5229.7138128547813</v>
      </c>
      <c r="BM23" s="417">
        <f>(VLOOKUP($A23,TOCA_previous!$A$2:$AI$137,MATCH("RHWM 2020",TOCA_previous!$A$2:$AI$2,0),FALSE)*$F$2) - $BI23</f>
        <v>0</v>
      </c>
      <c r="BN23" s="418">
        <f t="shared" si="9"/>
        <v>0</v>
      </c>
      <c r="BO23" s="417">
        <f t="shared" si="10"/>
        <v>0</v>
      </c>
      <c r="BP23" s="418">
        <f t="shared" si="11"/>
        <v>0</v>
      </c>
      <c r="BQ23" s="417">
        <f t="shared" si="2"/>
        <v>0</v>
      </c>
      <c r="BR23" s="120">
        <f>VLOOKUP($A23,TOCA_current!$A$2:$AI$137,MATCH(BR$4,TOCA_current!$A$2:$AI$2,0),FALSE)</f>
        <v>2.2398000000000001E-3</v>
      </c>
      <c r="BS23" s="120">
        <f>VLOOKUP($A23,TOCA_current!$A$2:$AI$137,MATCH(BS$4,TOCA_current!$A$2:$AI$2,0),FALSE)</f>
        <v>2.2398000000000001E-3</v>
      </c>
      <c r="BT23" s="201">
        <f t="shared" si="12"/>
        <v>0</v>
      </c>
      <c r="BU23" s="120">
        <f>VLOOKUP($A23,TOCA_current!A19:BG154,MATCH(BU$4,TOCA_current!$A$2:$BG$2,0),FALSE)</f>
        <v>0</v>
      </c>
      <c r="BV23" s="120">
        <f t="shared" si="3"/>
        <v>0</v>
      </c>
      <c r="BW23" s="120">
        <f t="shared" si="4"/>
        <v>0</v>
      </c>
      <c r="BX23" s="191">
        <f>VLOOKUP($A23,IRD!$A$4:$G$139, 7, FALSE)</f>
        <v>0</v>
      </c>
      <c r="BY23" s="192">
        <f t="array" ref="BY23">IF($BT23=0, INDEX(LS_current!$D$4:$AY$138, MATCH('Staging Table'!$A23, LS_current!$B$4:$B$138, 0), MATCH(BY$4&amp;BY$5, LS_current!$D$2:$AY$2&amp;LS_current!$D$3:$AY$3, 0)),SUM(VLOOKUP($A23, LS_current!$B$4:$AY$138, LS_current!D$148, FALSE), VLOOKUP($A23, LS_current!$B$4:$AY$138,LS_current!AB$148, FALSE))/2)</f>
        <v>-81.124034506613498</v>
      </c>
      <c r="BZ23" s="192">
        <f t="array" ref="BZ23">IF($BT23=0, INDEX(LS_current!$D$4:$AY$138, MATCH('Staging Table'!$A23, LS_current!$B$4:$B$138, 0), MATCH(BZ$4&amp;BZ$5, LS_current!$D$2:$AY$2&amp;LS_current!$D$3:$AY$3, 0)),SUM(VLOOKUP($A23, LS_current!$B$4:$AY$138, LS_current!E$148, FALSE), VLOOKUP($A23, LS_current!$B$4:$AY$138,LS_current!AC$148, FALSE))/2)</f>
        <v>-99.301883118354908</v>
      </c>
      <c r="CA23" s="192">
        <f t="array" ref="CA23">IF($BT23=0, INDEX(LS_current!$D$4:$AY$138, MATCH('Staging Table'!$A23, LS_current!$B$4:$B$138, 0), MATCH(CA$4&amp;CA$5, LS_current!$D$2:$AY$2&amp;LS_current!$D$3:$AY$3, 0)),SUM(VLOOKUP($A23, LS_current!$B$4:$AY$138, LS_current!F$148, FALSE), VLOOKUP($A23, LS_current!$B$4:$AY$138,LS_current!AD$148, FALSE))/2)</f>
        <v>-1645.0155930102101</v>
      </c>
      <c r="CB23" s="192">
        <f t="array" ref="CB23">IF($BT23=0, INDEX(LS_current!$D$4:$AY$138, MATCH('Staging Table'!$A23, LS_current!$B$4:$B$138, 0), MATCH(CB$4&amp;CB$5, LS_current!$D$2:$AY$2&amp;LS_current!$D$3:$AY$3, 0)),SUM(VLOOKUP($A23, LS_current!$B$4:$AY$138, LS_current!G$148, FALSE), VLOOKUP($A23, LS_current!$B$4:$AY$138,LS_current!AE$148, FALSE))/2)</f>
        <v>-836.61356181915562</v>
      </c>
      <c r="CC23" s="192">
        <f t="array" ref="CC23">IF($BT23=0, INDEX(LS_current!$D$4:$AY$138, MATCH('Staging Table'!$A23, LS_current!$B$4:$B$138, 0), MATCH(CC$4&amp;CC$5, LS_current!$D$2:$AY$2&amp;LS_current!$D$3:$AY$3, 0)),SUM(VLOOKUP($A23, LS_current!$B$4:$AY$138, LS_current!H$148, FALSE), VLOOKUP($A23, LS_current!$B$4:$AY$138,LS_current!AF$148, FALSE))/2)</f>
        <v>489.49584662729558</v>
      </c>
      <c r="CD23" s="192">
        <f t="array" ref="CD23">IF($BT23=0, INDEX(LS_current!$D$4:$AY$138, MATCH('Staging Table'!$A23, LS_current!$B$4:$B$138, 0), MATCH(CD$4&amp;CD$5, LS_current!$D$2:$AY$2&amp;LS_current!$D$3:$AY$3, 0)),SUM(VLOOKUP($A23, LS_current!$B$4:$AY$138, LS_current!I$148, FALSE), VLOOKUP($A23, LS_current!$B$4:$AY$138,LS_current!AG$148, FALSE))/2)</f>
        <v>-3.2253359995111168</v>
      </c>
      <c r="CE23" s="192">
        <f t="array" ref="CE23">IF($BT23=0, INDEX(LS_current!$D$4:$AY$138, MATCH('Staging Table'!$A23, LS_current!$B$4:$B$138, 0), MATCH(CE$4&amp;CE$5, LS_current!$D$2:$AY$2&amp;LS_current!$D$3:$AY$3, 0)),SUM(VLOOKUP($A23, LS_current!$B$4:$AY$138, LS_current!J$148, FALSE), VLOOKUP($A23, LS_current!$B$4:$AY$138,LS_current!AH$148, FALSE))/2)</f>
        <v>2186.2117314914394</v>
      </c>
      <c r="CF23" s="192">
        <f t="array" ref="CF23">IF($BT23=0, INDEX(LS_current!$D$4:$AY$138, MATCH('Staging Table'!$A23, LS_current!$B$4:$B$138, 0), MATCH(CF$4&amp;CF$5, LS_current!$D$2:$AY$2&amp;LS_current!$D$3:$AY$3, 0)),SUM(VLOOKUP($A23, LS_current!$B$4:$AY$138, LS_current!K$148, FALSE), VLOOKUP($A23, LS_current!$B$4:$AY$138,LS_current!AI$148, FALSE))/2)</f>
        <v>980.74750768098056</v>
      </c>
      <c r="CG23" s="192">
        <f t="array" ref="CG23">IF($BT23=0, INDEX(LS_current!$D$4:$AY$138, MATCH('Staging Table'!$A23, LS_current!$B$4:$B$138, 0), MATCH(CG$4&amp;CG$5, LS_current!$D$2:$AY$2&amp;LS_current!$D$3:$AY$3, 0)),SUM(VLOOKUP($A23, LS_current!$B$4:$AY$138, LS_current!L$148, FALSE), VLOOKUP($A23, LS_current!$B$4:$AY$138,LS_current!AJ$148, FALSE))/2)</f>
        <v>1950.6304654992127</v>
      </c>
      <c r="CH23" s="192">
        <f t="array" ref="CH23">IF($BT23=0, INDEX(LS_current!$D$4:$AY$138, MATCH('Staging Table'!$A23, LS_current!$B$4:$B$138, 0), MATCH(CH$4&amp;CH$5, LS_current!$D$2:$AY$2&amp;LS_current!$D$3:$AY$3, 0)),SUM(VLOOKUP($A23, LS_current!$B$4:$AY$138, LS_current!M$148, FALSE), VLOOKUP($A23, LS_current!$B$4:$AY$138,LS_current!AK$148, FALSE))/2)</f>
        <v>766.25280406250613</v>
      </c>
      <c r="CI23" s="192">
        <f t="array" ref="CI23">IF($BT23=0, INDEX(LS_current!$D$4:$AY$138, MATCH('Staging Table'!$A23, LS_current!$B$4:$B$138, 0), MATCH(CI$4&amp;CI$5, LS_current!$D$2:$AY$2&amp;LS_current!$D$3:$AY$3, 0)),SUM(VLOOKUP($A23, LS_current!$B$4:$AY$138, LS_current!N$148, FALSE), VLOOKUP($A23, LS_current!$B$4:$AY$138,LS_current!AL$148, FALSE))/2)</f>
        <v>310.46444491250259</v>
      </c>
      <c r="CJ23" s="192">
        <f t="array" ref="CJ23">IF($BT23=0, INDEX(LS_current!$D$4:$AY$138, MATCH('Staging Table'!$A23, LS_current!$B$4:$B$138, 0), MATCH(CJ$4&amp;CJ$5, LS_current!$D$2:$AY$2&amp;LS_current!$D$3:$AY$3, 0)),SUM(VLOOKUP($A23, LS_current!$B$4:$AY$138, LS_current!O$148, FALSE), VLOOKUP($A23, LS_current!$B$4:$AY$138,LS_current!AM$148, FALSE))/2)</f>
        <v>87.415628010440741</v>
      </c>
      <c r="CK23" s="192">
        <f t="array" ref="CK23">IF($BT23=0, INDEX(LS_current!$D$4:$AY$138, MATCH('Staging Table'!$A23, LS_current!$B$4:$B$138, 0), MATCH(CK$4&amp;CK$5, LS_current!$D$2:$AY$2&amp;LS_current!$D$3:$AY$3, 0)),SUM(VLOOKUP($A23, LS_current!$B$4:$AY$138, LS_current!P$148, FALSE), VLOOKUP($A23, LS_current!$B$4:$AY$138,LS_current!AN$148, FALSE))/2)</f>
        <v>1120.6459259007424</v>
      </c>
      <c r="CL23" s="192">
        <f t="array" ref="CL23">IF($BT23=0, INDEX(LS_current!$D$4:$AY$138, MATCH('Staging Table'!$A23, LS_current!$B$4:$B$138, 0), MATCH(CL$4&amp;CL$5, LS_current!$D$2:$AY$2&amp;LS_current!$D$3:$AY$3, 0)),SUM(VLOOKUP($A23, LS_current!$B$4:$AY$138, LS_current!Q$148, FALSE), VLOOKUP($A23, LS_current!$B$4:$AY$138,LS_current!AO$148, FALSE))/2)</f>
        <v>513.48805822156419</v>
      </c>
      <c r="CM23" s="192">
        <f t="array" ref="CM23">IF($BT23=0, INDEX(LS_current!$D$4:$AY$138, MATCH('Staging Table'!$A23, LS_current!$B$4:$B$138, 0), MATCH(CM$4&amp;CM$5, LS_current!$D$2:$AY$2&amp;LS_current!$D$3:$AY$3, 0)),SUM(VLOOKUP($A23, LS_current!$B$4:$AY$138, LS_current!R$148, FALSE), VLOOKUP($A23, LS_current!$B$4:$AY$138,LS_current!AP$148, FALSE))/2)</f>
        <v>-2479.5935281152551</v>
      </c>
      <c r="CN23" s="192">
        <f t="array" ref="CN23">IF($BT23=0, INDEX(LS_current!$D$4:$AY$138, MATCH('Staging Table'!$A23, LS_current!$B$4:$B$138, 0), MATCH(CN$4&amp;CN$5, LS_current!$D$2:$AY$2&amp;LS_current!$D$3:$AY$3, 0)),SUM(VLOOKUP($A23, LS_current!$B$4:$AY$138, LS_current!S$148, FALSE), VLOOKUP($A23, LS_current!$B$4:$AY$138,LS_current!AQ$148, FALSE))/2)</f>
        <v>-717.46040056140691</v>
      </c>
      <c r="CO23" s="192">
        <f t="array" ref="CO23">IF($BT23=0, INDEX(LS_current!$D$4:$AY$138, MATCH('Staging Table'!$A23, LS_current!$B$4:$B$138, 0), MATCH(CO$4&amp;CO$5, LS_current!$D$2:$AY$2&amp;LS_current!$D$3:$AY$3, 0)),SUM(VLOOKUP($A23, LS_current!$B$4:$AY$138, LS_current!T$148, FALSE), VLOOKUP($A23, LS_current!$B$4:$AY$138,LS_current!AR$148, FALSE))/2)</f>
        <v>-3047.1271383604562</v>
      </c>
      <c r="CP23" s="192">
        <f t="array" ref="CP23">IF($BT23=0, INDEX(LS_current!$D$4:$AY$138, MATCH('Staging Table'!$A23, LS_current!$B$4:$B$138, 0), MATCH(CP$4&amp;CP$5, LS_current!$D$2:$AY$2&amp;LS_current!$D$3:$AY$3, 0)),SUM(VLOOKUP($A23, LS_current!$B$4:$AY$138, LS_current!U$148, FALSE), VLOOKUP($A23, LS_current!$B$4:$AY$138,LS_current!AS$148, FALSE))/2)</f>
        <v>-369.9561744163816</v>
      </c>
      <c r="CQ23" s="192">
        <f t="array" ref="CQ23">IF($BT23=0, INDEX(LS_current!$D$4:$AY$138, MATCH('Staging Table'!$A23, LS_current!$B$4:$B$138, 0), MATCH(CQ$4&amp;CQ$5, LS_current!$D$2:$AY$2&amp;LS_current!$D$3:$AY$3, 0)),SUM(VLOOKUP($A23, LS_current!$B$4:$AY$138, LS_current!V$148, FALSE), VLOOKUP($A23, LS_current!$B$4:$AY$138,LS_current!AT$148, FALSE))/2)</f>
        <v>-2171.3839867227834</v>
      </c>
      <c r="CR23" s="192">
        <f t="array" ref="CR23">IF($BT23=0, INDEX(LS_current!$D$4:$AY$138, MATCH('Staging Table'!$A23, LS_current!$B$4:$B$138, 0), MATCH(CR$4&amp;CR$5, LS_current!$D$2:$AY$2&amp;LS_current!$D$3:$AY$3, 0)),SUM(VLOOKUP($A23, LS_current!$B$4:$AY$138, LS_current!W$148, FALSE), VLOOKUP($A23, LS_current!$B$4:$AY$138,LS_current!AU$148, FALSE))/2)</f>
        <v>-545.82889381969744</v>
      </c>
      <c r="CS23" s="192">
        <f t="array" ref="CS23">IF($BT23=0, INDEX(LS_current!$D$4:$AY$138, MATCH('Staging Table'!$A23, LS_current!$B$4:$B$138, 0), MATCH(CS$4&amp;CS$5, LS_current!$D$2:$AY$2&amp;LS_current!$D$3:$AY$3, 0)),SUM(VLOOKUP($A23, LS_current!$B$4:$AY$138, LS_current!X$148, FALSE), VLOOKUP($A23, LS_current!$B$4:$AY$138,LS_current!AV$148, FALSE))/2)</f>
        <v>-1285.1734524449412</v>
      </c>
      <c r="CT23" s="192">
        <f t="array" ref="CT23">IF($BT23=0, INDEX(LS_current!$D$4:$AY$138, MATCH('Staging Table'!$A23, LS_current!$B$4:$B$138, 0), MATCH(CT$4&amp;CT$5, LS_current!$D$2:$AY$2&amp;LS_current!$D$3:$AY$3, 0)),SUM(VLOOKUP($A23, LS_current!$B$4:$AY$138, LS_current!Y$148, FALSE), VLOOKUP($A23, LS_current!$B$4:$AY$138,LS_current!AW$148, FALSE))/2)</f>
        <v>-304.48312432184821</v>
      </c>
      <c r="CU23" s="192">
        <f t="array" ref="CU23">IF($BT23=0, INDEX(LS_current!$D$4:$AY$138, MATCH('Staging Table'!$A23, LS_current!$B$4:$B$138, 0), MATCH(CU$4&amp;CU$5, LS_current!$D$2:$AY$2&amp;LS_current!$D$3:$AY$3, 0)),SUM(VLOOKUP($A23, LS_current!$B$4:$AY$138, LS_current!Z$148, FALSE), VLOOKUP($A23, LS_current!$B$4:$AY$138,LS_current!AX$148, FALSE))/2)</f>
        <v>-1521.685449069565</v>
      </c>
      <c r="CV23" s="192">
        <f t="array" ref="CV23">IF($BT23=0, INDEX(LS_current!$D$4:$AY$138, MATCH('Staging Table'!$A23, LS_current!$B$4:$B$138, 0), MATCH(CV$4&amp;CV$5, LS_current!$D$2:$AY$2&amp;LS_current!$D$3:$AY$3, 0)),SUM(VLOOKUP($A23, LS_current!$B$4:$AY$138, LS_current!AA$148, FALSE), VLOOKUP($A23, LS_current!$B$4:$AY$138,LS_current!AY$148, FALSE))/2)</f>
        <v>-667.13283559703814</v>
      </c>
      <c r="CW23" s="194">
        <f t="array" ref="CW23">INDEX(Demand_current!$D$4:$AY$138, MATCH($A23, Demand_current!$B$4:$B$138, 0), MATCH(CW$4&amp;CW$5,Demand_current!$D$2:$AY$2&amp;Demand_current!$D$3:$AY$3, 0))/1000</f>
        <v>2.9500817307692326</v>
      </c>
      <c r="CX23" s="194">
        <f t="array" ref="CX23">INDEX(Demand_current!$D$4:$AY$138, MATCH($A23, Demand_current!$B$4:$B$138, 0), MATCH(CX$4&amp;CX$5,Demand_current!$D$2:$AY$2&amp;Demand_current!$D$3:$AY$3, 0))/1000</f>
        <v>5.8668149999999972</v>
      </c>
      <c r="CY23" s="194">
        <f t="array" ref="CY23">INDEX(Demand_current!$D$4:$AY$138, MATCH($A23, Demand_current!$B$4:$B$138, 0), MATCH(CY$4&amp;CY$5,Demand_current!$D$2:$AY$2&amp;Demand_current!$D$3:$AY$3, 0))/1000</f>
        <v>4.8405625000000008</v>
      </c>
      <c r="CZ23" s="194">
        <f t="array" ref="CZ23">INDEX(Demand_current!$D$4:$AY$138, MATCH($A23, Demand_current!$B$4:$B$138, 0), MATCH(CZ$4&amp;CZ$5,Demand_current!$D$2:$AY$2&amp;Demand_current!$D$3:$AY$3, 0))/1000</f>
        <v>6.0499500000000026</v>
      </c>
      <c r="DA23" s="194">
        <f t="array" ref="DA23">INDEX(Demand_current!$D$4:$AY$138, MATCH($A23, Demand_current!$B$4:$B$138, 0), MATCH(DA$4&amp;DA$5,Demand_current!$D$2:$AY$2&amp;Demand_current!$D$3:$AY$3, 0))/1000</f>
        <v>2.8524296874999999</v>
      </c>
      <c r="DB23" s="194">
        <f t="array" ref="DB23">INDEX(Demand_current!$D$4:$AY$138, MATCH($A23, Demand_current!$B$4:$B$138, 0), MATCH(DB$4&amp;DB$5,Demand_current!$D$2:$AY$2&amp;Demand_current!$D$3:$AY$3, 0))/1000</f>
        <v>5.1000185185185201</v>
      </c>
      <c r="DC23" s="194">
        <f t="array" ref="DC23">INDEX(Demand_current!$D$4:$AY$138, MATCH($A23, Demand_current!$B$4:$B$138, 0), MATCH(DC$4&amp;DC$5,Demand_current!$D$2:$AY$2&amp;Demand_current!$D$3:$AY$3, 0))/1000</f>
        <v>5.3852524038461542</v>
      </c>
      <c r="DD23" s="194">
        <f t="array" ref="DD23">INDEX(Demand_current!$D$4:$AY$138, MATCH($A23, Demand_current!$B$4:$B$138, 0), MATCH(DD$4&amp;DD$5,Demand_current!$D$2:$AY$2&amp;Demand_current!$D$3:$AY$3, 0))/1000</f>
        <v>5.0387575000000009</v>
      </c>
      <c r="DE23" s="194">
        <f t="array" ref="DE23">INDEX(Demand_current!$D$4:$AY$138, MATCH($A23, Demand_current!$B$4:$B$138, 0), MATCH(DE$4&amp;DE$5,Demand_current!$D$2:$AY$2&amp;Demand_current!$D$3:$AY$3, 0))/1000</f>
        <v>3.6827019230769205</v>
      </c>
      <c r="DF23" s="194">
        <f t="array" ref="DF23">INDEX(Demand_current!$D$4:$AY$138, MATCH($A23, Demand_current!$B$4:$B$138, 0), MATCH(DF$4&amp;DF$5,Demand_current!$D$2:$AY$2&amp;Demand_current!$D$3:$AY$3, 0))/1000</f>
        <v>5.8273124999999997</v>
      </c>
      <c r="DG23" s="194">
        <f t="array" ref="DG23">INDEX(Demand_current!$D$4:$AY$138, MATCH($A23, Demand_current!$B$4:$B$138, 0), MATCH(DG$4&amp;DG$5,Demand_current!$D$2:$AY$2&amp;Demand_current!$D$3:$AY$3, 0))/1000</f>
        <v>4.3639212962962963</v>
      </c>
      <c r="DH23" s="194">
        <f t="array" ref="DH23">INDEX(Demand_current!$D$4:$AY$138, MATCH($A23, Demand_current!$B$4:$B$138, 0), MATCH(DH$4&amp;DH$5,Demand_current!$D$2:$AY$2&amp;Demand_current!$D$3:$AY$3, 0))/1000</f>
        <v>6.0124775000000019</v>
      </c>
      <c r="DI23" s="192">
        <f>$BS23*(VLOOKUP(DI$4, Rates_current!$G$6:$Q$29, 10, FALSE)+VLOOKUP(DI$4, Rates_current!$G$6:$Q$29, 11, FALSE))</f>
        <v>10199.879917624969</v>
      </c>
      <c r="DJ23" s="192">
        <f>$BS23*(VLOOKUP(DJ$4, Rates_current!$G$6:$Q$29, 10, FALSE)+VLOOKUP(DJ$4, Rates_current!$G$6:$Q$29, 11, FALSE))</f>
        <v>12913.418154829367</v>
      </c>
      <c r="DK23" s="192">
        <f>$BS23*(VLOOKUP(DK$4, Rates_current!$G$6:$Q$29, 10, FALSE)+VLOOKUP(DK$4, Rates_current!$G$6:$Q$29, 11, FALSE))</f>
        <v>12639.656489372217</v>
      </c>
      <c r="DL23" s="192">
        <f>$BS23*(VLOOKUP(DL$4, Rates_current!$G$6:$Q$29, 10, FALSE)+VLOOKUP(DL$4, Rates_current!$G$6:$Q$29, 11, FALSE))</f>
        <v>10439.818760827578</v>
      </c>
      <c r="DM23" s="192">
        <f>$BS23*(VLOOKUP(DM$4, Rates_current!$G$6:$Q$29, 10, FALSE)+VLOOKUP(DM$4, Rates_current!$G$6:$Q$29, 11, FALSE))</f>
        <v>9048.4197304382815</v>
      </c>
      <c r="DN23" s="192">
        <f>$BS23*(VLOOKUP(DN$4, Rates_current!$G$6:$Q$29, 10, FALSE)+VLOOKUP(DN$4, Rates_current!$G$6:$Q$29, 11, FALSE))</f>
        <v>10801.985927077058</v>
      </c>
      <c r="DO23" s="192">
        <f>$BS23*(VLOOKUP(DO$4, Rates_current!$G$6:$Q$29, 10, FALSE)+VLOOKUP(DO$4, Rates_current!$G$6:$Q$29, 11, FALSE))</f>
        <v>8386.304015877693</v>
      </c>
      <c r="DP23" s="192">
        <f>$BS23*(VLOOKUP(DP$4, Rates_current!$G$6:$Q$29, 10, FALSE)+VLOOKUP(DP$4, Rates_current!$G$6:$Q$29, 11, FALSE))</f>
        <v>11619.285928676662</v>
      </c>
      <c r="DQ23" s="192">
        <f>$BS23*(VLOOKUP(DQ$4, Rates_current!$G$6:$Q$29, 10, FALSE)+VLOOKUP(DQ$4, Rates_current!$G$6:$Q$29, 11, FALSE))</f>
        <v>12415.450312776838</v>
      </c>
      <c r="DR23" s="192">
        <f>$BS23*(VLOOKUP(DR$4, Rates_current!$G$6:$Q$29, 10, FALSE)+VLOOKUP(DR$4, Rates_current!$G$6:$Q$29, 11, FALSE))</f>
        <v>11787.907880542482</v>
      </c>
      <c r="DS23" s="192">
        <f>$BS23*(VLOOKUP(DS$4, Rates_current!$G$6:$Q$29, 10, FALSE)+VLOOKUP(DS$4, Rates_current!$G$6:$Q$29, 11, FALSE))</f>
        <v>11392.103576766789</v>
      </c>
      <c r="DT23" s="192">
        <f>$BS23*(VLOOKUP(DT$4, Rates_current!$G$6:$Q$29, 10, FALSE)+VLOOKUP(DT$4, Rates_current!$G$6:$Q$29, 11, FALSE))</f>
        <v>10527.491284666603</v>
      </c>
      <c r="DU23" s="418">
        <f>IF(D23=0,IF(C23=0,MAX(0,DW23 - (VLOOKUP($A23,TOCA_current!$A$2:$AI$137,MATCH("RHWM 2022",TOCA_current!$A$2:$AI$2,0),FALSE)*$BS$2)), 0),0)</f>
        <v>0</v>
      </c>
      <c r="DV23" s="419">
        <f>MIN(VLOOKUP($A23,TOCA_current!$A$2:$AI$137,MATCH("TRL - NLSL - Existing Resource "&amp;$BS$1,TOCA_current!$A$2:$AI$2,0),FALSE)*$BS$2, VLOOKUP($A23,TOCA_current!$A$2:$AI$137,MATCH("RHWM 2022",TOCA_current!$A$2:$AI$2,0),FALSE)*$BS$2)</f>
        <v>132170.88</v>
      </c>
      <c r="DW23" s="419">
        <f>SUM(BY23:CV23)+(BS23*RT1SC!$C$4*$BS$2)</f>
        <v>124801.97576115548</v>
      </c>
      <c r="DX23" s="419">
        <f>VLOOKUP($A23,TOCA_current!$A$2:$AI$137,MATCH("Above RHWM Not Served with LS "&amp;$BS$1,TOCA_current!$A$2:$AI$2,0),FALSE)*$BS$2</f>
        <v>20016.600000000002</v>
      </c>
      <c r="DY23" s="419">
        <f t="shared" si="13"/>
        <v>-7368.9042388445232</v>
      </c>
      <c r="DZ23" s="419">
        <f>(VLOOKUP($A23,TOCA_current!$A$2:$AI$137,MATCH("RHWM 2022",TOCA_current!$A$2:$AI$2,0),FALSE)*$BS$2) - $DV23</f>
        <v>0</v>
      </c>
      <c r="EA23" s="419">
        <f t="shared" si="14"/>
        <v>0</v>
      </c>
      <c r="EB23" s="419">
        <f t="shared" si="15"/>
        <v>0</v>
      </c>
      <c r="EC23" s="419">
        <f t="shared" si="16"/>
        <v>0</v>
      </c>
      <c r="ED23" s="419">
        <f t="shared" si="17"/>
        <v>0</v>
      </c>
    </row>
    <row r="24" spans="1:134">
      <c r="A24" s="135">
        <v>10068</v>
      </c>
      <c r="B24" s="136" t="s">
        <v>25</v>
      </c>
      <c r="C24" s="244">
        <f>VLOOKUP(A24, TOCA_current!$A$3:$D$137, 4, FALSE)</f>
        <v>0</v>
      </c>
      <c r="D24" s="203">
        <v>0</v>
      </c>
      <c r="E24" s="119">
        <f>VLOOKUP($A24,TOCA_previous!$A$2:$AI$137,MATCH(E$4,TOCA_previous!$A$2:$AI$2,0),FALSE)</f>
        <v>3.637E-4</v>
      </c>
      <c r="F24" s="120">
        <f>VLOOKUP($A24,TOCA_previous!$A$2:$AI$137,MATCH(F$4,TOCA_previous!$A$2:$AI$2,0),FALSE)</f>
        <v>3.637E-4</v>
      </c>
      <c r="G24" s="120">
        <f t="shared" si="5"/>
        <v>0</v>
      </c>
      <c r="H24" s="120">
        <f>VLOOKUP($A24,TOCA_previous!$A$2:$AI$137,MATCH(H$4,TOCA_previous!$A$2:$AI$2,0),FALSE)</f>
        <v>0</v>
      </c>
      <c r="I24" s="120">
        <f t="shared" si="6"/>
        <v>0</v>
      </c>
      <c r="J24" s="120">
        <f t="shared" si="7"/>
        <v>0</v>
      </c>
      <c r="K24" s="191">
        <f>VLOOKUP(A24, IRD!$A$5:$C$139, 3, FALSE)</f>
        <v>0</v>
      </c>
      <c r="L24" s="192">
        <f t="array" ref="L24">IF($G24=0, INDEX(LS_previous!$D$4:$AY$138, MATCH('Staging Table'!$A24, LS_previous!$B$4:$B$138, 0), MATCH(L$4&amp;L$5, LS_previous!$D$2:$AY$2&amp;LS_previous!$D$3:$AY$3, 0)),SUM(VLOOKUP($A24, LS_previous!$B$4:$AY$138, LS_previous!D$149, FALSE), VLOOKUP('Staging Table'!$A24, LS_previous!$B$4:$AY$138,LS_previous!AB$149, FALSE))/2)</f>
        <v>-17.707081615599918</v>
      </c>
      <c r="M24" s="192">
        <f t="array" ref="M24">IF($G24=0, INDEX(LS_previous!$D$4:$AY$138, MATCH('Staging Table'!$A24, LS_previous!$B$4:$B$138, 0), MATCH(M$4&amp;M$5, LS_previous!$D$2:$AY$2&amp;LS_previous!$D$3:$AY$3, 0)),SUM(VLOOKUP($A24, LS_previous!$B$4:$AY$138, LS_previous!E$149, FALSE), VLOOKUP('Staging Table'!$A24, LS_previous!$B$4:$AY$138,LS_previous!AC$149, FALSE))/2)</f>
        <v>42.949817430400003</v>
      </c>
      <c r="N24" s="192">
        <f t="array" ref="N24">IF($G24=0, INDEX(LS_previous!$D$4:$AY$138, MATCH('Staging Table'!$A24, LS_previous!$B$4:$B$138, 0), MATCH(N$4&amp;N$5, LS_previous!$D$2:$AY$2&amp;LS_previous!$D$3:$AY$3, 0)),SUM(VLOOKUP($A24, LS_previous!$B$4:$AY$138, LS_previous!F$149, FALSE), VLOOKUP('Staging Table'!$A24, LS_previous!$B$4:$AY$138,LS_previous!AD$149, FALSE))/2)</f>
        <v>-162.95156993360001</v>
      </c>
      <c r="O24" s="192">
        <f t="array" ref="O24">IF($G24=0, INDEX(LS_previous!$D$4:$AY$138, MATCH('Staging Table'!$A24, LS_previous!$B$4:$B$138, 0), MATCH(O$4&amp;O$5, LS_previous!$D$2:$AY$2&amp;LS_previous!$D$3:$AY$3, 0)),SUM(VLOOKUP($A24, LS_previous!$B$4:$AY$138, LS_previous!G$149, FALSE), VLOOKUP('Staging Table'!$A24, LS_previous!$B$4:$AY$138,LS_previous!AE$149, FALSE))/2)</f>
        <v>-6.5634990907000201</v>
      </c>
      <c r="P24" s="192">
        <f t="array" ref="P24">IF($G24=0, INDEX(LS_previous!$D$4:$AY$138, MATCH('Staging Table'!$A24, LS_previous!$B$4:$B$138, 0), MATCH(P$4&amp;P$5, LS_previous!$D$2:$AY$2&amp;LS_previous!$D$3:$AY$3, 0)),SUM(VLOOKUP($A24, LS_previous!$B$4:$AY$138, LS_previous!H$149, FALSE), VLOOKUP('Staging Table'!$A24, LS_previous!$B$4:$AY$138,LS_previous!AF$149, FALSE))/2)</f>
        <v>158.80130839359981</v>
      </c>
      <c r="Q24" s="192">
        <f t="array" ref="Q24">IF($G24=0, INDEX(LS_previous!$D$4:$AY$138, MATCH('Staging Table'!$A24, LS_previous!$B$4:$B$138, 0), MATCH(Q$4&amp;Q$5, LS_previous!$D$2:$AY$2&amp;LS_previous!$D$3:$AY$3, 0)),SUM(VLOOKUP($A24, LS_previous!$B$4:$AY$138, LS_previous!I$149, FALSE), VLOOKUP('Staging Table'!$A24, LS_previous!$B$4:$AY$138,LS_previous!AG$149, FALSE))/2)</f>
        <v>212.97260032119993</v>
      </c>
      <c r="R24" s="192">
        <f t="array" ref="R24">IF($G24=0, INDEX(LS_previous!$D$4:$AY$138, MATCH('Staging Table'!$A24, LS_previous!$B$4:$B$138, 0), MATCH(R$4&amp;R$5, LS_previous!$D$2:$AY$2&amp;LS_previous!$D$3:$AY$3, 0)),SUM(VLOOKUP($A24, LS_previous!$B$4:$AY$138, LS_previous!J$149, FALSE), VLOOKUP('Staging Table'!$A24, LS_previous!$B$4:$AY$138,LS_previous!AH$149, FALSE))/2)</f>
        <v>372.37030959360004</v>
      </c>
      <c r="S24" s="192">
        <f t="array" ref="S24">IF($G24=0, INDEX(LS_previous!$D$4:$AY$138, MATCH('Staging Table'!$A24, LS_previous!$B$4:$B$138, 0), MATCH(S$4&amp;S$5, LS_previous!$D$2:$AY$2&amp;LS_previous!$D$3:$AY$3, 0)),SUM(VLOOKUP($A24, LS_previous!$B$4:$AY$138, LS_previous!K$149, FALSE), VLOOKUP('Staging Table'!$A24, LS_previous!$B$4:$AY$138,LS_previous!AI$149, FALSE))/2)</f>
        <v>349.41233672119995</v>
      </c>
      <c r="T24" s="192">
        <f t="array" ref="T24">IF($G24=0, INDEX(LS_previous!$D$4:$AY$138, MATCH('Staging Table'!$A24, LS_previous!$B$4:$B$138, 0), MATCH(T$4&amp;T$5, LS_previous!$D$2:$AY$2&amp;LS_previous!$D$3:$AY$3, 0)),SUM(VLOOKUP($A24, LS_previous!$B$4:$AY$138, LS_previous!L$149, FALSE), VLOOKUP('Staging Table'!$A24, LS_previous!$B$4:$AY$138,LS_previous!AJ$149, FALSE))/2)</f>
        <v>240.06282600120016</v>
      </c>
      <c r="U24" s="192">
        <f t="array" ref="U24">IF($G24=0, INDEX(LS_previous!$D$4:$AY$138, MATCH('Staging Table'!$A24, LS_previous!$B$4:$B$138, 0), MATCH(U$4&amp;U$5, LS_previous!$D$2:$AY$2&amp;LS_previous!$D$3:$AY$3, 0)),SUM(VLOOKUP($A24, LS_previous!$B$4:$AY$138, LS_previous!M$149, FALSE), VLOOKUP('Staging Table'!$A24, LS_previous!$B$4:$AY$138,LS_previous!AK$149, FALSE))/2)</f>
        <v>191.25134383880004</v>
      </c>
      <c r="V24" s="192">
        <f t="array" ref="V24">IF($G24=0, INDEX(LS_previous!$D$4:$AY$138, MATCH('Staging Table'!$A24, LS_previous!$B$4:$B$138, 0), MATCH(V$4&amp;V$5, LS_previous!$D$2:$AY$2&amp;LS_previous!$D$3:$AY$3, 0)),SUM(VLOOKUP($A24, LS_previous!$B$4:$AY$138, LS_previous!N$149, FALSE), VLOOKUP('Staging Table'!$A24, LS_previous!$B$4:$AY$138,LS_previous!AL$149, FALSE))/2)</f>
        <v>98.515229120800086</v>
      </c>
      <c r="W24" s="192">
        <f t="array" ref="W24">IF($G24=0, INDEX(LS_previous!$D$4:$AY$138, MATCH('Staging Table'!$A24, LS_previous!$B$4:$B$138, 0), MATCH(W$4&amp;W$5, LS_previous!$D$2:$AY$2&amp;LS_previous!$D$3:$AY$3, 0)),SUM(VLOOKUP($A24, LS_previous!$B$4:$AY$138, LS_previous!O$149, FALSE), VLOOKUP('Staging Table'!$A24, LS_previous!$B$4:$AY$138,LS_previous!AM$149, FALSE))/2)</f>
        <v>127.59025259229998</v>
      </c>
      <c r="X24" s="192">
        <f t="array" ref="X24">IF($G24=0, INDEX(LS_previous!$D$4:$AY$138, MATCH('Staging Table'!$A24, LS_previous!$B$4:$B$138, 0), MATCH(X$4&amp;X$5, LS_previous!$D$2:$AY$2&amp;LS_previous!$D$3:$AY$3, 0)),SUM(VLOOKUP($A24, LS_previous!$B$4:$AY$138, LS_previous!P$149, FALSE), VLOOKUP('Staging Table'!$A24, LS_previous!$B$4:$AY$138,LS_previous!AN$149, FALSE))/2)</f>
        <v>128.71722860720001</v>
      </c>
      <c r="Y24" s="192">
        <f t="array" ref="Y24">IF($G24=0, INDEX(LS_previous!$D$4:$AY$138, MATCH('Staging Table'!$A24, LS_previous!$B$4:$B$138, 0), MATCH(Y$4&amp;Y$5, LS_previous!$D$2:$AY$2&amp;LS_previous!$D$3:$AY$3, 0)),SUM(VLOOKUP($A24, LS_previous!$B$4:$AY$138, LS_previous!Q$149, FALSE), VLOOKUP('Staging Table'!$A24, LS_previous!$B$4:$AY$138,LS_previous!AO$149, FALSE))/2)</f>
        <v>99.909238216799963</v>
      </c>
      <c r="Z24" s="192">
        <f t="array" ref="Z24">IF($G24=0, INDEX(LS_previous!$D$4:$AY$138, MATCH('Staging Table'!$A24, LS_previous!$B$4:$B$138, 0), MATCH(Z$4&amp;Z$5, LS_previous!$D$2:$AY$2&amp;LS_previous!$D$3:$AY$3, 0)),SUM(VLOOKUP($A24, LS_previous!$B$4:$AY$138, LS_previous!R$149, FALSE), VLOOKUP('Staging Table'!$A24, LS_previous!$B$4:$AY$138,LS_previous!AP$149, FALSE))/2)</f>
        <v>-366.19127827000011</v>
      </c>
      <c r="AA24" s="192">
        <f t="array" ref="AA24">IF($G24=0, INDEX(LS_previous!$D$4:$AY$138, MATCH('Staging Table'!$A24, LS_previous!$B$4:$B$138, 0), MATCH(AA$4&amp;AA$5, LS_previous!$D$2:$AY$2&amp;LS_previous!$D$3:$AY$3, 0)),SUM(VLOOKUP($A24, LS_previous!$B$4:$AY$138, LS_previous!S$149, FALSE), VLOOKUP('Staging Table'!$A24, LS_previous!$B$4:$AY$138,LS_previous!AQ$149, FALSE))/2)</f>
        <v>-119.49316376519994</v>
      </c>
      <c r="AB24" s="192">
        <f t="array" ref="AB24">IF($G24=0, INDEX(LS_previous!$D$4:$AY$138, MATCH('Staging Table'!$A24, LS_previous!$B$4:$B$138, 0), MATCH(AB$4&amp;AB$5, LS_previous!$D$2:$AY$2&amp;LS_previous!$D$3:$AY$3, 0)),SUM(VLOOKUP($A24, LS_previous!$B$4:$AY$138, LS_previous!T$149, FALSE), VLOOKUP('Staging Table'!$A24, LS_previous!$B$4:$AY$138,LS_previous!AR$149, FALSE))/2)</f>
        <v>-674.4687183428</v>
      </c>
      <c r="AC24" s="192">
        <f t="array" ref="AC24">IF($G24=0, INDEX(LS_previous!$D$4:$AY$138, MATCH('Staging Table'!$A24, LS_previous!$B$4:$B$138, 0), MATCH(AC$4&amp;AC$5, LS_previous!$D$2:$AY$2&amp;LS_previous!$D$3:$AY$3, 0)),SUM(VLOOKUP($A24, LS_previous!$B$4:$AY$138, LS_previous!U$149, FALSE), VLOOKUP('Staging Table'!$A24, LS_previous!$B$4:$AY$138,LS_previous!AS$149, FALSE))/2)</f>
        <v>-331.50157998320003</v>
      </c>
      <c r="AD24" s="192">
        <f t="array" ref="AD24">IF($G24=0, INDEX(LS_previous!$D$4:$AY$138, MATCH('Staging Table'!$A24, LS_previous!$B$4:$B$138, 0), MATCH(AD$4&amp;AD$5, LS_previous!$D$2:$AY$2&amp;LS_previous!$D$3:$AY$3, 0)),SUM(VLOOKUP($A24, LS_previous!$B$4:$AY$138, LS_previous!V$149, FALSE), VLOOKUP('Staging Table'!$A24, LS_previous!$B$4:$AY$138,LS_previous!AT$149, FALSE))/2)</f>
        <v>-300.79292684279994</v>
      </c>
      <c r="AE24" s="192">
        <f t="array" ref="AE24">IF($G24=0, INDEX(LS_previous!$D$4:$AY$138, MATCH('Staging Table'!$A24, LS_previous!$B$4:$B$138, 0), MATCH(AE$4&amp;AE$5, LS_previous!$D$2:$AY$2&amp;LS_previous!$D$3:$AY$3, 0)),SUM(VLOOKUP($A24, LS_previous!$B$4:$AY$138, LS_previous!W$149, FALSE), VLOOKUP('Staging Table'!$A24, LS_previous!$B$4:$AY$138,LS_previous!AU$149, FALSE))/2)</f>
        <v>31.649085857599971</v>
      </c>
      <c r="AF24" s="192">
        <f t="array" ref="AF24">IF($G24=0, INDEX(LS_previous!$D$4:$AY$138, MATCH('Staging Table'!$A24, LS_previous!$B$4:$B$138, 0), MATCH(AF$4&amp;AF$5, LS_previous!$D$2:$AY$2&amp;LS_previous!$D$3:$AY$3, 0)),SUM(VLOOKUP($A24, LS_previous!$B$4:$AY$138, LS_previous!X$149, FALSE), VLOOKUP('Staging Table'!$A24, LS_previous!$B$4:$AY$138,LS_previous!AV$149, FALSE))/2)</f>
        <v>-250.16430999279987</v>
      </c>
      <c r="AG24" s="192">
        <f t="array" ref="AG24">IF($G24=0, INDEX(LS_previous!$D$4:$AY$138, MATCH('Staging Table'!$A24, LS_previous!$B$4:$B$138, 0), MATCH(AG$4&amp;AG$5, LS_previous!$D$2:$AY$2&amp;LS_previous!$D$3:$AY$3, 0)),SUM(VLOOKUP($A24, LS_previous!$B$4:$AY$138, LS_previous!Y$149, FALSE), VLOOKUP('Staging Table'!$A24, LS_previous!$B$4:$AY$138,LS_previous!AW$149, FALSE))/2)</f>
        <v>-15.521890142400025</v>
      </c>
      <c r="AH24" s="192">
        <f t="array" ref="AH24">IF($G24=0, INDEX(LS_previous!$D$4:$AY$138, MATCH('Staging Table'!$A24, LS_previous!$B$4:$B$138, 0), MATCH(AH$4&amp;AH$5, LS_previous!$D$2:$AY$2&amp;LS_previous!$D$3:$AY$3, 0)),SUM(VLOOKUP($A24, LS_previous!$B$4:$AY$138, LS_previous!Z$149, FALSE), VLOOKUP('Staging Table'!$A24, LS_previous!$B$4:$AY$138,LS_previous!AX$149, FALSE))/2)</f>
        <v>-223.00834272000009</v>
      </c>
      <c r="AI24" s="192">
        <f t="array" ref="AI24">IF($G24=0, INDEX(LS_previous!$D$4:$AY$138, MATCH('Staging Table'!$A24, LS_previous!$B$4:$B$138, 0), MATCH(AI$4&amp;AI$5, LS_previous!$D$2:$AY$2&amp;LS_previous!$D$3:$AY$3, 0)),SUM(VLOOKUP($A24, LS_previous!$B$4:$AY$138, LS_previous!AA$149, FALSE), VLOOKUP('Staging Table'!$A24, LS_previous!$B$4:$AY$138,LS_previous!AY$149, FALSE))/2)</f>
        <v>-60.001460155999894</v>
      </c>
      <c r="AJ24" s="314">
        <f t="array" ref="AJ24">INDEX(Demand_previous!$D$4:$AY$138, MATCH('Staging Table'!$A24, Demand_previous!$B$4:$B$138, 0), MATCH(AJ$4&amp;AJ$5,Demand_previous!$D$2:$AY$2&amp;Demand_previous!$D$3:$AY$3, 0))/1000</f>
        <v>0</v>
      </c>
      <c r="AK24" s="314">
        <f t="array" ref="AK24">INDEX(Demand_previous!$D$4:$AY$138, MATCH('Staging Table'!$A24, Demand_previous!$B$4:$B$138, 0), MATCH(AK$4&amp;AK$5,Demand_previous!$D$2:$AY$2&amp;Demand_previous!$D$3:$AY$3, 0))/1000</f>
        <v>0.15973250000000005</v>
      </c>
      <c r="AL24" s="314">
        <f t="array" ref="AL24">INDEX(Demand_previous!$D$4:$AY$138, MATCH('Staging Table'!$A24, Demand_previous!$B$4:$B$138, 0), MATCH(AL$4&amp;AL$5,Demand_previous!$D$2:$AY$2&amp;Demand_previous!$D$3:$AY$3, 0))/1000</f>
        <v>0.2201000000000003</v>
      </c>
      <c r="AM24" s="314">
        <f t="array" ref="AM24">INDEX(Demand_previous!$D$4:$AY$138, MATCH('Staging Table'!$A24, Demand_previous!$B$4:$B$138, 0), MATCH(AM$4&amp;AM$5,Demand_previous!$D$2:$AY$2&amp;Demand_previous!$D$3:$AY$3, 0))/1000</f>
        <v>0.54093509615384616</v>
      </c>
      <c r="AN24" s="314">
        <f t="array" ref="AN24">INDEX(Demand_previous!$D$4:$AY$138, MATCH('Staging Table'!$A24, Demand_previous!$B$4:$B$138, 0), MATCH(AN$4&amp;AN$5,Demand_previous!$D$2:$AY$2&amp;Demand_previous!$D$3:$AY$3, 0))/1000</f>
        <v>0.31276999999999999</v>
      </c>
      <c r="AO24" s="314">
        <f t="array" ref="AO24">INDEX(Demand_previous!$D$4:$AY$138, MATCH('Staging Table'!$A24, Demand_previous!$B$4:$B$138, 0), MATCH(AO$4&amp;AO$5,Demand_previous!$D$2:$AY$2&amp;Demand_previous!$D$3:$AY$3, 0))/1000</f>
        <v>0.18764663461538489</v>
      </c>
      <c r="AP24" s="314">
        <f t="array" ref="AP24">INDEX(Demand_previous!$D$4:$AY$138, MATCH('Staging Table'!$A24, Demand_previous!$B$4:$B$138, 0), MATCH(AP$4&amp;AP$5,Demand_previous!$D$2:$AY$2&amp;Demand_previous!$D$3:$AY$3, 0))/1000</f>
        <v>0.3454951923076921</v>
      </c>
      <c r="AQ24" s="314">
        <f t="array" ref="AQ24">INDEX(Demand_previous!$D$4:$AY$138, MATCH('Staging Table'!$A24, Demand_previous!$B$4:$B$138, 0), MATCH(AQ$4&amp;AQ$5,Demand_previous!$D$2:$AY$2&amp;Demand_previous!$D$3:$AY$3, 0))/1000</f>
        <v>0.14311999999999975</v>
      </c>
      <c r="AR24" s="314">
        <f t="array" ref="AR24">INDEX(Demand_previous!$D$4:$AY$138, MATCH('Staging Table'!$A24, Demand_previous!$B$4:$B$138, 0), MATCH(AR$4&amp;AR$5,Demand_previous!$D$2:$AY$2&amp;Demand_previous!$D$3:$AY$3, 0))/1000</f>
        <v>5.6103365384615578E-2</v>
      </c>
      <c r="AS24" s="314">
        <f t="array" ref="AS24">INDEX(Demand_previous!$D$4:$AY$138, MATCH('Staging Table'!$A24, Demand_previous!$B$4:$B$138, 0), MATCH(AS$4&amp;AS$5,Demand_previous!$D$2:$AY$2&amp;Demand_previous!$D$3:$AY$3, 0))/1000</f>
        <v>0.72543990384615342</v>
      </c>
      <c r="AT24" s="314">
        <f t="array" ref="AT24">INDEX(Demand_previous!$D$4:$AY$138, MATCH('Staging Table'!$A24, Demand_previous!$B$4:$B$138, 0), MATCH(AT$4&amp;AT$5,Demand_previous!$D$2:$AY$2&amp;Demand_previous!$D$3:$AY$3, 0))/1000</f>
        <v>0.48513701923076907</v>
      </c>
      <c r="AU24" s="314">
        <f t="array" ref="AU24">INDEX(Demand_previous!$D$4:$AY$138, MATCH('Staging Table'!$A24, Demand_previous!$B$4:$B$138, 0), MATCH(AU$4&amp;AU$5,Demand_previous!$D$2:$AY$2&amp;Demand_previous!$D$3:$AY$3, 0))/1000</f>
        <v>0.24578500000000009</v>
      </c>
      <c r="AV24" s="192">
        <f>$F24*(VLOOKUP(AV$4, Rates_previous!$G$6:$Q$29, 10, FALSE)+VLOOKUP(AV$4, Rates_previous!$G$6:$Q$29, 11, FALSE))</f>
        <v>1679.3182641852</v>
      </c>
      <c r="AW24" s="192">
        <f>$F24*(VLOOKUP(AW$4, Rates_previous!$G$6:$Q$29, 10, FALSE)+VLOOKUP(AW$4, Rates_previous!$G$6:$Q$29, 11, FALSE))</f>
        <v>2133.2580690242999</v>
      </c>
      <c r="AX24" s="192">
        <f>$F24*(VLOOKUP(AX$4, Rates_previous!$G$6:$Q$29, 10, FALSE)+VLOOKUP(AX$4, Rates_previous!$G$6:$Q$29, 11, FALSE))</f>
        <v>2107.4960912852002</v>
      </c>
      <c r="AY24" s="192">
        <f>$F24*(VLOOKUP(AY$4, Rates_previous!$G$6:$Q$29, 10, FALSE)+VLOOKUP(AY$4, Rates_previous!$G$6:$Q$29, 11, FALSE))</f>
        <v>1756.7263536852001</v>
      </c>
      <c r="AZ24" s="192">
        <f>$F24*(VLOOKUP(AZ$4, Rates_previous!$G$6:$Q$29, 10, FALSE)+VLOOKUP(AZ$4, Rates_previous!$G$6:$Q$29, 11, FALSE))</f>
        <v>1591.4118301599999</v>
      </c>
      <c r="BA24" s="192">
        <f>$F24*(VLOOKUP(BA$4, Rates_previous!$G$6:$Q$29, 10, FALSE)+VLOOKUP(BA$4, Rates_previous!$G$6:$Q$29, 11, FALSE))</f>
        <v>1770.1555182868999</v>
      </c>
      <c r="BB24" s="192">
        <f>$F24*(VLOOKUP(BB$4, Rates_previous!$G$6:$Q$29, 10, FALSE)+VLOOKUP(BB$4, Rates_previous!$G$6:$Q$29, 11, FALSE))</f>
        <v>1441.262533176</v>
      </c>
      <c r="BC24" s="192">
        <f>$F24*(VLOOKUP(BC$4, Rates_previous!$G$6:$Q$29, 10, FALSE)+VLOOKUP(BC$4, Rates_previous!$G$6:$Q$29, 11, FALSE))</f>
        <v>1943.7574420352003</v>
      </c>
      <c r="BD24" s="192">
        <f>$F24*(VLOOKUP(BD$4, Rates_previous!$G$6:$Q$29, 10, FALSE)+VLOOKUP(BD$4, Rates_previous!$G$6:$Q$29, 11, FALSE))</f>
        <v>2480.102298326</v>
      </c>
      <c r="BE24" s="192">
        <f>$F24*(VLOOKUP(BE$4, Rates_previous!$G$6:$Q$29, 10, FALSE)+VLOOKUP(BE$4, Rates_previous!$G$6:$Q$29, 11, FALSE))</f>
        <v>1944.4788409852001</v>
      </c>
      <c r="BF24" s="192">
        <f>$F24*(VLOOKUP(BF$4, Rates_previous!$G$6:$Q$29, 10, FALSE)+VLOOKUP(BF$4, Rates_previous!$G$6:$Q$29, 11, FALSE))</f>
        <v>1893.5352001352003</v>
      </c>
      <c r="BG24" s="192">
        <f>$F24*(VLOOKUP(BG$4, Rates_previous!$G$6:$Q$29, 10, FALSE)+VLOOKUP(BG$4, Rates_previous!$G$6:$Q$29, 11, FALSE))</f>
        <v>1699.9918028760003</v>
      </c>
      <c r="BH24" s="314">
        <f>IF($D24=0,IF(C24=0, MAX(BJ24 - (VLOOKUP($A24,TOCA_previous!$A$2:$AI$137,MATCH("RHWM 2020",TOCA_previous!$A$2:$AI$2,0),FALSE)*$F$2*TOCA_previous!C21),0),0), 0)</f>
        <v>0</v>
      </c>
      <c r="BI24" s="204">
        <f>MIN(VLOOKUP($A24,TOCA_previous!$A$2:$AI$137,MATCH("TRL - NLSL - Existing Resource "&amp;$F$1,TOCA_previous!$A$2:$AI$2,0),FALSE)*$F$2,(VLOOKUP($A24,TOCA_previous!$A$2:$AI$137,MATCH("RHWM 2020",TOCA_previous!$A$2:$AI$2,0),FALSE)*$F$2))</f>
        <v>22443.120000000003</v>
      </c>
      <c r="BJ24" s="418">
        <f>SUM(L24:AI24)+(F24*RT1SC!$C$3*$F$2)</f>
        <v>21967.330842329196</v>
      </c>
      <c r="BK24" s="417">
        <f>VLOOKUP($A24,TOCA_previous!$A$2:$AI$137,MATCH("Above RHWM Not Served with LS "&amp;$F$1,TOCA_previous!$A$2:$AI$2,0),FALSE)*$F$2</f>
        <v>0</v>
      </c>
      <c r="BL24" s="418">
        <f t="shared" si="8"/>
        <v>-475.78915767080616</v>
      </c>
      <c r="BM24" s="417">
        <f>(VLOOKUP($A24,TOCA_previous!$A$2:$AI$137,MATCH("RHWM 2020",TOCA_previous!$A$2:$AI$2,0),FALSE)*$F$2) - $BI24</f>
        <v>1756.7999999999956</v>
      </c>
      <c r="BN24" s="418">
        <f t="shared" si="9"/>
        <v>0</v>
      </c>
      <c r="BO24" s="417">
        <f t="shared" si="10"/>
        <v>475.78915767080616</v>
      </c>
      <c r="BP24" s="418">
        <f t="shared" si="11"/>
        <v>0</v>
      </c>
      <c r="BQ24" s="417">
        <f t="shared" si="2"/>
        <v>475.78915767080616</v>
      </c>
      <c r="BR24" s="120">
        <f>VLOOKUP($A24,TOCA_current!$A$2:$AI$137,MATCH(BR$4,TOCA_current!$A$2:$AI$2,0),FALSE)</f>
        <v>3.8430000000000002E-4</v>
      </c>
      <c r="BS24" s="120">
        <f>VLOOKUP($A24,TOCA_current!$A$2:$AI$137,MATCH(BS$4,TOCA_current!$A$2:$AI$2,0),FALSE)</f>
        <v>3.8430000000000002E-4</v>
      </c>
      <c r="BT24" s="201">
        <f t="shared" si="12"/>
        <v>0</v>
      </c>
      <c r="BU24" s="120">
        <f>VLOOKUP($A24,TOCA_current!A20:BG155,MATCH(BU$4,TOCA_current!$A$2:$BG$2,0),FALSE)</f>
        <v>0</v>
      </c>
      <c r="BV24" s="120">
        <f t="shared" si="3"/>
        <v>0</v>
      </c>
      <c r="BW24" s="120">
        <f t="shared" si="4"/>
        <v>0</v>
      </c>
      <c r="BX24" s="191">
        <f>VLOOKUP($A24,IRD!$A$4:$G$139, 7, FALSE)</f>
        <v>0</v>
      </c>
      <c r="BY24" s="192">
        <f t="array" ref="BY24">IF($BT24=0, INDEX(LS_current!$D$4:$AY$138, MATCH('Staging Table'!$A24, LS_current!$B$4:$B$138, 0), MATCH(BY$4&amp;BY$5, LS_current!$D$2:$AY$2&amp;LS_current!$D$3:$AY$3, 0)),SUM(VLOOKUP($A24, LS_current!$B$4:$AY$138, LS_current!D$148, FALSE), VLOOKUP($A24, LS_current!$B$4:$AY$138,LS_current!AB$148, FALSE))/2)</f>
        <v>-45.769698660992617</v>
      </c>
      <c r="BZ24" s="192">
        <f t="array" ref="BZ24">IF($BT24=0, INDEX(LS_current!$D$4:$AY$138, MATCH('Staging Table'!$A24, LS_current!$B$4:$B$138, 0), MATCH(BZ$4&amp;BZ$5, LS_current!$D$2:$AY$2&amp;LS_current!$D$3:$AY$3, 0)),SUM(VLOOKUP($A24, LS_current!$B$4:$AY$138, LS_current!E$148, FALSE), VLOOKUP($A24, LS_current!$B$4:$AY$138,LS_current!AC$148, FALSE))/2)</f>
        <v>0.2575437617716716</v>
      </c>
      <c r="CA24" s="192">
        <f t="array" ref="CA24">IF($BT24=0, INDEX(LS_current!$D$4:$AY$138, MATCH('Staging Table'!$A24, LS_current!$B$4:$B$138, 0), MATCH(CA$4&amp;CA$5, LS_current!$D$2:$AY$2&amp;LS_current!$D$3:$AY$3, 0)),SUM(VLOOKUP($A24, LS_current!$B$4:$AY$138, LS_current!F$148, FALSE), VLOOKUP($A24, LS_current!$B$4:$AY$138,LS_current!AD$148, FALSE))/2)</f>
        <v>-185.1253290444788</v>
      </c>
      <c r="CB24" s="192">
        <f t="array" ref="CB24">IF($BT24=0, INDEX(LS_current!$D$4:$AY$138, MATCH('Staging Table'!$A24, LS_current!$B$4:$B$138, 0), MATCH(CB$4&amp;CB$5, LS_current!$D$2:$AY$2&amp;LS_current!$D$3:$AY$3, 0)),SUM(VLOOKUP($A24, LS_current!$B$4:$AY$138, LS_current!G$148, FALSE), VLOOKUP($A24, LS_current!$B$4:$AY$138,LS_current!AE$148, FALSE))/2)</f>
        <v>-66.787799583490369</v>
      </c>
      <c r="CC24" s="192">
        <f t="array" ref="CC24">IF($BT24=0, INDEX(LS_current!$D$4:$AY$138, MATCH('Staging Table'!$A24, LS_current!$B$4:$B$138, 0), MATCH(CC$4&amp;CC$5, LS_current!$D$2:$AY$2&amp;LS_current!$D$3:$AY$3, 0)),SUM(VLOOKUP($A24, LS_current!$B$4:$AY$138, LS_current!H$148, FALSE), VLOOKUP($A24, LS_current!$B$4:$AY$138,LS_current!AF$148, FALSE))/2)</f>
        <v>228.62570767875241</v>
      </c>
      <c r="CD24" s="192">
        <f t="array" ref="CD24">IF($BT24=0, INDEX(LS_current!$D$4:$AY$138, MATCH('Staging Table'!$A24, LS_current!$B$4:$B$138, 0), MATCH(CD$4&amp;CD$5, LS_current!$D$2:$AY$2&amp;LS_current!$D$3:$AY$3, 0)),SUM(VLOOKUP($A24, LS_current!$B$4:$AY$138, LS_current!I$148, FALSE), VLOOKUP($A24, LS_current!$B$4:$AY$138,LS_current!AG$148, FALSE))/2)</f>
        <v>81.959593300914207</v>
      </c>
      <c r="CE24" s="192">
        <f t="array" ref="CE24">IF($BT24=0, INDEX(LS_current!$D$4:$AY$138, MATCH('Staging Table'!$A24, LS_current!$B$4:$B$138, 0), MATCH(CE$4&amp;CE$5, LS_current!$D$2:$AY$2&amp;LS_current!$D$3:$AY$3, 0)),SUM(VLOOKUP($A24, LS_current!$B$4:$AY$138, LS_current!J$148, FALSE), VLOOKUP($A24, LS_current!$B$4:$AY$138,LS_current!AH$148, FALSE))/2)</f>
        <v>457.40891160467936</v>
      </c>
      <c r="CF24" s="192">
        <f t="array" ref="CF24">IF($BT24=0, INDEX(LS_current!$D$4:$AY$138, MATCH('Staging Table'!$A24, LS_current!$B$4:$B$138, 0), MATCH(CF$4&amp;CF$5, LS_current!$D$2:$AY$2&amp;LS_current!$D$3:$AY$3, 0)),SUM(VLOOKUP($A24, LS_current!$B$4:$AY$138, LS_current!K$148, FALSE), VLOOKUP($A24, LS_current!$B$4:$AY$138,LS_current!AI$148, FALSE))/2)</f>
        <v>229.85874997848055</v>
      </c>
      <c r="CG24" s="192">
        <f t="array" ref="CG24">IF($BT24=0, INDEX(LS_current!$D$4:$AY$138, MATCH('Staging Table'!$A24, LS_current!$B$4:$B$138, 0), MATCH(CG$4&amp;CG$5, LS_current!$D$2:$AY$2&amp;LS_current!$D$3:$AY$3, 0)),SUM(VLOOKUP($A24, LS_current!$B$4:$AY$138, LS_current!L$148, FALSE), VLOOKUP($A24, LS_current!$B$4:$AY$138,LS_current!AJ$148, FALSE))/2)</f>
        <v>342.25898624490935</v>
      </c>
      <c r="CH24" s="192">
        <f t="array" ref="CH24">IF($BT24=0, INDEX(LS_current!$D$4:$AY$138, MATCH('Staging Table'!$A24, LS_current!$B$4:$B$138, 0), MATCH(CH$4&amp;CH$5, LS_current!$D$2:$AY$2&amp;LS_current!$D$3:$AY$3, 0)),SUM(VLOOKUP($A24, LS_current!$B$4:$AY$138, LS_current!M$148, FALSE), VLOOKUP($A24, LS_current!$B$4:$AY$138,LS_current!AK$148, FALSE))/2)</f>
        <v>127.95888695473741</v>
      </c>
      <c r="CI24" s="192">
        <f t="array" ref="CI24">IF($BT24=0, INDEX(LS_current!$D$4:$AY$138, MATCH('Staging Table'!$A24, LS_current!$B$4:$B$138, 0), MATCH(CI$4&amp;CI$5, LS_current!$D$2:$AY$2&amp;LS_current!$D$3:$AY$3, 0)),SUM(VLOOKUP($A24, LS_current!$B$4:$AY$138, LS_current!N$148, FALSE), VLOOKUP($A24, LS_current!$B$4:$AY$138,LS_current!AL$148, FALSE))/2)</f>
        <v>85.784175720990561</v>
      </c>
      <c r="CJ24" s="192">
        <f t="array" ref="CJ24">IF($BT24=0, INDEX(LS_current!$D$4:$AY$138, MATCH('Staging Table'!$A24, LS_current!$B$4:$B$138, 0), MATCH(CJ$4&amp;CJ$5, LS_current!$D$2:$AY$2&amp;LS_current!$D$3:$AY$3, 0)),SUM(VLOOKUP($A24, LS_current!$B$4:$AY$138, LS_current!O$148, FALSE), VLOOKUP($A24, LS_current!$B$4:$AY$138,LS_current!AM$148, FALSE))/2)</f>
        <v>57.095633201362716</v>
      </c>
      <c r="CK24" s="192">
        <f t="array" ref="CK24">IF($BT24=0, INDEX(LS_current!$D$4:$AY$138, MATCH('Staging Table'!$A24, LS_current!$B$4:$B$138, 0), MATCH(CK$4&amp;CK$5, LS_current!$D$2:$AY$2&amp;LS_current!$D$3:$AY$3, 0)),SUM(VLOOKUP($A24, LS_current!$B$4:$AY$138, LS_current!P$148, FALSE), VLOOKUP($A24, LS_current!$B$4:$AY$138,LS_current!AN$148, FALSE))/2)</f>
        <v>148.93337102583064</v>
      </c>
      <c r="CL24" s="192">
        <f t="array" ref="CL24">IF($BT24=0, INDEX(LS_current!$D$4:$AY$138, MATCH('Staging Table'!$A24, LS_current!$B$4:$B$138, 0), MATCH(CL$4&amp;CL$5, LS_current!$D$2:$AY$2&amp;LS_current!$D$3:$AY$3, 0)),SUM(VLOOKUP($A24, LS_current!$B$4:$AY$138, LS_current!Q$148, FALSE), VLOOKUP($A24, LS_current!$B$4:$AY$138,LS_current!AO$148, FALSE))/2)</f>
        <v>82.051872700485319</v>
      </c>
      <c r="CM24" s="192">
        <f t="array" ref="CM24">IF($BT24=0, INDEX(LS_current!$D$4:$AY$138, MATCH('Staging Table'!$A24, LS_current!$B$4:$B$138, 0), MATCH(CM$4&amp;CM$5, LS_current!$D$2:$AY$2&amp;LS_current!$D$3:$AY$3, 0)),SUM(VLOOKUP($A24, LS_current!$B$4:$AY$138, LS_current!R$148, FALSE), VLOOKUP($A24, LS_current!$B$4:$AY$138,LS_current!AP$148, FALSE))/2)</f>
        <v>-448.24922776796689</v>
      </c>
      <c r="CN24" s="192">
        <f t="array" ref="CN24">IF($BT24=0, INDEX(LS_current!$D$4:$AY$138, MATCH('Staging Table'!$A24, LS_current!$B$4:$B$138, 0), MATCH(CN$4&amp;CN$5, LS_current!$D$2:$AY$2&amp;LS_current!$D$3:$AY$3, 0)),SUM(VLOOKUP($A24, LS_current!$B$4:$AY$138, LS_current!S$148, FALSE), VLOOKUP($A24, LS_current!$B$4:$AY$138,LS_current!AQ$148, FALSE))/2)</f>
        <v>-87.289515419121585</v>
      </c>
      <c r="CO24" s="192">
        <f t="array" ref="CO24">IF($BT24=0, INDEX(LS_current!$D$4:$AY$138, MATCH('Staging Table'!$A24, LS_current!$B$4:$B$138, 0), MATCH(CO$4&amp;CO$5, LS_current!$D$2:$AY$2&amp;LS_current!$D$3:$AY$3, 0)),SUM(VLOOKUP($A24, LS_current!$B$4:$AY$138, LS_current!T$148, FALSE), VLOOKUP($A24, LS_current!$B$4:$AY$138,LS_current!AR$148, FALSE))/2)</f>
        <v>-583.98711843554042</v>
      </c>
      <c r="CP24" s="192">
        <f t="array" ref="CP24">IF($BT24=0, INDEX(LS_current!$D$4:$AY$138, MATCH('Staging Table'!$A24, LS_current!$B$4:$B$138, 0), MATCH(CP$4&amp;CP$5, LS_current!$D$2:$AY$2&amp;LS_current!$D$3:$AY$3, 0)),SUM(VLOOKUP($A24, LS_current!$B$4:$AY$138, LS_current!U$148, FALSE), VLOOKUP($A24, LS_current!$B$4:$AY$138,LS_current!AS$148, FALSE))/2)</f>
        <v>-72.096773697747835</v>
      </c>
      <c r="CQ24" s="192">
        <f t="array" ref="CQ24">IF($BT24=0, INDEX(LS_current!$D$4:$AY$138, MATCH('Staging Table'!$A24, LS_current!$B$4:$B$138, 0), MATCH(CQ$4&amp;CQ$5, LS_current!$D$2:$AY$2&amp;LS_current!$D$3:$AY$3, 0)),SUM(VLOOKUP($A24, LS_current!$B$4:$AY$138, LS_current!V$148, FALSE), VLOOKUP($A24, LS_current!$B$4:$AY$138,LS_current!AT$148, FALSE))/2)</f>
        <v>-309.36489686470463</v>
      </c>
      <c r="CR24" s="192">
        <f t="array" ref="CR24">IF($BT24=0, INDEX(LS_current!$D$4:$AY$138, MATCH('Staging Table'!$A24, LS_current!$B$4:$B$138, 0), MATCH(CR$4&amp;CR$5, LS_current!$D$2:$AY$2&amp;LS_current!$D$3:$AY$3, 0)),SUM(VLOOKUP($A24, LS_current!$B$4:$AY$138, LS_current!W$148, FALSE), VLOOKUP($A24, LS_current!$B$4:$AY$138,LS_current!AU$148, FALSE))/2)</f>
        <v>-37.843633134614606</v>
      </c>
      <c r="CS24" s="192">
        <f t="array" ref="CS24">IF($BT24=0, INDEX(LS_current!$D$4:$AY$138, MATCH('Staging Table'!$A24, LS_current!$B$4:$B$138, 0), MATCH(CS$4&amp;CS$5, LS_current!$D$2:$AY$2&amp;LS_current!$D$3:$AY$3, 0)),SUM(VLOOKUP($A24, LS_current!$B$4:$AY$138, LS_current!X$148, FALSE), VLOOKUP($A24, LS_current!$B$4:$AY$138,LS_current!AV$148, FALSE))/2)</f>
        <v>-268.89609276479632</v>
      </c>
      <c r="CT24" s="192">
        <f t="array" ref="CT24">IF($BT24=0, INDEX(LS_current!$D$4:$AY$138, MATCH('Staging Table'!$A24, LS_current!$B$4:$B$138, 0), MATCH(CT$4&amp;CT$5, LS_current!$D$2:$AY$2&amp;LS_current!$D$3:$AY$3, 0)),SUM(VLOOKUP($A24, LS_current!$B$4:$AY$138, LS_current!Y$148, FALSE), VLOOKUP($A24, LS_current!$B$4:$AY$138,LS_current!AW$148, FALSE))/2)</f>
        <v>-57.887197864490759</v>
      </c>
      <c r="CU24" s="192">
        <f t="array" ref="CU24">IF($BT24=0, INDEX(LS_current!$D$4:$AY$138, MATCH('Staging Table'!$A24, LS_current!$B$4:$B$138, 0), MATCH(CU$4&amp;CU$5, LS_current!$D$2:$AY$2&amp;LS_current!$D$3:$AY$3, 0)),SUM(VLOOKUP($A24, LS_current!$B$4:$AY$138, LS_current!Z$148, FALSE), VLOOKUP($A24, LS_current!$B$4:$AY$138,LS_current!AX$148, FALSE))/2)</f>
        <v>-287.09294310984626</v>
      </c>
      <c r="CV24" s="192">
        <f t="array" ref="CV24">IF($BT24=0, INDEX(LS_current!$D$4:$AY$138, MATCH('Staging Table'!$A24, LS_current!$B$4:$B$138, 0), MATCH(CV$4&amp;CV$5, LS_current!$D$2:$AY$2&amp;LS_current!$D$3:$AY$3, 0)),SUM(VLOOKUP($A24, LS_current!$B$4:$AY$138, LS_current!AA$148, FALSE), VLOOKUP($A24, LS_current!$B$4:$AY$138,LS_current!AY$148, FALSE))/2)</f>
        <v>-102.20905577281076</v>
      </c>
      <c r="CW24" s="194">
        <f t="array" ref="CW24">INDEX(Demand_current!$D$4:$AY$138, MATCH($A24, Demand_current!$B$4:$B$138, 0), MATCH(CW$4&amp;CW$5,Demand_current!$D$2:$AY$2&amp;Demand_current!$D$3:$AY$3, 0))/1000</f>
        <v>0</v>
      </c>
      <c r="CX24" s="194">
        <f t="array" ref="CX24">INDEX(Demand_current!$D$4:$AY$138, MATCH($A24, Demand_current!$B$4:$B$138, 0), MATCH(CX$4&amp;CX$5,Demand_current!$D$2:$AY$2&amp;Demand_current!$D$3:$AY$3, 0))/1000</f>
        <v>0.15973250000000005</v>
      </c>
      <c r="CY24" s="194">
        <f t="array" ref="CY24">INDEX(Demand_current!$D$4:$AY$138, MATCH($A24, Demand_current!$B$4:$B$138, 0), MATCH(CY$4&amp;CY$5,Demand_current!$D$2:$AY$2&amp;Demand_current!$D$3:$AY$3, 0))/1000</f>
        <v>0.36121153846153875</v>
      </c>
      <c r="CZ24" s="194">
        <f t="array" ref="CZ24">INDEX(Demand_current!$D$4:$AY$138, MATCH($A24, Demand_current!$B$4:$B$138, 0), MATCH(CZ$4&amp;CZ$5,Demand_current!$D$2:$AY$2&amp;Demand_current!$D$3:$AY$3, 0))/1000</f>
        <v>0.39897249999999995</v>
      </c>
      <c r="DA24" s="194">
        <f t="array" ref="DA24">INDEX(Demand_current!$D$4:$AY$138, MATCH($A24, Demand_current!$B$4:$B$138, 0), MATCH(DA$4&amp;DA$5,Demand_current!$D$2:$AY$2&amp;Demand_current!$D$3:$AY$3, 0))/1000</f>
        <v>0.18317708333333327</v>
      </c>
      <c r="DB24" s="194">
        <f t="array" ref="DB24">INDEX(Demand_current!$D$4:$AY$138, MATCH($A24, Demand_current!$B$4:$B$138, 0), MATCH(DB$4&amp;DB$5,Demand_current!$D$2:$AY$2&amp;Demand_current!$D$3:$AY$3, 0))/1000</f>
        <v>0.29662268518518542</v>
      </c>
      <c r="DC24" s="194">
        <f t="array" ref="DC24">INDEX(Demand_current!$D$4:$AY$138, MATCH($A24, Demand_current!$B$4:$B$138, 0), MATCH(DC$4&amp;DC$5,Demand_current!$D$2:$AY$2&amp;Demand_current!$D$3:$AY$3, 0))/1000</f>
        <v>0.3454951923076921</v>
      </c>
      <c r="DD24" s="194">
        <f t="array" ref="DD24">INDEX(Demand_current!$D$4:$AY$138, MATCH($A24, Demand_current!$B$4:$B$138, 0), MATCH(DD$4&amp;DD$5,Demand_current!$D$2:$AY$2&amp;Demand_current!$D$3:$AY$3, 0))/1000</f>
        <v>0.14311999999999975</v>
      </c>
      <c r="DE24" s="194">
        <f t="array" ref="DE24">INDEX(Demand_current!$D$4:$AY$138, MATCH($A24, Demand_current!$B$4:$B$138, 0), MATCH(DE$4&amp;DE$5,Demand_current!$D$2:$AY$2&amp;Demand_current!$D$3:$AY$3, 0))/1000</f>
        <v>5.6103365384615578E-2</v>
      </c>
      <c r="DF24" s="194">
        <f t="array" ref="DF24">INDEX(Demand_current!$D$4:$AY$138, MATCH($A24, Demand_current!$B$4:$B$138, 0), MATCH(DF$4&amp;DF$5,Demand_current!$D$2:$AY$2&amp;Demand_current!$D$3:$AY$3, 0))/1000</f>
        <v>0.62565749999999976</v>
      </c>
      <c r="DG24" s="194">
        <f t="array" ref="DG24">INDEX(Demand_current!$D$4:$AY$138, MATCH($A24, Demand_current!$B$4:$B$138, 0), MATCH(DG$4&amp;DG$5,Demand_current!$D$2:$AY$2&amp;Demand_current!$D$3:$AY$3, 0))/1000</f>
        <v>0.57839120370370334</v>
      </c>
      <c r="DH24" s="194">
        <f t="array" ref="DH24">INDEX(Demand_current!$D$4:$AY$138, MATCH($A24, Demand_current!$B$4:$B$138, 0), MATCH(DH$4&amp;DH$5,Demand_current!$D$2:$AY$2&amp;Demand_current!$D$3:$AY$3, 0))/1000</f>
        <v>0.24578500000000009</v>
      </c>
      <c r="DI24" s="192">
        <f>$BS24*(VLOOKUP(DI$4, Rates_current!$G$6:$Q$29, 10, FALSE)+VLOOKUP(DI$4, Rates_current!$G$6:$Q$29, 11, FALSE))</f>
        <v>1750.073154899221</v>
      </c>
      <c r="DJ24" s="192">
        <f>$BS24*(VLOOKUP(DJ$4, Rates_current!$G$6:$Q$29, 10, FALSE)+VLOOKUP(DJ$4, Rates_current!$G$6:$Q$29, 11, FALSE))</f>
        <v>2215.6561286279693</v>
      </c>
      <c r="DK24" s="192">
        <f>$BS24*(VLOOKUP(DK$4, Rates_current!$G$6:$Q$29, 10, FALSE)+VLOOKUP(DK$4, Rates_current!$G$6:$Q$29, 11, FALSE))</f>
        <v>2168.6846990203335</v>
      </c>
      <c r="DL24" s="192">
        <f>$BS24*(VLOOKUP(DL$4, Rates_current!$G$6:$Q$29, 10, FALSE)+VLOOKUP(DL$4, Rates_current!$G$6:$Q$29, 11, FALSE))</f>
        <v>1791.2413384168401</v>
      </c>
      <c r="DM24" s="192">
        <f>$BS24*(VLOOKUP(DM$4, Rates_current!$G$6:$Q$29, 10, FALSE)+VLOOKUP(DM$4, Rates_current!$G$6:$Q$29, 11, FALSE))</f>
        <v>1552.5081268003535</v>
      </c>
      <c r="DN24" s="192">
        <f>$BS24*(VLOOKUP(DN$4, Rates_current!$G$6:$Q$29, 10, FALSE)+VLOOKUP(DN$4, Rates_current!$G$6:$Q$29, 11, FALSE))</f>
        <v>1853.3811910776467</v>
      </c>
      <c r="DO24" s="192">
        <f>$BS24*(VLOOKUP(DO$4, Rates_current!$G$6:$Q$29, 10, FALSE)+VLOOKUP(DO$4, Rates_current!$G$6:$Q$29, 11, FALSE))</f>
        <v>1438.9037562736842</v>
      </c>
      <c r="DP24" s="192">
        <f>$BS24*(VLOOKUP(DP$4, Rates_current!$G$6:$Q$29, 10, FALSE)+VLOOKUP(DP$4, Rates_current!$G$6:$Q$29, 11, FALSE))</f>
        <v>1993.6117431870885</v>
      </c>
      <c r="DQ24" s="192">
        <f>$BS24*(VLOOKUP(DQ$4, Rates_current!$G$6:$Q$29, 10, FALSE)+VLOOKUP(DQ$4, Rates_current!$G$6:$Q$29, 11, FALSE))</f>
        <v>2130.215892133288</v>
      </c>
      <c r="DR24" s="192">
        <f>$BS24*(VLOOKUP(DR$4, Rates_current!$G$6:$Q$29, 10, FALSE)+VLOOKUP(DR$4, Rates_current!$G$6:$Q$29, 11, FALSE))</f>
        <v>2022.5435299993194</v>
      </c>
      <c r="DS24" s="192">
        <f>$BS24*(VLOOKUP(DS$4, Rates_current!$G$6:$Q$29, 10, FALSE)+VLOOKUP(DS$4, Rates_current!$G$6:$Q$29, 11, FALSE))</f>
        <v>1954.6322906292871</v>
      </c>
      <c r="DT24" s="192">
        <f>$BS24*(VLOOKUP(DT$4, Rates_current!$G$6:$Q$29, 10, FALSE)+VLOOKUP(DT$4, Rates_current!$G$6:$Q$29, 11, FALSE))</f>
        <v>1806.2839988826572</v>
      </c>
      <c r="DU24" s="418">
        <f>IF(D24=0,IF(C24=0,MAX(0,DW24 - (VLOOKUP($A24,TOCA_current!$A$2:$AI$137,MATCH("RHWM 2022",TOCA_current!$A$2:$AI$2,0),FALSE)*$BS$2)), 0),0)</f>
        <v>0</v>
      </c>
      <c r="DV24" s="419">
        <f>MIN(VLOOKUP($A24,TOCA_current!$A$2:$AI$137,MATCH("TRL - NLSL - Existing Resource "&amp;$BS$1,TOCA_current!$A$2:$AI$2,0),FALSE)*$BS$2, VLOOKUP($A24,TOCA_current!$A$2:$AI$137,MATCH("RHWM 2022",TOCA_current!$A$2:$AI$2,0),FALSE)*$BS$2)</f>
        <v>22679.64</v>
      </c>
      <c r="DW24" s="419">
        <f>SUM(BY24:CV24)+(BS24*RT1SC!$C$4*$BS$2)</f>
        <v>21967.331160064314</v>
      </c>
      <c r="DX24" s="419">
        <f>VLOOKUP($A24,TOCA_current!$A$2:$AI$137,MATCH("Above RHWM Not Served with LS "&amp;$BS$1,TOCA_current!$A$2:$AI$2,0),FALSE)*$BS$2</f>
        <v>0</v>
      </c>
      <c r="DY24" s="419">
        <f t="shared" si="13"/>
        <v>-712.30883993568568</v>
      </c>
      <c r="DZ24" s="419">
        <f>(VLOOKUP($A24,TOCA_current!$A$2:$AI$137,MATCH("RHWM 2022",TOCA_current!$A$2:$AI$2,0),FALSE)*$BS$2) - $DV24</f>
        <v>464.27999999999884</v>
      </c>
      <c r="EA24" s="419">
        <f t="shared" si="14"/>
        <v>0</v>
      </c>
      <c r="EB24" s="419">
        <f t="shared" si="15"/>
        <v>712.30883993568568</v>
      </c>
      <c r="EC24" s="419">
        <f t="shared" si="16"/>
        <v>0</v>
      </c>
      <c r="ED24" s="419">
        <f t="shared" si="17"/>
        <v>712.30883993568568</v>
      </c>
    </row>
    <row r="25" spans="1:134">
      <c r="A25" s="135">
        <v>10070</v>
      </c>
      <c r="B25" s="136" t="s">
        <v>26</v>
      </c>
      <c r="C25" s="244">
        <f>VLOOKUP(A25, TOCA_current!$A$3:$D$137, 4, FALSE)</f>
        <v>0</v>
      </c>
      <c r="D25" s="203">
        <v>0</v>
      </c>
      <c r="E25" s="119">
        <f>VLOOKUP($A25,TOCA_previous!$A$2:$AI$137,MATCH(E$4,TOCA_previous!$A$2:$AI$2,0),FALSE)</f>
        <v>5.0800000000000002E-5</v>
      </c>
      <c r="F25" s="120">
        <f>VLOOKUP($A25,TOCA_previous!$A$2:$AI$137,MATCH(F$4,TOCA_previous!$A$2:$AI$2,0),FALSE)</f>
        <v>5.0800000000000002E-5</v>
      </c>
      <c r="G25" s="120">
        <f t="shared" si="5"/>
        <v>0</v>
      </c>
      <c r="H25" s="120">
        <f>VLOOKUP($A25,TOCA_previous!$A$2:$AI$137,MATCH(H$4,TOCA_previous!$A$2:$AI$2,0),FALSE)</f>
        <v>0</v>
      </c>
      <c r="I25" s="120">
        <f t="shared" si="6"/>
        <v>0</v>
      </c>
      <c r="J25" s="120">
        <f t="shared" si="7"/>
        <v>0</v>
      </c>
      <c r="K25" s="191">
        <f>VLOOKUP(A25, IRD!$A$5:$C$139, 3, FALSE)</f>
        <v>0</v>
      </c>
      <c r="L25" s="192">
        <f t="array" ref="L25">IF($G25=0, INDEX(LS_previous!$D$4:$AY$138, MATCH('Staging Table'!$A25, LS_previous!$B$4:$B$138, 0), MATCH(L$4&amp;L$5, LS_previous!$D$2:$AY$2&amp;LS_previous!$D$3:$AY$3, 0)),SUM(VLOOKUP($A25, LS_previous!$B$4:$AY$138, LS_previous!D$149, FALSE), VLOOKUP('Staging Table'!$A25, LS_previous!$B$4:$AY$138,LS_previous!AB$149, FALSE))/2)</f>
        <v>2.7084782895999808</v>
      </c>
      <c r="M25" s="192">
        <f t="array" ref="M25">IF($G25=0, INDEX(LS_previous!$D$4:$AY$138, MATCH('Staging Table'!$A25, LS_previous!$B$4:$B$138, 0), MATCH(M$4&amp;M$5, LS_previous!$D$2:$AY$2&amp;LS_previous!$D$3:$AY$3, 0)),SUM(VLOOKUP($A25, LS_previous!$B$4:$AY$138, LS_previous!E$149, FALSE), VLOOKUP('Staging Table'!$A25, LS_previous!$B$4:$AY$138,LS_previous!AC$149, FALSE))/2)</f>
        <v>16.119808153600005</v>
      </c>
      <c r="N25" s="192">
        <f t="array" ref="N25">IF($G25=0, INDEX(LS_previous!$D$4:$AY$138, MATCH('Staging Table'!$A25, LS_previous!$B$4:$B$138, 0), MATCH(N$4&amp;N$5, LS_previous!$D$2:$AY$2&amp;LS_previous!$D$3:$AY$3, 0)),SUM(VLOOKUP($A25, LS_previous!$B$4:$AY$138, LS_previous!F$149, FALSE), VLOOKUP('Staging Table'!$A25, LS_previous!$B$4:$AY$138,LS_previous!AD$149, FALSE))/2)</f>
        <v>-18.060270422400009</v>
      </c>
      <c r="O25" s="192">
        <f t="array" ref="O25">IF($G25=0, INDEX(LS_previous!$D$4:$AY$138, MATCH('Staging Table'!$A25, LS_previous!$B$4:$B$138, 0), MATCH(O$4&amp;O$5, LS_previous!$D$2:$AY$2&amp;LS_previous!$D$3:$AY$3, 0)),SUM(VLOOKUP($A25, LS_previous!$B$4:$AY$138, LS_previous!G$149, FALSE), VLOOKUP('Staging Table'!$A25, LS_previous!$B$4:$AY$138,LS_previous!AE$149, FALSE))/2)</f>
        <v>2.8872618811999899</v>
      </c>
      <c r="P25" s="192">
        <f t="array" ref="P25">IF($G25=0, INDEX(LS_previous!$D$4:$AY$138, MATCH('Staging Table'!$A25, LS_previous!$B$4:$B$138, 0), MATCH(P$4&amp;P$5, LS_previous!$D$2:$AY$2&amp;LS_previous!$D$3:$AY$3, 0)),SUM(VLOOKUP($A25, LS_previous!$B$4:$AY$138, LS_previous!H$149, FALSE), VLOOKUP('Staging Table'!$A25, LS_previous!$B$4:$AY$138,LS_previous!AF$149, FALSE))/2)</f>
        <v>35.044401062399999</v>
      </c>
      <c r="Q25" s="192">
        <f t="array" ref="Q25">IF($G25=0, INDEX(LS_previous!$D$4:$AY$138, MATCH('Staging Table'!$A25, LS_previous!$B$4:$B$138, 0), MATCH(Q$4&amp;Q$5, LS_previous!$D$2:$AY$2&amp;LS_previous!$D$3:$AY$3, 0)),SUM(VLOOKUP($A25, LS_previous!$B$4:$AY$138, LS_previous!I$149, FALSE), VLOOKUP('Staging Table'!$A25, LS_previous!$B$4:$AY$138,LS_previous!AG$149, FALSE))/2)</f>
        <v>41.208908980799976</v>
      </c>
      <c r="R25" s="192">
        <f t="array" ref="R25">IF($G25=0, INDEX(LS_previous!$D$4:$AY$138, MATCH('Staging Table'!$A25, LS_previous!$B$4:$B$138, 0), MATCH(R$4&amp;R$5, LS_previous!$D$2:$AY$2&amp;LS_previous!$D$3:$AY$3, 0)),SUM(VLOOKUP($A25, LS_previous!$B$4:$AY$138, LS_previous!J$149, FALSE), VLOOKUP('Staging Table'!$A25, LS_previous!$B$4:$AY$138,LS_previous!AH$149, FALSE))/2)</f>
        <v>59.445501862399965</v>
      </c>
      <c r="S25" s="192">
        <f t="array" ref="S25">IF($G25=0, INDEX(LS_previous!$D$4:$AY$138, MATCH('Staging Table'!$A25, LS_previous!$B$4:$B$138, 0), MATCH(S$4&amp;S$5, LS_previous!$D$2:$AY$2&amp;LS_previous!$D$3:$AY$3, 0)),SUM(VLOOKUP($A25, LS_previous!$B$4:$AY$138, LS_previous!K$149, FALSE), VLOOKUP('Staging Table'!$A25, LS_previous!$B$4:$AY$138,LS_previous!AI$149, FALSE))/2)</f>
        <v>70.741766580800004</v>
      </c>
      <c r="T25" s="192">
        <f t="array" ref="T25">IF($G25=0, INDEX(LS_previous!$D$4:$AY$138, MATCH('Staging Table'!$A25, LS_previous!$B$4:$B$138, 0), MATCH(T$4&amp;T$5, LS_previous!$D$2:$AY$2&amp;LS_previous!$D$3:$AY$3, 0)),SUM(VLOOKUP($A25, LS_previous!$B$4:$AY$138, LS_previous!L$149, FALSE), VLOOKUP('Staging Table'!$A25, LS_previous!$B$4:$AY$138,LS_previous!AJ$149, FALSE))/2)</f>
        <v>41.66866610080001</v>
      </c>
      <c r="U25" s="192">
        <f t="array" ref="U25">IF($G25=0, INDEX(LS_previous!$D$4:$AY$138, MATCH('Staging Table'!$A25, LS_previous!$B$4:$B$138, 0), MATCH(U$4&amp;U$5, LS_previous!$D$2:$AY$2&amp;LS_previous!$D$3:$AY$3, 0)),SUM(VLOOKUP($A25, LS_previous!$B$4:$AY$138, LS_previous!M$149, FALSE), VLOOKUP('Staging Table'!$A25, LS_previous!$B$4:$AY$138,LS_previous!AK$149, FALSE))/2)</f>
        <v>36.784000459200001</v>
      </c>
      <c r="V25" s="192">
        <f t="array" ref="V25">IF($G25=0, INDEX(LS_previous!$D$4:$AY$138, MATCH('Staging Table'!$A25, LS_previous!$B$4:$B$138, 0), MATCH(V$4&amp;V$5, LS_previous!$D$2:$AY$2&amp;LS_previous!$D$3:$AY$3, 0)),SUM(VLOOKUP($A25, LS_previous!$B$4:$AY$138, LS_previous!N$149, FALSE), VLOOKUP('Staging Table'!$A25, LS_previous!$B$4:$AY$138,LS_previous!AL$149, FALSE))/2)</f>
        <v>17.925634147200014</v>
      </c>
      <c r="W25" s="192">
        <f t="array" ref="W25">IF($G25=0, INDEX(LS_previous!$D$4:$AY$138, MATCH('Staging Table'!$A25, LS_previous!$B$4:$B$138, 0), MATCH(W$4&amp;W$5, LS_previous!$D$2:$AY$2&amp;LS_previous!$D$3:$AY$3, 0)),SUM(VLOOKUP($A25, LS_previous!$B$4:$AY$138, LS_previous!O$149, FALSE), VLOOKUP('Staging Table'!$A25, LS_previous!$B$4:$AY$138,LS_previous!AM$149, FALSE))/2)</f>
        <v>21.35690825319999</v>
      </c>
      <c r="X25" s="192">
        <f t="array" ref="X25">IF($G25=0, INDEX(LS_previous!$D$4:$AY$138, MATCH('Staging Table'!$A25, LS_previous!$B$4:$B$138, 0), MATCH(X$4&amp;X$5, LS_previous!$D$2:$AY$2&amp;LS_previous!$D$3:$AY$3, 0)),SUM(VLOOKUP($A25, LS_previous!$B$4:$AY$138, LS_previous!P$149, FALSE), VLOOKUP('Staging Table'!$A25, LS_previous!$B$4:$AY$138,LS_previous!AN$149, FALSE))/2)</f>
        <v>29.937895004799998</v>
      </c>
      <c r="Y25" s="192">
        <f t="array" ref="Y25">IF($G25=0, INDEX(LS_previous!$D$4:$AY$138, MATCH('Staging Table'!$A25, LS_previous!$B$4:$B$138, 0), MATCH(Y$4&amp;Y$5, LS_previous!$D$2:$AY$2&amp;LS_previous!$D$3:$AY$3, 0)),SUM(VLOOKUP($A25, LS_previous!$B$4:$AY$138, LS_previous!Q$149, FALSE), VLOOKUP('Staging Table'!$A25, LS_previous!$B$4:$AY$138,LS_previous!AO$149, FALSE))/2)</f>
        <v>21.017958211199996</v>
      </c>
      <c r="Z25" s="192">
        <f t="array" ref="Z25">IF($G25=0, INDEX(LS_previous!$D$4:$AY$138, MATCH('Staging Table'!$A25, LS_previous!$B$4:$B$138, 0), MATCH(Z$4&amp;Z$5, LS_previous!$D$2:$AY$2&amp;LS_previous!$D$3:$AY$3, 0)),SUM(VLOOKUP($A25, LS_previous!$B$4:$AY$138, LS_previous!R$149, FALSE), VLOOKUP('Staging Table'!$A25, LS_previous!$B$4:$AY$138,LS_previous!AP$149, FALSE))/2)</f>
        <v>-37.744824680000022</v>
      </c>
      <c r="AA25" s="192">
        <f t="array" ref="AA25">IF($G25=0, INDEX(LS_previous!$D$4:$AY$138, MATCH('Staging Table'!$A25, LS_previous!$B$4:$B$138, 0), MATCH(AA$4&amp;AA$5, LS_previous!$D$2:$AY$2&amp;LS_previous!$D$3:$AY$3, 0)),SUM(VLOOKUP($A25, LS_previous!$B$4:$AY$138, LS_previous!S$149, FALSE), VLOOKUP('Staging Table'!$A25, LS_previous!$B$4:$AY$138,LS_previous!AQ$149, FALSE))/2)</f>
        <v>1.3884217231999969</v>
      </c>
      <c r="AB25" s="192">
        <f t="array" ref="AB25">IF($G25=0, INDEX(LS_previous!$D$4:$AY$138, MATCH('Staging Table'!$A25, LS_previous!$B$4:$B$138, 0), MATCH(AB$4&amp;AB$5, LS_previous!$D$2:$AY$2&amp;LS_previous!$D$3:$AY$3, 0)),SUM(VLOOKUP($A25, LS_previous!$B$4:$AY$138, LS_previous!T$149, FALSE), VLOOKUP('Staging Table'!$A25, LS_previous!$B$4:$AY$138,LS_previous!AR$149, FALSE))/2)</f>
        <v>-85.559898795200013</v>
      </c>
      <c r="AC25" s="192">
        <f t="array" ref="AC25">IF($G25=0, INDEX(LS_previous!$D$4:$AY$138, MATCH('Staging Table'!$A25, LS_previous!$B$4:$B$138, 0), MATCH(AC$4&amp;AC$5, LS_previous!$D$2:$AY$2&amp;LS_previous!$D$3:$AY$3, 0)),SUM(VLOOKUP($A25, LS_previous!$B$4:$AY$138, LS_previous!U$149, FALSE), VLOOKUP('Staging Table'!$A25, LS_previous!$B$4:$AY$138,LS_previous!AS$149, FALSE))/2)</f>
        <v>-37.426770588799997</v>
      </c>
      <c r="AD25" s="192">
        <f t="array" ref="AD25">IF($G25=0, INDEX(LS_previous!$D$4:$AY$138, MATCH('Staging Table'!$A25, LS_previous!$B$4:$B$138, 0), MATCH(AD$4&amp;AD$5, LS_previous!$D$2:$AY$2&amp;LS_previous!$D$3:$AY$3, 0)),SUM(VLOOKUP($A25, LS_previous!$B$4:$AY$138, LS_previous!V$149, FALSE), VLOOKUP('Staging Table'!$A25, LS_previous!$B$4:$AY$138,LS_previous!AT$149, FALSE))/2)</f>
        <v>-38.156912795200014</v>
      </c>
      <c r="AE25" s="192">
        <f t="array" ref="AE25">IF($G25=0, INDEX(LS_previous!$D$4:$AY$138, MATCH('Staging Table'!$A25, LS_previous!$B$4:$B$138, 0), MATCH(AE$4&amp;AE$5, LS_previous!$D$2:$AY$2&amp;LS_previous!$D$3:$AY$3, 0)),SUM(VLOOKUP($A25, LS_previous!$B$4:$AY$138, LS_previous!W$149, FALSE), VLOOKUP('Staging Table'!$A25, LS_previous!$B$4:$AY$138,LS_previous!AU$149, FALSE))/2)</f>
        <v>16.093748038399994</v>
      </c>
      <c r="AF25" s="192">
        <f t="array" ref="AF25">IF($G25=0, INDEX(LS_previous!$D$4:$AY$138, MATCH('Staging Table'!$A25, LS_previous!$B$4:$B$138, 0), MATCH(AF$4&amp;AF$5, LS_previous!$D$2:$AY$2&amp;LS_previous!$D$3:$AY$3, 0)),SUM(VLOOKUP($A25, LS_previous!$B$4:$AY$138, LS_previous!X$149, FALSE), VLOOKUP('Staging Table'!$A25, LS_previous!$B$4:$AY$138,LS_previous!AV$149, FALSE))/2)</f>
        <v>-20.176347395199997</v>
      </c>
      <c r="AG25" s="192">
        <f t="array" ref="AG25">IF($G25=0, INDEX(LS_previous!$D$4:$AY$138, MATCH('Staging Table'!$A25, LS_previous!$B$4:$B$138, 0), MATCH(AG$4&amp;AG$5, LS_previous!$D$2:$AY$2&amp;LS_previous!$D$3:$AY$3, 0)),SUM(VLOOKUP($A25, LS_previous!$B$4:$AY$138, LS_previous!Y$149, FALSE), VLOOKUP('Staging Table'!$A25, LS_previous!$B$4:$AY$138,LS_previous!AW$149, FALSE))/2)</f>
        <v>5.492764038399983</v>
      </c>
      <c r="AH25" s="192">
        <f t="array" ref="AH25">IF($G25=0, INDEX(LS_previous!$D$4:$AY$138, MATCH('Staging Table'!$A25, LS_previous!$B$4:$B$138, 0), MATCH(AH$4&amp;AH$5, LS_previous!$D$2:$AY$2&amp;LS_previous!$D$3:$AY$3, 0)),SUM(VLOOKUP($A25, LS_previous!$B$4:$AY$138, LS_previous!Z$149, FALSE), VLOOKUP('Staging Table'!$A25, LS_previous!$B$4:$AY$138,LS_previous!AX$149, FALSE))/2)</f>
        <v>-9.769988479999995</v>
      </c>
      <c r="AI25" s="192">
        <f t="array" ref="AI25">IF($G25=0, INDEX(LS_previous!$D$4:$AY$138, MATCH('Staging Table'!$A25, LS_previous!$B$4:$B$138, 0), MATCH(AI$4&amp;AI$5, LS_previous!$D$2:$AY$2&amp;LS_previous!$D$3:$AY$3, 0)),SUM(VLOOKUP($A25, LS_previous!$B$4:$AY$138, LS_previous!AA$149, FALSE), VLOOKUP('Staging Table'!$A25, LS_previous!$B$4:$AY$138,LS_previous!AY$149, FALSE))/2)</f>
        <v>0.6056868960000088</v>
      </c>
      <c r="AJ25" s="314">
        <f t="array" ref="AJ25">INDEX(Demand_previous!$D$4:$AY$138, MATCH('Staging Table'!$A25, Demand_previous!$B$4:$B$138, 0), MATCH(AJ$4&amp;AJ$5,Demand_previous!$D$2:$AY$2&amp;Demand_previous!$D$3:$AY$3, 0))/1000</f>
        <v>8.188657407407407E-2</v>
      </c>
      <c r="AK25" s="314">
        <f t="array" ref="AK25">INDEX(Demand_previous!$D$4:$AY$138, MATCH('Staging Table'!$A25, Demand_previous!$B$4:$B$138, 0), MATCH(AK$4&amp;AK$5,Demand_previous!$D$2:$AY$2&amp;Demand_previous!$D$3:$AY$3, 0))/1000</f>
        <v>2.6124999999999982E-2</v>
      </c>
      <c r="AL25" s="314">
        <f t="array" ref="AL25">INDEX(Demand_previous!$D$4:$AY$138, MATCH('Staging Table'!$A25, Demand_previous!$B$4:$B$138, 0), MATCH(AL$4&amp;AL$5,Demand_previous!$D$2:$AY$2&amp;Demand_previous!$D$3:$AY$3, 0))/1000</f>
        <v>8.7385000000000046E-2</v>
      </c>
      <c r="AM25" s="314">
        <f t="array" ref="AM25">INDEX(Demand_previous!$D$4:$AY$138, MATCH('Staging Table'!$A25, Demand_previous!$B$4:$B$138, 0), MATCH(AM$4&amp;AM$5,Demand_previous!$D$2:$AY$2&amp;Demand_previous!$D$3:$AY$3, 0))/1000</f>
        <v>9.3411057692307731E-2</v>
      </c>
      <c r="AN25" s="314">
        <f t="array" ref="AN25">INDEX(Demand_previous!$D$4:$AY$138, MATCH('Staging Table'!$A25, Demand_previous!$B$4:$B$138, 0), MATCH(AN$4&amp;AN$5,Demand_previous!$D$2:$AY$2&amp;Demand_previous!$D$3:$AY$3, 0))/1000</f>
        <v>6.8232500000000001E-2</v>
      </c>
      <c r="AO25" s="314">
        <f t="array" ref="AO25">INDEX(Demand_previous!$D$4:$AY$138, MATCH('Staging Table'!$A25, Demand_previous!$B$4:$B$138, 0), MATCH(AO$4&amp;AO$5,Demand_previous!$D$2:$AY$2&amp;Demand_previous!$D$3:$AY$3, 0))/1000</f>
        <v>5.9012019230769208E-2</v>
      </c>
      <c r="AP25" s="314">
        <f t="array" ref="AP25">INDEX(Demand_previous!$D$4:$AY$138, MATCH('Staging Table'!$A25, Demand_previous!$B$4:$B$138, 0), MATCH(AP$4&amp;AP$5,Demand_previous!$D$2:$AY$2&amp;Demand_previous!$D$3:$AY$3, 0))/1000</f>
        <v>3.8528846153846136E-2</v>
      </c>
      <c r="AQ25" s="314">
        <f t="array" ref="AQ25">INDEX(Demand_previous!$D$4:$AY$138, MATCH('Staging Table'!$A25, Demand_previous!$B$4:$B$138, 0), MATCH(AQ$4&amp;AQ$5,Demand_previous!$D$2:$AY$2&amp;Demand_previous!$D$3:$AY$3, 0))/1000</f>
        <v>2.4915000000000048E-2</v>
      </c>
      <c r="AR25" s="314">
        <f t="array" ref="AR25">INDEX(Demand_previous!$D$4:$AY$138, MATCH('Staging Table'!$A25, Demand_previous!$B$4:$B$138, 0), MATCH(AR$4&amp;AR$5,Demand_previous!$D$2:$AY$2&amp;Demand_previous!$D$3:$AY$3, 0))/1000</f>
        <v>5.8237980769230785E-2</v>
      </c>
      <c r="AS25" s="314">
        <f t="array" ref="AS25">INDEX(Demand_previous!$D$4:$AY$138, MATCH('Staging Table'!$A25, Demand_previous!$B$4:$B$138, 0), MATCH(AS$4&amp;AS$5,Demand_previous!$D$2:$AY$2&amp;Demand_previous!$D$3:$AY$3, 0))/1000</f>
        <v>7.7300480769230837E-2</v>
      </c>
      <c r="AT25" s="314">
        <f t="array" ref="AT25">INDEX(Demand_previous!$D$4:$AY$138, MATCH('Staging Table'!$A25, Demand_previous!$B$4:$B$138, 0), MATCH(AT$4&amp;AT$5,Demand_previous!$D$2:$AY$2&amp;Demand_previous!$D$3:$AY$3, 0))/1000</f>
        <v>6.2822115384615337E-2</v>
      </c>
      <c r="AU25" s="314">
        <f t="array" ref="AU25">INDEX(Demand_previous!$D$4:$AY$138, MATCH('Staging Table'!$A25, Demand_previous!$B$4:$B$138, 0), MATCH(AU$4&amp;AU$5,Demand_previous!$D$2:$AY$2&amp;Demand_previous!$D$3:$AY$3, 0))/1000</f>
        <v>6.3265000000000002E-2</v>
      </c>
      <c r="AV25" s="192">
        <f>$F25*(VLOOKUP(AV$4, Rates_previous!$G$6:$Q$29, 10, FALSE)+VLOOKUP(AV$4, Rates_previous!$G$6:$Q$29, 11, FALSE))</f>
        <v>234.55971355679998</v>
      </c>
      <c r="AW25" s="192">
        <f>$F25*(VLOOKUP(AW$4, Rates_previous!$G$6:$Q$29, 10, FALSE)+VLOOKUP(AW$4, Rates_previous!$G$6:$Q$29, 11, FALSE))</f>
        <v>297.96400854120003</v>
      </c>
      <c r="AX25" s="192">
        <f>$F25*(VLOOKUP(AX$4, Rates_previous!$G$6:$Q$29, 10, FALSE)+VLOOKUP(AX$4, Rates_previous!$G$6:$Q$29, 11, FALSE))</f>
        <v>294.36568995680005</v>
      </c>
      <c r="AY25" s="192">
        <f>$F25*(VLOOKUP(AY$4, Rates_previous!$G$6:$Q$29, 10, FALSE)+VLOOKUP(AY$4, Rates_previous!$G$6:$Q$29, 11, FALSE))</f>
        <v>245.37173155680003</v>
      </c>
      <c r="AZ25" s="192">
        <f>$F25*(VLOOKUP(AZ$4, Rates_previous!$G$6:$Q$29, 10, FALSE)+VLOOKUP(AZ$4, Rates_previous!$G$6:$Q$29, 11, FALSE))</f>
        <v>222.28133344</v>
      </c>
      <c r="BA25" s="192">
        <f>$F25*(VLOOKUP(BA$4, Rates_previous!$G$6:$Q$29, 10, FALSE)+VLOOKUP(BA$4, Rates_previous!$G$6:$Q$29, 11, FALSE))</f>
        <v>247.24745759960001</v>
      </c>
      <c r="BB25" s="192">
        <f>$F25*(VLOOKUP(BB$4, Rates_previous!$G$6:$Q$29, 10, FALSE)+VLOOKUP(BB$4, Rates_previous!$G$6:$Q$29, 11, FALSE))</f>
        <v>201.30914678400001</v>
      </c>
      <c r="BC25" s="192">
        <f>$F25*(VLOOKUP(BC$4, Rates_previous!$G$6:$Q$29, 10, FALSE)+VLOOKUP(BC$4, Rates_previous!$G$6:$Q$29, 11, FALSE))</f>
        <v>271.49540295680004</v>
      </c>
      <c r="BD25" s="192">
        <f>$F25*(VLOOKUP(BD$4, Rates_previous!$G$6:$Q$29, 10, FALSE)+VLOOKUP(BD$4, Rates_previous!$G$6:$Q$29, 11, FALSE))</f>
        <v>346.40966938400004</v>
      </c>
      <c r="BE25" s="192">
        <f>$F25*(VLOOKUP(BE$4, Rates_previous!$G$6:$Q$29, 10, FALSE)+VLOOKUP(BE$4, Rates_previous!$G$6:$Q$29, 11, FALSE))</f>
        <v>271.59616475680002</v>
      </c>
      <c r="BF25" s="192">
        <f>$F25*(VLOOKUP(BF$4, Rates_previous!$G$6:$Q$29, 10, FALSE)+VLOOKUP(BF$4, Rates_previous!$G$6:$Q$29, 11, FALSE))</f>
        <v>264.48058335680003</v>
      </c>
      <c r="BG25" s="192">
        <f>$F25*(VLOOKUP(BG$4, Rates_previous!$G$6:$Q$29, 10, FALSE)+VLOOKUP(BG$4, Rates_previous!$G$6:$Q$29, 11, FALSE))</f>
        <v>237.44730158400003</v>
      </c>
      <c r="BH25" s="314">
        <f>IF($D25=0,IF(C25=0, MAX(BJ25 - (VLOOKUP($A25,TOCA_previous!$A$2:$AI$137,MATCH("RHWM 2020",TOCA_previous!$A$2:$AI$2,0),FALSE)*$F$2*TOCA_previous!C22),0),0), 0)</f>
        <v>172.1731176528001</v>
      </c>
      <c r="BI25" s="204">
        <f>MIN(VLOOKUP($A25,TOCA_previous!$A$2:$AI$137,MATCH("TRL - NLSL - Existing Resource "&amp;$F$1,TOCA_previous!$A$2:$AI$2,0),FALSE)*$F$2,(VLOOKUP($A25,TOCA_previous!$A$2:$AI$137,MATCH("RHWM 2020",TOCA_previous!$A$2:$AI$2,0),FALSE)*$F$2))</f>
        <v>3135.8879999999999</v>
      </c>
      <c r="BJ25" s="418">
        <f>SUM(L25:AI25)+(F25*RT1SC!$C$3*$F$2)</f>
        <v>3308.0611176528</v>
      </c>
      <c r="BK25" s="417">
        <f>VLOOKUP($A25,TOCA_previous!$A$2:$AI$137,MATCH("Above RHWM Not Served with LS "&amp;$F$1,TOCA_previous!$A$2:$AI$2,0),FALSE)*$F$2</f>
        <v>0</v>
      </c>
      <c r="BL25" s="418">
        <f t="shared" si="8"/>
        <v>172.1731176528001</v>
      </c>
      <c r="BM25" s="417">
        <f>(VLOOKUP($A25,TOCA_previous!$A$2:$AI$137,MATCH("RHWM 2020",TOCA_previous!$A$2:$AI$2,0),FALSE)*$F$2) - $BI25</f>
        <v>0</v>
      </c>
      <c r="BN25" s="418">
        <f t="shared" si="9"/>
        <v>0</v>
      </c>
      <c r="BO25" s="417">
        <f t="shared" si="10"/>
        <v>0</v>
      </c>
      <c r="BP25" s="418">
        <f t="shared" si="11"/>
        <v>0</v>
      </c>
      <c r="BQ25" s="417">
        <f t="shared" si="2"/>
        <v>0</v>
      </c>
      <c r="BR25" s="120">
        <f>VLOOKUP($A25,TOCA_current!$A$2:$AI$137,MATCH(BR$4,TOCA_current!$A$2:$AI$2,0),FALSE)</f>
        <v>5.0800000000000002E-5</v>
      </c>
      <c r="BS25" s="120">
        <f>VLOOKUP($A25,TOCA_current!$A$2:$AI$137,MATCH(BS$4,TOCA_current!$A$2:$AI$2,0),FALSE)</f>
        <v>5.0800000000000002E-5</v>
      </c>
      <c r="BT25" s="201">
        <f t="shared" si="12"/>
        <v>0</v>
      </c>
      <c r="BU25" s="120">
        <f>VLOOKUP($A25,TOCA_current!A21:BG156,MATCH(BU$4,TOCA_current!$A$2:$BG$2,0),FALSE)</f>
        <v>0</v>
      </c>
      <c r="BV25" s="120">
        <f t="shared" si="3"/>
        <v>0</v>
      </c>
      <c r="BW25" s="120">
        <f t="shared" si="4"/>
        <v>0</v>
      </c>
      <c r="BX25" s="191">
        <f>VLOOKUP($A25,IRD!$A$4:$G$139, 7, FALSE)</f>
        <v>0</v>
      </c>
      <c r="BY25" s="192">
        <f t="array" ref="BY25">IF($BT25=0, INDEX(LS_current!$D$4:$AY$138, MATCH('Staging Table'!$A25, LS_current!$B$4:$B$138, 0), MATCH(BY$4&amp;BY$5, LS_current!$D$2:$AY$2&amp;LS_current!$D$3:$AY$3, 0)),SUM(VLOOKUP($A25, LS_current!$B$4:$AY$138, LS_current!D$148, FALSE), VLOOKUP($A25, LS_current!$B$4:$AY$138,LS_current!AB$148, FALSE))/2)</f>
        <v>7.1928545615965902</v>
      </c>
      <c r="BZ25" s="192">
        <f t="array" ref="BZ25">IF($BT25=0, INDEX(LS_current!$D$4:$AY$138, MATCH('Staging Table'!$A25, LS_current!$B$4:$B$138, 0), MATCH(BZ$4&amp;BZ$5, LS_current!$D$2:$AY$2&amp;LS_current!$D$3:$AY$3, 0)),SUM(VLOOKUP($A25, LS_current!$B$4:$AY$138, LS_current!E$148, FALSE), VLOOKUP($A25, LS_current!$B$4:$AY$138,LS_current!AC$148, FALSE))/2)</f>
        <v>14.855784863642995</v>
      </c>
      <c r="CA25" s="192">
        <f t="array" ref="CA25">IF($BT25=0, INDEX(LS_current!$D$4:$AY$138, MATCH('Staging Table'!$A25, LS_current!$B$4:$B$138, 0), MATCH(CA$4&amp;CA$5, LS_current!$D$2:$AY$2&amp;LS_current!$D$3:$AY$3, 0)),SUM(VLOOKUP($A25, LS_current!$B$4:$AY$138, LS_current!F$148, FALSE), VLOOKUP($A25, LS_current!$B$4:$AY$138,LS_current!AD$148, FALSE))/2)</f>
        <v>-10.977614664219431</v>
      </c>
      <c r="CB25" s="192">
        <f t="array" ref="CB25">IF($BT25=0, INDEX(LS_current!$D$4:$AY$138, MATCH('Staging Table'!$A25, LS_current!$B$4:$B$138, 0), MATCH(CB$4&amp;CB$5, LS_current!$D$2:$AY$2&amp;LS_current!$D$3:$AY$3, 0)),SUM(VLOOKUP($A25, LS_current!$B$4:$AY$138, LS_current!G$148, FALSE), VLOOKUP($A25, LS_current!$B$4:$AY$138,LS_current!AE$148, FALSE))/2)</f>
        <v>0.88458829341320211</v>
      </c>
      <c r="CC25" s="192">
        <f t="array" ref="CC25">IF($BT25=0, INDEX(LS_current!$D$4:$AY$138, MATCH('Staging Table'!$A25, LS_current!$B$4:$B$138, 0), MATCH(CC$4&amp;CC$5, LS_current!$D$2:$AY$2&amp;LS_current!$D$3:$AY$3, 0)),SUM(VLOOKUP($A25, LS_current!$B$4:$AY$138, LS_current!H$148, FALSE), VLOOKUP($A25, LS_current!$B$4:$AY$138,LS_current!AF$148, FALSE))/2)</f>
        <v>54.073265027532187</v>
      </c>
      <c r="CD25" s="192">
        <f t="array" ref="CD25">IF($BT25=0, INDEX(LS_current!$D$4:$AY$138, MATCH('Staging Table'!$A25, LS_current!$B$4:$B$138, 0), MATCH(CD$4&amp;CD$5, LS_current!$D$2:$AY$2&amp;LS_current!$D$3:$AY$3, 0)),SUM(VLOOKUP($A25, LS_current!$B$4:$AY$138, LS_current!I$148, FALSE), VLOOKUP($A25, LS_current!$B$4:$AY$138,LS_current!AG$148, FALSE))/2)</f>
        <v>29.870786468088582</v>
      </c>
      <c r="CE25" s="192">
        <f t="array" ref="CE25">IF($BT25=0, INDEX(LS_current!$D$4:$AY$138, MATCH('Staging Table'!$A25, LS_current!$B$4:$B$138, 0), MATCH(CE$4&amp;CE$5, LS_current!$D$2:$AY$2&amp;LS_current!$D$3:$AY$3, 0)),SUM(VLOOKUP($A25, LS_current!$B$4:$AY$138, LS_current!J$148, FALSE), VLOOKUP($A25, LS_current!$B$4:$AY$138,LS_current!AH$148, FALSE))/2)</f>
        <v>78.952749959713003</v>
      </c>
      <c r="CF25" s="192">
        <f t="array" ref="CF25">IF($BT25=0, INDEX(LS_current!$D$4:$AY$138, MATCH('Staging Table'!$A25, LS_current!$B$4:$B$138, 0), MATCH(CF$4&amp;CF$5, LS_current!$D$2:$AY$2&amp;LS_current!$D$3:$AY$3, 0)),SUM(VLOOKUP($A25, LS_current!$B$4:$AY$138, LS_current!K$148, FALSE), VLOOKUP($A25, LS_current!$B$4:$AY$138,LS_current!AI$148, FALSE))/2)</f>
        <v>59.824933382531398</v>
      </c>
      <c r="CG25" s="192">
        <f t="array" ref="CG25">IF($BT25=0, INDEX(LS_current!$D$4:$AY$138, MATCH('Staging Table'!$A25, LS_current!$B$4:$B$138, 0), MATCH(CG$4&amp;CG$5, LS_current!$D$2:$AY$2&amp;LS_current!$D$3:$AY$3, 0)),SUM(VLOOKUP($A25, LS_current!$B$4:$AY$138, LS_current!L$148, FALSE), VLOOKUP($A25, LS_current!$B$4:$AY$138,LS_current!AJ$148, FALSE))/2)</f>
        <v>62.695141819519634</v>
      </c>
      <c r="CH25" s="192">
        <f t="array" ref="CH25">IF($BT25=0, INDEX(LS_current!$D$4:$AY$138, MATCH('Staging Table'!$A25, LS_current!$B$4:$B$138, 0), MATCH(CH$4&amp;CH$5, LS_current!$D$2:$AY$2&amp;LS_current!$D$3:$AY$3, 0)),SUM(VLOOKUP($A25, LS_current!$B$4:$AY$138, LS_current!M$148, FALSE), VLOOKUP($A25, LS_current!$B$4:$AY$138,LS_current!AK$148, FALSE))/2)</f>
        <v>32.815301476192204</v>
      </c>
      <c r="CI25" s="192">
        <f t="array" ref="CI25">IF($BT25=0, INDEX(LS_current!$D$4:$AY$138, MATCH('Staging Table'!$A25, LS_current!$B$4:$B$138, 0), MATCH(CI$4&amp;CI$5, LS_current!$D$2:$AY$2&amp;LS_current!$D$3:$AY$3, 0)),SUM(VLOOKUP($A25, LS_current!$B$4:$AY$138, LS_current!N$148, FALSE), VLOOKUP($A25, LS_current!$B$4:$AY$138,LS_current!AL$148, FALSE))/2)</f>
        <v>24.669566033375816</v>
      </c>
      <c r="CJ25" s="192">
        <f t="array" ref="CJ25">IF($BT25=0, INDEX(LS_current!$D$4:$AY$138, MATCH('Staging Table'!$A25, LS_current!$B$4:$B$138, 0), MATCH(CJ$4&amp;CJ$5, LS_current!$D$2:$AY$2&amp;LS_current!$D$3:$AY$3, 0)),SUM(VLOOKUP($A25, LS_current!$B$4:$AY$138, LS_current!O$148, FALSE), VLOOKUP($A25, LS_current!$B$4:$AY$138,LS_current!AM$148, FALSE))/2)</f>
        <v>16.864949952196795</v>
      </c>
      <c r="CK25" s="192">
        <f t="array" ref="CK25">IF($BT25=0, INDEX(LS_current!$D$4:$AY$138, MATCH('Staging Table'!$A25, LS_current!$B$4:$B$138, 0), MATCH(CK$4&amp;CK$5, LS_current!$D$2:$AY$2&amp;LS_current!$D$3:$AY$3, 0)),SUM(VLOOKUP($A25, LS_current!$B$4:$AY$138, LS_current!P$148, FALSE), VLOOKUP($A25, LS_current!$B$4:$AY$138,LS_current!AN$148, FALSE))/2)</f>
        <v>39.400467468415798</v>
      </c>
      <c r="CL25" s="192">
        <f t="array" ref="CL25">IF($BT25=0, INDEX(LS_current!$D$4:$AY$138, MATCH('Staging Table'!$A25, LS_current!$B$4:$B$138, 0), MATCH(CL$4&amp;CL$5, LS_current!$D$2:$AY$2&amp;LS_current!$D$3:$AY$3, 0)),SUM(VLOOKUP($A25, LS_current!$B$4:$AY$138, LS_current!Q$148, FALSE), VLOOKUP($A25, LS_current!$B$4:$AY$138,LS_current!AO$148, FALSE))/2)</f>
        <v>22.658155173522402</v>
      </c>
      <c r="CM25" s="192">
        <f t="array" ref="CM25">IF($BT25=0, INDEX(LS_current!$D$4:$AY$138, MATCH('Staging Table'!$A25, LS_current!$B$4:$B$138, 0), MATCH(CM$4&amp;CM$5, LS_current!$D$2:$AY$2&amp;LS_current!$D$3:$AY$3, 0)),SUM(VLOOKUP($A25, LS_current!$B$4:$AY$138, LS_current!R$148, FALSE), VLOOKUP($A25, LS_current!$B$4:$AY$138,LS_current!AP$148, FALSE))/2)</f>
        <v>-39.148051445778606</v>
      </c>
      <c r="CN25" s="192">
        <f t="array" ref="CN25">IF($BT25=0, INDEX(LS_current!$D$4:$AY$138, MATCH('Staging Table'!$A25, LS_current!$B$4:$B$138, 0), MATCH(CN$4&amp;CN$5, LS_current!$D$2:$AY$2&amp;LS_current!$D$3:$AY$3, 0)),SUM(VLOOKUP($A25, LS_current!$B$4:$AY$138, LS_current!S$148, FALSE), VLOOKUP($A25, LS_current!$B$4:$AY$138,LS_current!AQ$148, FALSE))/2)</f>
        <v>10.754715890472596</v>
      </c>
      <c r="CO25" s="192">
        <f t="array" ref="CO25">IF($BT25=0, INDEX(LS_current!$D$4:$AY$138, MATCH('Staging Table'!$A25, LS_current!$B$4:$B$138, 0), MATCH(CO$4&amp;CO$5, LS_current!$D$2:$AY$2&amp;LS_current!$D$3:$AY$3, 0)),SUM(VLOOKUP($A25, LS_current!$B$4:$AY$138, LS_current!T$148, FALSE), VLOOKUP($A25, LS_current!$B$4:$AY$138,LS_current!AR$148, FALSE))/2)</f>
        <v>-61.547991976386811</v>
      </c>
      <c r="CP25" s="192">
        <f t="array" ref="CP25">IF($BT25=0, INDEX(LS_current!$D$4:$AY$138, MATCH('Staging Table'!$A25, LS_current!$B$4:$B$138, 0), MATCH(CP$4&amp;CP$5, LS_current!$D$2:$AY$2&amp;LS_current!$D$3:$AY$3, 0)),SUM(VLOOKUP($A25, LS_current!$B$4:$AY$138, LS_current!U$148, FALSE), VLOOKUP($A25, LS_current!$B$4:$AY$138,LS_current!AS$148, FALSE))/2)</f>
        <v>3.3811732921009963</v>
      </c>
      <c r="CQ25" s="192">
        <f t="array" ref="CQ25">IF($BT25=0, INDEX(LS_current!$D$4:$AY$138, MATCH('Staging Table'!$A25, LS_current!$B$4:$B$138, 0), MATCH(CQ$4&amp;CQ$5, LS_current!$D$2:$AY$2&amp;LS_current!$D$3:$AY$3, 0)),SUM(VLOOKUP($A25, LS_current!$B$4:$AY$138, LS_current!V$148, FALSE), VLOOKUP($A25, LS_current!$B$4:$AY$138,LS_current!AT$148, FALSE))/2)</f>
        <v>-29.268236952190989</v>
      </c>
      <c r="CR25" s="192">
        <f t="array" ref="CR25">IF($BT25=0, INDEX(LS_current!$D$4:$AY$138, MATCH('Staging Table'!$A25, LS_current!$B$4:$B$138, 0), MATCH(CR$4&amp;CR$5, LS_current!$D$2:$AY$2&amp;LS_current!$D$3:$AY$3, 0)),SUM(VLOOKUP($A25, LS_current!$B$4:$AY$138, LS_current!W$148, FALSE), VLOOKUP($A25, LS_current!$B$4:$AY$138,LS_current!AU$148, FALSE))/2)</f>
        <v>11.444454948637997</v>
      </c>
      <c r="CS25" s="192">
        <f t="array" ref="CS25">IF($BT25=0, INDEX(LS_current!$D$4:$AY$138, MATCH('Staging Table'!$A25, LS_current!$B$4:$B$138, 0), MATCH(CS$4&amp;CS$5, LS_current!$D$2:$AY$2&amp;LS_current!$D$3:$AY$3, 0)),SUM(VLOOKUP($A25, LS_current!$B$4:$AY$138, LS_current!X$148, FALSE), VLOOKUP($A25, LS_current!$B$4:$AY$138,LS_current!AV$148, FALSE))/2)</f>
        <v>-12.937165007680591</v>
      </c>
      <c r="CT25" s="192">
        <f t="array" ref="CT25">IF($BT25=0, INDEX(LS_current!$D$4:$AY$138, MATCH('Staging Table'!$A25, LS_current!$B$4:$B$138, 0), MATCH(CT$4&amp;CT$5, LS_current!$D$2:$AY$2&amp;LS_current!$D$3:$AY$3, 0)),SUM(VLOOKUP($A25, LS_current!$B$4:$AY$138, LS_current!Y$148, FALSE), VLOOKUP($A25, LS_current!$B$4:$AY$138,LS_current!AW$148, FALSE))/2)</f>
        <v>4.3544607038352012</v>
      </c>
      <c r="CU25" s="192">
        <f t="array" ref="CU25">IF($BT25=0, INDEX(LS_current!$D$4:$AY$138, MATCH('Staging Table'!$A25, LS_current!$B$4:$B$138, 0), MATCH(CU$4&amp;CU$5, LS_current!$D$2:$AY$2&amp;LS_current!$D$3:$AY$3, 0)),SUM(VLOOKUP($A25, LS_current!$B$4:$AY$138, LS_current!Z$148, FALSE), VLOOKUP($A25, LS_current!$B$4:$AY$138,LS_current!AX$148, FALSE))/2)</f>
        <v>-10.089997684049393</v>
      </c>
      <c r="CV25" s="192">
        <f t="array" ref="CV25">IF($BT25=0, INDEX(LS_current!$D$4:$AY$138, MATCH('Staging Table'!$A25, LS_current!$B$4:$B$138, 0), MATCH(CV$4&amp;CV$5, LS_current!$D$2:$AY$2&amp;LS_current!$D$3:$AY$3, 0)),SUM(VLOOKUP($A25, LS_current!$B$4:$AY$138, LS_current!AA$148, FALSE), VLOOKUP($A25, LS_current!$B$4:$AY$138,LS_current!AY$148, FALSE))/2)</f>
        <v>-0.39678410944259213</v>
      </c>
      <c r="CW25" s="194">
        <f t="array" ref="CW25">INDEX(Demand_current!$D$4:$AY$138, MATCH($A25, Demand_current!$B$4:$B$138, 0), MATCH(CW$4&amp;CW$5,Demand_current!$D$2:$AY$2&amp;Demand_current!$D$3:$AY$3, 0))/1000</f>
        <v>6.8036057692307694E-2</v>
      </c>
      <c r="CX25" s="194">
        <f t="array" ref="CX25">INDEX(Demand_current!$D$4:$AY$138, MATCH($A25, Demand_current!$B$4:$B$138, 0), MATCH(CX$4&amp;CX$5,Demand_current!$D$2:$AY$2&amp;Demand_current!$D$3:$AY$3, 0))/1000</f>
        <v>2.6124999999999982E-2</v>
      </c>
      <c r="CY25" s="194">
        <f t="array" ref="CY25">INDEX(Demand_current!$D$4:$AY$138, MATCH($A25, Demand_current!$B$4:$B$138, 0), MATCH(CY$4&amp;CY$5,Demand_current!$D$2:$AY$2&amp;Demand_current!$D$3:$AY$3, 0))/1000</f>
        <v>0.10833173076923075</v>
      </c>
      <c r="CZ25" s="194">
        <f t="array" ref="CZ25">INDEX(Demand_current!$D$4:$AY$138, MATCH($A25, Demand_current!$B$4:$B$138, 0), MATCH(CZ$4&amp;CZ$5,Demand_current!$D$2:$AY$2&amp;Demand_current!$D$3:$AY$3, 0))/1000</f>
        <v>7.2867499999999974E-2</v>
      </c>
      <c r="DA25" s="194">
        <f t="array" ref="DA25">INDEX(Demand_current!$D$4:$AY$138, MATCH($A25, Demand_current!$B$4:$B$138, 0), MATCH(DA$4&amp;DA$5,Demand_current!$D$2:$AY$2&amp;Demand_current!$D$3:$AY$3, 0))/1000</f>
        <v>4.9283854166666669E-2</v>
      </c>
      <c r="DB25" s="194">
        <f t="array" ref="DB25">INDEX(Demand_current!$D$4:$AY$138, MATCH($A25, Demand_current!$B$4:$B$138, 0), MATCH(DB$4&amp;DB$5,Demand_current!$D$2:$AY$2&amp;Demand_current!$D$3:$AY$3, 0))/1000</f>
        <v>7.4604166666666638E-2</v>
      </c>
      <c r="DC25" s="194">
        <f t="array" ref="DC25">INDEX(Demand_current!$D$4:$AY$138, MATCH($A25, Demand_current!$B$4:$B$138, 0), MATCH(DC$4&amp;DC$5,Demand_current!$D$2:$AY$2&amp;Demand_current!$D$3:$AY$3, 0))/1000</f>
        <v>3.8528846153846136E-2</v>
      </c>
      <c r="DD25" s="194">
        <f t="array" ref="DD25">INDEX(Demand_current!$D$4:$AY$138, MATCH($A25, Demand_current!$B$4:$B$138, 0), MATCH(DD$4&amp;DD$5,Demand_current!$D$2:$AY$2&amp;Demand_current!$D$3:$AY$3, 0))/1000</f>
        <v>2.4915000000000048E-2</v>
      </c>
      <c r="DE25" s="194">
        <f t="array" ref="DE25">INDEX(Demand_current!$D$4:$AY$138, MATCH($A25, Demand_current!$B$4:$B$138, 0), MATCH(DE$4&amp;DE$5,Demand_current!$D$2:$AY$2&amp;Demand_current!$D$3:$AY$3, 0))/1000</f>
        <v>5.8237980769230785E-2</v>
      </c>
      <c r="DF25" s="194">
        <f t="array" ref="DF25">INDEX(Demand_current!$D$4:$AY$138, MATCH($A25, Demand_current!$B$4:$B$138, 0), MATCH(DF$4&amp;DF$5,Demand_current!$D$2:$AY$2&amp;Demand_current!$D$3:$AY$3, 0))/1000</f>
        <v>6.2992500000000048E-2</v>
      </c>
      <c r="DG25" s="194">
        <f t="array" ref="DG25">INDEX(Demand_current!$D$4:$AY$138, MATCH($A25, Demand_current!$B$4:$B$138, 0), MATCH(DG$4&amp;DG$5,Demand_current!$D$2:$AY$2&amp;Demand_current!$D$3:$AY$3, 0))/1000</f>
        <v>7.7162037037036987E-2</v>
      </c>
      <c r="DH25" s="194">
        <f t="array" ref="DH25">INDEX(Demand_current!$D$4:$AY$138, MATCH($A25, Demand_current!$B$4:$B$138, 0), MATCH(DH$4&amp;DH$5,Demand_current!$D$2:$AY$2&amp;Demand_current!$D$3:$AY$3, 0))/1000</f>
        <v>6.3265000000000002E-2</v>
      </c>
      <c r="DI25" s="192">
        <f>$BS25*(VLOOKUP(DI$4, Rates_current!$G$6:$Q$29, 10, FALSE)+VLOOKUP(DI$4, Rates_current!$G$6:$Q$29, 11, FALSE))</f>
        <v>231.33936057476041</v>
      </c>
      <c r="DJ25" s="192">
        <f>$BS25*(VLOOKUP(DJ$4, Rates_current!$G$6:$Q$29, 10, FALSE)+VLOOKUP(DJ$4, Rates_current!$G$6:$Q$29, 11, FALSE))</f>
        <v>292.88402637080623</v>
      </c>
      <c r="DK25" s="192">
        <f>$BS25*(VLOOKUP(DK$4, Rates_current!$G$6:$Q$29, 10, FALSE)+VLOOKUP(DK$4, Rates_current!$G$6:$Q$29, 11, FALSE))</f>
        <v>286.67494850437924</v>
      </c>
      <c r="DL25" s="192">
        <f>$BS25*(VLOOKUP(DL$4, Rates_current!$G$6:$Q$29, 10, FALSE)+VLOOKUP(DL$4, Rates_current!$G$6:$Q$29, 11, FALSE))</f>
        <v>236.78131665775561</v>
      </c>
      <c r="DM25" s="192">
        <f>$BS25*(VLOOKUP(DM$4, Rates_current!$G$6:$Q$29, 10, FALSE)+VLOOKUP(DM$4, Rates_current!$G$6:$Q$29, 11, FALSE))</f>
        <v>205.2235567042882</v>
      </c>
      <c r="DN25" s="192">
        <f>$BS25*(VLOOKUP(DN$4, Rates_current!$G$6:$Q$29, 10, FALSE)+VLOOKUP(DN$4, Rates_current!$G$6:$Q$29, 11, FALSE))</f>
        <v>244.9954840144274</v>
      </c>
      <c r="DO25" s="192">
        <f>$BS25*(VLOOKUP(DO$4, Rates_current!$G$6:$Q$29, 10, FALSE)+VLOOKUP(DO$4, Rates_current!$G$6:$Q$29, 11, FALSE))</f>
        <v>190.20637735806181</v>
      </c>
      <c r="DP25" s="192">
        <f>$BS25*(VLOOKUP(DP$4, Rates_current!$G$6:$Q$29, 10, FALSE)+VLOOKUP(DP$4, Rates_current!$G$6:$Q$29, 11, FALSE))</f>
        <v>263.53233555530602</v>
      </c>
      <c r="DQ25" s="192">
        <f>$BS25*(VLOOKUP(DQ$4, Rates_current!$G$6:$Q$29, 10, FALSE)+VLOOKUP(DQ$4, Rates_current!$G$6:$Q$29, 11, FALSE))</f>
        <v>281.58981868428583</v>
      </c>
      <c r="DR25" s="192">
        <f>$BS25*(VLOOKUP(DR$4, Rates_current!$G$6:$Q$29, 10, FALSE)+VLOOKUP(DR$4, Rates_current!$G$6:$Q$29, 11, FALSE))</f>
        <v>267.35678200355301</v>
      </c>
      <c r="DS25" s="192">
        <f>$BS25*(VLOOKUP(DS$4, Rates_current!$G$6:$Q$29, 10, FALSE)+VLOOKUP(DS$4, Rates_current!$G$6:$Q$29, 11, FALSE))</f>
        <v>258.37970430384536</v>
      </c>
      <c r="DT25" s="192">
        <f>$BS25*(VLOOKUP(DT$4, Rates_current!$G$6:$Q$29, 10, FALSE)+VLOOKUP(DT$4, Rates_current!$G$6:$Q$29, 11, FALSE))</f>
        <v>238.769781793492</v>
      </c>
      <c r="DU25" s="418">
        <f>IF(D25=0,IF(C25=0,MAX(0,DW25 - (VLOOKUP($A25,TOCA_current!$A$2:$AI$137,MATCH("RHWM 2022",TOCA_current!$A$2:$AI$2,0),FALSE)*$BS$2)), 0),0)</f>
        <v>312.14115334703911</v>
      </c>
      <c r="DV25" s="419">
        <f>MIN(VLOOKUP($A25,TOCA_current!$A$2:$AI$137,MATCH("TRL - NLSL - Existing Resource "&amp;$BS$1,TOCA_current!$A$2:$AI$2,0),FALSE)*$BS$2, VLOOKUP($A25,TOCA_current!$A$2:$AI$137,MATCH("RHWM 2022",TOCA_current!$A$2:$AI$2,0),FALSE)*$BS$2)</f>
        <v>2995.92</v>
      </c>
      <c r="DW25" s="419">
        <f>SUM(BY25:CV25)+(BS25*RT1SC!$C$4*$BS$2)</f>
        <v>3308.0611533470392</v>
      </c>
      <c r="DX25" s="419">
        <f>VLOOKUP($A25,TOCA_current!$A$2:$AI$137,MATCH("Above RHWM Not Served with LS "&amp;$BS$1,TOCA_current!$A$2:$AI$2,0),FALSE)*$BS$2</f>
        <v>0</v>
      </c>
      <c r="DY25" s="419">
        <f t="shared" si="13"/>
        <v>312.14115334703911</v>
      </c>
      <c r="DZ25" s="419">
        <f>(VLOOKUP($A25,TOCA_current!$A$2:$AI$137,MATCH("RHWM 2022",TOCA_current!$A$2:$AI$2,0),FALSE)*$BS$2) - $DV25</f>
        <v>0</v>
      </c>
      <c r="EA25" s="419">
        <f t="shared" si="14"/>
        <v>0</v>
      </c>
      <c r="EB25" s="419">
        <f t="shared" si="15"/>
        <v>0</v>
      </c>
      <c r="EC25" s="419">
        <f t="shared" si="16"/>
        <v>0</v>
      </c>
      <c r="ED25" s="419">
        <f t="shared" si="17"/>
        <v>0</v>
      </c>
    </row>
    <row r="26" spans="1:134">
      <c r="A26" s="135">
        <v>10071</v>
      </c>
      <c r="B26" s="136" t="s">
        <v>27</v>
      </c>
      <c r="C26" s="244">
        <f>VLOOKUP(A26, TOCA_current!$A$3:$D$137, 4, FALSE)</f>
        <v>0</v>
      </c>
      <c r="D26" s="203">
        <v>0</v>
      </c>
      <c r="E26" s="119">
        <f>VLOOKUP($A26,TOCA_previous!$A$2:$AI$137,MATCH(E$4,TOCA_previous!$A$2:$AI$2,0),FALSE)</f>
        <v>2.6509999999999999E-4</v>
      </c>
      <c r="F26" s="120">
        <f>VLOOKUP($A26,TOCA_previous!$A$2:$AI$137,MATCH(F$4,TOCA_previous!$A$2:$AI$2,0),FALSE)</f>
        <v>2.6509999999999999E-4</v>
      </c>
      <c r="G26" s="120">
        <f t="shared" si="5"/>
        <v>0</v>
      </c>
      <c r="H26" s="120">
        <f>VLOOKUP($A26,TOCA_previous!$A$2:$AI$137,MATCH(H$4,TOCA_previous!$A$2:$AI$2,0),FALSE)</f>
        <v>0</v>
      </c>
      <c r="I26" s="120">
        <f t="shared" si="6"/>
        <v>0</v>
      </c>
      <c r="J26" s="120">
        <f t="shared" si="7"/>
        <v>0</v>
      </c>
      <c r="K26" s="191">
        <f>VLOOKUP(A26, IRD!$A$5:$C$139, 3, FALSE)</f>
        <v>0</v>
      </c>
      <c r="L26" s="192">
        <f t="array" ref="L26">IF($G26=0, INDEX(LS_previous!$D$4:$AY$138, MATCH('Staging Table'!$A26, LS_previous!$B$4:$B$138, 0), MATCH(L$4&amp;L$5, LS_previous!$D$2:$AY$2&amp;LS_previous!$D$3:$AY$3, 0)),SUM(VLOOKUP($A26, LS_previous!$B$4:$AY$138, LS_previous!D$149, FALSE), VLOOKUP('Staging Table'!$A26, LS_previous!$B$4:$AY$138,LS_previous!AB$149, FALSE))/2)</f>
        <v>16.301765641200063</v>
      </c>
      <c r="M26" s="192">
        <f t="array" ref="M26">IF($G26=0, INDEX(LS_previous!$D$4:$AY$138, MATCH('Staging Table'!$A26, LS_previous!$B$4:$B$138, 0), MATCH(M$4&amp;M$5, LS_previous!$D$2:$AY$2&amp;LS_previous!$D$3:$AY$3, 0)),SUM(VLOOKUP($A26, LS_previous!$B$4:$AY$138, LS_previous!E$149, FALSE), VLOOKUP('Staging Table'!$A26, LS_previous!$B$4:$AY$138,LS_previous!AC$149, FALSE))/2)</f>
        <v>65.869445699200014</v>
      </c>
      <c r="N26" s="192">
        <f t="array" ref="N26">IF($G26=0, INDEX(LS_previous!$D$4:$AY$138, MATCH('Staging Table'!$A26, LS_previous!$B$4:$B$138, 0), MATCH(N$4&amp;N$5, LS_previous!$D$2:$AY$2&amp;LS_previous!$D$3:$AY$3, 0)),SUM(VLOOKUP($A26, LS_previous!$B$4:$AY$138, LS_previous!F$149, FALSE), VLOOKUP('Staging Table'!$A26, LS_previous!$B$4:$AY$138,LS_previous!AD$149, FALSE))/2)</f>
        <v>-139.44413167279993</v>
      </c>
      <c r="O26" s="192">
        <f t="array" ref="O26">IF($G26=0, INDEX(LS_previous!$D$4:$AY$138, MATCH('Staging Table'!$A26, LS_previous!$B$4:$B$138, 0), MATCH(O$4&amp;O$5, LS_previous!$D$2:$AY$2&amp;LS_previous!$D$3:$AY$3, 0)),SUM(VLOOKUP($A26, LS_previous!$B$4:$AY$138, LS_previous!G$149, FALSE), VLOOKUP('Staging Table'!$A26, LS_previous!$B$4:$AY$138,LS_previous!AE$149, FALSE))/2)</f>
        <v>-45.255219986099974</v>
      </c>
      <c r="P26" s="192">
        <f t="array" ref="P26">IF($G26=0, INDEX(LS_previous!$D$4:$AY$138, MATCH('Staging Table'!$A26, LS_previous!$B$4:$B$138, 0), MATCH(P$4&amp;P$5, LS_previous!$D$2:$AY$2&amp;LS_previous!$D$3:$AY$3, 0)),SUM(VLOOKUP($A26, LS_previous!$B$4:$AY$138, LS_previous!H$149, FALSE), VLOOKUP('Staging Table'!$A26, LS_previous!$B$4:$AY$138,LS_previous!AF$149, FALSE))/2)</f>
        <v>194.06413625280004</v>
      </c>
      <c r="Q26" s="192">
        <f t="array" ref="Q26">IF($G26=0, INDEX(LS_previous!$D$4:$AY$138, MATCH('Staging Table'!$A26, LS_previous!$B$4:$B$138, 0), MATCH(Q$4&amp;Q$5, LS_previous!$D$2:$AY$2&amp;LS_previous!$D$3:$AY$3, 0)),SUM(VLOOKUP($A26, LS_previous!$B$4:$AY$138, LS_previous!I$149, FALSE), VLOOKUP('Staging Table'!$A26, LS_previous!$B$4:$AY$138,LS_previous!AG$149, FALSE))/2)</f>
        <v>147.6983517875999</v>
      </c>
      <c r="R26" s="192">
        <f t="array" ref="R26">IF($G26=0, INDEX(LS_previous!$D$4:$AY$138, MATCH('Staging Table'!$A26, LS_previous!$B$4:$B$138, 0), MATCH(R$4&amp;R$5, LS_previous!$D$2:$AY$2&amp;LS_previous!$D$3:$AY$3, 0)),SUM(VLOOKUP($A26, LS_previous!$B$4:$AY$138, LS_previous!J$149, FALSE), VLOOKUP('Staging Table'!$A26, LS_previous!$B$4:$AY$138,LS_previous!AH$149, FALSE))/2)</f>
        <v>307.39556385279991</v>
      </c>
      <c r="S26" s="192">
        <f t="array" ref="S26">IF($G26=0, INDEX(LS_previous!$D$4:$AY$138, MATCH('Staging Table'!$A26, LS_previous!$B$4:$B$138, 0), MATCH(S$4&amp;S$5, LS_previous!$D$2:$AY$2&amp;LS_previous!$D$3:$AY$3, 0)),SUM(VLOOKUP($A26, LS_previous!$B$4:$AY$138, LS_previous!K$149, FALSE), VLOOKUP('Staging Table'!$A26, LS_previous!$B$4:$AY$138,LS_previous!AI$149, FALSE))/2)</f>
        <v>302.01408898760002</v>
      </c>
      <c r="T26" s="192">
        <f t="array" ref="T26">IF($G26=0, INDEX(LS_previous!$D$4:$AY$138, MATCH('Staging Table'!$A26, LS_previous!$B$4:$B$138, 0), MATCH(T$4&amp;T$5, LS_previous!$D$2:$AY$2&amp;LS_previous!$D$3:$AY$3, 0)),SUM(VLOOKUP($A26, LS_previous!$B$4:$AY$138, LS_previous!L$149, FALSE), VLOOKUP('Staging Table'!$A26, LS_previous!$B$4:$AY$138,LS_previous!AJ$149, FALSE))/2)</f>
        <v>196.58770242760011</v>
      </c>
      <c r="U26" s="192">
        <f t="array" ref="U26">IF($G26=0, INDEX(LS_previous!$D$4:$AY$138, MATCH('Staging Table'!$A26, LS_previous!$B$4:$B$138, 0), MATCH(U$4&amp;U$5, LS_previous!$D$2:$AY$2&amp;LS_previous!$D$3:$AY$3, 0)),SUM(VLOOKUP($A26, LS_previous!$B$4:$AY$138, LS_previous!M$149, FALSE), VLOOKUP('Staging Table'!$A26, LS_previous!$B$4:$AY$138,LS_previous!AK$149, FALSE))/2)</f>
        <v>137.9702838924</v>
      </c>
      <c r="V26" s="192">
        <f t="array" ref="V26">IF($G26=0, INDEX(LS_previous!$D$4:$AY$138, MATCH('Staging Table'!$A26, LS_previous!$B$4:$B$138, 0), MATCH(V$4&amp;V$5, LS_previous!$D$2:$AY$2&amp;LS_previous!$D$3:$AY$3, 0)),SUM(VLOOKUP($A26, LS_previous!$B$4:$AY$138, LS_previous!N$149, FALSE), VLOOKUP('Staging Table'!$A26, LS_previous!$B$4:$AY$138,LS_previous!AL$149, FALSE))/2)</f>
        <v>167.91217937840008</v>
      </c>
      <c r="W26" s="192">
        <f t="array" ref="W26">IF($G26=0, INDEX(LS_previous!$D$4:$AY$138, MATCH('Staging Table'!$A26, LS_previous!$B$4:$B$138, 0), MATCH(W$4&amp;W$5, LS_previous!$D$2:$AY$2&amp;LS_previous!$D$3:$AY$3, 0)),SUM(VLOOKUP($A26, LS_previous!$B$4:$AY$138, LS_previous!O$149, FALSE), VLOOKUP('Staging Table'!$A26, LS_previous!$B$4:$AY$138,LS_previous!AM$149, FALSE))/2)</f>
        <v>107.86798972290006</v>
      </c>
      <c r="X26" s="192">
        <f t="array" ref="X26">IF($G26=0, INDEX(LS_previous!$D$4:$AY$138, MATCH('Staging Table'!$A26, LS_previous!$B$4:$B$138, 0), MATCH(X$4&amp;X$5, LS_previous!$D$2:$AY$2&amp;LS_previous!$D$3:$AY$3, 0)),SUM(VLOOKUP($A26, LS_previous!$B$4:$AY$138, LS_previous!P$149, FALSE), VLOOKUP('Staging Table'!$A26, LS_previous!$B$4:$AY$138,LS_previous!AN$149, FALSE))/2)</f>
        <v>186.01468436560003</v>
      </c>
      <c r="Y26" s="192">
        <f t="array" ref="Y26">IF($G26=0, INDEX(LS_previous!$D$4:$AY$138, MATCH('Staging Table'!$A26, LS_previous!$B$4:$B$138, 0), MATCH(Y$4&amp;Y$5, LS_previous!$D$2:$AY$2&amp;LS_previous!$D$3:$AY$3, 0)),SUM(VLOOKUP($A26, LS_previous!$B$4:$AY$138, LS_previous!Q$149, FALSE), VLOOKUP('Staging Table'!$A26, LS_previous!$B$4:$AY$138,LS_previous!AO$149, FALSE))/2)</f>
        <v>103.37674058639999</v>
      </c>
      <c r="Z26" s="192">
        <f t="array" ref="Z26">IF($G26=0, INDEX(LS_previous!$D$4:$AY$138, MATCH('Staging Table'!$A26, LS_previous!$B$4:$B$138, 0), MATCH(Z$4&amp;Z$5, LS_previous!$D$2:$AY$2&amp;LS_previous!$D$3:$AY$3, 0)),SUM(VLOOKUP($A26, LS_previous!$B$4:$AY$138, LS_previous!R$149, FALSE), VLOOKUP('Staging Table'!$A26, LS_previous!$B$4:$AY$138,LS_previous!AP$149, FALSE))/2)</f>
        <v>-229.87489020999999</v>
      </c>
      <c r="AA26" s="192">
        <f t="array" ref="AA26">IF($G26=0, INDEX(LS_previous!$D$4:$AY$138, MATCH('Staging Table'!$A26, LS_previous!$B$4:$B$138, 0), MATCH(AA$4&amp;AA$5, LS_previous!$D$2:$AY$2&amp;LS_previous!$D$3:$AY$3, 0)),SUM(VLOOKUP($A26, LS_previous!$B$4:$AY$138, LS_previous!S$149, FALSE), VLOOKUP('Staging Table'!$A26, LS_previous!$B$4:$AY$138,LS_previous!AQ$149, FALSE))/2)</f>
        <v>-46.17693899959994</v>
      </c>
      <c r="AB26" s="192">
        <f t="array" ref="AB26">IF($G26=0, INDEX(LS_previous!$D$4:$AY$138, MATCH('Staging Table'!$A26, LS_previous!$B$4:$B$138, 0), MATCH(AB$4&amp;AB$5, LS_previous!$D$2:$AY$2&amp;LS_previous!$D$3:$AY$3, 0)),SUM(VLOOKUP($A26, LS_previous!$B$4:$AY$138, LS_previous!T$149, FALSE), VLOOKUP('Staging Table'!$A26, LS_previous!$B$4:$AY$138,LS_previous!AR$149, FALSE))/2)</f>
        <v>-482.65574548439997</v>
      </c>
      <c r="AC26" s="192">
        <f t="array" ref="AC26">IF($G26=0, INDEX(LS_previous!$D$4:$AY$138, MATCH('Staging Table'!$A26, LS_previous!$B$4:$B$138, 0), MATCH(AC$4&amp;AC$5, LS_previous!$D$2:$AY$2&amp;LS_previous!$D$3:$AY$3, 0)),SUM(VLOOKUP($A26, LS_previous!$B$4:$AY$138, LS_previous!U$149, FALSE), VLOOKUP('Staging Table'!$A26, LS_previous!$B$4:$AY$138,LS_previous!AS$149, FALSE))/2)</f>
        <v>-256.34847801360002</v>
      </c>
      <c r="AD26" s="192">
        <f t="array" ref="AD26">IF($G26=0, INDEX(LS_previous!$D$4:$AY$138, MATCH('Staging Table'!$A26, LS_previous!$B$4:$B$138, 0), MATCH(AD$4&amp;AD$5, LS_previous!$D$2:$AY$2&amp;LS_previous!$D$3:$AY$3, 0)),SUM(VLOOKUP($A26, LS_previous!$B$4:$AY$138, LS_previous!V$149, FALSE), VLOOKUP('Staging Table'!$A26, LS_previous!$B$4:$AY$138,LS_previous!AT$149, FALSE))/2)</f>
        <v>-306.92804098440001</v>
      </c>
      <c r="AE26" s="192">
        <f t="array" ref="AE26">IF($G26=0, INDEX(LS_previous!$D$4:$AY$138, MATCH('Staging Table'!$A26, LS_previous!$B$4:$B$138, 0), MATCH(AE$4&amp;AE$5, LS_previous!$D$2:$AY$2&amp;LS_previous!$D$3:$AY$3, 0)),SUM(VLOOKUP($A26, LS_previous!$B$4:$AY$138, LS_previous!W$149, FALSE), VLOOKUP('Staging Table'!$A26, LS_previous!$B$4:$AY$138,LS_previous!AU$149, FALSE))/2)</f>
        <v>-24.872614075199976</v>
      </c>
      <c r="AF26" s="192">
        <f t="array" ref="AF26">IF($G26=0, INDEX(LS_previous!$D$4:$AY$138, MATCH('Staging Table'!$A26, LS_previous!$B$4:$B$138, 0), MATCH(AF$4&amp;AF$5, LS_previous!$D$2:$AY$2&amp;LS_previous!$D$3:$AY$3, 0)),SUM(VLOOKUP($A26, LS_previous!$B$4:$AY$138, LS_previous!X$149, FALSE), VLOOKUP('Staging Table'!$A26, LS_previous!$B$4:$AY$138,LS_previous!AV$149, FALSE))/2)</f>
        <v>-209.5879034344</v>
      </c>
      <c r="AG26" s="192">
        <f t="array" ref="AG26">IF($G26=0, INDEX(LS_previous!$D$4:$AY$138, MATCH('Staging Table'!$A26, LS_previous!$B$4:$B$138, 0), MATCH(AG$4&amp;AG$5, LS_previous!$D$2:$AY$2&amp;LS_previous!$D$3:$AY$3, 0)),SUM(VLOOKUP($A26, LS_previous!$B$4:$AY$138, LS_previous!Y$149, FALSE), VLOOKUP('Staging Table'!$A26, LS_previous!$B$4:$AY$138,LS_previous!AW$149, FALSE))/2)</f>
        <v>-48.534062075199984</v>
      </c>
      <c r="AH26" s="192">
        <f t="array" ref="AH26">IF($G26=0, INDEX(LS_previous!$D$4:$AY$138, MATCH('Staging Table'!$A26, LS_previous!$B$4:$B$138, 0), MATCH(AH$4&amp;AH$5, LS_previous!$D$2:$AY$2&amp;LS_previous!$D$3:$AY$3, 0)),SUM(VLOOKUP($A26, LS_previous!$B$4:$AY$138, LS_previous!Z$149, FALSE), VLOOKUP('Staging Table'!$A26, LS_previous!$B$4:$AY$138,LS_previous!AX$149, FALSE))/2)</f>
        <v>-128.62852255999996</v>
      </c>
      <c r="AI26" s="192">
        <f t="array" ref="AI26">IF($G26=0, INDEX(LS_previous!$D$4:$AY$138, MATCH('Staging Table'!$A26, LS_previous!$B$4:$B$138, 0), MATCH(AI$4&amp;AI$5, LS_previous!$D$2:$AY$2&amp;LS_previous!$D$3:$AY$3, 0)),SUM(VLOOKUP($A26, LS_previous!$B$4:$AY$138, LS_previous!AA$149, FALSE), VLOOKUP('Staging Table'!$A26, LS_previous!$B$4:$AY$138,LS_previous!AY$149, FALSE))/2)</f>
        <v>-57.897155587999976</v>
      </c>
      <c r="AJ26" s="314">
        <f t="array" ref="AJ26">INDEX(Demand_previous!$D$4:$AY$138, MATCH('Staging Table'!$A26, Demand_previous!$B$4:$B$138, 0), MATCH(AJ$4&amp;AJ$5,Demand_previous!$D$2:$AY$2&amp;Demand_previous!$D$3:$AY$3, 0))/1000</f>
        <v>7.972916666666674E-2</v>
      </c>
      <c r="AK26" s="314">
        <f t="array" ref="AK26">INDEX(Demand_previous!$D$4:$AY$138, MATCH('Staging Table'!$A26, Demand_previous!$B$4:$B$138, 0), MATCH(AK$4&amp;AK$5,Demand_previous!$D$2:$AY$2&amp;Demand_previous!$D$3:$AY$3, 0))/1000</f>
        <v>0.13343499999999986</v>
      </c>
      <c r="AL26" s="314">
        <f t="array" ref="AL26">INDEX(Demand_previous!$D$4:$AY$138, MATCH('Staging Table'!$A26, Demand_previous!$B$4:$B$138, 0), MATCH(AL$4&amp;AL$5,Demand_previous!$D$2:$AY$2&amp;Demand_previous!$D$3:$AY$3, 0))/1000</f>
        <v>0.24296249999999953</v>
      </c>
      <c r="AM26" s="314">
        <f t="array" ref="AM26">INDEX(Demand_previous!$D$4:$AY$138, MATCH('Staging Table'!$A26, Demand_previous!$B$4:$B$138, 0), MATCH(AM$4&amp;AM$5,Demand_previous!$D$2:$AY$2&amp;Demand_previous!$D$3:$AY$3, 0))/1000</f>
        <v>0.32661538461538475</v>
      </c>
      <c r="AN26" s="314">
        <f t="array" ref="AN26">INDEX(Demand_previous!$D$4:$AY$138, MATCH('Staging Table'!$A26, Demand_previous!$B$4:$B$138, 0), MATCH(AN$4&amp;AN$5,Demand_previous!$D$2:$AY$2&amp;Demand_previous!$D$3:$AY$3, 0))/1000</f>
        <v>0.2469450000000003</v>
      </c>
      <c r="AO26" s="314">
        <f t="array" ref="AO26">INDEX(Demand_previous!$D$4:$AY$138, MATCH('Staging Table'!$A26, Demand_previous!$B$4:$B$138, 0), MATCH(AO$4&amp;AO$5,Demand_previous!$D$2:$AY$2&amp;Demand_previous!$D$3:$AY$3, 0))/1000</f>
        <v>0.28930528846153813</v>
      </c>
      <c r="AP26" s="314">
        <f t="array" ref="AP26">INDEX(Demand_previous!$D$4:$AY$138, MATCH('Staging Table'!$A26, Demand_previous!$B$4:$B$138, 0), MATCH(AP$4&amp;AP$5,Demand_previous!$D$2:$AY$2&amp;Demand_previous!$D$3:$AY$3, 0))/1000</f>
        <v>0.31878846153846152</v>
      </c>
      <c r="AQ26" s="314">
        <f t="array" ref="AQ26">INDEX(Demand_previous!$D$4:$AY$138, MATCH('Staging Table'!$A26, Demand_previous!$B$4:$B$138, 0), MATCH(AQ$4&amp;AQ$5,Demand_previous!$D$2:$AY$2&amp;Demand_previous!$D$3:$AY$3, 0))/1000</f>
        <v>0</v>
      </c>
      <c r="AR26" s="314">
        <f t="array" ref="AR26">INDEX(Demand_previous!$D$4:$AY$138, MATCH('Staging Table'!$A26, Demand_previous!$B$4:$B$138, 0), MATCH(AR$4&amp;AR$5,Demand_previous!$D$2:$AY$2&amp;Demand_previous!$D$3:$AY$3, 0))/1000</f>
        <v>0.10196875000000027</v>
      </c>
      <c r="AS26" s="314">
        <f t="array" ref="AS26">INDEX(Demand_previous!$D$4:$AY$138, MATCH('Staging Table'!$A26, Demand_previous!$B$4:$B$138, 0), MATCH(AS$4&amp;AS$5,Demand_previous!$D$2:$AY$2&amp;Demand_previous!$D$3:$AY$3, 0))/1000</f>
        <v>0.14049278846153845</v>
      </c>
      <c r="AT26" s="314">
        <f t="array" ref="AT26">INDEX(Demand_previous!$D$4:$AY$138, MATCH('Staging Table'!$A26, Demand_previous!$B$4:$B$138, 0), MATCH(AT$4&amp;AT$5,Demand_previous!$D$2:$AY$2&amp;Demand_previous!$D$3:$AY$3, 0))/1000</f>
        <v>0.15022596153846152</v>
      </c>
      <c r="AU26" s="314">
        <f t="array" ref="AU26">INDEX(Demand_previous!$D$4:$AY$138, MATCH('Staging Table'!$A26, Demand_previous!$B$4:$B$138, 0), MATCH(AU$4&amp;AU$5,Demand_previous!$D$2:$AY$2&amp;Demand_previous!$D$3:$AY$3, 0))/1000</f>
        <v>0</v>
      </c>
      <c r="AV26" s="192">
        <f>$F26*(VLOOKUP(AV$4, Rates_previous!$G$6:$Q$29, 10, FALSE)+VLOOKUP(AV$4, Rates_previous!$G$6:$Q$29, 11, FALSE))</f>
        <v>1224.0507886595999</v>
      </c>
      <c r="AW26" s="192">
        <f>$F26*(VLOOKUP(AW$4, Rates_previous!$G$6:$Q$29, 10, FALSE)+VLOOKUP(AW$4, Rates_previous!$G$6:$Q$29, 11, FALSE))</f>
        <v>1554.9263516588999</v>
      </c>
      <c r="AX26" s="192">
        <f>$F26*(VLOOKUP(AX$4, Rates_previous!$G$6:$Q$29, 10, FALSE)+VLOOKUP(AX$4, Rates_previous!$G$6:$Q$29, 11, FALSE))</f>
        <v>1536.1485119596</v>
      </c>
      <c r="AY26" s="192">
        <f>$F26*(VLOOKUP(AY$4, Rates_previous!$G$6:$Q$29, 10, FALSE)+VLOOKUP(AY$4, Rates_previous!$G$6:$Q$29, 11, FALSE))</f>
        <v>1280.4733471596001</v>
      </c>
      <c r="AZ26" s="192">
        <f>$F26*(VLOOKUP(AZ$4, Rates_previous!$G$6:$Q$29, 10, FALSE)+VLOOKUP(AZ$4, Rates_previous!$G$6:$Q$29, 11, FALSE))</f>
        <v>1159.9760136799998</v>
      </c>
      <c r="BA26" s="192">
        <f>$F26*(VLOOKUP(BA$4, Rates_previous!$G$6:$Q$29, 10, FALSE)+VLOOKUP(BA$4, Rates_previous!$G$6:$Q$29, 11, FALSE))</f>
        <v>1290.2618308987001</v>
      </c>
      <c r="BB26" s="192">
        <f>$F26*(VLOOKUP(BB$4, Rates_previous!$G$6:$Q$29, 10, FALSE)+VLOOKUP(BB$4, Rates_previous!$G$6:$Q$29, 11, FALSE))</f>
        <v>1050.5325750479999</v>
      </c>
      <c r="BC26" s="192">
        <f>$F26*(VLOOKUP(BC$4, Rates_previous!$G$6:$Q$29, 10, FALSE)+VLOOKUP(BC$4, Rates_previous!$G$6:$Q$29, 11, FALSE))</f>
        <v>1416.7998292096001</v>
      </c>
      <c r="BD26" s="192">
        <f>$F26*(VLOOKUP(BD$4, Rates_previous!$G$6:$Q$29, 10, FALSE)+VLOOKUP(BD$4, Rates_previous!$G$6:$Q$29, 11, FALSE))</f>
        <v>1807.740223498</v>
      </c>
      <c r="BE26" s="192">
        <f>$F26*(VLOOKUP(BE$4, Rates_previous!$G$6:$Q$29, 10, FALSE)+VLOOKUP(BE$4, Rates_previous!$G$6:$Q$29, 11, FALSE))</f>
        <v>1417.3256550596002</v>
      </c>
      <c r="BF26" s="192">
        <f>$F26*(VLOOKUP(BF$4, Rates_previous!$G$6:$Q$29, 10, FALSE)+VLOOKUP(BF$4, Rates_previous!$G$6:$Q$29, 11, FALSE))</f>
        <v>1380.1929655096001</v>
      </c>
      <c r="BG26" s="192">
        <f>$F26*(VLOOKUP(BG$4, Rates_previous!$G$6:$Q$29, 10, FALSE)+VLOOKUP(BG$4, Rates_previous!$G$6:$Q$29, 11, FALSE))</f>
        <v>1239.119678148</v>
      </c>
      <c r="BH26" s="314">
        <f>IF($D26=0,IF(C26=0, MAX(BJ26 - (VLOOKUP($A26,TOCA_previous!$A$2:$AI$137,MATCH("RHWM 2020",TOCA_previous!$A$2:$AI$2,0),FALSE)*$F$2*TOCA_previous!C23),0),0), 0)</f>
        <v>0</v>
      </c>
      <c r="BI26" s="204">
        <f>MIN(VLOOKUP($A26,TOCA_previous!$A$2:$AI$137,MATCH("TRL - NLSL - Existing Resource "&amp;$F$1,TOCA_previous!$A$2:$AI$2,0),FALSE)*$F$2,(VLOOKUP($A26,TOCA_previous!$A$2:$AI$137,MATCH("RHWM 2020",TOCA_previous!$A$2:$AI$2,0),FALSE)*$F$2))</f>
        <v>16355.808000000001</v>
      </c>
      <c r="BJ26" s="418">
        <f>SUM(L26:AI26)+(F26*RT1SC!$C$3*$F$2)</f>
        <v>16314.4176139716</v>
      </c>
      <c r="BK26" s="417">
        <f>VLOOKUP($A26,TOCA_previous!$A$2:$AI$137,MATCH("Above RHWM Not Served with LS "&amp;$F$1,TOCA_previous!$A$2:$AI$2,0),FALSE)*$F$2</f>
        <v>0</v>
      </c>
      <c r="BL26" s="418">
        <f t="shared" si="8"/>
        <v>-41.390386028400826</v>
      </c>
      <c r="BM26" s="417">
        <f>(VLOOKUP($A26,TOCA_previous!$A$2:$AI$137,MATCH("RHWM 2020",TOCA_previous!$A$2:$AI$2,0),FALSE)*$F$2) - $BI26</f>
        <v>368.92799999999988</v>
      </c>
      <c r="BN26" s="418">
        <f t="shared" si="9"/>
        <v>0</v>
      </c>
      <c r="BO26" s="417">
        <f t="shared" si="10"/>
        <v>41.390386028400826</v>
      </c>
      <c r="BP26" s="418">
        <f t="shared" si="11"/>
        <v>0</v>
      </c>
      <c r="BQ26" s="417">
        <f t="shared" si="2"/>
        <v>41.390386028400826</v>
      </c>
      <c r="BR26" s="120">
        <f>VLOOKUP($A26,TOCA_current!$A$2:$AI$137,MATCH(BR$4,TOCA_current!$A$2:$AI$2,0),FALSE)</f>
        <v>2.7109999999999998E-4</v>
      </c>
      <c r="BS26" s="120">
        <f>VLOOKUP($A26,TOCA_current!$A$2:$AI$137,MATCH(BS$4,TOCA_current!$A$2:$AI$2,0),FALSE)</f>
        <v>2.7109999999999998E-4</v>
      </c>
      <c r="BT26" s="201">
        <f t="shared" si="12"/>
        <v>0</v>
      </c>
      <c r="BU26" s="120">
        <f>VLOOKUP($A26,TOCA_current!A22:BG157,MATCH(BU$4,TOCA_current!$A$2:$BG$2,0),FALSE)</f>
        <v>0</v>
      </c>
      <c r="BV26" s="120">
        <f t="shared" si="3"/>
        <v>0</v>
      </c>
      <c r="BW26" s="120">
        <f t="shared" si="4"/>
        <v>0</v>
      </c>
      <c r="BX26" s="191">
        <f>VLOOKUP($A26,IRD!$A$4:$G$139, 7, FALSE)</f>
        <v>0</v>
      </c>
      <c r="BY26" s="192">
        <f t="array" ref="BY26">IF($BT26=0, INDEX(LS_current!$D$4:$AY$138, MATCH('Staging Table'!$A26, LS_current!$B$4:$B$138, 0), MATCH(BY$4&amp;BY$5, LS_current!$D$2:$AY$2&amp;LS_current!$D$3:$AY$3, 0)),SUM(VLOOKUP($A26, LS_current!$B$4:$AY$138, LS_current!D$148, FALSE), VLOOKUP($A26, LS_current!$B$4:$AY$138,LS_current!AB$148, FALSE))/2)</f>
        <v>22.178759284426064</v>
      </c>
      <c r="BZ26" s="192">
        <f t="array" ref="BZ26">IF($BT26=0, INDEX(LS_current!$D$4:$AY$138, MATCH('Staging Table'!$A26, LS_current!$B$4:$B$138, 0), MATCH(BZ$4&amp;BZ$5, LS_current!$D$2:$AY$2&amp;LS_current!$D$3:$AY$3, 0)),SUM(VLOOKUP($A26, LS_current!$B$4:$AY$138, LS_current!E$148, FALSE), VLOOKUP($A26, LS_current!$B$4:$AY$138,LS_current!AC$148, FALSE))/2)</f>
        <v>49.474330246724719</v>
      </c>
      <c r="CA26" s="192">
        <f t="array" ref="CA26">IF($BT26=0, INDEX(LS_current!$D$4:$AY$138, MATCH('Staging Table'!$A26, LS_current!$B$4:$B$138, 0), MATCH(CA$4&amp;CA$5, LS_current!$D$2:$AY$2&amp;LS_current!$D$3:$AY$3, 0)),SUM(VLOOKUP($A26, LS_current!$B$4:$AY$138, LS_current!F$148, FALSE), VLOOKUP($A26, LS_current!$B$4:$AY$138,LS_current!AD$148, FALSE))/2)</f>
        <v>-123.71093573759606</v>
      </c>
      <c r="CB26" s="192">
        <f t="array" ref="CB26">IF($BT26=0, INDEX(LS_current!$D$4:$AY$138, MATCH('Staging Table'!$A26, LS_current!$B$4:$B$138, 0), MATCH(CB$4&amp;CB$5, LS_current!$D$2:$AY$2&amp;LS_current!$D$3:$AY$3, 0)),SUM(VLOOKUP($A26, LS_current!$B$4:$AY$138, LS_current!G$148, FALSE), VLOOKUP($A26, LS_current!$B$4:$AY$138,LS_current!AE$148, FALSE))/2)</f>
        <v>-69.071110505032948</v>
      </c>
      <c r="CC26" s="192">
        <f t="array" ref="CC26">IF($BT26=0, INDEX(LS_current!$D$4:$AY$138, MATCH('Staging Table'!$A26, LS_current!$B$4:$B$138, 0), MATCH(CC$4&amp;CC$5, LS_current!$D$2:$AY$2&amp;LS_current!$D$3:$AY$3, 0)),SUM(VLOOKUP($A26, LS_current!$B$4:$AY$138, LS_current!H$148, FALSE), VLOOKUP($A26, LS_current!$B$4:$AY$138,LS_current!AF$148, FALSE))/2)</f>
        <v>274.02310135755886</v>
      </c>
      <c r="CD26" s="192">
        <f t="array" ref="CD26">IF($BT26=0, INDEX(LS_current!$D$4:$AY$138, MATCH('Staging Table'!$A26, LS_current!$B$4:$B$138, 0), MATCH(CD$4&amp;CD$5, LS_current!$D$2:$AY$2&amp;LS_current!$D$3:$AY$3, 0)),SUM(VLOOKUP($A26, LS_current!$B$4:$AY$138, LS_current!I$148, FALSE), VLOOKUP($A26, LS_current!$B$4:$AY$138,LS_current!AG$148, FALSE))/2)</f>
        <v>74.014305344464901</v>
      </c>
      <c r="CE26" s="192">
        <f t="array" ref="CE26">IF($BT26=0, INDEX(LS_current!$D$4:$AY$138, MATCH('Staging Table'!$A26, LS_current!$B$4:$B$138, 0), MATCH(CE$4&amp;CE$5, LS_current!$D$2:$AY$2&amp;LS_current!$D$3:$AY$3, 0)),SUM(VLOOKUP($A26, LS_current!$B$4:$AY$138, LS_current!J$148, FALSE), VLOOKUP($A26, LS_current!$B$4:$AY$138,LS_current!AH$148, FALSE))/2)</f>
        <v>393.28473649760224</v>
      </c>
      <c r="CF26" s="192">
        <f t="array" ref="CF26">IF($BT26=0, INDEX(LS_current!$D$4:$AY$138, MATCH('Staging Table'!$A26, LS_current!$B$4:$B$138, 0), MATCH(CF$4&amp;CF$5, LS_current!$D$2:$AY$2&amp;LS_current!$D$3:$AY$3, 0)),SUM(VLOOKUP($A26, LS_current!$B$4:$AY$138, LS_current!K$148, FALSE), VLOOKUP($A26, LS_current!$B$4:$AY$138,LS_current!AI$148, FALSE))/2)</f>
        <v>232.98773307095007</v>
      </c>
      <c r="CG26" s="192">
        <f t="array" ref="CG26">IF($BT26=0, INDEX(LS_current!$D$4:$AY$138, MATCH('Staging Table'!$A26, LS_current!$B$4:$B$138, 0), MATCH(CG$4&amp;CG$5, LS_current!$D$2:$AY$2&amp;LS_current!$D$3:$AY$3, 0)),SUM(VLOOKUP($A26, LS_current!$B$4:$AY$138, LS_current!L$148, FALSE), VLOOKUP($A26, LS_current!$B$4:$AY$138,LS_current!AJ$148, FALSE))/2)</f>
        <v>292.23430801716097</v>
      </c>
      <c r="CH26" s="192">
        <f t="array" ref="CH26">IF($BT26=0, INDEX(LS_current!$D$4:$AY$138, MATCH('Staging Table'!$A26, LS_current!$B$4:$B$138, 0), MATCH(CH$4&amp;CH$5, LS_current!$D$2:$AY$2&amp;LS_current!$D$3:$AY$3, 0)),SUM(VLOOKUP($A26, LS_current!$B$4:$AY$138, LS_current!M$148, FALSE), VLOOKUP($A26, LS_current!$B$4:$AY$138,LS_current!AK$148, FALSE))/2)</f>
        <v>107.10075059440368</v>
      </c>
      <c r="CI26" s="192">
        <f t="array" ref="CI26">IF($BT26=0, INDEX(LS_current!$D$4:$AY$138, MATCH('Staging Table'!$A26, LS_current!$B$4:$B$138, 0), MATCH(CI$4&amp;CI$5, LS_current!$D$2:$AY$2&amp;LS_current!$D$3:$AY$3, 0)),SUM(VLOOKUP($A26, LS_current!$B$4:$AY$138, LS_current!N$148, FALSE), VLOOKUP($A26, LS_current!$B$4:$AY$138,LS_current!AL$148, FALSE))/2)</f>
        <v>185.33437896945247</v>
      </c>
      <c r="CJ26" s="192">
        <f t="array" ref="CJ26">IF($BT26=0, INDEX(LS_current!$D$4:$AY$138, MATCH('Staging Table'!$A26, LS_current!$B$4:$B$138, 0), MATCH(CJ$4&amp;CJ$5, LS_current!$D$2:$AY$2&amp;LS_current!$D$3:$AY$3, 0)),SUM(VLOOKUP($A26, LS_current!$B$4:$AY$138, LS_current!O$148, FALSE), VLOOKUP($A26, LS_current!$B$4:$AY$138,LS_current!AM$148, FALSE))/2)</f>
        <v>73.261248662215678</v>
      </c>
      <c r="CK26" s="192">
        <f t="array" ref="CK26">IF($BT26=0, INDEX(LS_current!$D$4:$AY$138, MATCH('Staging Table'!$A26, LS_current!$B$4:$B$138, 0), MATCH(CK$4&amp;CK$5, LS_current!$D$2:$AY$2&amp;LS_current!$D$3:$AY$3, 0)),SUM(VLOOKUP($A26, LS_current!$B$4:$AY$138, LS_current!P$148, FALSE), VLOOKUP($A26, LS_current!$B$4:$AY$138,LS_current!AN$148, FALSE))/2)</f>
        <v>221.55127422613248</v>
      </c>
      <c r="CL26" s="192">
        <f t="array" ref="CL26">IF($BT26=0, INDEX(LS_current!$D$4:$AY$138, MATCH('Staging Table'!$A26, LS_current!$B$4:$B$138, 0), MATCH(CL$4&amp;CL$5, LS_current!$D$2:$AY$2&amp;LS_current!$D$3:$AY$3, 0)),SUM(VLOOKUP($A26, LS_current!$B$4:$AY$138, LS_current!Q$148, FALSE), VLOOKUP($A26, LS_current!$B$4:$AY$138,LS_current!AO$148, FALSE))/2)</f>
        <v>103.31467652641578</v>
      </c>
      <c r="CM26" s="192">
        <f t="array" ref="CM26">IF($BT26=0, INDEX(LS_current!$D$4:$AY$138, MATCH('Staging Table'!$A26, LS_current!$B$4:$B$138, 0), MATCH(CM$4&amp;CM$5, LS_current!$D$2:$AY$2&amp;LS_current!$D$3:$AY$3, 0)),SUM(VLOOKUP($A26, LS_current!$B$4:$AY$138, LS_current!R$148, FALSE), VLOOKUP($A26, LS_current!$B$4:$AY$138,LS_current!AP$148, FALSE))/2)</f>
        <v>-258.17189265650734</v>
      </c>
      <c r="CN26" s="192">
        <f t="array" ref="CN26">IF($BT26=0, INDEX(LS_current!$D$4:$AY$138, MATCH('Staging Table'!$A26, LS_current!$B$4:$B$138, 0), MATCH(CN$4&amp;CN$5, LS_current!$D$2:$AY$2&amp;LS_current!$D$3:$AY$3, 0)),SUM(VLOOKUP($A26, LS_current!$B$4:$AY$138, LS_current!S$148, FALSE), VLOOKUP($A26, LS_current!$B$4:$AY$138,LS_current!AQ$148, FALSE))/2)</f>
        <v>-7.4505043719070159</v>
      </c>
      <c r="CO26" s="192">
        <f t="array" ref="CO26">IF($BT26=0, INDEX(LS_current!$D$4:$AY$138, MATCH('Staging Table'!$A26, LS_current!$B$4:$B$138, 0), MATCH(CO$4&amp;CO$5, LS_current!$D$2:$AY$2&amp;LS_current!$D$3:$AY$3, 0)),SUM(VLOOKUP($A26, LS_current!$B$4:$AY$138, LS_current!T$148, FALSE), VLOOKUP($A26, LS_current!$B$4:$AY$138,LS_current!AR$148, FALSE))/2)</f>
        <v>-381.06711269288314</v>
      </c>
      <c r="CP26" s="192">
        <f t="array" ref="CP26">IF($BT26=0, INDEX(LS_current!$D$4:$AY$138, MATCH('Staging Table'!$A26, LS_current!$B$4:$B$138, 0), MATCH(CP$4&amp;CP$5, LS_current!$D$2:$AY$2&amp;LS_current!$D$3:$AY$3, 0)),SUM(VLOOKUP($A26, LS_current!$B$4:$AY$138, LS_current!U$148, FALSE), VLOOKUP($A26, LS_current!$B$4:$AY$138,LS_current!AS$148, FALSE))/2)</f>
        <v>-52.933104734476728</v>
      </c>
      <c r="CQ26" s="192">
        <f t="array" ref="CQ26">IF($BT26=0, INDEX(LS_current!$D$4:$AY$138, MATCH('Staging Table'!$A26, LS_current!$B$4:$B$138, 0), MATCH(CQ$4&amp;CQ$5, LS_current!$D$2:$AY$2&amp;LS_current!$D$3:$AY$3, 0)),SUM(VLOOKUP($A26, LS_current!$B$4:$AY$138, LS_current!V$148, FALSE), VLOOKUP($A26, LS_current!$B$4:$AY$138,LS_current!AT$148, FALSE))/2)</f>
        <v>-281.57448696336564</v>
      </c>
      <c r="CR26" s="192">
        <f t="array" ref="CR26">IF($BT26=0, INDEX(LS_current!$D$4:$AY$138, MATCH('Staging Table'!$A26, LS_current!$B$4:$B$138, 0), MATCH(CR$4&amp;CR$5, LS_current!$D$2:$AY$2&amp;LS_current!$D$3:$AY$3, 0)),SUM(VLOOKUP($A26, LS_current!$B$4:$AY$138, LS_current!W$148, FALSE), VLOOKUP($A26, LS_current!$B$4:$AY$138,LS_current!AU$148, FALSE))/2)</f>
        <v>-59.680505185516438</v>
      </c>
      <c r="CS26" s="192">
        <f t="array" ref="CS26">IF($BT26=0, INDEX(LS_current!$D$4:$AY$138, MATCH('Staging Table'!$A26, LS_current!$B$4:$B$138, 0), MATCH(CS$4&amp;CS$5, LS_current!$D$2:$AY$2&amp;LS_current!$D$3:$AY$3, 0)),SUM(VLOOKUP($A26, LS_current!$B$4:$AY$138, LS_current!X$148, FALSE), VLOOKUP($A26, LS_current!$B$4:$AY$138,LS_current!AV$148, FALSE))/2)</f>
        <v>-192.36175656657883</v>
      </c>
      <c r="CT26" s="192">
        <f t="array" ref="CT26">IF($BT26=0, INDEX(LS_current!$D$4:$AY$138, MATCH('Staging Table'!$A26, LS_current!$B$4:$B$138, 0), MATCH(CT$4&amp;CT$5, LS_current!$D$2:$AY$2&amp;LS_current!$D$3:$AY$3, 0)),SUM(VLOOKUP($A26, LS_current!$B$4:$AY$138, LS_current!Y$148, FALSE), VLOOKUP($A26, LS_current!$B$4:$AY$138,LS_current!AW$148, FALSE))/2)</f>
        <v>-64.440035495871484</v>
      </c>
      <c r="CU26" s="192">
        <f t="array" ref="CU26">IF($BT26=0, INDEX(LS_current!$D$4:$AY$138, MATCH('Staging Table'!$A26, LS_current!$B$4:$B$138, 0), MATCH(CU$4&amp;CU$5, LS_current!$D$2:$AY$2&amp;LS_current!$D$3:$AY$3, 0)),SUM(VLOOKUP($A26, LS_current!$B$4:$AY$138, LS_current!Z$148, FALSE), VLOOKUP($A26, LS_current!$B$4:$AY$138,LS_current!AX$148, FALSE))/2)</f>
        <v>-148.29660181389352</v>
      </c>
      <c r="CV26" s="192">
        <f t="array" ref="CV26">IF($BT26=0, INDEX(LS_current!$D$4:$AY$138, MATCH('Staging Table'!$A26, LS_current!$B$4:$B$138, 0), MATCH(CV$4&amp;CV$5, LS_current!$D$2:$AY$2&amp;LS_current!$D$3:$AY$3, 0)),SUM(VLOOKUP($A26, LS_current!$B$4:$AY$138, LS_current!AA$148, FALSE), VLOOKUP($A26, LS_current!$B$4:$AY$138,LS_current!AY$148, FALSE))/2)</f>
        <v>-73.33159984389539</v>
      </c>
      <c r="CW26" s="194">
        <f t="array" ref="CW26">INDEX(Demand_current!$D$4:$AY$138, MATCH($A26, Demand_current!$B$4:$B$138, 0), MATCH(CW$4&amp;CW$5,Demand_current!$D$2:$AY$2&amp;Demand_current!$D$3:$AY$3, 0))/1000</f>
        <v>7.2572115384615943E-3</v>
      </c>
      <c r="CX26" s="194">
        <f t="array" ref="CX26">INDEX(Demand_current!$D$4:$AY$138, MATCH($A26, Demand_current!$B$4:$B$138, 0), MATCH(CX$4&amp;CX$5,Demand_current!$D$2:$AY$2&amp;Demand_current!$D$3:$AY$3, 0))/1000</f>
        <v>0.13343499999999986</v>
      </c>
      <c r="CY26" s="194">
        <f t="array" ref="CY26">INDEX(Demand_current!$D$4:$AY$138, MATCH($A26, Demand_current!$B$4:$B$138, 0), MATCH(CY$4&amp;CY$5,Demand_current!$D$2:$AY$2&amp;Demand_current!$D$3:$AY$3, 0))/1000</f>
        <v>0.35334855769230744</v>
      </c>
      <c r="CZ26" s="194">
        <f t="array" ref="CZ26">INDEX(Demand_current!$D$4:$AY$138, MATCH($A26, Demand_current!$B$4:$B$138, 0), MATCH(CZ$4&amp;CZ$5,Demand_current!$D$2:$AY$2&amp;Demand_current!$D$3:$AY$3, 0))/1000</f>
        <v>0.21968000000000032</v>
      </c>
      <c r="DA26" s="194">
        <f t="array" ref="DA26">INDEX(Demand_current!$D$4:$AY$138, MATCH($A26, Demand_current!$B$4:$B$138, 0), MATCH(DA$4&amp;DA$5,Demand_current!$D$2:$AY$2&amp;Demand_current!$D$3:$AY$3, 0))/1000</f>
        <v>0.15023437500000025</v>
      </c>
      <c r="DB26" s="194">
        <f t="array" ref="DB26">INDEX(Demand_current!$D$4:$AY$138, MATCH($A26, Demand_current!$B$4:$B$138, 0), MATCH(DB$4&amp;DB$5,Demand_current!$D$2:$AY$2&amp;Demand_current!$D$3:$AY$3, 0))/1000</f>
        <v>0.37729398148148152</v>
      </c>
      <c r="DC26" s="194">
        <f t="array" ref="DC26">INDEX(Demand_current!$D$4:$AY$138, MATCH($A26, Demand_current!$B$4:$B$138, 0), MATCH(DC$4&amp;DC$5,Demand_current!$D$2:$AY$2&amp;Demand_current!$D$3:$AY$3, 0))/1000</f>
        <v>0.31878846153846152</v>
      </c>
      <c r="DD26" s="194">
        <f t="array" ref="DD26">INDEX(Demand_current!$D$4:$AY$138, MATCH($A26, Demand_current!$B$4:$B$138, 0), MATCH(DD$4&amp;DD$5,Demand_current!$D$2:$AY$2&amp;Demand_current!$D$3:$AY$3, 0))/1000</f>
        <v>0</v>
      </c>
      <c r="DE26" s="194">
        <f t="array" ref="DE26">INDEX(Demand_current!$D$4:$AY$138, MATCH($A26, Demand_current!$B$4:$B$138, 0), MATCH(DE$4&amp;DE$5,Demand_current!$D$2:$AY$2&amp;Demand_current!$D$3:$AY$3, 0))/1000</f>
        <v>0.10196875000000027</v>
      </c>
      <c r="DF26" s="194">
        <f t="array" ref="DF26">INDEX(Demand_current!$D$4:$AY$138, MATCH($A26, Demand_current!$B$4:$B$138, 0), MATCH(DF$4&amp;DF$5,Demand_current!$D$2:$AY$2&amp;Demand_current!$D$3:$AY$3, 0))/1000</f>
        <v>7.6192499999999996E-2</v>
      </c>
      <c r="DG26" s="194">
        <f t="array" ref="DG26">INDEX(Demand_current!$D$4:$AY$138, MATCH($A26, Demand_current!$B$4:$B$138, 0), MATCH(DG$4&amp;DG$5,Demand_current!$D$2:$AY$2&amp;Demand_current!$D$3:$AY$3, 0))/1000</f>
        <v>0.21577314814814813</v>
      </c>
      <c r="DH26" s="194">
        <f t="array" ref="DH26">INDEX(Demand_current!$D$4:$AY$138, MATCH($A26, Demand_current!$B$4:$B$138, 0), MATCH(DH$4&amp;DH$5,Demand_current!$D$2:$AY$2&amp;Demand_current!$D$3:$AY$3, 0))/1000</f>
        <v>0</v>
      </c>
      <c r="DI26" s="192">
        <f>$BS26*(VLOOKUP(DI$4, Rates_current!$G$6:$Q$29, 10, FALSE)+VLOOKUP(DI$4, Rates_current!$G$6:$Q$29, 11, FALSE))</f>
        <v>1234.5689104688493</v>
      </c>
      <c r="DJ26" s="192">
        <f>$BS26*(VLOOKUP(DJ$4, Rates_current!$G$6:$Q$29, 10, FALSE)+VLOOKUP(DJ$4, Rates_current!$G$6:$Q$29, 11, FALSE))</f>
        <v>1563.0090462426292</v>
      </c>
      <c r="DK26" s="192">
        <f>$BS26*(VLOOKUP(DK$4, Rates_current!$G$6:$Q$29, 10, FALSE)+VLOOKUP(DK$4, Rates_current!$G$6:$Q$29, 11, FALSE))</f>
        <v>1529.8735932979764</v>
      </c>
      <c r="DL26" s="192">
        <f>$BS26*(VLOOKUP(DL$4, Rates_current!$G$6:$Q$29, 10, FALSE)+VLOOKUP(DL$4, Rates_current!$G$6:$Q$29, 11, FALSE))</f>
        <v>1263.6105304314476</v>
      </c>
      <c r="DM26" s="192">
        <f>$BS26*(VLOOKUP(DM$4, Rates_current!$G$6:$Q$29, 10, FALSE)+VLOOKUP(DM$4, Rates_current!$G$6:$Q$29, 11, FALSE))</f>
        <v>1095.1989413884355</v>
      </c>
      <c r="DN26" s="192">
        <f>$BS26*(VLOOKUP(DN$4, Rates_current!$G$6:$Q$29, 10, FALSE)+VLOOKUP(DN$4, Rates_current!$G$6:$Q$29, 11, FALSE))</f>
        <v>1307.446372368332</v>
      </c>
      <c r="DO26" s="192">
        <f>$BS26*(VLOOKUP(DO$4, Rates_current!$G$6:$Q$29, 10, FALSE)+VLOOKUP(DO$4, Rates_current!$G$6:$Q$29, 11, FALSE))</f>
        <v>1015.0580492474518</v>
      </c>
      <c r="DP26" s="192">
        <f>$BS26*(VLOOKUP(DP$4, Rates_current!$G$6:$Q$29, 10, FALSE)+VLOOKUP(DP$4, Rates_current!$G$6:$Q$29, 11, FALSE))</f>
        <v>1406.3703970284143</v>
      </c>
      <c r="DQ26" s="192">
        <f>$BS26*(VLOOKUP(DQ$4, Rates_current!$G$6:$Q$29, 10, FALSE)+VLOOKUP(DQ$4, Rates_current!$G$6:$Q$29, 11, FALSE))</f>
        <v>1502.7362174273596</v>
      </c>
      <c r="DR26" s="192">
        <f>$BS26*(VLOOKUP(DR$4, Rates_current!$G$6:$Q$29, 10, FALSE)+VLOOKUP(DR$4, Rates_current!$G$6:$Q$29, 11, FALSE))</f>
        <v>1426.7799921488822</v>
      </c>
      <c r="DS26" s="192">
        <f>$BS26*(VLOOKUP(DS$4, Rates_current!$G$6:$Q$29, 10, FALSE)+VLOOKUP(DS$4, Rates_current!$G$6:$Q$29, 11, FALSE))</f>
        <v>1378.8727920624503</v>
      </c>
      <c r="DT26" s="192">
        <f>$BS26*(VLOOKUP(DT$4, Rates_current!$G$6:$Q$29, 10, FALSE)+VLOOKUP(DT$4, Rates_current!$G$6:$Q$29, 11, FALSE))</f>
        <v>1274.2222016577889</v>
      </c>
      <c r="DU26" s="418">
        <f>IF(D26=0,IF(C26=0,MAX(0,DW26 - (VLOOKUP($A26,TOCA_current!$A$2:$AI$137,MATCH("RHWM 2022",TOCA_current!$A$2:$AI$2,0),FALSE)*$BS$2)), 0),0)</f>
        <v>318.65781835398411</v>
      </c>
      <c r="DV26" s="419">
        <f>MIN(VLOOKUP($A26,TOCA_current!$A$2:$AI$137,MATCH("TRL - NLSL - Existing Resource "&amp;$BS$1,TOCA_current!$A$2:$AI$2,0),FALSE)*$BS$2, VLOOKUP($A26,TOCA_current!$A$2:$AI$137,MATCH("RHWM 2022",TOCA_current!$A$2:$AI$2,0),FALSE)*$BS$2)</f>
        <v>15995.76</v>
      </c>
      <c r="DW26" s="419">
        <f>SUM(BY26:CV26)+(BS26*RT1SC!$C$4*$BS$2)</f>
        <v>16314.417818353984</v>
      </c>
      <c r="DX26" s="419">
        <f>VLOOKUP($A26,TOCA_current!$A$2:$AI$137,MATCH("Above RHWM Not Served with LS "&amp;$BS$1,TOCA_current!$A$2:$AI$2,0),FALSE)*$BS$2</f>
        <v>0</v>
      </c>
      <c r="DY26" s="419">
        <f t="shared" si="13"/>
        <v>318.65781835398411</v>
      </c>
      <c r="DZ26" s="419">
        <f>(VLOOKUP($A26,TOCA_current!$A$2:$AI$137,MATCH("RHWM 2022",TOCA_current!$A$2:$AI$2,0),FALSE)*$BS$2) - $DV26</f>
        <v>0</v>
      </c>
      <c r="EA26" s="419">
        <f t="shared" si="14"/>
        <v>0</v>
      </c>
      <c r="EB26" s="419">
        <f t="shared" si="15"/>
        <v>0</v>
      </c>
      <c r="EC26" s="419">
        <f t="shared" si="16"/>
        <v>0</v>
      </c>
      <c r="ED26" s="419">
        <f t="shared" si="17"/>
        <v>0</v>
      </c>
    </row>
    <row r="27" spans="1:134">
      <c r="A27" s="135">
        <v>10072</v>
      </c>
      <c r="B27" s="136" t="s">
        <v>28</v>
      </c>
      <c r="C27" s="244">
        <f>VLOOKUP(A27, TOCA_current!$A$3:$D$137, 4, FALSE)</f>
        <v>0</v>
      </c>
      <c r="D27" s="203">
        <v>0</v>
      </c>
      <c r="E27" s="119">
        <f>VLOOKUP($A27,TOCA_previous!$A$2:$AI$137,MATCH(E$4,TOCA_previous!$A$2:$AI$2,0),FALSE)</f>
        <v>3.3960000000000001E-3</v>
      </c>
      <c r="F27" s="120">
        <f>VLOOKUP($A27,TOCA_previous!$A$2:$AI$137,MATCH(F$4,TOCA_previous!$A$2:$AI$2,0),FALSE)</f>
        <v>3.3960000000000001E-3</v>
      </c>
      <c r="G27" s="120">
        <f t="shared" si="5"/>
        <v>0</v>
      </c>
      <c r="H27" s="120">
        <f>VLOOKUP($A27,TOCA_previous!$A$2:$AI$137,MATCH(H$4,TOCA_previous!$A$2:$AI$2,0),FALSE)</f>
        <v>0</v>
      </c>
      <c r="I27" s="120">
        <f t="shared" si="6"/>
        <v>0</v>
      </c>
      <c r="J27" s="120">
        <f t="shared" si="7"/>
        <v>0</v>
      </c>
      <c r="K27" s="191">
        <f>VLOOKUP(A27, IRD!$A$5:$C$139, 3, FALSE)</f>
        <v>0</v>
      </c>
      <c r="L27" s="192">
        <f t="array" ref="L27">IF($G27=0, INDEX(LS_previous!$D$4:$AY$138, MATCH('Staging Table'!$A27, LS_previous!$B$4:$B$138, 0), MATCH(L$4&amp;L$5, LS_previous!$D$2:$AY$2&amp;LS_previous!$D$3:$AY$3, 0)),SUM(VLOOKUP($A27, LS_previous!$B$4:$AY$138, LS_previous!D$149, FALSE), VLOOKUP('Staging Table'!$A27, LS_previous!$B$4:$AY$138,LS_previous!AB$149, FALSE))/2)</f>
        <v>914.69194235199939</v>
      </c>
      <c r="M27" s="192">
        <f t="array" ref="M27">IF($G27=0, INDEX(LS_previous!$D$4:$AY$138, MATCH('Staging Table'!$A27, LS_previous!$B$4:$B$138, 0), MATCH(M$4&amp;M$5, LS_previous!$D$2:$AY$2&amp;LS_previous!$D$3:$AY$3, 0)),SUM(VLOOKUP($A27, LS_previous!$B$4:$AY$138, LS_previous!E$149, FALSE), VLOOKUP('Staging Table'!$A27, LS_previous!$B$4:$AY$138,LS_previous!AC$149, FALSE))/2)</f>
        <v>1083.6608600319996</v>
      </c>
      <c r="N27" s="192">
        <f t="array" ref="N27">IF($G27=0, INDEX(LS_previous!$D$4:$AY$138, MATCH('Staging Table'!$A27, LS_previous!$B$4:$B$138, 0), MATCH(N$4&amp;N$5, LS_previous!$D$2:$AY$2&amp;LS_previous!$D$3:$AY$3, 0)),SUM(VLOOKUP($A27, LS_previous!$B$4:$AY$138, LS_previous!F$149, FALSE), VLOOKUP('Staging Table'!$A27, LS_previous!$B$4:$AY$138,LS_previous!AD$149, FALSE))/2)</f>
        <v>-1757.9771250880003</v>
      </c>
      <c r="O27" s="192">
        <f t="array" ref="O27">IF($G27=0, INDEX(LS_previous!$D$4:$AY$138, MATCH('Staging Table'!$A27, LS_previous!$B$4:$B$138, 0), MATCH(O$4&amp;O$5, LS_previous!$D$2:$AY$2&amp;LS_previous!$D$3:$AY$3, 0)),SUM(VLOOKUP($A27, LS_previous!$B$4:$AY$138, LS_previous!G$149, FALSE), VLOOKUP('Staging Table'!$A27, LS_previous!$B$4:$AY$138,LS_previous!AE$149, FALSE))/2)</f>
        <v>-277.62015455600067</v>
      </c>
      <c r="P27" s="192">
        <f t="array" ref="P27">IF($G27=0, INDEX(LS_previous!$D$4:$AY$138, MATCH('Staging Table'!$A27, LS_previous!$B$4:$B$138, 0), MATCH(P$4&amp;P$5, LS_previous!$D$2:$AY$2&amp;LS_previous!$D$3:$AY$3, 0)),SUM(VLOOKUP($A27, LS_previous!$B$4:$AY$138, LS_previous!H$149, FALSE), VLOOKUP('Staging Table'!$A27, LS_previous!$B$4:$AY$138,LS_previous!AF$149, FALSE))/2)</f>
        <v>907.8691418879971</v>
      </c>
      <c r="Q27" s="192">
        <f t="array" ref="Q27">IF($G27=0, INDEX(LS_previous!$D$4:$AY$138, MATCH('Staging Table'!$A27, LS_previous!$B$4:$B$138, 0), MATCH(Q$4&amp;Q$5, LS_previous!$D$2:$AY$2&amp;LS_previous!$D$3:$AY$3, 0)),SUM(VLOOKUP($A27, LS_previous!$B$4:$AY$138, LS_previous!I$149, FALSE), VLOOKUP('Staging Table'!$A27, LS_previous!$B$4:$AY$138,LS_previous!AG$149, FALSE))/2)</f>
        <v>1800.319592496</v>
      </c>
      <c r="R27" s="192">
        <f t="array" ref="R27">IF($G27=0, INDEX(LS_previous!$D$4:$AY$138, MATCH('Staging Table'!$A27, LS_previous!$B$4:$B$138, 0), MATCH(R$4&amp;R$5, LS_previous!$D$2:$AY$2&amp;LS_previous!$D$3:$AY$3, 0)),SUM(VLOOKUP($A27, LS_previous!$B$4:$AY$138, LS_previous!J$149, FALSE), VLOOKUP('Staging Table'!$A27, LS_previous!$B$4:$AY$138,LS_previous!AH$149, FALSE))/2)</f>
        <v>3586.6280378879983</v>
      </c>
      <c r="S27" s="192">
        <f t="array" ref="S27">IF($G27=0, INDEX(LS_previous!$D$4:$AY$138, MATCH('Staging Table'!$A27, LS_previous!$B$4:$B$138, 0), MATCH(S$4&amp;S$5, LS_previous!$D$2:$AY$2&amp;LS_previous!$D$3:$AY$3, 0)),SUM(VLOOKUP($A27, LS_previous!$B$4:$AY$138, LS_previous!K$149, FALSE), VLOOKUP('Staging Table'!$A27, LS_previous!$B$4:$AY$138,LS_previous!AI$149, FALSE))/2)</f>
        <v>3467.6951044959997</v>
      </c>
      <c r="T27" s="192">
        <f t="array" ref="T27">IF($G27=0, INDEX(LS_previous!$D$4:$AY$138, MATCH('Staging Table'!$A27, LS_previous!$B$4:$B$138, 0), MATCH(T$4&amp;T$5, LS_previous!$D$2:$AY$2&amp;LS_previous!$D$3:$AY$3, 0)),SUM(VLOOKUP($A27, LS_previous!$B$4:$AY$138, LS_previous!L$149, FALSE), VLOOKUP('Staging Table'!$A27, LS_previous!$B$4:$AY$138,LS_previous!AJ$149, FALSE))/2)</f>
        <v>1748.2771668959995</v>
      </c>
      <c r="U27" s="192">
        <f t="array" ref="U27">IF($G27=0, INDEX(LS_previous!$D$4:$AY$138, MATCH('Staging Table'!$A27, LS_previous!$B$4:$B$138, 0), MATCH(U$4&amp;U$5, LS_previous!$D$2:$AY$2&amp;LS_previous!$D$3:$AY$3, 0)),SUM(VLOOKUP($A27, LS_previous!$B$4:$AY$138, LS_previous!M$149, FALSE), VLOOKUP('Staging Table'!$A27, LS_previous!$B$4:$AY$138,LS_previous!AK$149, FALSE))/2)</f>
        <v>1303.2021803039997</v>
      </c>
      <c r="V27" s="192">
        <f t="array" ref="V27">IF($G27=0, INDEX(LS_previous!$D$4:$AY$138, MATCH('Staging Table'!$A27, LS_previous!$B$4:$B$138, 0), MATCH(V$4&amp;V$5, LS_previous!$D$2:$AY$2&amp;LS_previous!$D$3:$AY$3, 0)),SUM(VLOOKUP($A27, LS_previous!$B$4:$AY$138, LS_previous!N$149, FALSE), VLOOKUP('Staging Table'!$A27, LS_previous!$B$4:$AY$138,LS_previous!AL$149, FALSE))/2)</f>
        <v>664.91340086400123</v>
      </c>
      <c r="W27" s="192">
        <f t="array" ref="W27">IF($G27=0, INDEX(LS_previous!$D$4:$AY$138, MATCH('Staging Table'!$A27, LS_previous!$B$4:$B$138, 0), MATCH(W$4&amp;W$5, LS_previous!$D$2:$AY$2&amp;LS_previous!$D$3:$AY$3, 0)),SUM(VLOOKUP($A27, LS_previous!$B$4:$AY$138, LS_previous!O$149, FALSE), VLOOKUP('Staging Table'!$A27, LS_previous!$B$4:$AY$138,LS_previous!AM$149, FALSE))/2)</f>
        <v>990.10871708399918</v>
      </c>
      <c r="X27" s="192">
        <f t="array" ref="X27">IF($G27=0, INDEX(LS_previous!$D$4:$AY$138, MATCH('Staging Table'!$A27, LS_previous!$B$4:$B$138, 0), MATCH(X$4&amp;X$5, LS_previous!$D$2:$AY$2&amp;LS_previous!$D$3:$AY$3, 0)),SUM(VLOOKUP($A27, LS_previous!$B$4:$AY$138, LS_previous!P$149, FALSE), VLOOKUP('Staging Table'!$A27, LS_previous!$B$4:$AY$138,LS_previous!AN$149, FALSE))/2)</f>
        <v>1719.8972093760003</v>
      </c>
      <c r="Y27" s="192">
        <f t="array" ref="Y27">IF($G27=0, INDEX(LS_previous!$D$4:$AY$138, MATCH('Staging Table'!$A27, LS_previous!$B$4:$B$138, 0), MATCH(Y$4&amp;Y$5, LS_previous!$D$2:$AY$2&amp;LS_previous!$D$3:$AY$3, 0)),SUM(VLOOKUP($A27, LS_previous!$B$4:$AY$138, LS_previous!Q$149, FALSE), VLOOKUP('Staging Table'!$A27, LS_previous!$B$4:$AY$138,LS_previous!AO$149, FALSE))/2)</f>
        <v>1215.6880725439996</v>
      </c>
      <c r="Z27" s="192">
        <f t="array" ref="Z27">IF($G27=0, INDEX(LS_previous!$D$4:$AY$138, MATCH('Staging Table'!$A27, LS_previous!$B$4:$B$138, 0), MATCH(Z$4&amp;Z$5, LS_previous!$D$2:$AY$2&amp;LS_previous!$D$3:$AY$3, 0)),SUM(VLOOKUP($A27, LS_previous!$B$4:$AY$138, LS_previous!R$149, FALSE), VLOOKUP('Staging Table'!$A27, LS_previous!$B$4:$AY$138,LS_previous!AP$149, FALSE))/2)</f>
        <v>-2684.7667916000009</v>
      </c>
      <c r="AA27" s="192">
        <f t="array" ref="AA27">IF($G27=0, INDEX(LS_previous!$D$4:$AY$138, MATCH('Staging Table'!$A27, LS_previous!$B$4:$B$138, 0), MATCH(AA$4&amp;AA$5, LS_previous!$D$2:$AY$2&amp;LS_previous!$D$3:$AY$3, 0)),SUM(VLOOKUP($A27, LS_previous!$B$4:$AY$138, LS_previous!S$149, FALSE), VLOOKUP('Staging Table'!$A27, LS_previous!$B$4:$AY$138,LS_previous!AQ$149, FALSE))/2)</f>
        <v>-585.0147840160007</v>
      </c>
      <c r="AB27" s="192">
        <f t="array" ref="AB27">IF($G27=0, INDEX(LS_previous!$D$4:$AY$138, MATCH('Staging Table'!$A27, LS_previous!$B$4:$B$138, 0), MATCH(AB$4&amp;AB$5, LS_previous!$D$2:$AY$2&amp;LS_previous!$D$3:$AY$3, 0)),SUM(VLOOKUP($A27, LS_previous!$B$4:$AY$138, LS_previous!T$149, FALSE), VLOOKUP('Staging Table'!$A27, LS_previous!$B$4:$AY$138,LS_previous!AR$149, FALSE))/2)</f>
        <v>-5648.2625966240012</v>
      </c>
      <c r="AC27" s="192">
        <f t="array" ref="AC27">IF($G27=0, INDEX(LS_previous!$D$4:$AY$138, MATCH('Staging Table'!$A27, LS_previous!$B$4:$B$138, 0), MATCH(AC$4&amp;AC$5, LS_previous!$D$2:$AY$2&amp;LS_previous!$D$3:$AY$3, 0)),SUM(VLOOKUP($A27, LS_previous!$B$4:$AY$138, LS_previous!U$149, FALSE), VLOOKUP('Staging Table'!$A27, LS_previous!$B$4:$AY$138,LS_previous!AS$149, FALSE))/2)</f>
        <v>-2635.7031834560003</v>
      </c>
      <c r="AD27" s="192">
        <f t="array" ref="AD27">IF($G27=0, INDEX(LS_previous!$D$4:$AY$138, MATCH('Staging Table'!$A27, LS_previous!$B$4:$B$138, 0), MATCH(AD$4&amp;AD$5, LS_previous!$D$2:$AY$2&amp;LS_previous!$D$3:$AY$3, 0)),SUM(VLOOKUP($A27, LS_previous!$B$4:$AY$138, LS_previous!V$149, FALSE), VLOOKUP('Staging Table'!$A27, LS_previous!$B$4:$AY$138,LS_previous!AT$149, FALSE))/2)</f>
        <v>-2400.355776624001</v>
      </c>
      <c r="AE27" s="192">
        <f t="array" ref="AE27">IF($G27=0, INDEX(LS_previous!$D$4:$AY$138, MATCH('Staging Table'!$A27, LS_previous!$B$4:$B$138, 0), MATCH(AE$4&amp;AE$5, LS_previous!$D$2:$AY$2&amp;LS_previous!$D$3:$AY$3, 0)),SUM(VLOOKUP($A27, LS_previous!$B$4:$AY$138, LS_previous!W$149, FALSE), VLOOKUP('Staging Table'!$A27, LS_previous!$B$4:$AY$138,LS_previous!AU$149, FALSE))/2)</f>
        <v>666.60823500799961</v>
      </c>
      <c r="AF27" s="192">
        <f t="array" ref="AF27">IF($G27=0, INDEX(LS_previous!$D$4:$AY$138, MATCH('Staging Table'!$A27, LS_previous!$B$4:$B$138, 0), MATCH(AF$4&amp;AF$5, LS_previous!$D$2:$AY$2&amp;LS_previous!$D$3:$AY$3, 0)),SUM(VLOOKUP($A27, LS_previous!$B$4:$AY$138, LS_previous!X$149, FALSE), VLOOKUP('Staging Table'!$A27, LS_previous!$B$4:$AY$138,LS_previous!AV$149, FALSE))/2)</f>
        <v>-1639.9222786239989</v>
      </c>
      <c r="AG27" s="192">
        <f t="array" ref="AG27">IF($G27=0, INDEX(LS_previous!$D$4:$AY$138, MATCH('Staging Table'!$A27, LS_previous!$B$4:$B$138, 0), MATCH(AG$4&amp;AG$5, LS_previous!$D$2:$AY$2&amp;LS_previous!$D$3:$AY$3, 0)),SUM(VLOOKUP($A27, LS_previous!$B$4:$AY$138, LS_previous!Y$149, FALSE), VLOOKUP('Staging Table'!$A27, LS_previous!$B$4:$AY$138,LS_previous!AW$149, FALSE))/2)</f>
        <v>341.43415500799983</v>
      </c>
      <c r="AH27" s="192">
        <f t="array" ref="AH27">IF($G27=0, INDEX(LS_previous!$D$4:$AY$138, MATCH('Staging Table'!$A27, LS_previous!$B$4:$B$138, 0), MATCH(AH$4&amp;AH$5, LS_previous!$D$2:$AY$2&amp;LS_previous!$D$3:$AY$3, 0)),SUM(VLOOKUP($A27, LS_previous!$B$4:$AY$138, LS_previous!Z$149, FALSE), VLOOKUP('Staging Table'!$A27, LS_previous!$B$4:$AY$138,LS_previous!AX$149, FALSE))/2)</f>
        <v>-1806.8494976000002</v>
      </c>
      <c r="AI27" s="192">
        <f t="array" ref="AI27">IF($G27=0, INDEX(LS_previous!$D$4:$AY$138, MATCH('Staging Table'!$A27, LS_previous!$B$4:$B$138, 0), MATCH(AI$4&amp;AI$5, LS_previous!$D$2:$AY$2&amp;LS_previous!$D$3:$AY$3, 0)),SUM(VLOOKUP($A27, LS_previous!$B$4:$AY$138, LS_previous!AA$149, FALSE), VLOOKUP('Staging Table'!$A27, LS_previous!$B$4:$AY$138,LS_previous!AY$149, FALSE))/2)</f>
        <v>-260.34009647999937</v>
      </c>
      <c r="AJ27" s="314">
        <f t="array" ref="AJ27">INDEX(Demand_previous!$D$4:$AY$138, MATCH('Staging Table'!$A27, Demand_previous!$B$4:$B$138, 0), MATCH(AJ$4&amp;AJ$5,Demand_previous!$D$2:$AY$2&amp;Demand_previous!$D$3:$AY$3, 0))/1000</f>
        <v>1.5070601851851864</v>
      </c>
      <c r="AK27" s="314">
        <f t="array" ref="AK27">INDEX(Demand_previous!$D$4:$AY$138, MATCH('Staging Table'!$A27, Demand_previous!$B$4:$B$138, 0), MATCH(AK$4&amp;AK$5,Demand_previous!$D$2:$AY$2&amp;Demand_previous!$D$3:$AY$3, 0))/1000</f>
        <v>1.7850925000000011</v>
      </c>
      <c r="AL27" s="314">
        <f t="array" ref="AL27">INDEX(Demand_previous!$D$4:$AY$138, MATCH('Staging Table'!$A27, Demand_previous!$B$4:$B$138, 0), MATCH(AL$4&amp;AL$5,Demand_previous!$D$2:$AY$2&amp;Demand_previous!$D$3:$AY$3, 0))/1000</f>
        <v>2.608430000000006</v>
      </c>
      <c r="AM27" s="314">
        <f t="array" ref="AM27">INDEX(Demand_previous!$D$4:$AY$138, MATCH('Staging Table'!$A27, Demand_previous!$B$4:$B$138, 0), MATCH(AM$4&amp;AM$5,Demand_previous!$D$2:$AY$2&amp;Demand_previous!$D$3:$AY$3, 0))/1000</f>
        <v>5.3144519230769243</v>
      </c>
      <c r="AN27" s="314">
        <f t="array" ref="AN27">INDEX(Demand_previous!$D$4:$AY$138, MATCH('Staging Table'!$A27, Demand_previous!$B$4:$B$138, 0), MATCH(AN$4&amp;AN$5,Demand_previous!$D$2:$AY$2&amp;Demand_previous!$D$3:$AY$3, 0))/1000</f>
        <v>4.7268375000000002</v>
      </c>
      <c r="AO27" s="314">
        <f t="array" ref="AO27">INDEX(Demand_previous!$D$4:$AY$138, MATCH('Staging Table'!$A27, Demand_previous!$B$4:$B$138, 0), MATCH(AO$4&amp;AO$5,Demand_previous!$D$2:$AY$2&amp;Demand_previous!$D$3:$AY$3, 0))/1000</f>
        <v>2.5580528846153872</v>
      </c>
      <c r="AP27" s="314">
        <f t="array" ref="AP27">INDEX(Demand_previous!$D$4:$AY$138, MATCH('Staging Table'!$A27, Demand_previous!$B$4:$B$138, 0), MATCH(AP$4&amp;AP$5,Demand_previous!$D$2:$AY$2&amp;Demand_previous!$D$3:$AY$3, 0))/1000</f>
        <v>3.2313485576923067</v>
      </c>
      <c r="AQ27" s="314">
        <f t="array" ref="AQ27">INDEX(Demand_previous!$D$4:$AY$138, MATCH('Staging Table'!$A27, Demand_previous!$B$4:$B$138, 0), MATCH(AQ$4&amp;AQ$5,Demand_previous!$D$2:$AY$2&amp;Demand_previous!$D$3:$AY$3, 0))/1000</f>
        <v>2.5198575000000019</v>
      </c>
      <c r="AR27" s="314">
        <f t="array" ref="AR27">INDEX(Demand_previous!$D$4:$AY$138, MATCH('Staging Table'!$A27, Demand_previous!$B$4:$B$138, 0), MATCH(AR$4&amp;AR$5,Demand_previous!$D$2:$AY$2&amp;Demand_previous!$D$3:$AY$3, 0))/1000</f>
        <v>3.7532716346153867</v>
      </c>
      <c r="AS27" s="314">
        <f t="array" ref="AS27">INDEX(Demand_previous!$D$4:$AY$138, MATCH('Staging Table'!$A27, Demand_previous!$B$4:$B$138, 0), MATCH(AS$4&amp;AS$5,Demand_previous!$D$2:$AY$2&amp;Demand_previous!$D$3:$AY$3, 0))/1000</f>
        <v>3.339990384615386</v>
      </c>
      <c r="AT27" s="314">
        <f t="array" ref="AT27">INDEX(Demand_previous!$D$4:$AY$138, MATCH('Staging Table'!$A27, Demand_previous!$B$4:$B$138, 0), MATCH(AT$4&amp;AT$5,Demand_previous!$D$2:$AY$2&amp;Demand_previous!$D$3:$AY$3, 0))/1000</f>
        <v>4.3598269230769224</v>
      </c>
      <c r="AU27" s="314">
        <f t="array" ref="AU27">INDEX(Demand_previous!$D$4:$AY$138, MATCH('Staging Table'!$A27, Demand_previous!$B$4:$B$138, 0), MATCH(AU$4&amp;AU$5,Demand_previous!$D$2:$AY$2&amp;Demand_previous!$D$3:$AY$3, 0))/1000</f>
        <v>5.9452799999999968</v>
      </c>
      <c r="AV27" s="192">
        <f>$F27*(VLOOKUP(AV$4, Rates_previous!$G$6:$Q$29, 10, FALSE)+VLOOKUP(AV$4, Rates_previous!$G$6:$Q$29, 11, FALSE))</f>
        <v>15680.409197616</v>
      </c>
      <c r="AW27" s="192">
        <f>$F27*(VLOOKUP(AW$4, Rates_previous!$G$6:$Q$29, 10, FALSE)+VLOOKUP(AW$4, Rates_previous!$G$6:$Q$29, 11, FALSE))</f>
        <v>19919.011279644001</v>
      </c>
      <c r="AX27" s="192">
        <f>$F27*(VLOOKUP(AX$4, Rates_previous!$G$6:$Q$29, 10, FALSE)+VLOOKUP(AX$4, Rates_previous!$G$6:$Q$29, 11, FALSE))</f>
        <v>19678.462265616003</v>
      </c>
      <c r="AY27" s="192">
        <f>$F27*(VLOOKUP(AY$4, Rates_previous!$G$6:$Q$29, 10, FALSE)+VLOOKUP(AY$4, Rates_previous!$G$6:$Q$29, 11, FALSE))</f>
        <v>16403.196857616003</v>
      </c>
      <c r="AZ27" s="192">
        <f>$F27*(VLOOKUP(AZ$4, Rates_previous!$G$6:$Q$29, 10, FALSE)+VLOOKUP(AZ$4, Rates_previous!$G$6:$Q$29, 11, FALSE))</f>
        <v>14859.5946528</v>
      </c>
      <c r="BA27" s="192">
        <f>$F27*(VLOOKUP(BA$4, Rates_previous!$G$6:$Q$29, 10, FALSE)+VLOOKUP(BA$4, Rates_previous!$G$6:$Q$29, 11, FALSE))</f>
        <v>16528.589882052001</v>
      </c>
      <c r="BB27" s="192">
        <f>$F27*(VLOOKUP(BB$4, Rates_previous!$G$6:$Q$29, 10, FALSE)+VLOOKUP(BB$4, Rates_previous!$G$6:$Q$29, 11, FALSE))</f>
        <v>13457.59571808</v>
      </c>
      <c r="BC27" s="192">
        <f>$F27*(VLOOKUP(BC$4, Rates_previous!$G$6:$Q$29, 10, FALSE)+VLOOKUP(BC$4, Rates_previous!$G$6:$Q$29, 11, FALSE))</f>
        <v>18149.574575616003</v>
      </c>
      <c r="BD27" s="192">
        <f>$F27*(VLOOKUP(BD$4, Rates_previous!$G$6:$Q$29, 10, FALSE)+VLOOKUP(BD$4, Rates_previous!$G$6:$Q$29, 11, FALSE))</f>
        <v>23157.622780080004</v>
      </c>
      <c r="BE27" s="192">
        <f>$F27*(VLOOKUP(BE$4, Rates_previous!$G$6:$Q$29, 10, FALSE)+VLOOKUP(BE$4, Rates_previous!$G$6:$Q$29, 11, FALSE))</f>
        <v>18156.310541616003</v>
      </c>
      <c r="BF27" s="192">
        <f>$F27*(VLOOKUP(BF$4, Rates_previous!$G$6:$Q$29, 10, FALSE)+VLOOKUP(BF$4, Rates_previous!$G$6:$Q$29, 11, FALSE))</f>
        <v>17680.631123616004</v>
      </c>
      <c r="BG27" s="192">
        <f>$F27*(VLOOKUP(BG$4, Rates_previous!$G$6:$Q$29, 10, FALSE)+VLOOKUP(BG$4, Rates_previous!$G$6:$Q$29, 11, FALSE))</f>
        <v>15873.445594080002</v>
      </c>
      <c r="BH27" s="314">
        <f>IF($D27=0,IF(C27=0, MAX(BJ27 - (VLOOKUP($A27,TOCA_previous!$A$2:$AI$137,MATCH("RHWM 2020",TOCA_previous!$A$2:$AI$2,0),FALSE)*$F$2*TOCA_previous!C24),0),0), 0)</f>
        <v>716.31386513597681</v>
      </c>
      <c r="BI27" s="204">
        <f>MIN(VLOOKUP($A27,TOCA_previous!$A$2:$AI$137,MATCH("TRL - NLSL - Existing Resource "&amp;$F$1,TOCA_previous!$A$2:$AI$2,0),FALSE)*$F$2,(VLOOKUP($A27,TOCA_previous!$A$2:$AI$137,MATCH("RHWM 2020",TOCA_previous!$A$2:$AI$2,0),FALSE)*$F$2))</f>
        <v>209542.32</v>
      </c>
      <c r="BJ27" s="418">
        <f>SUM(L27:AI27)+(F27*RT1SC!$C$3*$F$2)</f>
        <v>210258.63386513598</v>
      </c>
      <c r="BK27" s="417">
        <f>VLOOKUP($A27,TOCA_previous!$A$2:$AI$137,MATCH("Above RHWM Not Served with LS "&amp;$F$1,TOCA_previous!$A$2:$AI$2,0),FALSE)*$F$2</f>
        <v>0</v>
      </c>
      <c r="BL27" s="418">
        <f t="shared" si="8"/>
        <v>716.31386513597681</v>
      </c>
      <c r="BM27" s="417">
        <f>(VLOOKUP($A27,TOCA_previous!$A$2:$AI$137,MATCH("RHWM 2020",TOCA_previous!$A$2:$AI$2,0),FALSE)*$F$2) - $BI27</f>
        <v>0</v>
      </c>
      <c r="BN27" s="418">
        <f t="shared" si="9"/>
        <v>0</v>
      </c>
      <c r="BO27" s="417">
        <f t="shared" si="10"/>
        <v>0</v>
      </c>
      <c r="BP27" s="418">
        <f t="shared" si="11"/>
        <v>0</v>
      </c>
      <c r="BQ27" s="417">
        <f t="shared" si="2"/>
        <v>0</v>
      </c>
      <c r="BR27" s="120">
        <f>VLOOKUP($A27,TOCA_current!$A$2:$AI$137,MATCH(BR$4,TOCA_current!$A$2:$AI$2,0),FALSE)</f>
        <v>3.3960000000000001E-3</v>
      </c>
      <c r="BS27" s="120">
        <f>VLOOKUP($A27,TOCA_current!$A$2:$AI$137,MATCH(BS$4,TOCA_current!$A$2:$AI$2,0),FALSE)</f>
        <v>3.3960000000000001E-3</v>
      </c>
      <c r="BT27" s="201">
        <f t="shared" si="12"/>
        <v>0</v>
      </c>
      <c r="BU27" s="120">
        <f>VLOOKUP($A27,TOCA_current!A23:BG158,MATCH(BU$4,TOCA_current!$A$2:$BG$2,0),FALSE)</f>
        <v>0</v>
      </c>
      <c r="BV27" s="120">
        <f t="shared" si="3"/>
        <v>0</v>
      </c>
      <c r="BW27" s="120">
        <f t="shared" si="4"/>
        <v>0</v>
      </c>
      <c r="BX27" s="191">
        <f>VLOOKUP($A27,IRD!$A$4:$G$139, 7, FALSE)</f>
        <v>0</v>
      </c>
      <c r="BY27" s="192">
        <f t="array" ref="BY27">IF($BT27=0, INDEX(LS_current!$D$4:$AY$138, MATCH('Staging Table'!$A27, LS_current!$B$4:$B$138, 0), MATCH(BY$4&amp;BY$5, LS_current!$D$2:$AY$2&amp;LS_current!$D$3:$AY$3, 0)),SUM(VLOOKUP($A27, LS_current!$B$4:$AY$138, LS_current!D$148, FALSE), VLOOKUP($A27, LS_current!$B$4:$AY$138,LS_current!AB$148, FALSE))/2)</f>
        <v>508.106261637442</v>
      </c>
      <c r="BZ27" s="192">
        <f t="array" ref="BZ27">IF($BT27=0, INDEX(LS_current!$D$4:$AY$138, MATCH('Staging Table'!$A27, LS_current!$B$4:$B$138, 0), MATCH(BZ$4&amp;BZ$5, LS_current!$D$2:$AY$2&amp;LS_current!$D$3:$AY$3, 0)),SUM(VLOOKUP($A27, LS_current!$B$4:$AY$138, LS_current!E$148, FALSE), VLOOKUP($A27, LS_current!$B$4:$AY$138,LS_current!AC$148, FALSE))/2)</f>
        <v>442.21640545140963</v>
      </c>
      <c r="CA27" s="192">
        <f t="array" ref="CA27">IF($BT27=0, INDEX(LS_current!$D$4:$AY$138, MATCH('Staging Table'!$A27, LS_current!$B$4:$B$138, 0), MATCH(CA$4&amp;CA$5, LS_current!$D$2:$AY$2&amp;LS_current!$D$3:$AY$3, 0)),SUM(VLOOKUP($A27, LS_current!$B$4:$AY$138, LS_current!F$148, FALSE), VLOOKUP($A27, LS_current!$B$4:$AY$138,LS_current!AD$148, FALSE))/2)</f>
        <v>-1963.6987992064805</v>
      </c>
      <c r="CB27" s="192">
        <f t="array" ref="CB27">IF($BT27=0, INDEX(LS_current!$D$4:$AY$138, MATCH('Staging Table'!$A27, LS_current!$B$4:$B$138, 0), MATCH(CB$4&amp;CB$5, LS_current!$D$2:$AY$2&amp;LS_current!$D$3:$AY$3, 0)),SUM(VLOOKUP($A27, LS_current!$B$4:$AY$138, LS_current!G$148, FALSE), VLOOKUP($A27, LS_current!$B$4:$AY$138,LS_current!AE$148, FALSE))/2)</f>
        <v>-956.55767235371604</v>
      </c>
      <c r="CC27" s="192">
        <f t="array" ref="CC27">IF($BT27=0, INDEX(LS_current!$D$4:$AY$138, MATCH('Staging Table'!$A27, LS_current!$B$4:$B$138, 0), MATCH(CC$4&amp;CC$5, LS_current!$D$2:$AY$2&amp;LS_current!$D$3:$AY$3, 0)),SUM(VLOOKUP($A27, LS_current!$B$4:$AY$138, LS_current!H$148, FALSE), VLOOKUP($A27, LS_current!$B$4:$AY$138,LS_current!AF$148, FALSE))/2)</f>
        <v>1473.5881896358114</v>
      </c>
      <c r="CD27" s="192">
        <f t="array" ref="CD27">IF($BT27=0, INDEX(LS_current!$D$4:$AY$138, MATCH('Staging Table'!$A27, LS_current!$B$4:$B$138, 0), MATCH(CD$4&amp;CD$5, LS_current!$D$2:$AY$2&amp;LS_current!$D$3:$AY$3, 0)),SUM(VLOOKUP($A27, LS_current!$B$4:$AY$138, LS_current!I$148, FALSE), VLOOKUP($A27, LS_current!$B$4:$AY$138,LS_current!AG$148, FALSE))/2)</f>
        <v>485.41763869348142</v>
      </c>
      <c r="CE27" s="192">
        <f t="array" ref="CE27">IF($BT27=0, INDEX(LS_current!$D$4:$AY$138, MATCH('Staging Table'!$A27, LS_current!$B$4:$B$138, 0), MATCH(CE$4&amp;CE$5, LS_current!$D$2:$AY$2&amp;LS_current!$D$3:$AY$3, 0)),SUM(VLOOKUP($A27, LS_current!$B$4:$AY$138, LS_current!J$148, FALSE), VLOOKUP($A27, LS_current!$B$4:$AY$138,LS_current!AH$148, FALSE))/2)</f>
        <v>4211.4952532123079</v>
      </c>
      <c r="CF27" s="192">
        <f t="array" ref="CF27">IF($BT27=0, INDEX(LS_current!$D$4:$AY$138, MATCH('Staging Table'!$A27, LS_current!$B$4:$B$138, 0), MATCH(CF$4&amp;CF$5, LS_current!$D$2:$AY$2&amp;LS_current!$D$3:$AY$3, 0)),SUM(VLOOKUP($A27, LS_current!$B$4:$AY$138, LS_current!K$148, FALSE), VLOOKUP($A27, LS_current!$B$4:$AY$138,LS_current!AI$148, FALSE))/2)</f>
        <v>2153.7885072259178</v>
      </c>
      <c r="CG27" s="192">
        <f t="array" ref="CG27">IF($BT27=0, INDEX(LS_current!$D$4:$AY$138, MATCH('Staging Table'!$A27, LS_current!$B$4:$B$138, 0), MATCH(CG$4&amp;CG$5, LS_current!$D$2:$AY$2&amp;LS_current!$D$3:$AY$3, 0)),SUM(VLOOKUP($A27, LS_current!$B$4:$AY$138, LS_current!L$148, FALSE), VLOOKUP($A27, LS_current!$B$4:$AY$138,LS_current!AJ$148, FALSE))/2)</f>
        <v>2501.8733468324535</v>
      </c>
      <c r="CH27" s="192">
        <f t="array" ref="CH27">IF($BT27=0, INDEX(LS_current!$D$4:$AY$138, MATCH('Staging Table'!$A27, LS_current!$B$4:$B$138, 0), MATCH(CH$4&amp;CH$5, LS_current!$D$2:$AY$2&amp;LS_current!$D$3:$AY$3, 0)),SUM(VLOOKUP($A27, LS_current!$B$4:$AY$138, LS_current!M$148, FALSE), VLOOKUP($A27, LS_current!$B$4:$AY$138,LS_current!AK$148, FALSE))/2)</f>
        <v>548.8690908100134</v>
      </c>
      <c r="CI27" s="192">
        <f t="array" ref="CI27">IF($BT27=0, INDEX(LS_current!$D$4:$AY$138, MATCH('Staging Table'!$A27, LS_current!$B$4:$B$138, 0), MATCH(CI$4&amp;CI$5, LS_current!$D$2:$AY$2&amp;LS_current!$D$3:$AY$3, 0)),SUM(VLOOKUP($A27, LS_current!$B$4:$AY$138, LS_current!N$148, FALSE), VLOOKUP($A27, LS_current!$B$4:$AY$138,LS_current!AL$148, FALSE))/2)</f>
        <v>382.21190254614703</v>
      </c>
      <c r="CJ27" s="192">
        <f t="array" ref="CJ27">IF($BT27=0, INDEX(LS_current!$D$4:$AY$138, MATCH('Staging Table'!$A27, LS_current!$B$4:$B$138, 0), MATCH(CJ$4&amp;CJ$5, LS_current!$D$2:$AY$2&amp;LS_current!$D$3:$AY$3, 0)),SUM(VLOOKUP($A27, LS_current!$B$4:$AY$138, LS_current!O$148, FALSE), VLOOKUP($A27, LS_current!$B$4:$AY$138,LS_current!AM$148, FALSE))/2)</f>
        <v>161.74153617441516</v>
      </c>
      <c r="CK27" s="192">
        <f t="array" ref="CK27">IF($BT27=0, INDEX(LS_current!$D$4:$AY$138, MATCH('Staging Table'!$A27, LS_current!$B$4:$B$138, 0), MATCH(CK$4&amp;CK$5, LS_current!$D$2:$AY$2&amp;LS_current!$D$3:$AY$3, 0)),SUM(VLOOKUP($A27, LS_current!$B$4:$AY$138, LS_current!P$148, FALSE), VLOOKUP($A27, LS_current!$B$4:$AY$138,LS_current!AN$148, FALSE))/2)</f>
        <v>1646.1059039909469</v>
      </c>
      <c r="CL27" s="192">
        <f t="array" ref="CL27">IF($BT27=0, INDEX(LS_current!$D$4:$AY$138, MATCH('Staging Table'!$A27, LS_current!$B$4:$B$138, 0), MATCH(CL$4&amp;CL$5, LS_current!$D$2:$AY$2&amp;LS_current!$D$3:$AY$3, 0)),SUM(VLOOKUP($A27, LS_current!$B$4:$AY$138, LS_current!Q$148, FALSE), VLOOKUP($A27, LS_current!$B$4:$AY$138,LS_current!AO$148, FALSE))/2)</f>
        <v>809.14388522208719</v>
      </c>
      <c r="CM27" s="192">
        <f t="array" ref="CM27">IF($BT27=0, INDEX(LS_current!$D$4:$AY$138, MATCH('Staging Table'!$A27, LS_current!$B$4:$B$138, 0), MATCH(CM$4&amp;CM$5, LS_current!$D$2:$AY$2&amp;LS_current!$D$3:$AY$3, 0)),SUM(VLOOKUP($A27, LS_current!$B$4:$AY$138, LS_current!R$148, FALSE), VLOOKUP($A27, LS_current!$B$4:$AY$138,LS_current!AP$148, FALSE))/2)</f>
        <v>-3457.7730533437843</v>
      </c>
      <c r="CN27" s="192">
        <f t="array" ref="CN27">IF($BT27=0, INDEX(LS_current!$D$4:$AY$138, MATCH('Staging Table'!$A27, LS_current!$B$4:$B$138, 0), MATCH(CN$4&amp;CN$5, LS_current!$D$2:$AY$2&amp;LS_current!$D$3:$AY$3, 0)),SUM(VLOOKUP($A27, LS_current!$B$4:$AY$138, LS_current!S$148, FALSE), VLOOKUP($A27, LS_current!$B$4:$AY$138,LS_current!AQ$148, FALSE))/2)</f>
        <v>-542.98633141643859</v>
      </c>
      <c r="CO27" s="192">
        <f t="array" ref="CO27">IF($BT27=0, INDEX(LS_current!$D$4:$AY$138, MATCH('Staging Table'!$A27, LS_current!$B$4:$B$138, 0), MATCH(CO$4&amp;CO$5, LS_current!$D$2:$AY$2&amp;LS_current!$D$3:$AY$3, 0)),SUM(VLOOKUP($A27, LS_current!$B$4:$AY$138, LS_current!T$148, FALSE), VLOOKUP($A27, LS_current!$B$4:$AY$138,LS_current!AR$148, FALSE))/2)</f>
        <v>-4749.425172279718</v>
      </c>
      <c r="CP27" s="192">
        <f t="array" ref="CP27">IF($BT27=0, INDEX(LS_current!$D$4:$AY$138, MATCH('Staging Table'!$A27, LS_current!$B$4:$B$138, 0), MATCH(CP$4&amp;CP$5, LS_current!$D$2:$AY$2&amp;LS_current!$D$3:$AY$3, 0)),SUM(VLOOKUP($A27, LS_current!$B$4:$AY$138, LS_current!U$148, FALSE), VLOOKUP($A27, LS_current!$B$4:$AY$138,LS_current!AS$148, FALSE))/2)</f>
        <v>-423.86806889813033</v>
      </c>
      <c r="CQ27" s="192">
        <f t="array" ref="CQ27">IF($BT27=0, INDEX(LS_current!$D$4:$AY$138, MATCH('Staging Table'!$A27, LS_current!$B$4:$B$138, 0), MATCH(CQ$4&amp;CQ$5, LS_current!$D$2:$AY$2&amp;LS_current!$D$3:$AY$3, 0)),SUM(VLOOKUP($A27, LS_current!$B$4:$AY$138, LS_current!V$148, FALSE), VLOOKUP($A27, LS_current!$B$4:$AY$138,LS_current!AT$148, FALSE))/2)</f>
        <v>-2485.344297040172</v>
      </c>
      <c r="CR27" s="192">
        <f t="array" ref="CR27">IF($BT27=0, INDEX(LS_current!$D$4:$AY$138, MATCH('Staging Table'!$A27, LS_current!$B$4:$B$138, 0), MATCH(CR$4&amp;CR$5, LS_current!$D$2:$AY$2&amp;LS_current!$D$3:$AY$3, 0)),SUM(VLOOKUP($A27, LS_current!$B$4:$AY$138, LS_current!W$148, FALSE), VLOOKUP($A27, LS_current!$B$4:$AY$138,LS_current!AU$148, FALSE))/2)</f>
        <v>-228.3108384729403</v>
      </c>
      <c r="CS27" s="192">
        <f t="array" ref="CS27">IF($BT27=0, INDEX(LS_current!$D$4:$AY$138, MATCH('Staging Table'!$A27, LS_current!$B$4:$B$138, 0), MATCH(CS$4&amp;CS$5, LS_current!$D$2:$AY$2&amp;LS_current!$D$3:$AY$3, 0)),SUM(VLOOKUP($A27, LS_current!$B$4:$AY$138, LS_current!X$148, FALSE), VLOOKUP($A27, LS_current!$B$4:$AY$138,LS_current!AV$148, FALSE))/2)</f>
        <v>-1889.5160859465213</v>
      </c>
      <c r="CT27" s="192">
        <f t="array" ref="CT27">IF($BT27=0, INDEX(LS_current!$D$4:$AY$138, MATCH('Staging Table'!$A27, LS_current!$B$4:$B$138, 0), MATCH(CT$4&amp;CT$5, LS_current!$D$2:$AY$2&amp;LS_current!$D$3:$AY$3, 0)),SUM(VLOOKUP($A27, LS_current!$B$4:$AY$138, LS_current!Y$148, FALSE), VLOOKUP($A27, LS_current!$B$4:$AY$138,LS_current!AW$148, FALSE))/2)</f>
        <v>-264.43787105857518</v>
      </c>
      <c r="CU27" s="192">
        <f t="array" ref="CU27">IF($BT27=0, INDEX(LS_current!$D$4:$AY$138, MATCH('Staging Table'!$A27, LS_current!$B$4:$B$138, 0), MATCH(CU$4&amp;CU$5, LS_current!$D$2:$AY$2&amp;LS_current!$D$3:$AY$3, 0)),SUM(VLOOKUP($A27, LS_current!$B$4:$AY$138, LS_current!Z$148, FALSE), VLOOKUP($A27, LS_current!$B$4:$AY$138,LS_current!AX$148, FALSE))/2)</f>
        <v>-2507.4422388785797</v>
      </c>
      <c r="CV27" s="192">
        <f t="array" ref="CV27">IF($BT27=0, INDEX(LS_current!$D$4:$AY$138, MATCH('Staging Table'!$A27, LS_current!$B$4:$B$138, 0), MATCH(CV$4&amp;CV$5, LS_current!$D$2:$AY$2&amp;LS_current!$D$3:$AY$3, 0)),SUM(VLOOKUP($A27, LS_current!$B$4:$AY$138, LS_current!AA$148, FALSE), VLOOKUP($A27, LS_current!$B$4:$AY$138,LS_current!AY$148, FALSE))/2)</f>
        <v>-870.71567786746073</v>
      </c>
      <c r="CW27" s="194">
        <f t="array" ref="CW27">INDEX(Demand_current!$D$4:$AY$138, MATCH($A27, Demand_current!$B$4:$B$138, 0), MATCH(CW$4&amp;CW$5,Demand_current!$D$2:$AY$2&amp;Demand_current!$D$3:$AY$3, 0))/1000</f>
        <v>0.51583173076923305</v>
      </c>
      <c r="CX27" s="194">
        <f t="array" ref="CX27">INDEX(Demand_current!$D$4:$AY$138, MATCH($A27, Demand_current!$B$4:$B$138, 0), MATCH(CX$4&amp;CX$5,Demand_current!$D$2:$AY$2&amp;Demand_current!$D$3:$AY$3, 0))/1000</f>
        <v>1.7850925000000011</v>
      </c>
      <c r="CY27" s="194">
        <f t="array" ref="CY27">INDEX(Demand_current!$D$4:$AY$138, MATCH($A27, Demand_current!$B$4:$B$138, 0), MATCH(CY$4&amp;CY$5,Demand_current!$D$2:$AY$2&amp;Demand_current!$D$3:$AY$3, 0))/1000</f>
        <v>3.8707596153846215</v>
      </c>
      <c r="CZ27" s="194">
        <f t="array" ref="CZ27">INDEX(Demand_current!$D$4:$AY$138, MATCH($A27, Demand_current!$B$4:$B$138, 0), MATCH(CZ$4&amp;CZ$5,Demand_current!$D$2:$AY$2&amp;Demand_current!$D$3:$AY$3, 0))/1000</f>
        <v>3.9783499999999998</v>
      </c>
      <c r="DA27" s="194">
        <f t="array" ref="DA27">INDEX(Demand_current!$D$4:$AY$138, MATCH($A27, Demand_current!$B$4:$B$138, 0), MATCH(DA$4&amp;DA$5,Demand_current!$D$2:$AY$2&amp;Demand_current!$D$3:$AY$3, 0))/1000</f>
        <v>3.5681640625000011</v>
      </c>
      <c r="DB27" s="194">
        <f t="array" ref="DB27">INDEX(Demand_current!$D$4:$AY$138, MATCH($A27, Demand_current!$B$4:$B$138, 0), MATCH(DB$4&amp;DB$5,Demand_current!$D$2:$AY$2&amp;Demand_current!$D$3:$AY$3, 0))/1000</f>
        <v>3.5529027777777795</v>
      </c>
      <c r="DC27" s="194">
        <f t="array" ref="DC27">INDEX(Demand_current!$D$4:$AY$138, MATCH($A27, Demand_current!$B$4:$B$138, 0), MATCH(DC$4&amp;DC$5,Demand_current!$D$2:$AY$2&amp;Demand_current!$D$3:$AY$3, 0))/1000</f>
        <v>3.2313485576923067</v>
      </c>
      <c r="DD27" s="194">
        <f t="array" ref="DD27">INDEX(Demand_current!$D$4:$AY$138, MATCH($A27, Demand_current!$B$4:$B$138, 0), MATCH(DD$4&amp;DD$5,Demand_current!$D$2:$AY$2&amp;Demand_current!$D$3:$AY$3, 0))/1000</f>
        <v>2.5198575000000019</v>
      </c>
      <c r="DE27" s="194">
        <f t="array" ref="DE27">INDEX(Demand_current!$D$4:$AY$138, MATCH($A27, Demand_current!$B$4:$B$138, 0), MATCH(DE$4&amp;DE$5,Demand_current!$D$2:$AY$2&amp;Demand_current!$D$3:$AY$3, 0))/1000</f>
        <v>3.7532716346153867</v>
      </c>
      <c r="DF27" s="194">
        <f t="array" ref="DF27">INDEX(Demand_current!$D$4:$AY$138, MATCH($A27, Demand_current!$B$4:$B$138, 0), MATCH(DF$4&amp;DF$5,Demand_current!$D$2:$AY$2&amp;Demand_current!$D$3:$AY$3, 0))/1000</f>
        <v>2.3690300000000013</v>
      </c>
      <c r="DG27" s="194">
        <f t="array" ref="DG27">INDEX(Demand_current!$D$4:$AY$138, MATCH($A27, Demand_current!$B$4:$B$138, 0), MATCH(DG$4&amp;DG$5,Demand_current!$D$2:$AY$2&amp;Demand_current!$D$3:$AY$3, 0))/1000</f>
        <v>5.2925370370370386</v>
      </c>
      <c r="DH27" s="194">
        <f t="array" ref="DH27">INDEX(Demand_current!$D$4:$AY$138, MATCH($A27, Demand_current!$B$4:$B$138, 0), MATCH(DH$4&amp;DH$5,Demand_current!$D$2:$AY$2&amp;Demand_current!$D$3:$AY$3, 0))/1000</f>
        <v>5.9452799999999968</v>
      </c>
      <c r="DI27" s="192">
        <f>$BS27*(VLOOKUP(DI$4, Rates_current!$G$6:$Q$29, 10, FALSE)+VLOOKUP(DI$4, Rates_current!$G$6:$Q$29, 11, FALSE))</f>
        <v>15465.127332911148</v>
      </c>
      <c r="DJ27" s="192">
        <f>$BS27*(VLOOKUP(DJ$4, Rates_current!$G$6:$Q$29, 10, FALSE)+VLOOKUP(DJ$4, Rates_current!$G$6:$Q$29, 11, FALSE))</f>
        <v>19579.412471560197</v>
      </c>
      <c r="DK27" s="192">
        <f>$BS27*(VLOOKUP(DK$4, Rates_current!$G$6:$Q$29, 10, FALSE)+VLOOKUP(DK$4, Rates_current!$G$6:$Q$29, 11, FALSE))</f>
        <v>19164.333171670707</v>
      </c>
      <c r="DL27" s="192">
        <f>$BS27*(VLOOKUP(DL$4, Rates_current!$G$6:$Q$29, 10, FALSE)+VLOOKUP(DL$4, Rates_current!$G$6:$Q$29, 11, FALSE))</f>
        <v>15828.924239561773</v>
      </c>
      <c r="DM27" s="192">
        <f>$BS27*(VLOOKUP(DM$4, Rates_current!$G$6:$Q$29, 10, FALSE)+VLOOKUP(DM$4, Rates_current!$G$6:$Q$29, 11, FALSE))</f>
        <v>13719.275562357534</v>
      </c>
      <c r="DN27" s="192">
        <f>$BS27*(VLOOKUP(DN$4, Rates_current!$G$6:$Q$29, 10, FALSE)+VLOOKUP(DN$4, Rates_current!$G$6:$Q$29, 11, FALSE))</f>
        <v>16378.044561279439</v>
      </c>
      <c r="DO27" s="192">
        <f>$BS27*(VLOOKUP(DO$4, Rates_current!$G$6:$Q$29, 10, FALSE)+VLOOKUP(DO$4, Rates_current!$G$6:$Q$29, 11, FALSE))</f>
        <v>12715.371210786967</v>
      </c>
      <c r="DP27" s="192">
        <f>$BS27*(VLOOKUP(DP$4, Rates_current!$G$6:$Q$29, 10, FALSE)+VLOOKUP(DP$4, Rates_current!$G$6:$Q$29, 11, FALSE))</f>
        <v>17617.240384760222</v>
      </c>
      <c r="DQ27" s="192">
        <f>$BS27*(VLOOKUP(DQ$4, Rates_current!$G$6:$Q$29, 10, FALSE)+VLOOKUP(DQ$4, Rates_current!$G$6:$Q$29, 11, FALSE))</f>
        <v>18824.390241177847</v>
      </c>
      <c r="DR27" s="192">
        <f>$BS27*(VLOOKUP(DR$4, Rates_current!$G$6:$Q$29, 10, FALSE)+VLOOKUP(DR$4, Rates_current!$G$6:$Q$29, 11, FALSE))</f>
        <v>17872.906135513113</v>
      </c>
      <c r="DS27" s="192">
        <f>$BS27*(VLOOKUP(DS$4, Rates_current!$G$6:$Q$29, 10, FALSE)+VLOOKUP(DS$4, Rates_current!$G$6:$Q$29, 11, FALSE))</f>
        <v>17272.784957005097</v>
      </c>
      <c r="DT27" s="192">
        <f>$BS27*(VLOOKUP(DT$4, Rates_current!$G$6:$Q$29, 10, FALSE)+VLOOKUP(DT$4, Rates_current!$G$6:$Q$29, 11, FALSE))</f>
        <v>15961.85391674604</v>
      </c>
      <c r="DU27" s="418">
        <f>IF(D27=0,IF(C27=0,MAX(0,DW27 - (VLOOKUP($A27,TOCA_current!$A$2:$AI$137,MATCH("RHWM 2022",TOCA_current!$A$2:$AI$2,0),FALSE)*$BS$2)), 0),0)</f>
        <v>0</v>
      </c>
      <c r="DV27" s="419">
        <f>MIN(VLOOKUP($A27,TOCA_current!$A$2:$AI$137,MATCH("TRL - NLSL - Existing Resource "&amp;$BS$1,TOCA_current!$A$2:$AI$2,0),FALSE)*$BS$2, VLOOKUP($A27,TOCA_current!$A$2:$AI$137,MATCH("RHWM 2022",TOCA_current!$A$2:$AI$2,0),FALSE)*$BS$2)</f>
        <v>200402.52</v>
      </c>
      <c r="DW27" s="419">
        <f>SUM(BY27:CV27)+(BS27*RT1SC!$C$4*$BS$2)</f>
        <v>195384.15625130993</v>
      </c>
      <c r="DX27" s="419">
        <f>VLOOKUP($A27,TOCA_current!$A$2:$AI$137,MATCH("Above RHWM Not Served with LS "&amp;$BS$1,TOCA_current!$A$2:$AI$2,0),FALSE)*$BS$2</f>
        <v>14874.48</v>
      </c>
      <c r="DY27" s="419">
        <f t="shared" si="13"/>
        <v>-5018.3637486900552</v>
      </c>
      <c r="DZ27" s="419">
        <f>(VLOOKUP($A27,TOCA_current!$A$2:$AI$137,MATCH("RHWM 2022",TOCA_current!$A$2:$AI$2,0),FALSE)*$BS$2) - $DV27</f>
        <v>0</v>
      </c>
      <c r="EA27" s="419">
        <f t="shared" si="14"/>
        <v>0</v>
      </c>
      <c r="EB27" s="419">
        <f t="shared" si="15"/>
        <v>0</v>
      </c>
      <c r="EC27" s="419">
        <f t="shared" si="16"/>
        <v>0</v>
      </c>
      <c r="ED27" s="419">
        <f t="shared" si="17"/>
        <v>0</v>
      </c>
    </row>
    <row r="28" spans="1:134">
      <c r="A28" s="135">
        <v>10074</v>
      </c>
      <c r="B28" s="136" t="s">
        <v>29</v>
      </c>
      <c r="C28" s="244">
        <f>VLOOKUP(A28, TOCA_current!$A$3:$D$137, 4, FALSE)</f>
        <v>0</v>
      </c>
      <c r="D28" s="203">
        <v>0</v>
      </c>
      <c r="E28" s="119">
        <f>VLOOKUP($A28,TOCA_previous!$A$2:$AI$137,MATCH(E$4,TOCA_previous!$A$2:$AI$2,0),FALSE)</f>
        <v>3.7783000000000001E-3</v>
      </c>
      <c r="F28" s="120">
        <f>VLOOKUP($A28,TOCA_previous!$A$2:$AI$137,MATCH(F$4,TOCA_previous!$A$2:$AI$2,0),FALSE)</f>
        <v>3.7783000000000001E-3</v>
      </c>
      <c r="G28" s="120">
        <f t="shared" si="5"/>
        <v>0</v>
      </c>
      <c r="H28" s="120">
        <f>VLOOKUP($A28,TOCA_previous!$A$2:$AI$137,MATCH(H$4,TOCA_previous!$A$2:$AI$2,0),FALSE)</f>
        <v>0</v>
      </c>
      <c r="I28" s="120">
        <f t="shared" si="6"/>
        <v>0</v>
      </c>
      <c r="J28" s="120">
        <f t="shared" si="7"/>
        <v>0</v>
      </c>
      <c r="K28" s="191">
        <f>VLOOKUP(A28, IRD!$A$5:$C$139, 3, FALSE)</f>
        <v>0</v>
      </c>
      <c r="L28" s="192">
        <f t="array" ref="L28">IF($G28=0, INDEX(LS_previous!$D$4:$AY$138, MATCH('Staging Table'!$A28, LS_previous!$B$4:$B$138, 0), MATCH(L$4&amp;L$5, LS_previous!$D$2:$AY$2&amp;LS_previous!$D$3:$AY$3, 0)),SUM(VLOOKUP($A28, LS_previous!$B$4:$AY$138, LS_previous!D$149, FALSE), VLOOKUP('Staging Table'!$A28, LS_previous!$B$4:$AY$138,LS_previous!AB$149, FALSE))/2)</f>
        <v>39.148244519599757</v>
      </c>
      <c r="M28" s="192">
        <f t="array" ref="M28">IF($G28=0, INDEX(LS_previous!$D$4:$AY$138, MATCH('Staging Table'!$A28, LS_previous!$B$4:$B$138, 0), MATCH(M$4&amp;M$5, LS_previous!$D$2:$AY$2&amp;LS_previous!$D$3:$AY$3, 0)),SUM(VLOOKUP($A28, LS_previous!$B$4:$AY$138, LS_previous!E$149, FALSE), VLOOKUP('Staging Table'!$A28, LS_previous!$B$4:$AY$138,LS_previous!AC$149, FALSE))/2)</f>
        <v>464.44319383360016</v>
      </c>
      <c r="N28" s="192">
        <f t="array" ref="N28">IF($G28=0, INDEX(LS_previous!$D$4:$AY$138, MATCH('Staging Table'!$A28, LS_previous!$B$4:$B$138, 0), MATCH(N$4&amp;N$5, LS_previous!$D$2:$AY$2&amp;LS_previous!$D$3:$AY$3, 0)),SUM(VLOOKUP($A28, LS_previous!$B$4:$AY$138, LS_previous!F$149, FALSE), VLOOKUP('Staging Table'!$A28, LS_previous!$B$4:$AY$138,LS_previous!AD$149, FALSE))/2)</f>
        <v>-2396.0297310423994</v>
      </c>
      <c r="O28" s="192">
        <f t="array" ref="O28">IF($G28=0, INDEX(LS_previous!$D$4:$AY$138, MATCH('Staging Table'!$A28, LS_previous!$B$4:$B$138, 0), MATCH(O$4&amp;O$5, LS_previous!$D$2:$AY$2&amp;LS_previous!$D$3:$AY$3, 0)),SUM(VLOOKUP($A28, LS_previous!$B$4:$AY$138, LS_previous!G$149, FALSE), VLOOKUP('Staging Table'!$A28, LS_previous!$B$4:$AY$138,LS_previous!AE$149, FALSE))/2)</f>
        <v>-1397.5876758713011</v>
      </c>
      <c r="P28" s="192">
        <f t="array" ref="P28">IF($G28=0, INDEX(LS_previous!$D$4:$AY$138, MATCH('Staging Table'!$A28, LS_previous!$B$4:$B$138, 0), MATCH(P$4&amp;P$5, LS_previous!$D$2:$AY$2&amp;LS_previous!$D$3:$AY$3, 0)),SUM(VLOOKUP($A28, LS_previous!$B$4:$AY$138, LS_previous!H$149, FALSE), VLOOKUP('Staging Table'!$A28, LS_previous!$B$4:$AY$138,LS_previous!AF$149, FALSE))/2)</f>
        <v>1255.7151561823975</v>
      </c>
      <c r="Q28" s="192">
        <f t="array" ref="Q28">IF($G28=0, INDEX(LS_previous!$D$4:$AY$138, MATCH('Staging Table'!$A28, LS_previous!$B$4:$B$138, 0), MATCH(Q$4&amp;Q$5, LS_previous!$D$2:$AY$2&amp;LS_previous!$D$3:$AY$3, 0)),SUM(VLOOKUP($A28, LS_previous!$B$4:$AY$138, LS_previous!I$149, FALSE), VLOOKUP('Staging Table'!$A28, LS_previous!$B$4:$AY$138,LS_previous!AG$149, FALSE))/2)</f>
        <v>643.58192327079814</v>
      </c>
      <c r="R28" s="192">
        <f t="array" ref="R28">IF($G28=0, INDEX(LS_previous!$D$4:$AY$138, MATCH('Staging Table'!$A28, LS_previous!$B$4:$B$138, 0), MATCH(R$4&amp;R$5, LS_previous!$D$2:$AY$2&amp;LS_previous!$D$3:$AY$3, 0)),SUM(VLOOKUP($A28, LS_previous!$B$4:$AY$138, LS_previous!J$149, FALSE), VLOOKUP('Staging Table'!$A28, LS_previous!$B$4:$AY$138,LS_previous!AH$149, FALSE))/2)</f>
        <v>2883.0925469823997</v>
      </c>
      <c r="S28" s="192">
        <f t="array" ref="S28">IF($G28=0, INDEX(LS_previous!$D$4:$AY$138, MATCH('Staging Table'!$A28, LS_previous!$B$4:$B$138, 0), MATCH(S$4&amp;S$5, LS_previous!$D$2:$AY$2&amp;LS_previous!$D$3:$AY$3, 0)),SUM(VLOOKUP($A28, LS_previous!$B$4:$AY$138, LS_previous!K$149, FALSE), VLOOKUP('Staging Table'!$A28, LS_previous!$B$4:$AY$138,LS_previous!AI$149, FALSE))/2)</f>
        <v>2908.6044108707993</v>
      </c>
      <c r="T28" s="192">
        <f t="array" ref="T28">IF($G28=0, INDEX(LS_previous!$D$4:$AY$138, MATCH('Staging Table'!$A28, LS_previous!$B$4:$B$138, 0), MATCH(T$4&amp;T$5, LS_previous!$D$2:$AY$2&amp;LS_previous!$D$3:$AY$3, 0)),SUM(VLOOKUP($A28, LS_previous!$B$4:$AY$138, LS_previous!L$149, FALSE), VLOOKUP('Staging Table'!$A28, LS_previous!$B$4:$AY$138,LS_previous!AJ$149, FALSE))/2)</f>
        <v>2050.136886390801</v>
      </c>
      <c r="U28" s="192">
        <f t="array" ref="U28">IF($G28=0, INDEX(LS_previous!$D$4:$AY$138, MATCH('Staging Table'!$A28, LS_previous!$B$4:$B$138, 0), MATCH(U$4&amp;U$5, LS_previous!$D$2:$AY$2&amp;LS_previous!$D$3:$AY$3, 0)),SUM(VLOOKUP($A28, LS_previous!$B$4:$AY$138, LS_previous!M$149, FALSE), VLOOKUP('Staging Table'!$A28, LS_previous!$B$4:$AY$138,LS_previous!AK$149, FALSE))/2)</f>
        <v>1031.8471581692002</v>
      </c>
      <c r="V28" s="192">
        <f t="array" ref="V28">IF($G28=0, INDEX(LS_previous!$D$4:$AY$138, MATCH('Staging Table'!$A28, LS_previous!$B$4:$B$138, 0), MATCH(V$4&amp;V$5, LS_previous!$D$2:$AY$2&amp;LS_previous!$D$3:$AY$3, 0)),SUM(VLOOKUP($A28, LS_previous!$B$4:$AY$138, LS_previous!N$149, FALSE), VLOOKUP('Staging Table'!$A28, LS_previous!$B$4:$AY$138,LS_previous!AL$149, FALSE))/2)</f>
        <v>1702.9621850071999</v>
      </c>
      <c r="W28" s="192">
        <f t="array" ref="W28">IF($G28=0, INDEX(LS_previous!$D$4:$AY$138, MATCH('Staging Table'!$A28, LS_previous!$B$4:$B$138, 0), MATCH(W$4&amp;W$5, LS_previous!$D$2:$AY$2&amp;LS_previous!$D$3:$AY$3, 0)),SUM(VLOOKUP($A28, LS_previous!$B$4:$AY$138, LS_previous!O$149, FALSE), VLOOKUP('Staging Table'!$A28, LS_previous!$B$4:$AY$138,LS_previous!AM$149, FALSE))/2)</f>
        <v>675.25580222569897</v>
      </c>
      <c r="X28" s="192">
        <f t="array" ref="X28">IF($G28=0, INDEX(LS_previous!$D$4:$AY$138, MATCH('Staging Table'!$A28, LS_previous!$B$4:$B$138, 0), MATCH(X$4&amp;X$5, LS_previous!$D$2:$AY$2&amp;LS_previous!$D$3:$AY$3, 0)),SUM(VLOOKUP($A28, LS_previous!$B$4:$AY$138, LS_previous!P$149, FALSE), VLOOKUP('Staging Table'!$A28, LS_previous!$B$4:$AY$138,LS_previous!AN$149, FALSE))/2)</f>
        <v>2545.5407617448</v>
      </c>
      <c r="Y28" s="192">
        <f t="array" ref="Y28">IF($G28=0, INDEX(LS_previous!$D$4:$AY$138, MATCH('Staging Table'!$A28, LS_previous!$B$4:$B$138, 0), MATCH(Y$4&amp;Y$5, LS_previous!$D$2:$AY$2&amp;LS_previous!$D$3:$AY$3, 0)),SUM(VLOOKUP($A28, LS_previous!$B$4:$AY$138, LS_previous!Q$149, FALSE), VLOOKUP('Staging Table'!$A28, LS_previous!$B$4:$AY$138,LS_previous!AO$149, FALSE))/2)</f>
        <v>1040.2073072711992</v>
      </c>
      <c r="Z28" s="192">
        <f t="array" ref="Z28">IF($G28=0, INDEX(LS_previous!$D$4:$AY$138, MATCH('Staging Table'!$A28, LS_previous!$B$4:$B$138, 0), MATCH(Z$4&amp;Z$5, LS_previous!$D$2:$AY$2&amp;LS_previous!$D$3:$AY$3, 0)),SUM(VLOOKUP($A28, LS_previous!$B$4:$AY$138, LS_previous!R$149, FALSE), VLOOKUP('Staging Table'!$A28, LS_previous!$B$4:$AY$138,LS_previous!AP$149, FALSE))/2)</f>
        <v>-3584.0564899299989</v>
      </c>
      <c r="AA28" s="192">
        <f t="array" ref="AA28">IF($G28=0, INDEX(LS_previous!$D$4:$AY$138, MATCH('Staging Table'!$A28, LS_previous!$B$4:$B$138, 0), MATCH(AA$4&amp;AA$5, LS_previous!$D$2:$AY$2&amp;LS_previous!$D$3:$AY$3, 0)),SUM(VLOOKUP($A28, LS_previous!$B$4:$AY$138, LS_previous!S$149, FALSE), VLOOKUP('Staging Table'!$A28, LS_previous!$B$4:$AY$138,LS_previous!AQ$149, FALSE))/2)</f>
        <v>-1386.5023248668003</v>
      </c>
      <c r="AB28" s="192">
        <f t="array" ref="AB28">IF($G28=0, INDEX(LS_previous!$D$4:$AY$138, MATCH('Staging Table'!$A28, LS_previous!$B$4:$B$138, 0), MATCH(AB$4&amp;AB$5, LS_previous!$D$2:$AY$2&amp;LS_previous!$D$3:$AY$3, 0)),SUM(VLOOKUP($A28, LS_previous!$B$4:$AY$138, LS_previous!T$149, FALSE), VLOOKUP('Staging Table'!$A28, LS_previous!$B$4:$AY$138,LS_previous!AR$149, FALSE))/2)</f>
        <v>-6950.6466283051996</v>
      </c>
      <c r="AC28" s="192">
        <f t="array" ref="AC28">IF($G28=0, INDEX(LS_previous!$D$4:$AY$138, MATCH('Staging Table'!$A28, LS_previous!$B$4:$B$138, 0), MATCH(AC$4&amp;AC$5, LS_previous!$D$2:$AY$2&amp;LS_previous!$D$3:$AY$3, 0)),SUM(VLOOKUP($A28, LS_previous!$B$4:$AY$138, LS_previous!U$149, FALSE), VLOOKUP('Staging Table'!$A28, LS_previous!$B$4:$AY$138,LS_previous!AS$149, FALSE))/2)</f>
        <v>-4158.0614865288007</v>
      </c>
      <c r="AD28" s="192">
        <f t="array" ref="AD28">IF($G28=0, INDEX(LS_previous!$D$4:$AY$138, MATCH('Staging Table'!$A28, LS_previous!$B$4:$B$138, 0), MATCH(AD$4&amp;AD$5, LS_previous!$D$2:$AY$2&amp;LS_previous!$D$3:$AY$3, 0)),SUM(VLOOKUP($A28, LS_previous!$B$4:$AY$138, LS_previous!V$149, FALSE), VLOOKUP('Staging Table'!$A28, LS_previous!$B$4:$AY$138,LS_previous!AT$149, FALSE))/2)</f>
        <v>-3449.4035298051986</v>
      </c>
      <c r="AE28" s="192">
        <f t="array" ref="AE28">IF($G28=0, INDEX(LS_previous!$D$4:$AY$138, MATCH('Staging Table'!$A28, LS_previous!$B$4:$B$138, 0), MATCH(AE$4&amp;AE$5, LS_previous!$D$2:$AY$2&amp;LS_previous!$D$3:$AY$3, 0)),SUM(VLOOKUP($A28, LS_previous!$B$4:$AY$138, LS_previous!W$149, FALSE), VLOOKUP('Staging Table'!$A28, LS_previous!$B$4:$AY$138,LS_previous!AU$149, FALSE))/2)</f>
        <v>-86.253543041600096</v>
      </c>
      <c r="AF28" s="192">
        <f t="array" ref="AF28">IF($G28=0, INDEX(LS_previous!$D$4:$AY$138, MATCH('Staging Table'!$A28, LS_previous!$B$4:$B$138, 0), MATCH(AF$4&amp;AF$5, LS_previous!$D$2:$AY$2&amp;LS_previous!$D$3:$AY$3, 0)),SUM(VLOOKUP($A28, LS_previous!$B$4:$AY$138, LS_previous!X$149, FALSE), VLOOKUP('Staging Table'!$A28, LS_previous!$B$4:$AY$138,LS_previous!AV$149, FALSE))/2)</f>
        <v>-1819.7929756552003</v>
      </c>
      <c r="AG28" s="192">
        <f t="array" ref="AG28">IF($G28=0, INDEX(LS_previous!$D$4:$AY$138, MATCH('Staging Table'!$A28, LS_previous!$B$4:$B$138, 0), MATCH(AG$4&amp;AG$5, LS_previous!$D$2:$AY$2&amp;LS_previous!$D$3:$AY$3, 0)),SUM(VLOOKUP($A28, LS_previous!$B$4:$AY$138, LS_previous!Y$149, FALSE), VLOOKUP('Staging Table'!$A28, LS_previous!$B$4:$AY$138,LS_previous!AW$149, FALSE))/2)</f>
        <v>-566.89272704160066</v>
      </c>
      <c r="AH28" s="192">
        <f t="array" ref="AH28">IF($G28=0, INDEX(LS_previous!$D$4:$AY$138, MATCH('Staging Table'!$A28, LS_previous!$B$4:$B$138, 0), MATCH(AH$4&amp;AH$5, LS_previous!$D$2:$AY$2&amp;LS_previous!$D$3:$AY$3, 0)),SUM(VLOOKUP($A28, LS_previous!$B$4:$AY$138, LS_previous!Z$149, FALSE), VLOOKUP('Staging Table'!$A28, LS_previous!$B$4:$AY$138,LS_previous!AX$149, FALSE))/2)</f>
        <v>-1220.2968124799991</v>
      </c>
      <c r="AI28" s="192">
        <f t="array" ref="AI28">IF($G28=0, INDEX(LS_previous!$D$4:$AY$138, MATCH('Staging Table'!$A28, LS_previous!$B$4:$B$138, 0), MATCH(AI$4&amp;AI$5, LS_previous!$D$2:$AY$2&amp;LS_previous!$D$3:$AY$3, 0)),SUM(VLOOKUP($A28, LS_previous!$B$4:$AY$138, LS_previous!AA$149, FALSE), VLOOKUP('Staging Table'!$A28, LS_previous!$B$4:$AY$138,LS_previous!AY$149, FALSE))/2)</f>
        <v>-778.65995080399989</v>
      </c>
      <c r="AJ28" s="314">
        <f t="array" ref="AJ28">INDEX(Demand_previous!$D$4:$AY$138, MATCH('Staging Table'!$A28, Demand_previous!$B$4:$B$138, 0), MATCH(AJ$4&amp;AJ$5,Demand_previous!$D$2:$AY$2&amp;Demand_previous!$D$3:$AY$3, 0))/1000</f>
        <v>0</v>
      </c>
      <c r="AK28" s="314">
        <f t="array" ref="AK28">INDEX(Demand_previous!$D$4:$AY$138, MATCH('Staging Table'!$A28, Demand_previous!$B$4:$B$138, 0), MATCH(AK$4&amp;AK$5,Demand_previous!$D$2:$AY$2&amp;Demand_previous!$D$3:$AY$3, 0))/1000</f>
        <v>3.4210799999999981</v>
      </c>
      <c r="AL28" s="314">
        <f t="array" ref="AL28">INDEX(Demand_previous!$D$4:$AY$138, MATCH('Staging Table'!$A28, Demand_previous!$B$4:$B$138, 0), MATCH(AL$4&amp;AL$5,Demand_previous!$D$2:$AY$2&amp;Demand_previous!$D$3:$AY$3, 0))/1000</f>
        <v>0</v>
      </c>
      <c r="AM28" s="314">
        <f t="array" ref="AM28">INDEX(Demand_previous!$D$4:$AY$138, MATCH('Staging Table'!$A28, Demand_previous!$B$4:$B$138, 0), MATCH(AM$4&amp;AM$5,Demand_previous!$D$2:$AY$2&amp;Demand_previous!$D$3:$AY$3, 0))/1000</f>
        <v>0</v>
      </c>
      <c r="AN28" s="314">
        <f t="array" ref="AN28">INDEX(Demand_previous!$D$4:$AY$138, MATCH('Staging Table'!$A28, Demand_previous!$B$4:$B$138, 0), MATCH(AN$4&amp;AN$5,Demand_previous!$D$2:$AY$2&amp;Demand_previous!$D$3:$AY$3, 0))/1000</f>
        <v>8.2852474999999988</v>
      </c>
      <c r="AO28" s="314">
        <f t="array" ref="AO28">INDEX(Demand_previous!$D$4:$AY$138, MATCH('Staging Table'!$A28, Demand_previous!$B$4:$B$138, 0), MATCH(AO$4&amp;AO$5,Demand_previous!$D$2:$AY$2&amp;Demand_previous!$D$3:$AY$3, 0))/1000</f>
        <v>8.0310913461538505</v>
      </c>
      <c r="AP28" s="314">
        <f t="array" ref="AP28">INDEX(Demand_previous!$D$4:$AY$138, MATCH('Staging Table'!$A28, Demand_previous!$B$4:$B$138, 0), MATCH(AP$4&amp;AP$5,Demand_previous!$D$2:$AY$2&amp;Demand_previous!$D$3:$AY$3, 0))/1000</f>
        <v>0</v>
      </c>
      <c r="AQ28" s="314">
        <f t="array" ref="AQ28">INDEX(Demand_previous!$D$4:$AY$138, MATCH('Staging Table'!$A28, Demand_previous!$B$4:$B$138, 0), MATCH(AQ$4&amp;AQ$5,Demand_previous!$D$2:$AY$2&amp;Demand_previous!$D$3:$AY$3, 0))/1000</f>
        <v>1.2929574999999991</v>
      </c>
      <c r="AR28" s="314">
        <f t="array" ref="AR28">INDEX(Demand_previous!$D$4:$AY$138, MATCH('Staging Table'!$A28, Demand_previous!$B$4:$B$138, 0), MATCH(AR$4&amp;AR$5,Demand_previous!$D$2:$AY$2&amp;Demand_previous!$D$3:$AY$3, 0))/1000</f>
        <v>10.981141826923078</v>
      </c>
      <c r="AS28" s="314">
        <f t="array" ref="AS28">INDEX(Demand_previous!$D$4:$AY$138, MATCH('Staging Table'!$A28, Demand_previous!$B$4:$B$138, 0), MATCH(AS$4&amp;AS$5,Demand_previous!$D$2:$AY$2&amp;Demand_previous!$D$3:$AY$3, 0))/1000</f>
        <v>4.6881249999999994</v>
      </c>
      <c r="AT28" s="314">
        <f t="array" ref="AT28">INDEX(Demand_previous!$D$4:$AY$138, MATCH('Staging Table'!$A28, Demand_previous!$B$4:$B$138, 0), MATCH(AT$4&amp;AT$5,Demand_previous!$D$2:$AY$2&amp;Demand_previous!$D$3:$AY$3, 0))/1000</f>
        <v>6.9904495192307712</v>
      </c>
      <c r="AU28" s="314">
        <f t="array" ref="AU28">INDEX(Demand_previous!$D$4:$AY$138, MATCH('Staging Table'!$A28, Demand_previous!$B$4:$B$138, 0), MATCH(AU$4&amp;AU$5,Demand_previous!$D$2:$AY$2&amp;Demand_previous!$D$3:$AY$3, 0))/1000</f>
        <v>8.370969999999998</v>
      </c>
      <c r="AV28" s="192">
        <f>$F28*(VLOOKUP(AV$4, Rates_previous!$G$6:$Q$29, 10, FALSE)+VLOOKUP(AV$4, Rates_previous!$G$6:$Q$29, 11, FALSE))</f>
        <v>17445.609561646797</v>
      </c>
      <c r="AW28" s="192">
        <f>$F28*(VLOOKUP(AW$4, Rates_previous!$G$6:$Q$29, 10, FALSE)+VLOOKUP(AW$4, Rates_previous!$G$6:$Q$29, 11, FALSE))</f>
        <v>22161.366406913701</v>
      </c>
      <c r="AX28" s="192">
        <f>$F28*(VLOOKUP(AX$4, Rates_previous!$G$6:$Q$29, 10, FALSE)+VLOOKUP(AX$4, Rates_previous!$G$6:$Q$29, 11, FALSE))</f>
        <v>21893.737920546802</v>
      </c>
      <c r="AY28" s="192">
        <f>$F28*(VLOOKUP(AY$4, Rates_previous!$G$6:$Q$29, 10, FALSE)+VLOOKUP(AY$4, Rates_previous!$G$6:$Q$29, 11, FALSE))</f>
        <v>18249.764042146802</v>
      </c>
      <c r="AZ28" s="192">
        <f>$F28*(VLOOKUP(AZ$4, Rates_previous!$G$6:$Q$29, 10, FALSE)+VLOOKUP(AZ$4, Rates_previous!$G$6:$Q$29, 11, FALSE))</f>
        <v>16532.392955439998</v>
      </c>
      <c r="BA28" s="192">
        <f>$F28*(VLOOKUP(BA$4, Rates_previous!$G$6:$Q$29, 10, FALSE)+VLOOKUP(BA$4, Rates_previous!$G$6:$Q$29, 11, FALSE))</f>
        <v>18389.273012767098</v>
      </c>
      <c r="BB28" s="192">
        <f>$F28*(VLOOKUP(BB$4, Rates_previous!$G$6:$Q$29, 10, FALSE)+VLOOKUP(BB$4, Rates_previous!$G$6:$Q$29, 11, FALSE))</f>
        <v>14972.565930983999</v>
      </c>
      <c r="BC28" s="192">
        <f>$F28*(VLOOKUP(BC$4, Rates_previous!$G$6:$Q$29, 10, FALSE)+VLOOKUP(BC$4, Rates_previous!$G$6:$Q$29, 11, FALSE))</f>
        <v>20192.737814796801</v>
      </c>
      <c r="BD28" s="192">
        <f>$F28*(VLOOKUP(BD$4, Rates_previous!$G$6:$Q$29, 10, FALSE)+VLOOKUP(BD$4, Rates_previous!$G$6:$Q$29, 11, FALSE))</f>
        <v>25764.560114834003</v>
      </c>
      <c r="BE28" s="192">
        <f>$F28*(VLOOKUP(BE$4, Rates_previous!$G$6:$Q$29, 10, FALSE)+VLOOKUP(BE$4, Rates_previous!$G$6:$Q$29, 11, FALSE))</f>
        <v>20200.2320728468</v>
      </c>
      <c r="BF28" s="192">
        <f>$F28*(VLOOKUP(BF$4, Rates_previous!$G$6:$Q$29, 10, FALSE)+VLOOKUP(BF$4, Rates_previous!$G$6:$Q$29, 11, FALSE))</f>
        <v>19671.003702696802</v>
      </c>
      <c r="BG28" s="192">
        <f>$F28*(VLOOKUP(BG$4, Rates_previous!$G$6:$Q$29, 10, FALSE)+VLOOKUP(BG$4, Rates_previous!$G$6:$Q$29, 11, FALSE))</f>
        <v>17660.376763284003</v>
      </c>
      <c r="BH28" s="314">
        <f>IF($D28=0,IF(C28=0, MAX(BJ28 - (VLOOKUP($A28,TOCA_previous!$A$2:$AI$137,MATCH("RHWM 2020",TOCA_previous!$A$2:$AI$2,0),FALSE)*$F$2*TOCA_previous!C25),0),0), 0)</f>
        <v>0</v>
      </c>
      <c r="BI28" s="204">
        <f>MIN(VLOOKUP($A28,TOCA_previous!$A$2:$AI$137,MATCH("TRL - NLSL - Existing Resource "&amp;$F$1,TOCA_previous!$A$2:$AI$2,0),FALSE)*$F$2,(VLOOKUP($A28,TOCA_previous!$A$2:$AI$137,MATCH("RHWM 2020",TOCA_previous!$A$2:$AI$2,0),FALSE)*$F$2))</f>
        <v>233136.144</v>
      </c>
      <c r="BJ28" s="418">
        <f>SUM(L28:AI28)+(F28*RT1SC!$C$3*$F$2)</f>
        <v>222579.9807505428</v>
      </c>
      <c r="BK28" s="417">
        <f>VLOOKUP($A28,TOCA_previous!$A$2:$AI$137,MATCH("Above RHWM Not Served with LS "&amp;$F$1,TOCA_previous!$A$2:$AI$2,0),FALSE)*$F$2</f>
        <v>16926.768</v>
      </c>
      <c r="BL28" s="418">
        <f t="shared" si="8"/>
        <v>-10556.163249457197</v>
      </c>
      <c r="BM28" s="417">
        <f>(VLOOKUP($A28,TOCA_previous!$A$2:$AI$137,MATCH("RHWM 2020",TOCA_previous!$A$2:$AI$2,0),FALSE)*$F$2) - $BI28</f>
        <v>0</v>
      </c>
      <c r="BN28" s="418">
        <f t="shared" si="9"/>
        <v>0</v>
      </c>
      <c r="BO28" s="417">
        <f t="shared" si="10"/>
        <v>0</v>
      </c>
      <c r="BP28" s="418">
        <f t="shared" si="11"/>
        <v>0</v>
      </c>
      <c r="BQ28" s="417">
        <f t="shared" si="2"/>
        <v>0</v>
      </c>
      <c r="BR28" s="120">
        <f>VLOOKUP($A28,TOCA_current!$A$2:$AI$137,MATCH(BR$4,TOCA_current!$A$2:$AI$2,0),FALSE)</f>
        <v>3.7783000000000001E-3</v>
      </c>
      <c r="BS28" s="120">
        <f>VLOOKUP($A28,TOCA_current!$A$2:$AI$137,MATCH(BS$4,TOCA_current!$A$2:$AI$2,0),FALSE)</f>
        <v>3.7783000000000001E-3</v>
      </c>
      <c r="BT28" s="201">
        <f t="shared" si="12"/>
        <v>0</v>
      </c>
      <c r="BU28" s="120">
        <f>VLOOKUP($A28,TOCA_current!A24:BG159,MATCH(BU$4,TOCA_current!$A$2:$BG$2,0),FALSE)</f>
        <v>0</v>
      </c>
      <c r="BV28" s="120">
        <f t="shared" si="3"/>
        <v>0</v>
      </c>
      <c r="BW28" s="120">
        <f t="shared" si="4"/>
        <v>0</v>
      </c>
      <c r="BX28" s="191">
        <f>VLOOKUP($A28,IRD!$A$4:$G$139, 7, FALSE)</f>
        <v>0</v>
      </c>
      <c r="BY28" s="192">
        <f t="array" ref="BY28">IF($BT28=0, INDEX(LS_current!$D$4:$AY$138, MATCH('Staging Table'!$A28, LS_current!$B$4:$B$138, 0), MATCH(BY$4&amp;BY$5, LS_current!$D$2:$AY$2&amp;LS_current!$D$3:$AY$3, 0)),SUM(VLOOKUP($A28, LS_current!$B$4:$AY$138, LS_current!D$148, FALSE), VLOOKUP($A28, LS_current!$B$4:$AY$138,LS_current!AB$148, FALSE))/2)</f>
        <v>444.27814350552035</v>
      </c>
      <c r="BZ28" s="192">
        <f t="array" ref="BZ28">IF($BT28=0, INDEX(LS_current!$D$4:$AY$138, MATCH('Staging Table'!$A28, LS_current!$B$4:$B$138, 0), MATCH(BZ$4&amp;BZ$5, LS_current!$D$2:$AY$2&amp;LS_current!$D$3:$AY$3, 0)),SUM(VLOOKUP($A28, LS_current!$B$4:$AY$138, LS_current!E$148, FALSE), VLOOKUP($A28, LS_current!$B$4:$AY$138,LS_current!AC$148, FALSE))/2)</f>
        <v>371.74221752563608</v>
      </c>
      <c r="CA28" s="192">
        <f t="array" ref="CA28">IF($BT28=0, INDEX(LS_current!$D$4:$AY$138, MATCH('Staging Table'!$A28, LS_current!$B$4:$B$138, 0), MATCH(CA$4&amp;CA$5, LS_current!$D$2:$AY$2&amp;LS_current!$D$3:$AY$3, 0)),SUM(VLOOKUP($A28, LS_current!$B$4:$AY$138, LS_current!F$148, FALSE), VLOOKUP($A28, LS_current!$B$4:$AY$138,LS_current!AD$148, FALSE))/2)</f>
        <v>-1830.0502379098471</v>
      </c>
      <c r="CB28" s="192">
        <f t="array" ref="CB28">IF($BT28=0, INDEX(LS_current!$D$4:$AY$138, MATCH('Staging Table'!$A28, LS_current!$B$4:$B$138, 0), MATCH(CB$4&amp;CB$5, LS_current!$D$2:$AY$2&amp;LS_current!$D$3:$AY$3, 0)),SUM(VLOOKUP($A28, LS_current!$B$4:$AY$138, LS_current!G$148, FALSE), VLOOKUP($A28, LS_current!$B$4:$AY$138,LS_current!AE$148, FALSE))/2)</f>
        <v>-1515.0804950983656</v>
      </c>
      <c r="CC28" s="192">
        <f t="array" ref="CC28">IF($BT28=0, INDEX(LS_current!$D$4:$AY$138, MATCH('Staging Table'!$A28, LS_current!$B$4:$B$138, 0), MATCH(CC$4&amp;CC$5, LS_current!$D$2:$AY$2&amp;LS_current!$D$3:$AY$3, 0)),SUM(VLOOKUP($A28, LS_current!$B$4:$AY$138, LS_current!H$148, FALSE), VLOOKUP($A28, LS_current!$B$4:$AY$138,LS_current!AF$148, FALSE))/2)</f>
        <v>2680.9416427859196</v>
      </c>
      <c r="CD28" s="192">
        <f t="array" ref="CD28">IF($BT28=0, INDEX(LS_current!$D$4:$AY$138, MATCH('Staging Table'!$A28, LS_current!$B$4:$B$138, 0), MATCH(CD$4&amp;CD$5, LS_current!$D$2:$AY$2&amp;LS_current!$D$3:$AY$3, 0)),SUM(VLOOKUP($A28, LS_current!$B$4:$AY$138, LS_current!I$148, FALSE), VLOOKUP($A28, LS_current!$B$4:$AY$138,LS_current!AG$148, FALSE))/2)</f>
        <v>-136.72609818151432</v>
      </c>
      <c r="CE28" s="192">
        <f t="array" ref="CE28">IF($BT28=0, INDEX(LS_current!$D$4:$AY$138, MATCH('Staging Table'!$A28, LS_current!$B$4:$B$138, 0), MATCH(CE$4&amp;CE$5, LS_current!$D$2:$AY$2&amp;LS_current!$D$3:$AY$3, 0)),SUM(VLOOKUP($A28, LS_current!$B$4:$AY$138, LS_current!J$148, FALSE), VLOOKUP($A28, LS_current!$B$4:$AY$138,LS_current!AH$148, FALSE))/2)</f>
        <v>4403.9953242673946</v>
      </c>
      <c r="CF28" s="192">
        <f t="array" ref="CF28">IF($BT28=0, INDEX(LS_current!$D$4:$AY$138, MATCH('Staging Table'!$A28, LS_current!$B$4:$B$138, 0), MATCH(CF$4&amp;CF$5, LS_current!$D$2:$AY$2&amp;LS_current!$D$3:$AY$3, 0)),SUM(VLOOKUP($A28, LS_current!$B$4:$AY$138, LS_current!K$148, FALSE), VLOOKUP($A28, LS_current!$B$4:$AY$138,LS_current!AI$148, FALSE))/2)</f>
        <v>2099.5341968350076</v>
      </c>
      <c r="CG28" s="192">
        <f t="array" ref="CG28">IF($BT28=0, INDEX(LS_current!$D$4:$AY$138, MATCH('Staging Table'!$A28, LS_current!$B$4:$B$138, 0), MATCH(CG$4&amp;CG$5, LS_current!$D$2:$AY$2&amp;LS_current!$D$3:$AY$3, 0)),SUM(VLOOKUP($A28, LS_current!$B$4:$AY$138, LS_current!L$148, FALSE), VLOOKUP($A28, LS_current!$B$4:$AY$138,LS_current!AJ$148, FALSE))/2)</f>
        <v>3682.4657133206892</v>
      </c>
      <c r="CH28" s="192">
        <f t="array" ref="CH28">IF($BT28=0, INDEX(LS_current!$D$4:$AY$138, MATCH('Staging Table'!$A28, LS_current!$B$4:$B$138, 0), MATCH(CH$4&amp;CH$5, LS_current!$D$2:$AY$2&amp;LS_current!$D$3:$AY$3, 0)),SUM(VLOOKUP($A28, LS_current!$B$4:$AY$138, LS_current!M$148, FALSE), VLOOKUP($A28, LS_current!$B$4:$AY$138,LS_current!AK$148, FALSE))/2)</f>
        <v>780.31126510820832</v>
      </c>
      <c r="CI28" s="192">
        <f t="array" ref="CI28">IF($BT28=0, INDEX(LS_current!$D$4:$AY$138, MATCH('Staging Table'!$A28, LS_current!$B$4:$B$138, 0), MATCH(CI$4&amp;CI$5, LS_current!$D$2:$AY$2&amp;LS_current!$D$3:$AY$3, 0)),SUM(VLOOKUP($A28, LS_current!$B$4:$AY$138, LS_current!N$148, FALSE), VLOOKUP($A28, LS_current!$B$4:$AY$138,LS_current!AL$148, FALSE))/2)</f>
        <v>2216.0527567697591</v>
      </c>
      <c r="CJ28" s="192">
        <f t="array" ref="CJ28">IF($BT28=0, INDEX(LS_current!$D$4:$AY$138, MATCH('Staging Table'!$A28, LS_current!$B$4:$B$138, 0), MATCH(CJ$4&amp;CJ$5, LS_current!$D$2:$AY$2&amp;LS_current!$D$3:$AY$3, 0)),SUM(VLOOKUP($A28, LS_current!$B$4:$AY$138, LS_current!O$148, FALSE), VLOOKUP($A28, LS_current!$B$4:$AY$138,LS_current!AM$148, FALSE))/2)</f>
        <v>402.47198236978693</v>
      </c>
      <c r="CK28" s="192">
        <f t="array" ref="CK28">IF($BT28=0, INDEX(LS_current!$D$4:$AY$138, MATCH('Staging Table'!$A28, LS_current!$B$4:$B$138, 0), MATCH(CK$4&amp;CK$5, LS_current!$D$2:$AY$2&amp;LS_current!$D$3:$AY$3, 0)),SUM(VLOOKUP($A28, LS_current!$B$4:$AY$138, LS_current!P$148, FALSE), VLOOKUP($A28, LS_current!$B$4:$AY$138,LS_current!AN$148, FALSE))/2)</f>
        <v>3290.096902281799</v>
      </c>
      <c r="CL28" s="192">
        <f t="array" ref="CL28">IF($BT28=0, INDEX(LS_current!$D$4:$AY$138, MATCH('Staging Table'!$A28, LS_current!$B$4:$B$138, 0), MATCH(CL$4&amp;CL$5, LS_current!$D$2:$AY$2&amp;LS_current!$D$3:$AY$3, 0)),SUM(VLOOKUP($A28, LS_current!$B$4:$AY$138, LS_current!Q$148, FALSE), VLOOKUP($A28, LS_current!$B$4:$AY$138,LS_current!AO$148, FALSE))/2)</f>
        <v>1191.9905707110165</v>
      </c>
      <c r="CM28" s="192">
        <f t="array" ref="CM28">IF($BT28=0, INDEX(LS_current!$D$4:$AY$138, MATCH('Staging Table'!$A28, LS_current!$B$4:$B$138, 0), MATCH(CM$4&amp;CM$5, LS_current!$D$2:$AY$2&amp;LS_current!$D$3:$AY$3, 0)),SUM(VLOOKUP($A28, LS_current!$B$4:$AY$138, LS_current!R$148, FALSE), VLOOKUP($A28, LS_current!$B$4:$AY$138,LS_current!AP$148, FALSE))/2)</f>
        <v>-3649.2228617634901</v>
      </c>
      <c r="CN28" s="192">
        <f t="array" ref="CN28">IF($BT28=0, INDEX(LS_current!$D$4:$AY$138, MATCH('Staging Table'!$A28, LS_current!$B$4:$B$138, 0), MATCH(CN$4&amp;CN$5, LS_current!$D$2:$AY$2&amp;LS_current!$D$3:$AY$3, 0)),SUM(VLOOKUP($A28, LS_current!$B$4:$AY$138, LS_current!S$148, FALSE), VLOOKUP($A28, LS_current!$B$4:$AY$138,LS_current!AQ$148, FALSE))/2)</f>
        <v>-656.16297738242883</v>
      </c>
      <c r="CO28" s="192">
        <f t="array" ref="CO28">IF($BT28=0, INDEX(LS_current!$D$4:$AY$138, MATCH('Staging Table'!$A28, LS_current!$B$4:$B$138, 0), MATCH(CO$4&amp;CO$5, LS_current!$D$2:$AY$2&amp;LS_current!$D$3:$AY$3, 0)),SUM(VLOOKUP($A28, LS_current!$B$4:$AY$138, LS_current!T$148, FALSE), VLOOKUP($A28, LS_current!$B$4:$AY$138,LS_current!AR$148, FALSE))/2)</f>
        <v>-5123.9694248894139</v>
      </c>
      <c r="CP28" s="192">
        <f t="array" ref="CP28">IF($BT28=0, INDEX(LS_current!$D$4:$AY$138, MATCH('Staging Table'!$A28, LS_current!$B$4:$B$138, 0), MATCH(CP$4&amp;CP$5, LS_current!$D$2:$AY$2&amp;LS_current!$D$3:$AY$3, 0)),SUM(VLOOKUP($A28, LS_current!$B$4:$AY$138, LS_current!U$148, FALSE), VLOOKUP($A28, LS_current!$B$4:$AY$138,LS_current!AS$148, FALSE))/2)</f>
        <v>-1093.1384950876927</v>
      </c>
      <c r="CQ28" s="192">
        <f t="array" ref="CQ28">IF($BT28=0, INDEX(LS_current!$D$4:$AY$138, MATCH('Staging Table'!$A28, LS_current!$B$4:$B$138, 0), MATCH(CQ$4&amp;CQ$5, LS_current!$D$2:$AY$2&amp;LS_current!$D$3:$AY$3, 0)),SUM(VLOOKUP($A28, LS_current!$B$4:$AY$138, LS_current!V$148, FALSE), VLOOKUP($A28, LS_current!$B$4:$AY$138,LS_current!AT$148, FALSE))/2)</f>
        <v>-2718.2675152847096</v>
      </c>
      <c r="CR28" s="192">
        <f t="array" ref="CR28">IF($BT28=0, INDEX(LS_current!$D$4:$AY$138, MATCH('Staging Table'!$A28, LS_current!$B$4:$B$138, 0), MATCH(CR$4&amp;CR$5, LS_current!$D$2:$AY$2&amp;LS_current!$D$3:$AY$3, 0)),SUM(VLOOKUP($A28, LS_current!$B$4:$AY$138, LS_current!W$148, FALSE), VLOOKUP($A28, LS_current!$B$4:$AY$138,LS_current!AU$148, FALSE))/2)</f>
        <v>-429.16929266852367</v>
      </c>
      <c r="CS28" s="192">
        <f t="array" ref="CS28">IF($BT28=0, INDEX(LS_current!$D$4:$AY$138, MATCH('Staging Table'!$A28, LS_current!$B$4:$B$138, 0), MATCH(CS$4&amp;CS$5, LS_current!$D$2:$AY$2&amp;LS_current!$D$3:$AY$3, 0)),SUM(VLOOKUP($A28, LS_current!$B$4:$AY$138, LS_current!X$148, FALSE), VLOOKUP($A28, LS_current!$B$4:$AY$138,LS_current!AV$148, FALSE))/2)</f>
        <v>-1269.8676604039301</v>
      </c>
      <c r="CT28" s="192">
        <f t="array" ref="CT28">IF($BT28=0, INDEX(LS_current!$D$4:$AY$138, MATCH('Staging Table'!$A28, LS_current!$B$4:$B$138, 0), MATCH(CT$4&amp;CT$5, LS_current!$D$2:$AY$2&amp;LS_current!$D$3:$AY$3, 0)),SUM(VLOOKUP($A28, LS_current!$B$4:$AY$138, LS_current!Y$148, FALSE), VLOOKUP($A28, LS_current!$B$4:$AY$138,LS_current!AW$148, FALSE))/2)</f>
        <v>-590.14715792715469</v>
      </c>
      <c r="CU28" s="192">
        <f t="array" ref="CU28">IF($BT28=0, INDEX(LS_current!$D$4:$AY$138, MATCH('Staging Table'!$A28, LS_current!$B$4:$B$138, 0), MATCH(CU$4&amp;CU$5, LS_current!$D$2:$AY$2&amp;LS_current!$D$3:$AY$3, 0)),SUM(VLOOKUP($A28, LS_current!$B$4:$AY$138, LS_current!Z$148, FALSE), VLOOKUP($A28, LS_current!$B$4:$AY$138,LS_current!AX$148, FALSE))/2)</f>
        <v>-1204.8978120008651</v>
      </c>
      <c r="CV28" s="192">
        <f t="array" ref="CV28">IF($BT28=0, INDEX(LS_current!$D$4:$AY$138, MATCH('Staging Table'!$A28, LS_current!$B$4:$B$138, 0), MATCH(CV$4&amp;CV$5, LS_current!$D$2:$AY$2&amp;LS_current!$D$3:$AY$3, 0)),SUM(VLOOKUP($A28, LS_current!$B$4:$AY$138, LS_current!AA$148, FALSE), VLOOKUP($A28, LS_current!$B$4:$AY$138,LS_current!AY$148, FALSE))/2)</f>
        <v>-821.85971851785234</v>
      </c>
      <c r="CW28" s="194">
        <f t="array" ref="CW28">INDEX(Demand_current!$D$4:$AY$138, MATCH($A28, Demand_current!$B$4:$B$138, 0), MATCH(CW$4&amp;CW$5,Demand_current!$D$2:$AY$2&amp;Demand_current!$D$3:$AY$3, 0))/1000</f>
        <v>0</v>
      </c>
      <c r="CX28" s="194">
        <f t="array" ref="CX28">INDEX(Demand_current!$D$4:$AY$138, MATCH($A28, Demand_current!$B$4:$B$138, 0), MATCH(CX$4&amp;CX$5,Demand_current!$D$2:$AY$2&amp;Demand_current!$D$3:$AY$3, 0))/1000</f>
        <v>3.4210799999999981</v>
      </c>
      <c r="CY28" s="194">
        <f t="array" ref="CY28">INDEX(Demand_current!$D$4:$AY$138, MATCH($A28, Demand_current!$B$4:$B$138, 0), MATCH(CY$4&amp;CY$5,Demand_current!$D$2:$AY$2&amp;Demand_current!$D$3:$AY$3, 0))/1000</f>
        <v>0.344644230769239</v>
      </c>
      <c r="CZ28" s="194">
        <f t="array" ref="CZ28">INDEX(Demand_current!$D$4:$AY$138, MATCH($A28, Demand_current!$B$4:$B$138, 0), MATCH(CZ$4&amp;CZ$5,Demand_current!$D$2:$AY$2&amp;Demand_current!$D$3:$AY$3, 0))/1000</f>
        <v>0</v>
      </c>
      <c r="DA28" s="194">
        <f t="array" ref="DA28">INDEX(Demand_current!$D$4:$AY$138, MATCH($A28, Demand_current!$B$4:$B$138, 0), MATCH(DA$4&amp;DA$5,Demand_current!$D$2:$AY$2&amp;Demand_current!$D$3:$AY$3, 0))/1000</f>
        <v>6.8047994791666628</v>
      </c>
      <c r="DB28" s="194">
        <f t="array" ref="DB28">INDEX(Demand_current!$D$4:$AY$138, MATCH($A28, Demand_current!$B$4:$B$138, 0), MATCH(DB$4&amp;DB$5,Demand_current!$D$2:$AY$2&amp;Demand_current!$D$3:$AY$3, 0))/1000</f>
        <v>9.3679768518518571</v>
      </c>
      <c r="DC28" s="194">
        <f t="array" ref="DC28">INDEX(Demand_current!$D$4:$AY$138, MATCH($A28, Demand_current!$B$4:$B$138, 0), MATCH(DC$4&amp;DC$5,Demand_current!$D$2:$AY$2&amp;Demand_current!$D$3:$AY$3, 0))/1000</f>
        <v>0</v>
      </c>
      <c r="DD28" s="194">
        <f t="array" ref="DD28">INDEX(Demand_current!$D$4:$AY$138, MATCH($A28, Demand_current!$B$4:$B$138, 0), MATCH(DD$4&amp;DD$5,Demand_current!$D$2:$AY$2&amp;Demand_current!$D$3:$AY$3, 0))/1000</f>
        <v>1.2929574999999991</v>
      </c>
      <c r="DE28" s="194">
        <f t="array" ref="DE28">INDEX(Demand_current!$D$4:$AY$138, MATCH($A28, Demand_current!$B$4:$B$138, 0), MATCH(DE$4&amp;DE$5,Demand_current!$D$2:$AY$2&amp;Demand_current!$D$3:$AY$3, 0))/1000</f>
        <v>10.981141826923078</v>
      </c>
      <c r="DF28" s="194">
        <f t="array" ref="DF28">INDEX(Demand_current!$D$4:$AY$138, MATCH($A28, Demand_current!$B$4:$B$138, 0), MATCH(DF$4&amp;DF$5,Demand_current!$D$2:$AY$2&amp;Demand_current!$D$3:$AY$3, 0))/1000</f>
        <v>3.4896099999999985</v>
      </c>
      <c r="DG28" s="194">
        <f t="array" ref="DG28">INDEX(Demand_current!$D$4:$AY$138, MATCH($A28, Demand_current!$B$4:$B$138, 0), MATCH(DG$4&amp;DG$5,Demand_current!$D$2:$AY$2&amp;Demand_current!$D$3:$AY$3, 0))/1000</f>
        <v>8.2253958333333372</v>
      </c>
      <c r="DH28" s="194">
        <f t="array" ref="DH28">INDEX(Demand_current!$D$4:$AY$138, MATCH($A28, Demand_current!$B$4:$B$138, 0), MATCH(DH$4&amp;DH$5,Demand_current!$D$2:$AY$2&amp;Demand_current!$D$3:$AY$3, 0))/1000</f>
        <v>8.370969999999998</v>
      </c>
      <c r="DI28" s="192">
        <f>$BS28*(VLOOKUP(DI$4, Rates_current!$G$6:$Q$29, 10, FALSE)+VLOOKUP(DI$4, Rates_current!$G$6:$Q$29, 11, FALSE))</f>
        <v>17206.092638968843</v>
      </c>
      <c r="DJ28" s="192">
        <f>$BS28*(VLOOKUP(DJ$4, Rates_current!$G$6:$Q$29, 10, FALSE)+VLOOKUP(DJ$4, Rates_current!$G$6:$Q$29, 11, FALSE))</f>
        <v>21783.537733008212</v>
      </c>
      <c r="DK28" s="192">
        <f>$BS28*(VLOOKUP(DK$4, Rates_current!$G$6:$Q$29, 10, FALSE)+VLOOKUP(DK$4, Rates_current!$G$6:$Q$29, 11, FALSE))</f>
        <v>21321.731455395591</v>
      </c>
      <c r="DL28" s="192">
        <f>$BS28*(VLOOKUP(DL$4, Rates_current!$G$6:$Q$29, 10, FALSE)+VLOOKUP(DL$4, Rates_current!$G$6:$Q$29, 11, FALSE))</f>
        <v>17610.843478897597</v>
      </c>
      <c r="DM28" s="192">
        <f>$BS28*(VLOOKUP(DM$4, Rates_current!$G$6:$Q$29, 10, FALSE)+VLOOKUP(DM$4, Rates_current!$G$6:$Q$29, 11, FALSE))</f>
        <v>15263.704021571104</v>
      </c>
      <c r="DN28" s="192">
        <f>$BS28*(VLOOKUP(DN$4, Rates_current!$G$6:$Q$29, 10, FALSE)+VLOOKUP(DN$4, Rates_current!$G$6:$Q$29, 11, FALSE))</f>
        <v>18221.780260860454</v>
      </c>
      <c r="DO28" s="192">
        <f>$BS28*(VLOOKUP(DO$4, Rates_current!$G$6:$Q$29, 10, FALSE)+VLOOKUP(DO$4, Rates_current!$G$6:$Q$29, 11, FALSE))</f>
        <v>14146.786527007183</v>
      </c>
      <c r="DP28" s="192">
        <f>$BS28*(VLOOKUP(DP$4, Rates_current!$G$6:$Q$29, 10, FALSE)+VLOOKUP(DP$4, Rates_current!$G$6:$Q$29, 11, FALSE))</f>
        <v>19600.476839145918</v>
      </c>
      <c r="DQ28" s="192">
        <f>$BS28*(VLOOKUP(DQ$4, Rates_current!$G$6:$Q$29, 10, FALSE)+VLOOKUP(DQ$4, Rates_current!$G$6:$Q$29, 11, FALSE))</f>
        <v>20943.519919977109</v>
      </c>
      <c r="DR28" s="192">
        <f>$BS28*(VLOOKUP(DR$4, Rates_current!$G$6:$Q$29, 10, FALSE)+VLOOKUP(DR$4, Rates_current!$G$6:$Q$29, 11, FALSE))</f>
        <v>19884.923807953237</v>
      </c>
      <c r="DS28" s="192">
        <f>$BS28*(VLOOKUP(DS$4, Rates_current!$G$6:$Q$29, 10, FALSE)+VLOOKUP(DS$4, Rates_current!$G$6:$Q$29, 11, FALSE))</f>
        <v>19217.244818331084</v>
      </c>
      <c r="DT28" s="192">
        <f>$BS28*(VLOOKUP(DT$4, Rates_current!$G$6:$Q$29, 10, FALSE)+VLOOKUP(DT$4, Rates_current!$G$6:$Q$29, 11, FALSE))</f>
        <v>17758.737530518716</v>
      </c>
      <c r="DU28" s="418">
        <f>IF(D28=0,IF(C28=0,MAX(0,DW28 - (VLOOKUP($A28,TOCA_current!$A$2:$AI$137,MATCH("RHWM 2022",TOCA_current!$A$2:$AI$2,0),FALSE)*$BS$2)), 0),0)</f>
        <v>525.19140533695463</v>
      </c>
      <c r="DV28" s="419">
        <f>MIN(VLOOKUP($A28,TOCA_current!$A$2:$AI$137,MATCH("TRL - NLSL - Existing Resource "&amp;$BS$1,TOCA_current!$A$2:$AI$2,0),FALSE)*$BS$2, VLOOKUP($A28,TOCA_current!$A$2:$AI$137,MATCH("RHWM 2022",TOCA_current!$A$2:$AI$2,0),FALSE)*$BS$2)</f>
        <v>222959.52000000002</v>
      </c>
      <c r="DW28" s="419">
        <f>SUM(BY28:CV28)+(BS28*RT1SC!$C$4*$BS$2)</f>
        <v>223484.71140533697</v>
      </c>
      <c r="DX28" s="419">
        <f>VLOOKUP($A28,TOCA_current!$A$2:$AI$137,MATCH("Above RHWM Not Served with LS "&amp;$BS$1,TOCA_current!$A$2:$AI$2,0),FALSE)*$BS$2</f>
        <v>16022.039999999999</v>
      </c>
      <c r="DY28" s="419">
        <f t="shared" si="13"/>
        <v>525.19140533695463</v>
      </c>
      <c r="DZ28" s="419">
        <f>(VLOOKUP($A28,TOCA_current!$A$2:$AI$137,MATCH("RHWM 2022",TOCA_current!$A$2:$AI$2,0),FALSE)*$BS$2) - $DV28</f>
        <v>0</v>
      </c>
      <c r="EA28" s="419">
        <f t="shared" si="14"/>
        <v>0</v>
      </c>
      <c r="EB28" s="419">
        <f t="shared" si="15"/>
        <v>0</v>
      </c>
      <c r="EC28" s="419">
        <f t="shared" si="16"/>
        <v>0</v>
      </c>
      <c r="ED28" s="419">
        <f t="shared" si="17"/>
        <v>0</v>
      </c>
    </row>
    <row r="29" spans="1:134">
      <c r="A29" s="135">
        <v>10076</v>
      </c>
      <c r="B29" s="136" t="s">
        <v>30</v>
      </c>
      <c r="C29" s="244">
        <f>VLOOKUP(A29, TOCA_current!$A$3:$D$137, 4, FALSE)</f>
        <v>0</v>
      </c>
      <c r="D29" s="203">
        <v>0</v>
      </c>
      <c r="E29" s="119">
        <f>VLOOKUP($A29,TOCA_previous!$A$2:$AI$137,MATCH(E$4,TOCA_previous!$A$2:$AI$2,0),FALSE)</f>
        <v>6.8219999999999999E-4</v>
      </c>
      <c r="F29" s="120">
        <f>VLOOKUP($A29,TOCA_previous!$A$2:$AI$137,MATCH(F$4,TOCA_previous!$A$2:$AI$2,0),FALSE)</f>
        <v>6.8219999999999999E-4</v>
      </c>
      <c r="G29" s="120">
        <f t="shared" si="5"/>
        <v>0</v>
      </c>
      <c r="H29" s="120">
        <f>VLOOKUP($A29,TOCA_previous!$A$2:$AI$137,MATCH(H$4,TOCA_previous!$A$2:$AI$2,0),FALSE)</f>
        <v>0</v>
      </c>
      <c r="I29" s="120">
        <f t="shared" si="6"/>
        <v>0</v>
      </c>
      <c r="J29" s="120">
        <f t="shared" si="7"/>
        <v>0</v>
      </c>
      <c r="K29" s="191">
        <f>VLOOKUP(A29, IRD!$A$5:$C$139, 3, FALSE)</f>
        <v>0</v>
      </c>
      <c r="L29" s="192">
        <f t="array" ref="L29">IF($G29=0, INDEX(LS_previous!$D$4:$AY$138, MATCH('Staging Table'!$A29, LS_previous!$B$4:$B$138, 0), MATCH(L$4&amp;L$5, LS_previous!$D$2:$AY$2&amp;LS_previous!$D$3:$AY$3, 0)),SUM(VLOOKUP($A29, LS_previous!$B$4:$AY$138, LS_previous!D$149, FALSE), VLOOKUP('Staging Table'!$A29, LS_previous!$B$4:$AY$138,LS_previous!AB$149, FALSE))/2)</f>
        <v>-136.38140769359984</v>
      </c>
      <c r="M29" s="192">
        <f t="array" ref="M29">IF($G29=0, INDEX(LS_previous!$D$4:$AY$138, MATCH('Staging Table'!$A29, LS_previous!$B$4:$B$138, 0), MATCH(M$4&amp;M$5, LS_previous!$D$2:$AY$2&amp;LS_previous!$D$3:$AY$3, 0)),SUM(VLOOKUP($A29, LS_previous!$B$4:$AY$138, LS_previous!E$149, FALSE), VLOOKUP('Staging Table'!$A29, LS_previous!$B$4:$AY$138,LS_previous!AC$149, FALSE))/2)</f>
        <v>282.93561658239992</v>
      </c>
      <c r="N29" s="192">
        <f t="array" ref="N29">IF($G29=0, INDEX(LS_previous!$D$4:$AY$138, MATCH('Staging Table'!$A29, LS_previous!$B$4:$B$138, 0), MATCH(N$4&amp;N$5, LS_previous!$D$2:$AY$2&amp;LS_previous!$D$3:$AY$3, 0)),SUM(VLOOKUP($A29, LS_previous!$B$4:$AY$138, LS_previous!F$149, FALSE), VLOOKUP('Staging Table'!$A29, LS_previous!$B$4:$AY$138,LS_previous!AD$149, FALSE))/2)</f>
        <v>-445.50912760159963</v>
      </c>
      <c r="O29" s="192">
        <f t="array" ref="O29">IF($G29=0, INDEX(LS_previous!$D$4:$AY$138, MATCH('Staging Table'!$A29, LS_previous!$B$4:$B$138, 0), MATCH(O$4&amp;O$5, LS_previous!$D$2:$AY$2&amp;LS_previous!$D$3:$AY$3, 0)),SUM(VLOOKUP($A29, LS_previous!$B$4:$AY$138, LS_previous!G$149, FALSE), VLOOKUP('Staging Table'!$A29, LS_previous!$B$4:$AY$138,LS_previous!AE$149, FALSE))/2)</f>
        <v>5.0255719557999328</v>
      </c>
      <c r="P29" s="192">
        <f t="array" ref="P29">IF($G29=0, INDEX(LS_previous!$D$4:$AY$138, MATCH('Staging Table'!$A29, LS_previous!$B$4:$B$138, 0), MATCH(P$4&amp;P$5, LS_previous!$D$2:$AY$2&amp;LS_previous!$D$3:$AY$3, 0)),SUM(VLOOKUP($A29, LS_previous!$B$4:$AY$138, LS_previous!H$149, FALSE), VLOOKUP('Staging Table'!$A29, LS_previous!$B$4:$AY$138,LS_previous!AF$149, FALSE))/2)</f>
        <v>300.30785836160021</v>
      </c>
      <c r="Q29" s="192">
        <f t="array" ref="Q29">IF($G29=0, INDEX(LS_previous!$D$4:$AY$138, MATCH('Staging Table'!$A29, LS_previous!$B$4:$B$138, 0), MATCH(Q$4&amp;Q$5, LS_previous!$D$2:$AY$2&amp;LS_previous!$D$3:$AY$3, 0)),SUM(VLOOKUP($A29, LS_previous!$B$4:$AY$138, LS_previous!I$149, FALSE), VLOOKUP('Staging Table'!$A29, LS_previous!$B$4:$AY$138,LS_previous!AG$149, FALSE))/2)</f>
        <v>360.53888792719999</v>
      </c>
      <c r="R29" s="192">
        <f t="array" ref="R29">IF($G29=0, INDEX(LS_previous!$D$4:$AY$138, MATCH('Staging Table'!$A29, LS_previous!$B$4:$B$138, 0), MATCH(R$4&amp;R$5, LS_previous!$D$2:$AY$2&amp;LS_previous!$D$3:$AY$3, 0)),SUM(VLOOKUP($A29, LS_previous!$B$4:$AY$138, LS_previous!J$149, FALSE), VLOOKUP('Staging Table'!$A29, LS_previous!$B$4:$AY$138,LS_previous!AH$149, FALSE))/2)</f>
        <v>482.35086556160013</v>
      </c>
      <c r="S29" s="192">
        <f t="array" ref="S29">IF($G29=0, INDEX(LS_previous!$D$4:$AY$138, MATCH('Staging Table'!$A29, LS_previous!$B$4:$B$138, 0), MATCH(S$4&amp;S$5, LS_previous!$D$2:$AY$2&amp;LS_previous!$D$3:$AY$3, 0)),SUM(VLOOKUP($A29, LS_previous!$B$4:$AY$138, LS_previous!K$149, FALSE), VLOOKUP('Staging Table'!$A29, LS_previous!$B$4:$AY$138,LS_previous!AI$149, FALSE))/2)</f>
        <v>894.22930632719999</v>
      </c>
      <c r="T29" s="192">
        <f t="array" ref="T29">IF($G29=0, INDEX(LS_previous!$D$4:$AY$138, MATCH('Staging Table'!$A29, LS_previous!$B$4:$B$138, 0), MATCH(T$4&amp;T$5, LS_previous!$D$2:$AY$2&amp;LS_previous!$D$3:$AY$3, 0)),SUM(VLOOKUP($A29, LS_previous!$B$4:$AY$138, LS_previous!L$149, FALSE), VLOOKUP('Staging Table'!$A29, LS_previous!$B$4:$AY$138,LS_previous!AJ$149, FALSE))/2)</f>
        <v>341.33064200720037</v>
      </c>
      <c r="U29" s="192">
        <f t="array" ref="U29">IF($G29=0, INDEX(LS_previous!$D$4:$AY$138, MATCH('Staging Table'!$A29, LS_previous!$B$4:$B$138, 0), MATCH(U$4&amp;U$5, LS_previous!$D$2:$AY$2&amp;LS_previous!$D$3:$AY$3, 0)),SUM(VLOOKUP($A29, LS_previous!$B$4:$AY$138, LS_previous!M$149, FALSE), VLOOKUP('Staging Table'!$A29, LS_previous!$B$4:$AY$138,LS_previous!AK$149, FALSE))/2)</f>
        <v>452.21757703280036</v>
      </c>
      <c r="V29" s="192">
        <f t="array" ref="V29">IF($G29=0, INDEX(LS_previous!$D$4:$AY$138, MATCH('Staging Table'!$A29, LS_previous!$B$4:$B$138, 0), MATCH(V$4&amp;V$5, LS_previous!$D$2:$AY$2&amp;LS_previous!$D$3:$AY$3, 0)),SUM(VLOOKUP($A29, LS_previous!$B$4:$AY$138, LS_previous!N$149, FALSE), VLOOKUP('Staging Table'!$A29, LS_previous!$B$4:$AY$138,LS_previous!AL$149, FALSE))/2)</f>
        <v>154.56909872480037</v>
      </c>
      <c r="W29" s="192">
        <f t="array" ref="W29">IF($G29=0, INDEX(LS_previous!$D$4:$AY$138, MATCH('Staging Table'!$A29, LS_previous!$B$4:$B$138, 0), MATCH(W$4&amp;W$5, LS_previous!$D$2:$AY$2&amp;LS_previous!$D$3:$AY$3, 0)),SUM(VLOOKUP($A29, LS_previous!$B$4:$AY$138, LS_previous!O$149, FALSE), VLOOKUP('Staging Table'!$A29, LS_previous!$B$4:$AY$138,LS_previous!AM$149, FALSE))/2)</f>
        <v>212.9866970538003</v>
      </c>
      <c r="X29" s="192">
        <f t="array" ref="X29">IF($G29=0, INDEX(LS_previous!$D$4:$AY$138, MATCH('Staging Table'!$A29, LS_previous!$B$4:$B$138, 0), MATCH(X$4&amp;X$5, LS_previous!$D$2:$AY$2&amp;LS_previous!$D$3:$AY$3, 0)),SUM(VLOOKUP($A29, LS_previous!$B$4:$AY$138, LS_previous!P$149, FALSE), VLOOKUP('Staging Table'!$A29, LS_previous!$B$4:$AY$138,LS_previous!AN$149, FALSE))/2)</f>
        <v>249.37148764320045</v>
      </c>
      <c r="Y29" s="192">
        <f t="array" ref="Y29">IF($G29=0, INDEX(LS_previous!$D$4:$AY$138, MATCH('Staging Table'!$A29, LS_previous!$B$4:$B$138, 0), MATCH(Y$4&amp;Y$5, LS_previous!$D$2:$AY$2&amp;LS_previous!$D$3:$AY$3, 0)),SUM(VLOOKUP($A29, LS_previous!$B$4:$AY$138, LS_previous!Q$149, FALSE), VLOOKUP('Staging Table'!$A29, LS_previous!$B$4:$AY$138,LS_previous!AO$149, FALSE))/2)</f>
        <v>250.11703330080002</v>
      </c>
      <c r="Z29" s="192">
        <f t="array" ref="Z29">IF($G29=0, INDEX(LS_previous!$D$4:$AY$138, MATCH('Staging Table'!$A29, LS_previous!$B$4:$B$138, 0), MATCH(Z$4&amp;Z$5, LS_previous!$D$2:$AY$2&amp;LS_previous!$D$3:$AY$3, 0)),SUM(VLOOKUP($A29, LS_previous!$B$4:$AY$138, LS_previous!R$149, FALSE), VLOOKUP('Staging Table'!$A29, LS_previous!$B$4:$AY$138,LS_previous!AP$149, FALSE))/2)</f>
        <v>-545.32401961999994</v>
      </c>
      <c r="AA29" s="192">
        <f t="array" ref="AA29">IF($G29=0, INDEX(LS_previous!$D$4:$AY$138, MATCH('Staging Table'!$A29, LS_previous!$B$4:$B$138, 0), MATCH(AA$4&amp;AA$5, LS_previous!$D$2:$AY$2&amp;LS_previous!$D$3:$AY$3, 0)),SUM(VLOOKUP($A29, LS_previous!$B$4:$AY$138, LS_previous!S$149, FALSE), VLOOKUP('Staging Table'!$A29, LS_previous!$B$4:$AY$138,LS_previous!AQ$149, FALSE))/2)</f>
        <v>30.390911408799866</v>
      </c>
      <c r="AB29" s="192">
        <f t="array" ref="AB29">IF($G29=0, INDEX(LS_previous!$D$4:$AY$138, MATCH('Staging Table'!$A29, LS_previous!$B$4:$B$138, 0), MATCH(AB$4&amp;AB$5, LS_previous!$D$2:$AY$2&amp;LS_previous!$D$3:$AY$3, 0)),SUM(VLOOKUP($A29, LS_previous!$B$4:$AY$138, LS_previous!T$149, FALSE), VLOOKUP('Staging Table'!$A29, LS_previous!$B$4:$AY$138,LS_previous!AR$149, FALSE))/2)</f>
        <v>-953.79494405679998</v>
      </c>
      <c r="AC29" s="192">
        <f t="array" ref="AC29">IF($G29=0, INDEX(LS_previous!$D$4:$AY$138, MATCH('Staging Table'!$A29, LS_previous!$B$4:$B$138, 0), MATCH(AC$4&amp;AC$5, LS_previous!$D$2:$AY$2&amp;LS_previous!$D$3:$AY$3, 0)),SUM(VLOOKUP($A29, LS_previous!$B$4:$AY$138, LS_previous!U$149, FALSE), VLOOKUP('Staging Table'!$A29, LS_previous!$B$4:$AY$138,LS_previous!AS$149, FALSE))/2)</f>
        <v>-418.06587589920014</v>
      </c>
      <c r="AD29" s="192">
        <f t="array" ref="AD29">IF($G29=0, INDEX(LS_previous!$D$4:$AY$138, MATCH('Staging Table'!$A29, LS_previous!$B$4:$B$138, 0), MATCH(AD$4&amp;AD$5, LS_previous!$D$2:$AY$2&amp;LS_previous!$D$3:$AY$3, 0)),SUM(VLOOKUP($A29, LS_previous!$B$4:$AY$138, LS_previous!V$149, FALSE), VLOOKUP('Staging Table'!$A29, LS_previous!$B$4:$AY$138,LS_previous!AT$149, FALSE))/2)</f>
        <v>-421.18269505679973</v>
      </c>
      <c r="AE29" s="192">
        <f t="array" ref="AE29">IF($G29=0, INDEX(LS_previous!$D$4:$AY$138, MATCH('Staging Table'!$A29, LS_previous!$B$4:$B$138, 0), MATCH(AE$4&amp;AE$5, LS_previous!$D$2:$AY$2&amp;LS_previous!$D$3:$AY$3, 0)),SUM(VLOOKUP($A29, LS_previous!$B$4:$AY$138, LS_previous!W$149, FALSE), VLOOKUP('Staging Table'!$A29, LS_previous!$B$4:$AY$138,LS_previous!AU$149, FALSE))/2)</f>
        <v>379.28544314560008</v>
      </c>
      <c r="AF29" s="192">
        <f t="array" ref="AF29">IF($G29=0, INDEX(LS_previous!$D$4:$AY$138, MATCH('Staging Table'!$A29, LS_previous!$B$4:$B$138, 0), MATCH(AF$4&amp;AF$5, LS_previous!$D$2:$AY$2&amp;LS_previous!$D$3:$AY$3, 0)),SUM(VLOOKUP($A29, LS_previous!$B$4:$AY$138, LS_previous!X$149, FALSE), VLOOKUP('Staging Table'!$A29, LS_previous!$B$4:$AY$138,LS_previous!AV$149, FALSE))/2)</f>
        <v>-302.33774395679984</v>
      </c>
      <c r="AG29" s="192">
        <f t="array" ref="AG29">IF($G29=0, INDEX(LS_previous!$D$4:$AY$138, MATCH('Staging Table'!$A29, LS_previous!$B$4:$B$138, 0), MATCH(AG$4&amp;AG$5, LS_previous!$D$2:$AY$2&amp;LS_previous!$D$3:$AY$3, 0)),SUM(VLOOKUP($A29, LS_previous!$B$4:$AY$138, LS_previous!Y$149, FALSE), VLOOKUP('Staging Table'!$A29, LS_previous!$B$4:$AY$138,LS_previous!AW$149, FALSE))/2)</f>
        <v>4.9885871456001496</v>
      </c>
      <c r="AH29" s="192">
        <f t="array" ref="AH29">IF($G29=0, INDEX(LS_previous!$D$4:$AY$138, MATCH('Staging Table'!$A29, LS_previous!$B$4:$B$138, 0), MATCH(AH$4&amp;AH$5, LS_previous!$D$2:$AY$2&amp;LS_previous!$D$3:$AY$3, 0)),SUM(VLOOKUP($A29, LS_previous!$B$4:$AY$138, LS_previous!Z$149, FALSE), VLOOKUP('Staging Table'!$A29, LS_previous!$B$4:$AY$138,LS_previous!AX$149, FALSE))/2)</f>
        <v>-300.12265631999981</v>
      </c>
      <c r="AI29" s="192">
        <f t="array" ref="AI29">IF($G29=0, INDEX(LS_previous!$D$4:$AY$138, MATCH('Staging Table'!$A29, LS_previous!$B$4:$B$138, 0), MATCH(AI$4&amp;AI$5, LS_previous!$D$2:$AY$2&amp;LS_previous!$D$3:$AY$3, 0)),SUM(VLOOKUP($A29, LS_previous!$B$4:$AY$138, LS_previous!AA$149, FALSE), VLOOKUP('Staging Table'!$A29, LS_previous!$B$4:$AY$138,LS_previous!AY$149, FALSE))/2)</f>
        <v>-19.246940935999646</v>
      </c>
      <c r="AJ29" s="314">
        <f t="array" ref="AJ29">INDEX(Demand_previous!$D$4:$AY$138, MATCH('Staging Table'!$A29, Demand_previous!$B$4:$B$138, 0), MATCH(AJ$4&amp;AJ$5,Demand_previous!$D$2:$AY$2&amp;Demand_previous!$D$3:$AY$3, 0))/1000</f>
        <v>0.86588194444444355</v>
      </c>
      <c r="AK29" s="314">
        <f t="array" ref="AK29">INDEX(Demand_previous!$D$4:$AY$138, MATCH('Staging Table'!$A29, Demand_previous!$B$4:$B$138, 0), MATCH(AK$4&amp;AK$5,Demand_previous!$D$2:$AY$2&amp;Demand_previous!$D$3:$AY$3, 0))/1000</f>
        <v>0</v>
      </c>
      <c r="AL29" s="314">
        <f t="array" ref="AL29">INDEX(Demand_previous!$D$4:$AY$138, MATCH('Staging Table'!$A29, Demand_previous!$B$4:$B$138, 0), MATCH(AL$4&amp;AL$5,Demand_previous!$D$2:$AY$2&amp;Demand_previous!$D$3:$AY$3, 0))/1000</f>
        <v>0</v>
      </c>
      <c r="AM29" s="314">
        <f t="array" ref="AM29">INDEX(Demand_previous!$D$4:$AY$138, MATCH('Staging Table'!$A29, Demand_previous!$B$4:$B$138, 0), MATCH(AM$4&amp;AM$5,Demand_previous!$D$2:$AY$2&amp;Demand_previous!$D$3:$AY$3, 0))/1000</f>
        <v>0.74544230769230702</v>
      </c>
      <c r="AN29" s="314">
        <f t="array" ref="AN29">INDEX(Demand_previous!$D$4:$AY$138, MATCH('Staging Table'!$A29, Demand_previous!$B$4:$B$138, 0), MATCH(AN$4&amp;AN$5,Demand_previous!$D$2:$AY$2&amp;Demand_previous!$D$3:$AY$3, 0))/1000</f>
        <v>0</v>
      </c>
      <c r="AO29" s="314">
        <f t="array" ref="AO29">INDEX(Demand_previous!$D$4:$AY$138, MATCH('Staging Table'!$A29, Demand_previous!$B$4:$B$138, 0), MATCH(AO$4&amp;AO$5,Demand_previous!$D$2:$AY$2&amp;Demand_previous!$D$3:$AY$3, 0))/1000</f>
        <v>0</v>
      </c>
      <c r="AP29" s="314">
        <f t="array" ref="AP29">INDEX(Demand_previous!$D$4:$AY$138, MATCH('Staging Table'!$A29, Demand_previous!$B$4:$B$138, 0), MATCH(AP$4&amp;AP$5,Demand_previous!$D$2:$AY$2&amp;Demand_previous!$D$3:$AY$3, 0))/1000</f>
        <v>0.2623100961538456</v>
      </c>
      <c r="AQ29" s="314">
        <f t="array" ref="AQ29">INDEX(Demand_previous!$D$4:$AY$138, MATCH('Staging Table'!$A29, Demand_previous!$B$4:$B$138, 0), MATCH(AQ$4&amp;AQ$5,Demand_previous!$D$2:$AY$2&amp;Demand_previous!$D$3:$AY$3, 0))/1000</f>
        <v>0.22448749999999934</v>
      </c>
      <c r="AR29" s="314">
        <f t="array" ref="AR29">INDEX(Demand_previous!$D$4:$AY$138, MATCH('Staging Table'!$A29, Demand_previous!$B$4:$B$138, 0), MATCH(AR$4&amp;AR$5,Demand_previous!$D$2:$AY$2&amp;Demand_previous!$D$3:$AY$3, 0))/1000</f>
        <v>0.80920432692307676</v>
      </c>
      <c r="AS29" s="314">
        <f t="array" ref="AS29">INDEX(Demand_previous!$D$4:$AY$138, MATCH('Staging Table'!$A29, Demand_previous!$B$4:$B$138, 0), MATCH(AS$4&amp;AS$5,Demand_previous!$D$2:$AY$2&amp;Demand_previous!$D$3:$AY$3, 0))/1000</f>
        <v>1.0650985576923082</v>
      </c>
      <c r="AT29" s="314">
        <f t="array" ref="AT29">INDEX(Demand_previous!$D$4:$AY$138, MATCH('Staging Table'!$A29, Demand_previous!$B$4:$B$138, 0), MATCH(AT$4&amp;AT$5,Demand_previous!$D$2:$AY$2&amp;Demand_previous!$D$3:$AY$3, 0))/1000</f>
        <v>0.37898557692307566</v>
      </c>
      <c r="AU29" s="314">
        <f t="array" ref="AU29">INDEX(Demand_previous!$D$4:$AY$138, MATCH('Staging Table'!$A29, Demand_previous!$B$4:$B$138, 0), MATCH(AU$4&amp;AU$5,Demand_previous!$D$2:$AY$2&amp;Demand_previous!$D$3:$AY$3, 0))/1000</f>
        <v>0.62508750000000002</v>
      </c>
      <c r="AV29" s="192">
        <f>$F29*(VLOOKUP(AV$4, Rates_previous!$G$6:$Q$29, 10, FALSE)+VLOOKUP(AV$4, Rates_previous!$G$6:$Q$29, 11, FALSE))</f>
        <v>3149.9337911111998</v>
      </c>
      <c r="AW29" s="192">
        <f>$F29*(VLOOKUP(AW$4, Rates_previous!$G$6:$Q$29, 10, FALSE)+VLOOKUP(AW$4, Rates_previous!$G$6:$Q$29, 11, FALSE))</f>
        <v>4001.3985556458001</v>
      </c>
      <c r="AX29" s="192">
        <f>$F29*(VLOOKUP(AX$4, Rates_previous!$G$6:$Q$29, 10, FALSE)+VLOOKUP(AX$4, Rates_previous!$G$6:$Q$29, 11, FALSE))</f>
        <v>3953.0762537112005</v>
      </c>
      <c r="AY29" s="192">
        <f>$F29*(VLOOKUP(AY$4, Rates_previous!$G$6:$Q$29, 10, FALSE)+VLOOKUP(AY$4, Rates_previous!$G$6:$Q$29, 11, FALSE))</f>
        <v>3295.1298281112004</v>
      </c>
      <c r="AZ29" s="192">
        <f>$F29*(VLOOKUP(AZ$4, Rates_previous!$G$6:$Q$29, 10, FALSE)+VLOOKUP(AZ$4, Rates_previous!$G$6:$Q$29, 11, FALSE))</f>
        <v>2985.0457809599998</v>
      </c>
      <c r="BA29" s="192">
        <f>$F29*(VLOOKUP(BA$4, Rates_previous!$G$6:$Q$29, 10, FALSE)+VLOOKUP(BA$4, Rates_previous!$G$6:$Q$29, 11, FALSE))</f>
        <v>3320.3192042214</v>
      </c>
      <c r="BB29" s="192">
        <f>$F29*(VLOOKUP(BB$4, Rates_previous!$G$6:$Q$29, 10, FALSE)+VLOOKUP(BB$4, Rates_previous!$G$6:$Q$29, 11, FALSE))</f>
        <v>2703.4074790559998</v>
      </c>
      <c r="BC29" s="192">
        <f>$F29*(VLOOKUP(BC$4, Rates_previous!$G$6:$Q$29, 10, FALSE)+VLOOKUP(BC$4, Rates_previous!$G$6:$Q$29, 11, FALSE))</f>
        <v>3645.9481082112002</v>
      </c>
      <c r="BD29" s="192">
        <f>$F29*(VLOOKUP(BD$4, Rates_previous!$G$6:$Q$29, 10, FALSE)+VLOOKUP(BD$4, Rates_previous!$G$6:$Q$29, 11, FALSE))</f>
        <v>4651.9818199560004</v>
      </c>
      <c r="BE29" s="192">
        <f>$F29*(VLOOKUP(BE$4, Rates_previous!$G$6:$Q$29, 10, FALSE)+VLOOKUP(BE$4, Rates_previous!$G$6:$Q$29, 11, FALSE))</f>
        <v>3647.3012519112003</v>
      </c>
      <c r="BF29" s="192">
        <f>$F29*(VLOOKUP(BF$4, Rates_previous!$G$6:$Q$29, 10, FALSE)+VLOOKUP(BF$4, Rates_previous!$G$6:$Q$29, 11, FALSE))</f>
        <v>3551.7451568112001</v>
      </c>
      <c r="BG29" s="192">
        <f>$F29*(VLOOKUP(BG$4, Rates_previous!$G$6:$Q$29, 10, FALSE)+VLOOKUP(BG$4, Rates_previous!$G$6:$Q$29, 11, FALSE))</f>
        <v>3188.7115972560005</v>
      </c>
      <c r="BH29" s="314">
        <f>IF($D29=0,IF(C29=0, MAX(BJ29 - (VLOOKUP($A29,TOCA_previous!$A$2:$AI$137,MATCH("RHWM 2020",TOCA_previous!$A$2:$AI$2,0),FALSE)*$F$2*TOCA_previous!C26),0),0), 0)</f>
        <v>859.75257997520384</v>
      </c>
      <c r="BI29" s="204">
        <f>MIN(VLOOKUP($A29,TOCA_previous!$A$2:$AI$137,MATCH("TRL - NLSL - Existing Resource "&amp;$F$1,TOCA_previous!$A$2:$AI$2,0),FALSE)*$F$2,(VLOOKUP($A29,TOCA_previous!$A$2:$AI$137,MATCH("RHWM 2020",TOCA_previous!$A$2:$AI$2,0),FALSE)*$F$2))</f>
        <v>42092.928</v>
      </c>
      <c r="BJ29" s="418">
        <f>SUM(L29:AI29)+(F29*RT1SC!$C$3*$F$2)</f>
        <v>42952.680579975204</v>
      </c>
      <c r="BK29" s="417">
        <f>VLOOKUP($A29,TOCA_previous!$A$2:$AI$137,MATCH("Above RHWM Not Served with LS "&amp;$F$1,TOCA_previous!$A$2:$AI$2,0),FALSE)*$F$2</f>
        <v>25508.736000000001</v>
      </c>
      <c r="BL29" s="418">
        <f t="shared" si="8"/>
        <v>859.75257997520384</v>
      </c>
      <c r="BM29" s="417">
        <f>(VLOOKUP($A29,TOCA_previous!$A$2:$AI$137,MATCH("RHWM 2020",TOCA_previous!$A$2:$AI$2,0),FALSE)*$F$2) - $BI29</f>
        <v>0</v>
      </c>
      <c r="BN29" s="418">
        <f t="shared" si="9"/>
        <v>0</v>
      </c>
      <c r="BO29" s="417">
        <f t="shared" si="10"/>
        <v>0</v>
      </c>
      <c r="BP29" s="418">
        <f t="shared" si="11"/>
        <v>0</v>
      </c>
      <c r="BQ29" s="417">
        <f t="shared" si="2"/>
        <v>0</v>
      </c>
      <c r="BR29" s="120">
        <f>VLOOKUP($A29,TOCA_current!$A$2:$AI$137,MATCH(BR$4,TOCA_current!$A$2:$AI$2,0),FALSE)</f>
        <v>6.8210000000000005E-4</v>
      </c>
      <c r="BS29" s="120">
        <f>VLOOKUP($A29,TOCA_current!$A$2:$AI$137,MATCH(BS$4,TOCA_current!$A$2:$AI$2,0),FALSE)</f>
        <v>6.8210000000000005E-4</v>
      </c>
      <c r="BT29" s="201">
        <f t="shared" si="12"/>
        <v>0</v>
      </c>
      <c r="BU29" s="120">
        <f>VLOOKUP($A29,TOCA_current!A25:BG160,MATCH(BU$4,TOCA_current!$A$2:$BG$2,0),FALSE)</f>
        <v>0</v>
      </c>
      <c r="BV29" s="120">
        <f t="shared" si="3"/>
        <v>0</v>
      </c>
      <c r="BW29" s="120">
        <f t="shared" si="4"/>
        <v>0</v>
      </c>
      <c r="BX29" s="191">
        <f>VLOOKUP($A29,IRD!$A$4:$G$139, 7, FALSE)</f>
        <v>0</v>
      </c>
      <c r="BY29" s="192">
        <f t="array" ref="BY29">IF($BT29=0, INDEX(LS_current!$D$4:$AY$138, MATCH('Staging Table'!$A29, LS_current!$B$4:$B$138, 0), MATCH(BY$4&amp;BY$5, LS_current!$D$2:$AY$2&amp;LS_current!$D$3:$AY$3, 0)),SUM(VLOOKUP($A29, LS_current!$B$4:$AY$138, LS_current!D$148, FALSE), VLOOKUP($A29, LS_current!$B$4:$AY$138,LS_current!AB$148, FALSE))/2)</f>
        <v>-167.51603943966461</v>
      </c>
      <c r="BZ29" s="192">
        <f t="array" ref="BZ29">IF($BT29=0, INDEX(LS_current!$D$4:$AY$138, MATCH('Staging Table'!$A29, LS_current!$B$4:$B$138, 0), MATCH(BZ$4&amp;BZ$5, LS_current!$D$2:$AY$2&amp;LS_current!$D$3:$AY$3, 0)),SUM(VLOOKUP($A29, LS_current!$B$4:$AY$138, LS_current!E$148, FALSE), VLOOKUP($A29, LS_current!$B$4:$AY$138,LS_current!AC$148, FALSE))/2)</f>
        <v>110.76419203722185</v>
      </c>
      <c r="CA29" s="192">
        <f t="array" ref="CA29">IF($BT29=0, INDEX(LS_current!$D$4:$AY$138, MATCH('Staging Table'!$A29, LS_current!$B$4:$B$138, 0), MATCH(CA$4&amp;CA$5, LS_current!$D$2:$AY$2&amp;LS_current!$D$3:$AY$3, 0)),SUM(VLOOKUP($A29, LS_current!$B$4:$AY$138, LS_current!F$148, FALSE), VLOOKUP($A29, LS_current!$B$4:$AY$138,LS_current!AD$148, FALSE))/2)</f>
        <v>-482.84140083590682</v>
      </c>
      <c r="CB29" s="192">
        <f t="array" ref="CB29">IF($BT29=0, INDEX(LS_current!$D$4:$AY$138, MATCH('Staging Table'!$A29, LS_current!$B$4:$B$138, 0), MATCH(CB$4&amp;CB$5, LS_current!$D$2:$AY$2&amp;LS_current!$D$3:$AY$3, 0)),SUM(VLOOKUP($A29, LS_current!$B$4:$AY$138, LS_current!G$148, FALSE), VLOOKUP($A29, LS_current!$B$4:$AY$138,LS_current!AE$148, FALSE))/2)</f>
        <v>-128.21785088706429</v>
      </c>
      <c r="CC29" s="192">
        <f t="array" ref="CC29">IF($BT29=0, INDEX(LS_current!$D$4:$AY$138, MATCH('Staging Table'!$A29, LS_current!$B$4:$B$138, 0), MATCH(CC$4&amp;CC$5, LS_current!$D$2:$AY$2&amp;LS_current!$D$3:$AY$3, 0)),SUM(VLOOKUP($A29, LS_current!$B$4:$AY$138, LS_current!H$148, FALSE), VLOOKUP($A29, LS_current!$B$4:$AY$138,LS_current!AF$148, FALSE))/2)</f>
        <v>371.59540699369518</v>
      </c>
      <c r="CD29" s="192">
        <f t="array" ref="CD29">IF($BT29=0, INDEX(LS_current!$D$4:$AY$138, MATCH('Staging Table'!$A29, LS_current!$B$4:$B$138, 0), MATCH(CD$4&amp;CD$5, LS_current!$D$2:$AY$2&amp;LS_current!$D$3:$AY$3, 0)),SUM(VLOOKUP($A29, LS_current!$B$4:$AY$138, LS_current!I$148, FALSE), VLOOKUP($A29, LS_current!$B$4:$AY$138,LS_current!AG$148, FALSE))/2)</f>
        <v>146.08765649376414</v>
      </c>
      <c r="CE29" s="192">
        <f t="array" ref="CE29">IF($BT29=0, INDEX(LS_current!$D$4:$AY$138, MATCH('Staging Table'!$A29, LS_current!$B$4:$B$138, 0), MATCH(CE$4&amp;CE$5, LS_current!$D$2:$AY$2&amp;LS_current!$D$3:$AY$3, 0)),SUM(VLOOKUP($A29, LS_current!$B$4:$AY$138, LS_current!J$148, FALSE), VLOOKUP($A29, LS_current!$B$4:$AY$138,LS_current!AH$148, FALSE))/2)</f>
        <v>658.24546943937457</v>
      </c>
      <c r="CF29" s="192">
        <f t="array" ref="CF29">IF($BT29=0, INDEX(LS_current!$D$4:$AY$138, MATCH('Staging Table'!$A29, LS_current!$B$4:$B$138, 0), MATCH(CF$4&amp;CF$5, LS_current!$D$2:$AY$2&amp;LS_current!$D$3:$AY$3, 0)),SUM(VLOOKUP($A29, LS_current!$B$4:$AY$138, LS_current!K$148, FALSE), VLOOKUP($A29, LS_current!$B$4:$AY$138,LS_current!AI$148, FALSE))/2)</f>
        <v>587.15463898080043</v>
      </c>
      <c r="CG29" s="192">
        <f t="array" ref="CG29">IF($BT29=0, INDEX(LS_current!$D$4:$AY$138, MATCH('Staging Table'!$A29, LS_current!$B$4:$B$138, 0), MATCH(CG$4&amp;CG$5, LS_current!$D$2:$AY$2&amp;LS_current!$D$3:$AY$3, 0)),SUM(VLOOKUP($A29, LS_current!$B$4:$AY$138, LS_current!L$148, FALSE), VLOOKUP($A29, LS_current!$B$4:$AY$138,LS_current!AJ$148, FALSE))/2)</f>
        <v>542.90866801366815</v>
      </c>
      <c r="CH29" s="192">
        <f t="array" ref="CH29">IF($BT29=0, INDEX(LS_current!$D$4:$AY$138, MATCH('Staging Table'!$A29, LS_current!$B$4:$B$138, 0), MATCH(CH$4&amp;CH$5, LS_current!$D$2:$AY$2&amp;LS_current!$D$3:$AY$3, 0)),SUM(VLOOKUP($A29, LS_current!$B$4:$AY$138, LS_current!M$148, FALSE), VLOOKUP($A29, LS_current!$B$4:$AY$138,LS_current!AK$148, FALSE))/2)</f>
        <v>326.70670151399031</v>
      </c>
      <c r="CI29" s="192">
        <f t="array" ref="CI29">IF($BT29=0, INDEX(LS_current!$D$4:$AY$138, MATCH('Staging Table'!$A29, LS_current!$B$4:$B$138, 0), MATCH(CI$4&amp;CI$5, LS_current!$D$2:$AY$2&amp;LS_current!$D$3:$AY$3, 0)),SUM(VLOOKUP($A29, LS_current!$B$4:$AY$138, LS_current!N$148, FALSE), VLOOKUP($A29, LS_current!$B$4:$AY$138,LS_current!AL$148, FALSE))/2)</f>
        <v>55.54244668042611</v>
      </c>
      <c r="CJ29" s="192">
        <f t="array" ref="CJ29">IF($BT29=0, INDEX(LS_current!$D$4:$AY$138, MATCH('Staging Table'!$A29, LS_current!$B$4:$B$138, 0), MATCH(CJ$4&amp;CJ$5, LS_current!$D$2:$AY$2&amp;LS_current!$D$3:$AY$3, 0)),SUM(VLOOKUP($A29, LS_current!$B$4:$AY$138, LS_current!O$148, FALSE), VLOOKUP($A29, LS_current!$B$4:$AY$138,LS_current!AM$148, FALSE))/2)</f>
        <v>96.061678393571583</v>
      </c>
      <c r="CK29" s="192">
        <f t="array" ref="CK29">IF($BT29=0, INDEX(LS_current!$D$4:$AY$138, MATCH('Staging Table'!$A29, LS_current!$B$4:$B$138, 0), MATCH(CK$4&amp;CK$5, LS_current!$D$2:$AY$2&amp;LS_current!$D$3:$AY$3, 0)),SUM(VLOOKUP($A29, LS_current!$B$4:$AY$138, LS_current!P$148, FALSE), VLOOKUP($A29, LS_current!$B$4:$AY$138,LS_current!AN$148, FALSE))/2)</f>
        <v>238.56437126390597</v>
      </c>
      <c r="CL29" s="192">
        <f t="array" ref="CL29">IF($BT29=0, INDEX(LS_current!$D$4:$AY$138, MATCH('Staging Table'!$A29, LS_current!$B$4:$B$138, 0), MATCH(CL$4&amp;CL$5, LS_current!$D$2:$AY$2&amp;LS_current!$D$3:$AY$3, 0)),SUM(VLOOKUP($A29, LS_current!$B$4:$AY$138, LS_current!Q$148, FALSE), VLOOKUP($A29, LS_current!$B$4:$AY$138,LS_current!AO$148, FALSE))/2)</f>
        <v>171.35914850117354</v>
      </c>
      <c r="CM29" s="192">
        <f t="array" ref="CM29">IF($BT29=0, INDEX(LS_current!$D$4:$AY$138, MATCH('Staging Table'!$A29, LS_current!$B$4:$B$138, 0), MATCH(CM$4&amp;CM$5, LS_current!$D$2:$AY$2&amp;LS_current!$D$3:$AY$3, 0)),SUM(VLOOKUP($A29, LS_current!$B$4:$AY$138, LS_current!R$148, FALSE), VLOOKUP($A29, LS_current!$B$4:$AY$138,LS_current!AP$148, FALSE))/2)</f>
        <v>-696.6185687237321</v>
      </c>
      <c r="CN29" s="192">
        <f t="array" ref="CN29">IF($BT29=0, INDEX(LS_current!$D$4:$AY$138, MATCH('Staging Table'!$A29, LS_current!$B$4:$B$138, 0), MATCH(CN$4&amp;CN$5, LS_current!$D$2:$AY$2&amp;LS_current!$D$3:$AY$3, 0)),SUM(VLOOKUP($A29, LS_current!$B$4:$AY$138, LS_current!S$148, FALSE), VLOOKUP($A29, LS_current!$B$4:$AY$138,LS_current!AQ$148, FALSE))/2)</f>
        <v>42.133323009672267</v>
      </c>
      <c r="CO29" s="192">
        <f t="array" ref="CO29">IF($BT29=0, INDEX(LS_current!$D$4:$AY$138, MATCH('Staging Table'!$A29, LS_current!$B$4:$B$138, 0), MATCH(CO$4&amp;CO$5, LS_current!$D$2:$AY$2&amp;LS_current!$D$3:$AY$3, 0)),SUM(VLOOKUP($A29, LS_current!$B$4:$AY$138, LS_current!T$148, FALSE), VLOOKUP($A29, LS_current!$B$4:$AY$138,LS_current!AR$148, FALSE))/2)</f>
        <v>-769.05253990341475</v>
      </c>
      <c r="CP29" s="192">
        <f t="array" ref="CP29">IF($BT29=0, INDEX(LS_current!$D$4:$AY$138, MATCH('Staging Table'!$A29, LS_current!$B$4:$B$138, 0), MATCH(CP$4&amp;CP$5, LS_current!$D$2:$AY$2&amp;LS_current!$D$3:$AY$3, 0)),SUM(VLOOKUP($A29, LS_current!$B$4:$AY$138, LS_current!U$148, FALSE), VLOOKUP($A29, LS_current!$B$4:$AY$138,LS_current!AS$148, FALSE))/2)</f>
        <v>29.180482333505324</v>
      </c>
      <c r="CQ29" s="192">
        <f t="array" ref="CQ29">IF($BT29=0, INDEX(LS_current!$D$4:$AY$138, MATCH('Staging Table'!$A29, LS_current!$B$4:$B$138, 0), MATCH(CQ$4&amp;CQ$5, LS_current!$D$2:$AY$2&amp;LS_current!$D$3:$AY$3, 0)),SUM(VLOOKUP($A29, LS_current!$B$4:$AY$138, LS_current!V$148, FALSE), VLOOKUP($A29, LS_current!$B$4:$AY$138,LS_current!AT$148, FALSE))/2)</f>
        <v>-387.80094340727373</v>
      </c>
      <c r="CR29" s="192">
        <f t="array" ref="CR29">IF($BT29=0, INDEX(LS_current!$D$4:$AY$138, MATCH('Staging Table'!$A29, LS_current!$B$4:$B$138, 0), MATCH(CR$4&amp;CR$5, LS_current!$D$2:$AY$2&amp;LS_current!$D$3:$AY$3, 0)),SUM(VLOOKUP($A29, LS_current!$B$4:$AY$138, LS_current!W$148, FALSE), VLOOKUP($A29, LS_current!$B$4:$AY$138,LS_current!AU$148, FALSE))/2)</f>
        <v>156.35322284381868</v>
      </c>
      <c r="CS29" s="192">
        <f t="array" ref="CS29">IF($BT29=0, INDEX(LS_current!$D$4:$AY$138, MATCH('Staging Table'!$A29, LS_current!$B$4:$B$138, 0), MATCH(CS$4&amp;CS$5, LS_current!$D$2:$AY$2&amp;LS_current!$D$3:$AY$3, 0)),SUM(VLOOKUP($A29, LS_current!$B$4:$AY$138, LS_current!X$148, FALSE), VLOOKUP($A29, LS_current!$B$4:$AY$138,LS_current!AV$148, FALSE))/2)</f>
        <v>-394.66726873501852</v>
      </c>
      <c r="CT29" s="192">
        <f t="array" ref="CT29">IF($BT29=0, INDEX(LS_current!$D$4:$AY$138, MATCH('Staging Table'!$A29, LS_current!$B$4:$B$138, 0), MATCH(CT$4&amp;CT$5, LS_current!$D$2:$AY$2&amp;LS_current!$D$3:$AY$3, 0)),SUM(VLOOKUP($A29, LS_current!$B$4:$AY$138, LS_current!Y$148, FALSE), VLOOKUP($A29, LS_current!$B$4:$AY$138,LS_current!AW$148, FALSE))/2)</f>
        <v>-67.251745155787376</v>
      </c>
      <c r="CU29" s="192">
        <f t="array" ref="CU29">IF($BT29=0, INDEX(LS_current!$D$4:$AY$138, MATCH('Staging Table'!$A29, LS_current!$B$4:$B$138, 0), MATCH(CU$4&amp;CU$5, LS_current!$D$2:$AY$2&amp;LS_current!$D$3:$AY$3, 0)),SUM(VLOOKUP($A29, LS_current!$B$4:$AY$138, LS_current!Z$148, FALSE), VLOOKUP($A29, LS_current!$B$4:$AY$138,LS_current!AX$148, FALSE))/2)</f>
        <v>-436.92013425767936</v>
      </c>
      <c r="CV29" s="192">
        <f t="array" ref="CV29">IF($BT29=0, INDEX(LS_current!$D$4:$AY$138, MATCH('Staging Table'!$A29, LS_current!$B$4:$B$138, 0), MATCH(CV$4&amp;CV$5, LS_current!$D$2:$AY$2&amp;LS_current!$D$3:$AY$3, 0)),SUM(VLOOKUP($A29, LS_current!$B$4:$AY$138, LS_current!AA$148, FALSE), VLOOKUP($A29, LS_current!$B$4:$AY$138,LS_current!AY$148, FALSE))/2)</f>
        <v>-138.77920750099975</v>
      </c>
      <c r="CW29" s="194">
        <f t="array" ref="CW29">INDEX(Demand_current!$D$4:$AY$138, MATCH($A29, Demand_current!$B$4:$B$138, 0), MATCH(CW$4&amp;CW$5,Demand_current!$D$2:$AY$2&amp;Demand_current!$D$3:$AY$3, 0))/1000</f>
        <v>0.58356971153846093</v>
      </c>
      <c r="CX29" s="194">
        <f t="array" ref="CX29">INDEX(Demand_current!$D$4:$AY$138, MATCH($A29, Demand_current!$B$4:$B$138, 0), MATCH(CX$4&amp;CX$5,Demand_current!$D$2:$AY$2&amp;Demand_current!$D$3:$AY$3, 0))/1000</f>
        <v>0</v>
      </c>
      <c r="CY29" s="194">
        <f t="array" ref="CY29">INDEX(Demand_current!$D$4:$AY$138, MATCH($A29, Demand_current!$B$4:$B$138, 0), MATCH(CY$4&amp;CY$5,Demand_current!$D$2:$AY$2&amp;Demand_current!$D$3:$AY$3, 0))/1000</f>
        <v>0.33167548076922904</v>
      </c>
      <c r="CZ29" s="194">
        <f t="array" ref="CZ29">INDEX(Demand_current!$D$4:$AY$138, MATCH($A29, Demand_current!$B$4:$B$138, 0), MATCH(CZ$4&amp;CZ$5,Demand_current!$D$2:$AY$2&amp;Demand_current!$D$3:$AY$3, 0))/1000</f>
        <v>0.38378000000000079</v>
      </c>
      <c r="DA29" s="194">
        <f t="array" ref="DA29">INDEX(Demand_current!$D$4:$AY$138, MATCH($A29, Demand_current!$B$4:$B$138, 0), MATCH(DA$4&amp;DA$5,Demand_current!$D$2:$AY$2&amp;Demand_current!$D$3:$AY$3, 0))/1000</f>
        <v>0</v>
      </c>
      <c r="DB29" s="194">
        <f t="array" ref="DB29">INDEX(Demand_current!$D$4:$AY$138, MATCH($A29, Demand_current!$B$4:$B$138, 0), MATCH(DB$4&amp;DB$5,Demand_current!$D$2:$AY$2&amp;Demand_current!$D$3:$AY$3, 0))/1000</f>
        <v>0.26187731481481347</v>
      </c>
      <c r="DC29" s="194">
        <f t="array" ref="DC29">INDEX(Demand_current!$D$4:$AY$138, MATCH($A29, Demand_current!$B$4:$B$138, 0), MATCH(DC$4&amp;DC$5,Demand_current!$D$2:$AY$2&amp;Demand_current!$D$3:$AY$3, 0))/1000</f>
        <v>0.2623100961538456</v>
      </c>
      <c r="DD29" s="194">
        <f t="array" ref="DD29">INDEX(Demand_current!$D$4:$AY$138, MATCH($A29, Demand_current!$B$4:$B$138, 0), MATCH(DD$4&amp;DD$5,Demand_current!$D$2:$AY$2&amp;Demand_current!$D$3:$AY$3, 0))/1000</f>
        <v>0.22448749999999934</v>
      </c>
      <c r="DE29" s="194">
        <f t="array" ref="DE29">INDEX(Demand_current!$D$4:$AY$138, MATCH($A29, Demand_current!$B$4:$B$138, 0), MATCH(DE$4&amp;DE$5,Demand_current!$D$2:$AY$2&amp;Demand_current!$D$3:$AY$3, 0))/1000</f>
        <v>0.80920432692307676</v>
      </c>
      <c r="DF29" s="194">
        <f t="array" ref="DF29">INDEX(Demand_current!$D$4:$AY$138, MATCH($A29, Demand_current!$B$4:$B$138, 0), MATCH(DF$4&amp;DF$5,Demand_current!$D$2:$AY$2&amp;Demand_current!$D$3:$AY$3, 0))/1000</f>
        <v>0.74802250000000015</v>
      </c>
      <c r="DG29" s="194">
        <f t="array" ref="DG29">INDEX(Demand_current!$D$4:$AY$138, MATCH($A29, Demand_current!$B$4:$B$138, 0), MATCH(DG$4&amp;DG$5,Demand_current!$D$2:$AY$2&amp;Demand_current!$D$3:$AY$3, 0))/1000</f>
        <v>0.67631944444444336</v>
      </c>
      <c r="DH29" s="194">
        <f t="array" ref="DH29">INDEX(Demand_current!$D$4:$AY$138, MATCH($A29, Demand_current!$B$4:$B$138, 0), MATCH(DH$4&amp;DH$5,Demand_current!$D$2:$AY$2&amp;Demand_current!$D$3:$AY$3, 0))/1000</f>
        <v>0.62508750000000002</v>
      </c>
      <c r="DI29" s="192">
        <f>$BS29*(VLOOKUP(DI$4, Rates_current!$G$6:$Q$29, 10, FALSE)+VLOOKUP(DI$4, Rates_current!$G$6:$Q$29, 11, FALSE))</f>
        <v>3106.2318474024423</v>
      </c>
      <c r="DJ29" s="192">
        <f>$BS29*(VLOOKUP(DJ$4, Rates_current!$G$6:$Q$29, 10, FALSE)+VLOOKUP(DJ$4, Rates_current!$G$6:$Q$29, 11, FALSE))</f>
        <v>3932.6022517229712</v>
      </c>
      <c r="DK29" s="192">
        <f>$BS29*(VLOOKUP(DK$4, Rates_current!$G$6:$Q$29, 10, FALSE)+VLOOKUP(DK$4, Rates_current!$G$6:$Q$29, 11, FALSE))</f>
        <v>3849.2319365125413</v>
      </c>
      <c r="DL29" s="192">
        <f>$BS29*(VLOOKUP(DL$4, Rates_current!$G$6:$Q$29, 10, FALSE)+VLOOKUP(DL$4, Rates_current!$G$6:$Q$29, 11, FALSE))</f>
        <v>3179.3018915798248</v>
      </c>
      <c r="DM29" s="192">
        <f>$BS29*(VLOOKUP(DM$4, Rates_current!$G$6:$Q$29, 10, FALSE)+VLOOKUP(DM$4, Rates_current!$G$6:$Q$29, 11, FALSE))</f>
        <v>2755.5706304723421</v>
      </c>
      <c r="DN29" s="192">
        <f>$BS29*(VLOOKUP(DN$4, Rates_current!$G$6:$Q$29, 10, FALSE)+VLOOKUP(DN$4, Rates_current!$G$6:$Q$29, 11, FALSE))</f>
        <v>3289.5948749260028</v>
      </c>
      <c r="DO29" s="192">
        <f>$BS29*(VLOOKUP(DO$4, Rates_current!$G$6:$Q$29, 10, FALSE)+VLOOKUP(DO$4, Rates_current!$G$6:$Q$29, 11, FALSE))</f>
        <v>2553.9324802349206</v>
      </c>
      <c r="DP29" s="192">
        <f>$BS29*(VLOOKUP(DP$4, Rates_current!$G$6:$Q$29, 10, FALSE)+VLOOKUP(DP$4, Rates_current!$G$6:$Q$29, 11, FALSE))</f>
        <v>3538.4922457140597</v>
      </c>
      <c r="DQ29" s="192">
        <f>$BS29*(VLOOKUP(DQ$4, Rates_current!$G$6:$Q$29, 10, FALSE)+VLOOKUP(DQ$4, Rates_current!$G$6:$Q$29, 11, FALSE))</f>
        <v>3780.9530575699087</v>
      </c>
      <c r="DR29" s="192">
        <f>$BS29*(VLOOKUP(DR$4, Rates_current!$G$6:$Q$29, 10, FALSE)+VLOOKUP(DR$4, Rates_current!$G$6:$Q$29, 11, FALSE))</f>
        <v>3589.843720563455</v>
      </c>
      <c r="DS29" s="192">
        <f>$BS29*(VLOOKUP(DS$4, Rates_current!$G$6:$Q$29, 10, FALSE)+VLOOKUP(DS$4, Rates_current!$G$6:$Q$29, 11, FALSE))</f>
        <v>3469.307013890806</v>
      </c>
      <c r="DT29" s="192">
        <f>$BS29*(VLOOKUP(DT$4, Rates_current!$G$6:$Q$29, 10, FALSE)+VLOOKUP(DT$4, Rates_current!$G$6:$Q$29, 11, FALSE))</f>
        <v>3206.0013417586792</v>
      </c>
      <c r="DU29" s="418">
        <f>IF(D29=0,IF(C29=0,MAX(0,DW29 - (VLOOKUP($A29,TOCA_current!$A$2:$AI$137,MATCH("RHWM 2022",TOCA_current!$A$2:$AI$2,0),FALSE)*$BS$2)), 0),0)</f>
        <v>0</v>
      </c>
      <c r="DV29" s="419">
        <f>MIN(VLOOKUP($A29,TOCA_current!$A$2:$AI$137,MATCH("TRL - NLSL - Existing Resource "&amp;$BS$1,TOCA_current!$A$2:$AI$2,0),FALSE)*$BS$2, VLOOKUP($A29,TOCA_current!$A$2:$AI$137,MATCH("RHWM 2022",TOCA_current!$A$2:$AI$2,0),FALSE)*$BS$2)</f>
        <v>40252.199999999997</v>
      </c>
      <c r="DW29" s="419">
        <f>SUM(BY29:CV29)+(BS29*RT1SC!$C$4*$BS$2)</f>
        <v>40114.05705901605</v>
      </c>
      <c r="DX29" s="419">
        <f>VLOOKUP($A29,TOCA_current!$A$2:$AI$137,MATCH("Above RHWM Not Served with LS "&amp;$BS$1,TOCA_current!$A$2:$AI$2,0),FALSE)*$BS$2</f>
        <v>28347.360000000001</v>
      </c>
      <c r="DY29" s="419">
        <f t="shared" si="13"/>
        <v>-138.14294098394748</v>
      </c>
      <c r="DZ29" s="419">
        <f>(VLOOKUP($A29,TOCA_current!$A$2:$AI$137,MATCH("RHWM 2022",TOCA_current!$A$2:$AI$2,0),FALSE)*$BS$2) - $DV29</f>
        <v>0</v>
      </c>
      <c r="EA29" s="419">
        <f t="shared" si="14"/>
        <v>0</v>
      </c>
      <c r="EB29" s="419">
        <f t="shared" si="15"/>
        <v>0</v>
      </c>
      <c r="EC29" s="419">
        <f t="shared" si="16"/>
        <v>0</v>
      </c>
      <c r="ED29" s="419">
        <f t="shared" si="17"/>
        <v>0</v>
      </c>
    </row>
    <row r="30" spans="1:134">
      <c r="A30" s="135">
        <v>10078</v>
      </c>
      <c r="B30" s="136" t="s">
        <v>31</v>
      </c>
      <c r="C30" s="244">
        <f>VLOOKUP(A30, TOCA_current!$A$3:$D$137, 4, FALSE)</f>
        <v>0</v>
      </c>
      <c r="D30" s="203">
        <v>0</v>
      </c>
      <c r="E30" s="119">
        <f>VLOOKUP($A30,TOCA_previous!$A$2:$AI$137,MATCH(E$4,TOCA_previous!$A$2:$AI$2,0),FALSE)</f>
        <v>5.264E-4</v>
      </c>
      <c r="F30" s="120">
        <f>VLOOKUP($A30,TOCA_previous!$A$2:$AI$137,MATCH(F$4,TOCA_previous!$A$2:$AI$2,0),FALSE)</f>
        <v>5.264E-4</v>
      </c>
      <c r="G30" s="120">
        <f t="shared" si="5"/>
        <v>0</v>
      </c>
      <c r="H30" s="120">
        <f>VLOOKUP($A30,TOCA_previous!$A$2:$AI$137,MATCH(H$4,TOCA_previous!$A$2:$AI$2,0),FALSE)</f>
        <v>0</v>
      </c>
      <c r="I30" s="120">
        <f t="shared" si="6"/>
        <v>0</v>
      </c>
      <c r="J30" s="120">
        <f t="shared" si="7"/>
        <v>0</v>
      </c>
      <c r="K30" s="191">
        <f>VLOOKUP(A30, IRD!$A$5:$C$139, 3, FALSE)</f>
        <v>0</v>
      </c>
      <c r="L30" s="192">
        <f t="array" ref="L30">IF($G30=0, INDEX(LS_previous!$D$4:$AY$138, MATCH('Staging Table'!$A30, LS_previous!$B$4:$B$138, 0), MATCH(L$4&amp;L$5, LS_previous!$D$2:$AY$2&amp;LS_previous!$D$3:$AY$3, 0)),SUM(VLOOKUP($A30, LS_previous!$B$4:$AY$138, LS_previous!D$149, FALSE), VLOOKUP('Staging Table'!$A30, LS_previous!$B$4:$AY$138,LS_previous!AB$149, FALSE))/2)</f>
        <v>184.03697975680006</v>
      </c>
      <c r="M30" s="192">
        <f t="array" ref="M30">IF($G30=0, INDEX(LS_previous!$D$4:$AY$138, MATCH('Staging Table'!$A30, LS_previous!$B$4:$B$138, 0), MATCH(M$4&amp;M$5, LS_previous!$D$2:$AY$2&amp;LS_previous!$D$3:$AY$3, 0)),SUM(VLOOKUP($A30, LS_previous!$B$4:$AY$138, LS_previous!E$149, FALSE), VLOOKUP('Staging Table'!$A30, LS_previous!$B$4:$AY$138,LS_previous!AC$149, FALSE))/2)</f>
        <v>51.590248268799996</v>
      </c>
      <c r="N30" s="192">
        <f t="array" ref="N30">IF($G30=0, INDEX(LS_previous!$D$4:$AY$138, MATCH('Staging Table'!$A30, LS_previous!$B$4:$B$138, 0), MATCH(N$4&amp;N$5, LS_previous!$D$2:$AY$2&amp;LS_previous!$D$3:$AY$3, 0)),SUM(VLOOKUP($A30, LS_previous!$B$4:$AY$138, LS_previous!F$149, FALSE), VLOOKUP('Staging Table'!$A30, LS_previous!$B$4:$AY$138,LS_previous!AD$149, FALSE))/2)</f>
        <v>1.9767332608000743</v>
      </c>
      <c r="O30" s="192">
        <f t="array" ref="O30">IF($G30=0, INDEX(LS_previous!$D$4:$AY$138, MATCH('Staging Table'!$A30, LS_previous!$B$4:$B$138, 0), MATCH(O$4&amp;O$5, LS_previous!$D$2:$AY$2&amp;LS_previous!$D$3:$AY$3, 0)),SUM(VLOOKUP($A30, LS_previous!$B$4:$AY$138, LS_previous!G$149, FALSE), VLOOKUP('Staging Table'!$A30, LS_previous!$B$4:$AY$138,LS_previous!AE$149, FALSE))/2)</f>
        <v>-68.400790270400194</v>
      </c>
      <c r="P30" s="192">
        <f t="array" ref="P30">IF($G30=0, INDEX(LS_previous!$D$4:$AY$138, MATCH('Staging Table'!$A30, LS_previous!$B$4:$B$138, 0), MATCH(P$4&amp;P$5, LS_previous!$D$2:$AY$2&amp;LS_previous!$D$3:$AY$3, 0)),SUM(VLOOKUP($A30, LS_previous!$B$4:$AY$138, LS_previous!H$149, FALSE), VLOOKUP('Staging Table'!$A30, LS_previous!$B$4:$AY$138,LS_previous!AF$149, FALSE))/2)</f>
        <v>363.70540785919979</v>
      </c>
      <c r="Q30" s="192">
        <f t="array" ref="Q30">IF($G30=0, INDEX(LS_previous!$D$4:$AY$138, MATCH('Staging Table'!$A30, LS_previous!$B$4:$B$138, 0), MATCH(Q$4&amp;Q$5, LS_previous!$D$2:$AY$2&amp;LS_previous!$D$3:$AY$3, 0)),SUM(VLOOKUP($A30, LS_previous!$B$4:$AY$138, LS_previous!I$149, FALSE), VLOOKUP('Staging Table'!$A30, LS_previous!$B$4:$AY$138,LS_previous!AG$149, FALSE))/2)</f>
        <v>158.50004896639985</v>
      </c>
      <c r="R30" s="192">
        <f t="array" ref="R30">IF($G30=0, INDEX(LS_previous!$D$4:$AY$138, MATCH('Staging Table'!$A30, LS_previous!$B$4:$B$138, 0), MATCH(R$4&amp;R$5, LS_previous!$D$2:$AY$2&amp;LS_previous!$D$3:$AY$3, 0)),SUM(VLOOKUP($A30, LS_previous!$B$4:$AY$138, LS_previous!J$149, FALSE), VLOOKUP('Staging Table'!$A30, LS_previous!$B$4:$AY$138,LS_previous!AH$149, FALSE))/2)</f>
        <v>788.59633425919969</v>
      </c>
      <c r="S30" s="192">
        <f t="array" ref="S30">IF($G30=0, INDEX(LS_previous!$D$4:$AY$138, MATCH('Staging Table'!$A30, LS_previous!$B$4:$B$138, 0), MATCH(S$4&amp;S$5, LS_previous!$D$2:$AY$2&amp;LS_previous!$D$3:$AY$3, 0)),SUM(VLOOKUP($A30, LS_previous!$B$4:$AY$138, LS_previous!K$149, FALSE), VLOOKUP('Staging Table'!$A30, LS_previous!$B$4:$AY$138,LS_previous!AI$149, FALSE))/2)</f>
        <v>512.28054976639999</v>
      </c>
      <c r="T30" s="192">
        <f t="array" ref="T30">IF($G30=0, INDEX(LS_previous!$D$4:$AY$138, MATCH('Staging Table'!$A30, LS_previous!$B$4:$B$138, 0), MATCH(T$4&amp;T$5, LS_previous!$D$2:$AY$2&amp;LS_previous!$D$3:$AY$3, 0)),SUM(VLOOKUP($A30, LS_previous!$B$4:$AY$138, LS_previous!L$149, FALSE), VLOOKUP('Staging Table'!$A30, LS_previous!$B$4:$AY$138,LS_previous!AJ$149, FALSE))/2)</f>
        <v>603.26067392639993</v>
      </c>
      <c r="U30" s="192">
        <f t="array" ref="U30">IF($G30=0, INDEX(LS_previous!$D$4:$AY$138, MATCH('Staging Table'!$A30, LS_previous!$B$4:$B$138, 0), MATCH(U$4&amp;U$5, LS_previous!$D$2:$AY$2&amp;LS_previous!$D$3:$AY$3, 0)),SUM(VLOOKUP($A30, LS_previous!$B$4:$AY$138, LS_previous!M$149, FALSE), VLOOKUP('Staging Table'!$A30, LS_previous!$B$4:$AY$138,LS_previous!AK$149, FALSE))/2)</f>
        <v>262.80964255359993</v>
      </c>
      <c r="V30" s="192">
        <f t="array" ref="V30">IF($G30=0, INDEX(LS_previous!$D$4:$AY$138, MATCH('Staging Table'!$A30, LS_previous!$B$4:$B$138, 0), MATCH(V$4&amp;V$5, LS_previous!$D$2:$AY$2&amp;LS_previous!$D$3:$AY$3, 0)),SUM(VLOOKUP($A30, LS_previous!$B$4:$AY$138, LS_previous!N$149, FALSE), VLOOKUP('Staging Table'!$A30, LS_previous!$B$4:$AY$138,LS_previous!AL$149, FALSE))/2)</f>
        <v>387.38681525760035</v>
      </c>
      <c r="W30" s="192">
        <f t="array" ref="W30">IF($G30=0, INDEX(LS_previous!$D$4:$AY$138, MATCH('Staging Table'!$A30, LS_previous!$B$4:$B$138, 0), MATCH(W$4&amp;W$5, LS_previous!$D$2:$AY$2&amp;LS_previous!$D$3:$AY$3, 0)),SUM(VLOOKUP($A30, LS_previous!$B$4:$AY$138, LS_previous!O$149, FALSE), VLOOKUP('Staging Table'!$A30, LS_previous!$B$4:$AY$138,LS_previous!AM$149, FALSE))/2)</f>
        <v>95.812411505599925</v>
      </c>
      <c r="X30" s="192">
        <f t="array" ref="X30">IF($G30=0, INDEX(LS_previous!$D$4:$AY$138, MATCH('Staging Table'!$A30, LS_previous!$B$4:$B$138, 0), MATCH(X$4&amp;X$5, LS_previous!$D$2:$AY$2&amp;LS_previous!$D$3:$AY$3, 0)),SUM(VLOOKUP($A30, LS_previous!$B$4:$AY$138, LS_previous!P$149, FALSE), VLOOKUP('Staging Table'!$A30, LS_previous!$B$4:$AY$138,LS_previous!AN$149, FALSE))/2)</f>
        <v>500.4539907584001</v>
      </c>
      <c r="Y30" s="192">
        <f t="array" ref="Y30">IF($G30=0, INDEX(LS_previous!$D$4:$AY$138, MATCH('Staging Table'!$A30, LS_previous!$B$4:$B$138, 0), MATCH(Y$4&amp;Y$5, LS_previous!$D$2:$AY$2&amp;LS_previous!$D$3:$AY$3, 0)),SUM(VLOOKUP($A30, LS_previous!$B$4:$AY$138, LS_previous!Q$149, FALSE), VLOOKUP('Staging Table'!$A30, LS_previous!$B$4:$AY$138,LS_previous!AO$149, FALSE))/2)</f>
        <v>131.65041736959995</v>
      </c>
      <c r="Z30" s="192">
        <f t="array" ref="Z30">IF($G30=0, INDEX(LS_previous!$D$4:$AY$138, MATCH('Staging Table'!$A30, LS_previous!$B$4:$B$138, 0), MATCH(Z$4&amp;Z$5, LS_previous!$D$2:$AY$2&amp;LS_previous!$D$3:$AY$3, 0)),SUM(VLOOKUP($A30, LS_previous!$B$4:$AY$138, LS_previous!R$149, FALSE), VLOOKUP('Staging Table'!$A30, LS_previous!$B$4:$AY$138,LS_previous!AP$149, FALSE))/2)</f>
        <v>-465.78604943999994</v>
      </c>
      <c r="AA30" s="192">
        <f t="array" ref="AA30">IF($G30=0, INDEX(LS_previous!$D$4:$AY$138, MATCH('Staging Table'!$A30, LS_previous!$B$4:$B$138, 0), MATCH(AA$4&amp;AA$5, LS_previous!$D$2:$AY$2&amp;LS_previous!$D$3:$AY$3, 0)),SUM(VLOOKUP($A30, LS_previous!$B$4:$AY$138, LS_previous!S$149, FALSE), VLOOKUP('Staging Table'!$A30, LS_previous!$B$4:$AY$138,LS_previous!AQ$149, FALSE))/2)</f>
        <v>-248.17489773440002</v>
      </c>
      <c r="AB30" s="192">
        <f t="array" ref="AB30">IF($G30=0, INDEX(LS_previous!$D$4:$AY$138, MATCH('Staging Table'!$A30, LS_previous!$B$4:$B$138, 0), MATCH(AB$4&amp;AB$5, LS_previous!$D$2:$AY$2&amp;LS_previous!$D$3:$AY$3, 0)),SUM(VLOOKUP($A30, LS_previous!$B$4:$AY$138, LS_previous!T$149, FALSE), VLOOKUP('Staging Table'!$A30, LS_previous!$B$4:$AY$138,LS_previous!AR$149, FALSE))/2)</f>
        <v>-939.28517964159983</v>
      </c>
      <c r="AC30" s="192">
        <f t="array" ref="AC30">IF($G30=0, INDEX(LS_previous!$D$4:$AY$138, MATCH('Staging Table'!$A30, LS_previous!$B$4:$B$138, 0), MATCH(AC$4&amp;AC$5, LS_previous!$D$2:$AY$2&amp;LS_previous!$D$3:$AY$3, 0)),SUM(VLOOKUP($A30, LS_previous!$B$4:$AY$138, LS_previous!U$149, FALSE), VLOOKUP('Staging Table'!$A30, LS_previous!$B$4:$AY$138,LS_previous!AS$149, FALSE))/2)</f>
        <v>-636.98273303040003</v>
      </c>
      <c r="AD30" s="192">
        <f t="array" ref="AD30">IF($G30=0, INDEX(LS_previous!$D$4:$AY$138, MATCH('Staging Table'!$A30, LS_previous!$B$4:$B$138, 0), MATCH(AD$4&amp;AD$5, LS_previous!$D$2:$AY$2&amp;LS_previous!$D$3:$AY$3, 0)),SUM(VLOOKUP($A30, LS_previous!$B$4:$AY$138, LS_previous!V$149, FALSE), VLOOKUP('Staging Table'!$A30, LS_previous!$B$4:$AY$138,LS_previous!AT$149, FALSE))/2)</f>
        <v>-650.21989164160004</v>
      </c>
      <c r="AE30" s="192">
        <f t="array" ref="AE30">IF($G30=0, INDEX(LS_previous!$D$4:$AY$138, MATCH('Staging Table'!$A30, LS_previous!$B$4:$B$138, 0), MATCH(AE$4&amp;AE$5, LS_previous!$D$2:$AY$2&amp;LS_previous!$D$3:$AY$3, 0)),SUM(VLOOKUP($A30, LS_previous!$B$4:$AY$138, LS_previous!W$149, FALSE), VLOOKUP('Staging Table'!$A30, LS_previous!$B$4:$AY$138,LS_previous!AU$149, FALSE))/2)</f>
        <v>-203.75216993280003</v>
      </c>
      <c r="AF30" s="192">
        <f t="array" ref="AF30">IF($G30=0, INDEX(LS_previous!$D$4:$AY$138, MATCH('Staging Table'!$A30, LS_previous!$B$4:$B$138, 0), MATCH(AF$4&amp;AF$5, LS_previous!$D$2:$AY$2&amp;LS_previous!$D$3:$AY$3, 0)),SUM(VLOOKUP($A30, LS_previous!$B$4:$AY$138, LS_previous!X$149, FALSE), VLOOKUP('Staging Table'!$A30, LS_previous!$B$4:$AY$138,LS_previous!AV$149, FALSE))/2)</f>
        <v>-476.45930844159989</v>
      </c>
      <c r="AG30" s="192">
        <f t="array" ref="AG30">IF($G30=0, INDEX(LS_previous!$D$4:$AY$138, MATCH('Staging Table'!$A30, LS_previous!$B$4:$B$138, 0), MATCH(AG$4&amp;AG$5, LS_previous!$D$2:$AY$2&amp;LS_previous!$D$3:$AY$3, 0)),SUM(VLOOKUP($A30, LS_previous!$B$4:$AY$138, LS_previous!Y$149, FALSE), VLOOKUP('Staging Table'!$A30, LS_previous!$B$4:$AY$138,LS_previous!AW$149, FALSE))/2)</f>
        <v>-257.33364193280011</v>
      </c>
      <c r="AH30" s="192">
        <f t="array" ref="AH30">IF($G30=0, INDEX(LS_previous!$D$4:$AY$138, MATCH('Staging Table'!$A30, LS_previous!$B$4:$B$138, 0), MATCH(AH$4&amp;AH$5, LS_previous!$D$2:$AY$2&amp;LS_previous!$D$3:$AY$3, 0)),SUM(VLOOKUP($A30, LS_previous!$B$4:$AY$138, LS_previous!Z$149, FALSE), VLOOKUP('Staging Table'!$A30, LS_previous!$B$4:$AY$138,LS_previous!AX$149, FALSE))/2)</f>
        <v>-237.17617984000003</v>
      </c>
      <c r="AI30" s="192">
        <f t="array" ref="AI30">IF($G30=0, INDEX(LS_previous!$D$4:$AY$138, MATCH('Staging Table'!$A30, LS_previous!$B$4:$B$138, 0), MATCH(AI$4&amp;AI$5, LS_previous!$D$2:$AY$2&amp;LS_previous!$D$3:$AY$3, 0)),SUM(VLOOKUP($A30, LS_previous!$B$4:$AY$138, LS_previous!AA$149, FALSE), VLOOKUP('Staging Table'!$A30, LS_previous!$B$4:$AY$138,LS_previous!AY$149, FALSE))/2)</f>
        <v>-246.07337043199993</v>
      </c>
      <c r="AJ30" s="314">
        <f t="array" ref="AJ30">INDEX(Demand_previous!$D$4:$AY$138, MATCH('Staging Table'!$A30, Demand_previous!$B$4:$B$138, 0), MATCH(AJ$4&amp;AJ$5,Demand_previous!$D$2:$AY$2&amp;Demand_previous!$D$3:$AY$3, 0))/1000</f>
        <v>1.107386574074074</v>
      </c>
      <c r="AK30" s="314">
        <f t="array" ref="AK30">INDEX(Demand_previous!$D$4:$AY$138, MATCH('Staging Table'!$A30, Demand_previous!$B$4:$B$138, 0), MATCH(AK$4&amp;AK$5,Demand_previous!$D$2:$AY$2&amp;Demand_previous!$D$3:$AY$3, 0))/1000</f>
        <v>1.2406425000000003</v>
      </c>
      <c r="AL30" s="314">
        <f t="array" ref="AL30">INDEX(Demand_previous!$D$4:$AY$138, MATCH('Staging Table'!$A30, Demand_previous!$B$4:$B$138, 0), MATCH(AL$4&amp;AL$5,Demand_previous!$D$2:$AY$2&amp;Demand_previous!$D$3:$AY$3, 0))/1000</f>
        <v>1.1901675000000007</v>
      </c>
      <c r="AM30" s="314">
        <f t="array" ref="AM30">INDEX(Demand_previous!$D$4:$AY$138, MATCH('Staging Table'!$A30, Demand_previous!$B$4:$B$138, 0), MATCH(AM$4&amp;AM$5,Demand_previous!$D$2:$AY$2&amp;Demand_previous!$D$3:$AY$3, 0))/1000</f>
        <v>1.8791586538461538</v>
      </c>
      <c r="AN30" s="314">
        <f t="array" ref="AN30">INDEX(Demand_previous!$D$4:$AY$138, MATCH('Staging Table'!$A30, Demand_previous!$B$4:$B$138, 0), MATCH(AN$4&amp;AN$5,Demand_previous!$D$2:$AY$2&amp;Demand_previous!$D$3:$AY$3, 0))/1000</f>
        <v>1.1789025</v>
      </c>
      <c r="AO30" s="314">
        <f t="array" ref="AO30">INDEX(Demand_previous!$D$4:$AY$138, MATCH('Staging Table'!$A30, Demand_previous!$B$4:$B$138, 0), MATCH(AO$4&amp;AO$5,Demand_previous!$D$2:$AY$2&amp;Demand_previous!$D$3:$AY$3, 0))/1000</f>
        <v>0.74993028846153842</v>
      </c>
      <c r="AP30" s="314">
        <f t="array" ref="AP30">INDEX(Demand_previous!$D$4:$AY$138, MATCH('Staging Table'!$A30, Demand_previous!$B$4:$B$138, 0), MATCH(AP$4&amp;AP$5,Demand_previous!$D$2:$AY$2&amp;Demand_previous!$D$3:$AY$3, 0))/1000</f>
        <v>1.3796418269230766</v>
      </c>
      <c r="AQ30" s="314">
        <f t="array" ref="AQ30">INDEX(Demand_previous!$D$4:$AY$138, MATCH('Staging Table'!$A30, Demand_previous!$B$4:$B$138, 0), MATCH(AQ$4&amp;AQ$5,Demand_previous!$D$2:$AY$2&amp;Demand_previous!$D$3:$AY$3, 0))/1000</f>
        <v>0.83946250000000022</v>
      </c>
      <c r="AR30" s="314">
        <f t="array" ref="AR30">INDEX(Demand_previous!$D$4:$AY$138, MATCH('Staging Table'!$A30, Demand_previous!$B$4:$B$138, 0), MATCH(AR$4&amp;AR$5,Demand_previous!$D$2:$AY$2&amp;Demand_previous!$D$3:$AY$3, 0))/1000</f>
        <v>0.54480048076923016</v>
      </c>
      <c r="AS30" s="314">
        <f t="array" ref="AS30">INDEX(Demand_previous!$D$4:$AY$138, MATCH('Staging Table'!$A30, Demand_previous!$B$4:$B$138, 0), MATCH(AS$4&amp;AS$5,Demand_previous!$D$2:$AY$2&amp;Demand_previous!$D$3:$AY$3, 0))/1000</f>
        <v>0.20801682692307688</v>
      </c>
      <c r="AT30" s="314">
        <f t="array" ref="AT30">INDEX(Demand_previous!$D$4:$AY$138, MATCH('Staging Table'!$A30, Demand_previous!$B$4:$B$138, 0), MATCH(AT$4&amp;AT$5,Demand_previous!$D$2:$AY$2&amp;Demand_previous!$D$3:$AY$3, 0))/1000</f>
        <v>0.55274278846153835</v>
      </c>
      <c r="AU30" s="314">
        <f t="array" ref="AU30">INDEX(Demand_previous!$D$4:$AY$138, MATCH('Staging Table'!$A30, Demand_previous!$B$4:$B$138, 0), MATCH(AU$4&amp;AU$5,Demand_previous!$D$2:$AY$2&amp;Demand_previous!$D$3:$AY$3, 0))/1000</f>
        <v>0.56464500000000029</v>
      </c>
      <c r="AV30" s="192">
        <f>$F30*(VLOOKUP(AV$4, Rates_previous!$G$6:$Q$29, 10, FALSE)+VLOOKUP(AV$4, Rates_previous!$G$6:$Q$29, 11, FALSE))</f>
        <v>2430.5557719743997</v>
      </c>
      <c r="AW30" s="192">
        <f>$F30*(VLOOKUP(AW$4, Rates_previous!$G$6:$Q$29, 10, FALSE)+VLOOKUP(AW$4, Rates_previous!$G$6:$Q$29, 11, FALSE))</f>
        <v>3087.5640570096002</v>
      </c>
      <c r="AX30" s="192">
        <f>$F30*(VLOOKUP(AX$4, Rates_previous!$G$6:$Q$29, 10, FALSE)+VLOOKUP(AX$4, Rates_previous!$G$6:$Q$29, 11, FALSE))</f>
        <v>3050.2775431744003</v>
      </c>
      <c r="AY30" s="192">
        <f>$F30*(VLOOKUP(AY$4, Rates_previous!$G$6:$Q$29, 10, FALSE)+VLOOKUP(AY$4, Rates_previous!$G$6:$Q$29, 11, FALSE))</f>
        <v>2542.5921159744003</v>
      </c>
      <c r="AZ30" s="192">
        <f>$F30*(VLOOKUP(AZ$4, Rates_previous!$G$6:$Q$29, 10, FALSE)+VLOOKUP(AZ$4, Rates_previous!$G$6:$Q$29, 11, FALSE))</f>
        <v>2303.3246835199998</v>
      </c>
      <c r="BA30" s="192">
        <f>$F30*(VLOOKUP(BA$4, Rates_previous!$G$6:$Q$29, 10, FALSE)+VLOOKUP(BA$4, Rates_previous!$G$6:$Q$29, 11, FALSE))</f>
        <v>2562.0287732368001</v>
      </c>
      <c r="BB30" s="192">
        <f>$F30*(VLOOKUP(BB$4, Rates_previous!$G$6:$Q$29, 10, FALSE)+VLOOKUP(BB$4, Rates_previous!$G$6:$Q$29, 11, FALSE))</f>
        <v>2086.0065918720002</v>
      </c>
      <c r="BC30" s="192">
        <f>$F30*(VLOOKUP(BC$4, Rates_previous!$G$6:$Q$29, 10, FALSE)+VLOOKUP(BC$4, Rates_previous!$G$6:$Q$29, 11, FALSE))</f>
        <v>2813.2909471744001</v>
      </c>
      <c r="BD30" s="192">
        <f>$F30*(VLOOKUP(BD$4, Rates_previous!$G$6:$Q$29, 10, FALSE)+VLOOKUP(BD$4, Rates_previous!$G$6:$Q$29, 11, FALSE))</f>
        <v>3589.5679126720001</v>
      </c>
      <c r="BE30" s="192">
        <f>$F30*(VLOOKUP(BE$4, Rates_previous!$G$6:$Q$29, 10, FALSE)+VLOOKUP(BE$4, Rates_previous!$G$6:$Q$29, 11, FALSE))</f>
        <v>2814.3350615744002</v>
      </c>
      <c r="BF30" s="192">
        <f>$F30*(VLOOKUP(BF$4, Rates_previous!$G$6:$Q$29, 10, FALSE)+VLOOKUP(BF$4, Rates_previous!$G$6:$Q$29, 11, FALSE))</f>
        <v>2740.6019503744001</v>
      </c>
      <c r="BG30" s="192">
        <f>$F30*(VLOOKUP(BG$4, Rates_previous!$G$6:$Q$29, 10, FALSE)+VLOOKUP(BG$4, Rates_previous!$G$6:$Q$29, 11, FALSE))</f>
        <v>2460.4775502720004</v>
      </c>
      <c r="BH30" s="314">
        <f>IF($D30=0,IF(C30=0, MAX(BJ30 - (VLOOKUP($A30,TOCA_previous!$A$2:$AI$137,MATCH("RHWM 2020",TOCA_previous!$A$2:$AI$2,0),FALSE)*$F$2*TOCA_previous!C27),0),0), 0)</f>
        <v>0</v>
      </c>
      <c r="BI30" s="204">
        <f>MIN(VLOOKUP($A30,TOCA_previous!$A$2:$AI$137,MATCH("TRL - NLSL - Existing Resource "&amp;$F$1,TOCA_previous!$A$2:$AI$2,0),FALSE)*$F$2,(VLOOKUP($A30,TOCA_previous!$A$2:$AI$137,MATCH("RHWM 2020",TOCA_previous!$A$2:$AI$2,0),FALSE)*$F$2))</f>
        <v>32483.232</v>
      </c>
      <c r="BJ30" s="418">
        <f>SUM(L30:AI30)+(F30*RT1SC!$C$3*$F$2)</f>
        <v>32093.0402191424</v>
      </c>
      <c r="BK30" s="417">
        <f>VLOOKUP($A30,TOCA_previous!$A$2:$AI$137,MATCH("Above RHWM Not Served with LS "&amp;$F$1,TOCA_previous!$A$2:$AI$2,0),FALSE)*$F$2</f>
        <v>0</v>
      </c>
      <c r="BL30" s="418">
        <f t="shared" si="8"/>
        <v>-390.19178085759995</v>
      </c>
      <c r="BM30" s="417">
        <f>(VLOOKUP($A30,TOCA_previous!$A$2:$AI$137,MATCH("RHWM 2020",TOCA_previous!$A$2:$AI$2,0),FALSE)*$F$2) - $BI30</f>
        <v>0</v>
      </c>
      <c r="BN30" s="418">
        <f t="shared" si="9"/>
        <v>0</v>
      </c>
      <c r="BO30" s="417">
        <f t="shared" si="10"/>
        <v>390.19178085759995</v>
      </c>
      <c r="BP30" s="418">
        <f t="shared" si="11"/>
        <v>0</v>
      </c>
      <c r="BQ30" s="417">
        <f t="shared" si="2"/>
        <v>390.19178085759995</v>
      </c>
      <c r="BR30" s="120">
        <f>VLOOKUP($A30,TOCA_current!$A$2:$AI$137,MATCH(BR$4,TOCA_current!$A$2:$AI$2,0),FALSE)</f>
        <v>5.264E-4</v>
      </c>
      <c r="BS30" s="120">
        <f>VLOOKUP($A30,TOCA_current!$A$2:$AI$137,MATCH(BS$4,TOCA_current!$A$2:$AI$2,0),FALSE)</f>
        <v>5.264E-4</v>
      </c>
      <c r="BT30" s="201">
        <f t="shared" si="12"/>
        <v>0</v>
      </c>
      <c r="BU30" s="120">
        <f>VLOOKUP($A30,TOCA_current!A26:BG161,MATCH(BU$4,TOCA_current!$A$2:$BG$2,0),FALSE)</f>
        <v>0</v>
      </c>
      <c r="BV30" s="120">
        <f t="shared" si="3"/>
        <v>0</v>
      </c>
      <c r="BW30" s="120">
        <f t="shared" si="4"/>
        <v>0</v>
      </c>
      <c r="BX30" s="191">
        <f>VLOOKUP($A30,IRD!$A$4:$G$139, 7, FALSE)</f>
        <v>0</v>
      </c>
      <c r="BY30" s="192">
        <f t="array" ref="BY30">IF($BT30=0, INDEX(LS_current!$D$4:$AY$138, MATCH('Staging Table'!$A30, LS_current!$B$4:$B$138, 0), MATCH(BY$4&amp;BY$5, LS_current!$D$2:$AY$2&amp;LS_current!$D$3:$AY$3, 0)),SUM(VLOOKUP($A30, LS_current!$B$4:$AY$138, LS_current!D$148, FALSE), VLOOKUP($A30, LS_current!$B$4:$AY$138,LS_current!AB$148, FALSE))/2)</f>
        <v>230.50500474851287</v>
      </c>
      <c r="BZ30" s="192">
        <f t="array" ref="BZ30">IF($BT30=0, INDEX(LS_current!$D$4:$AY$138, MATCH('Staging Table'!$A30, LS_current!$B$4:$B$138, 0), MATCH(BZ$4&amp;BZ$5, LS_current!$D$2:$AY$2&amp;LS_current!$D$3:$AY$3, 0)),SUM(VLOOKUP($A30, LS_current!$B$4:$AY$138, LS_current!E$148, FALSE), VLOOKUP($A30, LS_current!$B$4:$AY$138,LS_current!AC$148, FALSE))/2)</f>
        <v>38.492180161843862</v>
      </c>
      <c r="CA30" s="192">
        <f t="array" ref="CA30">IF($BT30=0, INDEX(LS_current!$D$4:$AY$138, MATCH('Staging Table'!$A30, LS_current!$B$4:$B$138, 0), MATCH(CA$4&amp;CA$5, LS_current!$D$2:$AY$2&amp;LS_current!$D$3:$AY$3, 0)),SUM(VLOOKUP($A30, LS_current!$B$4:$AY$138, LS_current!F$148, FALSE), VLOOKUP($A30, LS_current!$B$4:$AY$138,LS_current!AD$148, FALSE))/2)</f>
        <v>75.368662219584621</v>
      </c>
      <c r="CB30" s="192">
        <f t="array" ref="CB30">IF($BT30=0, INDEX(LS_current!$D$4:$AY$138, MATCH('Staging Table'!$A30, LS_current!$B$4:$B$138, 0), MATCH(CB$4&amp;CB$5, LS_current!$D$2:$AY$2&amp;LS_current!$D$3:$AY$3, 0)),SUM(VLOOKUP($A30, LS_current!$B$4:$AY$138, LS_current!G$148, FALSE), VLOOKUP($A30, LS_current!$B$4:$AY$138,LS_current!AE$148, FALSE))/2)</f>
        <v>-89.152903983214401</v>
      </c>
      <c r="CC30" s="192">
        <f t="array" ref="CC30">IF($BT30=0, INDEX(LS_current!$D$4:$AY$138, MATCH('Staging Table'!$A30, LS_current!$B$4:$B$138, 0), MATCH(CC$4&amp;CC$5, LS_current!$D$2:$AY$2&amp;LS_current!$D$3:$AY$3, 0)),SUM(VLOOKUP($A30, LS_current!$B$4:$AY$138, LS_current!H$148, FALSE), VLOOKUP($A30, LS_current!$B$4:$AY$138,LS_current!AF$148, FALSE))/2)</f>
        <v>560.88639193883751</v>
      </c>
      <c r="CD30" s="192">
        <f t="array" ref="CD30">IF($BT30=0, INDEX(LS_current!$D$4:$AY$138, MATCH('Staging Table'!$A30, LS_current!$B$4:$B$138, 0), MATCH(CD$4&amp;CD$5, LS_current!$D$2:$AY$2&amp;LS_current!$D$3:$AY$3, 0)),SUM(VLOOKUP($A30, LS_current!$B$4:$AY$138, LS_current!I$148, FALSE), VLOOKUP($A30, LS_current!$B$4:$AY$138,LS_current!AG$148, FALSE))/2)</f>
        <v>41.012102299248681</v>
      </c>
      <c r="CE30" s="192">
        <f t="array" ref="CE30">IF($BT30=0, INDEX(LS_current!$D$4:$AY$138, MATCH('Staging Table'!$A30, LS_current!$B$4:$B$138, 0), MATCH(CE$4&amp;CE$5, LS_current!$D$2:$AY$2&amp;LS_current!$D$3:$AY$3, 0)),SUM(VLOOKUP($A30, LS_current!$B$4:$AY$138, LS_current!J$148, FALSE), VLOOKUP($A30, LS_current!$B$4:$AY$138,LS_current!AH$148, FALSE))/2)</f>
        <v>990.73443265340393</v>
      </c>
      <c r="CF30" s="192">
        <f t="array" ref="CF30">IF($BT30=0, INDEX(LS_current!$D$4:$AY$138, MATCH('Staging Table'!$A30, LS_current!$B$4:$B$138, 0), MATCH(CF$4&amp;CF$5, LS_current!$D$2:$AY$2&amp;LS_current!$D$3:$AY$3, 0)),SUM(VLOOKUP($A30, LS_current!$B$4:$AY$138, LS_current!K$148, FALSE), VLOOKUP($A30, LS_current!$B$4:$AY$138,LS_current!AI$148, FALSE))/2)</f>
        <v>399.15808922371116</v>
      </c>
      <c r="CG30" s="192">
        <f t="array" ref="CG30">IF($BT30=0, INDEX(LS_current!$D$4:$AY$138, MATCH('Staging Table'!$A30, LS_current!$B$4:$B$138, 0), MATCH(CG$4&amp;CG$5, LS_current!$D$2:$AY$2&amp;LS_current!$D$3:$AY$3, 0)),SUM(VLOOKUP($A30, LS_current!$B$4:$AY$138, LS_current!L$148, FALSE), VLOOKUP($A30, LS_current!$B$4:$AY$138,LS_current!AJ$148, FALSE))/2)</f>
        <v>821.14131995659682</v>
      </c>
      <c r="CH30" s="192">
        <f t="array" ref="CH30">IF($BT30=0, INDEX(LS_current!$D$4:$AY$138, MATCH('Staging Table'!$A30, LS_current!$B$4:$B$138, 0), MATCH(CH$4&amp;CH$5, LS_current!$D$2:$AY$2&amp;LS_current!$D$3:$AY$3, 0)),SUM(VLOOKUP($A30, LS_current!$B$4:$AY$138, LS_current!M$148, FALSE), VLOOKUP($A30, LS_current!$B$4:$AY$138,LS_current!AK$148, FALSE))/2)</f>
        <v>221.68517120211754</v>
      </c>
      <c r="CI30" s="192">
        <f t="array" ref="CI30">IF($BT30=0, INDEX(LS_current!$D$4:$AY$138, MATCH('Staging Table'!$A30, LS_current!$B$4:$B$138, 0), MATCH(CI$4&amp;CI$5, LS_current!$D$2:$AY$2&amp;LS_current!$D$3:$AY$3, 0)),SUM(VLOOKUP($A30, LS_current!$B$4:$AY$138, LS_current!N$148, FALSE), VLOOKUP($A30, LS_current!$B$4:$AY$138,LS_current!AL$148, FALSE))/2)</f>
        <v>457.26881810962664</v>
      </c>
      <c r="CJ30" s="192">
        <f t="array" ref="CJ30">IF($BT30=0, INDEX(LS_current!$D$4:$AY$138, MATCH('Staging Table'!$A30, LS_current!$B$4:$B$138, 0), MATCH(CJ$4&amp;CJ$5, LS_current!$D$2:$AY$2&amp;LS_current!$D$3:$AY$3, 0)),SUM(VLOOKUP($A30, LS_current!$B$4:$AY$138, LS_current!O$148, FALSE), VLOOKUP($A30, LS_current!$B$4:$AY$138,LS_current!AM$148, FALSE))/2)</f>
        <v>49.265819977094338</v>
      </c>
      <c r="CK30" s="192">
        <f t="array" ref="CK30">IF($BT30=0, INDEX(LS_current!$D$4:$AY$138, MATCH('Staging Table'!$A30, LS_current!$B$4:$B$138, 0), MATCH(CK$4&amp;CK$5, LS_current!$D$2:$AY$2&amp;LS_current!$D$3:$AY$3, 0)),SUM(VLOOKUP($A30, LS_current!$B$4:$AY$138, LS_current!P$148, FALSE), VLOOKUP($A30, LS_current!$B$4:$AY$138,LS_current!AN$148, FALSE))/2)</f>
        <v>598.5071038459464</v>
      </c>
      <c r="CL30" s="192">
        <f t="array" ref="CL30">IF($BT30=0, INDEX(LS_current!$D$4:$AY$138, MATCH('Staging Table'!$A30, LS_current!$B$4:$B$138, 0), MATCH(CL$4&amp;CL$5, LS_current!$D$2:$AY$2&amp;LS_current!$D$3:$AY$3, 0)),SUM(VLOOKUP($A30, LS_current!$B$4:$AY$138, LS_current!Q$148, FALSE), VLOOKUP($A30, LS_current!$B$4:$AY$138,LS_current!AO$148, FALSE))/2)</f>
        <v>148.64647408153917</v>
      </c>
      <c r="CM30" s="192">
        <f t="array" ref="CM30">IF($BT30=0, INDEX(LS_current!$D$4:$AY$138, MATCH('Staging Table'!$A30, LS_current!$B$4:$B$138, 0), MATCH(CM$4&amp;CM$5, LS_current!$D$2:$AY$2&amp;LS_current!$D$3:$AY$3, 0)),SUM(VLOOKUP($A30, LS_current!$B$4:$AY$138, LS_current!R$148, FALSE), VLOOKUP($A30, LS_current!$B$4:$AY$138,LS_current!AP$148, FALSE))/2)</f>
        <v>-480.32657246176882</v>
      </c>
      <c r="CN30" s="192">
        <f t="array" ref="CN30">IF($BT30=0, INDEX(LS_current!$D$4:$AY$138, MATCH('Staging Table'!$A30, LS_current!$B$4:$B$138, 0), MATCH(CN$4&amp;CN$5, LS_current!$D$2:$AY$2&amp;LS_current!$D$3:$AY$3, 0)),SUM(VLOOKUP($A30, LS_current!$B$4:$AY$138, LS_current!S$148, FALSE), VLOOKUP($A30, LS_current!$B$4:$AY$138,LS_current!AQ$148, FALSE))/2)</f>
        <v>-151.11944006407919</v>
      </c>
      <c r="CO30" s="192">
        <f t="array" ref="CO30">IF($BT30=0, INDEX(LS_current!$D$4:$AY$138, MATCH('Staging Table'!$A30, LS_current!$B$4:$B$138, 0), MATCH(CO$4&amp;CO$5, LS_current!$D$2:$AY$2&amp;LS_current!$D$3:$AY$3, 0)),SUM(VLOOKUP($A30, LS_current!$B$4:$AY$138, LS_current!T$148, FALSE), VLOOKUP($A30, LS_current!$B$4:$AY$138,LS_current!AR$148, FALSE))/2)</f>
        <v>-690.46888536161441</v>
      </c>
      <c r="CP30" s="192">
        <f t="array" ref="CP30">IF($BT30=0, INDEX(LS_current!$D$4:$AY$138, MATCH('Staging Table'!$A30, LS_current!$B$4:$B$138, 0), MATCH(CP$4&amp;CP$5, LS_current!$D$2:$AY$2&amp;LS_current!$D$3:$AY$3, 0)),SUM(VLOOKUP($A30, LS_current!$B$4:$AY$138, LS_current!U$148, FALSE), VLOOKUP($A30, LS_current!$B$4:$AY$138,LS_current!AS$148, FALSE))/2)</f>
        <v>-214.12246415429195</v>
      </c>
      <c r="CQ30" s="192">
        <f t="array" ref="CQ30">IF($BT30=0, INDEX(LS_current!$D$4:$AY$138, MATCH('Staging Table'!$A30, LS_current!$B$4:$B$138, 0), MATCH(CQ$4&amp;CQ$5, LS_current!$D$2:$AY$2&amp;LS_current!$D$3:$AY$3, 0)),SUM(VLOOKUP($A30, LS_current!$B$4:$AY$138, LS_current!V$148, FALSE), VLOOKUP($A30, LS_current!$B$4:$AY$138,LS_current!AT$148, FALSE))/2)</f>
        <v>-558.11361282742791</v>
      </c>
      <c r="CR30" s="192">
        <f t="array" ref="CR30">IF($BT30=0, INDEX(LS_current!$D$4:$AY$138, MATCH('Staging Table'!$A30, LS_current!$B$4:$B$138, 0), MATCH(CR$4&amp;CR$5, LS_current!$D$2:$AY$2&amp;LS_current!$D$3:$AY$3, 0)),SUM(VLOOKUP($A30, LS_current!$B$4:$AY$138, LS_current!W$148, FALSE), VLOOKUP($A30, LS_current!$B$4:$AY$138,LS_current!AU$148, FALSE))/2)</f>
        <v>-251.92909675269607</v>
      </c>
      <c r="CS30" s="192">
        <f t="array" ref="CS30">IF($BT30=0, INDEX(LS_current!$D$4:$AY$138, MATCH('Staging Table'!$A30, LS_current!$B$4:$B$138, 0), MATCH(CS$4&amp;CS$5, LS_current!$D$2:$AY$2&amp;LS_current!$D$3:$AY$3, 0)),SUM(VLOOKUP($A30, LS_current!$B$4:$AY$138, LS_current!X$148, FALSE), VLOOKUP($A30, LS_current!$B$4:$AY$138,LS_current!AV$148, FALSE))/2)</f>
        <v>-401.44541850478458</v>
      </c>
      <c r="CT30" s="192">
        <f t="array" ref="CT30">IF($BT30=0, INDEX(LS_current!$D$4:$AY$138, MATCH('Staging Table'!$A30, LS_current!$B$4:$B$138, 0), MATCH(CT$4&amp;CT$5, LS_current!$D$2:$AY$2&amp;LS_current!$D$3:$AY$3, 0)),SUM(VLOOKUP($A30, LS_current!$B$4:$AY$138, LS_current!Y$148, FALSE), VLOOKUP($A30, LS_current!$B$4:$AY$138,LS_current!AW$148, FALSE))/2)</f>
        <v>-269.12897412403834</v>
      </c>
      <c r="CU30" s="192">
        <f t="array" ref="CU30">IF($BT30=0, INDEX(LS_current!$D$4:$AY$138, MATCH('Staging Table'!$A30, LS_current!$B$4:$B$138, 0), MATCH(CU$4&amp;CU$5, LS_current!$D$2:$AY$2&amp;LS_current!$D$3:$AY$3, 0)),SUM(VLOOKUP($A30, LS_current!$B$4:$AY$138, LS_current!Z$148, FALSE), VLOOKUP($A30, LS_current!$B$4:$AY$138,LS_current!AX$148, FALSE))/2)</f>
        <v>-240.49218072605549</v>
      </c>
      <c r="CV30" s="192">
        <f t="array" ref="CV30">IF($BT30=0, INDEX(LS_current!$D$4:$AY$138, MATCH('Staging Table'!$A30, LS_current!$B$4:$B$138, 0), MATCH(CV$4&amp;CV$5, LS_current!$D$2:$AY$2&amp;LS_current!$D$3:$AY$3, 0)),SUM(VLOOKUP($A30, LS_current!$B$4:$AY$138, LS_current!AA$148, FALSE), VLOOKUP($A30, LS_current!$B$4:$AY$138,LS_current!AY$148, FALSE))/2)</f>
        <v>-256.46118022068072</v>
      </c>
      <c r="CW30" s="194">
        <f t="array" ref="CW30">INDEX(Demand_current!$D$4:$AY$138, MATCH($A30, Demand_current!$B$4:$B$138, 0), MATCH(CW$4&amp;CW$5,Demand_current!$D$2:$AY$2&amp;Demand_current!$D$3:$AY$3, 0))/1000</f>
        <v>0.94997836538461522</v>
      </c>
      <c r="CX30" s="194">
        <f t="array" ref="CX30">INDEX(Demand_current!$D$4:$AY$138, MATCH($A30, Demand_current!$B$4:$B$138, 0), MATCH(CX$4&amp;CX$5,Demand_current!$D$2:$AY$2&amp;Demand_current!$D$3:$AY$3, 0))/1000</f>
        <v>1.2406425000000003</v>
      </c>
      <c r="CY30" s="194">
        <f t="array" ref="CY30">INDEX(Demand_current!$D$4:$AY$138, MATCH($A30, Demand_current!$B$4:$B$138, 0), MATCH(CY$4&amp;CY$5,Demand_current!$D$2:$AY$2&amp;Demand_current!$D$3:$AY$3, 0))/1000</f>
        <v>1.4072764423076927</v>
      </c>
      <c r="CZ30" s="194">
        <f t="array" ref="CZ30">INDEX(Demand_current!$D$4:$AY$138, MATCH($A30, Demand_current!$B$4:$B$138, 0), MATCH(CZ$4&amp;CZ$5,Demand_current!$D$2:$AY$2&amp;Demand_current!$D$3:$AY$3, 0))/1000</f>
        <v>1.6496850000000001</v>
      </c>
      <c r="DA30" s="194">
        <f t="array" ref="DA30">INDEX(Demand_current!$D$4:$AY$138, MATCH($A30, Demand_current!$B$4:$B$138, 0), MATCH(DA$4&amp;DA$5,Demand_current!$D$2:$AY$2&amp;Demand_current!$D$3:$AY$3, 0))/1000</f>
        <v>0.9646901041666669</v>
      </c>
      <c r="DB30" s="194">
        <f t="array" ref="DB30">INDEX(Demand_current!$D$4:$AY$138, MATCH($A30, Demand_current!$B$4:$B$138, 0), MATCH(DB$4&amp;DB$5,Demand_current!$D$2:$AY$2&amp;Demand_current!$D$3:$AY$3, 0))/1000</f>
        <v>0.92945138888888867</v>
      </c>
      <c r="DC30" s="194">
        <f t="array" ref="DC30">INDEX(Demand_current!$D$4:$AY$138, MATCH($A30, Demand_current!$B$4:$B$138, 0), MATCH(DC$4&amp;DC$5,Demand_current!$D$2:$AY$2&amp;Demand_current!$D$3:$AY$3, 0))/1000</f>
        <v>1.3796418269230766</v>
      </c>
      <c r="DD30" s="194">
        <f t="array" ref="DD30">INDEX(Demand_current!$D$4:$AY$138, MATCH($A30, Demand_current!$B$4:$B$138, 0), MATCH(DD$4&amp;DD$5,Demand_current!$D$2:$AY$2&amp;Demand_current!$D$3:$AY$3, 0))/1000</f>
        <v>0.83946250000000022</v>
      </c>
      <c r="DE30" s="194">
        <f t="array" ref="DE30">INDEX(Demand_current!$D$4:$AY$138, MATCH($A30, Demand_current!$B$4:$B$138, 0), MATCH(DE$4&amp;DE$5,Demand_current!$D$2:$AY$2&amp;Demand_current!$D$3:$AY$3, 0))/1000</f>
        <v>0.54480048076923016</v>
      </c>
      <c r="DF30" s="194">
        <f t="array" ref="DF30">INDEX(Demand_current!$D$4:$AY$138, MATCH($A30, Demand_current!$B$4:$B$138, 0), MATCH(DF$4&amp;DF$5,Demand_current!$D$2:$AY$2&amp;Demand_current!$D$3:$AY$3, 0))/1000</f>
        <v>8.4257500000000096E-2</v>
      </c>
      <c r="DG30" s="194">
        <f t="array" ref="DG30">INDEX(Demand_current!$D$4:$AY$138, MATCH($A30, Demand_current!$B$4:$B$138, 0), MATCH(DG$4&amp;DG$5,Demand_current!$D$2:$AY$2&amp;Demand_current!$D$3:$AY$3, 0))/1000</f>
        <v>0.67753009259259245</v>
      </c>
      <c r="DH30" s="194">
        <f t="array" ref="DH30">INDEX(Demand_current!$D$4:$AY$138, MATCH($A30, Demand_current!$B$4:$B$138, 0), MATCH(DH$4&amp;DH$5,Demand_current!$D$2:$AY$2&amp;Demand_current!$D$3:$AY$3, 0))/1000</f>
        <v>0.56464500000000029</v>
      </c>
      <c r="DI30" s="192">
        <f>$BS30*(VLOOKUP(DI$4, Rates_current!$G$6:$Q$29, 10, FALSE)+VLOOKUP(DI$4, Rates_current!$G$6:$Q$29, 11, FALSE))</f>
        <v>2397.1858150896433</v>
      </c>
      <c r="DJ30" s="192">
        <f>$BS30*(VLOOKUP(DJ$4, Rates_current!$G$6:$Q$29, 10, FALSE)+VLOOKUP(DJ$4, Rates_current!$G$6:$Q$29, 11, FALSE))</f>
        <v>3034.9242417636301</v>
      </c>
      <c r="DK30" s="192">
        <f>$BS30*(VLOOKUP(DK$4, Rates_current!$G$6:$Q$29, 10, FALSE)+VLOOKUP(DK$4, Rates_current!$G$6:$Q$29, 11, FALSE))</f>
        <v>2970.584505761914</v>
      </c>
      <c r="DL30" s="192">
        <f>$BS30*(VLOOKUP(DL$4, Rates_current!$G$6:$Q$29, 10, FALSE)+VLOOKUP(DL$4, Rates_current!$G$6:$Q$29, 11, FALSE))</f>
        <v>2453.576478122885</v>
      </c>
      <c r="DM30" s="192">
        <f>$BS30*(VLOOKUP(DM$4, Rates_current!$G$6:$Q$29, 10, FALSE)+VLOOKUP(DM$4, Rates_current!$G$6:$Q$29, 11, FALSE))</f>
        <v>2126.5685088412856</v>
      </c>
      <c r="DN30" s="192">
        <f>$BS30*(VLOOKUP(DN$4, Rates_current!$G$6:$Q$29, 10, FALSE)+VLOOKUP(DN$4, Rates_current!$G$6:$Q$29, 11, FALSE))</f>
        <v>2538.6933619132792</v>
      </c>
      <c r="DO30" s="192">
        <f>$BS30*(VLOOKUP(DO$4, Rates_current!$G$6:$Q$29, 10, FALSE)+VLOOKUP(DO$4, Rates_current!$G$6:$Q$29, 11, FALSE))</f>
        <v>1970.9574220725144</v>
      </c>
      <c r="DP30" s="192">
        <f>$BS30*(VLOOKUP(DP$4, Rates_current!$G$6:$Q$29, 10, FALSE)+VLOOKUP(DP$4, Rates_current!$G$6:$Q$29, 11, FALSE))</f>
        <v>2730.7760125258478</v>
      </c>
      <c r="DQ30" s="192">
        <f>$BS30*(VLOOKUP(DQ$4, Rates_current!$G$6:$Q$29, 10, FALSE)+VLOOKUP(DQ$4, Rates_current!$G$6:$Q$29, 11, FALSE))</f>
        <v>2917.8913495159063</v>
      </c>
      <c r="DR30" s="192">
        <f>$BS30*(VLOOKUP(DR$4, Rates_current!$G$6:$Q$29, 10, FALSE)+VLOOKUP(DR$4, Rates_current!$G$6:$Q$29, 11, FALSE))</f>
        <v>2770.405709580124</v>
      </c>
      <c r="DS30" s="192">
        <f>$BS30*(VLOOKUP(DS$4, Rates_current!$G$6:$Q$29, 10, FALSE)+VLOOKUP(DS$4, Rates_current!$G$6:$Q$29, 11, FALSE))</f>
        <v>2677.383392628823</v>
      </c>
      <c r="DT30" s="192">
        <f>$BS30*(VLOOKUP(DT$4, Rates_current!$G$6:$Q$29, 10, FALSE)+VLOOKUP(DT$4, Rates_current!$G$6:$Q$29, 11, FALSE))</f>
        <v>2474.1813609467363</v>
      </c>
      <c r="DU30" s="418">
        <f>IF(D30=0,IF(C30=0,MAX(0,DW30 - (VLOOKUP($A30,TOCA_current!$A$2:$AI$137,MATCH("RHWM 2022",TOCA_current!$A$2:$AI$2,0),FALSE)*$BS$2)), 0),0)</f>
        <v>1030.0805890134179</v>
      </c>
      <c r="DV30" s="419">
        <f>MIN(VLOOKUP($A30,TOCA_current!$A$2:$AI$137,MATCH("TRL - NLSL - Existing Resource "&amp;$BS$1,TOCA_current!$A$2:$AI$2,0),FALSE)*$BS$2, VLOOKUP($A30,TOCA_current!$A$2:$AI$137,MATCH("RHWM 2022",TOCA_current!$A$2:$AI$2,0),FALSE)*$BS$2)</f>
        <v>31062.959999999999</v>
      </c>
      <c r="DW30" s="419">
        <f>SUM(BY30:CV30)+(BS30*RT1SC!$C$4*$BS$2)</f>
        <v>32093.040589013417</v>
      </c>
      <c r="DX30" s="419">
        <f>VLOOKUP($A30,TOCA_current!$A$2:$AI$137,MATCH("Above RHWM Not Served with LS "&amp;$BS$1,TOCA_current!$A$2:$AI$2,0),FALSE)*$BS$2</f>
        <v>0</v>
      </c>
      <c r="DY30" s="419">
        <f t="shared" si="13"/>
        <v>1030.0805890134179</v>
      </c>
      <c r="DZ30" s="419">
        <f>(VLOOKUP($A30,TOCA_current!$A$2:$AI$137,MATCH("RHWM 2022",TOCA_current!$A$2:$AI$2,0),FALSE)*$BS$2) - $DV30</f>
        <v>0</v>
      </c>
      <c r="EA30" s="419">
        <f t="shared" si="14"/>
        <v>0</v>
      </c>
      <c r="EB30" s="419">
        <f t="shared" si="15"/>
        <v>0</v>
      </c>
      <c r="EC30" s="419">
        <f t="shared" si="16"/>
        <v>0</v>
      </c>
      <c r="ED30" s="419">
        <f t="shared" si="17"/>
        <v>0</v>
      </c>
    </row>
    <row r="31" spans="1:134">
      <c r="A31" s="135">
        <v>10079</v>
      </c>
      <c r="B31" s="136" t="s">
        <v>32</v>
      </c>
      <c r="C31" s="244">
        <f>VLOOKUP(A31, TOCA_current!$A$3:$D$137, 4, FALSE)</f>
        <v>0</v>
      </c>
      <c r="D31" s="203">
        <v>0</v>
      </c>
      <c r="E31" s="119">
        <f>VLOOKUP($A31,TOCA_previous!$A$2:$AI$137,MATCH(E$4,TOCA_previous!$A$2:$AI$2,0),FALSE)</f>
        <v>1.2329700000000001E-2</v>
      </c>
      <c r="F31" s="120">
        <f>VLOOKUP($A31,TOCA_previous!$A$2:$AI$137,MATCH(F$4,TOCA_previous!$A$2:$AI$2,0),FALSE)</f>
        <v>1.2329700000000001E-2</v>
      </c>
      <c r="G31" s="120">
        <f t="shared" si="5"/>
        <v>0</v>
      </c>
      <c r="H31" s="120">
        <f>VLOOKUP($A31,TOCA_previous!$A$2:$AI$137,MATCH(H$4,TOCA_previous!$A$2:$AI$2,0),FALSE)</f>
        <v>0</v>
      </c>
      <c r="I31" s="120">
        <f t="shared" si="6"/>
        <v>0</v>
      </c>
      <c r="J31" s="120">
        <f t="shared" si="7"/>
        <v>0</v>
      </c>
      <c r="K31" s="191">
        <f>VLOOKUP(A31, IRD!$A$5:$C$139, 3, FALSE)</f>
        <v>0</v>
      </c>
      <c r="L31" s="192">
        <f t="array" ref="L31">IF($G31=0, INDEX(LS_previous!$D$4:$AY$138, MATCH('Staging Table'!$A31, LS_previous!$B$4:$B$138, 0), MATCH(L$4&amp;L$5, LS_previous!$D$2:$AY$2&amp;LS_previous!$D$3:$AY$3, 0)),SUM(VLOOKUP($A31, LS_previous!$B$4:$AY$138, LS_previous!D$149, FALSE), VLOOKUP('Staging Table'!$A31, LS_previous!$B$4:$AY$138,LS_previous!AB$149, FALSE))/2)</f>
        <v>-2498.3465144235961</v>
      </c>
      <c r="M31" s="192">
        <f t="array" ref="M31">IF($G31=0, INDEX(LS_previous!$D$4:$AY$138, MATCH('Staging Table'!$A31, LS_previous!$B$4:$B$138, 0), MATCH(M$4&amp;M$5, LS_previous!$D$2:$AY$2&amp;LS_previous!$D$3:$AY$3, 0)),SUM(VLOOKUP($A31, LS_previous!$B$4:$AY$138, LS_previous!E$149, FALSE), VLOOKUP('Staging Table'!$A31, LS_previous!$B$4:$AY$138,LS_previous!AC$149, FALSE))/2)</f>
        <v>253.26268290240114</v>
      </c>
      <c r="N31" s="192">
        <f t="array" ref="N31">IF($G31=0, INDEX(LS_previous!$D$4:$AY$138, MATCH('Staging Table'!$A31, LS_previous!$B$4:$B$138, 0), MATCH(N$4&amp;N$5, LS_previous!$D$2:$AY$2&amp;LS_previous!$D$3:$AY$3, 0)),SUM(VLOOKUP($A31, LS_previous!$B$4:$AY$138, LS_previous!F$149, FALSE), VLOOKUP('Staging Table'!$A31, LS_previous!$B$4:$AY$138,LS_previous!AD$149, FALSE))/2)</f>
        <v>-7018.3654099816049</v>
      </c>
      <c r="O31" s="192">
        <f t="array" ref="O31">IF($G31=0, INDEX(LS_previous!$D$4:$AY$138, MATCH('Staging Table'!$A31, LS_previous!$B$4:$B$138, 0), MATCH(O$4&amp;O$5, LS_previous!$D$2:$AY$2&amp;LS_previous!$D$3:$AY$3, 0)),SUM(VLOOKUP($A31, LS_previous!$B$4:$AY$138, LS_previous!G$149, FALSE), VLOOKUP('Staging Table'!$A31, LS_previous!$B$4:$AY$138,LS_previous!AE$149, FALSE))/2)</f>
        <v>-3514.3387969167052</v>
      </c>
      <c r="P31" s="192">
        <f t="array" ref="P31">IF($G31=0, INDEX(LS_previous!$D$4:$AY$138, MATCH('Staging Table'!$A31, LS_previous!$B$4:$B$138, 0), MATCH(P$4&amp;P$5, LS_previous!$D$2:$AY$2&amp;LS_previous!$D$3:$AY$3, 0)),SUM(VLOOKUP($A31, LS_previous!$B$4:$AY$138, LS_previous!H$149, FALSE), VLOOKUP('Staging Table'!$A31, LS_previous!$B$4:$AY$138,LS_previous!AF$149, FALSE))/2)</f>
        <v>-2565.1802287583996</v>
      </c>
      <c r="Q31" s="192">
        <f t="array" ref="Q31">IF($G31=0, INDEX(LS_previous!$D$4:$AY$138, MATCH('Staging Table'!$A31, LS_previous!$B$4:$B$138, 0), MATCH(Q$4&amp;Q$5, LS_previous!$D$2:$AY$2&amp;LS_previous!$D$3:$AY$3, 0)),SUM(VLOOKUP($A31, LS_previous!$B$4:$AY$138, LS_previous!I$149, FALSE), VLOOKUP('Staging Table'!$A31, LS_previous!$B$4:$AY$138,LS_previous!AG$149, FALSE))/2)</f>
        <v>-1665.4358078628029</v>
      </c>
      <c r="R31" s="192">
        <f t="array" ref="R31">IF($G31=0, INDEX(LS_previous!$D$4:$AY$138, MATCH('Staging Table'!$A31, LS_previous!$B$4:$B$138, 0), MATCH(R$4&amp;R$5, LS_previous!$D$2:$AY$2&amp;LS_previous!$D$3:$AY$3, 0)),SUM(VLOOKUP($A31, LS_previous!$B$4:$AY$138, LS_previous!J$149, FALSE), VLOOKUP('Staging Table'!$A31, LS_previous!$B$4:$AY$138,LS_previous!AH$149, FALSE))/2)</f>
        <v>4698.8029884415955</v>
      </c>
      <c r="S31" s="192">
        <f t="array" ref="S31">IF($G31=0, INDEX(LS_previous!$D$4:$AY$138, MATCH('Staging Table'!$A31, LS_previous!$B$4:$B$138, 0), MATCH(S$4&amp;S$5, LS_previous!$D$2:$AY$2&amp;LS_previous!$D$3:$AY$3, 0)),SUM(VLOOKUP($A31, LS_previous!$B$4:$AY$138, LS_previous!K$149, FALSE), VLOOKUP('Staging Table'!$A31, LS_previous!$B$4:$AY$138,LS_previous!AI$149, FALSE))/2)</f>
        <v>5914.5904805371974</v>
      </c>
      <c r="T31" s="192">
        <f t="array" ref="T31">IF($G31=0, INDEX(LS_previous!$D$4:$AY$138, MATCH('Staging Table'!$A31, LS_previous!$B$4:$B$138, 0), MATCH(T$4&amp;T$5, LS_previous!$D$2:$AY$2&amp;LS_previous!$D$3:$AY$3, 0)),SUM(VLOOKUP($A31, LS_previous!$B$4:$AY$138, LS_previous!L$149, FALSE), VLOOKUP('Staging Table'!$A31, LS_previous!$B$4:$AY$138,LS_previous!AJ$149, FALSE))/2)</f>
        <v>5511.9936402172025</v>
      </c>
      <c r="U31" s="192">
        <f t="array" ref="U31">IF($G31=0, INDEX(LS_previous!$D$4:$AY$138, MATCH('Staging Table'!$A31, LS_previous!$B$4:$B$138, 0), MATCH(U$4&amp;U$5, LS_previous!$D$2:$AY$2&amp;LS_previous!$D$3:$AY$3, 0)),SUM(VLOOKUP($A31, LS_previous!$B$4:$AY$138, LS_previous!M$149, FALSE), VLOOKUP('Staging Table'!$A31, LS_previous!$B$4:$AY$138,LS_previous!AK$149, FALSE))/2)</f>
        <v>3340.1139008227983</v>
      </c>
      <c r="V31" s="192">
        <f t="array" ref="V31">IF($G31=0, INDEX(LS_previous!$D$4:$AY$138, MATCH('Staging Table'!$A31, LS_previous!$B$4:$B$138, 0), MATCH(V$4&amp;V$5, LS_previous!$D$2:$AY$2&amp;LS_previous!$D$3:$AY$3, 0)),SUM(VLOOKUP($A31, LS_previous!$B$4:$AY$138, LS_previous!N$149, FALSE), VLOOKUP('Staging Table'!$A31, LS_previous!$B$4:$AY$138,LS_previous!AL$149, FALSE))/2)</f>
        <v>2254.2316268647992</v>
      </c>
      <c r="W31" s="192">
        <f t="array" ref="W31">IF($G31=0, INDEX(LS_previous!$D$4:$AY$138, MATCH('Staging Table'!$A31, LS_previous!$B$4:$B$138, 0), MATCH(W$4&amp;W$5, LS_previous!$D$2:$AY$2&amp;LS_previous!$D$3:$AY$3, 0)),SUM(VLOOKUP($A31, LS_previous!$B$4:$AY$138, LS_previous!O$149, FALSE), VLOOKUP('Staging Table'!$A31, LS_previous!$B$4:$AY$138,LS_previous!AM$149, FALSE))/2)</f>
        <v>1072.8451927062997</v>
      </c>
      <c r="X31" s="192">
        <f t="array" ref="X31">IF($G31=0, INDEX(LS_previous!$D$4:$AY$138, MATCH('Staging Table'!$A31, LS_previous!$B$4:$B$138, 0), MATCH(X$4&amp;X$5, LS_previous!$D$2:$AY$2&amp;LS_previous!$D$3:$AY$3, 0)),SUM(VLOOKUP($A31, LS_previous!$B$4:$AY$138, LS_previous!P$149, FALSE), VLOOKUP('Staging Table'!$A31, LS_previous!$B$4:$AY$138,LS_previous!AN$149, FALSE))/2)</f>
        <v>6477.8401819031969</v>
      </c>
      <c r="Y31" s="192">
        <f t="array" ref="Y31">IF($G31=0, INDEX(LS_previous!$D$4:$AY$138, MATCH('Staging Table'!$A31, LS_previous!$B$4:$B$138, 0), MATCH(Y$4&amp;Y$5, LS_previous!$D$2:$AY$2&amp;LS_previous!$D$3:$AY$3, 0)),SUM(VLOOKUP($A31, LS_previous!$B$4:$AY$138, LS_previous!Q$149, FALSE), VLOOKUP('Staging Table'!$A31, LS_previous!$B$4:$AY$138,LS_previous!AO$149, FALSE))/2)</f>
        <v>2782.9749932407976</v>
      </c>
      <c r="Z31" s="192">
        <f t="array" ref="Z31">IF($G31=0, INDEX(LS_previous!$D$4:$AY$138, MATCH('Staging Table'!$A31, LS_previous!$B$4:$B$138, 0), MATCH(Z$4&amp;Z$5, LS_previous!$D$2:$AY$2&amp;LS_previous!$D$3:$AY$3, 0)),SUM(VLOOKUP($A31, LS_previous!$B$4:$AY$138, LS_previous!R$149, FALSE), VLOOKUP('Staging Table'!$A31, LS_previous!$B$4:$AY$138,LS_previous!AP$149, FALSE))/2)</f>
        <v>-8661.0755168700052</v>
      </c>
      <c r="AA31" s="192">
        <f t="array" ref="AA31">IF($G31=0, INDEX(LS_previous!$D$4:$AY$138, MATCH('Staging Table'!$A31, LS_previous!$B$4:$B$138, 0), MATCH(AA$4&amp;AA$5, LS_previous!$D$2:$AY$2&amp;LS_previous!$D$3:$AY$3, 0)),SUM(VLOOKUP($A31, LS_previous!$B$4:$AY$138, LS_previous!S$149, FALSE), VLOOKUP('Staging Table'!$A31, LS_previous!$B$4:$AY$138,LS_previous!AQ$149, FALSE))/2)</f>
        <v>-2217.5757555011987</v>
      </c>
      <c r="AB31" s="192">
        <f t="array" ref="AB31">IF($G31=0, INDEX(LS_previous!$D$4:$AY$138, MATCH('Staging Table'!$A31, LS_previous!$B$4:$B$138, 0), MATCH(AB$4&amp;AB$5, LS_previous!$D$2:$AY$2&amp;LS_previous!$D$3:$AY$3, 0)),SUM(VLOOKUP($A31, LS_previous!$B$4:$AY$138, LS_previous!T$149, FALSE), VLOOKUP('Staging Table'!$A31, LS_previous!$B$4:$AY$138,LS_previous!AR$149, FALSE))/2)</f>
        <v>-20003.7739660468</v>
      </c>
      <c r="AC31" s="192">
        <f t="array" ref="AC31">IF($G31=0, INDEX(LS_previous!$D$4:$AY$138, MATCH('Staging Table'!$A31, LS_previous!$B$4:$B$138, 0), MATCH(AC$4&amp;AC$5, LS_previous!$D$2:$AY$2&amp;LS_previous!$D$3:$AY$3, 0)),SUM(VLOOKUP($A31, LS_previous!$B$4:$AY$138, LS_previous!U$149, FALSE), VLOOKUP('Staging Table'!$A31, LS_previous!$B$4:$AY$138,LS_previous!AS$149, FALSE))/2)</f>
        <v>-10780.004100959202</v>
      </c>
      <c r="AD31" s="192">
        <f t="array" ref="AD31">IF($G31=0, INDEX(LS_previous!$D$4:$AY$138, MATCH('Staging Table'!$A31, LS_previous!$B$4:$B$138, 0), MATCH(AD$4&amp;AD$5, LS_previous!$D$2:$AY$2&amp;LS_previous!$D$3:$AY$3, 0)),SUM(VLOOKUP($A31, LS_previous!$B$4:$AY$138, LS_previous!V$149, FALSE), VLOOKUP('Staging Table'!$A31, LS_previous!$B$4:$AY$138,LS_previous!AT$149, FALSE))/2)</f>
        <v>-10813.127204546799</v>
      </c>
      <c r="AE31" s="192">
        <f t="array" ref="AE31">IF($G31=0, INDEX(LS_previous!$D$4:$AY$138, MATCH('Staging Table'!$A31, LS_previous!$B$4:$B$138, 0), MATCH(AE$4&amp;AE$5, LS_previous!$D$2:$AY$2&amp;LS_previous!$D$3:$AY$3, 0)),SUM(VLOOKUP($A31, LS_previous!$B$4:$AY$138, LS_previous!W$149, FALSE), VLOOKUP('Staging Table'!$A31, LS_previous!$B$4:$AY$138,LS_previous!AU$149, FALSE))/2)</f>
        <v>355.33097222559809</v>
      </c>
      <c r="AF31" s="192">
        <f t="array" ref="AF31">IF($G31=0, INDEX(LS_previous!$D$4:$AY$138, MATCH('Staging Table'!$A31, LS_previous!$B$4:$B$138, 0), MATCH(AF$4&amp;AF$5, LS_previous!$D$2:$AY$2&amp;LS_previous!$D$3:$AY$3, 0)),SUM(VLOOKUP($A31, LS_previous!$B$4:$AY$138, LS_previous!X$149, FALSE), VLOOKUP('Staging Table'!$A31, LS_previous!$B$4:$AY$138,LS_previous!AV$149, FALSE))/2)</f>
        <v>-7591.8933046968014</v>
      </c>
      <c r="AG31" s="192">
        <f t="array" ref="AG31">IF($G31=0, INDEX(LS_previous!$D$4:$AY$138, MATCH('Staging Table'!$A31, LS_previous!$B$4:$B$138, 0), MATCH(AG$4&amp;AG$5, LS_previous!$D$2:$AY$2&amp;LS_previous!$D$3:$AY$3, 0)),SUM(VLOOKUP($A31, LS_previous!$B$4:$AY$138, LS_previous!Y$149, FALSE), VLOOKUP('Staging Table'!$A31, LS_previous!$B$4:$AY$138,LS_previous!AW$149, FALSE))/2)</f>
        <v>-981.29468377440207</v>
      </c>
      <c r="AH31" s="192">
        <f t="array" ref="AH31">IF($G31=0, INDEX(LS_previous!$D$4:$AY$138, MATCH('Staging Table'!$A31, LS_previous!$B$4:$B$138, 0), MATCH(AH$4&amp;AH$5, LS_previous!$D$2:$AY$2&amp;LS_previous!$D$3:$AY$3, 0)),SUM(VLOOKUP($A31, LS_previous!$B$4:$AY$138, LS_previous!Z$149, FALSE), VLOOKUP('Staging Table'!$A31, LS_previous!$B$4:$AY$138,LS_previous!AX$149, FALSE))/2)</f>
        <v>-3010.9874323200056</v>
      </c>
      <c r="AI31" s="192">
        <f t="array" ref="AI31">IF($G31=0, INDEX(LS_previous!$D$4:$AY$138, MATCH('Staging Table'!$A31, LS_previous!$B$4:$B$138, 0), MATCH(AI$4&amp;AI$5, LS_previous!$D$2:$AY$2&amp;LS_previous!$D$3:$AY$3, 0)),SUM(VLOOKUP($A31, LS_previous!$B$4:$AY$138, LS_previous!AA$149, FALSE), VLOOKUP('Staging Table'!$A31, LS_previous!$B$4:$AY$138,LS_previous!AY$149, FALSE))/2)</f>
        <v>-774.8767082359991</v>
      </c>
      <c r="AJ31" s="314">
        <f t="array" ref="AJ31">INDEX(Demand_previous!$D$4:$AY$138, MATCH('Staging Table'!$A31, Demand_previous!$B$4:$B$138, 0), MATCH(AJ$4&amp;AJ$5,Demand_previous!$D$2:$AY$2&amp;Demand_previous!$D$3:$AY$3, 0))/1000</f>
        <v>29.190613425925932</v>
      </c>
      <c r="AK31" s="314">
        <f t="array" ref="AK31">INDEX(Demand_previous!$D$4:$AY$138, MATCH('Staging Table'!$A31, Demand_previous!$B$4:$B$138, 0), MATCH(AK$4&amp;AK$5,Demand_previous!$D$2:$AY$2&amp;Demand_previous!$D$3:$AY$3, 0))/1000</f>
        <v>25.632317499999996</v>
      </c>
      <c r="AL31" s="314">
        <f t="array" ref="AL31">INDEX(Demand_previous!$D$4:$AY$138, MATCH('Staging Table'!$A31, Demand_previous!$B$4:$B$138, 0), MATCH(AL$4&amp;AL$5,Demand_previous!$D$2:$AY$2&amp;Demand_previous!$D$3:$AY$3, 0))/1000</f>
        <v>16.602222499999989</v>
      </c>
      <c r="AM31" s="314">
        <f t="array" ref="AM31">INDEX(Demand_previous!$D$4:$AY$138, MATCH('Staging Table'!$A31, Demand_previous!$B$4:$B$138, 0), MATCH(AM$4&amp;AM$5,Demand_previous!$D$2:$AY$2&amp;Demand_previous!$D$3:$AY$3, 0))/1000</f>
        <v>23.177860576923095</v>
      </c>
      <c r="AN31" s="314">
        <f t="array" ref="AN31">INDEX(Demand_previous!$D$4:$AY$138, MATCH('Staging Table'!$A31, Demand_previous!$B$4:$B$138, 0), MATCH(AN$4&amp;AN$5,Demand_previous!$D$2:$AY$2&amp;Demand_previous!$D$3:$AY$3, 0))/1000</f>
        <v>7.1351799999999983</v>
      </c>
      <c r="AO31" s="314">
        <f t="array" ref="AO31">INDEX(Demand_previous!$D$4:$AY$138, MATCH('Staging Table'!$A31, Demand_previous!$B$4:$B$138, 0), MATCH(AO$4&amp;AO$5,Demand_previous!$D$2:$AY$2&amp;Demand_previous!$D$3:$AY$3, 0))/1000</f>
        <v>21.715680288461556</v>
      </c>
      <c r="AP31" s="314">
        <f t="array" ref="AP31">INDEX(Demand_previous!$D$4:$AY$138, MATCH('Staging Table'!$A31, Demand_previous!$B$4:$B$138, 0), MATCH(AP$4&amp;AP$5,Demand_previous!$D$2:$AY$2&amp;Demand_previous!$D$3:$AY$3, 0))/1000</f>
        <v>20.443288461538472</v>
      </c>
      <c r="AQ31" s="314">
        <f t="array" ref="AQ31">INDEX(Demand_previous!$D$4:$AY$138, MATCH('Staging Table'!$A31, Demand_previous!$B$4:$B$138, 0), MATCH(AQ$4&amp;AQ$5,Demand_previous!$D$2:$AY$2&amp;Demand_previous!$D$3:$AY$3, 0))/1000</f>
        <v>19.974004999999998</v>
      </c>
      <c r="AR31" s="314">
        <f t="array" ref="AR31">INDEX(Demand_previous!$D$4:$AY$138, MATCH('Staging Table'!$A31, Demand_previous!$B$4:$B$138, 0), MATCH(AR$4&amp;AR$5,Demand_previous!$D$2:$AY$2&amp;Demand_previous!$D$3:$AY$3, 0))/1000</f>
        <v>29.785942307692302</v>
      </c>
      <c r="AS31" s="314">
        <f t="array" ref="AS31">INDEX(Demand_previous!$D$4:$AY$138, MATCH('Staging Table'!$A31, Demand_previous!$B$4:$B$138, 0), MATCH(AS$4&amp;AS$5,Demand_previous!$D$2:$AY$2&amp;Demand_previous!$D$3:$AY$3, 0))/1000</f>
        <v>26.714944711538465</v>
      </c>
      <c r="AT31" s="314">
        <f t="array" ref="AT31">INDEX(Demand_previous!$D$4:$AY$138, MATCH('Staging Table'!$A31, Demand_previous!$B$4:$B$138, 0), MATCH(AT$4&amp;AT$5,Demand_previous!$D$2:$AY$2&amp;Demand_previous!$D$3:$AY$3, 0))/1000</f>
        <v>23.283867788461549</v>
      </c>
      <c r="AU31" s="314">
        <f t="array" ref="AU31">INDEX(Demand_previous!$D$4:$AY$138, MATCH('Staging Table'!$A31, Demand_previous!$B$4:$B$138, 0), MATCH(AU$4&amp;AU$5,Demand_previous!$D$2:$AY$2&amp;Demand_previous!$D$3:$AY$3, 0))/1000</f>
        <v>16.5156025</v>
      </c>
      <c r="AV31" s="192">
        <f>$F31*(VLOOKUP(AV$4, Rates_previous!$G$6:$Q$29, 10, FALSE)+VLOOKUP(AV$4, Rates_previous!$G$6:$Q$29, 11, FALSE))</f>
        <v>56930.135831521198</v>
      </c>
      <c r="AW31" s="192">
        <f>$F31*(VLOOKUP(AW$4, Rates_previous!$G$6:$Q$29, 10, FALSE)+VLOOKUP(AW$4, Rates_previous!$G$6:$Q$29, 11, FALSE))</f>
        <v>72319.032206898308</v>
      </c>
      <c r="AX31" s="192">
        <f>$F31*(VLOOKUP(AX$4, Rates_previous!$G$6:$Q$29, 10, FALSE)+VLOOKUP(AX$4, Rates_previous!$G$6:$Q$29, 11, FALSE))</f>
        <v>71445.682036621205</v>
      </c>
      <c r="AY31" s="192">
        <f>$F31*(VLOOKUP(AY$4, Rates_previous!$G$6:$Q$29, 10, FALSE)+VLOOKUP(AY$4, Rates_previous!$G$6:$Q$29, 11, FALSE))</f>
        <v>59554.327531021212</v>
      </c>
      <c r="AZ31" s="192">
        <f>$F31*(VLOOKUP(AZ$4, Rates_previous!$G$6:$Q$29, 10, FALSE)+VLOOKUP(AZ$4, Rates_previous!$G$6:$Q$29, 11, FALSE))</f>
        <v>53950.042458960001</v>
      </c>
      <c r="BA31" s="192">
        <f>$F31*(VLOOKUP(BA$4, Rates_previous!$G$6:$Q$29, 10, FALSE)+VLOOKUP(BA$4, Rates_previous!$G$6:$Q$29, 11, FALSE))</f>
        <v>60009.586180428902</v>
      </c>
      <c r="BB31" s="192">
        <f>$F31*(VLOOKUP(BB$4, Rates_previous!$G$6:$Q$29, 10, FALSE)+VLOOKUP(BB$4, Rates_previous!$G$6:$Q$29, 11, FALSE))</f>
        <v>48859.869824856003</v>
      </c>
      <c r="BC31" s="192">
        <f>$F31*(VLOOKUP(BC$4, Rates_previous!$G$6:$Q$29, 10, FALSE)+VLOOKUP(BC$4, Rates_previous!$G$6:$Q$29, 11, FALSE))</f>
        <v>65894.820272371217</v>
      </c>
      <c r="BD31" s="192">
        <f>$F31*(VLOOKUP(BD$4, Rates_previous!$G$6:$Q$29, 10, FALSE)+VLOOKUP(BD$4, Rates_previous!$G$6:$Q$29, 11, FALSE))</f>
        <v>84077.309067006005</v>
      </c>
      <c r="BE31" s="192">
        <f>$F31*(VLOOKUP(BE$4, Rates_previous!$G$6:$Q$29, 10, FALSE)+VLOOKUP(BE$4, Rates_previous!$G$6:$Q$29, 11, FALSE))</f>
        <v>65919.276232321208</v>
      </c>
      <c r="BF31" s="192">
        <f>$F31*(VLOOKUP(BF$4, Rates_previous!$G$6:$Q$29, 10, FALSE)+VLOOKUP(BF$4, Rates_previous!$G$6:$Q$29, 11, FALSE))</f>
        <v>64192.248988471212</v>
      </c>
      <c r="BG31" s="192">
        <f>$F31*(VLOOKUP(BG$4, Rates_previous!$G$6:$Q$29, 10, FALSE)+VLOOKUP(BG$4, Rates_previous!$G$6:$Q$29, 11, FALSE))</f>
        <v>57630.984140556007</v>
      </c>
      <c r="BH31" s="314">
        <f>IF($D31=0,IF(C31=0, MAX(BJ31 - (VLOOKUP($A31,TOCA_previous!$A$2:$AI$137,MATCH("RHWM 2020",TOCA_previous!$A$2:$AI$2,0),FALSE)*$F$2*TOCA_previous!C28),0),0), 0)</f>
        <v>0</v>
      </c>
      <c r="BI31" s="204">
        <f>MIN(VLOOKUP($A31,TOCA_previous!$A$2:$AI$137,MATCH("TRL - NLSL - Existing Resource "&amp;$F$1,TOCA_previous!$A$2:$AI$2,0),FALSE)*$F$2,(VLOOKUP($A31,TOCA_previous!$A$2:$AI$137,MATCH("RHWM 2020",TOCA_previous!$A$2:$AI$2,0),FALSE)*$F$2))</f>
        <v>760782.24</v>
      </c>
      <c r="BJ31" s="418">
        <f>SUM(L31:AI31)+(F31*RT1SC!$C$3*$F$2)</f>
        <v>711349.05455558514</v>
      </c>
      <c r="BK31" s="417">
        <f>VLOOKUP($A31,TOCA_previous!$A$2:$AI$137,MATCH("Above RHWM Not Served with LS "&amp;$F$1,TOCA_previous!$A$2:$AI$2,0),FALSE)*$F$2</f>
        <v>0</v>
      </c>
      <c r="BL31" s="418">
        <f t="shared" si="8"/>
        <v>-49433.185444414848</v>
      </c>
      <c r="BM31" s="417">
        <f>(VLOOKUP($A31,TOCA_previous!$A$2:$AI$137,MATCH("RHWM 2020",TOCA_previous!$A$2:$AI$2,0),FALSE)*$F$2) - $BI31</f>
        <v>9679.9679999999935</v>
      </c>
      <c r="BN31" s="418">
        <f t="shared" si="9"/>
        <v>0</v>
      </c>
      <c r="BO31" s="417">
        <f t="shared" si="10"/>
        <v>49433.185444414848</v>
      </c>
      <c r="BP31" s="418">
        <f t="shared" si="11"/>
        <v>0</v>
      </c>
      <c r="BQ31" s="417">
        <f t="shared" si="2"/>
        <v>49433.185444414848</v>
      </c>
      <c r="BR31" s="120">
        <f>VLOOKUP($A31,TOCA_current!$A$2:$AI$137,MATCH(BR$4,TOCA_current!$A$2:$AI$2,0),FALSE)</f>
        <v>1.20546E-2</v>
      </c>
      <c r="BS31" s="120">
        <f>VLOOKUP($A31,TOCA_current!$A$2:$AI$137,MATCH(BS$4,TOCA_current!$A$2:$AI$2,0),FALSE)</f>
        <v>1.20546E-2</v>
      </c>
      <c r="BT31" s="201">
        <f t="shared" si="12"/>
        <v>0</v>
      </c>
      <c r="BU31" s="120">
        <f>VLOOKUP($A31,TOCA_current!A27:BG162,MATCH(BU$4,TOCA_current!$A$2:$BG$2,0),FALSE)</f>
        <v>0</v>
      </c>
      <c r="BV31" s="120">
        <f t="shared" si="3"/>
        <v>0</v>
      </c>
      <c r="BW31" s="120">
        <f t="shared" si="4"/>
        <v>0</v>
      </c>
      <c r="BX31" s="191">
        <f>VLOOKUP($A31,IRD!$A$4:$G$139, 7, FALSE)</f>
        <v>0</v>
      </c>
      <c r="BY31" s="192">
        <f t="array" ref="BY31">IF($BT31=0, INDEX(LS_current!$D$4:$AY$138, MATCH('Staging Table'!$A31, LS_current!$B$4:$B$138, 0), MATCH(BY$4&amp;BY$5, LS_current!$D$2:$AY$2&amp;LS_current!$D$3:$AY$3, 0)),SUM(VLOOKUP($A31, LS_current!$B$4:$AY$138, LS_current!D$148, FALSE), VLOOKUP($A31, LS_current!$B$4:$AY$138,LS_current!AB$148, FALSE))/2)</f>
        <v>-606.43132286963373</v>
      </c>
      <c r="BZ31" s="192">
        <f t="array" ref="BZ31">IF($BT31=0, INDEX(LS_current!$D$4:$AY$138, MATCH('Staging Table'!$A31, LS_current!$B$4:$B$138, 0), MATCH(BZ$4&amp;BZ$5, LS_current!$D$2:$AY$2&amp;LS_current!$D$3:$AY$3, 0)),SUM(VLOOKUP($A31, LS_current!$B$4:$AY$138, LS_current!E$148, FALSE), VLOOKUP($A31, LS_current!$B$4:$AY$138,LS_current!AC$148, FALSE))/2)</f>
        <v>395.74600033997558</v>
      </c>
      <c r="CA31" s="192">
        <f t="array" ref="CA31">IF($BT31=0, INDEX(LS_current!$D$4:$AY$138, MATCH('Staging Table'!$A31, LS_current!$B$4:$B$138, 0), MATCH(CA$4&amp;CA$5, LS_current!$D$2:$AY$2&amp;LS_current!$D$3:$AY$3, 0)),SUM(VLOOKUP($A31, LS_current!$B$4:$AY$138, LS_current!F$148, FALSE), VLOOKUP($A31, LS_current!$B$4:$AY$138,LS_current!AD$148, FALSE))/2)</f>
        <v>-4326.0408529783381</v>
      </c>
      <c r="CB31" s="192">
        <f t="array" ref="CB31">IF($BT31=0, INDEX(LS_current!$D$4:$AY$138, MATCH('Staging Table'!$A31, LS_current!$B$4:$B$138, 0), MATCH(CB$4&amp;CB$5, LS_current!$D$2:$AY$2&amp;LS_current!$D$3:$AY$3, 0)),SUM(VLOOKUP($A31, LS_current!$B$4:$AY$138, LS_current!G$148, FALSE), VLOOKUP($A31, LS_current!$B$4:$AY$138,LS_current!AE$148, FALSE))/2)</f>
        <v>-3387.6269007523879</v>
      </c>
      <c r="CC31" s="192">
        <f t="array" ref="CC31">IF($BT31=0, INDEX(LS_current!$D$4:$AY$138, MATCH('Staging Table'!$A31, LS_current!$B$4:$B$138, 0), MATCH(CC$4&amp;CC$5, LS_current!$D$2:$AY$2&amp;LS_current!$D$3:$AY$3, 0)),SUM(VLOOKUP($A31, LS_current!$B$4:$AY$138, LS_current!H$148, FALSE), VLOOKUP($A31, LS_current!$B$4:$AY$138,LS_current!AF$148, FALSE))/2)</f>
        <v>2940.214720489952</v>
      </c>
      <c r="CD31" s="192">
        <f t="array" ref="CD31">IF($BT31=0, INDEX(LS_current!$D$4:$AY$138, MATCH('Staging Table'!$A31, LS_current!$B$4:$B$138, 0), MATCH(CD$4&amp;CD$5, LS_current!$D$2:$AY$2&amp;LS_current!$D$3:$AY$3, 0)),SUM(VLOOKUP($A31, LS_current!$B$4:$AY$138, LS_current!I$148, FALSE), VLOOKUP($A31, LS_current!$B$4:$AY$138,LS_current!AG$148, FALSE))/2)</f>
        <v>-3751.759630743687</v>
      </c>
      <c r="CE31" s="192">
        <f t="array" ref="CE31">IF($BT31=0, INDEX(LS_current!$D$4:$AY$138, MATCH('Staging Table'!$A31, LS_current!$B$4:$B$138, 0), MATCH(CE$4&amp;CE$5, LS_current!$D$2:$AY$2&amp;LS_current!$D$3:$AY$3, 0)),SUM(VLOOKUP($A31, LS_current!$B$4:$AY$138, LS_current!J$148, FALSE), VLOOKUP($A31, LS_current!$B$4:$AY$138,LS_current!AH$148, FALSE))/2)</f>
        <v>10162.869044573941</v>
      </c>
      <c r="CF31" s="192">
        <f t="array" ref="CF31">IF($BT31=0, INDEX(LS_current!$D$4:$AY$138, MATCH('Staging Table'!$A31, LS_current!$B$4:$B$138, 0), MATCH(CF$4&amp;CF$5, LS_current!$D$2:$AY$2&amp;LS_current!$D$3:$AY$3, 0)),SUM(VLOOKUP($A31, LS_current!$B$4:$AY$138, LS_current!K$148, FALSE), VLOOKUP($A31, LS_current!$B$4:$AY$138,LS_current!AI$148, FALSE))/2)</f>
        <v>3817.7641644303731</v>
      </c>
      <c r="CG31" s="192">
        <f t="array" ref="CG31">IF($BT31=0, INDEX(LS_current!$D$4:$AY$138, MATCH('Staging Table'!$A31, LS_current!$B$4:$B$138, 0), MATCH(CG$4&amp;CG$5, LS_current!$D$2:$AY$2&amp;LS_current!$D$3:$AY$3, 0)),SUM(VLOOKUP($A31, LS_current!$B$4:$AY$138, LS_current!L$148, FALSE), VLOOKUP($A31, LS_current!$B$4:$AY$138,LS_current!AJ$148, FALSE))/2)</f>
        <v>11260.917259401205</v>
      </c>
      <c r="CH31" s="192">
        <f t="array" ref="CH31">IF($BT31=0, INDEX(LS_current!$D$4:$AY$138, MATCH('Staging Table'!$A31, LS_current!$B$4:$B$138, 0), MATCH(CH$4&amp;CH$5, LS_current!$D$2:$AY$2&amp;LS_current!$D$3:$AY$3, 0)),SUM(VLOOKUP($A31, LS_current!$B$4:$AY$138, LS_current!M$148, FALSE), VLOOKUP($A31, LS_current!$B$4:$AY$138,LS_current!AK$148, FALSE))/2)</f>
        <v>2842.6522947816229</v>
      </c>
      <c r="CI31" s="192">
        <f t="array" ref="CI31">IF($BT31=0, INDEX(LS_current!$D$4:$AY$138, MATCH('Staging Table'!$A31, LS_current!$B$4:$B$138, 0), MATCH(CI$4&amp;CI$5, LS_current!$D$2:$AY$2&amp;LS_current!$D$3:$AY$3, 0)),SUM(VLOOKUP($A31, LS_current!$B$4:$AY$138, LS_current!N$148, FALSE), VLOOKUP($A31, LS_current!$B$4:$AY$138,LS_current!AL$148, FALSE))/2)</f>
        <v>4705.857561140394</v>
      </c>
      <c r="CJ31" s="192">
        <f t="array" ref="CJ31">IF($BT31=0, INDEX(LS_current!$D$4:$AY$138, MATCH('Staging Table'!$A31, LS_current!$B$4:$B$138, 0), MATCH(CJ$4&amp;CJ$5, LS_current!$D$2:$AY$2&amp;LS_current!$D$3:$AY$3, 0)),SUM(VLOOKUP($A31, LS_current!$B$4:$AY$138, LS_current!O$148, FALSE), VLOOKUP($A31, LS_current!$B$4:$AY$138,LS_current!AM$148, FALSE))/2)</f>
        <v>494.53454121558025</v>
      </c>
      <c r="CK31" s="192">
        <f t="array" ref="CK31">IF($BT31=0, INDEX(LS_current!$D$4:$AY$138, MATCH('Staging Table'!$A31, LS_current!$B$4:$B$138, 0), MATCH(CK$4&amp;CK$5, LS_current!$D$2:$AY$2&amp;LS_current!$D$3:$AY$3, 0)),SUM(VLOOKUP($A31, LS_current!$B$4:$AY$138, LS_current!P$148, FALSE), VLOOKUP($A31, LS_current!$B$4:$AY$138,LS_current!AN$148, FALSE))/2)</f>
        <v>9409.2490855268734</v>
      </c>
      <c r="CL31" s="192">
        <f t="array" ref="CL31">IF($BT31=0, INDEX(LS_current!$D$4:$AY$138, MATCH('Staging Table'!$A31, LS_current!$B$4:$B$138, 0), MATCH(CL$4&amp;CL$5, LS_current!$D$2:$AY$2&amp;LS_current!$D$3:$AY$3, 0)),SUM(VLOOKUP($A31, LS_current!$B$4:$AY$138, LS_current!Q$148, FALSE), VLOOKUP($A31, LS_current!$B$4:$AY$138,LS_current!AO$148, FALSE))/2)</f>
        <v>3576.3611802114756</v>
      </c>
      <c r="CM31" s="192">
        <f t="array" ref="CM31">IF($BT31=0, INDEX(LS_current!$D$4:$AY$138, MATCH('Staging Table'!$A31, LS_current!$B$4:$B$138, 0), MATCH(CM$4&amp;CM$5, LS_current!$D$2:$AY$2&amp;LS_current!$D$3:$AY$3, 0)),SUM(VLOOKUP($A31, LS_current!$B$4:$AY$138, LS_current!R$148, FALSE), VLOOKUP($A31, LS_current!$B$4:$AY$138,LS_current!AP$148, FALSE))/2)</f>
        <v>-8039.9838377614724</v>
      </c>
      <c r="CN31" s="192">
        <f t="array" ref="CN31">IF($BT31=0, INDEX(LS_current!$D$4:$AY$138, MATCH('Staging Table'!$A31, LS_current!$B$4:$B$138, 0), MATCH(CN$4&amp;CN$5, LS_current!$D$2:$AY$2&amp;LS_current!$D$3:$AY$3, 0)),SUM(VLOOKUP($A31, LS_current!$B$4:$AY$138, LS_current!S$148, FALSE), VLOOKUP($A31, LS_current!$B$4:$AY$138,LS_current!AQ$148, FALSE))/2)</f>
        <v>521.17464514352469</v>
      </c>
      <c r="CO31" s="192">
        <f t="array" ref="CO31">IF($BT31=0, INDEX(LS_current!$D$4:$AY$138, MATCH('Staging Table'!$A31, LS_current!$B$4:$B$138, 0), MATCH(CO$4&amp;CO$5, LS_current!$D$2:$AY$2&amp;LS_current!$D$3:$AY$3, 0)),SUM(VLOOKUP($A31, LS_current!$B$4:$AY$138, LS_current!T$148, FALSE), VLOOKUP($A31, LS_current!$B$4:$AY$138,LS_current!AR$148, FALSE))/2)</f>
        <v>-13088.377092097493</v>
      </c>
      <c r="CP31" s="192">
        <f t="array" ref="CP31">IF($BT31=0, INDEX(LS_current!$D$4:$AY$138, MATCH('Staging Table'!$A31, LS_current!$B$4:$B$138, 0), MATCH(CP$4&amp;CP$5, LS_current!$D$2:$AY$2&amp;LS_current!$D$3:$AY$3, 0)),SUM(VLOOKUP($A31, LS_current!$B$4:$AY$138, LS_current!U$148, FALSE), VLOOKUP($A31, LS_current!$B$4:$AY$138,LS_current!AS$148, FALSE))/2)</f>
        <v>-438.02553608344897</v>
      </c>
      <c r="CQ31" s="192">
        <f t="array" ref="CQ31">IF($BT31=0, INDEX(LS_current!$D$4:$AY$138, MATCH('Staging Table'!$A31, LS_current!$B$4:$B$138, 0), MATCH(CQ$4&amp;CQ$5, LS_current!$D$2:$AY$2&amp;LS_current!$D$3:$AY$3, 0)),SUM(VLOOKUP($A31, LS_current!$B$4:$AY$138, LS_current!V$148, FALSE), VLOOKUP($A31, LS_current!$B$4:$AY$138,LS_current!AT$148, FALSE))/2)</f>
        <v>-7691.4322473205029</v>
      </c>
      <c r="CR31" s="192">
        <f t="array" ref="CR31">IF($BT31=0, INDEX(LS_current!$D$4:$AY$138, MATCH('Staging Table'!$A31, LS_current!$B$4:$B$138, 0), MATCH(CR$4&amp;CR$5, LS_current!$D$2:$AY$2&amp;LS_current!$D$3:$AY$3, 0)),SUM(VLOOKUP($A31, LS_current!$B$4:$AY$138, LS_current!W$148, FALSE), VLOOKUP($A31, LS_current!$B$4:$AY$138,LS_current!AU$148, FALSE))/2)</f>
        <v>-289.58901921552024</v>
      </c>
      <c r="CS31" s="192">
        <f t="array" ref="CS31">IF($BT31=0, INDEX(LS_current!$D$4:$AY$138, MATCH('Staging Table'!$A31, LS_current!$B$4:$B$138, 0), MATCH(CS$4&amp;CS$5, LS_current!$D$2:$AY$2&amp;LS_current!$D$3:$AY$3, 0)),SUM(VLOOKUP($A31, LS_current!$B$4:$AY$138, LS_current!X$148, FALSE), VLOOKUP($A31, LS_current!$B$4:$AY$138,LS_current!AV$148, FALSE))/2)</f>
        <v>-4892.5779941257206</v>
      </c>
      <c r="CT31" s="192">
        <f t="array" ref="CT31">IF($BT31=0, INDEX(LS_current!$D$4:$AY$138, MATCH('Staging Table'!$A31, LS_current!$B$4:$B$138, 0), MATCH(CT$4&amp;CT$5, LS_current!$D$2:$AY$2&amp;LS_current!$D$3:$AY$3, 0)),SUM(VLOOKUP($A31, LS_current!$B$4:$AY$138, LS_current!Y$148, FALSE), VLOOKUP($A31, LS_current!$B$4:$AY$138,LS_current!AW$148, FALSE))/2)</f>
        <v>-800.64414566039704</v>
      </c>
      <c r="CU31" s="192">
        <f t="array" ref="CU31">IF($BT31=0, INDEX(LS_current!$D$4:$AY$138, MATCH('Staging Table'!$A31, LS_current!$B$4:$B$138, 0), MATCH(CU$4&amp;CU$5, LS_current!$D$2:$AY$2&amp;LS_current!$D$3:$AY$3, 0)),SUM(VLOOKUP($A31, LS_current!$B$4:$AY$138, LS_current!Z$148, FALSE), VLOOKUP($A31, LS_current!$B$4:$AY$138,LS_current!AX$148, FALSE))/2)</f>
        <v>-2263.4437260264167</v>
      </c>
      <c r="CV31" s="192">
        <f t="array" ref="CV31">IF($BT31=0, INDEX(LS_current!$D$4:$AY$138, MATCH('Staging Table'!$A31, LS_current!$B$4:$B$138, 0), MATCH(CV$4&amp;CV$5, LS_current!$D$2:$AY$2&amp;LS_current!$D$3:$AY$3, 0)),SUM(VLOOKUP($A31, LS_current!$B$4:$AY$138, LS_current!AA$148, FALSE), VLOOKUP($A31, LS_current!$B$4:$AY$138,LS_current!AY$148, FALSE))/2)</f>
        <v>-550.37744735603701</v>
      </c>
      <c r="CW31" s="194">
        <f t="array" ref="CW31">INDEX(Demand_current!$D$4:$AY$138, MATCH($A31, Demand_current!$B$4:$B$138, 0), MATCH(CW$4&amp;CW$5,Demand_current!$D$2:$AY$2&amp;Demand_current!$D$3:$AY$3, 0))/1000</f>
        <v>26.013483173076921</v>
      </c>
      <c r="CX31" s="194">
        <f t="array" ref="CX31">INDEX(Demand_current!$D$4:$AY$138, MATCH($A31, Demand_current!$B$4:$B$138, 0), MATCH(CX$4&amp;CX$5,Demand_current!$D$2:$AY$2&amp;Demand_current!$D$3:$AY$3, 0))/1000</f>
        <v>25.632317499999996</v>
      </c>
      <c r="CY31" s="194">
        <f t="array" ref="CY31">INDEX(Demand_current!$D$4:$AY$138, MATCH($A31, Demand_current!$B$4:$B$138, 0), MATCH(CY$4&amp;CY$5,Demand_current!$D$2:$AY$2&amp;Demand_current!$D$3:$AY$3, 0))/1000</f>
        <v>20.774598557692293</v>
      </c>
      <c r="CZ31" s="194">
        <f t="array" ref="CZ31">INDEX(Demand_current!$D$4:$AY$138, MATCH($A31, Demand_current!$B$4:$B$138, 0), MATCH(CZ$4&amp;CZ$5,Demand_current!$D$2:$AY$2&amp;Demand_current!$D$3:$AY$3, 0))/1000</f>
        <v>19.00549500000001</v>
      </c>
      <c r="DA31" s="194">
        <f t="array" ref="DA31">INDEX(Demand_current!$D$4:$AY$138, MATCH($A31, Demand_current!$B$4:$B$138, 0), MATCH(DA$4&amp;DA$5,Demand_current!$D$2:$AY$2&amp;Demand_current!$D$3:$AY$3, 0))/1000</f>
        <v>2.9153541666666669</v>
      </c>
      <c r="DB31" s="194">
        <f t="array" ref="DB31">INDEX(Demand_current!$D$4:$AY$138, MATCH($A31, Demand_current!$B$4:$B$138, 0), MATCH(DB$4&amp;DB$5,Demand_current!$D$2:$AY$2&amp;Demand_current!$D$3:$AY$3, 0))/1000</f>
        <v>25.386321759259275</v>
      </c>
      <c r="DC31" s="194">
        <f t="array" ref="DC31">INDEX(Demand_current!$D$4:$AY$138, MATCH($A31, Demand_current!$B$4:$B$138, 0), MATCH(DC$4&amp;DC$5,Demand_current!$D$2:$AY$2&amp;Demand_current!$D$3:$AY$3, 0))/1000</f>
        <v>20.443288461538472</v>
      </c>
      <c r="DD31" s="194">
        <f t="array" ref="DD31">INDEX(Demand_current!$D$4:$AY$138, MATCH($A31, Demand_current!$B$4:$B$138, 0), MATCH(DD$4&amp;DD$5,Demand_current!$D$2:$AY$2&amp;Demand_current!$D$3:$AY$3, 0))/1000</f>
        <v>19.974004999999998</v>
      </c>
      <c r="DE31" s="194">
        <f t="array" ref="DE31">INDEX(Demand_current!$D$4:$AY$138, MATCH($A31, Demand_current!$B$4:$B$138, 0), MATCH(DE$4&amp;DE$5,Demand_current!$D$2:$AY$2&amp;Demand_current!$D$3:$AY$3, 0))/1000</f>
        <v>29.785942307692302</v>
      </c>
      <c r="DF31" s="194">
        <f t="array" ref="DF31">INDEX(Demand_current!$D$4:$AY$138, MATCH($A31, Demand_current!$B$4:$B$138, 0), MATCH(DF$4&amp;DF$5,Demand_current!$D$2:$AY$2&amp;Demand_current!$D$3:$AY$3, 0))/1000</f>
        <v>23.275422499999991</v>
      </c>
      <c r="DG31" s="194">
        <f t="array" ref="DG31">INDEX(Demand_current!$D$4:$AY$138, MATCH($A31, Demand_current!$B$4:$B$138, 0), MATCH(DG$4&amp;DG$5,Demand_current!$D$2:$AY$2&amp;Demand_current!$D$3:$AY$3, 0))/1000</f>
        <v>26.649835648148152</v>
      </c>
      <c r="DH31" s="194">
        <f t="array" ref="DH31">INDEX(Demand_current!$D$4:$AY$138, MATCH($A31, Demand_current!$B$4:$B$138, 0), MATCH(DH$4&amp;DH$5,Demand_current!$D$2:$AY$2&amp;Demand_current!$D$3:$AY$3, 0))/1000</f>
        <v>16.5156025</v>
      </c>
      <c r="DI31" s="192">
        <f>$BS31*(VLOOKUP(DI$4, Rates_current!$G$6:$Q$29, 10, FALSE)+VLOOKUP(DI$4, Rates_current!$G$6:$Q$29, 11, FALSE))</f>
        <v>54895.737322529661</v>
      </c>
      <c r="DJ31" s="192">
        <f>$BS31*(VLOOKUP(DJ$4, Rates_current!$G$6:$Q$29, 10, FALSE)+VLOOKUP(DJ$4, Rates_current!$G$6:$Q$29, 11, FALSE))</f>
        <v>69499.995753730735</v>
      </c>
      <c r="DK31" s="192">
        <f>$BS31*(VLOOKUP(DK$4, Rates_current!$G$6:$Q$29, 10, FALSE)+VLOOKUP(DK$4, Rates_current!$G$6:$Q$29, 11, FALSE))</f>
        <v>68026.610910253745</v>
      </c>
      <c r="DL31" s="192">
        <f>$BS31*(VLOOKUP(DL$4, Rates_current!$G$6:$Q$29, 10, FALSE)+VLOOKUP(DL$4, Rates_current!$G$6:$Q$29, 11, FALSE))</f>
        <v>56187.087790995683</v>
      </c>
      <c r="DM31" s="192">
        <f>$BS31*(VLOOKUP(DM$4, Rates_current!$G$6:$Q$29, 10, FALSE)+VLOOKUP(DM$4, Rates_current!$G$6:$Q$29, 11, FALSE))</f>
        <v>48698.580445817177</v>
      </c>
      <c r="DN31" s="192">
        <f>$BS31*(VLOOKUP(DN$4, Rates_current!$G$6:$Q$29, 10, FALSE)+VLOOKUP(DN$4, Rates_current!$G$6:$Q$29, 11, FALSE))</f>
        <v>58136.270897644026</v>
      </c>
      <c r="DO31" s="192">
        <f>$BS31*(VLOOKUP(DO$4, Rates_current!$G$6:$Q$29, 10, FALSE)+VLOOKUP(DO$4, Rates_current!$G$6:$Q$29, 11, FALSE))</f>
        <v>45135.074734261652</v>
      </c>
      <c r="DP31" s="192">
        <f>$BS31*(VLOOKUP(DP$4, Rates_current!$G$6:$Q$29, 10, FALSE)+VLOOKUP(DP$4, Rates_current!$G$6:$Q$29, 11, FALSE))</f>
        <v>62534.978192617949</v>
      </c>
      <c r="DQ31" s="192">
        <f>$BS31*(VLOOKUP(DQ$4, Rates_current!$G$6:$Q$29, 10, FALSE)+VLOOKUP(DQ$4, Rates_current!$G$6:$Q$29, 11, FALSE))</f>
        <v>66819.933628180937</v>
      </c>
      <c r="DR31" s="192">
        <f>$BS31*(VLOOKUP(DR$4, Rates_current!$G$6:$Q$29, 10, FALSE)+VLOOKUP(DR$4, Rates_current!$G$6:$Q$29, 11, FALSE))</f>
        <v>63442.501266536026</v>
      </c>
      <c r="DS31" s="192">
        <f>$BS31*(VLOOKUP(DS$4, Rates_current!$G$6:$Q$29, 10, FALSE)+VLOOKUP(DS$4, Rates_current!$G$6:$Q$29, 11, FALSE))</f>
        <v>61312.283139786115</v>
      </c>
      <c r="DT31" s="192">
        <f>$BS31*(VLOOKUP(DT$4, Rates_current!$G$6:$Q$29, 10, FALSE)+VLOOKUP(DT$4, Rates_current!$G$6:$Q$29, 11, FALSE))</f>
        <v>56658.94117338246</v>
      </c>
      <c r="DU31" s="418">
        <f>IF(D31=0,IF(C31=0,MAX(0,DW31 - (VLOOKUP($A31,TOCA_current!$A$2:$AI$137,MATCH("RHWM 2022",TOCA_current!$A$2:$AI$2,0),FALSE)*$BS$2)), 0),0)</f>
        <v>0</v>
      </c>
      <c r="DV31" s="419">
        <f>MIN(VLOOKUP($A31,TOCA_current!$A$2:$AI$137,MATCH("TRL - NLSL - Existing Resource "&amp;$BS$1,TOCA_current!$A$2:$AI$2,0),FALSE)*$BS$2, VLOOKUP($A31,TOCA_current!$A$2:$AI$137,MATCH("RHWM 2022",TOCA_current!$A$2:$AI$2,0),FALSE)*$BS$2)</f>
        <v>711347.03999999992</v>
      </c>
      <c r="DW31" s="419">
        <f>SUM(BY31:CV31)+(BS31*RT1SC!$C$4*$BS$2)</f>
        <v>711349.06238852791</v>
      </c>
      <c r="DX31" s="419">
        <f>VLOOKUP($A31,TOCA_current!$A$2:$AI$137,MATCH("Above RHWM Not Served with LS "&amp;$BS$1,TOCA_current!$A$2:$AI$2,0),FALSE)*$BS$2</f>
        <v>0</v>
      </c>
      <c r="DY31" s="419">
        <f t="shared" si="13"/>
        <v>2.0223885279847309</v>
      </c>
      <c r="DZ31" s="419">
        <f>(VLOOKUP($A31,TOCA_current!$A$2:$AI$137,MATCH("RHWM 2022",TOCA_current!$A$2:$AI$2,0),FALSE)*$BS$2) - $DV31</f>
        <v>25491.600000000093</v>
      </c>
      <c r="EA31" s="419">
        <f t="shared" si="14"/>
        <v>-2.0223885279847309</v>
      </c>
      <c r="EB31" s="419">
        <f t="shared" si="15"/>
        <v>0</v>
      </c>
      <c r="EC31" s="419">
        <f t="shared" si="16"/>
        <v>0</v>
      </c>
      <c r="ED31" s="419">
        <f t="shared" si="17"/>
        <v>-2.0223885279847309</v>
      </c>
    </row>
    <row r="32" spans="1:134">
      <c r="A32" s="135">
        <v>10080</v>
      </c>
      <c r="B32" s="136" t="s">
        <v>33</v>
      </c>
      <c r="C32" s="244">
        <f>VLOOKUP(A32, TOCA_current!$A$3:$D$137, 4, FALSE)</f>
        <v>0</v>
      </c>
      <c r="D32" s="203">
        <v>0</v>
      </c>
      <c r="E32" s="119">
        <f>VLOOKUP($A32,TOCA_previous!$A$2:$AI$137,MATCH(E$4,TOCA_previous!$A$2:$AI$2,0),FALSE)</f>
        <v>9.8069999999999993E-4</v>
      </c>
      <c r="F32" s="120">
        <f>VLOOKUP($A32,TOCA_previous!$A$2:$AI$137,MATCH(F$4,TOCA_previous!$A$2:$AI$2,0),FALSE)</f>
        <v>9.8069999999999993E-4</v>
      </c>
      <c r="G32" s="120">
        <f t="shared" si="5"/>
        <v>0</v>
      </c>
      <c r="H32" s="120">
        <f>VLOOKUP($A32,TOCA_previous!$A$2:$AI$137,MATCH(H$4,TOCA_previous!$A$2:$AI$2,0),FALSE)</f>
        <v>0</v>
      </c>
      <c r="I32" s="120">
        <f t="shared" si="6"/>
        <v>0</v>
      </c>
      <c r="J32" s="120">
        <f t="shared" si="7"/>
        <v>0</v>
      </c>
      <c r="K32" s="191">
        <f>VLOOKUP(A32, IRD!$A$5:$C$139, 3, FALSE)</f>
        <v>0</v>
      </c>
      <c r="L32" s="192">
        <f t="array" ref="L32">IF($G32=0, INDEX(LS_previous!$D$4:$AY$138, MATCH('Staging Table'!$A32, LS_previous!$B$4:$B$138, 0), MATCH(L$4&amp;L$5, LS_previous!$D$2:$AY$2&amp;LS_previous!$D$3:$AY$3, 0)),SUM(VLOOKUP($A32, LS_previous!$B$4:$AY$138, LS_previous!D$149, FALSE), VLOOKUP('Staging Table'!$A32, LS_previous!$B$4:$AY$138,LS_previous!AB$149, FALSE))/2)</f>
        <v>-0.13142601159961487</v>
      </c>
      <c r="M32" s="192">
        <f t="array" ref="M32">IF($G32=0, INDEX(LS_previous!$D$4:$AY$138, MATCH('Staging Table'!$A32, LS_previous!$B$4:$B$138, 0), MATCH(M$4&amp;M$5, LS_previous!$D$2:$AY$2&amp;LS_previous!$D$3:$AY$3, 0)),SUM(VLOOKUP($A32, LS_previous!$B$4:$AY$138, LS_previous!E$149, FALSE), VLOOKUP('Staging Table'!$A32, LS_previous!$B$4:$AY$138,LS_previous!AC$149, FALSE))/2)</f>
        <v>290.47445189440009</v>
      </c>
      <c r="N32" s="192">
        <f t="array" ref="N32">IF($G32=0, INDEX(LS_previous!$D$4:$AY$138, MATCH('Staging Table'!$A32, LS_previous!$B$4:$B$138, 0), MATCH(N$4&amp;N$5, LS_previous!$D$2:$AY$2&amp;LS_previous!$D$3:$AY$3, 0)),SUM(VLOOKUP($A32, LS_previous!$B$4:$AY$138, LS_previous!F$149, FALSE), VLOOKUP('Staging Table'!$A32, LS_previous!$B$4:$AY$138,LS_previous!AD$149, FALSE))/2)</f>
        <v>-261.24033470959967</v>
      </c>
      <c r="O32" s="192">
        <f t="array" ref="O32">IF($G32=0, INDEX(LS_previous!$D$4:$AY$138, MATCH('Staging Table'!$A32, LS_previous!$B$4:$B$138, 0), MATCH(O$4&amp;O$5, LS_previous!$D$2:$AY$2&amp;LS_previous!$D$3:$AY$3, 0)),SUM(VLOOKUP($A32, LS_previous!$B$4:$AY$138, LS_previous!G$149, FALSE), VLOOKUP('Staging Table'!$A32, LS_previous!$B$4:$AY$138,LS_previous!AE$149, FALSE))/2)</f>
        <v>63.764957222299927</v>
      </c>
      <c r="P32" s="192">
        <f t="array" ref="P32">IF($G32=0, INDEX(LS_previous!$D$4:$AY$138, MATCH('Staging Table'!$A32, LS_previous!$B$4:$B$138, 0), MATCH(P$4&amp;P$5, LS_previous!$D$2:$AY$2&amp;LS_previous!$D$3:$AY$3, 0)),SUM(VLOOKUP($A32, LS_previous!$B$4:$AY$138, LS_previous!H$149, FALSE), VLOOKUP('Staging Table'!$A32, LS_previous!$B$4:$AY$138,LS_previous!AF$149, FALSE))/2)</f>
        <v>272.20854176960029</v>
      </c>
      <c r="Q32" s="192">
        <f t="array" ref="Q32">IF($G32=0, INDEX(LS_previous!$D$4:$AY$138, MATCH('Staging Table'!$A32, LS_previous!$B$4:$B$138, 0), MATCH(Q$4&amp;Q$5, LS_previous!$D$2:$AY$2&amp;LS_previous!$D$3:$AY$3, 0)),SUM(VLOOKUP($A32, LS_previous!$B$4:$AY$138, LS_previous!I$149, FALSE), VLOOKUP('Staging Table'!$A32, LS_previous!$B$4:$AY$138,LS_previous!AG$149, FALSE))/2)</f>
        <v>315.9010460131999</v>
      </c>
      <c r="R32" s="192">
        <f t="array" ref="R32">IF($G32=0, INDEX(LS_previous!$D$4:$AY$138, MATCH('Staging Table'!$A32, LS_previous!$B$4:$B$138, 0), MATCH(R$4&amp;R$5, LS_previous!$D$2:$AY$2&amp;LS_previous!$D$3:$AY$3, 0)),SUM(VLOOKUP($A32, LS_previous!$B$4:$AY$138, LS_previous!J$149, FALSE), VLOOKUP('Staging Table'!$A32, LS_previous!$B$4:$AY$138,LS_previous!AH$149, FALSE))/2)</f>
        <v>765.53303496960007</v>
      </c>
      <c r="S32" s="192">
        <f t="array" ref="S32">IF($G32=0, INDEX(LS_previous!$D$4:$AY$138, MATCH('Staging Table'!$A32, LS_previous!$B$4:$B$138, 0), MATCH(S$4&amp;S$5, LS_previous!$D$2:$AY$2&amp;LS_previous!$D$3:$AY$3, 0)),SUM(VLOOKUP($A32, LS_previous!$B$4:$AY$138, LS_previous!K$149, FALSE), VLOOKUP('Staging Table'!$A32, LS_previous!$B$4:$AY$138,LS_previous!AI$149, FALSE))/2)</f>
        <v>935.02670641320037</v>
      </c>
      <c r="T32" s="192">
        <f t="array" ref="T32">IF($G32=0, INDEX(LS_previous!$D$4:$AY$138, MATCH('Staging Table'!$A32, LS_previous!$B$4:$B$138, 0), MATCH(T$4&amp;T$5, LS_previous!$D$2:$AY$2&amp;LS_previous!$D$3:$AY$3, 0)),SUM(VLOOKUP($A32, LS_previous!$B$4:$AY$138, LS_previous!L$149, FALSE), VLOOKUP('Staging Table'!$A32, LS_previous!$B$4:$AY$138,LS_previous!AJ$149, FALSE))/2)</f>
        <v>652.33740049320068</v>
      </c>
      <c r="U32" s="192">
        <f t="array" ref="U32">IF($G32=0, INDEX(LS_previous!$D$4:$AY$138, MATCH('Staging Table'!$A32, LS_previous!$B$4:$B$138, 0), MATCH(U$4&amp;U$5, LS_previous!$D$2:$AY$2&amp;LS_previous!$D$3:$AY$3, 0)),SUM(VLOOKUP($A32, LS_previous!$B$4:$AY$138, LS_previous!M$149, FALSE), VLOOKUP('Staging Table'!$A32, LS_previous!$B$4:$AY$138,LS_previous!AK$149, FALSE))/2)</f>
        <v>517.69420374679999</v>
      </c>
      <c r="V32" s="192">
        <f t="array" ref="V32">IF($G32=0, INDEX(LS_previous!$D$4:$AY$138, MATCH('Staging Table'!$A32, LS_previous!$B$4:$B$138, 0), MATCH(V$4&amp;V$5, LS_previous!$D$2:$AY$2&amp;LS_previous!$D$3:$AY$3, 0)),SUM(VLOOKUP($A32, LS_previous!$B$4:$AY$138, LS_previous!N$149, FALSE), VLOOKUP('Staging Table'!$A32, LS_previous!$B$4:$AY$138,LS_previous!AL$149, FALSE))/2)</f>
        <v>306.07984464880064</v>
      </c>
      <c r="W32" s="192">
        <f t="array" ref="W32">IF($G32=0, INDEX(LS_previous!$D$4:$AY$138, MATCH('Staging Table'!$A32, LS_previous!$B$4:$B$138, 0), MATCH(W$4&amp;W$5, LS_previous!$D$2:$AY$2&amp;LS_previous!$D$3:$AY$3, 0)),SUM(VLOOKUP($A32, LS_previous!$B$4:$AY$138, LS_previous!O$149, FALSE), VLOOKUP('Staging Table'!$A32, LS_previous!$B$4:$AY$138,LS_previous!AM$149, FALSE))/2)</f>
        <v>275.21578393530012</v>
      </c>
      <c r="X32" s="192">
        <f t="array" ref="X32">IF($G32=0, INDEX(LS_previous!$D$4:$AY$138, MATCH('Staging Table'!$A32, LS_previous!$B$4:$B$138, 0), MATCH(X$4&amp;X$5, LS_previous!$D$2:$AY$2&amp;LS_previous!$D$3:$AY$3, 0)),SUM(VLOOKUP($A32, LS_previous!$B$4:$AY$138, LS_previous!P$149, FALSE), VLOOKUP('Staging Table'!$A32, LS_previous!$B$4:$AY$138,LS_previous!AN$149, FALSE))/2)</f>
        <v>452.68744155920058</v>
      </c>
      <c r="Y32" s="192">
        <f t="array" ref="Y32">IF($G32=0, INDEX(LS_previous!$D$4:$AY$138, MATCH('Staging Table'!$A32, LS_previous!$B$4:$B$138, 0), MATCH(Y$4&amp;Y$5, LS_previous!$D$2:$AY$2&amp;LS_previous!$D$3:$AY$3, 0)),SUM(VLOOKUP($A32, LS_previous!$B$4:$AY$138, LS_previous!Q$149, FALSE), VLOOKUP('Staging Table'!$A32, LS_previous!$B$4:$AY$138,LS_previous!AO$149, FALSE))/2)</f>
        <v>308.74270310480006</v>
      </c>
      <c r="Z32" s="192">
        <f t="array" ref="Z32">IF($G32=0, INDEX(LS_previous!$D$4:$AY$138, MATCH('Staging Table'!$A32, LS_previous!$B$4:$B$138, 0), MATCH(Z$4&amp;Z$5, LS_previous!$D$2:$AY$2&amp;LS_previous!$D$3:$AY$3, 0)),SUM(VLOOKUP($A32, LS_previous!$B$4:$AY$138, LS_previous!R$149, FALSE), VLOOKUP('Staging Table'!$A32, LS_previous!$B$4:$AY$138,LS_previous!AP$149, FALSE))/2)</f>
        <v>-1095.0310189699999</v>
      </c>
      <c r="AA32" s="192">
        <f t="array" ref="AA32">IF($G32=0, INDEX(LS_previous!$D$4:$AY$138, MATCH('Staging Table'!$A32, LS_previous!$B$4:$B$138, 0), MATCH(AA$4&amp;AA$5, LS_previous!$D$2:$AY$2&amp;LS_previous!$D$3:$AY$3, 0)),SUM(VLOOKUP($A32, LS_previous!$B$4:$AY$138, LS_previous!S$149, FALSE), VLOOKUP('Staging Table'!$A32, LS_previous!$B$4:$AY$138,LS_previous!AQ$149, FALSE))/2)</f>
        <v>-225.00580149719963</v>
      </c>
      <c r="AB32" s="192">
        <f t="array" ref="AB32">IF($G32=0, INDEX(LS_previous!$D$4:$AY$138, MATCH('Staging Table'!$A32, LS_previous!$B$4:$B$138, 0), MATCH(AB$4&amp;AB$5, LS_previous!$D$2:$AY$2&amp;LS_previous!$D$3:$AY$3, 0)),SUM(VLOOKUP($A32, LS_previous!$B$4:$AY$138, LS_previous!T$149, FALSE), VLOOKUP('Staging Table'!$A32, LS_previous!$B$4:$AY$138,LS_previous!AR$149, FALSE))/2)</f>
        <v>-2070.1440048907998</v>
      </c>
      <c r="AC32" s="192">
        <f t="array" ref="AC32">IF($G32=0, INDEX(LS_previous!$D$4:$AY$138, MATCH('Staging Table'!$A32, LS_previous!$B$4:$B$138, 0), MATCH(AC$4&amp;AC$5, LS_previous!$D$2:$AY$2&amp;LS_previous!$D$3:$AY$3, 0)),SUM(VLOOKUP($A32, LS_previous!$B$4:$AY$138, LS_previous!U$149, FALSE), VLOOKUP('Staging Table'!$A32, LS_previous!$B$4:$AY$138,LS_previous!AS$149, FALSE))/2)</f>
        <v>-1012.1865770951997</v>
      </c>
      <c r="AD32" s="192">
        <f t="array" ref="AD32">IF($G32=0, INDEX(LS_previous!$D$4:$AY$138, MATCH('Staging Table'!$A32, LS_previous!$B$4:$B$138, 0), MATCH(AD$4&amp;AD$5, LS_previous!$D$2:$AY$2&amp;LS_previous!$D$3:$AY$3, 0)),SUM(VLOOKUP($A32, LS_previous!$B$4:$AY$138, LS_previous!V$149, FALSE), VLOOKUP('Staging Table'!$A32, LS_previous!$B$4:$AY$138,LS_previous!AT$149, FALSE))/2)</f>
        <v>-1248.5091983907996</v>
      </c>
      <c r="AE32" s="192">
        <f t="array" ref="AE32">IF($G32=0, INDEX(LS_previous!$D$4:$AY$138, MATCH('Staging Table'!$A32, LS_previous!$B$4:$B$138, 0), MATCH(AE$4&amp;AE$5, LS_previous!$D$2:$AY$2&amp;LS_previous!$D$3:$AY$3, 0)),SUM(VLOOKUP($A32, LS_previous!$B$4:$AY$138, LS_previous!W$149, FALSE), VLOOKUP('Staging Table'!$A32, LS_previous!$B$4:$AY$138,LS_previous!AU$149, FALSE))/2)</f>
        <v>13.057159473599995</v>
      </c>
      <c r="AF32" s="192">
        <f t="array" ref="AF32">IF($G32=0, INDEX(LS_previous!$D$4:$AY$138, MATCH('Staging Table'!$A32, LS_previous!$B$4:$B$138, 0), MATCH(AF$4&amp;AF$5, LS_previous!$D$2:$AY$2&amp;LS_previous!$D$3:$AY$3, 0)),SUM(VLOOKUP($A32, LS_previous!$B$4:$AY$138, LS_previous!X$149, FALSE), VLOOKUP('Staging Table'!$A32, LS_previous!$B$4:$AY$138,LS_previous!AV$149, FALSE))/2)</f>
        <v>-951.84592304079933</v>
      </c>
      <c r="AG32" s="192">
        <f t="array" ref="AG32">IF($G32=0, INDEX(LS_previous!$D$4:$AY$138, MATCH('Staging Table'!$A32, LS_previous!$B$4:$B$138, 0), MATCH(AG$4&amp;AG$5, LS_previous!$D$2:$AY$2&amp;LS_previous!$D$3:$AY$3, 0)),SUM(VLOOKUP($A32, LS_previous!$B$4:$AY$138, LS_previous!Y$149, FALSE), VLOOKUP('Staging Table'!$A32, LS_previous!$B$4:$AY$138,LS_previous!AW$149, FALSE))/2)</f>
        <v>-135.31097652639983</v>
      </c>
      <c r="AH32" s="192">
        <f t="array" ref="AH32">IF($G32=0, INDEX(LS_previous!$D$4:$AY$138, MATCH('Staging Table'!$A32, LS_previous!$B$4:$B$138, 0), MATCH(AH$4&amp;AH$5, LS_previous!$D$2:$AY$2&amp;LS_previous!$D$3:$AY$3, 0)),SUM(VLOOKUP($A32, LS_previous!$B$4:$AY$138, LS_previous!Z$149, FALSE), VLOOKUP('Staging Table'!$A32, LS_previous!$B$4:$AY$138,LS_previous!AX$149, FALSE))/2)</f>
        <v>-655.93225791999976</v>
      </c>
      <c r="AI32" s="192">
        <f t="array" ref="AI32">IF($G32=0, INDEX(LS_previous!$D$4:$AY$138, MATCH('Staging Table'!$A32, LS_previous!$B$4:$B$138, 0), MATCH(AI$4&amp;AI$5, LS_previous!$D$2:$AY$2&amp;LS_previous!$D$3:$AY$3, 0)),SUM(VLOOKUP($A32, LS_previous!$B$4:$AY$138, LS_previous!AA$149, FALSE), VLOOKUP('Staging Table'!$A32, LS_previous!$B$4:$AY$138,LS_previous!AY$149, FALSE))/2)</f>
        <v>-205.87994411599993</v>
      </c>
      <c r="AJ32" s="314">
        <f t="array" ref="AJ32">INDEX(Demand_previous!$D$4:$AY$138, MATCH('Staging Table'!$A32, Demand_previous!$B$4:$B$138, 0), MATCH(AJ$4&amp;AJ$5,Demand_previous!$D$2:$AY$2&amp;Demand_previous!$D$3:$AY$3, 0))/1000</f>
        <v>0</v>
      </c>
      <c r="AK32" s="314">
        <f t="array" ref="AK32">INDEX(Demand_previous!$D$4:$AY$138, MATCH('Staging Table'!$A32, Demand_previous!$B$4:$B$138, 0), MATCH(AK$4&amp;AK$5,Demand_previous!$D$2:$AY$2&amp;Demand_previous!$D$3:$AY$3, 0))/1000</f>
        <v>0</v>
      </c>
      <c r="AL32" s="314">
        <f t="array" ref="AL32">INDEX(Demand_previous!$D$4:$AY$138, MATCH('Staging Table'!$A32, Demand_previous!$B$4:$B$138, 0), MATCH(AL$4&amp;AL$5,Demand_previous!$D$2:$AY$2&amp;Demand_previous!$D$3:$AY$3, 0))/1000</f>
        <v>1.2309624999999997</v>
      </c>
      <c r="AM32" s="314">
        <f t="array" ref="AM32">INDEX(Demand_previous!$D$4:$AY$138, MATCH('Staging Table'!$A32, Demand_previous!$B$4:$B$138, 0), MATCH(AM$4&amp;AM$5,Demand_previous!$D$2:$AY$2&amp;Demand_previous!$D$3:$AY$3, 0))/1000</f>
        <v>1.7665408653846142</v>
      </c>
      <c r="AN32" s="314">
        <f t="array" ref="AN32">INDEX(Demand_previous!$D$4:$AY$138, MATCH('Staging Table'!$A32, Demand_previous!$B$4:$B$138, 0), MATCH(AN$4&amp;AN$5,Demand_previous!$D$2:$AY$2&amp;Demand_previous!$D$3:$AY$3, 0))/1000</f>
        <v>0.90386250000000068</v>
      </c>
      <c r="AO32" s="314">
        <f t="array" ref="AO32">INDEX(Demand_previous!$D$4:$AY$138, MATCH('Staging Table'!$A32, Demand_previous!$B$4:$B$138, 0), MATCH(AO$4&amp;AO$5,Demand_previous!$D$2:$AY$2&amp;Demand_previous!$D$3:$AY$3, 0))/1000</f>
        <v>0</v>
      </c>
      <c r="AP32" s="314">
        <f t="array" ref="AP32">INDEX(Demand_previous!$D$4:$AY$138, MATCH('Staging Table'!$A32, Demand_previous!$B$4:$B$138, 0), MATCH(AP$4&amp;AP$5,Demand_previous!$D$2:$AY$2&amp;Demand_previous!$D$3:$AY$3, 0))/1000</f>
        <v>0.57130288461538492</v>
      </c>
      <c r="AQ32" s="314">
        <f t="array" ref="AQ32">INDEX(Demand_previous!$D$4:$AY$138, MATCH('Staging Table'!$A32, Demand_previous!$B$4:$B$138, 0), MATCH(AQ$4&amp;AQ$5,Demand_previous!$D$2:$AY$2&amp;Demand_previous!$D$3:$AY$3, 0))/1000</f>
        <v>1.0846950000000004</v>
      </c>
      <c r="AR32" s="314">
        <f t="array" ref="AR32">INDEX(Demand_previous!$D$4:$AY$138, MATCH('Staging Table'!$A32, Demand_previous!$B$4:$B$138, 0), MATCH(AR$4&amp;AR$5,Demand_previous!$D$2:$AY$2&amp;Demand_previous!$D$3:$AY$3, 0))/1000</f>
        <v>1.8651490384615377</v>
      </c>
      <c r="AS32" s="314">
        <f t="array" ref="AS32">INDEX(Demand_previous!$D$4:$AY$138, MATCH('Staging Table'!$A32, Demand_previous!$B$4:$B$138, 0), MATCH(AS$4&amp;AS$5,Demand_previous!$D$2:$AY$2&amp;Demand_previous!$D$3:$AY$3, 0))/1000</f>
        <v>1.8010625000000002</v>
      </c>
      <c r="AT32" s="314">
        <f t="array" ref="AT32">INDEX(Demand_previous!$D$4:$AY$138, MATCH('Staging Table'!$A32, Demand_previous!$B$4:$B$138, 0), MATCH(AT$4&amp;AT$5,Demand_previous!$D$2:$AY$2&amp;Demand_previous!$D$3:$AY$3, 0))/1000</f>
        <v>1.62226201923077</v>
      </c>
      <c r="AU32" s="314">
        <f t="array" ref="AU32">INDEX(Demand_previous!$D$4:$AY$138, MATCH('Staging Table'!$A32, Demand_previous!$B$4:$B$138, 0), MATCH(AU$4&amp;AU$5,Demand_previous!$D$2:$AY$2&amp;Demand_previous!$D$3:$AY$3, 0))/1000</f>
        <v>1.1527974999999997</v>
      </c>
      <c r="AV32" s="192">
        <f>$F32*(VLOOKUP(AV$4, Rates_previous!$G$6:$Q$29, 10, FALSE)+VLOOKUP(AV$4, Rates_previous!$G$6:$Q$29, 11, FALSE))</f>
        <v>4528.2029741171991</v>
      </c>
      <c r="AW32" s="192">
        <f>$F32*(VLOOKUP(AW$4, Rates_previous!$G$6:$Q$29, 10, FALSE)+VLOOKUP(AW$4, Rates_previous!$G$6:$Q$29, 11, FALSE))</f>
        <v>5752.2303774872998</v>
      </c>
      <c r="AX32" s="192">
        <f>$F32*(VLOOKUP(AX$4, Rates_previous!$G$6:$Q$29, 10, FALSE)+VLOOKUP(AX$4, Rates_previous!$G$6:$Q$29, 11, FALSE))</f>
        <v>5682.7644122171996</v>
      </c>
      <c r="AY32" s="192">
        <f>$F32*(VLOOKUP(AY$4, Rates_previous!$G$6:$Q$29, 10, FALSE)+VLOOKUP(AY$4, Rates_previous!$G$6:$Q$29, 11, FALSE))</f>
        <v>4736.9302586171998</v>
      </c>
      <c r="AZ32" s="192">
        <f>$F32*(VLOOKUP(AZ$4, Rates_previous!$G$6:$Q$29, 10, FALSE)+VLOOKUP(AZ$4, Rates_previous!$G$6:$Q$29, 11, FALSE))</f>
        <v>4291.1673957599996</v>
      </c>
      <c r="BA32" s="192">
        <f>$F32*(VLOOKUP(BA$4, Rates_previous!$G$6:$Q$29, 10, FALSE)+VLOOKUP(BA$4, Rates_previous!$G$6:$Q$29, 11, FALSE))</f>
        <v>4773.1413714158998</v>
      </c>
      <c r="BB32" s="192">
        <f>$F32*(VLOOKUP(BB$4, Rates_previous!$G$6:$Q$29, 10, FALSE)+VLOOKUP(BB$4, Rates_previous!$G$6:$Q$29, 11, FALSE))</f>
        <v>3886.2968553359997</v>
      </c>
      <c r="BC32" s="192">
        <f>$F32*(VLOOKUP(BC$4, Rates_previous!$G$6:$Q$29, 10, FALSE)+VLOOKUP(BC$4, Rates_previous!$G$6:$Q$29, 11, FALSE))</f>
        <v>5241.2508204672004</v>
      </c>
      <c r="BD32" s="192">
        <f>$F32*(VLOOKUP(BD$4, Rates_previous!$G$6:$Q$29, 10, FALSE)+VLOOKUP(BD$4, Rates_previous!$G$6:$Q$29, 11, FALSE))</f>
        <v>6687.4795819860001</v>
      </c>
      <c r="BE32" s="192">
        <f>$F32*(VLOOKUP(BE$4, Rates_previous!$G$6:$Q$29, 10, FALSE)+VLOOKUP(BE$4, Rates_previous!$G$6:$Q$29, 11, FALSE))</f>
        <v>5243.1960389172</v>
      </c>
      <c r="BF32" s="192">
        <f>$F32*(VLOOKUP(BF$4, Rates_previous!$G$6:$Q$29, 10, FALSE)+VLOOKUP(BF$4, Rates_previous!$G$6:$Q$29, 11, FALSE))</f>
        <v>5105.8288995672001</v>
      </c>
      <c r="BG32" s="192">
        <f>$F32*(VLOOKUP(BG$4, Rates_previous!$G$6:$Q$29, 10, FALSE)+VLOOKUP(BG$4, Rates_previous!$G$6:$Q$29, 11, FALSE))</f>
        <v>4583.9482020360001</v>
      </c>
      <c r="BH32" s="314">
        <f>IF($D32=0,IF(C32=0, MAX(BJ32 - (VLOOKUP($A32,TOCA_previous!$A$2:$AI$137,MATCH("RHWM 2020",TOCA_previous!$A$2:$AI$2,0),FALSE)*$F$2*TOCA_previous!C29),0),0), 0)</f>
        <v>0</v>
      </c>
      <c r="BI32" s="204">
        <f>MIN(VLOOKUP($A32,TOCA_previous!$A$2:$AI$137,MATCH("TRL - NLSL - Existing Resource "&amp;$F$1,TOCA_previous!$A$2:$AI$2,0),FALSE)*$F$2,(VLOOKUP($A32,TOCA_previous!$A$2:$AI$137,MATCH("RHWM 2020",TOCA_previous!$A$2:$AI$2,0),FALSE)*$F$2))</f>
        <v>60512.976000000002</v>
      </c>
      <c r="BJ32" s="418">
        <f>SUM(L32:AI32)+(F32*RT1SC!$C$3*$F$2)</f>
        <v>57819.9452713012</v>
      </c>
      <c r="BK32" s="417">
        <f>VLOOKUP($A32,TOCA_previous!$A$2:$AI$137,MATCH("Above RHWM Not Served with LS "&amp;$F$1,TOCA_previous!$A$2:$AI$2,0),FALSE)*$F$2</f>
        <v>0</v>
      </c>
      <c r="BL32" s="418">
        <f t="shared" si="8"/>
        <v>-2693.0307286988027</v>
      </c>
      <c r="BM32" s="417">
        <f>(VLOOKUP($A32,TOCA_previous!$A$2:$AI$137,MATCH("RHWM 2020",TOCA_previous!$A$2:$AI$2,0),FALSE)*$F$2) - $BI32</f>
        <v>4471.0559999999969</v>
      </c>
      <c r="BN32" s="418">
        <f t="shared" si="9"/>
        <v>0</v>
      </c>
      <c r="BO32" s="417">
        <f t="shared" si="10"/>
        <v>2693.0307286988027</v>
      </c>
      <c r="BP32" s="418">
        <f t="shared" si="11"/>
        <v>0</v>
      </c>
      <c r="BQ32" s="417">
        <f t="shared" si="2"/>
        <v>2693.0307286988027</v>
      </c>
      <c r="BR32" s="120">
        <f>VLOOKUP($A32,TOCA_current!$A$2:$AI$137,MATCH(BR$4,TOCA_current!$A$2:$AI$2,0),FALSE)</f>
        <v>1.0184E-3</v>
      </c>
      <c r="BS32" s="120">
        <f>VLOOKUP($A32,TOCA_current!$A$2:$AI$137,MATCH(BS$4,TOCA_current!$A$2:$AI$2,0),FALSE)</f>
        <v>1.0184E-3</v>
      </c>
      <c r="BT32" s="201">
        <f t="shared" si="12"/>
        <v>0</v>
      </c>
      <c r="BU32" s="120">
        <f>VLOOKUP($A32,TOCA_current!A28:BG163,MATCH(BU$4,TOCA_current!$A$2:$BG$2,0),FALSE)</f>
        <v>0</v>
      </c>
      <c r="BV32" s="120">
        <f t="shared" si="3"/>
        <v>0</v>
      </c>
      <c r="BW32" s="120">
        <f t="shared" si="4"/>
        <v>0</v>
      </c>
      <c r="BX32" s="191">
        <f>VLOOKUP($A32,IRD!$A$4:$G$139, 7, FALSE)</f>
        <v>0</v>
      </c>
      <c r="BY32" s="192">
        <f t="array" ref="BY32">IF($BT32=0, INDEX(LS_current!$D$4:$AY$138, MATCH('Staging Table'!$A32, LS_current!$B$4:$B$138, 0), MATCH(BY$4&amp;BY$5, LS_current!$D$2:$AY$2&amp;LS_current!$D$3:$AY$3, 0)),SUM(VLOOKUP($A32, LS_current!$B$4:$AY$138, LS_current!D$148, FALSE), VLOOKUP($A32, LS_current!$B$4:$AY$138,LS_current!AB$148, FALSE))/2)</f>
        <v>-23.673805402952894</v>
      </c>
      <c r="BZ32" s="192">
        <f t="array" ref="BZ32">IF($BT32=0, INDEX(LS_current!$D$4:$AY$138, MATCH('Staging Table'!$A32, LS_current!$B$4:$B$138, 0), MATCH(BZ$4&amp;BZ$5, LS_current!$D$2:$AY$2&amp;LS_current!$D$3:$AY$3, 0)),SUM(VLOOKUP($A32, LS_current!$B$4:$AY$138, LS_current!E$148, FALSE), VLOOKUP($A32, LS_current!$B$4:$AY$138,LS_current!AC$148, FALSE))/2)</f>
        <v>204.50317529791369</v>
      </c>
      <c r="CA32" s="192">
        <f t="array" ref="CA32">IF($BT32=0, INDEX(LS_current!$D$4:$AY$138, MATCH('Staging Table'!$A32, LS_current!$B$4:$B$138, 0), MATCH(CA$4&amp;CA$5, LS_current!$D$2:$AY$2&amp;LS_current!$D$3:$AY$3, 0)),SUM(VLOOKUP($A32, LS_current!$B$4:$AY$138, LS_current!F$148, FALSE), VLOOKUP($A32, LS_current!$B$4:$AY$138,LS_current!AD$148, FALSE))/2)</f>
        <v>-257.88936169372164</v>
      </c>
      <c r="CB32" s="192">
        <f t="array" ref="CB32">IF($BT32=0, INDEX(LS_current!$D$4:$AY$138, MATCH('Staging Table'!$A32, LS_current!$B$4:$B$138, 0), MATCH(CB$4&amp;CB$5, LS_current!$D$2:$AY$2&amp;LS_current!$D$3:$AY$3, 0)),SUM(VLOOKUP($A32, LS_current!$B$4:$AY$138, LS_current!G$148, FALSE), VLOOKUP($A32, LS_current!$B$4:$AY$138,LS_current!AE$148, FALSE))/2)</f>
        <v>-58.873206338346336</v>
      </c>
      <c r="CC32" s="192">
        <f t="array" ref="CC32">IF($BT32=0, INDEX(LS_current!$D$4:$AY$138, MATCH('Staging Table'!$A32, LS_current!$B$4:$B$138, 0), MATCH(CC$4&amp;CC$5, LS_current!$D$2:$AY$2&amp;LS_current!$D$3:$AY$3, 0)),SUM(VLOOKUP($A32, LS_current!$B$4:$AY$138, LS_current!H$148, FALSE), VLOOKUP($A32, LS_current!$B$4:$AY$138,LS_current!AF$148, FALSE))/2)</f>
        <v>518.02300598501552</v>
      </c>
      <c r="CD32" s="192">
        <f t="array" ref="CD32">IF($BT32=0, INDEX(LS_current!$D$4:$AY$138, MATCH('Staging Table'!$A32, LS_current!$B$4:$B$138, 0), MATCH(CD$4&amp;CD$5, LS_current!$D$2:$AY$2&amp;LS_current!$D$3:$AY$3, 0)),SUM(VLOOKUP($A32, LS_current!$B$4:$AY$138, LS_current!I$148, FALSE), VLOOKUP($A32, LS_current!$B$4:$AY$138,LS_current!AG$148, FALSE))/2)</f>
        <v>5.8083255728624863</v>
      </c>
      <c r="CE32" s="192">
        <f t="array" ref="CE32">IF($BT32=0, INDEX(LS_current!$D$4:$AY$138, MATCH('Staging Table'!$A32, LS_current!$B$4:$B$138, 0), MATCH(CE$4&amp;CE$5, LS_current!$D$2:$AY$2&amp;LS_current!$D$3:$AY$3, 0)),SUM(VLOOKUP($A32, LS_current!$B$4:$AY$138, LS_current!J$148, FALSE), VLOOKUP($A32, LS_current!$B$4:$AY$138,LS_current!AH$148, FALSE))/2)</f>
        <v>1042.158207853774</v>
      </c>
      <c r="CF32" s="192">
        <f t="array" ref="CF32">IF($BT32=0, INDEX(LS_current!$D$4:$AY$138, MATCH('Staging Table'!$A32, LS_current!$B$4:$B$138, 0), MATCH(CF$4&amp;CF$5, LS_current!$D$2:$AY$2&amp;LS_current!$D$3:$AY$3, 0)),SUM(VLOOKUP($A32, LS_current!$B$4:$AY$138, LS_current!K$148, FALSE), VLOOKUP($A32, LS_current!$B$4:$AY$138,LS_current!AI$148, FALSE))/2)</f>
        <v>648.5189400938973</v>
      </c>
      <c r="CG32" s="192">
        <f t="array" ref="CG32">IF($BT32=0, INDEX(LS_current!$D$4:$AY$138, MATCH('Staging Table'!$A32, LS_current!$B$4:$B$138, 0), MATCH(CG$4&amp;CG$5, LS_current!$D$2:$AY$2&amp;LS_current!$D$3:$AY$3, 0)),SUM(VLOOKUP($A32, LS_current!$B$4:$AY$138, LS_current!L$148, FALSE), VLOOKUP($A32, LS_current!$B$4:$AY$138,LS_current!AJ$148, FALSE))/2)</f>
        <v>969.78578009840157</v>
      </c>
      <c r="CH32" s="192">
        <f t="array" ref="CH32">IF($BT32=0, INDEX(LS_current!$D$4:$AY$138, MATCH('Staging Table'!$A32, LS_current!$B$4:$B$138, 0), MATCH(CH$4&amp;CH$5, LS_current!$D$2:$AY$2&amp;LS_current!$D$3:$AY$3, 0)),SUM(VLOOKUP($A32, LS_current!$B$4:$AY$138, LS_current!M$148, FALSE), VLOOKUP($A32, LS_current!$B$4:$AY$138,LS_current!AK$148, FALSE))/2)</f>
        <v>377.24648471169553</v>
      </c>
      <c r="CI32" s="192">
        <f t="array" ref="CI32">IF($BT32=0, INDEX(LS_current!$D$4:$AY$138, MATCH('Staging Table'!$A32, LS_current!$B$4:$B$138, 0), MATCH(CI$4&amp;CI$5, LS_current!$D$2:$AY$2&amp;LS_current!$D$3:$AY$3, 0)),SUM(VLOOKUP($A32, LS_current!$B$4:$AY$138, LS_current!N$148, FALSE), VLOOKUP($A32, LS_current!$B$4:$AY$138,LS_current!AL$148, FALSE))/2)</f>
        <v>324.61090646436833</v>
      </c>
      <c r="CJ32" s="192">
        <f t="array" ref="CJ32">IF($BT32=0, INDEX(LS_current!$D$4:$AY$138, MATCH('Staging Table'!$A32, LS_current!$B$4:$B$138, 0), MATCH(CJ$4&amp;CJ$5, LS_current!$D$2:$AY$2&amp;LS_current!$D$3:$AY$3, 0)),SUM(VLOOKUP($A32, LS_current!$B$4:$AY$138, LS_current!O$148, FALSE), VLOOKUP($A32, LS_current!$B$4:$AY$138,LS_current!AM$148, FALSE))/2)</f>
        <v>118.3418234511264</v>
      </c>
      <c r="CK32" s="192">
        <f t="array" ref="CK32">IF($BT32=0, INDEX(LS_current!$D$4:$AY$138, MATCH('Staging Table'!$A32, LS_current!$B$4:$B$138, 0), MATCH(CK$4&amp;CK$5, LS_current!$D$2:$AY$2&amp;LS_current!$D$3:$AY$3, 0)),SUM(VLOOKUP($A32, LS_current!$B$4:$AY$138, LS_current!P$148, FALSE), VLOOKUP($A32, LS_current!$B$4:$AY$138,LS_current!AN$148, FALSE))/2)</f>
        <v>548.37779665028893</v>
      </c>
      <c r="CL32" s="192">
        <f t="array" ref="CL32">IF($BT32=0, INDEX(LS_current!$D$4:$AY$138, MATCH('Staging Table'!$A32, LS_current!$B$4:$B$138, 0), MATCH(CL$4&amp;CL$5, LS_current!$D$2:$AY$2&amp;LS_current!$D$3:$AY$3, 0)),SUM(VLOOKUP($A32, LS_current!$B$4:$AY$138, LS_current!Q$148, FALSE), VLOOKUP($A32, LS_current!$B$4:$AY$138,LS_current!AO$148, FALSE))/2)</f>
        <v>286.2355281243149</v>
      </c>
      <c r="CM32" s="192">
        <f t="array" ref="CM32">IF($BT32=0, INDEX(LS_current!$D$4:$AY$138, MATCH('Staging Table'!$A32, LS_current!$B$4:$B$138, 0), MATCH(CM$4&amp;CM$5, LS_current!$D$2:$AY$2&amp;LS_current!$D$3:$AY$3, 0)),SUM(VLOOKUP($A32, LS_current!$B$4:$AY$138, LS_current!R$148, FALSE), VLOOKUP($A32, LS_current!$B$4:$AY$138,LS_current!AP$148, FALSE))/2)</f>
        <v>-1253.9087321334832</v>
      </c>
      <c r="CN32" s="192">
        <f t="array" ref="CN32">IF($BT32=0, INDEX(LS_current!$D$4:$AY$138, MATCH('Staging Table'!$A32, LS_current!$B$4:$B$138, 0), MATCH(CN$4&amp;CN$5, LS_current!$D$2:$AY$2&amp;LS_current!$D$3:$AY$3, 0)),SUM(VLOOKUP($A32, LS_current!$B$4:$AY$138, LS_current!S$148, FALSE), VLOOKUP($A32, LS_current!$B$4:$AY$138,LS_current!AQ$148, FALSE))/2)</f>
        <v>-107.97432553430508</v>
      </c>
      <c r="CO32" s="192">
        <f t="array" ref="CO32">IF($BT32=0, INDEX(LS_current!$D$4:$AY$138, MATCH('Staging Table'!$A32, LS_current!$B$4:$B$138, 0), MATCH(CO$4&amp;CO$5, LS_current!$D$2:$AY$2&amp;LS_current!$D$3:$AY$3, 0)),SUM(VLOOKUP($A32, LS_current!$B$4:$AY$138, LS_current!T$148, FALSE), VLOOKUP($A32, LS_current!$B$4:$AY$138,LS_current!AR$148, FALSE))/2)</f>
        <v>-1755.6168785187465</v>
      </c>
      <c r="CP32" s="192">
        <f t="array" ref="CP32">IF($BT32=0, INDEX(LS_current!$D$4:$AY$138, MATCH('Staging Table'!$A32, LS_current!$B$4:$B$138, 0), MATCH(CP$4&amp;CP$5, LS_current!$D$2:$AY$2&amp;LS_current!$D$3:$AY$3, 0)),SUM(VLOOKUP($A32, LS_current!$B$4:$AY$138, LS_current!U$148, FALSE), VLOOKUP($A32, LS_current!$B$4:$AY$138,LS_current!AS$148, FALSE))/2)</f>
        <v>-284.3339511678023</v>
      </c>
      <c r="CQ32" s="192">
        <f t="array" ref="CQ32">IF($BT32=0, INDEX(LS_current!$D$4:$AY$138, MATCH('Staging Table'!$A32, LS_current!$B$4:$B$138, 0), MATCH(CQ$4&amp;CQ$5, LS_current!$D$2:$AY$2&amp;LS_current!$D$3:$AY$3, 0)),SUM(VLOOKUP($A32, LS_current!$B$4:$AY$138, LS_current!V$148, FALSE), VLOOKUP($A32, LS_current!$B$4:$AY$138,LS_current!AT$148, FALSE))/2)</f>
        <v>-1209.0635533880181</v>
      </c>
      <c r="CR32" s="192">
        <f t="array" ref="CR32">IF($BT32=0, INDEX(LS_current!$D$4:$AY$138, MATCH('Staging Table'!$A32, LS_current!$B$4:$B$138, 0), MATCH(CR$4&amp;CR$5, LS_current!$D$2:$AY$2&amp;LS_current!$D$3:$AY$3, 0)),SUM(VLOOKUP($A32, LS_current!$B$4:$AY$138, LS_current!W$148, FALSE), VLOOKUP($A32, LS_current!$B$4:$AY$138,LS_current!AU$148, FALSE))/2)</f>
        <v>-142.95911575407604</v>
      </c>
      <c r="CS32" s="192">
        <f t="array" ref="CS32">IF($BT32=0, INDEX(LS_current!$D$4:$AY$138, MATCH('Staging Table'!$A32, LS_current!$B$4:$B$138, 0), MATCH(CS$4&amp;CS$5, LS_current!$D$2:$AY$2&amp;LS_current!$D$3:$AY$3, 0)),SUM(VLOOKUP($A32, LS_current!$B$4:$AY$138, LS_current!X$148, FALSE), VLOOKUP($A32, LS_current!$B$4:$AY$138,LS_current!AV$148, FALSE))/2)</f>
        <v>-941.22492212247835</v>
      </c>
      <c r="CT32" s="192">
        <f t="array" ref="CT32">IF($BT32=0, INDEX(LS_current!$D$4:$AY$138, MATCH('Staging Table'!$A32, LS_current!$B$4:$B$138, 0), MATCH(CT$4&amp;CT$5, LS_current!$D$2:$AY$2&amp;LS_current!$D$3:$AY$3, 0)),SUM(VLOOKUP($A32, LS_current!$B$4:$AY$138, LS_current!Y$148, FALSE), VLOOKUP($A32, LS_current!$B$4:$AY$138,LS_current!AW$148, FALSE))/2)</f>
        <v>-219.9040791183902</v>
      </c>
      <c r="CU32" s="192">
        <f t="array" ref="CU32">IF($BT32=0, INDEX(LS_current!$D$4:$AY$138, MATCH('Staging Table'!$A32, LS_current!$B$4:$B$138, 0), MATCH(CU$4&amp;CU$5, LS_current!$D$2:$AY$2&amp;LS_current!$D$3:$AY$3, 0)),SUM(VLOOKUP($A32, LS_current!$B$4:$AY$138, LS_current!Z$148, FALSE), VLOOKUP($A32, LS_current!$B$4:$AY$138,LS_current!AX$148, FALSE))/2)</f>
        <v>-775.19819766606133</v>
      </c>
      <c r="CV32" s="192">
        <f t="array" ref="CV32">IF($BT32=0, INDEX(LS_current!$D$4:$AY$138, MATCH('Staging Table'!$A32, LS_current!$B$4:$B$138, 0), MATCH(CV$4&amp;CV$5, LS_current!$D$2:$AY$2&amp;LS_current!$D$3:$AY$3, 0)),SUM(VLOOKUP($A32, LS_current!$B$4:$AY$138, LS_current!AA$148, FALSE), VLOOKUP($A32, LS_current!$B$4:$AY$138,LS_current!AY$148, FALSE))/2)</f>
        <v>-289.34190033575487</v>
      </c>
      <c r="CW32" s="194">
        <f t="array" ref="CW32">INDEX(Demand_current!$D$4:$AY$138, MATCH($A32, Demand_current!$B$4:$B$138, 0), MATCH(CW$4&amp;CW$5,Demand_current!$D$2:$AY$2&amp;Demand_current!$D$3:$AY$3, 0))/1000</f>
        <v>0</v>
      </c>
      <c r="CX32" s="194">
        <f t="array" ref="CX32">INDEX(Demand_current!$D$4:$AY$138, MATCH($A32, Demand_current!$B$4:$B$138, 0), MATCH(CX$4&amp;CX$5,Demand_current!$D$2:$AY$2&amp;Demand_current!$D$3:$AY$3, 0))/1000</f>
        <v>0</v>
      </c>
      <c r="CY32" s="194">
        <f t="array" ref="CY32">INDEX(Demand_current!$D$4:$AY$138, MATCH($A32, Demand_current!$B$4:$B$138, 0), MATCH(CY$4&amp;CY$5,Demand_current!$D$2:$AY$2&amp;Demand_current!$D$3:$AY$3, 0))/1000</f>
        <v>1.5964639423076907</v>
      </c>
      <c r="CZ32" s="194">
        <f t="array" ref="CZ32">INDEX(Demand_current!$D$4:$AY$138, MATCH($A32, Demand_current!$B$4:$B$138, 0), MATCH(CZ$4&amp;CZ$5,Demand_current!$D$2:$AY$2&amp;Demand_current!$D$3:$AY$3, 0))/1000</f>
        <v>1.4066825000000001</v>
      </c>
      <c r="DA32" s="194">
        <f t="array" ref="DA32">INDEX(Demand_current!$D$4:$AY$138, MATCH($A32, Demand_current!$B$4:$B$138, 0), MATCH(DA$4&amp;DA$5,Demand_current!$D$2:$AY$2&amp;Demand_current!$D$3:$AY$3, 0))/1000</f>
        <v>0.5538984375000009</v>
      </c>
      <c r="DB32" s="194">
        <f t="array" ref="DB32">INDEX(Demand_current!$D$4:$AY$138, MATCH($A32, Demand_current!$B$4:$B$138, 0), MATCH(DB$4&amp;DB$5,Demand_current!$D$2:$AY$2&amp;Demand_current!$D$3:$AY$3, 0))/1000</f>
        <v>0.19932407407407315</v>
      </c>
      <c r="DC32" s="194">
        <f t="array" ref="DC32">INDEX(Demand_current!$D$4:$AY$138, MATCH($A32, Demand_current!$B$4:$B$138, 0), MATCH(DC$4&amp;DC$5,Demand_current!$D$2:$AY$2&amp;Demand_current!$D$3:$AY$3, 0))/1000</f>
        <v>0.57130288461538492</v>
      </c>
      <c r="DD32" s="194">
        <f t="array" ref="DD32">INDEX(Demand_current!$D$4:$AY$138, MATCH($A32, Demand_current!$B$4:$B$138, 0), MATCH(DD$4&amp;DD$5,Demand_current!$D$2:$AY$2&amp;Demand_current!$D$3:$AY$3, 0))/1000</f>
        <v>1.0846950000000004</v>
      </c>
      <c r="DE32" s="194">
        <f t="array" ref="DE32">INDEX(Demand_current!$D$4:$AY$138, MATCH($A32, Demand_current!$B$4:$B$138, 0), MATCH(DE$4&amp;DE$5,Demand_current!$D$2:$AY$2&amp;Demand_current!$D$3:$AY$3, 0))/1000</f>
        <v>1.8651490384615377</v>
      </c>
      <c r="DF32" s="194">
        <f t="array" ref="DF32">INDEX(Demand_current!$D$4:$AY$138, MATCH($A32, Demand_current!$B$4:$B$138, 0), MATCH(DF$4&amp;DF$5,Demand_current!$D$2:$AY$2&amp;Demand_current!$D$3:$AY$3, 0))/1000</f>
        <v>1.5740649999999998</v>
      </c>
      <c r="DG32" s="194">
        <f t="array" ref="DG32">INDEX(Demand_current!$D$4:$AY$138, MATCH($A32, Demand_current!$B$4:$B$138, 0), MATCH(DG$4&amp;DG$5,Demand_current!$D$2:$AY$2&amp;Demand_current!$D$3:$AY$3, 0))/1000</f>
        <v>1.8490300925925931</v>
      </c>
      <c r="DH32" s="194">
        <f t="array" ref="DH32">INDEX(Demand_current!$D$4:$AY$138, MATCH($A32, Demand_current!$B$4:$B$138, 0), MATCH(DH$4&amp;DH$5,Demand_current!$D$2:$AY$2&amp;Demand_current!$D$3:$AY$3, 0))/1000</f>
        <v>1.1527974999999997</v>
      </c>
      <c r="DI32" s="192">
        <f>$BS32*(VLOOKUP(DI$4, Rates_current!$G$6:$Q$29, 10, FALSE)+VLOOKUP(DI$4, Rates_current!$G$6:$Q$29, 11, FALSE))</f>
        <v>4637.7166301050393</v>
      </c>
      <c r="DJ32" s="192">
        <f>$BS32*(VLOOKUP(DJ$4, Rates_current!$G$6:$Q$29, 10, FALSE)+VLOOKUP(DJ$4, Rates_current!$G$6:$Q$29, 11, FALSE))</f>
        <v>5871.5175680320681</v>
      </c>
      <c r="DK32" s="192">
        <f>$BS32*(VLOOKUP(DK$4, Rates_current!$G$6:$Q$29, 10, FALSE)+VLOOKUP(DK$4, Rates_current!$G$6:$Q$29, 11, FALSE))</f>
        <v>5747.0426684421227</v>
      </c>
      <c r="DL32" s="192">
        <f>$BS32*(VLOOKUP(DL$4, Rates_current!$G$6:$Q$29, 10, FALSE)+VLOOKUP(DL$4, Rates_current!$G$6:$Q$29, 11, FALSE))</f>
        <v>4746.8128520523287</v>
      </c>
      <c r="DM32" s="192">
        <f>$BS32*(VLOOKUP(DM$4, Rates_current!$G$6:$Q$29, 10, FALSE)+VLOOKUP(DM$4, Rates_current!$G$6:$Q$29, 11, FALSE))</f>
        <v>4114.1667351899032</v>
      </c>
      <c r="DN32" s="192">
        <f>$BS32*(VLOOKUP(DN$4, Rates_current!$G$6:$Q$29, 10, FALSE)+VLOOKUP(DN$4, Rates_current!$G$6:$Q$29, 11, FALSE))</f>
        <v>4911.4842700845056</v>
      </c>
      <c r="DO32" s="192">
        <f>$BS32*(VLOOKUP(DO$4, Rates_current!$G$6:$Q$29, 10, FALSE)+VLOOKUP(DO$4, Rates_current!$G$6:$Q$29, 11, FALSE))</f>
        <v>3813.1136752253965</v>
      </c>
      <c r="DP32" s="192">
        <f>$BS32*(VLOOKUP(DP$4, Rates_current!$G$6:$Q$29, 10, FALSE)+VLOOKUP(DP$4, Rates_current!$G$6:$Q$29, 11, FALSE))</f>
        <v>5283.0970576677882</v>
      </c>
      <c r="DQ32" s="192">
        <f>$BS32*(VLOOKUP(DQ$4, Rates_current!$G$6:$Q$29, 10, FALSE)+VLOOKUP(DQ$4, Rates_current!$G$6:$Q$29, 11, FALSE))</f>
        <v>5645.0998296865482</v>
      </c>
      <c r="DR32" s="192">
        <f>$BS32*(VLOOKUP(DR$4, Rates_current!$G$6:$Q$29, 10, FALSE)+VLOOKUP(DR$4, Rates_current!$G$6:$Q$29, 11, FALSE))</f>
        <v>5359.7666691420945</v>
      </c>
      <c r="DS32" s="192">
        <f>$BS32*(VLOOKUP(DS$4, Rates_current!$G$6:$Q$29, 10, FALSE)+VLOOKUP(DS$4, Rates_current!$G$6:$Q$29, 11, FALSE))</f>
        <v>5179.8010012408686</v>
      </c>
      <c r="DT32" s="192">
        <f>$BS32*(VLOOKUP(DT$4, Rates_current!$G$6:$Q$29, 10, FALSE)+VLOOKUP(DT$4, Rates_current!$G$6:$Q$29, 11, FALSE))</f>
        <v>4786.6760980018162</v>
      </c>
      <c r="DU32" s="418">
        <f>IF(D32=0,IF(C32=0,MAX(0,DW32 - (VLOOKUP($A32,TOCA_current!$A$2:$AI$137,MATCH("RHWM 2022",TOCA_current!$A$2:$AI$2,0),FALSE)*$BS$2)), 0),0)</f>
        <v>0</v>
      </c>
      <c r="DV32" s="419">
        <f>MIN(VLOOKUP($A32,TOCA_current!$A$2:$AI$137,MATCH("TRL - NLSL - Existing Resource "&amp;$BS$1,TOCA_current!$A$2:$AI$2,0),FALSE)*$BS$2, VLOOKUP($A32,TOCA_current!$A$2:$AI$137,MATCH("RHWM 2022",TOCA_current!$A$2:$AI$2,0),FALSE)*$BS$2)</f>
        <v>60093.600000000006</v>
      </c>
      <c r="DW32" s="419">
        <f>SUM(BY32:CV32)+(BS32*RT1SC!$C$4*$BS$2)</f>
        <v>57819.946074185529</v>
      </c>
      <c r="DX32" s="419">
        <f>VLOOKUP($A32,TOCA_current!$A$2:$AI$137,MATCH("Above RHWM Not Served with LS "&amp;$BS$1,TOCA_current!$A$2:$AI$2,0),FALSE)*$BS$2</f>
        <v>0</v>
      </c>
      <c r="DY32" s="419">
        <f t="shared" si="13"/>
        <v>-2273.6539258144767</v>
      </c>
      <c r="DZ32" s="419">
        <f>(VLOOKUP($A32,TOCA_current!$A$2:$AI$137,MATCH("RHWM 2022",TOCA_current!$A$2:$AI$2,0),FALSE)*$BS$2) - $DV32</f>
        <v>2049.8399999999965</v>
      </c>
      <c r="EA32" s="419">
        <f t="shared" si="14"/>
        <v>0</v>
      </c>
      <c r="EB32" s="419">
        <f t="shared" si="15"/>
        <v>2273.6539258144767</v>
      </c>
      <c r="EC32" s="419">
        <f t="shared" si="16"/>
        <v>0</v>
      </c>
      <c r="ED32" s="419">
        <f t="shared" si="17"/>
        <v>2273.6539258144767</v>
      </c>
    </row>
    <row r="33" spans="1:134">
      <c r="A33" s="135">
        <v>10081</v>
      </c>
      <c r="B33" s="136" t="s">
        <v>34</v>
      </c>
      <c r="C33" s="244">
        <f>VLOOKUP(A33, TOCA_current!$A$3:$D$137, 4, FALSE)</f>
        <v>0</v>
      </c>
      <c r="D33" s="203">
        <v>0</v>
      </c>
      <c r="E33" s="119">
        <f>VLOOKUP($A33,TOCA_previous!$A$2:$AI$137,MATCH(E$4,TOCA_previous!$A$2:$AI$2,0),FALSE)</f>
        <v>1.4805E-3</v>
      </c>
      <c r="F33" s="120">
        <f>VLOOKUP($A33,TOCA_previous!$A$2:$AI$137,MATCH(F$4,TOCA_previous!$A$2:$AI$2,0),FALSE)</f>
        <v>1.4805E-3</v>
      </c>
      <c r="G33" s="120">
        <f t="shared" si="5"/>
        <v>0</v>
      </c>
      <c r="H33" s="120">
        <f>VLOOKUP($A33,TOCA_previous!$A$2:$AI$137,MATCH(H$4,TOCA_previous!$A$2:$AI$2,0),FALSE)</f>
        <v>0</v>
      </c>
      <c r="I33" s="120">
        <f t="shared" si="6"/>
        <v>0</v>
      </c>
      <c r="J33" s="120">
        <f t="shared" si="7"/>
        <v>0</v>
      </c>
      <c r="K33" s="191">
        <f>VLOOKUP(A33, IRD!$A$5:$C$139, 3, FALSE)</f>
        <v>0</v>
      </c>
      <c r="L33" s="192">
        <f t="array" ref="L33">IF($G33=0, INDEX(LS_previous!$D$4:$AY$138, MATCH('Staging Table'!$A33, LS_previous!$B$4:$B$138, 0), MATCH(L$4&amp;L$5, LS_previous!$D$2:$AY$2&amp;LS_previous!$D$3:$AY$3, 0)),SUM(VLOOKUP($A33, LS_previous!$B$4:$AY$138, LS_previous!D$149, FALSE), VLOOKUP('Staging Table'!$A33, LS_previous!$B$4:$AY$138,LS_previous!AB$149, FALSE))/2)</f>
        <v>-989.1713069339994</v>
      </c>
      <c r="M33" s="192">
        <f t="array" ref="M33">IF($G33=0, INDEX(LS_previous!$D$4:$AY$138, MATCH('Staging Table'!$A33, LS_previous!$B$4:$B$138, 0), MATCH(M$4&amp;M$5, LS_previous!$D$2:$AY$2&amp;LS_previous!$D$3:$AY$3, 0)),SUM(VLOOKUP($A33, LS_previous!$B$4:$AY$138, LS_previous!E$149, FALSE), VLOOKUP('Staging Table'!$A33, LS_previous!$B$4:$AY$138,LS_previous!AC$149, FALSE))/2)</f>
        <v>-403.39780174399993</v>
      </c>
      <c r="N33" s="192">
        <f t="array" ref="N33">IF($G33=0, INDEX(LS_previous!$D$4:$AY$138, MATCH('Staging Table'!$A33, LS_previous!$B$4:$B$138, 0), MATCH(N$4&amp;N$5, LS_previous!$D$2:$AY$2&amp;LS_previous!$D$3:$AY$3, 0)),SUM(VLOOKUP($A33, LS_previous!$B$4:$AY$138, LS_previous!F$149, FALSE), VLOOKUP('Staging Table'!$A33, LS_previous!$B$4:$AY$138,LS_previous!AD$149, FALSE))/2)</f>
        <v>-1275.2466252040003</v>
      </c>
      <c r="O33" s="192">
        <f t="array" ref="O33">IF($G33=0, INDEX(LS_previous!$D$4:$AY$138, MATCH('Staging Table'!$A33, LS_previous!$B$4:$B$138, 0), MATCH(O$4&amp;O$5, LS_previous!$D$2:$AY$2&amp;LS_previous!$D$3:$AY$3, 0)),SUM(VLOOKUP($A33, LS_previous!$B$4:$AY$138, LS_previous!G$149, FALSE), VLOOKUP('Staging Table'!$A33, LS_previous!$B$4:$AY$138,LS_previous!AE$149, FALSE))/2)</f>
        <v>-616.38028513550034</v>
      </c>
      <c r="P33" s="192">
        <f t="array" ref="P33">IF($G33=0, INDEX(LS_previous!$D$4:$AY$138, MATCH('Staging Table'!$A33, LS_previous!$B$4:$B$138, 0), MATCH(P$4&amp;P$5, LS_previous!$D$2:$AY$2&amp;LS_previous!$D$3:$AY$3, 0)),SUM(VLOOKUP($A33, LS_previous!$B$4:$AY$138, LS_previous!H$149, FALSE), VLOOKUP('Staging Table'!$A33, LS_previous!$B$4:$AY$138,LS_previous!AF$149, FALSE))/2)</f>
        <v>564.47389710399875</v>
      </c>
      <c r="Q33" s="192">
        <f t="array" ref="Q33">IF($G33=0, INDEX(LS_previous!$D$4:$AY$138, MATCH('Staging Table'!$A33, LS_previous!$B$4:$B$138, 0), MATCH(Q$4&amp;Q$5, LS_previous!$D$2:$AY$2&amp;LS_previous!$D$3:$AY$3, 0)),SUM(VLOOKUP($A33, LS_previous!$B$4:$AY$138, LS_previous!I$149, FALSE), VLOOKUP('Staging Table'!$A33, LS_previous!$B$4:$AY$138,LS_previous!AG$149, FALSE))/2)</f>
        <v>558.6195127179999</v>
      </c>
      <c r="R33" s="192">
        <f t="array" ref="R33">IF($G33=0, INDEX(LS_previous!$D$4:$AY$138, MATCH('Staging Table'!$A33, LS_previous!$B$4:$B$138, 0), MATCH(R$4&amp;R$5, LS_previous!$D$2:$AY$2&amp;LS_previous!$D$3:$AY$3, 0)),SUM(VLOOKUP($A33, LS_previous!$B$4:$AY$138, LS_previous!J$149, FALSE), VLOOKUP('Staging Table'!$A33, LS_previous!$B$4:$AY$138,LS_previous!AH$149, FALSE))/2)</f>
        <v>1048.2978151039997</v>
      </c>
      <c r="S33" s="192">
        <f t="array" ref="S33">IF($G33=0, INDEX(LS_previous!$D$4:$AY$138, MATCH('Staging Table'!$A33, LS_previous!$B$4:$B$138, 0), MATCH(S$4&amp;S$5, LS_previous!$D$2:$AY$2&amp;LS_previous!$D$3:$AY$3, 0)),SUM(VLOOKUP($A33, LS_previous!$B$4:$AY$138, LS_previous!K$149, FALSE), VLOOKUP('Staging Table'!$A33, LS_previous!$B$4:$AY$138,LS_previous!AI$149, FALSE))/2)</f>
        <v>1375.1338587180003</v>
      </c>
      <c r="T33" s="192">
        <f t="array" ref="T33">IF($G33=0, INDEX(LS_previous!$D$4:$AY$138, MATCH('Staging Table'!$A33, LS_previous!$B$4:$B$138, 0), MATCH(T$4&amp;T$5, LS_previous!$D$2:$AY$2&amp;LS_previous!$D$3:$AY$3, 0)),SUM(VLOOKUP($A33, LS_previous!$B$4:$AY$138, LS_previous!L$149, FALSE), VLOOKUP('Staging Table'!$A33, LS_previous!$B$4:$AY$138,LS_previous!AJ$149, FALSE))/2)</f>
        <v>325.97995791799985</v>
      </c>
      <c r="U33" s="192">
        <f t="array" ref="U33">IF($G33=0, INDEX(LS_previous!$D$4:$AY$138, MATCH('Staging Table'!$A33, LS_previous!$B$4:$B$138, 0), MATCH(U$4&amp;U$5, LS_previous!$D$2:$AY$2&amp;LS_previous!$D$3:$AY$3, 0)),SUM(VLOOKUP($A33, LS_previous!$B$4:$AY$138, LS_previous!M$149, FALSE), VLOOKUP('Staging Table'!$A33, LS_previous!$B$4:$AY$138,LS_previous!AK$149, FALSE))/2)</f>
        <v>385.68136968199997</v>
      </c>
      <c r="V33" s="192">
        <f t="array" ref="V33">IF($G33=0, INDEX(LS_previous!$D$4:$AY$138, MATCH('Staging Table'!$A33, LS_previous!$B$4:$B$138, 0), MATCH(V$4&amp;V$5, LS_previous!$D$2:$AY$2&amp;LS_previous!$D$3:$AY$3, 0)),SUM(VLOOKUP($A33, LS_previous!$B$4:$AY$138, LS_previous!N$149, FALSE), VLOOKUP('Staging Table'!$A33, LS_previous!$B$4:$AY$138,LS_previous!AL$149, FALSE))/2)</f>
        <v>-150.70914458799962</v>
      </c>
      <c r="W33" s="192">
        <f t="array" ref="W33">IF($G33=0, INDEX(LS_previous!$D$4:$AY$138, MATCH('Staging Table'!$A33, LS_previous!$B$4:$B$138, 0), MATCH(W$4&amp;W$5, LS_previous!$D$2:$AY$2&amp;LS_previous!$D$3:$AY$3, 0)),SUM(VLOOKUP($A33, LS_previous!$B$4:$AY$138, LS_previous!O$149, FALSE), VLOOKUP('Staging Table'!$A33, LS_previous!$B$4:$AY$138,LS_previous!AM$149, FALSE))/2)</f>
        <v>11.095219859500048</v>
      </c>
      <c r="X33" s="192">
        <f t="array" ref="X33">IF($G33=0, INDEX(LS_previous!$D$4:$AY$138, MATCH('Staging Table'!$A33, LS_previous!$B$4:$B$138, 0), MATCH(X$4&amp;X$5, LS_previous!$D$2:$AY$2&amp;LS_previous!$D$3:$AY$3, 0)),SUM(VLOOKUP($A33, LS_previous!$B$4:$AY$138, LS_previous!P$149, FALSE), VLOOKUP('Staging Table'!$A33, LS_previous!$B$4:$AY$138,LS_previous!AN$149, FALSE))/2)</f>
        <v>252.11278650799977</v>
      </c>
      <c r="Y33" s="192">
        <f t="array" ref="Y33">IF($G33=0, INDEX(LS_previous!$D$4:$AY$138, MATCH('Staging Table'!$A33, LS_previous!$B$4:$B$138, 0), MATCH(Y$4&amp;Y$5, LS_previous!$D$2:$AY$2&amp;LS_previous!$D$3:$AY$3, 0)),SUM(VLOOKUP($A33, LS_previous!$B$4:$AY$138, LS_previous!Q$149, FALSE), VLOOKUP('Staging Table'!$A33, LS_previous!$B$4:$AY$138,LS_previous!AO$149, FALSE))/2)</f>
        <v>32.286673851999694</v>
      </c>
      <c r="Z33" s="192">
        <f t="array" ref="Z33">IF($G33=0, INDEX(LS_previous!$D$4:$AY$138, MATCH('Staging Table'!$A33, LS_previous!$B$4:$B$138, 0), MATCH(Z$4&amp;Z$5, LS_previous!$D$2:$AY$2&amp;LS_previous!$D$3:$AY$3, 0)),SUM(VLOOKUP($A33, LS_previous!$B$4:$AY$138, LS_previous!R$149, FALSE), VLOOKUP('Staging Table'!$A33, LS_previous!$B$4:$AY$138,LS_previous!AP$149, FALSE))/2)</f>
        <v>-1995.2289515499997</v>
      </c>
      <c r="AA33" s="192">
        <f t="array" ref="AA33">IF($G33=0, INDEX(LS_previous!$D$4:$AY$138, MATCH('Staging Table'!$A33, LS_previous!$B$4:$B$138, 0), MATCH(AA$4&amp;AA$5, LS_previous!$D$2:$AY$2&amp;LS_previous!$D$3:$AY$3, 0)),SUM(VLOOKUP($A33, LS_previous!$B$4:$AY$138, LS_previous!S$149, FALSE), VLOOKUP('Staging Table'!$A33, LS_previous!$B$4:$AY$138,LS_previous!AQ$149, FALSE))/2)</f>
        <v>-956.77883737799993</v>
      </c>
      <c r="AB33" s="192">
        <f t="array" ref="AB33">IF($G33=0, INDEX(LS_previous!$D$4:$AY$138, MATCH('Staging Table'!$A33, LS_previous!$B$4:$B$138, 0), MATCH(AB$4&amp;AB$5, LS_previous!$D$2:$AY$2&amp;LS_previous!$D$3:$AY$3, 0)),SUM(VLOOKUP($A33, LS_previous!$B$4:$AY$138, LS_previous!T$149, FALSE), VLOOKUP('Staging Table'!$A33, LS_previous!$B$4:$AY$138,LS_previous!AR$149, FALSE))/2)</f>
        <v>-3431.4010052419999</v>
      </c>
      <c r="AC33" s="192">
        <f t="array" ref="AC33">IF($G33=0, INDEX(LS_previous!$D$4:$AY$138, MATCH('Staging Table'!$A33, LS_previous!$B$4:$B$138, 0), MATCH(AC$4&amp;AC$5, LS_previous!$D$2:$AY$2&amp;LS_previous!$D$3:$AY$3, 0)),SUM(VLOOKUP($A33, LS_previous!$B$4:$AY$138, LS_previous!U$149, FALSE), VLOOKUP('Staging Table'!$A33, LS_previous!$B$4:$AY$138,LS_previous!AS$149, FALSE))/2)</f>
        <v>-2254.4777491480004</v>
      </c>
      <c r="AD33" s="192">
        <f t="array" ref="AD33">IF($G33=0, INDEX(LS_previous!$D$4:$AY$138, MATCH('Staging Table'!$A33, LS_previous!$B$4:$B$138, 0), MATCH(AD$4&amp;AD$5, LS_previous!$D$2:$AY$2&amp;LS_previous!$D$3:$AY$3, 0)),SUM(VLOOKUP($A33, LS_previous!$B$4:$AY$138, LS_previous!V$149, FALSE), VLOOKUP('Staging Table'!$A33, LS_previous!$B$4:$AY$138,LS_previous!AT$149, FALSE))/2)</f>
        <v>-1267.6977577419993</v>
      </c>
      <c r="AE33" s="192">
        <f t="array" ref="AE33">IF($G33=0, INDEX(LS_previous!$D$4:$AY$138, MATCH('Staging Table'!$A33, LS_previous!$B$4:$B$138, 0), MATCH(AE$4&amp;AE$5, LS_previous!$D$2:$AY$2&amp;LS_previous!$D$3:$AY$3, 0)),SUM(VLOOKUP($A33, LS_previous!$B$4:$AY$138, LS_previous!W$149, FALSE), VLOOKUP('Staging Table'!$A33, LS_previous!$B$4:$AY$138,LS_previous!AU$149, FALSE))/2)</f>
        <v>-183.14860293599986</v>
      </c>
      <c r="AF33" s="192">
        <f t="array" ref="AF33">IF($G33=0, INDEX(LS_previous!$D$4:$AY$138, MATCH('Staging Table'!$A33, LS_previous!$B$4:$B$138, 0), MATCH(AF$4&amp;AF$5, LS_previous!$D$2:$AY$2&amp;LS_previous!$D$3:$AY$3, 0)),SUM(VLOOKUP($A33, LS_previous!$B$4:$AY$138, LS_previous!X$149, FALSE), VLOOKUP('Staging Table'!$A33, LS_previous!$B$4:$AY$138,LS_previous!AV$149, FALSE))/2)</f>
        <v>-800.91374249199998</v>
      </c>
      <c r="AG33" s="192">
        <f t="array" ref="AG33">IF($G33=0, INDEX(LS_previous!$D$4:$AY$138, MATCH('Staging Table'!$A33, LS_previous!$B$4:$B$138, 0), MATCH(AG$4&amp;AG$5, LS_previous!$D$2:$AY$2&amp;LS_previous!$D$3:$AY$3, 0)),SUM(VLOOKUP($A33, LS_previous!$B$4:$AY$138, LS_previous!Y$149, FALSE), VLOOKUP('Staging Table'!$A33, LS_previous!$B$4:$AY$138,LS_previous!AW$149, FALSE))/2)</f>
        <v>-460.97324293600013</v>
      </c>
      <c r="AH33" s="192">
        <f t="array" ref="AH33">IF($G33=0, INDEX(LS_previous!$D$4:$AY$138, MATCH('Staging Table'!$A33, LS_previous!$B$4:$B$138, 0), MATCH(AH$4&amp;AH$5, LS_previous!$D$2:$AY$2&amp;LS_previous!$D$3:$AY$3, 0)),SUM(VLOOKUP($A33, LS_previous!$B$4:$AY$138, LS_previous!Z$149, FALSE), VLOOKUP('Staging Table'!$A33, LS_previous!$B$4:$AY$138,LS_previous!AX$149, FALSE))/2)</f>
        <v>-812.26838080000016</v>
      </c>
      <c r="AI33" s="192">
        <f t="array" ref="AI33">IF($G33=0, INDEX(LS_previous!$D$4:$AY$138, MATCH('Staging Table'!$A33, LS_previous!$B$4:$B$138, 0), MATCH(AI$4&amp;AI$5, LS_previous!$D$2:$AY$2&amp;LS_previous!$D$3:$AY$3, 0)),SUM(VLOOKUP($A33, LS_previous!$B$4:$AY$138, LS_previous!AA$149, FALSE), VLOOKUP('Staging Table'!$A33, LS_previous!$B$4:$AY$138,LS_previous!AY$149, FALSE))/2)</f>
        <v>-505.82672933999993</v>
      </c>
      <c r="AJ33" s="314">
        <f t="array" ref="AJ33">INDEX(Demand_previous!$D$4:$AY$138, MATCH('Staging Table'!$A33, Demand_previous!$B$4:$B$138, 0), MATCH(AJ$4&amp;AJ$5,Demand_previous!$D$2:$AY$2&amp;Demand_previous!$D$3:$AY$3, 0))/1000</f>
        <v>0.14348611111110987</v>
      </c>
      <c r="AK33" s="314">
        <f t="array" ref="AK33">INDEX(Demand_previous!$D$4:$AY$138, MATCH('Staging Table'!$A33, Demand_previous!$B$4:$B$138, 0), MATCH(AK$4&amp;AK$5,Demand_previous!$D$2:$AY$2&amp;Demand_previous!$D$3:$AY$3, 0))/1000</f>
        <v>0</v>
      </c>
      <c r="AL33" s="314">
        <f t="array" ref="AL33">INDEX(Demand_previous!$D$4:$AY$138, MATCH('Staging Table'!$A33, Demand_previous!$B$4:$B$138, 0), MATCH(AL$4&amp;AL$5,Demand_previous!$D$2:$AY$2&amp;Demand_previous!$D$3:$AY$3, 0))/1000</f>
        <v>2.6900274999999998</v>
      </c>
      <c r="AM33" s="314">
        <f t="array" ref="AM33">INDEX(Demand_previous!$D$4:$AY$138, MATCH('Staging Table'!$A33, Demand_previous!$B$4:$B$138, 0), MATCH(AM$4&amp;AM$5,Demand_previous!$D$2:$AY$2&amp;Demand_previous!$D$3:$AY$3, 0))/1000</f>
        <v>1.3264735576923057</v>
      </c>
      <c r="AN33" s="314">
        <f t="array" ref="AN33">INDEX(Demand_previous!$D$4:$AY$138, MATCH('Staging Table'!$A33, Demand_previous!$B$4:$B$138, 0), MATCH(AN$4&amp;AN$5,Demand_previous!$D$2:$AY$2&amp;Demand_previous!$D$3:$AY$3, 0))/1000</f>
        <v>1.4298899999999994</v>
      </c>
      <c r="AO33" s="314">
        <f t="array" ref="AO33">INDEX(Demand_previous!$D$4:$AY$138, MATCH('Staging Table'!$A33, Demand_previous!$B$4:$B$138, 0), MATCH(AO$4&amp;AO$5,Demand_previous!$D$2:$AY$2&amp;Demand_previous!$D$3:$AY$3, 0))/1000</f>
        <v>1.6101995192307692</v>
      </c>
      <c r="AP33" s="314">
        <f t="array" ref="AP33">INDEX(Demand_previous!$D$4:$AY$138, MATCH('Staging Table'!$A33, Demand_previous!$B$4:$B$138, 0), MATCH(AP$4&amp;AP$5,Demand_previous!$D$2:$AY$2&amp;Demand_previous!$D$3:$AY$3, 0))/1000</f>
        <v>1.4701899038461539</v>
      </c>
      <c r="AQ33" s="314">
        <f t="array" ref="AQ33">INDEX(Demand_previous!$D$4:$AY$138, MATCH('Staging Table'!$A33, Demand_previous!$B$4:$B$138, 0), MATCH(AQ$4&amp;AQ$5,Demand_previous!$D$2:$AY$2&amp;Demand_previous!$D$3:$AY$3, 0))/1000</f>
        <v>0</v>
      </c>
      <c r="AR33" s="314">
        <f t="array" ref="AR33">INDEX(Demand_previous!$D$4:$AY$138, MATCH('Staging Table'!$A33, Demand_previous!$B$4:$B$138, 0), MATCH(AR$4&amp;AR$5,Demand_previous!$D$2:$AY$2&amp;Demand_previous!$D$3:$AY$3, 0))/1000</f>
        <v>3.2345192307692301</v>
      </c>
      <c r="AS33" s="314">
        <f t="array" ref="AS33">INDEX(Demand_previous!$D$4:$AY$138, MATCH('Staging Table'!$A33, Demand_previous!$B$4:$B$138, 0), MATCH(AS$4&amp;AS$5,Demand_previous!$D$2:$AY$2&amp;Demand_previous!$D$3:$AY$3, 0))/1000</f>
        <v>2.6590625000000001</v>
      </c>
      <c r="AT33" s="314">
        <f t="array" ref="AT33">INDEX(Demand_previous!$D$4:$AY$138, MATCH('Staging Table'!$A33, Demand_previous!$B$4:$B$138, 0), MATCH(AT$4&amp;AT$5,Demand_previous!$D$2:$AY$2&amp;Demand_previous!$D$3:$AY$3, 0))/1000</f>
        <v>1.477963942307694</v>
      </c>
      <c r="AU33" s="314">
        <f t="array" ref="AU33">INDEX(Demand_previous!$D$4:$AY$138, MATCH('Staging Table'!$A33, Demand_previous!$B$4:$B$138, 0), MATCH(AU$4&amp;AU$5,Demand_previous!$D$2:$AY$2&amp;Demand_previous!$D$3:$AY$3, 0))/1000</f>
        <v>0.87740249999999964</v>
      </c>
      <c r="AV33" s="192">
        <f>$F33*(VLOOKUP(AV$4, Rates_previous!$G$6:$Q$29, 10, FALSE)+VLOOKUP(AV$4, Rates_previous!$G$6:$Q$29, 11, FALSE))</f>
        <v>6835.9381086779995</v>
      </c>
      <c r="AW33" s="192">
        <f>$F33*(VLOOKUP(AW$4, Rates_previous!$G$6:$Q$29, 10, FALSE)+VLOOKUP(AW$4, Rates_previous!$G$6:$Q$29, 11, FALSE))</f>
        <v>8683.7739103394997</v>
      </c>
      <c r="AX33" s="192">
        <f>$F33*(VLOOKUP(AX$4, Rates_previous!$G$6:$Q$29, 10, FALSE)+VLOOKUP(AX$4, Rates_previous!$G$6:$Q$29, 11, FALSE))</f>
        <v>8578.9055901780011</v>
      </c>
      <c r="AY33" s="192">
        <f>$F33*(VLOOKUP(AY$4, Rates_previous!$G$6:$Q$29, 10, FALSE)+VLOOKUP(AY$4, Rates_previous!$G$6:$Q$29, 11, FALSE))</f>
        <v>7151.0403261780011</v>
      </c>
      <c r="AZ33" s="192">
        <f>$F33*(VLOOKUP(AZ$4, Rates_previous!$G$6:$Q$29, 10, FALSE)+VLOOKUP(AZ$4, Rates_previous!$G$6:$Q$29, 11, FALSE))</f>
        <v>6478.1006723999999</v>
      </c>
      <c r="BA33" s="192">
        <f>$F33*(VLOOKUP(BA$4, Rates_previous!$G$6:$Q$29, 10, FALSE)+VLOOKUP(BA$4, Rates_previous!$G$6:$Q$29, 11, FALSE))</f>
        <v>7205.7059247284997</v>
      </c>
      <c r="BB33" s="192">
        <f>$F33*(VLOOKUP(BB$4, Rates_previous!$G$6:$Q$29, 10, FALSE)+VLOOKUP(BB$4, Rates_previous!$G$6:$Q$29, 11, FALSE))</f>
        <v>5866.8935396400002</v>
      </c>
      <c r="BC33" s="192">
        <f>$F33*(VLOOKUP(BC$4, Rates_previous!$G$6:$Q$29, 10, FALSE)+VLOOKUP(BC$4, Rates_previous!$G$6:$Q$29, 11, FALSE))</f>
        <v>7912.3807889280006</v>
      </c>
      <c r="BD33" s="192">
        <f>$F33*(VLOOKUP(BD$4, Rates_previous!$G$6:$Q$29, 10, FALSE)+VLOOKUP(BD$4, Rates_previous!$G$6:$Q$29, 11, FALSE))</f>
        <v>10095.659754390001</v>
      </c>
      <c r="BE33" s="192">
        <f>$F33*(VLOOKUP(BE$4, Rates_previous!$G$6:$Q$29, 10, FALSE)+VLOOKUP(BE$4, Rates_previous!$G$6:$Q$29, 11, FALSE))</f>
        <v>7915.317360678001</v>
      </c>
      <c r="BF33" s="192">
        <f>$F33*(VLOOKUP(BF$4, Rates_previous!$G$6:$Q$29, 10, FALSE)+VLOOKUP(BF$4, Rates_previous!$G$6:$Q$29, 11, FALSE))</f>
        <v>7707.9429854280006</v>
      </c>
      <c r="BG33" s="192">
        <f>$F33*(VLOOKUP(BG$4, Rates_previous!$G$6:$Q$29, 10, FALSE)+VLOOKUP(BG$4, Rates_previous!$G$6:$Q$29, 11, FALSE))</f>
        <v>6920.093110140001</v>
      </c>
      <c r="BH33" s="314">
        <f>IF($D33=0,IF(C33=0, MAX(BJ33 - (VLOOKUP($A33,TOCA_previous!$A$2:$AI$137,MATCH("RHWM 2020",TOCA_previous!$A$2:$AI$2,0),FALSE)*$F$2*TOCA_previous!C30),0),0), 0)</f>
        <v>0</v>
      </c>
      <c r="BI33" s="204">
        <f>MIN(VLOOKUP($A33,TOCA_previous!$A$2:$AI$137,MATCH("TRL - NLSL - Existing Resource "&amp;$F$1,TOCA_previous!$A$2:$AI$2,0),FALSE)*$F$2,(VLOOKUP($A33,TOCA_previous!$A$2:$AI$137,MATCH("RHWM 2020",TOCA_previous!$A$2:$AI$2,0),FALSE)*$F$2))</f>
        <v>91353.600000000006</v>
      </c>
      <c r="BJ33" s="418">
        <f>SUM(L33:AI33)+(F33*RT1SC!$C$3*$F$2)</f>
        <v>79801.816428838007</v>
      </c>
      <c r="BK33" s="417">
        <f>VLOOKUP($A33,TOCA_previous!$A$2:$AI$137,MATCH("Above RHWM Not Served with LS "&amp;$F$1,TOCA_previous!$A$2:$AI$2,0),FALSE)*$F$2</f>
        <v>0</v>
      </c>
      <c r="BL33" s="418">
        <f t="shared" si="8"/>
        <v>-11551.783571161999</v>
      </c>
      <c r="BM33" s="417">
        <f>(VLOOKUP($A33,TOCA_previous!$A$2:$AI$137,MATCH("RHWM 2020",TOCA_previous!$A$2:$AI$2,0),FALSE)*$F$2) - $BI33</f>
        <v>0</v>
      </c>
      <c r="BN33" s="418">
        <f t="shared" si="9"/>
        <v>0</v>
      </c>
      <c r="BO33" s="417">
        <f t="shared" si="10"/>
        <v>11551.783571161999</v>
      </c>
      <c r="BP33" s="418">
        <f t="shared" si="11"/>
        <v>0</v>
      </c>
      <c r="BQ33" s="417">
        <f t="shared" si="2"/>
        <v>11551.783571161999</v>
      </c>
      <c r="BR33" s="120">
        <f>VLOOKUP($A33,TOCA_current!$A$2:$AI$137,MATCH(BR$4,TOCA_current!$A$2:$AI$2,0),FALSE)</f>
        <v>1.3691E-3</v>
      </c>
      <c r="BS33" s="120">
        <f>VLOOKUP($A33,TOCA_current!$A$2:$AI$137,MATCH(BS$4,TOCA_current!$A$2:$AI$2,0),FALSE)</f>
        <v>1.3691E-3</v>
      </c>
      <c r="BT33" s="201">
        <f t="shared" si="12"/>
        <v>0</v>
      </c>
      <c r="BU33" s="120">
        <f>VLOOKUP($A33,TOCA_current!A29:BG164,MATCH(BU$4,TOCA_current!$A$2:$BG$2,0),FALSE)</f>
        <v>0</v>
      </c>
      <c r="BV33" s="120">
        <f t="shared" si="3"/>
        <v>0</v>
      </c>
      <c r="BW33" s="120">
        <f t="shared" si="4"/>
        <v>0</v>
      </c>
      <c r="BX33" s="191">
        <f>VLOOKUP($A33,IRD!$A$4:$G$139, 7, FALSE)</f>
        <v>0</v>
      </c>
      <c r="BY33" s="192">
        <f t="array" ref="BY33">IF($BT33=0, INDEX(LS_current!$D$4:$AY$138, MATCH('Staging Table'!$A33, LS_current!$B$4:$B$138, 0), MATCH(BY$4&amp;BY$5, LS_current!$D$2:$AY$2&amp;LS_current!$D$3:$AY$3, 0)),SUM(VLOOKUP($A33, LS_current!$B$4:$AY$138, LS_current!D$148, FALSE), VLOOKUP($A33, LS_current!$B$4:$AY$138,LS_current!AB$148, FALSE))/2)</f>
        <v>-533.10395117555299</v>
      </c>
      <c r="BZ33" s="192">
        <f t="array" ref="BZ33">IF($BT33=0, INDEX(LS_current!$D$4:$AY$138, MATCH('Staging Table'!$A33, LS_current!$B$4:$B$138, 0), MATCH(BZ$4&amp;BZ$5, LS_current!$D$2:$AY$2&amp;LS_current!$D$3:$AY$3, 0)),SUM(VLOOKUP($A33, LS_current!$B$4:$AY$138, LS_current!E$148, FALSE), VLOOKUP($A33, LS_current!$B$4:$AY$138,LS_current!AC$148, FALSE))/2)</f>
        <v>-258.30497329107038</v>
      </c>
      <c r="CA33" s="192">
        <f t="array" ref="CA33">IF($BT33=0, INDEX(LS_current!$D$4:$AY$138, MATCH('Staging Table'!$A33, LS_current!$B$4:$B$138, 0), MATCH(CA$4&amp;CA$5, LS_current!$D$2:$AY$2&amp;LS_current!$D$3:$AY$3, 0)),SUM(VLOOKUP($A33, LS_current!$B$4:$AY$138, LS_current!F$148, FALSE), VLOOKUP($A33, LS_current!$B$4:$AY$138,LS_current!AD$148, FALSE))/2)</f>
        <v>-674.70473300753565</v>
      </c>
      <c r="CB33" s="192">
        <f t="array" ref="CB33">IF($BT33=0, INDEX(LS_current!$D$4:$AY$138, MATCH('Staging Table'!$A33, LS_current!$B$4:$B$138, 0), MATCH(CB$4&amp;CB$5, LS_current!$D$2:$AY$2&amp;LS_current!$D$3:$AY$3, 0)),SUM(VLOOKUP($A33, LS_current!$B$4:$AY$138, LS_current!G$148, FALSE), VLOOKUP($A33, LS_current!$B$4:$AY$138,LS_current!AE$148, FALSE))/2)</f>
        <v>-426.60339502929128</v>
      </c>
      <c r="CC33" s="192">
        <f t="array" ref="CC33">IF($BT33=0, INDEX(LS_current!$D$4:$AY$138, MATCH('Staging Table'!$A33, LS_current!$B$4:$B$138, 0), MATCH(CC$4&amp;CC$5, LS_current!$D$2:$AY$2&amp;LS_current!$D$3:$AY$3, 0)),SUM(VLOOKUP($A33, LS_current!$B$4:$AY$138, LS_current!H$148, FALSE), VLOOKUP($A33, LS_current!$B$4:$AY$138,LS_current!AF$148, FALSE))/2)</f>
        <v>1478.1848375825648</v>
      </c>
      <c r="CD33" s="192">
        <f t="array" ref="CD33">IF($BT33=0, INDEX(LS_current!$D$4:$AY$138, MATCH('Staging Table'!$A33, LS_current!$B$4:$B$138, 0), MATCH(CD$4&amp;CD$5, LS_current!$D$2:$AY$2&amp;LS_current!$D$3:$AY$3, 0)),SUM(VLOOKUP($A33, LS_current!$B$4:$AY$138, LS_current!I$148, FALSE), VLOOKUP($A33, LS_current!$B$4:$AY$138,LS_current!AG$148, FALSE))/2)</f>
        <v>497.69857191850588</v>
      </c>
      <c r="CE33" s="192">
        <f t="array" ref="CE33">IF($BT33=0, INDEX(LS_current!$D$4:$AY$138, MATCH('Staging Table'!$A33, LS_current!$B$4:$B$138, 0), MATCH(CE$4&amp;CE$5, LS_current!$D$2:$AY$2&amp;LS_current!$D$3:$AY$3, 0)),SUM(VLOOKUP($A33, LS_current!$B$4:$AY$138, LS_current!J$148, FALSE), VLOOKUP($A33, LS_current!$B$4:$AY$138,LS_current!AH$148, FALSE))/2)</f>
        <v>1912.1971982252576</v>
      </c>
      <c r="CF33" s="192">
        <f t="array" ref="CF33">IF($BT33=0, INDEX(LS_current!$D$4:$AY$138, MATCH('Staging Table'!$A33, LS_current!$B$4:$B$138, 0), MATCH(CF$4&amp;CF$5, LS_current!$D$2:$AY$2&amp;LS_current!$D$3:$AY$3, 0)),SUM(VLOOKUP($A33, LS_current!$B$4:$AY$138, LS_current!K$148, FALSE), VLOOKUP($A33, LS_current!$B$4:$AY$138,LS_current!AI$148, FALSE))/2)</f>
        <v>1280.8318758666092</v>
      </c>
      <c r="CG33" s="192">
        <f t="array" ref="CG33">IF($BT33=0, INDEX(LS_current!$D$4:$AY$138, MATCH('Staging Table'!$A33, LS_current!$B$4:$B$138, 0), MATCH(CG$4&amp;CG$5, LS_current!$D$2:$AY$2&amp;LS_current!$D$3:$AY$3, 0)),SUM(VLOOKUP($A33, LS_current!$B$4:$AY$138, LS_current!L$148, FALSE), VLOOKUP($A33, LS_current!$B$4:$AY$138,LS_current!AJ$148, FALSE))/2)</f>
        <v>1200.1905544311871</v>
      </c>
      <c r="CH33" s="192">
        <f t="array" ref="CH33">IF($BT33=0, INDEX(LS_current!$D$4:$AY$138, MATCH('Staging Table'!$A33, LS_current!$B$4:$B$138, 0), MATCH(CH$4&amp;CH$5, LS_current!$D$2:$AY$2&amp;LS_current!$D$3:$AY$3, 0)),SUM(VLOOKUP($A33, LS_current!$B$4:$AY$138, LS_current!M$148, FALSE), VLOOKUP($A33, LS_current!$B$4:$AY$138,LS_current!AK$148, FALSE))/2)</f>
        <v>458.63499903651064</v>
      </c>
      <c r="CI33" s="192">
        <f t="array" ref="CI33">IF($BT33=0, INDEX(LS_current!$D$4:$AY$138, MATCH('Staging Table'!$A33, LS_current!$B$4:$B$138, 0), MATCH(CI$4&amp;CI$5, LS_current!$D$2:$AY$2&amp;LS_current!$D$3:$AY$3, 0)),SUM(VLOOKUP($A33, LS_current!$B$4:$AY$138, LS_current!N$148, FALSE), VLOOKUP($A33, LS_current!$B$4:$AY$138,LS_current!AL$148, FALSE))/2)</f>
        <v>375.78288102942633</v>
      </c>
      <c r="CJ33" s="192">
        <f t="array" ref="CJ33">IF($BT33=0, INDEX(LS_current!$D$4:$AY$138, MATCH('Staging Table'!$A33, LS_current!$B$4:$B$138, 0), MATCH(CJ$4&amp;CJ$5, LS_current!$D$2:$AY$2&amp;LS_current!$D$3:$AY$3, 0)),SUM(VLOOKUP($A33, LS_current!$B$4:$AY$138, LS_current!O$148, FALSE), VLOOKUP($A33, LS_current!$B$4:$AY$138,LS_current!AM$148, FALSE))/2)</f>
        <v>87.487914951823768</v>
      </c>
      <c r="CK33" s="192">
        <f t="array" ref="CK33">IF($BT33=0, INDEX(LS_current!$D$4:$AY$138, MATCH('Staging Table'!$A33, LS_current!$B$4:$B$138, 0), MATCH(CK$4&amp;CK$5, LS_current!$D$2:$AY$2&amp;LS_current!$D$3:$AY$3, 0)),SUM(VLOOKUP($A33, LS_current!$B$4:$AY$138, LS_current!P$148, FALSE), VLOOKUP($A33, LS_current!$B$4:$AY$138,LS_current!AN$148, FALSE))/2)</f>
        <v>784.92190572850541</v>
      </c>
      <c r="CL33" s="192">
        <f t="array" ref="CL33">IF($BT33=0, INDEX(LS_current!$D$4:$AY$138, MATCH('Staging Table'!$A33, LS_current!$B$4:$B$138, 0), MATCH(CL$4&amp;CL$5, LS_current!$D$2:$AY$2&amp;LS_current!$D$3:$AY$3, 0)),SUM(VLOOKUP($A33, LS_current!$B$4:$AY$138, LS_current!Q$148, FALSE), VLOOKUP($A33, LS_current!$B$4:$AY$138,LS_current!AO$148, FALSE))/2)</f>
        <v>240.15945567065933</v>
      </c>
      <c r="CM33" s="192">
        <f t="array" ref="CM33">IF($BT33=0, INDEX(LS_current!$D$4:$AY$138, MATCH('Staging Table'!$A33, LS_current!$B$4:$B$138, 0), MATCH(CM$4&amp;CM$5, LS_current!$D$2:$AY$2&amp;LS_current!$D$3:$AY$3, 0)),SUM(VLOOKUP($A33, LS_current!$B$4:$AY$138, LS_current!R$148, FALSE), VLOOKUP($A33, LS_current!$B$4:$AY$138,LS_current!AP$148, FALSE))/2)</f>
        <v>-1646.7021148506983</v>
      </c>
      <c r="CN33" s="192">
        <f t="array" ref="CN33">IF($BT33=0, INDEX(LS_current!$D$4:$AY$138, MATCH('Staging Table'!$A33, LS_current!$B$4:$B$138, 0), MATCH(CN$4&amp;CN$5, LS_current!$D$2:$AY$2&amp;LS_current!$D$3:$AY$3, 0)),SUM(VLOOKUP($A33, LS_current!$B$4:$AY$138, LS_current!S$148, FALSE), VLOOKUP($A33, LS_current!$B$4:$AY$138,LS_current!AQ$148, FALSE))/2)</f>
        <v>-495.32883414082607</v>
      </c>
      <c r="CO33" s="192">
        <f t="array" ref="CO33">IF($BT33=0, INDEX(LS_current!$D$4:$AY$138, MATCH('Staging Table'!$A33, LS_current!$B$4:$B$138, 0), MATCH(CO$4&amp;CO$5, LS_current!$D$2:$AY$2&amp;LS_current!$D$3:$AY$3, 0)),SUM(VLOOKUP($A33, LS_current!$B$4:$AY$138, LS_current!T$148, FALSE), VLOOKUP($A33, LS_current!$B$4:$AY$138,LS_current!AR$148, FALSE))/2)</f>
        <v>-2291.2484510801414</v>
      </c>
      <c r="CP33" s="192">
        <f t="array" ref="CP33">IF($BT33=0, INDEX(LS_current!$D$4:$AY$138, MATCH('Staging Table'!$A33, LS_current!$B$4:$B$138, 0), MATCH(CP$4&amp;CP$5, LS_current!$D$2:$AY$2&amp;LS_current!$D$3:$AY$3, 0)),SUM(VLOOKUP($A33, LS_current!$B$4:$AY$138, LS_current!U$148, FALSE), VLOOKUP($A33, LS_current!$B$4:$AY$138,LS_current!AS$148, FALSE))/2)</f>
        <v>-888.03788672804194</v>
      </c>
      <c r="CQ33" s="192">
        <f t="array" ref="CQ33">IF($BT33=0, INDEX(LS_current!$D$4:$AY$138, MATCH('Staging Table'!$A33, LS_current!$B$4:$B$138, 0), MATCH(CQ$4&amp;CQ$5, LS_current!$D$2:$AY$2&amp;LS_current!$D$3:$AY$3, 0)),SUM(VLOOKUP($A33, LS_current!$B$4:$AY$138, LS_current!V$148, FALSE), VLOOKUP($A33, LS_current!$B$4:$AY$138,LS_current!AT$148, FALSE))/2)</f>
        <v>-618.1540494339506</v>
      </c>
      <c r="CR33" s="192">
        <f t="array" ref="CR33">IF($BT33=0, INDEX(LS_current!$D$4:$AY$138, MATCH('Staging Table'!$A33, LS_current!$B$4:$B$138, 0), MATCH(CR$4&amp;CR$5, LS_current!$D$2:$AY$2&amp;LS_current!$D$3:$AY$3, 0)),SUM(VLOOKUP($A33, LS_current!$B$4:$AY$138, LS_current!W$148, FALSE), VLOOKUP($A33, LS_current!$B$4:$AY$138,LS_current!AU$148, FALSE))/2)</f>
        <v>-122.85074271298663</v>
      </c>
      <c r="CS33" s="192">
        <f t="array" ref="CS33">IF($BT33=0, INDEX(LS_current!$D$4:$AY$138, MATCH('Staging Table'!$A33, LS_current!$B$4:$B$138, 0), MATCH(CS$4&amp;CS$5, LS_current!$D$2:$AY$2&amp;LS_current!$D$3:$AY$3, 0)),SUM(VLOOKUP($A33, LS_current!$B$4:$AY$138, LS_current!X$148, FALSE), VLOOKUP($A33, LS_current!$B$4:$AY$138,LS_current!AV$148, FALSE))/2)</f>
        <v>-208.36330732314036</v>
      </c>
      <c r="CT33" s="192">
        <f t="array" ref="CT33">IF($BT33=0, INDEX(LS_current!$D$4:$AY$138, MATCH('Staging Table'!$A33, LS_current!$B$4:$B$138, 0), MATCH(CT$4&amp;CT$5, LS_current!$D$2:$AY$2&amp;LS_current!$D$3:$AY$3, 0)),SUM(VLOOKUP($A33, LS_current!$B$4:$AY$138, LS_current!Y$148, FALSE), VLOOKUP($A33, LS_current!$B$4:$AY$138,LS_current!AW$148, FALSE))/2)</f>
        <v>-309.11717225155962</v>
      </c>
      <c r="CU33" s="192">
        <f t="array" ref="CU33">IF($BT33=0, INDEX(LS_current!$D$4:$AY$138, MATCH('Staging Table'!$A33, LS_current!$B$4:$B$138, 0), MATCH(CU$4&amp;CU$5, LS_current!$D$2:$AY$2&amp;LS_current!$D$3:$AY$3, 0)),SUM(VLOOKUP($A33, LS_current!$B$4:$AY$138, LS_current!Z$148, FALSE), VLOOKUP($A33, LS_current!$B$4:$AY$138,LS_current!AX$148, FALSE))/2)</f>
        <v>-487.42972498488234</v>
      </c>
      <c r="CV33" s="192">
        <f t="array" ref="CV33">IF($BT33=0, INDEX(LS_current!$D$4:$AY$138, MATCH('Staging Table'!$A33, LS_current!$B$4:$B$138, 0), MATCH(CV$4&amp;CV$5, LS_current!$D$2:$AY$2&amp;LS_current!$D$3:$AY$3, 0)),SUM(VLOOKUP($A33, LS_current!$B$4:$AY$138, LS_current!AA$148, FALSE), VLOOKUP($A33, LS_current!$B$4:$AY$138,LS_current!AY$148, FALSE))/2)</f>
        <v>-345.60590205192602</v>
      </c>
      <c r="CW33" s="194">
        <f t="array" ref="CW33">INDEX(Demand_current!$D$4:$AY$138, MATCH($A33, Demand_current!$B$4:$B$138, 0), MATCH(CW$4&amp;CW$5,Demand_current!$D$2:$AY$2&amp;Demand_current!$D$3:$AY$3, 0))/1000</f>
        <v>0</v>
      </c>
      <c r="CX33" s="194">
        <f t="array" ref="CX33">INDEX(Demand_current!$D$4:$AY$138, MATCH($A33, Demand_current!$B$4:$B$138, 0), MATCH(CX$4&amp;CX$5,Demand_current!$D$2:$AY$2&amp;Demand_current!$D$3:$AY$3, 0))/1000</f>
        <v>0</v>
      </c>
      <c r="CY33" s="194">
        <f t="array" ref="CY33">INDEX(Demand_current!$D$4:$AY$138, MATCH($A33, Demand_current!$B$4:$B$138, 0), MATCH(CY$4&amp;CY$5,Demand_current!$D$2:$AY$2&amp;Demand_current!$D$3:$AY$3, 0))/1000</f>
        <v>3.4094495192307694</v>
      </c>
      <c r="CZ33" s="194">
        <f t="array" ref="CZ33">INDEX(Demand_current!$D$4:$AY$138, MATCH($A33, Demand_current!$B$4:$B$138, 0), MATCH(CZ$4&amp;CZ$5,Demand_current!$D$2:$AY$2&amp;Demand_current!$D$3:$AY$3, 0))/1000</f>
        <v>0.67181250000000059</v>
      </c>
      <c r="DA33" s="194">
        <f t="array" ref="DA33">INDEX(Demand_current!$D$4:$AY$138, MATCH($A33, Demand_current!$B$4:$B$138, 0), MATCH(DA$4&amp;DA$5,Demand_current!$D$2:$AY$2&amp;Demand_current!$D$3:$AY$3, 0))/1000</f>
        <v>0.87009374999999967</v>
      </c>
      <c r="DB33" s="194">
        <f t="array" ref="DB33">INDEX(Demand_current!$D$4:$AY$138, MATCH($A33, Demand_current!$B$4:$B$138, 0), MATCH(DB$4&amp;DB$5,Demand_current!$D$2:$AY$2&amp;Demand_current!$D$3:$AY$3, 0))/1000</f>
        <v>2.0775995370370373</v>
      </c>
      <c r="DC33" s="194">
        <f t="array" ref="DC33">INDEX(Demand_current!$D$4:$AY$138, MATCH($A33, Demand_current!$B$4:$B$138, 0), MATCH(DC$4&amp;DC$5,Demand_current!$D$2:$AY$2&amp;Demand_current!$D$3:$AY$3, 0))/1000</f>
        <v>1.4701899038461539</v>
      </c>
      <c r="DD33" s="194">
        <f t="array" ref="DD33">INDEX(Demand_current!$D$4:$AY$138, MATCH($A33, Demand_current!$B$4:$B$138, 0), MATCH(DD$4&amp;DD$5,Demand_current!$D$2:$AY$2&amp;Demand_current!$D$3:$AY$3, 0))/1000</f>
        <v>0</v>
      </c>
      <c r="DE33" s="194">
        <f t="array" ref="DE33">INDEX(Demand_current!$D$4:$AY$138, MATCH($A33, Demand_current!$B$4:$B$138, 0), MATCH(DE$4&amp;DE$5,Demand_current!$D$2:$AY$2&amp;Demand_current!$D$3:$AY$3, 0))/1000</f>
        <v>3.2345192307692301</v>
      </c>
      <c r="DF33" s="194">
        <f t="array" ref="DF33">INDEX(Demand_current!$D$4:$AY$138, MATCH($A33, Demand_current!$B$4:$B$138, 0), MATCH(DF$4&amp;DF$5,Demand_current!$D$2:$AY$2&amp;Demand_current!$D$3:$AY$3, 0))/1000</f>
        <v>2.1409850000000015</v>
      </c>
      <c r="DG33" s="194">
        <f t="array" ref="DG33">INDEX(Demand_current!$D$4:$AY$138, MATCH($A33, Demand_current!$B$4:$B$138, 0), MATCH(DG$4&amp;DG$5,Demand_current!$D$2:$AY$2&amp;Demand_current!$D$3:$AY$3, 0))/1000</f>
        <v>2.0023726851851862</v>
      </c>
      <c r="DH33" s="194">
        <f t="array" ref="DH33">INDEX(Demand_current!$D$4:$AY$138, MATCH($A33, Demand_current!$B$4:$B$138, 0), MATCH(DH$4&amp;DH$5,Demand_current!$D$2:$AY$2&amp;Demand_current!$D$3:$AY$3, 0))/1000</f>
        <v>0.87740249999999964</v>
      </c>
      <c r="DI33" s="192">
        <f>$BS33*(VLOOKUP(DI$4, Rates_current!$G$6:$Q$29, 10, FALSE)+VLOOKUP(DI$4, Rates_current!$G$6:$Q$29, 11, FALSE))</f>
        <v>6234.7779244666235</v>
      </c>
      <c r="DJ33" s="192">
        <f>$BS33*(VLOOKUP(DJ$4, Rates_current!$G$6:$Q$29, 10, FALSE)+VLOOKUP(DJ$4, Rates_current!$G$6:$Q$29, 11, FALSE))</f>
        <v>7893.4551280368278</v>
      </c>
      <c r="DK33" s="192">
        <f>$BS33*(VLOOKUP(DK$4, Rates_current!$G$6:$Q$29, 10, FALSE)+VLOOKUP(DK$4, Rates_current!$G$6:$Q$29, 11, FALSE))</f>
        <v>7726.11559049893</v>
      </c>
      <c r="DL33" s="192">
        <f>$BS33*(VLOOKUP(DL$4, Rates_current!$G$6:$Q$29, 10, FALSE)+VLOOKUP(DL$4, Rates_current!$G$6:$Q$29, 11, FALSE))</f>
        <v>6381.4429259081335</v>
      </c>
      <c r="DM33" s="192">
        <f>$BS33*(VLOOKUP(DM$4, Rates_current!$G$6:$Q$29, 10, FALSE)+VLOOKUP(DM$4, Rates_current!$G$6:$Q$29, 11, FALSE))</f>
        <v>5530.9364465323024</v>
      </c>
      <c r="DN33" s="192">
        <f>$BS33*(VLOOKUP(DN$4, Rates_current!$G$6:$Q$29, 10, FALSE)+VLOOKUP(DN$4, Rates_current!$G$6:$Q$29, 11, FALSE))</f>
        <v>6602.8212040187518</v>
      </c>
      <c r="DO33" s="192">
        <f>$BS33*(VLOOKUP(DO$4, Rates_current!$G$6:$Q$29, 10, FALSE)+VLOOKUP(DO$4, Rates_current!$G$6:$Q$29, 11, FALSE))</f>
        <v>5126.2116386008347</v>
      </c>
      <c r="DP33" s="192">
        <f>$BS33*(VLOOKUP(DP$4, Rates_current!$G$6:$Q$29, 10, FALSE)+VLOOKUP(DP$4, Rates_current!$G$6:$Q$29, 11, FALSE))</f>
        <v>7102.4039489915249</v>
      </c>
      <c r="DQ33" s="192">
        <f>$BS33*(VLOOKUP(DQ$4, Rates_current!$G$6:$Q$29, 10, FALSE)+VLOOKUP(DQ$4, Rates_current!$G$6:$Q$29, 11, FALSE))</f>
        <v>7589.0673378081829</v>
      </c>
      <c r="DR33" s="192">
        <f>$BS33*(VLOOKUP(DR$4, Rates_current!$G$6:$Q$29, 10, FALSE)+VLOOKUP(DR$4, Rates_current!$G$6:$Q$29, 11, FALSE))</f>
        <v>7205.4757921469381</v>
      </c>
      <c r="DS33" s="192">
        <f>$BS33*(VLOOKUP(DS$4, Rates_current!$G$6:$Q$29, 10, FALSE)+VLOOKUP(DS$4, Rates_current!$G$6:$Q$29, 11, FALSE))</f>
        <v>6963.5364795746991</v>
      </c>
      <c r="DT33" s="192">
        <f>$BS33*(VLOOKUP(DT$4, Rates_current!$G$6:$Q$29, 10, FALSE)+VLOOKUP(DT$4, Rates_current!$G$6:$Q$29, 11, FALSE))</f>
        <v>6435.0336270368098</v>
      </c>
      <c r="DU33" s="418">
        <f>IF(D33=0,IF(C33=0,MAX(0,DW33 - (VLOOKUP($A33,TOCA_current!$A$2:$AI$137,MATCH("RHWM 2022",TOCA_current!$A$2:$AI$2,0),FALSE)*$BS$2)), 0),0)</f>
        <v>0</v>
      </c>
      <c r="DV33" s="419">
        <f>MIN(VLOOKUP($A33,TOCA_current!$A$2:$AI$137,MATCH("TRL - NLSL - Existing Resource "&amp;$BS$1,TOCA_current!$A$2:$AI$2,0),FALSE)*$BS$2, VLOOKUP($A33,TOCA_current!$A$2:$AI$137,MATCH("RHWM 2022",TOCA_current!$A$2:$AI$2,0),FALSE)*$BS$2)</f>
        <v>80793.48000000001</v>
      </c>
      <c r="DW33" s="419">
        <f>SUM(BY33:CV33)+(BS33*RT1SC!$C$4*$BS$2)</f>
        <v>79801.817132823446</v>
      </c>
      <c r="DX33" s="419">
        <f>VLOOKUP($A33,TOCA_current!$A$2:$AI$137,MATCH("Above RHWM Not Served with LS "&amp;$BS$1,TOCA_current!$A$2:$AI$2,0),FALSE)*$BS$2</f>
        <v>0</v>
      </c>
      <c r="DY33" s="419">
        <f t="shared" si="13"/>
        <v>-991.66286717656476</v>
      </c>
      <c r="DZ33" s="419">
        <f>(VLOOKUP($A33,TOCA_current!$A$2:$AI$137,MATCH("RHWM 2022",TOCA_current!$A$2:$AI$2,0),FALSE)*$BS$2) - $DV33</f>
        <v>6570</v>
      </c>
      <c r="EA33" s="419">
        <f t="shared" si="14"/>
        <v>0</v>
      </c>
      <c r="EB33" s="419">
        <f t="shared" si="15"/>
        <v>991.66286717656476</v>
      </c>
      <c r="EC33" s="419">
        <f t="shared" si="16"/>
        <v>0</v>
      </c>
      <c r="ED33" s="419">
        <f t="shared" si="17"/>
        <v>991.66286717656476</v>
      </c>
    </row>
    <row r="34" spans="1:134">
      <c r="A34" s="135">
        <v>10082</v>
      </c>
      <c r="B34" s="136" t="s">
        <v>35</v>
      </c>
      <c r="C34" s="244">
        <f>VLOOKUP(A34, TOCA_current!$A$3:$D$137, 4, FALSE)</f>
        <v>0</v>
      </c>
      <c r="D34" s="203">
        <v>0</v>
      </c>
      <c r="E34" s="119">
        <f>VLOOKUP($A34,TOCA_previous!$A$2:$AI$137,MATCH(E$4,TOCA_previous!$A$2:$AI$2,0),FALSE)</f>
        <v>1.34E-5</v>
      </c>
      <c r="F34" s="120">
        <f>VLOOKUP($A34,TOCA_previous!$A$2:$AI$137,MATCH(F$4,TOCA_previous!$A$2:$AI$2,0),FALSE)</f>
        <v>1.34E-5</v>
      </c>
      <c r="G34" s="120">
        <f t="shared" si="5"/>
        <v>0</v>
      </c>
      <c r="H34" s="120">
        <f>VLOOKUP($A34,TOCA_previous!$A$2:$AI$137,MATCH(H$4,TOCA_previous!$A$2:$AI$2,0),FALSE)</f>
        <v>0</v>
      </c>
      <c r="I34" s="120">
        <f t="shared" si="6"/>
        <v>0</v>
      </c>
      <c r="J34" s="120">
        <f t="shared" si="7"/>
        <v>0</v>
      </c>
      <c r="K34" s="191">
        <f>VLOOKUP(A34, IRD!$A$5:$C$139, 3, FALSE)</f>
        <v>0</v>
      </c>
      <c r="L34" s="192">
        <f t="array" ref="L34">IF($G34=0, INDEX(LS_previous!$D$4:$AY$138, MATCH('Staging Table'!$A34, LS_previous!$B$4:$B$138, 0), MATCH(L$4&amp;L$5, LS_previous!$D$2:$AY$2&amp;LS_previous!$D$3:$AY$3, 0)),SUM(VLOOKUP($A34, LS_previous!$B$4:$AY$138, LS_previous!D$149, FALSE), VLOOKUP('Staging Table'!$A34, LS_previous!$B$4:$AY$138,LS_previous!AB$149, FALSE))/2)</f>
        <v>-5.018476199200002</v>
      </c>
      <c r="M34" s="192">
        <f t="array" ref="M34">IF($G34=0, INDEX(LS_previous!$D$4:$AY$138, MATCH('Staging Table'!$A34, LS_previous!$B$4:$B$138, 0), MATCH(M$4&amp;M$5, LS_previous!$D$2:$AY$2&amp;LS_previous!$D$3:$AY$3, 0)),SUM(VLOOKUP($A34, LS_previous!$B$4:$AY$138, LS_previous!E$149, FALSE), VLOOKUP('Staging Table'!$A34, LS_previous!$B$4:$AY$138,LS_previous!AC$149, FALSE))/2)</f>
        <v>4.8844257728000002</v>
      </c>
      <c r="N34" s="192">
        <f t="array" ref="N34">IF($G34=0, INDEX(LS_previous!$D$4:$AY$138, MATCH('Staging Table'!$A34, LS_previous!$B$4:$B$138, 0), MATCH(N$4&amp;N$5, LS_previous!$D$2:$AY$2&amp;LS_previous!$D$3:$AY$3, 0)),SUM(VLOOKUP($A34, LS_previous!$B$4:$AY$138, LS_previous!F$149, FALSE), VLOOKUP('Staging Table'!$A34, LS_previous!$B$4:$AY$138,LS_previous!AD$149, FALSE))/2)</f>
        <v>-5.6837248751999994</v>
      </c>
      <c r="O34" s="192">
        <f t="array" ref="O34">IF($G34=0, INDEX(LS_previous!$D$4:$AY$138, MATCH('Staging Table'!$A34, LS_previous!$B$4:$B$138, 0), MATCH(O$4&amp;O$5, LS_previous!$D$2:$AY$2&amp;LS_previous!$D$3:$AY$3, 0)),SUM(VLOOKUP($A34, LS_previous!$B$4:$AY$138, LS_previous!G$149, FALSE), VLOOKUP('Staging Table'!$A34, LS_previous!$B$4:$AY$138,LS_previous!AE$149, FALSE))/2)</f>
        <v>3.7979194726000003</v>
      </c>
      <c r="P34" s="192">
        <f t="array" ref="P34">IF($G34=0, INDEX(LS_previous!$D$4:$AY$138, MATCH('Staging Table'!$A34, LS_previous!$B$4:$B$138, 0), MATCH(P$4&amp;P$5, LS_previous!$D$2:$AY$2&amp;LS_previous!$D$3:$AY$3, 0)),SUM(VLOOKUP($A34, LS_previous!$B$4:$AY$138, LS_previous!H$149, FALSE), VLOOKUP('Staging Table'!$A34, LS_previous!$B$4:$AY$138,LS_previous!AF$149, FALSE))/2)</f>
        <v>16.182680595199997</v>
      </c>
      <c r="Q34" s="192">
        <f t="array" ref="Q34">IF($G34=0, INDEX(LS_previous!$D$4:$AY$138, MATCH('Staging Table'!$A34, LS_previous!$B$4:$B$138, 0), MATCH(Q$4&amp;Q$5, LS_previous!$D$2:$AY$2&amp;LS_previous!$D$3:$AY$3, 0)),SUM(VLOOKUP($A34, LS_previous!$B$4:$AY$138, LS_previous!I$149, FALSE), VLOOKUP('Staging Table'!$A34, LS_previous!$B$4:$AY$138,LS_previous!AG$149, FALSE))/2)</f>
        <v>18.129676778399997</v>
      </c>
      <c r="R34" s="192">
        <f t="array" ref="R34">IF($G34=0, INDEX(LS_previous!$D$4:$AY$138, MATCH('Staging Table'!$A34, LS_previous!$B$4:$B$138, 0), MATCH(R$4&amp;R$5, LS_previous!$D$2:$AY$2&amp;LS_previous!$D$3:$AY$3, 0)),SUM(VLOOKUP($A34, LS_previous!$B$4:$AY$138, LS_previous!J$149, FALSE), VLOOKUP('Staging Table'!$A34, LS_previous!$B$4:$AY$138,LS_previous!AH$149, FALSE))/2)</f>
        <v>20.450218995199997</v>
      </c>
      <c r="S34" s="192">
        <f t="array" ref="S34">IF($G34=0, INDEX(LS_previous!$D$4:$AY$138, MATCH('Staging Table'!$A34, LS_previous!$B$4:$B$138, 0), MATCH(S$4&amp;S$5, LS_previous!$D$2:$AY$2&amp;LS_previous!$D$3:$AY$3, 0)),SUM(VLOOKUP($A34, LS_previous!$B$4:$AY$138, LS_previous!K$149, FALSE), VLOOKUP('Staging Table'!$A34, LS_previous!$B$4:$AY$138,LS_previous!AI$149, FALSE))/2)</f>
        <v>26.519741578400001</v>
      </c>
      <c r="T34" s="192">
        <f t="array" ref="T34">IF($G34=0, INDEX(LS_previous!$D$4:$AY$138, MATCH('Staging Table'!$A34, LS_previous!$B$4:$B$138, 0), MATCH(T$4&amp;T$5, LS_previous!$D$2:$AY$2&amp;LS_previous!$D$3:$AY$3, 0)),SUM(VLOOKUP($A34, LS_previous!$B$4:$AY$138, LS_previous!L$149, FALSE), VLOOKUP('Staging Table'!$A34, LS_previous!$B$4:$AY$138,LS_previous!AJ$149, FALSE))/2)</f>
        <v>15.170998538399999</v>
      </c>
      <c r="U34" s="192">
        <f t="array" ref="U34">IF($G34=0, INDEX(LS_previous!$D$4:$AY$138, MATCH('Staging Table'!$A34, LS_previous!$B$4:$B$138, 0), MATCH(U$4&amp;U$5, LS_previous!$D$2:$AY$2&amp;LS_previous!$D$3:$AY$3, 0)),SUM(VLOOKUP($A34, LS_previous!$B$4:$AY$138, LS_previous!M$149, FALSE), VLOOKUP('Staging Table'!$A34, LS_previous!$B$4:$AY$138,LS_previous!AK$149, FALSE))/2)</f>
        <v>15.580736341600002</v>
      </c>
      <c r="V34" s="192">
        <f t="array" ref="V34">IF($G34=0, INDEX(LS_previous!$D$4:$AY$138, MATCH('Staging Table'!$A34, LS_previous!$B$4:$B$138, 0), MATCH(V$4&amp;V$5, LS_previous!$D$2:$AY$2&amp;LS_previous!$D$3:$AY$3, 0)),SUM(VLOOKUP($A34, LS_previous!$B$4:$AY$138, LS_previous!N$149, FALSE), VLOOKUP('Staging Table'!$A34, LS_previous!$B$4:$AY$138,LS_previous!AL$149, FALSE))/2)</f>
        <v>5.3384428656000011</v>
      </c>
      <c r="W34" s="192">
        <f t="array" ref="W34">IF($G34=0, INDEX(LS_previous!$D$4:$AY$138, MATCH('Staging Table'!$A34, LS_previous!$B$4:$B$138, 0), MATCH(W$4&amp;W$5, LS_previous!$D$2:$AY$2&amp;LS_previous!$D$3:$AY$3, 0)),SUM(VLOOKUP($A34, LS_previous!$B$4:$AY$138, LS_previous!O$149, FALSE), VLOOKUP('Staging Table'!$A34, LS_previous!$B$4:$AY$138,LS_previous!AM$149, FALSE))/2)</f>
        <v>8.9967395785999962</v>
      </c>
      <c r="X34" s="192">
        <f t="array" ref="X34">IF($G34=0, INDEX(LS_previous!$D$4:$AY$138, MATCH('Staging Table'!$A34, LS_previous!$B$4:$B$138, 0), MATCH(X$4&amp;X$5, LS_previous!$D$2:$AY$2&amp;LS_previous!$D$3:$AY$3, 0)),SUM(VLOOKUP($A34, LS_previous!$B$4:$AY$138, LS_previous!P$149, FALSE), VLOOKUP('Staging Table'!$A34, LS_previous!$B$4:$AY$138,LS_previous!AN$149, FALSE))/2)</f>
        <v>3.3879644303999967</v>
      </c>
      <c r="Y34" s="192">
        <f t="array" ref="Y34">IF($G34=0, INDEX(LS_previous!$D$4:$AY$138, MATCH('Staging Table'!$A34, LS_previous!$B$4:$B$138, 0), MATCH(Y$4&amp;Y$5, LS_previous!$D$2:$AY$2&amp;LS_previous!$D$3:$AY$3, 0)),SUM(VLOOKUP($A34, LS_previous!$B$4:$AY$138, LS_previous!Q$149, FALSE), VLOOKUP('Staging Table'!$A34, LS_previous!$B$4:$AY$138,LS_previous!AO$149, FALSE))/2)</f>
        <v>6.6688039375999999</v>
      </c>
      <c r="Z34" s="192">
        <f t="array" ref="Z34">IF($G34=0, INDEX(LS_previous!$D$4:$AY$138, MATCH('Staging Table'!$A34, LS_previous!$B$4:$B$138, 0), MATCH(Z$4&amp;Z$5, LS_previous!$D$2:$AY$2&amp;LS_previous!$D$3:$AY$3, 0)),SUM(VLOOKUP($A34, LS_previous!$B$4:$AY$138, LS_previous!R$149, FALSE), VLOOKUP('Staging Table'!$A34, LS_previous!$B$4:$AY$138,LS_previous!AP$149, FALSE))/2)</f>
        <v>-18.953367140000005</v>
      </c>
      <c r="AA34" s="192">
        <f t="array" ref="AA34">IF($G34=0, INDEX(LS_previous!$D$4:$AY$138, MATCH('Staging Table'!$A34, LS_previous!$B$4:$B$138, 0), MATCH(AA$4&amp;AA$5, LS_previous!$D$2:$AY$2&amp;LS_previous!$D$3:$AY$3, 0)),SUM(VLOOKUP($A34, LS_previous!$B$4:$AY$138, LS_previous!S$149, FALSE), VLOOKUP('Staging Table'!$A34, LS_previous!$B$4:$AY$138,LS_previous!AQ$149, FALSE))/2)</f>
        <v>-2.8255619864000003</v>
      </c>
      <c r="AB34" s="192">
        <f t="array" ref="AB34">IF($G34=0, INDEX(LS_previous!$D$4:$AY$138, MATCH('Staging Table'!$A34, LS_previous!$B$4:$B$138, 0), MATCH(AB$4&amp;AB$5, LS_previous!$D$2:$AY$2&amp;LS_previous!$D$3:$AY$3, 0)),SUM(VLOOKUP($A34, LS_previous!$B$4:$AY$138, LS_previous!T$149, FALSE), VLOOKUP('Staging Table'!$A34, LS_previous!$B$4:$AY$138,LS_previous!AR$149, FALSE))/2)</f>
        <v>-31.2201504696</v>
      </c>
      <c r="AC34" s="192">
        <f t="array" ref="AC34">IF($G34=0, INDEX(LS_previous!$D$4:$AY$138, MATCH('Staging Table'!$A34, LS_previous!$B$4:$B$138, 0), MATCH(AC$4&amp;AC$5, LS_previous!$D$2:$AY$2&amp;LS_previous!$D$3:$AY$3, 0)),SUM(VLOOKUP($A34, LS_previous!$B$4:$AY$138, LS_previous!U$149, FALSE), VLOOKUP('Staging Table'!$A34, LS_previous!$B$4:$AY$138,LS_previous!AS$149, FALSE))/2)</f>
        <v>-13.634628462400006</v>
      </c>
      <c r="AD34" s="192">
        <f t="array" ref="AD34">IF($G34=0, INDEX(LS_previous!$D$4:$AY$138, MATCH('Staging Table'!$A34, LS_previous!$B$4:$B$138, 0), MATCH(AD$4&amp;AD$5, LS_previous!$D$2:$AY$2&amp;LS_previous!$D$3:$AY$3, 0)),SUM(VLOOKUP($A34, LS_previous!$B$4:$AY$138, LS_previous!V$149, FALSE), VLOOKUP('Staging Table'!$A34, LS_previous!$B$4:$AY$138,LS_previous!AT$149, FALSE))/2)</f>
        <v>-20.897197469599998</v>
      </c>
      <c r="AE34" s="192">
        <f t="array" ref="AE34">IF($G34=0, INDEX(LS_previous!$D$4:$AY$138, MATCH('Staging Table'!$A34, LS_previous!$B$4:$B$138, 0), MATCH(AE$4&amp;AE$5, LS_previous!$D$2:$AY$2&amp;LS_previous!$D$3:$AY$3, 0)),SUM(VLOOKUP($A34, LS_previous!$B$4:$AY$138, LS_previous!W$149, FALSE), VLOOKUP('Staging Table'!$A34, LS_previous!$B$4:$AY$138,LS_previous!AU$149, FALSE))/2)</f>
        <v>-0.32731055680000054</v>
      </c>
      <c r="AF34" s="192">
        <f t="array" ref="AF34">IF($G34=0, INDEX(LS_previous!$D$4:$AY$138, MATCH('Staging Table'!$A34, LS_previous!$B$4:$B$138, 0), MATCH(AF$4&amp;AF$5, LS_previous!$D$2:$AY$2&amp;LS_previous!$D$3:$AY$3, 0)),SUM(VLOOKUP($A34, LS_previous!$B$4:$AY$138, LS_previous!X$149, FALSE), VLOOKUP('Staging Table'!$A34, LS_previous!$B$4:$AY$138,LS_previous!AV$149, FALSE))/2)</f>
        <v>-18.583020769599997</v>
      </c>
      <c r="AG34" s="192">
        <f t="array" ref="AG34">IF($G34=0, INDEX(LS_previous!$D$4:$AY$138, MATCH('Staging Table'!$A34, LS_previous!$B$4:$B$138, 0), MATCH(AG$4&amp;AG$5, LS_previous!$D$2:$AY$2&amp;LS_previous!$D$3:$AY$3, 0)),SUM(VLOOKUP($A34, LS_previous!$B$4:$AY$138, LS_previous!Y$149, FALSE), VLOOKUP('Staging Table'!$A34, LS_previous!$B$4:$AY$138,LS_previous!AW$149, FALSE))/2)</f>
        <v>-3.1935425568000007</v>
      </c>
      <c r="AH34" s="192">
        <f t="array" ref="AH34">IF($G34=0, INDEX(LS_previous!$D$4:$AY$138, MATCH('Staging Table'!$A34, LS_previous!$B$4:$B$138, 0), MATCH(AH$4&amp;AH$5, LS_previous!$D$2:$AY$2&amp;LS_previous!$D$3:$AY$3, 0)),SUM(VLOOKUP($A34, LS_previous!$B$4:$AY$138, LS_previous!Z$149, FALSE), VLOOKUP('Staging Table'!$A34, LS_previous!$B$4:$AY$138,LS_previous!AX$149, FALSE))/2)</f>
        <v>-15.160367040000004</v>
      </c>
      <c r="AI34" s="192">
        <f t="array" ref="AI34">IF($G34=0, INDEX(LS_previous!$D$4:$AY$138, MATCH('Staging Table'!$A34, LS_previous!$B$4:$B$138, 0), MATCH(AI$4&amp;AI$5, LS_previous!$D$2:$AY$2&amp;LS_previous!$D$3:$AY$3, 0)),SUM(VLOOKUP($A34, LS_previous!$B$4:$AY$138, LS_previous!AA$149, FALSE), VLOOKUP('Staging Table'!$A34, LS_previous!$B$4:$AY$138,LS_previous!AY$149, FALSE))/2)</f>
        <v>-4.0953699919999984</v>
      </c>
      <c r="AJ34" s="314">
        <f t="array" ref="AJ34">INDEX(Demand_previous!$D$4:$AY$138, MATCH('Staging Table'!$A34, Demand_previous!$B$4:$B$138, 0), MATCH(AJ$4&amp;AJ$5,Demand_previous!$D$2:$AY$2&amp;Demand_previous!$D$3:$AY$3, 0))/1000</f>
        <v>1.9280092592592599E-2</v>
      </c>
      <c r="AK34" s="314">
        <f t="array" ref="AK34">INDEX(Demand_previous!$D$4:$AY$138, MATCH('Staging Table'!$A34, Demand_previous!$B$4:$B$138, 0), MATCH(AK$4&amp;AK$5,Demand_previous!$D$2:$AY$2&amp;Demand_previous!$D$3:$AY$3, 0))/1000</f>
        <v>2.0174999999999915E-3</v>
      </c>
      <c r="AL34" s="314">
        <f t="array" ref="AL34">INDEX(Demand_previous!$D$4:$AY$138, MATCH('Staging Table'!$A34, Demand_previous!$B$4:$B$138, 0), MATCH(AL$4&amp;AL$5,Demand_previous!$D$2:$AY$2&amp;Demand_previous!$D$3:$AY$3, 0))/1000</f>
        <v>1.9949999999999898E-3</v>
      </c>
      <c r="AM34" s="314">
        <f t="array" ref="AM34">INDEX(Demand_previous!$D$4:$AY$138, MATCH('Staging Table'!$A34, Demand_previous!$B$4:$B$138, 0), MATCH(AM$4&amp;AM$5,Demand_previous!$D$2:$AY$2&amp;Demand_previous!$D$3:$AY$3, 0))/1000</f>
        <v>3.9060096153846133E-2</v>
      </c>
      <c r="AN34" s="314">
        <f t="array" ref="AN34">INDEX(Demand_previous!$D$4:$AY$138, MATCH('Staging Table'!$A34, Demand_previous!$B$4:$B$138, 0), MATCH(AN$4&amp;AN$5,Demand_previous!$D$2:$AY$2&amp;Demand_previous!$D$3:$AY$3, 0))/1000</f>
        <v>1.4592500000000008E-2</v>
      </c>
      <c r="AO34" s="314">
        <f t="array" ref="AO34">INDEX(Demand_previous!$D$4:$AY$138, MATCH('Staging Table'!$A34, Demand_previous!$B$4:$B$138, 0), MATCH(AO$4&amp;AO$5,Demand_previous!$D$2:$AY$2&amp;Demand_previous!$D$3:$AY$3, 0))/1000</f>
        <v>0</v>
      </c>
      <c r="AP34" s="314">
        <f t="array" ref="AP34">INDEX(Demand_previous!$D$4:$AY$138, MATCH('Staging Table'!$A34, Demand_previous!$B$4:$B$138, 0), MATCH(AP$4&amp;AP$5,Demand_previous!$D$2:$AY$2&amp;Demand_previous!$D$3:$AY$3, 0))/1000</f>
        <v>5.3365384615385036E-4</v>
      </c>
      <c r="AQ34" s="314">
        <f t="array" ref="AQ34">INDEX(Demand_previous!$D$4:$AY$138, MATCH('Staging Table'!$A34, Demand_previous!$B$4:$B$138, 0), MATCH(AQ$4&amp;AQ$5,Demand_previous!$D$2:$AY$2&amp;Demand_previous!$D$3:$AY$3, 0))/1000</f>
        <v>0</v>
      </c>
      <c r="AR34" s="314">
        <f t="array" ref="AR34">INDEX(Demand_previous!$D$4:$AY$138, MATCH('Staging Table'!$A34, Demand_previous!$B$4:$B$138, 0), MATCH(AR$4&amp;AR$5,Demand_previous!$D$2:$AY$2&amp;Demand_previous!$D$3:$AY$3, 0))/1000</f>
        <v>0</v>
      </c>
      <c r="AS34" s="314">
        <f t="array" ref="AS34">INDEX(Demand_previous!$D$4:$AY$138, MATCH('Staging Table'!$A34, Demand_previous!$B$4:$B$138, 0), MATCH(AS$4&amp;AS$5,Demand_previous!$D$2:$AY$2&amp;Demand_previous!$D$3:$AY$3, 0))/1000</f>
        <v>1.568509615384615E-2</v>
      </c>
      <c r="AT34" s="314">
        <f t="array" ref="AT34">INDEX(Demand_previous!$D$4:$AY$138, MATCH('Staging Table'!$A34, Demand_previous!$B$4:$B$138, 0), MATCH(AT$4&amp;AT$5,Demand_previous!$D$2:$AY$2&amp;Demand_previous!$D$3:$AY$3, 0))/1000</f>
        <v>9.7475961538461553E-3</v>
      </c>
      <c r="AU34" s="314">
        <f t="array" ref="AU34">INDEX(Demand_previous!$D$4:$AY$138, MATCH('Staging Table'!$A34, Demand_previous!$B$4:$B$138, 0), MATCH(AU$4&amp;AU$5,Demand_previous!$D$2:$AY$2&amp;Demand_previous!$D$3:$AY$3, 0))/1000</f>
        <v>3.6225000000000003E-3</v>
      </c>
      <c r="AV34" s="192">
        <f>$F34*(VLOOKUP(AV$4, Rates_previous!$G$6:$Q$29, 10, FALSE)+VLOOKUP(AV$4, Rates_previous!$G$6:$Q$29, 11, FALSE))</f>
        <v>61.872050426399994</v>
      </c>
      <c r="AW34" s="192">
        <f>$F34*(VLOOKUP(AW$4, Rates_previous!$G$6:$Q$29, 10, FALSE)+VLOOKUP(AW$4, Rates_previous!$G$6:$Q$29, 11, FALSE))</f>
        <v>78.596805402599998</v>
      </c>
      <c r="AX34" s="192">
        <f>$F34*(VLOOKUP(AX$4, Rates_previous!$G$6:$Q$29, 10, FALSE)+VLOOKUP(AX$4, Rates_previous!$G$6:$Q$29, 11, FALSE))</f>
        <v>77.647642626400014</v>
      </c>
      <c r="AY34" s="192">
        <f>$F34*(VLOOKUP(AY$4, Rates_previous!$G$6:$Q$29, 10, FALSE)+VLOOKUP(AY$4, Rates_previous!$G$6:$Q$29, 11, FALSE))</f>
        <v>64.724039426400012</v>
      </c>
      <c r="AZ34" s="192">
        <f>$F34*(VLOOKUP(AZ$4, Rates_previous!$G$6:$Q$29, 10, FALSE)+VLOOKUP(AZ$4, Rates_previous!$G$6:$Q$29, 11, FALSE))</f>
        <v>58.633265119999997</v>
      </c>
      <c r="BA34" s="192">
        <f>$F34*(VLOOKUP(BA$4, Rates_previous!$G$6:$Q$29, 10, FALSE)+VLOOKUP(BA$4, Rates_previous!$G$6:$Q$29, 11, FALSE))</f>
        <v>65.218817555800001</v>
      </c>
      <c r="BB34" s="192">
        <f>$F34*(VLOOKUP(BB$4, Rates_previous!$G$6:$Q$29, 10, FALSE)+VLOOKUP(BB$4, Rates_previous!$G$6:$Q$29, 11, FALSE))</f>
        <v>53.101231632000001</v>
      </c>
      <c r="BC34" s="192">
        <f>$F34*(VLOOKUP(BC$4, Rates_previous!$G$6:$Q$29, 10, FALSE)+VLOOKUP(BC$4, Rates_previous!$G$6:$Q$29, 11, FALSE))</f>
        <v>71.614929126400014</v>
      </c>
      <c r="BD34" s="192">
        <f>$F34*(VLOOKUP(BD$4, Rates_previous!$G$6:$Q$29, 10, FALSE)+VLOOKUP(BD$4, Rates_previous!$G$6:$Q$29, 11, FALSE))</f>
        <v>91.375778932000003</v>
      </c>
      <c r="BE34" s="192">
        <f>$F34*(VLOOKUP(BE$4, Rates_previous!$G$6:$Q$29, 10, FALSE)+VLOOKUP(BE$4, Rates_previous!$G$6:$Q$29, 11, FALSE))</f>
        <v>71.641508026400004</v>
      </c>
      <c r="BF34" s="192">
        <f>$F34*(VLOOKUP(BF$4, Rates_previous!$G$6:$Q$29, 10, FALSE)+VLOOKUP(BF$4, Rates_previous!$G$6:$Q$29, 11, FALSE))</f>
        <v>69.764563326400008</v>
      </c>
      <c r="BG34" s="192">
        <f>$F34*(VLOOKUP(BG$4, Rates_previous!$G$6:$Q$29, 10, FALSE)+VLOOKUP(BG$4, Rates_previous!$G$6:$Q$29, 11, FALSE))</f>
        <v>62.633737032000006</v>
      </c>
      <c r="BH34" s="314">
        <f>IF($D34=0,IF(C34=0, MAX(BJ34 - (VLOOKUP($A34,TOCA_previous!$A$2:$AI$137,MATCH("RHWM 2020",TOCA_previous!$A$2:$AI$2,0),FALSE)*$F$2*TOCA_previous!C31),0),0), 0)</f>
        <v>0</v>
      </c>
      <c r="BI34" s="204">
        <f>MIN(VLOOKUP($A34,TOCA_previous!$A$2:$AI$137,MATCH("TRL - NLSL - Existing Resource "&amp;$F$1,TOCA_previous!$A$2:$AI$2,0),FALSE)*$F$2,(VLOOKUP($A34,TOCA_previous!$A$2:$AI$137,MATCH("RHWM 2020",TOCA_previous!$A$2:$AI$2,0),FALSE)*$F$2))</f>
        <v>825.69600000000003</v>
      </c>
      <c r="BJ34" s="418">
        <f>SUM(L34:AI34)+(F34*RT1SC!$C$3*$F$2)</f>
        <v>832.34003103439989</v>
      </c>
      <c r="BK34" s="417">
        <f>VLOOKUP($A34,TOCA_previous!$A$2:$AI$137,MATCH("Above RHWM Not Served with LS "&amp;$F$1,TOCA_previous!$A$2:$AI$2,0),FALSE)*$F$2</f>
        <v>0</v>
      </c>
      <c r="BL34" s="418">
        <f t="shared" si="8"/>
        <v>6.644031034399859</v>
      </c>
      <c r="BM34" s="417">
        <f>(VLOOKUP($A34,TOCA_previous!$A$2:$AI$137,MATCH("RHWM 2020",TOCA_previous!$A$2:$AI$2,0),FALSE)*$F$2) - $BI34</f>
        <v>210.81599999999992</v>
      </c>
      <c r="BN34" s="418">
        <f t="shared" si="9"/>
        <v>-6.644031034399859</v>
      </c>
      <c r="BO34" s="417">
        <f t="shared" si="10"/>
        <v>0</v>
      </c>
      <c r="BP34" s="418">
        <f t="shared" si="11"/>
        <v>0</v>
      </c>
      <c r="BQ34" s="417">
        <f t="shared" si="2"/>
        <v>-6.644031034399859</v>
      </c>
      <c r="BR34" s="120">
        <f>VLOOKUP($A34,TOCA_current!$A$2:$AI$137,MATCH(BR$4,TOCA_current!$A$2:$AI$2,0),FALSE)</f>
        <v>1.4100000000000001E-5</v>
      </c>
      <c r="BS34" s="120">
        <f>VLOOKUP($A34,TOCA_current!$A$2:$AI$137,MATCH(BS$4,TOCA_current!$A$2:$AI$2,0),FALSE)</f>
        <v>1.4100000000000001E-5</v>
      </c>
      <c r="BT34" s="201">
        <f t="shared" si="12"/>
        <v>0</v>
      </c>
      <c r="BU34" s="120">
        <f>VLOOKUP($A34,TOCA_current!A30:BG165,MATCH(BU$4,TOCA_current!$A$2:$BG$2,0),FALSE)</f>
        <v>0</v>
      </c>
      <c r="BV34" s="120">
        <f t="shared" si="3"/>
        <v>0</v>
      </c>
      <c r="BW34" s="120">
        <f t="shared" si="4"/>
        <v>0</v>
      </c>
      <c r="BX34" s="191">
        <f>VLOOKUP($A34,IRD!$A$4:$G$139, 7, FALSE)</f>
        <v>0</v>
      </c>
      <c r="BY34" s="192">
        <f t="array" ref="BY34">IF($BT34=0, INDEX(LS_current!$D$4:$AY$138, MATCH('Staging Table'!$A34, LS_current!$B$4:$B$138, 0), MATCH(BY$4&amp;BY$5, LS_current!$D$2:$AY$2&amp;LS_current!$D$3:$AY$3, 0)),SUM(VLOOKUP($A34, LS_current!$B$4:$AY$138, LS_current!D$148, FALSE), VLOOKUP($A34, LS_current!$B$4:$AY$138,LS_current!AB$148, FALSE))/2)</f>
        <v>-5.8801427299505491</v>
      </c>
      <c r="BZ34" s="192">
        <f t="array" ref="BZ34">IF($BT34=0, INDEX(LS_current!$D$4:$AY$138, MATCH('Staging Table'!$A34, LS_current!$B$4:$B$138, 0), MATCH(BZ$4&amp;BZ$5, LS_current!$D$2:$AY$2&amp;LS_current!$D$3:$AY$3, 0)),SUM(VLOOKUP($A34, LS_current!$B$4:$AY$138, LS_current!E$148, FALSE), VLOOKUP($A34, LS_current!$B$4:$AY$138,LS_current!AC$148, FALSE))/2)</f>
        <v>3.4078083971922446</v>
      </c>
      <c r="CA34" s="192">
        <f t="array" ref="CA34">IF($BT34=0, INDEX(LS_current!$D$4:$AY$138, MATCH('Staging Table'!$A34, LS_current!$B$4:$B$138, 0), MATCH(CA$4&amp;CA$5, LS_current!$D$2:$AY$2&amp;LS_current!$D$3:$AY$3, 0)),SUM(VLOOKUP($A34, LS_current!$B$4:$AY$138, LS_current!F$148, FALSE), VLOOKUP($A34, LS_current!$B$4:$AY$138,LS_current!AD$148, FALSE))/2)</f>
        <v>-6.2920269048325537</v>
      </c>
      <c r="CB34" s="192">
        <f t="array" ref="CB34">IF($BT34=0, INDEX(LS_current!$D$4:$AY$138, MATCH('Staging Table'!$A34, LS_current!$B$4:$B$138, 0), MATCH(CB$4&amp;CB$5, LS_current!$D$2:$AY$2&amp;LS_current!$D$3:$AY$3, 0)),SUM(VLOOKUP($A34, LS_current!$B$4:$AY$138, LS_current!G$148, FALSE), VLOOKUP($A34, LS_current!$B$4:$AY$138,LS_current!AE$148, FALSE))/2)</f>
        <v>1.7104132861639023</v>
      </c>
      <c r="CC34" s="192">
        <f t="array" ref="CC34">IF($BT34=0, INDEX(LS_current!$D$4:$AY$138, MATCH('Staging Table'!$A34, LS_current!$B$4:$B$138, 0), MATCH(CC$4&amp;CC$5, LS_current!$D$2:$AY$2&amp;LS_current!$D$3:$AY$3, 0)),SUM(VLOOKUP($A34, LS_current!$B$4:$AY$138, LS_current!H$148, FALSE), VLOOKUP($A34, LS_current!$B$4:$AY$138,LS_current!AF$148, FALSE))/2)</f>
        <v>18.945394426933149</v>
      </c>
      <c r="CD34" s="192">
        <f t="array" ref="CD34">IF($BT34=0, INDEX(LS_current!$D$4:$AY$138, MATCH('Staging Table'!$A34, LS_current!$B$4:$B$138, 0), MATCH(CD$4&amp;CD$5, LS_current!$D$2:$AY$2&amp;LS_current!$D$3:$AY$3, 0)),SUM(VLOOKUP($A34, LS_current!$B$4:$AY$138, LS_current!I$148, FALSE), VLOOKUP($A34, LS_current!$B$4:$AY$138,LS_current!AG$148, FALSE))/2)</f>
        <v>13.445377740158442</v>
      </c>
      <c r="CE34" s="192">
        <f t="array" ref="CE34">IF($BT34=0, INDEX(LS_current!$D$4:$AY$138, MATCH('Staging Table'!$A34, LS_current!$B$4:$B$138, 0), MATCH(CE$4&amp;CE$5, LS_current!$D$2:$AY$2&amp;LS_current!$D$3:$AY$3, 0)),SUM(VLOOKUP($A34, LS_current!$B$4:$AY$138, LS_current!J$148, FALSE), VLOOKUP($A34, LS_current!$B$4:$AY$138,LS_current!AH$148, FALSE))/2)</f>
        <v>23.739725874644755</v>
      </c>
      <c r="CF34" s="192">
        <f t="array" ref="CF34">IF($BT34=0, INDEX(LS_current!$D$4:$AY$138, MATCH('Staging Table'!$A34, LS_current!$B$4:$B$138, 0), MATCH(CF$4&amp;CF$5, LS_current!$D$2:$AY$2&amp;LS_current!$D$3:$AY$3, 0)),SUM(VLOOKUP($A34, LS_current!$B$4:$AY$138, LS_current!K$148, FALSE), VLOOKUP($A34, LS_current!$B$4:$AY$138,LS_current!AI$148, FALSE))/2)</f>
        <v>22.23347560420655</v>
      </c>
      <c r="CG34" s="192">
        <f t="array" ref="CG34">IF($BT34=0, INDEX(LS_current!$D$4:$AY$138, MATCH('Staging Table'!$A34, LS_current!$B$4:$B$138, 0), MATCH(CG$4&amp;CG$5, LS_current!$D$2:$AY$2&amp;LS_current!$D$3:$AY$3, 0)),SUM(VLOOKUP($A34, LS_current!$B$4:$AY$138, LS_current!L$148, FALSE), VLOOKUP($A34, LS_current!$B$4:$AY$138,LS_current!AJ$148, FALSE))/2)</f>
        <v>19.074669284551703</v>
      </c>
      <c r="CH34" s="192">
        <f t="array" ref="CH34">IF($BT34=0, INDEX(LS_current!$D$4:$AY$138, MATCH('Staging Table'!$A34, LS_current!$B$4:$B$138, 0), MATCH(CH$4&amp;CH$5, LS_current!$D$2:$AY$2&amp;LS_current!$D$3:$AY$3, 0)),SUM(VLOOKUP($A34, LS_current!$B$4:$AY$138, LS_current!M$148, FALSE), VLOOKUP($A34, LS_current!$B$4:$AY$138,LS_current!AK$148, FALSE))/2)</f>
        <v>13.348674228628152</v>
      </c>
      <c r="CI34" s="192">
        <f t="array" ref="CI34">IF($BT34=0, INDEX(LS_current!$D$4:$AY$138, MATCH('Staging Table'!$A34, LS_current!$B$4:$B$138, 0), MATCH(CI$4&amp;CI$5, LS_current!$D$2:$AY$2&amp;LS_current!$D$3:$AY$3, 0)),SUM(VLOOKUP($A34, LS_current!$B$4:$AY$138, LS_current!N$148, FALSE), VLOOKUP($A34, LS_current!$B$4:$AY$138,LS_current!AL$148, FALSE))/2)</f>
        <v>5.0440665565078504</v>
      </c>
      <c r="CJ34" s="192">
        <f t="array" ref="CJ34">IF($BT34=0, INDEX(LS_current!$D$4:$AY$138, MATCH('Staging Table'!$A34, LS_current!$B$4:$B$138, 0), MATCH(CJ$4&amp;CJ$5, LS_current!$D$2:$AY$2&amp;LS_current!$D$3:$AY$3, 0)),SUM(VLOOKUP($A34, LS_current!$B$4:$AY$138, LS_current!O$148, FALSE), VLOOKUP($A34, LS_current!$B$4:$AY$138,LS_current!AM$148, FALSE))/2)</f>
        <v>6.5092183922435964</v>
      </c>
      <c r="CK34" s="192">
        <f t="array" ref="CK34">IF($BT34=0, INDEX(LS_current!$D$4:$AY$138, MATCH('Staging Table'!$A34, LS_current!$B$4:$B$138, 0), MATCH(CK$4&amp;CK$5, LS_current!$D$2:$AY$2&amp;LS_current!$D$3:$AY$3, 0)),SUM(VLOOKUP($A34, LS_current!$B$4:$AY$138, LS_current!P$148, FALSE), VLOOKUP($A34, LS_current!$B$4:$AY$138,LS_current!AN$148, FALSE))/2)</f>
        <v>4.2688777815878538</v>
      </c>
      <c r="CL34" s="192">
        <f t="array" ref="CL34">IF($BT34=0, INDEX(LS_current!$D$4:$AY$138, MATCH('Staging Table'!$A34, LS_current!$B$4:$B$138, 0), MATCH(CL$4&amp;CL$5, LS_current!$D$2:$AY$2&amp;LS_current!$D$3:$AY$3, 0)),SUM(VLOOKUP($A34, LS_current!$B$4:$AY$138, LS_current!Q$148, FALSE), VLOOKUP($A34, LS_current!$B$4:$AY$138,LS_current!AO$148, FALSE))/2)</f>
        <v>6.095619841469798</v>
      </c>
      <c r="CM34" s="192">
        <f t="array" ref="CM34">IF($BT34=0, INDEX(LS_current!$D$4:$AY$138, MATCH('Staging Table'!$A34, LS_current!$B$4:$B$138, 0), MATCH(CM$4&amp;CM$5, LS_current!$D$2:$AY$2&amp;LS_current!$D$3:$AY$3, 0)),SUM(VLOOKUP($A34, LS_current!$B$4:$AY$138, LS_current!R$148, FALSE), VLOOKUP($A34, LS_current!$B$4:$AY$138,LS_current!AP$148, FALSE))/2)</f>
        <v>-21.770506405225952</v>
      </c>
      <c r="CN34" s="192">
        <f t="array" ref="CN34">IF($BT34=0, INDEX(LS_current!$D$4:$AY$138, MATCH('Staging Table'!$A34, LS_current!$B$4:$B$138, 0), MATCH(CN$4&amp;CN$5, LS_current!$D$2:$AY$2&amp;LS_current!$D$3:$AY$3, 0)),SUM(VLOOKUP($A34, LS_current!$B$4:$AY$138, LS_current!S$148, FALSE), VLOOKUP($A34, LS_current!$B$4:$AY$138,LS_current!AQ$148, FALSE))/2)</f>
        <v>-1.5392796445735506</v>
      </c>
      <c r="CO34" s="192">
        <f t="array" ref="CO34">IF($BT34=0, INDEX(LS_current!$D$4:$AY$138, MATCH('Staging Table'!$A34, LS_current!$B$4:$B$138, 0), MATCH(CO$4&amp;CO$5, LS_current!$D$2:$AY$2&amp;LS_current!$D$3:$AY$3, 0)),SUM(VLOOKUP($A34, LS_current!$B$4:$AY$138, LS_current!T$148, FALSE), VLOOKUP($A34, LS_current!$B$4:$AY$138,LS_current!AR$148, FALSE))/2)</f>
        <v>-27.653354072186104</v>
      </c>
      <c r="CP34" s="192">
        <f t="array" ref="CP34">IF($BT34=0, INDEX(LS_current!$D$4:$AY$138, MATCH('Staging Table'!$A34, LS_current!$B$4:$B$138, 0), MATCH(CP$4&amp;CP$5, LS_current!$D$2:$AY$2&amp;LS_current!$D$3:$AY$3, 0)),SUM(VLOOKUP($A34, LS_current!$B$4:$AY$138, LS_current!U$148, FALSE), VLOOKUP($A34, LS_current!$B$4:$AY$138,LS_current!AS$148, FALSE))/2)</f>
        <v>-3.9834499327042536</v>
      </c>
      <c r="CQ34" s="192">
        <f t="array" ref="CQ34">IF($BT34=0, INDEX(LS_current!$D$4:$AY$138, MATCH('Staging Table'!$A34, LS_current!$B$4:$B$138, 0), MATCH(CQ$4&amp;CQ$5, LS_current!$D$2:$AY$2&amp;LS_current!$D$3:$AY$3, 0)),SUM(VLOOKUP($A34, LS_current!$B$4:$AY$138, LS_current!V$148, FALSE), VLOOKUP($A34, LS_current!$B$4:$AY$138,LS_current!AT$148, FALSE))/2)</f>
        <v>-21.006284272163253</v>
      </c>
      <c r="CR34" s="192">
        <f t="array" ref="CR34">IF($BT34=0, INDEX(LS_current!$D$4:$AY$138, MATCH('Staging Table'!$A34, LS_current!$B$4:$B$138, 0), MATCH(CR$4&amp;CR$5, LS_current!$D$2:$AY$2&amp;LS_current!$D$3:$AY$3, 0)),SUM(VLOOKUP($A34, LS_current!$B$4:$AY$138, LS_current!W$148, FALSE), VLOOKUP($A34, LS_current!$B$4:$AY$138,LS_current!AU$148, FALSE))/2)</f>
        <v>-2.7840115201614992</v>
      </c>
      <c r="CS34" s="192">
        <f t="array" ref="CS34">IF($BT34=0, INDEX(LS_current!$D$4:$AY$138, MATCH('Staging Table'!$A34, LS_current!$B$4:$B$138, 0), MATCH(CS$4&amp;CS$5, LS_current!$D$2:$AY$2&amp;LS_current!$D$3:$AY$3, 0)),SUM(VLOOKUP($A34, LS_current!$B$4:$AY$138, LS_current!X$148, FALSE), VLOOKUP($A34, LS_current!$B$4:$AY$138,LS_current!AV$148, FALSE))/2)</f>
        <v>-19.071154067092444</v>
      </c>
      <c r="CT34" s="192">
        <f t="array" ref="CT34">IF($BT34=0, INDEX(LS_current!$D$4:$AY$138, MATCH('Staging Table'!$A34, LS_current!$B$4:$B$138, 0), MATCH(CT$4&amp;CT$5, LS_current!$D$2:$AY$2&amp;LS_current!$D$3:$AY$3, 0)),SUM(VLOOKUP($A34, LS_current!$B$4:$AY$138, LS_current!Y$148, FALSE), VLOOKUP($A34, LS_current!$B$4:$AY$138,LS_current!AW$148, FALSE))/2)</f>
        <v>-4.6564725211795981</v>
      </c>
      <c r="CU34" s="192">
        <f t="array" ref="CU34">IF($BT34=0, INDEX(LS_current!$D$4:$AY$138, MATCH('Staging Table'!$A34, LS_current!$B$4:$B$138, 0), MATCH(CU$4&amp;CU$5, LS_current!$D$2:$AY$2&amp;LS_current!$D$3:$AY$3, 0)),SUM(VLOOKUP($A34, LS_current!$B$4:$AY$138, LS_current!Z$148, FALSE), VLOOKUP($A34, LS_current!$B$4:$AY$138,LS_current!AX$148, FALSE))/2)</f>
        <v>-17.344558412305055</v>
      </c>
      <c r="CV34" s="192">
        <f t="array" ref="CV34">IF($BT34=0, INDEX(LS_current!$D$4:$AY$138, MATCH('Staging Table'!$A34, LS_current!$B$4:$B$138, 0), MATCH(CV$4&amp;CV$5, LS_current!$D$2:$AY$2&amp;LS_current!$D$3:$AY$3, 0)),SUM(VLOOKUP($A34, LS_current!$B$4:$AY$138, LS_current!AA$148, FALSE), VLOOKUP($A34, LS_current!$B$4:$AY$138,LS_current!AY$148, FALSE))/2)</f>
        <v>-5.5501566130539501</v>
      </c>
      <c r="CW34" s="194">
        <f t="array" ref="CW34">INDEX(Demand_current!$D$4:$AY$138, MATCH($A34, Demand_current!$B$4:$B$138, 0), MATCH(CW$4&amp;CW$5,Demand_current!$D$2:$AY$2&amp;Demand_current!$D$3:$AY$3, 0))/1000</f>
        <v>1.6137019230769239E-2</v>
      </c>
      <c r="CX34" s="194">
        <f t="array" ref="CX34">INDEX(Demand_current!$D$4:$AY$138, MATCH($A34, Demand_current!$B$4:$B$138, 0), MATCH(CX$4&amp;CX$5,Demand_current!$D$2:$AY$2&amp;Demand_current!$D$3:$AY$3, 0))/1000</f>
        <v>2.0174999999999915E-3</v>
      </c>
      <c r="CY34" s="194">
        <f t="array" ref="CY34">INDEX(Demand_current!$D$4:$AY$138, MATCH($A34, Demand_current!$B$4:$B$138, 0), MATCH(CY$4&amp;CY$5,Demand_current!$D$2:$AY$2&amp;Demand_current!$D$3:$AY$3, 0))/1000</f>
        <v>8.1875000000000073E-3</v>
      </c>
      <c r="CZ34" s="194">
        <f t="array" ref="CZ34">INDEX(Demand_current!$D$4:$AY$138, MATCH($A34, Demand_current!$B$4:$B$138, 0), MATCH(CZ$4&amp;CZ$5,Demand_current!$D$2:$AY$2&amp;Demand_current!$D$3:$AY$3, 0))/1000</f>
        <v>3.318249999999999E-2</v>
      </c>
      <c r="DA34" s="194">
        <f t="array" ref="DA34">INDEX(Demand_current!$D$4:$AY$138, MATCH($A34, Demand_current!$B$4:$B$138, 0), MATCH(DA$4&amp;DA$5,Demand_current!$D$2:$AY$2&amp;Demand_current!$D$3:$AY$3, 0))/1000</f>
        <v>9.1588541666666745E-3</v>
      </c>
      <c r="DB34" s="194">
        <f t="array" ref="DB34">INDEX(Demand_current!$D$4:$AY$138, MATCH($A34, Demand_current!$B$4:$B$138, 0), MATCH(DB$4&amp;DB$5,Demand_current!$D$2:$AY$2&amp;Demand_current!$D$3:$AY$3, 0))/1000</f>
        <v>0</v>
      </c>
      <c r="DC34" s="194">
        <f t="array" ref="DC34">INDEX(Demand_current!$D$4:$AY$138, MATCH($A34, Demand_current!$B$4:$B$138, 0), MATCH(DC$4&amp;DC$5,Demand_current!$D$2:$AY$2&amp;Demand_current!$D$3:$AY$3, 0))/1000</f>
        <v>5.3365384615385036E-4</v>
      </c>
      <c r="DD34" s="194">
        <f t="array" ref="DD34">INDEX(Demand_current!$D$4:$AY$138, MATCH($A34, Demand_current!$B$4:$B$138, 0), MATCH(DD$4&amp;DD$5,Demand_current!$D$2:$AY$2&amp;Demand_current!$D$3:$AY$3, 0))/1000</f>
        <v>0</v>
      </c>
      <c r="DE34" s="194">
        <f t="array" ref="DE34">INDEX(Demand_current!$D$4:$AY$138, MATCH($A34, Demand_current!$B$4:$B$138, 0), MATCH(DE$4&amp;DE$5,Demand_current!$D$2:$AY$2&amp;Demand_current!$D$3:$AY$3, 0))/1000</f>
        <v>0</v>
      </c>
      <c r="DF34" s="194">
        <f t="array" ref="DF34">INDEX(Demand_current!$D$4:$AY$138, MATCH($A34, Demand_current!$B$4:$B$138, 0), MATCH(DF$4&amp;DF$5,Demand_current!$D$2:$AY$2&amp;Demand_current!$D$3:$AY$3, 0))/1000</f>
        <v>1.2952500000000002E-2</v>
      </c>
      <c r="DG34" s="194">
        <f t="array" ref="DG34">INDEX(Demand_current!$D$4:$AY$138, MATCH($A34, Demand_current!$B$4:$B$138, 0), MATCH(DG$4&amp;DG$5,Demand_current!$D$2:$AY$2&amp;Demand_current!$D$3:$AY$3, 0))/1000</f>
        <v>1.2349537037037034E-2</v>
      </c>
      <c r="DH34" s="194">
        <f t="array" ref="DH34">INDEX(Demand_current!$D$4:$AY$138, MATCH($A34, Demand_current!$B$4:$B$138, 0), MATCH(DH$4&amp;DH$5,Demand_current!$D$2:$AY$2&amp;Demand_current!$D$3:$AY$3, 0))/1000</f>
        <v>3.6225000000000003E-3</v>
      </c>
      <c r="DI34" s="192">
        <f>$BS34*(VLOOKUP(DI$4, Rates_current!$G$6:$Q$29, 10, FALSE)+VLOOKUP(DI$4, Rates_current!$G$6:$Q$29, 11, FALSE))</f>
        <v>64.210334332758308</v>
      </c>
      <c r="DJ34" s="192">
        <f>$BS34*(VLOOKUP(DJ$4, Rates_current!$G$6:$Q$29, 10, FALSE)+VLOOKUP(DJ$4, Rates_current!$G$6:$Q$29, 11, FALSE))</f>
        <v>81.292613618668668</v>
      </c>
      <c r="DK34" s="192">
        <f>$BS34*(VLOOKUP(DK$4, Rates_current!$G$6:$Q$29, 10, FALSE)+VLOOKUP(DK$4, Rates_current!$G$6:$Q$29, 11, FALSE))</f>
        <v>79.56922783290841</v>
      </c>
      <c r="DL34" s="192">
        <f>$BS34*(VLOOKUP(DL$4, Rates_current!$G$6:$Q$29, 10, FALSE)+VLOOKUP(DL$4, Rates_current!$G$6:$Q$29, 11, FALSE))</f>
        <v>65.720798521148708</v>
      </c>
      <c r="DM34" s="192">
        <f>$BS34*(VLOOKUP(DM$4, Rates_current!$G$6:$Q$29, 10, FALSE)+VLOOKUP(DM$4, Rates_current!$G$6:$Q$29, 11, FALSE))</f>
        <v>56.961656486820146</v>
      </c>
      <c r="DN34" s="192">
        <f>$BS34*(VLOOKUP(DN$4, Rates_current!$G$6:$Q$29, 10, FALSE)+VLOOKUP(DN$4, Rates_current!$G$6:$Q$29, 11, FALSE))</f>
        <v>68.000715051248548</v>
      </c>
      <c r="DO34" s="192">
        <f>$BS34*(VLOOKUP(DO$4, Rates_current!$G$6:$Q$29, 10, FALSE)+VLOOKUP(DO$4, Rates_current!$G$6:$Q$29, 11, FALSE))</f>
        <v>52.793502376942349</v>
      </c>
      <c r="DP34" s="192">
        <f>$BS34*(VLOOKUP(DP$4, Rates_current!$G$6:$Q$29, 10, FALSE)+VLOOKUP(DP$4, Rates_current!$G$6:$Q$29, 11, FALSE))</f>
        <v>73.145786049799497</v>
      </c>
      <c r="DQ34" s="192">
        <f>$BS34*(VLOOKUP(DQ$4, Rates_current!$G$6:$Q$29, 10, FALSE)+VLOOKUP(DQ$4, Rates_current!$G$6:$Q$29, 11, FALSE))</f>
        <v>78.157804004890352</v>
      </c>
      <c r="DR34" s="192">
        <f>$BS34*(VLOOKUP(DR$4, Rates_current!$G$6:$Q$29, 10, FALSE)+VLOOKUP(DR$4, Rates_current!$G$6:$Q$29, 11, FALSE))</f>
        <v>74.207295792324757</v>
      </c>
      <c r="DS34" s="192">
        <f>$BS34*(VLOOKUP(DS$4, Rates_current!$G$6:$Q$29, 10, FALSE)+VLOOKUP(DS$4, Rates_current!$G$6:$Q$29, 11, FALSE))</f>
        <v>71.715626588272045</v>
      </c>
      <c r="DT34" s="192">
        <f>$BS34*(VLOOKUP(DT$4, Rates_current!$G$6:$Q$29, 10, FALSE)+VLOOKUP(DT$4, Rates_current!$G$6:$Q$29, 11, FALSE))</f>
        <v>66.272715025359005</v>
      </c>
      <c r="DU34" s="418">
        <f>IF(D34=0,IF(C34=0,MAX(0,DW34 - (VLOOKUP($A34,TOCA_current!$A$2:$AI$137,MATCH("RHWM 2022",TOCA_current!$A$2:$AI$2,0),FALSE)*$BS$2)), 0),0)</f>
        <v>0</v>
      </c>
      <c r="DV34" s="419">
        <f>MIN(VLOOKUP($A34,TOCA_current!$A$2:$AI$137,MATCH("TRL - NLSL - Existing Resource "&amp;$BS$1,TOCA_current!$A$2:$AI$2,0),FALSE)*$BS$2, VLOOKUP($A34,TOCA_current!$A$2:$AI$137,MATCH("RHWM 2022",TOCA_current!$A$2:$AI$2,0),FALSE)*$BS$2)</f>
        <v>832.2</v>
      </c>
      <c r="DW34" s="419">
        <f>SUM(BY34:CV34)+(BS34*RT1SC!$C$4*$BS$2)</f>
        <v>832.34004256285925</v>
      </c>
      <c r="DX34" s="419">
        <f>VLOOKUP($A34,TOCA_current!$A$2:$AI$137,MATCH("Above RHWM Not Served with LS "&amp;$BS$1,TOCA_current!$A$2:$AI$2,0),FALSE)*$BS$2</f>
        <v>0</v>
      </c>
      <c r="DY34" s="419">
        <f t="shared" si="13"/>
        <v>0.14004256285920746</v>
      </c>
      <c r="DZ34" s="419">
        <f>(VLOOKUP($A34,TOCA_current!$A$2:$AI$137,MATCH("RHWM 2022",TOCA_current!$A$2:$AI$2,0),FALSE)*$BS$2) - $DV34</f>
        <v>157.67999999999995</v>
      </c>
      <c r="EA34" s="419">
        <f t="shared" si="14"/>
        <v>-0.14004256285920746</v>
      </c>
      <c r="EB34" s="419">
        <f t="shared" si="15"/>
        <v>0</v>
      </c>
      <c r="EC34" s="419">
        <f t="shared" si="16"/>
        <v>0</v>
      </c>
      <c r="ED34" s="419">
        <f t="shared" si="17"/>
        <v>-0.14004256285920746</v>
      </c>
    </row>
    <row r="35" spans="1:134">
      <c r="A35" s="135">
        <v>10083</v>
      </c>
      <c r="B35" s="136" t="s">
        <v>36</v>
      </c>
      <c r="C35" s="244">
        <f>VLOOKUP(A35, TOCA_current!$A$3:$D$137, 4, FALSE)</f>
        <v>0</v>
      </c>
      <c r="D35" s="203">
        <v>0</v>
      </c>
      <c r="E35" s="119">
        <f>VLOOKUP($A35,TOCA_previous!$A$2:$AI$137,MATCH(E$4,TOCA_previous!$A$2:$AI$2,0),FALSE)</f>
        <v>1.1842999999999999E-3</v>
      </c>
      <c r="F35" s="120">
        <f>VLOOKUP($A35,TOCA_previous!$A$2:$AI$137,MATCH(F$4,TOCA_previous!$A$2:$AI$2,0),FALSE)</f>
        <v>1.1842999999999999E-3</v>
      </c>
      <c r="G35" s="120">
        <f t="shared" si="5"/>
        <v>0</v>
      </c>
      <c r="H35" s="120">
        <f>VLOOKUP($A35,TOCA_previous!$A$2:$AI$137,MATCH(H$4,TOCA_previous!$A$2:$AI$2,0),FALSE)</f>
        <v>0</v>
      </c>
      <c r="I35" s="120">
        <f t="shared" si="6"/>
        <v>0</v>
      </c>
      <c r="J35" s="120">
        <f t="shared" si="7"/>
        <v>0</v>
      </c>
      <c r="K35" s="191">
        <f>VLOOKUP(A35, IRD!$A$5:$C$139, 3, FALSE)</f>
        <v>0</v>
      </c>
      <c r="L35" s="192">
        <f t="array" ref="L35">IF($G35=0, INDEX(LS_previous!$D$4:$AY$138, MATCH('Staging Table'!$A35, LS_previous!$B$4:$B$138, 0), MATCH(L$4&amp;L$5, LS_previous!$D$2:$AY$2&amp;LS_previous!$D$3:$AY$3, 0)),SUM(VLOOKUP($A35, LS_previous!$B$4:$AY$138, LS_previous!D$149, FALSE), VLOOKUP('Staging Table'!$A35, LS_previous!$B$4:$AY$138,LS_previous!AB$149, FALSE))/2)</f>
        <v>171.25586099160046</v>
      </c>
      <c r="M35" s="192">
        <f t="array" ref="M35">IF($G35=0, INDEX(LS_previous!$D$4:$AY$138, MATCH('Staging Table'!$A35, LS_previous!$B$4:$B$138, 0), MATCH(M$4&amp;M$5, LS_previous!$D$2:$AY$2&amp;LS_previous!$D$3:$AY$3, 0)),SUM(VLOOKUP($A35, LS_previous!$B$4:$AY$138, LS_previous!E$149, FALSE), VLOOKUP('Staging Table'!$A35, LS_previous!$B$4:$AY$138,LS_previous!AC$149, FALSE))/2)</f>
        <v>332.46438378560038</v>
      </c>
      <c r="N35" s="192">
        <f t="array" ref="N35">IF($G35=0, INDEX(LS_previous!$D$4:$AY$138, MATCH('Staging Table'!$A35, LS_previous!$B$4:$B$138, 0), MATCH(N$4&amp;N$5, LS_previous!$D$2:$AY$2&amp;LS_previous!$D$3:$AY$3, 0)),SUM(VLOOKUP($A35, LS_previous!$B$4:$AY$138, LS_previous!F$149, FALSE), VLOOKUP('Staging Table'!$A35, LS_previous!$B$4:$AY$138,LS_previous!AD$149, FALSE))/2)</f>
        <v>-254.3203634103993</v>
      </c>
      <c r="O35" s="192">
        <f t="array" ref="O35">IF($G35=0, INDEX(LS_previous!$D$4:$AY$138, MATCH('Staging Table'!$A35, LS_previous!$B$4:$B$138, 0), MATCH(O$4&amp;O$5, LS_previous!$D$2:$AY$2&amp;LS_previous!$D$3:$AY$3, 0)),SUM(VLOOKUP($A35, LS_previous!$B$4:$AY$138, LS_previous!G$149, FALSE), VLOOKUP('Staging Table'!$A35, LS_previous!$B$4:$AY$138,LS_previous!AE$149, FALSE))/2)</f>
        <v>6.5157784627003821</v>
      </c>
      <c r="P35" s="192">
        <f t="array" ref="P35">IF($G35=0, INDEX(LS_previous!$D$4:$AY$138, MATCH('Staging Table'!$A35, LS_previous!$B$4:$B$138, 0), MATCH(P$4&amp;P$5, LS_previous!$D$2:$AY$2&amp;LS_previous!$D$3:$AY$3, 0)),SUM(VLOOKUP($A35, LS_previous!$B$4:$AY$138, LS_previous!H$149, FALSE), VLOOKUP('Staging Table'!$A35, LS_previous!$B$4:$AY$138,LS_previous!AF$149, FALSE))/2)</f>
        <v>717.6787633504</v>
      </c>
      <c r="Q35" s="192">
        <f t="array" ref="Q35">IF($G35=0, INDEX(LS_previous!$D$4:$AY$138, MATCH('Staging Table'!$A35, LS_previous!$B$4:$B$138, 0), MATCH(Q$4&amp;Q$5, LS_previous!$D$2:$AY$2&amp;LS_previous!$D$3:$AY$3, 0)),SUM(VLOOKUP($A35, LS_previous!$B$4:$AY$138, LS_previous!I$149, FALSE), VLOOKUP('Staging Table'!$A35, LS_previous!$B$4:$AY$138,LS_previous!AG$149, FALSE))/2)</f>
        <v>572.59022452680028</v>
      </c>
      <c r="R35" s="192">
        <f t="array" ref="R35">IF($G35=0, INDEX(LS_previous!$D$4:$AY$138, MATCH('Staging Table'!$A35, LS_previous!$B$4:$B$138, 0), MATCH(R$4&amp;R$5, LS_previous!$D$2:$AY$2&amp;LS_previous!$D$3:$AY$3, 0)),SUM(VLOOKUP($A35, LS_previous!$B$4:$AY$138, LS_previous!J$149, FALSE), VLOOKUP('Staging Table'!$A35, LS_previous!$B$4:$AY$138,LS_previous!AH$149, FALSE))/2)</f>
        <v>1427.7478101504003</v>
      </c>
      <c r="S35" s="192">
        <f t="array" ref="S35">IF($G35=0, INDEX(LS_previous!$D$4:$AY$138, MATCH('Staging Table'!$A35, LS_previous!$B$4:$B$138, 0), MATCH(S$4&amp;S$5, LS_previous!$D$2:$AY$2&amp;LS_previous!$D$3:$AY$3, 0)),SUM(VLOOKUP($A35, LS_previous!$B$4:$AY$138, LS_previous!K$149, FALSE), VLOOKUP('Staging Table'!$A35, LS_previous!$B$4:$AY$138,LS_previous!AI$149, FALSE))/2)</f>
        <v>1472.9089441268002</v>
      </c>
      <c r="T35" s="192">
        <f t="array" ref="T35">IF($G35=0, INDEX(LS_previous!$D$4:$AY$138, MATCH('Staging Table'!$A35, LS_previous!$B$4:$B$138, 0), MATCH(T$4&amp;T$5, LS_previous!$D$2:$AY$2&amp;LS_previous!$D$3:$AY$3, 0)),SUM(VLOOKUP($A35, LS_previous!$B$4:$AY$138, LS_previous!L$149, FALSE), VLOOKUP('Staging Table'!$A35, LS_previous!$B$4:$AY$138,LS_previous!AJ$149, FALSE))/2)</f>
        <v>1108.1058260468003</v>
      </c>
      <c r="U35" s="192">
        <f t="array" ref="U35">IF($G35=0, INDEX(LS_previous!$D$4:$AY$138, MATCH('Staging Table'!$A35, LS_previous!$B$4:$B$138, 0), MATCH(U$4&amp;U$5, LS_previous!$D$2:$AY$2&amp;LS_previous!$D$3:$AY$3, 0)),SUM(VLOOKUP($A35, LS_previous!$B$4:$AY$138, LS_previous!M$149, FALSE), VLOOKUP('Staging Table'!$A35, LS_previous!$B$4:$AY$138,LS_previous!AK$149, FALSE))/2)</f>
        <v>731.5051977132</v>
      </c>
      <c r="V35" s="192">
        <f t="array" ref="V35">IF($G35=0, INDEX(LS_previous!$D$4:$AY$138, MATCH('Staging Table'!$A35, LS_previous!$B$4:$B$138, 0), MATCH(V$4&amp;V$5, LS_previous!$D$2:$AY$2&amp;LS_previous!$D$3:$AY$3, 0)),SUM(VLOOKUP($A35, LS_previous!$B$4:$AY$138, LS_previous!N$149, FALSE), VLOOKUP('Staging Table'!$A35, LS_previous!$B$4:$AY$138,LS_previous!AL$149, FALSE))/2)</f>
        <v>523.80254371120054</v>
      </c>
      <c r="W35" s="192">
        <f t="array" ref="W35">IF($G35=0, INDEX(LS_previous!$D$4:$AY$138, MATCH('Staging Table'!$A35, LS_previous!$B$4:$B$138, 0), MATCH(W$4&amp;W$5, LS_previous!$D$2:$AY$2&amp;LS_previous!$D$3:$AY$3, 0)),SUM(VLOOKUP($A35, LS_previous!$B$4:$AY$138, LS_previous!O$149, FALSE), VLOOKUP('Staging Table'!$A35, LS_previous!$B$4:$AY$138,LS_previous!AM$149, FALSE))/2)</f>
        <v>312.76742409970029</v>
      </c>
      <c r="X35" s="192">
        <f t="array" ref="X35">IF($G35=0, INDEX(LS_previous!$D$4:$AY$138, MATCH('Staging Table'!$A35, LS_previous!$B$4:$B$138, 0), MATCH(X$4&amp;X$5, LS_previous!$D$2:$AY$2&amp;LS_previous!$D$3:$AY$3, 0)),SUM(VLOOKUP($A35, LS_previous!$B$4:$AY$138, LS_previous!P$149, FALSE), VLOOKUP('Staging Table'!$A35, LS_previous!$B$4:$AY$138,LS_previous!AN$149, FALSE))/2)</f>
        <v>876.6985876808003</v>
      </c>
      <c r="Y35" s="192">
        <f t="array" ref="Y35">IF($G35=0, INDEX(LS_previous!$D$4:$AY$138, MATCH('Staging Table'!$A35, LS_previous!$B$4:$B$138, 0), MATCH(Y$4&amp;Y$5, LS_previous!$D$2:$AY$2&amp;LS_previous!$D$3:$AY$3, 0)),SUM(VLOOKUP($A35, LS_previous!$B$4:$AY$138, LS_previous!Q$149, FALSE), VLOOKUP('Staging Table'!$A35, LS_previous!$B$4:$AY$138,LS_previous!AO$149, FALSE))/2)</f>
        <v>468.30385845520004</v>
      </c>
      <c r="Z35" s="192">
        <f t="array" ref="Z35">IF($G35=0, INDEX(LS_previous!$D$4:$AY$138, MATCH('Staging Table'!$A35, LS_previous!$B$4:$B$138, 0), MATCH(Z$4&amp;Z$5, LS_previous!$D$2:$AY$2&amp;LS_previous!$D$3:$AY$3, 0)),SUM(VLOOKUP($A35, LS_previous!$B$4:$AY$138, LS_previous!R$149, FALSE), VLOOKUP('Staging Table'!$A35, LS_previous!$B$4:$AY$138,LS_previous!AP$149, FALSE))/2)</f>
        <v>-918.35955252999929</v>
      </c>
      <c r="AA35" s="192">
        <f t="array" ref="AA35">IF($G35=0, INDEX(LS_previous!$D$4:$AY$138, MATCH('Staging Table'!$A35, LS_previous!$B$4:$B$138, 0), MATCH(AA$4&amp;AA$5, LS_previous!$D$2:$AY$2&amp;LS_previous!$D$3:$AY$3, 0)),SUM(VLOOKUP($A35, LS_previous!$B$4:$AY$138, LS_previous!S$149, FALSE), VLOOKUP('Staging Table'!$A35, LS_previous!$B$4:$AY$138,LS_previous!AQ$149, FALSE))/2)</f>
        <v>-127.3996388427995</v>
      </c>
      <c r="AB35" s="192">
        <f t="array" ref="AB35">IF($G35=0, INDEX(LS_previous!$D$4:$AY$138, MATCH('Staging Table'!$A35, LS_previous!$B$4:$B$138, 0), MATCH(AB$4&amp;AB$5, LS_previous!$D$2:$AY$2&amp;LS_previous!$D$3:$AY$3, 0)),SUM(VLOOKUP($A35, LS_previous!$B$4:$AY$138, LS_previous!T$149, FALSE), VLOOKUP('Staging Table'!$A35, LS_previous!$B$4:$AY$138,LS_previous!AR$149, FALSE))/2)</f>
        <v>-1943.0878433691996</v>
      </c>
      <c r="AC35" s="192">
        <f t="array" ref="AC35">IF($G35=0, INDEX(LS_previous!$D$4:$AY$138, MATCH('Staging Table'!$A35, LS_previous!$B$4:$B$138, 0), MATCH(AC$4&amp;AC$5, LS_previous!$D$2:$AY$2&amp;LS_previous!$D$3:$AY$3, 0)),SUM(VLOOKUP($A35, LS_previous!$B$4:$AY$138, LS_previous!U$149, FALSE), VLOOKUP('Staging Table'!$A35, LS_previous!$B$4:$AY$138,LS_previous!AS$149, FALSE))/2)</f>
        <v>-1032.0420513447998</v>
      </c>
      <c r="AD35" s="192">
        <f t="array" ref="AD35">IF($G35=0, INDEX(LS_previous!$D$4:$AY$138, MATCH('Staging Table'!$A35, LS_previous!$B$4:$B$138, 0), MATCH(AD$4&amp;AD$5, LS_previous!$D$2:$AY$2&amp;LS_previous!$D$3:$AY$3, 0)),SUM(VLOOKUP($A35, LS_previous!$B$4:$AY$138, LS_previous!V$149, FALSE), VLOOKUP('Staging Table'!$A35, LS_previous!$B$4:$AY$138,LS_previous!AT$149, FALSE))/2)</f>
        <v>-969.60097486919904</v>
      </c>
      <c r="AE35" s="192">
        <f t="array" ref="AE35">IF($G35=0, INDEX(LS_previous!$D$4:$AY$138, MATCH('Staging Table'!$A35, LS_previous!$B$4:$B$138, 0), MATCH(AE$4&amp;AE$5, LS_previous!$D$2:$AY$2&amp;LS_previous!$D$3:$AY$3, 0)),SUM(VLOOKUP($A35, LS_previous!$B$4:$AY$138, LS_previous!W$149, FALSE), VLOOKUP('Staging Table'!$A35, LS_previous!$B$4:$AY$138,LS_previous!AU$149, FALSE))/2)</f>
        <v>200.28972444640044</v>
      </c>
      <c r="AF35" s="192">
        <f t="array" ref="AF35">IF($G35=0, INDEX(LS_previous!$D$4:$AY$138, MATCH('Staging Table'!$A35, LS_previous!$B$4:$B$138, 0), MATCH(AF$4&amp;AF$5, LS_previous!$D$2:$AY$2&amp;LS_previous!$D$3:$AY$3, 0)),SUM(VLOOKUP($A35, LS_previous!$B$4:$AY$138, LS_previous!X$149, FALSE), VLOOKUP('Staging Table'!$A35, LS_previous!$B$4:$AY$138,LS_previous!AV$149, FALSE))/2)</f>
        <v>-689.4974177191998</v>
      </c>
      <c r="AG35" s="192">
        <f t="array" ref="AG35">IF($G35=0, INDEX(LS_previous!$D$4:$AY$138, MATCH('Staging Table'!$A35, LS_previous!$B$4:$B$138, 0), MATCH(AG$4&amp;AG$5, LS_previous!$D$2:$AY$2&amp;LS_previous!$D$3:$AY$3, 0)),SUM(VLOOKUP($A35, LS_previous!$B$4:$AY$138, LS_previous!Y$149, FALSE), VLOOKUP('Staging Table'!$A35, LS_previous!$B$4:$AY$138,LS_previous!AW$149, FALSE))/2)</f>
        <v>-95.542339553599959</v>
      </c>
      <c r="AH35" s="192">
        <f t="array" ref="AH35">IF($G35=0, INDEX(LS_previous!$D$4:$AY$138, MATCH('Staging Table'!$A35, LS_previous!$B$4:$B$138, 0), MATCH(AH$4&amp;AH$5, LS_previous!$D$2:$AY$2&amp;LS_previous!$D$3:$AY$3, 0)),SUM(VLOOKUP($A35, LS_previous!$B$4:$AY$138, LS_previous!Z$149, FALSE), VLOOKUP('Staging Table'!$A35, LS_previous!$B$4:$AY$138,LS_previous!AX$149, FALSE))/2)</f>
        <v>-346.16956607999964</v>
      </c>
      <c r="AI35" s="192">
        <f t="array" ref="AI35">IF($G35=0, INDEX(LS_previous!$D$4:$AY$138, MATCH('Staging Table'!$A35, LS_previous!$B$4:$B$138, 0), MATCH(AI$4&amp;AI$5, LS_previous!$D$2:$AY$2&amp;LS_previous!$D$3:$AY$3, 0)),SUM(VLOOKUP($A35, LS_previous!$B$4:$AY$138, LS_previous!AA$149, FALSE), VLOOKUP('Staging Table'!$A35, LS_previous!$B$4:$AY$138,LS_previous!AY$149, FALSE))/2)</f>
        <v>-91.714506083999595</v>
      </c>
      <c r="AJ35" s="314">
        <f t="array" ref="AJ35">INDEX(Demand_previous!$D$4:$AY$138, MATCH('Staging Table'!$A35, Demand_previous!$B$4:$B$138, 0), MATCH(AJ$4&amp;AJ$5,Demand_previous!$D$2:$AY$2&amp;Demand_previous!$D$3:$AY$3, 0))/1000</f>
        <v>0.41841666666666733</v>
      </c>
      <c r="AK35" s="314">
        <f t="array" ref="AK35">INDEX(Demand_previous!$D$4:$AY$138, MATCH('Staging Table'!$A35, Demand_previous!$B$4:$B$138, 0), MATCH(AK$4&amp;AK$5,Demand_previous!$D$2:$AY$2&amp;Demand_previous!$D$3:$AY$3, 0))/1000</f>
        <v>0</v>
      </c>
      <c r="AL35" s="314">
        <f t="array" ref="AL35">INDEX(Demand_previous!$D$4:$AY$138, MATCH('Staging Table'!$A35, Demand_previous!$B$4:$B$138, 0), MATCH(AL$4&amp;AL$5,Demand_previous!$D$2:$AY$2&amp;Demand_previous!$D$3:$AY$3, 0))/1000</f>
        <v>0.84867250000000061</v>
      </c>
      <c r="AM35" s="314">
        <f t="array" ref="AM35">INDEX(Demand_previous!$D$4:$AY$138, MATCH('Staging Table'!$A35, Demand_previous!$B$4:$B$138, 0), MATCH(AM$4&amp;AM$5,Demand_previous!$D$2:$AY$2&amp;Demand_previous!$D$3:$AY$3, 0))/1000</f>
        <v>0.79599519230769156</v>
      </c>
      <c r="AN35" s="314">
        <f t="array" ref="AN35">INDEX(Demand_previous!$D$4:$AY$138, MATCH('Staging Table'!$A35, Demand_previous!$B$4:$B$138, 0), MATCH(AN$4&amp;AN$5,Demand_previous!$D$2:$AY$2&amp;Demand_previous!$D$3:$AY$3, 0))/1000</f>
        <v>1.1942975000000016</v>
      </c>
      <c r="AO35" s="314">
        <f t="array" ref="AO35">INDEX(Demand_previous!$D$4:$AY$138, MATCH('Staging Table'!$A35, Demand_previous!$B$4:$B$138, 0), MATCH(AO$4&amp;AO$5,Demand_previous!$D$2:$AY$2&amp;Demand_previous!$D$3:$AY$3, 0))/1000</f>
        <v>0.98393749999999969</v>
      </c>
      <c r="AP35" s="314">
        <f t="array" ref="AP35">INDEX(Demand_previous!$D$4:$AY$138, MATCH('Staging Table'!$A35, Demand_previous!$B$4:$B$138, 0), MATCH(AP$4&amp;AP$5,Demand_previous!$D$2:$AY$2&amp;Demand_previous!$D$3:$AY$3, 0))/1000</f>
        <v>0.71562740384615386</v>
      </c>
      <c r="AQ35" s="314">
        <f t="array" ref="AQ35">INDEX(Demand_previous!$D$4:$AY$138, MATCH('Staging Table'!$A35, Demand_previous!$B$4:$B$138, 0), MATCH(AQ$4&amp;AQ$5,Demand_previous!$D$2:$AY$2&amp;Demand_previous!$D$3:$AY$3, 0))/1000</f>
        <v>1.0727600000000004</v>
      </c>
      <c r="AR35" s="314">
        <f t="array" ref="AR35">INDEX(Demand_previous!$D$4:$AY$138, MATCH('Staging Table'!$A35, Demand_previous!$B$4:$B$138, 0), MATCH(AR$4&amp;AR$5,Demand_previous!$D$2:$AY$2&amp;Demand_previous!$D$3:$AY$3, 0))/1000</f>
        <v>2.7077307692307686</v>
      </c>
      <c r="AS35" s="314">
        <f t="array" ref="AS35">INDEX(Demand_previous!$D$4:$AY$138, MATCH('Staging Table'!$A35, Demand_previous!$B$4:$B$138, 0), MATCH(AS$4&amp;AS$5,Demand_previous!$D$2:$AY$2&amp;Demand_previous!$D$3:$AY$3, 0))/1000</f>
        <v>3.2053798076923075</v>
      </c>
      <c r="AT35" s="314">
        <f t="array" ref="AT35">INDEX(Demand_previous!$D$4:$AY$138, MATCH('Staging Table'!$A35, Demand_previous!$B$4:$B$138, 0), MATCH(AT$4&amp;AT$5,Demand_previous!$D$2:$AY$2&amp;Demand_previous!$D$3:$AY$3, 0))/1000</f>
        <v>2.6874711538461522</v>
      </c>
      <c r="AU35" s="314">
        <f t="array" ref="AU35">INDEX(Demand_previous!$D$4:$AY$138, MATCH('Staging Table'!$A35, Demand_previous!$B$4:$B$138, 0), MATCH(AU$4&amp;AU$5,Demand_previous!$D$2:$AY$2&amp;Demand_previous!$D$3:$AY$3, 0))/1000</f>
        <v>2.5447575000000002</v>
      </c>
      <c r="AV35" s="192">
        <f>$F35*(VLOOKUP(AV$4, Rates_previous!$G$6:$Q$29, 10, FALSE)+VLOOKUP(AV$4, Rates_previous!$G$6:$Q$29, 11, FALSE))</f>
        <v>5468.2887552227985</v>
      </c>
      <c r="AW35" s="192">
        <f>$F35*(VLOOKUP(AW$4, Rates_previous!$G$6:$Q$29, 10, FALSE)+VLOOKUP(AW$4, Rates_previous!$G$6:$Q$29, 11, FALSE))</f>
        <v>6946.4325849476991</v>
      </c>
      <c r="AX35" s="192">
        <f>$F35*(VLOOKUP(AX$4, Rates_previous!$G$6:$Q$29, 10, FALSE)+VLOOKUP(AX$4, Rates_previous!$G$6:$Q$29, 11, FALSE))</f>
        <v>6862.5450121227996</v>
      </c>
      <c r="AY35" s="192">
        <f>$F35*(VLOOKUP(AY$4, Rates_previous!$G$6:$Q$29, 10, FALSE)+VLOOKUP(AY$4, Rates_previous!$G$6:$Q$29, 11, FALSE))</f>
        <v>5720.3492457228003</v>
      </c>
      <c r="AZ35" s="192">
        <f>$F35*(VLOOKUP(AZ$4, Rates_previous!$G$6:$Q$29, 10, FALSE)+VLOOKUP(AZ$4, Rates_previous!$G$6:$Q$29, 11, FALSE))</f>
        <v>5182.042976239999</v>
      </c>
      <c r="BA35" s="192">
        <f>$F35*(VLOOKUP(BA$4, Rates_previous!$G$6:$Q$29, 10, FALSE)+VLOOKUP(BA$4, Rates_previous!$G$6:$Q$29, 11, FALSE))</f>
        <v>5764.0780321890998</v>
      </c>
      <c r="BB35" s="192">
        <f>$F35*(VLOOKUP(BB$4, Rates_previous!$G$6:$Q$29, 10, FALSE)+VLOOKUP(BB$4, Rates_previous!$G$6:$Q$29, 11, FALSE))</f>
        <v>4693.1185538639993</v>
      </c>
      <c r="BC35" s="192">
        <f>$F35*(VLOOKUP(BC$4, Rates_previous!$G$6:$Q$29, 10, FALSE)+VLOOKUP(BC$4, Rates_previous!$G$6:$Q$29, 11, FALSE))</f>
        <v>6329.3701913728</v>
      </c>
      <c r="BD35" s="192">
        <f>$F35*(VLOOKUP(BD$4, Rates_previous!$G$6:$Q$29, 10, FALSE)+VLOOKUP(BD$4, Rates_previous!$G$6:$Q$29, 11, FALSE))</f>
        <v>8075.8458947139998</v>
      </c>
      <c r="BE35" s="192">
        <f>$F35*(VLOOKUP(BE$4, Rates_previous!$G$6:$Q$29, 10, FALSE)+VLOOKUP(BE$4, Rates_previous!$G$6:$Q$29, 11, FALSE))</f>
        <v>6331.7192504227996</v>
      </c>
      <c r="BF35" s="192">
        <f>$F35*(VLOOKUP(BF$4, Rates_previous!$G$6:$Q$29, 10, FALSE)+VLOOKUP(BF$4, Rates_previous!$G$6:$Q$29, 11, FALSE))</f>
        <v>6165.8337572727996</v>
      </c>
      <c r="BG35" s="192">
        <f>$F35*(VLOOKUP(BG$4, Rates_previous!$G$6:$Q$29, 10, FALSE)+VLOOKUP(BG$4, Rates_previous!$G$6:$Q$29, 11, FALSE))</f>
        <v>5535.6070721639999</v>
      </c>
      <c r="BH35" s="314">
        <f>IF($D35=0,IF(C35=0, MAX(BJ35 - (VLOOKUP($A35,TOCA_previous!$A$2:$AI$137,MATCH("RHWM 2020",TOCA_previous!$A$2:$AI$2,0),FALSE)*$F$2*TOCA_previous!C32),0),0), 0)</f>
        <v>2456.0387428387912</v>
      </c>
      <c r="BI35" s="204">
        <f>MIN(VLOOKUP($A35,TOCA_previous!$A$2:$AI$137,MATCH("TRL - NLSL - Existing Resource "&amp;$F$1,TOCA_previous!$A$2:$AI$2,0),FALSE)*$F$2,(VLOOKUP($A35,TOCA_previous!$A$2:$AI$137,MATCH("RHWM 2020",TOCA_previous!$A$2:$AI$2,0),FALSE)*$F$2))</f>
        <v>73074.096000000005</v>
      </c>
      <c r="BJ35" s="418">
        <f>SUM(L35:AI35)+(F35*RT1SC!$C$3*$F$2)</f>
        <v>75530.134742838796</v>
      </c>
      <c r="BK35" s="417">
        <f>VLOOKUP($A35,TOCA_previous!$A$2:$AI$137,MATCH("Above RHWM Not Served with LS "&amp;$F$1,TOCA_previous!$A$2:$AI$2,0),FALSE)*$F$2</f>
        <v>0</v>
      </c>
      <c r="BL35" s="418">
        <f t="shared" si="8"/>
        <v>2456.0387428387912</v>
      </c>
      <c r="BM35" s="417">
        <f>(VLOOKUP($A35,TOCA_previous!$A$2:$AI$137,MATCH("RHWM 2020",TOCA_previous!$A$2:$AI$2,0),FALSE)*$F$2) - $BI35</f>
        <v>0</v>
      </c>
      <c r="BN35" s="418">
        <f t="shared" si="9"/>
        <v>0</v>
      </c>
      <c r="BO35" s="417">
        <f t="shared" si="10"/>
        <v>0</v>
      </c>
      <c r="BP35" s="418">
        <f t="shared" si="11"/>
        <v>0</v>
      </c>
      <c r="BQ35" s="417">
        <f t="shared" si="2"/>
        <v>0</v>
      </c>
      <c r="BR35" s="120">
        <f>VLOOKUP($A35,TOCA_current!$A$2:$AI$137,MATCH(BR$4,TOCA_current!$A$2:$AI$2,0),FALSE)</f>
        <v>1.1842999999999999E-3</v>
      </c>
      <c r="BS35" s="120">
        <f>VLOOKUP($A35,TOCA_current!$A$2:$AI$137,MATCH(BS$4,TOCA_current!$A$2:$AI$2,0),FALSE)</f>
        <v>1.1842999999999999E-3</v>
      </c>
      <c r="BT35" s="201">
        <f t="shared" si="12"/>
        <v>0</v>
      </c>
      <c r="BU35" s="120">
        <f>VLOOKUP($A35,TOCA_current!A31:BG166,MATCH(BU$4,TOCA_current!$A$2:$BG$2,0),FALSE)</f>
        <v>0</v>
      </c>
      <c r="BV35" s="120">
        <f t="shared" si="3"/>
        <v>0</v>
      </c>
      <c r="BW35" s="120">
        <f t="shared" si="4"/>
        <v>0</v>
      </c>
      <c r="BX35" s="191">
        <f>VLOOKUP($A35,IRD!$A$4:$G$139, 7, FALSE)</f>
        <v>0</v>
      </c>
      <c r="BY35" s="192">
        <f t="array" ref="BY35">IF($BT35=0, INDEX(LS_current!$D$4:$AY$138, MATCH('Staging Table'!$A35, LS_current!$B$4:$B$138, 0), MATCH(BY$4&amp;BY$5, LS_current!$D$2:$AY$2&amp;LS_current!$D$3:$AY$3, 0)),SUM(VLOOKUP($A35, LS_current!$B$4:$AY$138, LS_current!D$148, FALSE), VLOOKUP($A35, LS_current!$B$4:$AY$138,LS_current!AB$148, FALSE))/2)</f>
        <v>275.80008971060761</v>
      </c>
      <c r="BZ35" s="192">
        <f t="array" ref="BZ35">IF($BT35=0, INDEX(LS_current!$D$4:$AY$138, MATCH('Staging Table'!$A35, LS_current!$B$4:$B$138, 0), MATCH(BZ$4&amp;BZ$5, LS_current!$D$2:$AY$2&amp;LS_current!$D$3:$AY$3, 0)),SUM(VLOOKUP($A35, LS_current!$B$4:$AY$138, LS_current!E$148, FALSE), VLOOKUP($A35, LS_current!$B$4:$AY$138,LS_current!AC$148, FALSE))/2)</f>
        <v>302.99621877977188</v>
      </c>
      <c r="CA35" s="192">
        <f t="array" ref="CA35">IF($BT35=0, INDEX(LS_current!$D$4:$AY$138, MATCH('Staging Table'!$A35, LS_current!$B$4:$B$138, 0), MATCH(CA$4&amp;CA$5, LS_current!$D$2:$AY$2&amp;LS_current!$D$3:$AY$3, 0)),SUM(VLOOKUP($A35, LS_current!$B$4:$AY$138, LS_current!F$148, FALSE), VLOOKUP($A35, LS_current!$B$4:$AY$138,LS_current!AD$148, FALSE))/2)</f>
        <v>-89.202465488878261</v>
      </c>
      <c r="CB35" s="192">
        <f t="array" ref="CB35">IF($BT35=0, INDEX(LS_current!$D$4:$AY$138, MATCH('Staging Table'!$A35, LS_current!$B$4:$B$138, 0), MATCH(CB$4&amp;CB$5, LS_current!$D$2:$AY$2&amp;LS_current!$D$3:$AY$3, 0)),SUM(VLOOKUP($A35, LS_current!$B$4:$AY$138, LS_current!G$148, FALSE), VLOOKUP($A35, LS_current!$B$4:$AY$138,LS_current!AE$148, FALSE))/2)</f>
        <v>-40.172535120289922</v>
      </c>
      <c r="CC35" s="192">
        <f t="array" ref="CC35">IF($BT35=0, INDEX(LS_current!$D$4:$AY$138, MATCH('Staging Table'!$A35, LS_current!$B$4:$B$138, 0), MATCH(CC$4&amp;CC$5, LS_current!$D$2:$AY$2&amp;LS_current!$D$3:$AY$3, 0)),SUM(VLOOKUP($A35, LS_current!$B$4:$AY$138, LS_current!H$148, FALSE), VLOOKUP($A35, LS_current!$B$4:$AY$138,LS_current!AF$148, FALSE))/2)</f>
        <v>1161.298519135953</v>
      </c>
      <c r="CD35" s="192">
        <f t="array" ref="CD35">IF($BT35=0, INDEX(LS_current!$D$4:$AY$138, MATCH('Staging Table'!$A35, LS_current!$B$4:$B$138, 0), MATCH(CD$4&amp;CD$5, LS_current!$D$2:$AY$2&amp;LS_current!$D$3:$AY$3, 0)),SUM(VLOOKUP($A35, LS_current!$B$4:$AY$138, LS_current!I$148, FALSE), VLOOKUP($A35, LS_current!$B$4:$AY$138,LS_current!AG$148, FALSE))/2)</f>
        <v>308.2646636645145</v>
      </c>
      <c r="CE35" s="192">
        <f t="array" ref="CE35">IF($BT35=0, INDEX(LS_current!$D$4:$AY$138, MATCH('Staging Table'!$A35, LS_current!$B$4:$B$138, 0), MATCH(CE$4&amp;CE$5, LS_current!$D$2:$AY$2&amp;LS_current!$D$3:$AY$3, 0)),SUM(VLOOKUP($A35, LS_current!$B$4:$AY$138, LS_current!J$148, FALSE), VLOOKUP($A35, LS_current!$B$4:$AY$138,LS_current!AH$148, FALSE))/2)</f>
        <v>1882.5201314426799</v>
      </c>
      <c r="CF35" s="192">
        <f t="array" ref="CF35">IF($BT35=0, INDEX(LS_current!$D$4:$AY$138, MATCH('Staging Table'!$A35, LS_current!$B$4:$B$138, 0), MATCH(CF$4&amp;CF$5, LS_current!$D$2:$AY$2&amp;LS_current!$D$3:$AY$3, 0)),SUM(VLOOKUP($A35, LS_current!$B$4:$AY$138, LS_current!K$148, FALSE), VLOOKUP($A35, LS_current!$B$4:$AY$138,LS_current!AI$148, FALSE))/2)</f>
        <v>1218.4048977348807</v>
      </c>
      <c r="CG35" s="192">
        <f t="array" ref="CG35">IF($BT35=0, INDEX(LS_current!$D$4:$AY$138, MATCH('Staging Table'!$A35, LS_current!$B$4:$B$138, 0), MATCH(CG$4&amp;CG$5, LS_current!$D$2:$AY$2&amp;LS_current!$D$3:$AY$3, 0)),SUM(VLOOKUP($A35, LS_current!$B$4:$AY$138, LS_current!L$148, FALSE), VLOOKUP($A35, LS_current!$B$4:$AY$138,LS_current!AJ$148, FALSE))/2)</f>
        <v>1598.2958889145098</v>
      </c>
      <c r="CH35" s="192">
        <f t="array" ref="CH35">IF($BT35=0, INDEX(LS_current!$D$4:$AY$138, MATCH('Staging Table'!$A35, LS_current!$B$4:$B$138, 0), MATCH(CH$4&amp;CH$5, LS_current!$D$2:$AY$2&amp;LS_current!$D$3:$AY$3, 0)),SUM(VLOOKUP($A35, LS_current!$B$4:$AY$138, LS_current!M$148, FALSE), VLOOKUP($A35, LS_current!$B$4:$AY$138,LS_current!AK$148, FALSE))/2)</f>
        <v>638.98294957193752</v>
      </c>
      <c r="CI35" s="192">
        <f t="array" ref="CI35">IF($BT35=0, INDEX(LS_current!$D$4:$AY$138, MATCH('Staging Table'!$A35, LS_current!$B$4:$B$138, 0), MATCH(CI$4&amp;CI$5, LS_current!$D$2:$AY$2&amp;LS_current!$D$3:$AY$3, 0)),SUM(VLOOKUP($A35, LS_current!$B$4:$AY$138, LS_current!N$148, FALSE), VLOOKUP($A35, LS_current!$B$4:$AY$138,LS_current!AL$148, FALSE))/2)</f>
        <v>681.02377467179076</v>
      </c>
      <c r="CJ35" s="192">
        <f t="array" ref="CJ35">IF($BT35=0, INDEX(LS_current!$D$4:$AY$138, MATCH('Staging Table'!$A35, LS_current!$B$4:$B$138, 0), MATCH(CJ$4&amp;CJ$5, LS_current!$D$2:$AY$2&amp;LS_current!$D$3:$AY$3, 0)),SUM(VLOOKUP($A35, LS_current!$B$4:$AY$138, LS_current!O$148, FALSE), VLOOKUP($A35, LS_current!$B$4:$AY$138,LS_current!AM$148, FALSE))/2)</f>
        <v>208.04643559816304</v>
      </c>
      <c r="CK35" s="192">
        <f t="array" ref="CK35">IF($BT35=0, INDEX(LS_current!$D$4:$AY$138, MATCH('Staging Table'!$A35, LS_current!$B$4:$B$138, 0), MATCH(CK$4&amp;CK$5, LS_current!$D$2:$AY$2&amp;LS_current!$D$3:$AY$3, 0)),SUM(VLOOKUP($A35, LS_current!$B$4:$AY$138, LS_current!P$148, FALSE), VLOOKUP($A35, LS_current!$B$4:$AY$138,LS_current!AN$148, FALSE))/2)</f>
        <v>1097.2994650166311</v>
      </c>
      <c r="CL35" s="192">
        <f t="array" ref="CL35">IF($BT35=0, INDEX(LS_current!$D$4:$AY$138, MATCH('Staging Table'!$A35, LS_current!$B$4:$B$138, 0), MATCH(CL$4&amp;CL$5, LS_current!$D$2:$AY$2&amp;LS_current!$D$3:$AY$3, 0)),SUM(VLOOKUP($A35, LS_current!$B$4:$AY$138, LS_current!Q$148, FALSE), VLOOKUP($A35, LS_current!$B$4:$AY$138,LS_current!AO$148, FALSE))/2)</f>
        <v>506.54175732288536</v>
      </c>
      <c r="CM35" s="192">
        <f t="array" ref="CM35">IF($BT35=0, INDEX(LS_current!$D$4:$AY$138, MATCH('Staging Table'!$A35, LS_current!$B$4:$B$138, 0), MATCH(CM$4&amp;CM$5, LS_current!$D$2:$AY$2&amp;LS_current!$D$3:$AY$3, 0)),SUM(VLOOKUP($A35, LS_current!$B$4:$AY$138, LS_current!R$148, FALSE), VLOOKUP($A35, LS_current!$B$4:$AY$138,LS_current!AP$148, FALSE))/2)</f>
        <v>-951.07296707156593</v>
      </c>
      <c r="CN35" s="192">
        <f t="array" ref="CN35">IF($BT35=0, INDEX(LS_current!$D$4:$AY$138, MATCH('Staging Table'!$A35, LS_current!$B$4:$B$138, 0), MATCH(CN$4&amp;CN$5, LS_current!$D$2:$AY$2&amp;LS_current!$D$3:$AY$3, 0)),SUM(VLOOKUP($A35, LS_current!$B$4:$AY$138, LS_current!S$148, FALSE), VLOOKUP($A35, LS_current!$B$4:$AY$138,LS_current!AQ$148, FALSE))/2)</f>
        <v>90.956703328478625</v>
      </c>
      <c r="CO35" s="192">
        <f t="array" ref="CO35">IF($BT35=0, INDEX(LS_current!$D$4:$AY$138, MATCH('Staging Table'!$A35, LS_current!$B$4:$B$138, 0), MATCH(CO$4&amp;CO$5, LS_current!$D$2:$AY$2&amp;LS_current!$D$3:$AY$3, 0)),SUM(VLOOKUP($A35, LS_current!$B$4:$AY$138, LS_current!T$148, FALSE), VLOOKUP($A35, LS_current!$B$4:$AY$138,LS_current!AR$148, FALSE))/2)</f>
        <v>-1383.2984487723406</v>
      </c>
      <c r="CP35" s="192">
        <f t="array" ref="CP35">IF($BT35=0, INDEX(LS_current!$D$4:$AY$138, MATCH('Staging Table'!$A35, LS_current!$B$4:$B$138, 0), MATCH(CP$4&amp;CP$5, LS_current!$D$2:$AY$2&amp;LS_current!$D$3:$AY$3, 0)),SUM(VLOOKUP($A35, LS_current!$B$4:$AY$138, LS_current!U$148, FALSE), VLOOKUP($A35, LS_current!$B$4:$AY$138,LS_current!AS$148, FALSE))/2)</f>
        <v>-80.686776971747577</v>
      </c>
      <c r="CQ35" s="192">
        <f t="array" ref="CQ35">IF($BT35=0, INDEX(LS_current!$D$4:$AY$138, MATCH('Staging Table'!$A35, LS_current!$B$4:$B$138, 0), MATCH(CQ$4&amp;CQ$5, LS_current!$D$2:$AY$2&amp;LS_current!$D$3:$AY$3, 0)),SUM(VLOOKUP($A35, LS_current!$B$4:$AY$138, LS_current!V$148, FALSE), VLOOKUP($A35, LS_current!$B$4:$AY$138,LS_current!AT$148, FALSE))/2)</f>
        <v>-762.37934493070452</v>
      </c>
      <c r="CR35" s="192">
        <f t="array" ref="CR35">IF($BT35=0, INDEX(LS_current!$D$4:$AY$138, MATCH('Staging Table'!$A35, LS_current!$B$4:$B$138, 0), MATCH(CR$4&amp;CR$5, LS_current!$D$2:$AY$2&amp;LS_current!$D$3:$AY$3, 0)),SUM(VLOOKUP($A35, LS_current!$B$4:$AY$138, LS_current!W$148, FALSE), VLOOKUP($A35, LS_current!$B$4:$AY$138,LS_current!AU$148, FALSE))/2)</f>
        <v>91.900791253385705</v>
      </c>
      <c r="CS35" s="192">
        <f t="array" ref="CS35">IF($BT35=0, INDEX(LS_current!$D$4:$AY$138, MATCH('Staging Table'!$A35, LS_current!$B$4:$B$138, 0), MATCH(CS$4&amp;CS$5, LS_current!$D$2:$AY$2&amp;LS_current!$D$3:$AY$3, 0)),SUM(VLOOKUP($A35, LS_current!$B$4:$AY$138, LS_current!X$148, FALSE), VLOOKUP($A35, LS_current!$B$4:$AY$138,LS_current!AV$148, FALSE))/2)</f>
        <v>-520.73041572039574</v>
      </c>
      <c r="CT35" s="192">
        <f t="array" ref="CT35">IF($BT35=0, INDEX(LS_current!$D$4:$AY$138, MATCH('Staging Table'!$A35, LS_current!$B$4:$B$138, 0), MATCH(CT$4&amp;CT$5, LS_current!$D$2:$AY$2&amp;LS_current!$D$3:$AY$3, 0)),SUM(VLOOKUP($A35, LS_current!$B$4:$AY$138, LS_current!Y$148, FALSE), VLOOKUP($A35, LS_current!$B$4:$AY$138,LS_current!AW$148, FALSE))/2)</f>
        <v>-122.07959622929047</v>
      </c>
      <c r="CU35" s="192">
        <f t="array" ref="CU35">IF($BT35=0, INDEX(LS_current!$D$4:$AY$138, MATCH('Staging Table'!$A35, LS_current!$B$4:$B$138, 0), MATCH(CU$4&amp;CU$5, LS_current!$D$2:$AY$2&amp;LS_current!$D$3:$AY$3, 0)),SUM(VLOOKUP($A35, LS_current!$B$4:$AY$138, LS_current!Z$148, FALSE), VLOOKUP($A35, LS_current!$B$4:$AY$138,LS_current!AX$148, FALSE))/2)</f>
        <v>-353.629938134246</v>
      </c>
      <c r="CV35" s="192">
        <f t="array" ref="CV35">IF($BT35=0, INDEX(LS_current!$D$4:$AY$138, MATCH('Staging Table'!$A35, LS_current!$B$4:$B$138, 0), MATCH(CV$4&amp;CV$5, LS_current!$D$2:$AY$2&amp;LS_current!$D$3:$AY$3, 0)),SUM(VLOOKUP($A35, LS_current!$B$4:$AY$138, LS_current!AA$148, FALSE), VLOOKUP($A35, LS_current!$B$4:$AY$138,LS_current!AY$148, FALSE))/2)</f>
        <v>-115.08510474041054</v>
      </c>
      <c r="CW35" s="194">
        <f t="array" ref="CW35">INDEX(Demand_current!$D$4:$AY$138, MATCH($A35, Demand_current!$B$4:$B$138, 0), MATCH(CW$4&amp;CW$5,Demand_current!$D$2:$AY$2&amp;Demand_current!$D$3:$AY$3, 0))/1000</f>
        <v>8.5894230769230973E-2</v>
      </c>
      <c r="CX35" s="194">
        <f t="array" ref="CX35">INDEX(Demand_current!$D$4:$AY$138, MATCH($A35, Demand_current!$B$4:$B$138, 0), MATCH(CX$4&amp;CX$5,Demand_current!$D$2:$AY$2&amp;Demand_current!$D$3:$AY$3, 0))/1000</f>
        <v>0</v>
      </c>
      <c r="CY35" s="194">
        <f t="array" ref="CY35">INDEX(Demand_current!$D$4:$AY$138, MATCH($A35, Demand_current!$B$4:$B$138, 0), MATCH(CY$4&amp;CY$5,Demand_current!$D$2:$AY$2&amp;Demand_current!$D$3:$AY$3, 0))/1000</f>
        <v>1.3274543269230761</v>
      </c>
      <c r="CZ35" s="194">
        <f t="array" ref="CZ35">INDEX(Demand_current!$D$4:$AY$138, MATCH($A35, Demand_current!$B$4:$B$138, 0), MATCH(CZ$4&amp;CZ$5,Demand_current!$D$2:$AY$2&amp;Demand_current!$D$3:$AY$3, 0))/1000</f>
        <v>0.31303499999999973</v>
      </c>
      <c r="DA35" s="194">
        <f t="array" ref="DA35">INDEX(Demand_current!$D$4:$AY$138, MATCH($A35, Demand_current!$B$4:$B$138, 0), MATCH(DA$4&amp;DA$5,Demand_current!$D$2:$AY$2&amp;Demand_current!$D$3:$AY$3, 0))/1000</f>
        <v>0.73830989583333428</v>
      </c>
      <c r="DB35" s="194">
        <f t="array" ref="DB35">INDEX(Demand_current!$D$4:$AY$138, MATCH($A35, Demand_current!$B$4:$B$138, 0), MATCH(DB$4&amp;DB$5,Demand_current!$D$2:$AY$2&amp;Demand_current!$D$3:$AY$3, 0))/1000</f>
        <v>1.3568657407407407</v>
      </c>
      <c r="DC35" s="194">
        <f t="array" ref="DC35">INDEX(Demand_current!$D$4:$AY$138, MATCH($A35, Demand_current!$B$4:$B$138, 0), MATCH(DC$4&amp;DC$5,Demand_current!$D$2:$AY$2&amp;Demand_current!$D$3:$AY$3, 0))/1000</f>
        <v>0.71562740384615386</v>
      </c>
      <c r="DD35" s="194">
        <f t="array" ref="DD35">INDEX(Demand_current!$D$4:$AY$138, MATCH($A35, Demand_current!$B$4:$B$138, 0), MATCH(DD$4&amp;DD$5,Demand_current!$D$2:$AY$2&amp;Demand_current!$D$3:$AY$3, 0))/1000</f>
        <v>1.0727600000000004</v>
      </c>
      <c r="DE35" s="194">
        <f t="array" ref="DE35">INDEX(Demand_current!$D$4:$AY$138, MATCH($A35, Demand_current!$B$4:$B$138, 0), MATCH(DE$4&amp;DE$5,Demand_current!$D$2:$AY$2&amp;Demand_current!$D$3:$AY$3, 0))/1000</f>
        <v>2.7077307692307686</v>
      </c>
      <c r="DF35" s="194">
        <f t="array" ref="DF35">INDEX(Demand_current!$D$4:$AY$138, MATCH($A35, Demand_current!$B$4:$B$138, 0), MATCH(DF$4&amp;DF$5,Demand_current!$D$2:$AY$2&amp;Demand_current!$D$3:$AY$3, 0))/1000</f>
        <v>2.8795149999999987</v>
      </c>
      <c r="DG35" s="194">
        <f t="array" ref="DG35">INDEX(Demand_current!$D$4:$AY$138, MATCH($A35, Demand_current!$B$4:$B$138, 0), MATCH(DG$4&amp;DG$5,Demand_current!$D$2:$AY$2&amp;Demand_current!$D$3:$AY$3, 0))/1000</f>
        <v>3.0022685185185178</v>
      </c>
      <c r="DH35" s="194">
        <f t="array" ref="DH35">INDEX(Demand_current!$D$4:$AY$138, MATCH($A35, Demand_current!$B$4:$B$138, 0), MATCH(DH$4&amp;DH$5,Demand_current!$D$2:$AY$2&amp;Demand_current!$D$3:$AY$3, 0))/1000</f>
        <v>2.5447575000000002</v>
      </c>
      <c r="DI35" s="192">
        <f>$BS35*(VLOOKUP(DI$4, Rates_current!$G$6:$Q$29, 10, FALSE)+VLOOKUP(DI$4, Rates_current!$G$6:$Q$29, 11, FALSE))</f>
        <v>5393.2126915096205</v>
      </c>
      <c r="DJ35" s="192">
        <f>$BS35*(VLOOKUP(DJ$4, Rates_current!$G$6:$Q$29, 10, FALSE)+VLOOKUP(DJ$4, Rates_current!$G$6:$Q$29, 11, FALSE))</f>
        <v>6828.0030006091692</v>
      </c>
      <c r="DK35" s="192">
        <f>$BS35*(VLOOKUP(DK$4, Rates_current!$G$6:$Q$29, 10, FALSE)+VLOOKUP(DK$4, Rates_current!$G$6:$Q$29, 11, FALSE))</f>
        <v>6683.2508171995332</v>
      </c>
      <c r="DL35" s="192">
        <f>$BS35*(VLOOKUP(DL$4, Rates_current!$G$6:$Q$29, 10, FALSE)+VLOOKUP(DL$4, Rates_current!$G$6:$Q$29, 11, FALSE))</f>
        <v>5520.0809708224397</v>
      </c>
      <c r="DM35" s="192">
        <f>$BS35*(VLOOKUP(DM$4, Rates_current!$G$6:$Q$29, 10, FALSE)+VLOOKUP(DM$4, Rates_current!$G$6:$Q$29, 11, FALSE))</f>
        <v>4784.3751615135525</v>
      </c>
      <c r="DN35" s="192">
        <f>$BS35*(VLOOKUP(DN$4, Rates_current!$G$6:$Q$29, 10, FALSE)+VLOOKUP(DN$4, Rates_current!$G$6:$Q$29, 11, FALSE))</f>
        <v>5711.5777897300459</v>
      </c>
      <c r="DO35" s="192">
        <f>$BS35*(VLOOKUP(DO$4, Rates_current!$G$6:$Q$29, 10, FALSE)+VLOOKUP(DO$4, Rates_current!$G$6:$Q$29, 11, FALSE))</f>
        <v>4434.2797776604839</v>
      </c>
      <c r="DP35" s="192">
        <f>$BS35*(VLOOKUP(DP$4, Rates_current!$G$6:$Q$29, 10, FALSE)+VLOOKUP(DP$4, Rates_current!$G$6:$Q$29, 11, FALSE))</f>
        <v>6143.7272637430879</v>
      </c>
      <c r="DQ35" s="192">
        <f>$BS35*(VLOOKUP(DQ$4, Rates_current!$G$6:$Q$29, 10, FALSE)+VLOOKUP(DQ$4, Rates_current!$G$6:$Q$29, 11, FALSE))</f>
        <v>6564.7012257440874</v>
      </c>
      <c r="DR35" s="192">
        <f>$BS35*(VLOOKUP(DR$4, Rates_current!$G$6:$Q$29, 10, FALSE)+VLOOKUP(DR$4, Rates_current!$G$6:$Q$29, 11, FALSE))</f>
        <v>6232.8865536773192</v>
      </c>
      <c r="DS35" s="192">
        <f>$BS35*(VLOOKUP(DS$4, Rates_current!$G$6:$Q$29, 10, FALSE)+VLOOKUP(DS$4, Rates_current!$G$6:$Q$29, 11, FALSE))</f>
        <v>6023.6040119496856</v>
      </c>
      <c r="DT35" s="192">
        <f>$BS35*(VLOOKUP(DT$4, Rates_current!$G$6:$Q$29, 10, FALSE)+VLOOKUP(DT$4, Rates_current!$G$6:$Q$29, 11, FALSE))</f>
        <v>5566.4380428746563</v>
      </c>
      <c r="DU35" s="418">
        <f>IF(D35=0,IF(C35=0,MAX(0,DW35 - (VLOOKUP($A35,TOCA_current!$A$2:$AI$137,MATCH("RHWM 2022",TOCA_current!$A$2:$AI$2,0),FALSE)*$BS$2)), 0),0)</f>
        <v>5642.8555749783118</v>
      </c>
      <c r="DV35" s="419">
        <f>MIN(VLOOKUP($A35,TOCA_current!$A$2:$AI$137,MATCH("TRL - NLSL - Existing Resource "&amp;$BS$1,TOCA_current!$A$2:$AI$2,0),FALSE)*$BS$2, VLOOKUP($A35,TOCA_current!$A$2:$AI$137,MATCH("RHWM 2022",TOCA_current!$A$2:$AI$2,0),FALSE)*$BS$2)</f>
        <v>69887.28</v>
      </c>
      <c r="DW35" s="419">
        <f>SUM(BY35:CV35)+(BS35*RT1SC!$C$4*$BS$2)</f>
        <v>75530.135574978311</v>
      </c>
      <c r="DX35" s="419">
        <f>VLOOKUP($A35,TOCA_current!$A$2:$AI$137,MATCH("Above RHWM Not Served with LS "&amp;$BS$1,TOCA_current!$A$2:$AI$2,0),FALSE)*$BS$2</f>
        <v>0</v>
      </c>
      <c r="DY35" s="419">
        <f t="shared" si="13"/>
        <v>5642.8555749783118</v>
      </c>
      <c r="DZ35" s="419">
        <f>(VLOOKUP($A35,TOCA_current!$A$2:$AI$137,MATCH("RHWM 2022",TOCA_current!$A$2:$AI$2,0),FALSE)*$BS$2) - $DV35</f>
        <v>0</v>
      </c>
      <c r="EA35" s="419">
        <f t="shared" si="14"/>
        <v>0</v>
      </c>
      <c r="EB35" s="419">
        <f t="shared" si="15"/>
        <v>0</v>
      </c>
      <c r="EC35" s="419">
        <f t="shared" si="16"/>
        <v>0</v>
      </c>
      <c r="ED35" s="419">
        <f t="shared" si="17"/>
        <v>0</v>
      </c>
    </row>
    <row r="36" spans="1:134">
      <c r="A36" s="135">
        <v>10086</v>
      </c>
      <c r="B36" s="136" t="s">
        <v>37</v>
      </c>
      <c r="C36" s="244">
        <f>VLOOKUP(A36, TOCA_current!$A$3:$D$137, 4, FALSE)</f>
        <v>0</v>
      </c>
      <c r="D36" s="203">
        <v>0</v>
      </c>
      <c r="E36" s="119">
        <f>VLOOKUP($A36,TOCA_previous!$A$2:$AI$137,MATCH(E$4,TOCA_previous!$A$2:$AI$2,0),FALSE)</f>
        <v>5.5139999999999996E-4</v>
      </c>
      <c r="F36" s="120">
        <f>VLOOKUP($A36,TOCA_previous!$A$2:$AI$137,MATCH(F$4,TOCA_previous!$A$2:$AI$2,0),FALSE)</f>
        <v>5.5139999999999996E-4</v>
      </c>
      <c r="G36" s="120">
        <f t="shared" si="5"/>
        <v>0</v>
      </c>
      <c r="H36" s="120">
        <f>VLOOKUP($A36,TOCA_previous!$A$2:$AI$137,MATCH(H$4,TOCA_previous!$A$2:$AI$2,0),FALSE)</f>
        <v>0</v>
      </c>
      <c r="I36" s="120">
        <f t="shared" si="6"/>
        <v>0</v>
      </c>
      <c r="J36" s="120">
        <f t="shared" si="7"/>
        <v>0</v>
      </c>
      <c r="K36" s="191">
        <f>VLOOKUP(A36, IRD!$A$5:$C$139, 3, FALSE)</f>
        <v>0</v>
      </c>
      <c r="L36" s="192">
        <f t="array" ref="L36">IF($G36=0, INDEX(LS_previous!$D$4:$AY$138, MATCH('Staging Table'!$A36, LS_previous!$B$4:$B$138, 0), MATCH(L$4&amp;L$5, LS_previous!$D$2:$AY$2&amp;LS_previous!$D$3:$AY$3, 0)),SUM(VLOOKUP($A36, LS_previous!$B$4:$AY$138, LS_previous!D$149, FALSE), VLOOKUP('Staging Table'!$A36, LS_previous!$B$4:$AY$138,LS_previous!AB$149, FALSE))/2)</f>
        <v>8.1323450568002045</v>
      </c>
      <c r="M36" s="192">
        <f t="array" ref="M36">IF($G36=0, INDEX(LS_previous!$D$4:$AY$138, MATCH('Staging Table'!$A36, LS_previous!$B$4:$B$138, 0), MATCH(M$4&amp;M$5, LS_previous!$D$2:$AY$2&amp;LS_previous!$D$3:$AY$3, 0)),SUM(VLOOKUP($A36, LS_previous!$B$4:$AY$138, LS_previous!E$149, FALSE), VLOOKUP('Staging Table'!$A36, LS_previous!$B$4:$AY$138,LS_previous!AC$149, FALSE))/2)</f>
        <v>179.85695306880007</v>
      </c>
      <c r="N36" s="192">
        <f t="array" ref="N36">IF($G36=0, INDEX(LS_previous!$D$4:$AY$138, MATCH('Staging Table'!$A36, LS_previous!$B$4:$B$138, 0), MATCH(N$4&amp;N$5, LS_previous!$D$2:$AY$2&amp;LS_previous!$D$3:$AY$3, 0)),SUM(VLOOKUP($A36, LS_previous!$B$4:$AY$138, LS_previous!F$149, FALSE), VLOOKUP('Staging Table'!$A36, LS_previous!$B$4:$AY$138,LS_previous!AD$149, FALSE))/2)</f>
        <v>-246.1404549391998</v>
      </c>
      <c r="O36" s="192">
        <f t="array" ref="O36">IF($G36=0, INDEX(LS_previous!$D$4:$AY$138, MATCH('Staging Table'!$A36, LS_previous!$B$4:$B$138, 0), MATCH(O$4&amp;O$5, LS_previous!$D$2:$AY$2&amp;LS_previous!$D$3:$AY$3, 0)),SUM(VLOOKUP($A36, LS_previous!$B$4:$AY$138, LS_previous!G$149, FALSE), VLOOKUP('Staging Table'!$A36, LS_previous!$B$4:$AY$138,LS_previous!AE$149, FALSE))/2)</f>
        <v>-7.2424330453998209</v>
      </c>
      <c r="P36" s="192">
        <f t="array" ref="P36">IF($G36=0, INDEX(LS_previous!$D$4:$AY$138, MATCH('Staging Table'!$A36, LS_previous!$B$4:$B$138, 0), MATCH(P$4&amp;P$5, LS_previous!$D$2:$AY$2&amp;LS_previous!$D$3:$AY$3, 0)),SUM(VLOOKUP($A36, LS_previous!$B$4:$AY$138, LS_previous!H$149, FALSE), VLOOKUP('Staging Table'!$A36, LS_previous!$B$4:$AY$138,LS_previous!AF$149, FALSE))/2)</f>
        <v>228.86199105919991</v>
      </c>
      <c r="Q36" s="192">
        <f t="array" ref="Q36">IF($G36=0, INDEX(LS_previous!$D$4:$AY$138, MATCH('Staging Table'!$A36, LS_previous!$B$4:$B$138, 0), MATCH(Q$4&amp;Q$5, LS_previous!$D$2:$AY$2&amp;LS_previous!$D$3:$AY$3, 0)),SUM(VLOOKUP($A36, LS_previous!$B$4:$AY$138, LS_previous!I$149, FALSE), VLOOKUP('Staging Table'!$A36, LS_previous!$B$4:$AY$138,LS_previous!AG$149, FALSE))/2)</f>
        <v>275.90746086640002</v>
      </c>
      <c r="R36" s="192">
        <f t="array" ref="R36">IF($G36=0, INDEX(LS_previous!$D$4:$AY$138, MATCH('Staging Table'!$A36, LS_previous!$B$4:$B$138, 0), MATCH(R$4&amp;R$5, LS_previous!$D$2:$AY$2&amp;LS_previous!$D$3:$AY$3, 0)),SUM(VLOOKUP($A36, LS_previous!$B$4:$AY$138, LS_previous!J$149, FALSE), VLOOKUP('Staging Table'!$A36, LS_previous!$B$4:$AY$138,LS_previous!AH$149, FALSE))/2)</f>
        <v>483.57481745919972</v>
      </c>
      <c r="S36" s="192">
        <f t="array" ref="S36">IF($G36=0, INDEX(LS_previous!$D$4:$AY$138, MATCH('Staging Table'!$A36, LS_previous!$B$4:$B$138, 0), MATCH(S$4&amp;S$5, LS_previous!$D$2:$AY$2&amp;LS_previous!$D$3:$AY$3, 0)),SUM(VLOOKUP($A36, LS_previous!$B$4:$AY$138, LS_previous!K$149, FALSE), VLOOKUP('Staging Table'!$A36, LS_previous!$B$4:$AY$138,LS_previous!AI$149, FALSE))/2)</f>
        <v>591.91226166640013</v>
      </c>
      <c r="T36" s="192">
        <f t="array" ref="T36">IF($G36=0, INDEX(LS_previous!$D$4:$AY$138, MATCH('Staging Table'!$A36, LS_previous!$B$4:$B$138, 0), MATCH(T$4&amp;T$5, LS_previous!$D$2:$AY$2&amp;LS_previous!$D$3:$AY$3, 0)),SUM(VLOOKUP($A36, LS_previous!$B$4:$AY$138, LS_previous!L$149, FALSE), VLOOKUP('Staging Table'!$A36, LS_previous!$B$4:$AY$138,LS_previous!AJ$149, FALSE))/2)</f>
        <v>391.33374582640022</v>
      </c>
      <c r="U36" s="192">
        <f t="array" ref="U36">IF($G36=0, INDEX(LS_previous!$D$4:$AY$138, MATCH('Staging Table'!$A36, LS_previous!$B$4:$B$138, 0), MATCH(U$4&amp;U$5, LS_previous!$D$2:$AY$2&amp;LS_previous!$D$3:$AY$3, 0)),SUM(VLOOKUP($A36, LS_previous!$B$4:$AY$138, LS_previous!M$149, FALSE), VLOOKUP('Staging Table'!$A36, LS_previous!$B$4:$AY$138,LS_previous!AK$149, FALSE))/2)</f>
        <v>346.34315065360011</v>
      </c>
      <c r="V36" s="192">
        <f t="array" ref="V36">IF($G36=0, INDEX(LS_previous!$D$4:$AY$138, MATCH('Staging Table'!$A36, LS_previous!$B$4:$B$138, 0), MATCH(V$4&amp;V$5, LS_previous!$D$2:$AY$2&amp;LS_previous!$D$3:$AY$3, 0)),SUM(VLOOKUP($A36, LS_previous!$B$4:$AY$138, LS_previous!N$149, FALSE), VLOOKUP('Staging Table'!$A36, LS_previous!$B$4:$AY$138,LS_previous!AL$149, FALSE))/2)</f>
        <v>292.42496985760044</v>
      </c>
      <c r="W36" s="192">
        <f t="array" ref="W36">IF($G36=0, INDEX(LS_previous!$D$4:$AY$138, MATCH('Staging Table'!$A36, LS_previous!$B$4:$B$138, 0), MATCH(W$4&amp;W$5, LS_previous!$D$2:$AY$2&amp;LS_previous!$D$3:$AY$3, 0)),SUM(VLOOKUP($A36, LS_previous!$B$4:$AY$138, LS_previous!O$149, FALSE), VLOOKUP('Staging Table'!$A36, LS_previous!$B$4:$AY$138,LS_previous!AM$149, FALSE))/2)</f>
        <v>256.46235848060007</v>
      </c>
      <c r="X36" s="192">
        <f t="array" ref="X36">IF($G36=0, INDEX(LS_previous!$D$4:$AY$138, MATCH('Staging Table'!$A36, LS_previous!$B$4:$B$138, 0), MATCH(X$4&amp;X$5, LS_previous!$D$2:$AY$2&amp;LS_previous!$D$3:$AY$3, 0)),SUM(VLOOKUP($A36, LS_previous!$B$4:$AY$138, LS_previous!P$149, FALSE), VLOOKUP('Staging Table'!$A36, LS_previous!$B$4:$AY$138,LS_previous!AN$149, FALSE))/2)</f>
        <v>278.81737215840008</v>
      </c>
      <c r="Y36" s="192">
        <f t="array" ref="Y36">IF($G36=0, INDEX(LS_previous!$D$4:$AY$138, MATCH('Staging Table'!$A36, LS_previous!$B$4:$B$138, 0), MATCH(Y$4&amp;Y$5, LS_previous!$D$2:$AY$2&amp;LS_previous!$D$3:$AY$3, 0)),SUM(VLOOKUP($A36, LS_previous!$B$4:$AY$138, LS_previous!Q$149, FALSE), VLOOKUP('Staging Table'!$A36, LS_previous!$B$4:$AY$138,LS_previous!AO$149, FALSE))/2)</f>
        <v>215.17557396960001</v>
      </c>
      <c r="Z36" s="192">
        <f t="array" ref="Z36">IF($G36=0, INDEX(LS_previous!$D$4:$AY$138, MATCH('Staging Table'!$A36, LS_previous!$B$4:$B$138, 0), MATCH(Z$4&amp;Z$5, LS_previous!$D$2:$AY$2&amp;LS_previous!$D$3:$AY$3, 0)),SUM(VLOOKUP($A36, LS_previous!$B$4:$AY$138, LS_previous!R$149, FALSE), VLOOKUP('Staging Table'!$A36, LS_previous!$B$4:$AY$138,LS_previous!AP$149, FALSE))/2)</f>
        <v>-493.91822693999984</v>
      </c>
      <c r="AA36" s="192">
        <f t="array" ref="AA36">IF($G36=0, INDEX(LS_previous!$D$4:$AY$138, MATCH('Staging Table'!$A36, LS_previous!$B$4:$B$138, 0), MATCH(AA$4&amp;AA$5, LS_previous!$D$2:$AY$2&amp;LS_previous!$D$3:$AY$3, 0)),SUM(VLOOKUP($A36, LS_previous!$B$4:$AY$138, LS_previous!S$149, FALSE), VLOOKUP('Staging Table'!$A36, LS_previous!$B$4:$AY$138,LS_previous!AQ$149, FALSE))/2)</f>
        <v>-49.261662634399954</v>
      </c>
      <c r="AB36" s="192">
        <f t="array" ref="AB36">IF($G36=0, INDEX(LS_previous!$D$4:$AY$138, MATCH('Staging Table'!$A36, LS_previous!$B$4:$B$138, 0), MATCH(AB$4&amp;AB$5, LS_previous!$D$2:$AY$2&amp;LS_previous!$D$3:$AY$3, 0)),SUM(VLOOKUP($A36, LS_previous!$B$4:$AY$138, LS_previous!T$149, FALSE), VLOOKUP('Staging Table'!$A36, LS_previous!$B$4:$AY$138,LS_previous!AR$149, FALSE))/2)</f>
        <v>-1012.8083857415997</v>
      </c>
      <c r="AC36" s="192">
        <f t="array" ref="AC36">IF($G36=0, INDEX(LS_previous!$D$4:$AY$138, MATCH('Staging Table'!$A36, LS_previous!$B$4:$B$138, 0), MATCH(AC$4&amp;AC$5, LS_previous!$D$2:$AY$2&amp;LS_previous!$D$3:$AY$3, 0)),SUM(VLOOKUP($A36, LS_previous!$B$4:$AY$138, LS_previous!U$149, FALSE), VLOOKUP('Staging Table'!$A36, LS_previous!$B$4:$AY$138,LS_previous!AS$149, FALSE))/2)</f>
        <v>-511.08472643039988</v>
      </c>
      <c r="AD36" s="192">
        <f t="array" ref="AD36">IF($G36=0, INDEX(LS_previous!$D$4:$AY$138, MATCH('Staging Table'!$A36, LS_previous!$B$4:$B$138, 0), MATCH(AD$4&amp;AD$5, LS_previous!$D$2:$AY$2&amp;LS_previous!$D$3:$AY$3, 0)),SUM(VLOOKUP($A36, LS_previous!$B$4:$AY$138, LS_previous!V$149, FALSE), VLOOKUP('Staging Table'!$A36, LS_previous!$B$4:$AY$138,LS_previous!AT$149, FALSE))/2)</f>
        <v>-653.51372274159985</v>
      </c>
      <c r="AE36" s="192">
        <f t="array" ref="AE36">IF($G36=0, INDEX(LS_previous!$D$4:$AY$138, MATCH('Staging Table'!$A36, LS_previous!$B$4:$B$138, 0), MATCH(AE$4&amp;AE$5, LS_previous!$D$2:$AY$2&amp;LS_previous!$D$3:$AY$3, 0)),SUM(VLOOKUP($A36, LS_previous!$B$4:$AY$138, LS_previous!W$149, FALSE), VLOOKUP('Staging Table'!$A36, LS_previous!$B$4:$AY$138,LS_previous!AU$149, FALSE))/2)</f>
        <v>-19.675868732799927</v>
      </c>
      <c r="AF36" s="192">
        <f t="array" ref="AF36">IF($G36=0, INDEX(LS_previous!$D$4:$AY$138, MATCH('Staging Table'!$A36, LS_previous!$B$4:$B$138, 0), MATCH(AF$4&amp;AF$5, LS_previous!$D$2:$AY$2&amp;LS_previous!$D$3:$AY$3, 0)),SUM(VLOOKUP($A36, LS_previous!$B$4:$AY$138, LS_previous!X$149, FALSE), VLOOKUP('Staging Table'!$A36, LS_previous!$B$4:$AY$138,LS_previous!AV$149, FALSE))/2)</f>
        <v>-475.9813770415999</v>
      </c>
      <c r="AG36" s="192">
        <f t="array" ref="AG36">IF($G36=0, INDEX(LS_previous!$D$4:$AY$138, MATCH('Staging Table'!$A36, LS_previous!$B$4:$B$138, 0), MATCH(AG$4&amp;AG$5, LS_previous!$D$2:$AY$2&amp;LS_previous!$D$3:$AY$3, 0)),SUM(VLOOKUP($A36, LS_previous!$B$4:$AY$138, LS_previous!Y$149, FALSE), VLOOKUP('Staging Table'!$A36, LS_previous!$B$4:$AY$138,LS_previous!AW$149, FALSE))/2)</f>
        <v>-100.6653407327999</v>
      </c>
      <c r="AH36" s="192">
        <f t="array" ref="AH36">IF($G36=0, INDEX(LS_previous!$D$4:$AY$138, MATCH('Staging Table'!$A36, LS_previous!$B$4:$B$138, 0), MATCH(AH$4&amp;AH$5, LS_previous!$D$2:$AY$2&amp;LS_previous!$D$3:$AY$3, 0)),SUM(VLOOKUP($A36, LS_previous!$B$4:$AY$138, LS_previous!Z$149, FALSE), VLOOKUP('Staging Table'!$A36, LS_previous!$B$4:$AY$138,LS_previous!AX$149, FALSE))/2)</f>
        <v>-277.01381984</v>
      </c>
      <c r="AI36" s="192">
        <f t="array" ref="AI36">IF($G36=0, INDEX(LS_previous!$D$4:$AY$138, MATCH('Staging Table'!$A36, LS_previous!$B$4:$B$138, 0), MATCH(AI$4&amp;AI$5, LS_previous!$D$2:$AY$2&amp;LS_previous!$D$3:$AY$3, 0)),SUM(VLOOKUP($A36, LS_previous!$B$4:$AY$138, LS_previous!AA$149, FALSE), VLOOKUP('Staging Table'!$A36, LS_previous!$B$4:$AY$138,LS_previous!AY$149, FALSE))/2)</f>
        <v>-88.52971743199987</v>
      </c>
      <c r="AJ36" s="314">
        <f t="array" ref="AJ36">INDEX(Demand_previous!$D$4:$AY$138, MATCH('Staging Table'!$A36, Demand_previous!$B$4:$B$138, 0), MATCH(AJ$4&amp;AJ$5,Demand_previous!$D$2:$AY$2&amp;Demand_previous!$D$3:$AY$3, 0))/1000</f>
        <v>0.62643750000000042</v>
      </c>
      <c r="AK36" s="314">
        <f t="array" ref="AK36">INDEX(Demand_previous!$D$4:$AY$138, MATCH('Staging Table'!$A36, Demand_previous!$B$4:$B$138, 0), MATCH(AK$4&amp;AK$5,Demand_previous!$D$2:$AY$2&amp;Demand_previous!$D$3:$AY$3, 0))/1000</f>
        <v>0.5290999999999999</v>
      </c>
      <c r="AL36" s="314">
        <f t="array" ref="AL36">INDEX(Demand_previous!$D$4:$AY$138, MATCH('Staging Table'!$A36, Demand_previous!$B$4:$B$138, 0), MATCH(AL$4&amp;AL$5,Demand_previous!$D$2:$AY$2&amp;Demand_previous!$D$3:$AY$3, 0))/1000</f>
        <v>0.4193724999999997</v>
      </c>
      <c r="AM36" s="314">
        <f t="array" ref="AM36">INDEX(Demand_previous!$D$4:$AY$138, MATCH('Staging Table'!$A36, Demand_previous!$B$4:$B$138, 0), MATCH(AM$4&amp;AM$5,Demand_previous!$D$2:$AY$2&amp;Demand_previous!$D$3:$AY$3, 0))/1000</f>
        <v>1.0439567307692308</v>
      </c>
      <c r="AN36" s="314">
        <f t="array" ref="AN36">INDEX(Demand_previous!$D$4:$AY$138, MATCH('Staging Table'!$A36, Demand_previous!$B$4:$B$138, 0), MATCH(AN$4&amp;AN$5,Demand_previous!$D$2:$AY$2&amp;Demand_previous!$D$3:$AY$3, 0))/1000</f>
        <v>0.84118249999999994</v>
      </c>
      <c r="AO36" s="314">
        <f t="array" ref="AO36">INDEX(Demand_previous!$D$4:$AY$138, MATCH('Staging Table'!$A36, Demand_previous!$B$4:$B$138, 0), MATCH(AO$4&amp;AO$5,Demand_previous!$D$2:$AY$2&amp;Demand_previous!$D$3:$AY$3, 0))/1000</f>
        <v>0.56123076923076964</v>
      </c>
      <c r="AP36" s="314">
        <f t="array" ref="AP36">INDEX(Demand_previous!$D$4:$AY$138, MATCH('Staging Table'!$A36, Demand_previous!$B$4:$B$138, 0), MATCH(AP$4&amp;AP$5,Demand_previous!$D$2:$AY$2&amp;Demand_previous!$D$3:$AY$3, 0))/1000</f>
        <v>1.1335673076923076</v>
      </c>
      <c r="AQ36" s="314">
        <f t="array" ref="AQ36">INDEX(Demand_previous!$D$4:$AY$138, MATCH('Staging Table'!$A36, Demand_previous!$B$4:$B$138, 0), MATCH(AQ$4&amp;AQ$5,Demand_previous!$D$2:$AY$2&amp;Demand_previous!$D$3:$AY$3, 0))/1000</f>
        <v>0.52703749999999983</v>
      </c>
      <c r="AR36" s="314">
        <f t="array" ref="AR36">INDEX(Demand_previous!$D$4:$AY$138, MATCH('Staging Table'!$A36, Demand_previous!$B$4:$B$138, 0), MATCH(AR$4&amp;AR$5,Demand_previous!$D$2:$AY$2&amp;Demand_previous!$D$3:$AY$3, 0))/1000</f>
        <v>0.4535769230769231</v>
      </c>
      <c r="AS36" s="314">
        <f t="array" ref="AS36">INDEX(Demand_previous!$D$4:$AY$138, MATCH('Staging Table'!$A36, Demand_previous!$B$4:$B$138, 0), MATCH(AS$4&amp;AS$5,Demand_previous!$D$2:$AY$2&amp;Demand_previous!$D$3:$AY$3, 0))/1000</f>
        <v>0.60476201923076944</v>
      </c>
      <c r="AT36" s="314">
        <f t="array" ref="AT36">INDEX(Demand_previous!$D$4:$AY$138, MATCH('Staging Table'!$A36, Demand_previous!$B$4:$B$138, 0), MATCH(AT$4&amp;AT$5,Demand_previous!$D$2:$AY$2&amp;Demand_previous!$D$3:$AY$3, 0))/1000</f>
        <v>0.47518509615384597</v>
      </c>
      <c r="AU36" s="314">
        <f t="array" ref="AU36">INDEX(Demand_previous!$D$4:$AY$138, MATCH('Staging Table'!$A36, Demand_previous!$B$4:$B$138, 0), MATCH(AU$4&amp;AU$5,Demand_previous!$D$2:$AY$2&amp;Demand_previous!$D$3:$AY$3, 0))/1000</f>
        <v>0.58915249999999975</v>
      </c>
      <c r="AV36" s="192">
        <f>$F36*(VLOOKUP(AV$4, Rates_previous!$G$6:$Q$29, 10, FALSE)+VLOOKUP(AV$4, Rates_previous!$G$6:$Q$29, 11, FALSE))</f>
        <v>2545.9887018743993</v>
      </c>
      <c r="AW36" s="192">
        <f>$F36*(VLOOKUP(AW$4, Rates_previous!$G$6:$Q$29, 10, FALSE)+VLOOKUP(AW$4, Rates_previous!$G$6:$Q$29, 11, FALSE))</f>
        <v>3234.1998879845996</v>
      </c>
      <c r="AX36" s="192">
        <f>$F36*(VLOOKUP(AX$4, Rates_previous!$G$6:$Q$29, 10, FALSE)+VLOOKUP(AX$4, Rates_previous!$G$6:$Q$29, 11, FALSE))</f>
        <v>3195.1425480744001</v>
      </c>
      <c r="AY36" s="192">
        <f>$F36*(VLOOKUP(AY$4, Rates_previous!$G$6:$Q$29, 10, FALSE)+VLOOKUP(AY$4, Rates_previous!$G$6:$Q$29, 11, FALSE))</f>
        <v>2663.3459208744002</v>
      </c>
      <c r="AZ36" s="192">
        <f>$F36*(VLOOKUP(AZ$4, Rates_previous!$G$6:$Q$29, 10, FALSE)+VLOOKUP(AZ$4, Rates_previous!$G$6:$Q$29, 11, FALSE))</f>
        <v>2412.7151035199995</v>
      </c>
      <c r="BA36" s="192">
        <f>$F36*(VLOOKUP(BA$4, Rates_previous!$G$6:$Q$29, 10, FALSE)+VLOOKUP(BA$4, Rates_previous!$G$6:$Q$29, 11, FALSE))</f>
        <v>2683.7056716617999</v>
      </c>
      <c r="BB36" s="192">
        <f>$F36*(VLOOKUP(BB$4, Rates_previous!$G$6:$Q$29, 10, FALSE)+VLOOKUP(BB$4, Rates_previous!$G$6:$Q$29, 11, FALSE))</f>
        <v>2185.0760538719996</v>
      </c>
      <c r="BC36" s="192">
        <f>$F36*(VLOOKUP(BC$4, Rates_previous!$G$6:$Q$29, 10, FALSE)+VLOOKUP(BC$4, Rates_previous!$G$6:$Q$29, 11, FALSE))</f>
        <v>2946.9008895744</v>
      </c>
      <c r="BD36" s="192">
        <f>$F36*(VLOOKUP(BD$4, Rates_previous!$G$6:$Q$29, 10, FALSE)+VLOOKUP(BD$4, Rates_previous!$G$6:$Q$29, 11, FALSE))</f>
        <v>3760.0451121719998</v>
      </c>
      <c r="BE36" s="192">
        <f>$F36*(VLOOKUP(BE$4, Rates_previous!$G$6:$Q$29, 10, FALSE)+VLOOKUP(BE$4, Rates_previous!$G$6:$Q$29, 11, FALSE))</f>
        <v>2947.9945914743998</v>
      </c>
      <c r="BF36" s="192">
        <f>$F36*(VLOOKUP(BF$4, Rates_previous!$G$6:$Q$29, 10, FALSE)+VLOOKUP(BF$4, Rates_previous!$G$6:$Q$29, 11, FALSE))</f>
        <v>2870.7597177744001</v>
      </c>
      <c r="BG36" s="192">
        <f>$F36*(VLOOKUP(BG$4, Rates_previous!$G$6:$Q$29, 10, FALSE)+VLOOKUP(BG$4, Rates_previous!$G$6:$Q$29, 11, FALSE))</f>
        <v>2577.3315372719999</v>
      </c>
      <c r="BH36" s="314">
        <f>IF($D36=0,IF(C36=0, MAX(BJ36 - (VLOOKUP($A36,TOCA_previous!$A$2:$AI$137,MATCH("RHWM 2020",TOCA_previous!$A$2:$AI$2,0),FALSE)*$F$2*TOCA_previous!C33),0),0), 0)</f>
        <v>0</v>
      </c>
      <c r="BI36" s="204">
        <f>MIN(VLOOKUP($A36,TOCA_previous!$A$2:$AI$137,MATCH("TRL - NLSL - Existing Resource "&amp;$F$1,TOCA_previous!$A$2:$AI$2,0),FALSE)*$F$2,(VLOOKUP($A36,TOCA_previous!$A$2:$AI$137,MATCH("RHWM 2020",TOCA_previous!$A$2:$AI$2,0),FALSE)*$F$2))</f>
        <v>34020.432000000001</v>
      </c>
      <c r="BJ36" s="418">
        <f>SUM(L36:AI36)+(F36*RT1SC!$C$3*$F$2)</f>
        <v>33636.174277042395</v>
      </c>
      <c r="BK36" s="417">
        <f>VLOOKUP($A36,TOCA_previous!$A$2:$AI$137,MATCH("Above RHWM Not Served with LS "&amp;$F$1,TOCA_previous!$A$2:$AI$2,0),FALSE)*$F$2</f>
        <v>0</v>
      </c>
      <c r="BL36" s="418">
        <f t="shared" si="8"/>
        <v>-384.25772295760544</v>
      </c>
      <c r="BM36" s="417">
        <f>(VLOOKUP($A36,TOCA_previous!$A$2:$AI$137,MATCH("RHWM 2020",TOCA_previous!$A$2:$AI$2,0),FALSE)*$F$2) - $BI36</f>
        <v>447.98399999999674</v>
      </c>
      <c r="BN36" s="418">
        <f t="shared" si="9"/>
        <v>0</v>
      </c>
      <c r="BO36" s="417">
        <f t="shared" si="10"/>
        <v>384.25772295760544</v>
      </c>
      <c r="BP36" s="418">
        <f t="shared" si="11"/>
        <v>0</v>
      </c>
      <c r="BQ36" s="417">
        <f t="shared" si="2"/>
        <v>384.25772295760544</v>
      </c>
      <c r="BR36" s="120">
        <f>VLOOKUP($A36,TOCA_current!$A$2:$AI$137,MATCH(BR$4,TOCA_current!$A$2:$AI$2,0),FALSE)</f>
        <v>5.5860000000000003E-4</v>
      </c>
      <c r="BS36" s="120">
        <f>VLOOKUP($A36,TOCA_current!$A$2:$AI$137,MATCH(BS$4,TOCA_current!$A$2:$AI$2,0),FALSE)</f>
        <v>5.5860000000000003E-4</v>
      </c>
      <c r="BT36" s="201">
        <f t="shared" si="12"/>
        <v>0</v>
      </c>
      <c r="BU36" s="120">
        <f>VLOOKUP($A36,TOCA_current!A32:BG167,MATCH(BU$4,TOCA_current!$A$2:$BG$2,0),FALSE)</f>
        <v>0</v>
      </c>
      <c r="BV36" s="120">
        <f t="shared" si="3"/>
        <v>0</v>
      </c>
      <c r="BW36" s="120">
        <f t="shared" si="4"/>
        <v>0</v>
      </c>
      <c r="BX36" s="191">
        <f>VLOOKUP($A36,IRD!$A$4:$G$139, 7, FALSE)</f>
        <v>0</v>
      </c>
      <c r="BY36" s="192">
        <f t="array" ref="BY36">IF($BT36=0, INDEX(LS_current!$D$4:$AY$138, MATCH('Staging Table'!$A36, LS_current!$B$4:$B$138, 0), MATCH(BY$4&amp;BY$5, LS_current!$D$2:$AY$2&amp;LS_current!$D$3:$AY$3, 0)),SUM(VLOOKUP($A36, LS_current!$B$4:$AY$138, LS_current!D$148, FALSE), VLOOKUP($A36, LS_current!$B$4:$AY$138,LS_current!AB$148, FALSE))/2)</f>
        <v>35.777558230469594</v>
      </c>
      <c r="BZ36" s="192">
        <f t="array" ref="BZ36">IF($BT36=0, INDEX(LS_current!$D$4:$AY$138, MATCH('Staging Table'!$A36, LS_current!$B$4:$B$138, 0), MATCH(BZ$4&amp;BZ$5, LS_current!$D$2:$AY$2&amp;LS_current!$D$3:$AY$3, 0)),SUM(VLOOKUP($A36, LS_current!$B$4:$AY$138, LS_current!E$148, FALSE), VLOOKUP($A36, LS_current!$B$4:$AY$138,LS_current!AC$148, FALSE))/2)</f>
        <v>154.3782603313183</v>
      </c>
      <c r="CA36" s="192">
        <f t="array" ref="CA36">IF($BT36=0, INDEX(LS_current!$D$4:$AY$138, MATCH('Staging Table'!$A36, LS_current!$B$4:$B$138, 0), MATCH(CA$4&amp;CA$5, LS_current!$D$2:$AY$2&amp;LS_current!$D$3:$AY$3, 0)),SUM(VLOOKUP($A36, LS_current!$B$4:$AY$138, LS_current!F$148, FALSE), VLOOKUP($A36, LS_current!$B$4:$AY$138,LS_current!AD$148, FALSE))/2)</f>
        <v>-194.73617227230261</v>
      </c>
      <c r="CB36" s="192">
        <f t="array" ref="CB36">IF($BT36=0, INDEX(LS_current!$D$4:$AY$138, MATCH('Staging Table'!$A36, LS_current!$B$4:$B$138, 0), MATCH(CB$4&amp;CB$5, LS_current!$D$2:$AY$2&amp;LS_current!$D$3:$AY$3, 0)),SUM(VLOOKUP($A36, LS_current!$B$4:$AY$138, LS_current!G$148, FALSE), VLOOKUP($A36, LS_current!$B$4:$AY$138,LS_current!AE$148, FALSE))/2)</f>
        <v>-45.018031088570524</v>
      </c>
      <c r="CC36" s="192">
        <f t="array" ref="CC36">IF($BT36=0, INDEX(LS_current!$D$4:$AY$138, MATCH('Staging Table'!$A36, LS_current!$B$4:$B$138, 0), MATCH(CC$4&amp;CC$5, LS_current!$D$2:$AY$2&amp;LS_current!$D$3:$AY$3, 0)),SUM(VLOOKUP($A36, LS_current!$B$4:$AY$138, LS_current!H$148, FALSE), VLOOKUP($A36, LS_current!$B$4:$AY$138,LS_current!AF$148, FALSE))/2)</f>
        <v>412.19568984998978</v>
      </c>
      <c r="CD36" s="192">
        <f t="array" ref="CD36">IF($BT36=0, INDEX(LS_current!$D$4:$AY$138, MATCH('Staging Table'!$A36, LS_current!$B$4:$B$138, 0), MATCH(CD$4&amp;CD$5, LS_current!$D$2:$AY$2&amp;LS_current!$D$3:$AY$3, 0)),SUM(VLOOKUP($A36, LS_current!$B$4:$AY$138, LS_current!I$148, FALSE), VLOOKUP($A36, LS_current!$B$4:$AY$138,LS_current!AG$148, FALSE))/2)</f>
        <v>135.42051813138369</v>
      </c>
      <c r="CE36" s="192">
        <f t="array" ref="CE36">IF($BT36=0, INDEX(LS_current!$D$4:$AY$138, MATCH('Staging Table'!$A36, LS_current!$B$4:$B$138, 0), MATCH(CE$4&amp;CE$5, LS_current!$D$2:$AY$2&amp;LS_current!$D$3:$AY$3, 0)),SUM(VLOOKUP($A36, LS_current!$B$4:$AY$138, LS_current!J$148, FALSE), VLOOKUP($A36, LS_current!$B$4:$AY$138,LS_current!AH$148, FALSE))/2)</f>
        <v>676.22156550188333</v>
      </c>
      <c r="CF36" s="192">
        <f t="array" ref="CF36">IF($BT36=0, INDEX(LS_current!$D$4:$AY$138, MATCH('Staging Table'!$A36, LS_current!$B$4:$B$138, 0), MATCH(CF$4&amp;CF$5, LS_current!$D$2:$AY$2&amp;LS_current!$D$3:$AY$3, 0)),SUM(VLOOKUP($A36, LS_current!$B$4:$AY$138, LS_current!K$148, FALSE), VLOOKUP($A36, LS_current!$B$4:$AY$138,LS_current!AI$148, FALSE))/2)</f>
        <v>458.94916117090634</v>
      </c>
      <c r="CG36" s="192">
        <f t="array" ref="CG36">IF($BT36=0, INDEX(LS_current!$D$4:$AY$138, MATCH('Staging Table'!$A36, LS_current!$B$4:$B$138, 0), MATCH(CG$4&amp;CG$5, LS_current!$D$2:$AY$2&amp;LS_current!$D$3:$AY$3, 0)),SUM(VLOOKUP($A36, LS_current!$B$4:$AY$138, LS_current!L$148, FALSE), VLOOKUP($A36, LS_current!$B$4:$AY$138,LS_current!AJ$148, FALSE))/2)</f>
        <v>602.66589803904844</v>
      </c>
      <c r="CH36" s="192">
        <f t="array" ref="CH36">IF($BT36=0, INDEX(LS_current!$D$4:$AY$138, MATCH('Staging Table'!$A36, LS_current!$B$4:$B$138, 0), MATCH(CH$4&amp;CH$5, LS_current!$D$2:$AY$2&amp;LS_current!$D$3:$AY$3, 0)),SUM(VLOOKUP($A36, LS_current!$B$4:$AY$138, LS_current!M$148, FALSE), VLOOKUP($A36, LS_current!$B$4:$AY$138,LS_current!AK$148, FALSE))/2)</f>
        <v>291.07494497245989</v>
      </c>
      <c r="CI36" s="192">
        <f t="array" ref="CI36">IF($BT36=0, INDEX(LS_current!$D$4:$AY$138, MATCH('Staging Table'!$A36, LS_current!$B$4:$B$138, 0), MATCH(CI$4&amp;CI$5, LS_current!$D$2:$AY$2&amp;LS_current!$D$3:$AY$3, 0)),SUM(VLOOKUP($A36, LS_current!$B$4:$AY$138, LS_current!N$148, FALSE), VLOOKUP($A36, LS_current!$B$4:$AY$138,LS_current!AL$148, FALSE))/2)</f>
        <v>344.30059421739634</v>
      </c>
      <c r="CJ36" s="192">
        <f t="array" ref="CJ36">IF($BT36=0, INDEX(LS_current!$D$4:$AY$138, MATCH('Staging Table'!$A36, LS_current!$B$4:$B$138, 0), MATCH(CJ$4&amp;CJ$5, LS_current!$D$2:$AY$2&amp;LS_current!$D$3:$AY$3, 0)),SUM(VLOOKUP($A36, LS_current!$B$4:$AY$138, LS_current!O$148, FALSE), VLOOKUP($A36, LS_current!$B$4:$AY$138,LS_current!AM$148, FALSE))/2)</f>
        <v>194.30663077356553</v>
      </c>
      <c r="CK36" s="192">
        <f t="array" ref="CK36">IF($BT36=0, INDEX(LS_current!$D$4:$AY$138, MATCH('Staging Table'!$A36, LS_current!$B$4:$B$138, 0), MATCH(CK$4&amp;CK$5, LS_current!$D$2:$AY$2&amp;LS_current!$D$3:$AY$3, 0)),SUM(VLOOKUP($A36, LS_current!$B$4:$AY$138, LS_current!P$148, FALSE), VLOOKUP($A36, LS_current!$B$4:$AY$138,LS_current!AN$148, FALSE))/2)</f>
        <v>364.91460487907602</v>
      </c>
      <c r="CL36" s="192">
        <f t="array" ref="CL36">IF($BT36=0, INDEX(LS_current!$D$4:$AY$138, MATCH('Staging Table'!$A36, LS_current!$B$4:$B$138, 0), MATCH(CL$4&amp;CL$5, LS_current!$D$2:$AY$2&amp;LS_current!$D$3:$AY$3, 0)),SUM(VLOOKUP($A36, LS_current!$B$4:$AY$138, LS_current!Q$148, FALSE), VLOOKUP($A36, LS_current!$B$4:$AY$138,LS_current!AO$148, FALSE))/2)</f>
        <v>222.63308818759072</v>
      </c>
      <c r="CM36" s="192">
        <f t="array" ref="CM36">IF($BT36=0, INDEX(LS_current!$D$4:$AY$138, MATCH('Staging Table'!$A36, LS_current!$B$4:$B$138, 0), MATCH(CM$4&amp;CM$5, LS_current!$D$2:$AY$2&amp;LS_current!$D$3:$AY$3, 0)),SUM(VLOOKUP($A36, LS_current!$B$4:$AY$138, LS_current!R$148, FALSE), VLOOKUP($A36, LS_current!$B$4:$AY$138,LS_current!AP$148, FALSE))/2)</f>
        <v>-534.3184239687389</v>
      </c>
      <c r="CN36" s="192">
        <f t="array" ref="CN36">IF($BT36=0, INDEX(LS_current!$D$4:$AY$138, MATCH('Staging Table'!$A36, LS_current!$B$4:$B$138, 0), MATCH(CN$4&amp;CN$5, LS_current!$D$2:$AY$2&amp;LS_current!$D$3:$AY$3, 0)),SUM(VLOOKUP($A36, LS_current!$B$4:$AY$138, LS_current!S$148, FALSE), VLOOKUP($A36, LS_current!$B$4:$AY$138,LS_current!AQ$148, FALSE))/2)</f>
        <v>40.221261740511636</v>
      </c>
      <c r="CO36" s="192">
        <f t="array" ref="CO36">IF($BT36=0, INDEX(LS_current!$D$4:$AY$138, MATCH('Staging Table'!$A36, LS_current!$B$4:$B$138, 0), MATCH(CO$4&amp;CO$5, LS_current!$D$2:$AY$2&amp;LS_current!$D$3:$AY$3, 0)),SUM(VLOOKUP($A36, LS_current!$B$4:$AY$138, LS_current!T$148, FALSE), VLOOKUP($A36, LS_current!$B$4:$AY$138,LS_current!AR$148, FALSE))/2)</f>
        <v>-780.63632515767108</v>
      </c>
      <c r="CP36" s="192">
        <f t="array" ref="CP36">IF($BT36=0, INDEX(LS_current!$D$4:$AY$138, MATCH('Staging Table'!$A36, LS_current!$B$4:$B$138, 0), MATCH(CP$4&amp;CP$5, LS_current!$D$2:$AY$2&amp;LS_current!$D$3:$AY$3, 0)),SUM(VLOOKUP($A36, LS_current!$B$4:$AY$138, LS_current!U$148, FALSE), VLOOKUP($A36, LS_current!$B$4:$AY$138,LS_current!AS$148, FALSE))/2)</f>
        <v>-79.591059036070646</v>
      </c>
      <c r="CQ36" s="192">
        <f t="array" ref="CQ36">IF($BT36=0, INDEX(LS_current!$D$4:$AY$138, MATCH('Staging Table'!$A36, LS_current!$B$4:$B$138, 0), MATCH(CQ$4&amp;CQ$5, LS_current!$D$2:$AY$2&amp;LS_current!$D$3:$AY$3, 0)),SUM(VLOOKUP($A36, LS_current!$B$4:$AY$138, LS_current!V$148, FALSE), VLOOKUP($A36, LS_current!$B$4:$AY$138,LS_current!AT$148, FALSE))/2)</f>
        <v>-582.27153861208467</v>
      </c>
      <c r="CR36" s="192">
        <f t="array" ref="CR36">IF($BT36=0, INDEX(LS_current!$D$4:$AY$138, MATCH('Staging Table'!$A36, LS_current!$B$4:$B$138, 0), MATCH(CR$4&amp;CR$5, LS_current!$D$2:$AY$2&amp;LS_current!$D$3:$AY$3, 0)),SUM(VLOOKUP($A36, LS_current!$B$4:$AY$138, LS_current!W$148, FALSE), VLOOKUP($A36, LS_current!$B$4:$AY$138,LS_current!AU$148, FALSE))/2)</f>
        <v>-82.79547767107897</v>
      </c>
      <c r="CS36" s="192">
        <f t="array" ref="CS36">IF($BT36=0, INDEX(LS_current!$D$4:$AY$138, MATCH('Staging Table'!$A36, LS_current!$B$4:$B$138, 0), MATCH(CS$4&amp;CS$5, LS_current!$D$2:$AY$2&amp;LS_current!$D$3:$AY$3, 0)),SUM(VLOOKUP($A36, LS_current!$B$4:$AY$138, LS_current!X$148, FALSE), VLOOKUP($A36, LS_current!$B$4:$AY$138,LS_current!AV$148, FALSE))/2)</f>
        <v>-422.06676325374769</v>
      </c>
      <c r="CT36" s="192">
        <f t="array" ref="CT36">IF($BT36=0, INDEX(LS_current!$D$4:$AY$138, MATCH('Staging Table'!$A36, LS_current!$B$4:$B$138, 0), MATCH(CT$4&amp;CT$5, LS_current!$D$2:$AY$2&amp;LS_current!$D$3:$AY$3, 0)),SUM(VLOOKUP($A36, LS_current!$B$4:$AY$138, LS_current!Y$148, FALSE), VLOOKUP($A36, LS_current!$B$4:$AY$138,LS_current!AW$148, FALSE))/2)</f>
        <v>-124.97974115822149</v>
      </c>
      <c r="CU36" s="192">
        <f t="array" ref="CU36">IF($BT36=0, INDEX(LS_current!$D$4:$AY$138, MATCH('Staging Table'!$A36, LS_current!$B$4:$B$138, 0), MATCH(CU$4&amp;CU$5, LS_current!$D$2:$AY$2&amp;LS_current!$D$3:$AY$3, 0)),SUM(VLOOKUP($A36, LS_current!$B$4:$AY$138, LS_current!Z$148, FALSE), VLOOKUP($A36, LS_current!$B$4:$AY$138,LS_current!AX$148, FALSE))/2)</f>
        <v>-302.08503752578758</v>
      </c>
      <c r="CV36" s="192">
        <f t="array" ref="CV36">IF($BT36=0, INDEX(LS_current!$D$4:$AY$138, MATCH('Staging Table'!$A36, LS_current!$B$4:$B$138, 0), MATCH(CV$4&amp;CV$5, LS_current!$D$2:$AY$2&amp;LS_current!$D$3:$AY$3, 0)),SUM(VLOOKUP($A36, LS_current!$B$4:$AY$138, LS_current!AA$148, FALSE), VLOOKUP($A36, LS_current!$B$4:$AY$138,LS_current!AY$148, FALSE))/2)</f>
        <v>-111.65452369162665</v>
      </c>
      <c r="CW36" s="194">
        <f t="array" ref="CW36">INDEX(Demand_current!$D$4:$AY$138, MATCH($A36, Demand_current!$B$4:$B$138, 0), MATCH(CW$4&amp;CW$5,Demand_current!$D$2:$AY$2&amp;Demand_current!$D$3:$AY$3, 0))/1000</f>
        <v>0.47799278846153848</v>
      </c>
      <c r="CX36" s="194">
        <f t="array" ref="CX36">INDEX(Demand_current!$D$4:$AY$138, MATCH($A36, Demand_current!$B$4:$B$138, 0), MATCH(CX$4&amp;CX$5,Demand_current!$D$2:$AY$2&amp;Demand_current!$D$3:$AY$3, 0))/1000</f>
        <v>0.5290999999999999</v>
      </c>
      <c r="CY36" s="194">
        <f t="array" ref="CY36">INDEX(Demand_current!$D$4:$AY$138, MATCH($A36, Demand_current!$B$4:$B$138, 0), MATCH(CY$4&amp;CY$5,Demand_current!$D$2:$AY$2&amp;Demand_current!$D$3:$AY$3, 0))/1000</f>
        <v>0.63216586538461517</v>
      </c>
      <c r="CZ36" s="194">
        <f t="array" ref="CZ36">INDEX(Demand_current!$D$4:$AY$138, MATCH($A36, Demand_current!$B$4:$B$138, 0), MATCH(CZ$4&amp;CZ$5,Demand_current!$D$2:$AY$2&amp;Demand_current!$D$3:$AY$3, 0))/1000</f>
        <v>0.83651500000000056</v>
      </c>
      <c r="DA36" s="194">
        <f t="array" ref="DA36">INDEX(Demand_current!$D$4:$AY$138, MATCH($A36, Demand_current!$B$4:$B$138, 0), MATCH(DA$4&amp;DA$5,Demand_current!$D$2:$AY$2&amp;Demand_current!$D$3:$AY$3, 0))/1000</f>
        <v>0.64185677083333337</v>
      </c>
      <c r="DB36" s="194">
        <f t="array" ref="DB36">INDEX(Demand_current!$D$4:$AY$138, MATCH($A36, Demand_current!$B$4:$B$138, 0), MATCH(DB$4&amp;DB$5,Demand_current!$D$2:$AY$2&amp;Demand_current!$D$3:$AY$3, 0))/1000</f>
        <v>0.73918518518518517</v>
      </c>
      <c r="DC36" s="194">
        <f t="array" ref="DC36">INDEX(Demand_current!$D$4:$AY$138, MATCH($A36, Demand_current!$B$4:$B$138, 0), MATCH(DC$4&amp;DC$5,Demand_current!$D$2:$AY$2&amp;Demand_current!$D$3:$AY$3, 0))/1000</f>
        <v>1.1335673076923076</v>
      </c>
      <c r="DD36" s="194">
        <f t="array" ref="DD36">INDEX(Demand_current!$D$4:$AY$138, MATCH($A36, Demand_current!$B$4:$B$138, 0), MATCH(DD$4&amp;DD$5,Demand_current!$D$2:$AY$2&amp;Demand_current!$D$3:$AY$3, 0))/1000</f>
        <v>0.52703749999999983</v>
      </c>
      <c r="DE36" s="194">
        <f t="array" ref="DE36">INDEX(Demand_current!$D$4:$AY$138, MATCH($A36, Demand_current!$B$4:$B$138, 0), MATCH(DE$4&amp;DE$5,Demand_current!$D$2:$AY$2&amp;Demand_current!$D$3:$AY$3, 0))/1000</f>
        <v>0.4535769230769231</v>
      </c>
      <c r="DF36" s="194">
        <f t="array" ref="DF36">INDEX(Demand_current!$D$4:$AY$138, MATCH($A36, Demand_current!$B$4:$B$138, 0), MATCH(DF$4&amp;DF$5,Demand_current!$D$2:$AY$2&amp;Demand_current!$D$3:$AY$3, 0))/1000</f>
        <v>0.4724725000000003</v>
      </c>
      <c r="DG36" s="194">
        <f t="array" ref="DG36">INDEX(Demand_current!$D$4:$AY$138, MATCH($A36, Demand_current!$B$4:$B$138, 0), MATCH(DG$4&amp;DG$5,Demand_current!$D$2:$AY$2&amp;Demand_current!$D$3:$AY$3, 0))/1000</f>
        <v>0.60795601851851844</v>
      </c>
      <c r="DH36" s="194">
        <f t="array" ref="DH36">INDEX(Demand_current!$D$4:$AY$138, MATCH($A36, Demand_current!$B$4:$B$138, 0), MATCH(DH$4&amp;DH$5,Demand_current!$D$2:$AY$2&amp;Demand_current!$D$3:$AY$3, 0))/1000</f>
        <v>0.58915249999999975</v>
      </c>
      <c r="DI36" s="192">
        <f>$BS36*(VLOOKUP(DI$4, Rates_current!$G$6:$Q$29, 10, FALSE)+VLOOKUP(DI$4, Rates_current!$G$6:$Q$29, 11, FALSE))</f>
        <v>2543.8221814382118</v>
      </c>
      <c r="DJ36" s="192">
        <f>$BS36*(VLOOKUP(DJ$4, Rates_current!$G$6:$Q$29, 10, FALSE)+VLOOKUP(DJ$4, Rates_current!$G$6:$Q$29, 11, FALSE))</f>
        <v>3220.5712033608734</v>
      </c>
      <c r="DK36" s="192">
        <f>$BS36*(VLOOKUP(DK$4, Rates_current!$G$6:$Q$29, 10, FALSE)+VLOOKUP(DK$4, Rates_current!$G$6:$Q$29, 11, FALSE))</f>
        <v>3152.2957920186268</v>
      </c>
      <c r="DL36" s="192">
        <f>$BS36*(VLOOKUP(DL$4, Rates_current!$G$6:$Q$29, 10, FALSE)+VLOOKUP(DL$4, Rates_current!$G$6:$Q$29, 11, FALSE))</f>
        <v>2603.6622733272102</v>
      </c>
      <c r="DM36" s="192">
        <f>$BS36*(VLOOKUP(DM$4, Rates_current!$G$6:$Q$29, 10, FALSE)+VLOOKUP(DM$4, Rates_current!$G$6:$Q$29, 11, FALSE))</f>
        <v>2256.6511569884919</v>
      </c>
      <c r="DN36" s="192">
        <f>$BS36*(VLOOKUP(DN$4, Rates_current!$G$6:$Q$29, 10, FALSE)+VLOOKUP(DN$4, Rates_current!$G$6:$Q$29, 11, FALSE))</f>
        <v>2693.9857750090387</v>
      </c>
      <c r="DO36" s="192">
        <f>$BS36*(VLOOKUP(DO$4, Rates_current!$G$6:$Q$29, 10, FALSE)+VLOOKUP(DO$4, Rates_current!$G$6:$Q$29, 11, FALSE))</f>
        <v>2091.5213069333331</v>
      </c>
      <c r="DP36" s="192">
        <f>$BS36*(VLOOKUP(DP$4, Rates_current!$G$6:$Q$29, 10, FALSE)+VLOOKUP(DP$4, Rates_current!$G$6:$Q$29, 11, FALSE))</f>
        <v>2897.8181622282273</v>
      </c>
      <c r="DQ36" s="192">
        <f>$BS36*(VLOOKUP(DQ$4, Rates_current!$G$6:$Q$29, 10, FALSE)+VLOOKUP(DQ$4, Rates_current!$G$6:$Q$29, 11, FALSE))</f>
        <v>3096.3793841937413</v>
      </c>
      <c r="DR36" s="192">
        <f>$BS36*(VLOOKUP(DR$4, Rates_current!$G$6:$Q$29, 10, FALSE)+VLOOKUP(DR$4, Rates_current!$G$6:$Q$29, 11, FALSE))</f>
        <v>2939.8720162831637</v>
      </c>
      <c r="DS36" s="192">
        <f>$BS36*(VLOOKUP(DS$4, Rates_current!$G$6:$Q$29, 10, FALSE)+VLOOKUP(DS$4, Rates_current!$G$6:$Q$29, 11, FALSE))</f>
        <v>2841.159504411969</v>
      </c>
      <c r="DT36" s="192">
        <f>$BS36*(VLOOKUP(DT$4, Rates_current!$G$6:$Q$29, 10, FALSE)+VLOOKUP(DT$4, Rates_current!$G$6:$Q$29, 11, FALSE))</f>
        <v>2625.5275612174141</v>
      </c>
      <c r="DU36" s="418">
        <f>IF(D36=0,IF(C36=0,MAX(0,DW36 - (VLOOKUP($A36,TOCA_current!$A$2:$AI$137,MATCH("RHWM 2022",TOCA_current!$A$2:$AI$2,0),FALSE)*$BS$2)), 0),0)</f>
        <v>672.29468621370324</v>
      </c>
      <c r="DV36" s="419">
        <f>MIN(VLOOKUP($A36,TOCA_current!$A$2:$AI$137,MATCH("TRL - NLSL - Existing Resource "&amp;$BS$1,TOCA_current!$A$2:$AI$2,0),FALSE)*$BS$2, VLOOKUP($A36,TOCA_current!$A$2:$AI$137,MATCH("RHWM 2022",TOCA_current!$A$2:$AI$2,0),FALSE)*$BS$2)</f>
        <v>32963.879999999997</v>
      </c>
      <c r="DW36" s="419">
        <f>SUM(BY36:CV36)+(BS36*RT1SC!$C$4*$BS$2)</f>
        <v>33636.174686213701</v>
      </c>
      <c r="DX36" s="419">
        <f>VLOOKUP($A36,TOCA_current!$A$2:$AI$137,MATCH("Above RHWM Not Served with LS "&amp;$BS$1,TOCA_current!$A$2:$AI$2,0),FALSE)*$BS$2</f>
        <v>0</v>
      </c>
      <c r="DY36" s="419">
        <f t="shared" si="13"/>
        <v>672.29468621370324</v>
      </c>
      <c r="DZ36" s="419">
        <f>(VLOOKUP($A36,TOCA_current!$A$2:$AI$137,MATCH("RHWM 2022",TOCA_current!$A$2:$AI$2,0),FALSE)*$BS$2) - $DV36</f>
        <v>0</v>
      </c>
      <c r="EA36" s="419">
        <f t="shared" si="14"/>
        <v>0</v>
      </c>
      <c r="EB36" s="419">
        <f t="shared" si="15"/>
        <v>0</v>
      </c>
      <c r="EC36" s="419">
        <f t="shared" si="16"/>
        <v>0</v>
      </c>
      <c r="ED36" s="419">
        <f t="shared" si="17"/>
        <v>0</v>
      </c>
    </row>
    <row r="37" spans="1:134">
      <c r="A37" s="135">
        <v>10087</v>
      </c>
      <c r="B37" s="136" t="s">
        <v>38</v>
      </c>
      <c r="C37" s="244">
        <f>VLOOKUP(A37, TOCA_current!$A$3:$D$137, 4, FALSE)</f>
        <v>0</v>
      </c>
      <c r="D37" s="203">
        <v>0</v>
      </c>
      <c r="E37" s="119">
        <f>VLOOKUP($A37,TOCA_previous!$A$2:$AI$137,MATCH(E$4,TOCA_previous!$A$2:$AI$2,0),FALSE)</f>
        <v>4.3660000000000001E-3</v>
      </c>
      <c r="F37" s="120">
        <f>VLOOKUP($A37,TOCA_previous!$A$2:$AI$137,MATCH(F$4,TOCA_previous!$A$2:$AI$2,0),FALSE)</f>
        <v>4.3660000000000001E-3</v>
      </c>
      <c r="G37" s="120">
        <f t="shared" si="5"/>
        <v>0</v>
      </c>
      <c r="H37" s="120">
        <f>VLOOKUP($A37,TOCA_previous!$A$2:$AI$137,MATCH(H$4,TOCA_previous!$A$2:$AI$2,0),FALSE)</f>
        <v>0</v>
      </c>
      <c r="I37" s="120">
        <f t="shared" si="6"/>
        <v>0</v>
      </c>
      <c r="J37" s="120">
        <f t="shared" si="7"/>
        <v>0</v>
      </c>
      <c r="K37" s="191">
        <f>VLOOKUP(A37, IRD!$A$5:$C$139, 3, FALSE)</f>
        <v>0</v>
      </c>
      <c r="L37" s="192">
        <f t="array" ref="L37">IF($G37=0, INDEX(LS_previous!$D$4:$AY$138, MATCH('Staging Table'!$A37, LS_previous!$B$4:$B$138, 0), MATCH(L$4&amp;L$5, LS_previous!$D$2:$AY$2&amp;LS_previous!$D$3:$AY$3, 0)),SUM(VLOOKUP($A37, LS_previous!$B$4:$AY$138, LS_previous!D$149, FALSE), VLOOKUP('Staging Table'!$A37, LS_previous!$B$4:$AY$138,LS_previous!AB$149, FALSE))/2)</f>
        <v>5134.9455159920017</v>
      </c>
      <c r="M37" s="192">
        <f t="array" ref="M37">IF($G37=0, INDEX(LS_previous!$D$4:$AY$138, MATCH('Staging Table'!$A37, LS_previous!$B$4:$B$138, 0), MATCH(M$4&amp;M$5, LS_previous!$D$2:$AY$2&amp;LS_previous!$D$3:$AY$3, 0)),SUM(VLOOKUP($A37, LS_previous!$B$4:$AY$138, LS_previous!E$149, FALSE), VLOOKUP('Staging Table'!$A37, LS_previous!$B$4:$AY$138,LS_previous!AC$149, FALSE))/2)</f>
        <v>5398.1536062720006</v>
      </c>
      <c r="N37" s="192">
        <f t="array" ref="N37">IF($G37=0, INDEX(LS_previous!$D$4:$AY$138, MATCH('Staging Table'!$A37, LS_previous!$B$4:$B$138, 0), MATCH(N$4&amp;N$5, LS_previous!$D$2:$AY$2&amp;LS_previous!$D$3:$AY$3, 0)),SUM(VLOOKUP($A37, LS_previous!$B$4:$AY$138, LS_previous!F$149, FALSE), VLOOKUP('Staging Table'!$A37, LS_previous!$B$4:$AY$138,LS_previous!AD$149, FALSE))/2)</f>
        <v>3842.0843727520005</v>
      </c>
      <c r="O37" s="192">
        <f t="array" ref="O37">IF($G37=0, INDEX(LS_previous!$D$4:$AY$138, MATCH('Staging Table'!$A37, LS_previous!$B$4:$B$138, 0), MATCH(O$4&amp;O$5, LS_previous!$D$2:$AY$2&amp;LS_previous!$D$3:$AY$3, 0)),SUM(VLOOKUP($A37, LS_previous!$B$4:$AY$138, LS_previous!G$149, FALSE), VLOOKUP('Staging Table'!$A37, LS_previous!$B$4:$AY$138,LS_previous!AE$149, FALSE))/2)</f>
        <v>5026.9841057739995</v>
      </c>
      <c r="P37" s="192">
        <f t="array" ref="P37">IF($G37=0, INDEX(LS_previous!$D$4:$AY$138, MATCH('Staging Table'!$A37, LS_previous!$B$4:$B$138, 0), MATCH(P$4&amp;P$5, LS_previous!$D$2:$AY$2&amp;LS_previous!$D$3:$AY$3, 0)),SUM(VLOOKUP($A37, LS_previous!$B$4:$AY$138, LS_previous!H$149, FALSE), VLOOKUP('Staging Table'!$A37, LS_previous!$B$4:$AY$138,LS_previous!AF$149, FALSE))/2)</f>
        <v>7447.5951700479964</v>
      </c>
      <c r="Q37" s="192">
        <f t="array" ref="Q37">IF($G37=0, INDEX(LS_previous!$D$4:$AY$138, MATCH('Staging Table'!$A37, LS_previous!$B$4:$B$138, 0), MATCH(Q$4&amp;Q$5, LS_previous!$D$2:$AY$2&amp;LS_previous!$D$3:$AY$3, 0)),SUM(VLOOKUP($A37, LS_previous!$B$4:$AY$138, LS_previous!I$149, FALSE), VLOOKUP('Staging Table'!$A37, LS_previous!$B$4:$AY$138,LS_previous!AG$149, FALSE))/2)</f>
        <v>8377.1643742159977</v>
      </c>
      <c r="R37" s="192">
        <f t="array" ref="R37">IF($G37=0, INDEX(LS_previous!$D$4:$AY$138, MATCH('Staging Table'!$A37, LS_previous!$B$4:$B$138, 0), MATCH(R$4&amp;R$5, LS_previous!$D$2:$AY$2&amp;LS_previous!$D$3:$AY$3, 0)),SUM(VLOOKUP($A37, LS_previous!$B$4:$AY$138, LS_previous!J$149, FALSE), VLOOKUP('Staging Table'!$A37, LS_previous!$B$4:$AY$138,LS_previous!AH$149, FALSE))/2)</f>
        <v>11251.834786047999</v>
      </c>
      <c r="S37" s="192">
        <f t="array" ref="S37">IF($G37=0, INDEX(LS_previous!$D$4:$AY$138, MATCH('Staging Table'!$A37, LS_previous!$B$4:$B$138, 0), MATCH(S$4&amp;S$5, LS_previous!$D$2:$AY$2&amp;LS_previous!$D$3:$AY$3, 0)),SUM(VLOOKUP($A37, LS_previous!$B$4:$AY$138, LS_previous!K$149, FALSE), VLOOKUP('Staging Table'!$A37, LS_previous!$B$4:$AY$138,LS_previous!AI$149, FALSE))/2)</f>
        <v>9658.6897262160019</v>
      </c>
      <c r="T37" s="192">
        <f t="array" ref="T37">IF($G37=0, INDEX(LS_previous!$D$4:$AY$138, MATCH('Staging Table'!$A37, LS_previous!$B$4:$B$138, 0), MATCH(T$4&amp;T$5, LS_previous!$D$2:$AY$2&amp;LS_previous!$D$3:$AY$3, 0)),SUM(VLOOKUP($A37, LS_previous!$B$4:$AY$138, LS_previous!L$149, FALSE), VLOOKUP('Staging Table'!$A37, LS_previous!$B$4:$AY$138,LS_previous!AJ$149, FALSE))/2)</f>
        <v>9535.9009566160021</v>
      </c>
      <c r="U37" s="192">
        <f t="array" ref="U37">IF($G37=0, INDEX(LS_previous!$D$4:$AY$138, MATCH('Staging Table'!$A37, LS_previous!$B$4:$B$138, 0), MATCH(U$4&amp;U$5, LS_previous!$D$2:$AY$2&amp;LS_previous!$D$3:$AY$3, 0)),SUM(VLOOKUP($A37, LS_previous!$B$4:$AY$138, LS_previous!M$149, FALSE), VLOOKUP('Staging Table'!$A37, LS_previous!$B$4:$AY$138,LS_previous!AK$149, FALSE))/2)</f>
        <v>8070.1720945839998</v>
      </c>
      <c r="V37" s="192">
        <f t="array" ref="V37">IF($G37=0, INDEX(LS_previous!$D$4:$AY$138, MATCH('Staging Table'!$A37, LS_previous!$B$4:$B$138, 0), MATCH(V$4&amp;V$5, LS_previous!$D$2:$AY$2&amp;LS_previous!$D$3:$AY$3, 0)),SUM(VLOOKUP($A37, LS_previous!$B$4:$AY$138, LS_previous!N$149, FALSE), VLOOKUP('Staging Table'!$A37, LS_previous!$B$4:$AY$138,LS_previous!AL$149, FALSE))/2)</f>
        <v>8416.2453993439995</v>
      </c>
      <c r="W37" s="192">
        <f t="array" ref="W37">IF($G37=0, INDEX(LS_previous!$D$4:$AY$138, MATCH('Staging Table'!$A37, LS_previous!$B$4:$B$138, 0), MATCH(W$4&amp;W$5, LS_previous!$D$2:$AY$2&amp;LS_previous!$D$3:$AY$3, 0)),SUM(VLOOKUP($A37, LS_previous!$B$4:$AY$138, LS_previous!O$149, FALSE), VLOOKUP('Staging Table'!$A37, LS_previous!$B$4:$AY$138,LS_previous!AM$149, FALSE))/2)</f>
        <v>7671.363059714</v>
      </c>
      <c r="X37" s="192">
        <f t="array" ref="X37">IF($G37=0, INDEX(LS_previous!$D$4:$AY$138, MATCH('Staging Table'!$A37, LS_previous!$B$4:$B$138, 0), MATCH(X$4&amp;X$5, LS_previous!$D$2:$AY$2&amp;LS_previous!$D$3:$AY$3, 0)),SUM(VLOOKUP($A37, LS_previous!$B$4:$AY$138, LS_previous!P$149, FALSE), VLOOKUP('Staging Table'!$A37, LS_previous!$B$4:$AY$138,LS_previous!AN$149, FALSE))/2)</f>
        <v>7518.8450076959998</v>
      </c>
      <c r="Y37" s="192">
        <f t="array" ref="Y37">IF($G37=0, INDEX(LS_previous!$D$4:$AY$138, MATCH('Staging Table'!$A37, LS_previous!$B$4:$B$138, 0), MATCH(Y$4&amp;Y$5, LS_previous!$D$2:$AY$2&amp;LS_previous!$D$3:$AY$3, 0)),SUM(VLOOKUP($A37, LS_previous!$B$4:$AY$138, LS_previous!Q$149, FALSE), VLOOKUP('Staging Table'!$A37, LS_previous!$B$4:$AY$138,LS_previous!AO$149, FALSE))/2)</f>
        <v>6467.7811486240007</v>
      </c>
      <c r="Z37" s="192">
        <f t="array" ref="Z37">IF($G37=0, INDEX(LS_previous!$D$4:$AY$138, MATCH('Staging Table'!$A37, LS_previous!$B$4:$B$138, 0), MATCH(Z$4&amp;Z$5, LS_previous!$D$2:$AY$2&amp;LS_previous!$D$3:$AY$3, 0)),SUM(VLOOKUP($A37, LS_previous!$B$4:$AY$138, LS_previous!R$149, FALSE), VLOOKUP('Staging Table'!$A37, LS_previous!$B$4:$AY$138,LS_previous!AP$149, FALSE))/2)</f>
        <v>556.0977213999995</v>
      </c>
      <c r="AA37" s="192">
        <f t="array" ref="AA37">IF($G37=0, INDEX(LS_previous!$D$4:$AY$138, MATCH('Staging Table'!$A37, LS_previous!$B$4:$B$138, 0), MATCH(AA$4&amp;AA$5, LS_previous!$D$2:$AY$2&amp;LS_previous!$D$3:$AY$3, 0)),SUM(VLOOKUP($A37, LS_previous!$B$4:$AY$138, LS_previous!S$149, FALSE), VLOOKUP('Staging Table'!$A37, LS_previous!$B$4:$AY$138,LS_previous!AQ$149, FALSE))/2)</f>
        <v>3292.0099378640007</v>
      </c>
      <c r="AB37" s="192">
        <f t="array" ref="AB37">IF($G37=0, INDEX(LS_previous!$D$4:$AY$138, MATCH('Staging Table'!$A37, LS_previous!$B$4:$B$138, 0), MATCH(AB$4&amp;AB$5, LS_previous!$D$2:$AY$2&amp;LS_previous!$D$3:$AY$3, 0)),SUM(VLOOKUP($A37, LS_previous!$B$4:$AY$138, LS_previous!T$149, FALSE), VLOOKUP('Staging Table'!$A37, LS_previous!$B$4:$AY$138,LS_previous!AR$149, FALSE))/2)</f>
        <v>-4340.9665933039996</v>
      </c>
      <c r="AC37" s="192">
        <f t="array" ref="AC37">IF($G37=0, INDEX(LS_previous!$D$4:$AY$138, MATCH('Staging Table'!$A37, LS_previous!$B$4:$B$138, 0), MATCH(AC$4&amp;AC$5, LS_previous!$D$2:$AY$2&amp;LS_previous!$D$3:$AY$3, 0)),SUM(VLOOKUP($A37, LS_previous!$B$4:$AY$138, LS_previous!U$149, FALSE), VLOOKUP('Staging Table'!$A37, LS_previous!$B$4:$AY$138,LS_previous!AS$149, FALSE))/2)</f>
        <v>-566.16952737599968</v>
      </c>
      <c r="AD37" s="192">
        <f t="array" ref="AD37">IF($G37=0, INDEX(LS_previous!$D$4:$AY$138, MATCH('Staging Table'!$A37, LS_previous!$B$4:$B$138, 0), MATCH(AD$4&amp;AD$5, LS_previous!$D$2:$AY$2&amp;LS_previous!$D$3:$AY$3, 0)),SUM(VLOOKUP($A37, LS_previous!$B$4:$AY$138, LS_previous!V$149, FALSE), VLOOKUP('Staging Table'!$A37, LS_previous!$B$4:$AY$138,LS_previous!AT$149, FALSE))/2)</f>
        <v>-1796.9596233039993</v>
      </c>
      <c r="AE37" s="192">
        <f t="array" ref="AE37">IF($G37=0, INDEX(LS_previous!$D$4:$AY$138, MATCH('Staging Table'!$A37, LS_previous!$B$4:$B$138, 0), MATCH(AE$4&amp;AE$5, LS_previous!$D$2:$AY$2&amp;LS_previous!$D$3:$AY$3, 0)),SUM(VLOOKUP($A37, LS_previous!$B$4:$AY$138, LS_previous!W$149, FALSE), VLOOKUP('Staging Table'!$A37, LS_previous!$B$4:$AY$138,LS_previous!AU$149, FALSE))/2)</f>
        <v>3322.3813215679993</v>
      </c>
      <c r="AF37" s="192">
        <f t="array" ref="AF37">IF($G37=0, INDEX(LS_previous!$D$4:$AY$138, MATCH('Staging Table'!$A37, LS_previous!$B$4:$B$138, 0), MATCH(AF$4&amp;AF$5, LS_previous!$D$2:$AY$2&amp;LS_previous!$D$3:$AY$3, 0)),SUM(VLOOKUP($A37, LS_previous!$B$4:$AY$138, LS_previous!X$149, FALSE), VLOOKUP('Staging Table'!$A37, LS_previous!$B$4:$AY$138,LS_previous!AV$149, FALSE))/2)</f>
        <v>-534.91814030400019</v>
      </c>
      <c r="AG37" s="192">
        <f t="array" ref="AG37">IF($G37=0, INDEX(LS_previous!$D$4:$AY$138, MATCH('Staging Table'!$A37, LS_previous!$B$4:$B$138, 0), MATCH(AG$4&amp;AG$5, LS_previous!$D$2:$AY$2&amp;LS_previous!$D$3:$AY$3, 0)),SUM(VLOOKUP($A37, LS_previous!$B$4:$AY$138, LS_previous!Y$149, FALSE), VLOOKUP('Staging Table'!$A37, LS_previous!$B$4:$AY$138,LS_previous!AW$149, FALSE))/2)</f>
        <v>2645.067641568</v>
      </c>
      <c r="AH37" s="192">
        <f t="array" ref="AH37">IF($G37=0, INDEX(LS_previous!$D$4:$AY$138, MATCH('Staging Table'!$A37, LS_previous!$B$4:$B$138, 0), MATCH(AH$4&amp;AH$5, LS_previous!$D$2:$AY$2&amp;LS_previous!$D$3:$AY$3, 0)),SUM(VLOOKUP($A37, LS_previous!$B$4:$AY$138, LS_previous!Z$149, FALSE), VLOOKUP('Staging Table'!$A37, LS_previous!$B$4:$AY$138,LS_previous!AX$149, FALSE))/2)</f>
        <v>1154.3294703999982</v>
      </c>
      <c r="AI37" s="192">
        <f t="array" ref="AI37">IF($G37=0, INDEX(LS_previous!$D$4:$AY$138, MATCH('Staging Table'!$A37, LS_previous!$B$4:$B$138, 0), MATCH(AI$4&amp;AI$5, LS_previous!$D$2:$AY$2&amp;LS_previous!$D$3:$AY$3, 0)),SUM(VLOOKUP($A37, LS_previous!$B$4:$AY$138, LS_previous!AA$149, FALSE), VLOOKUP('Staging Table'!$A37, LS_previous!$B$4:$AY$138,LS_previous!AY$149, FALSE))/2)</f>
        <v>3333.495239920001</v>
      </c>
      <c r="AJ37" s="314">
        <f t="array" ref="AJ37">INDEX(Demand_previous!$D$4:$AY$138, MATCH('Staging Table'!$A37, Demand_previous!$B$4:$B$138, 0), MATCH(AJ$4&amp;AJ$5,Demand_previous!$D$2:$AY$2&amp;Demand_previous!$D$3:$AY$3, 0))/1000</f>
        <v>0</v>
      </c>
      <c r="AK37" s="314">
        <f t="array" ref="AK37">INDEX(Demand_previous!$D$4:$AY$138, MATCH('Staging Table'!$A37, Demand_previous!$B$4:$B$138, 0), MATCH(AK$4&amp;AK$5,Demand_previous!$D$2:$AY$2&amp;Demand_previous!$D$3:$AY$3, 0))/1000</f>
        <v>0</v>
      </c>
      <c r="AL37" s="314">
        <f t="array" ref="AL37">INDEX(Demand_previous!$D$4:$AY$138, MATCH('Staging Table'!$A37, Demand_previous!$B$4:$B$138, 0), MATCH(AL$4&amp;AL$5,Demand_previous!$D$2:$AY$2&amp;Demand_previous!$D$3:$AY$3, 0))/1000</f>
        <v>0</v>
      </c>
      <c r="AM37" s="314">
        <f t="array" ref="AM37">INDEX(Demand_previous!$D$4:$AY$138, MATCH('Staging Table'!$A37, Demand_previous!$B$4:$B$138, 0), MATCH(AM$4&amp;AM$5,Demand_previous!$D$2:$AY$2&amp;Demand_previous!$D$3:$AY$3, 0))/1000</f>
        <v>0</v>
      </c>
      <c r="AN37" s="314">
        <f t="array" ref="AN37">INDEX(Demand_previous!$D$4:$AY$138, MATCH('Staging Table'!$A37, Demand_previous!$B$4:$B$138, 0), MATCH(AN$4&amp;AN$5,Demand_previous!$D$2:$AY$2&amp;Demand_previous!$D$3:$AY$3, 0))/1000</f>
        <v>0</v>
      </c>
      <c r="AO37" s="314">
        <f t="array" ref="AO37">INDEX(Demand_previous!$D$4:$AY$138, MATCH('Staging Table'!$A37, Demand_previous!$B$4:$B$138, 0), MATCH(AO$4&amp;AO$5,Demand_previous!$D$2:$AY$2&amp;Demand_previous!$D$3:$AY$3, 0))/1000</f>
        <v>0</v>
      </c>
      <c r="AP37" s="314">
        <f t="array" ref="AP37">INDEX(Demand_previous!$D$4:$AY$138, MATCH('Staging Table'!$A37, Demand_previous!$B$4:$B$138, 0), MATCH(AP$4&amp;AP$5,Demand_previous!$D$2:$AY$2&amp;Demand_previous!$D$3:$AY$3, 0))/1000</f>
        <v>0</v>
      </c>
      <c r="AQ37" s="314">
        <f t="array" ref="AQ37">INDEX(Demand_previous!$D$4:$AY$138, MATCH('Staging Table'!$A37, Demand_previous!$B$4:$B$138, 0), MATCH(AQ$4&amp;AQ$5,Demand_previous!$D$2:$AY$2&amp;Demand_previous!$D$3:$AY$3, 0))/1000</f>
        <v>0</v>
      </c>
      <c r="AR37" s="314">
        <f t="array" ref="AR37">INDEX(Demand_previous!$D$4:$AY$138, MATCH('Staging Table'!$A37, Demand_previous!$B$4:$B$138, 0), MATCH(AR$4&amp;AR$5,Demand_previous!$D$2:$AY$2&amp;Demand_previous!$D$3:$AY$3, 0))/1000</f>
        <v>0</v>
      </c>
      <c r="AS37" s="314">
        <f t="array" ref="AS37">INDEX(Demand_previous!$D$4:$AY$138, MATCH('Staging Table'!$A37, Demand_previous!$B$4:$B$138, 0), MATCH(AS$4&amp;AS$5,Demand_previous!$D$2:$AY$2&amp;Demand_previous!$D$3:$AY$3, 0))/1000</f>
        <v>0</v>
      </c>
      <c r="AT37" s="314">
        <f t="array" ref="AT37">INDEX(Demand_previous!$D$4:$AY$138, MATCH('Staging Table'!$A37, Demand_previous!$B$4:$B$138, 0), MATCH(AT$4&amp;AT$5,Demand_previous!$D$2:$AY$2&amp;Demand_previous!$D$3:$AY$3, 0))/1000</f>
        <v>0</v>
      </c>
      <c r="AU37" s="314">
        <f t="array" ref="AU37">INDEX(Demand_previous!$D$4:$AY$138, MATCH('Staging Table'!$A37, Demand_previous!$B$4:$B$138, 0), MATCH(AU$4&amp;AU$5,Demand_previous!$D$2:$AY$2&amp;Demand_previous!$D$3:$AY$3, 0))/1000</f>
        <v>0</v>
      </c>
      <c r="AV37" s="192">
        <f>$F37*(VLOOKUP(AV$4, Rates_previous!$G$6:$Q$29, 10, FALSE)+VLOOKUP(AV$4, Rates_previous!$G$6:$Q$29, 11, FALSE))</f>
        <v>20159.206877736</v>
      </c>
      <c r="AW37" s="192">
        <f>$F37*(VLOOKUP(AW$4, Rates_previous!$G$6:$Q$29, 10, FALSE)+VLOOKUP(AW$4, Rates_previous!$G$6:$Q$29, 11, FALSE))</f>
        <v>25608.481521474001</v>
      </c>
      <c r="AX37" s="192">
        <f>$F37*(VLOOKUP(AX$4, Rates_previous!$G$6:$Q$29, 10, FALSE)+VLOOKUP(AX$4, Rates_previous!$G$6:$Q$29, 11, FALSE))</f>
        <v>25299.224455736003</v>
      </c>
      <c r="AY37" s="192">
        <f>$F37*(VLOOKUP(AY$4, Rates_previous!$G$6:$Q$29, 10, FALSE)+VLOOKUP(AY$4, Rates_previous!$G$6:$Q$29, 11, FALSE))</f>
        <v>21088.444487736004</v>
      </c>
      <c r="AZ37" s="192">
        <f>$F37*(VLOOKUP(AZ$4, Rates_previous!$G$6:$Q$29, 10, FALSE)+VLOOKUP(AZ$4, Rates_previous!$G$6:$Q$29, 11, FALSE))</f>
        <v>19103.942948799999</v>
      </c>
      <c r="BA37" s="192">
        <f>$F37*(VLOOKUP(BA$4, Rates_previous!$G$6:$Q$29, 10, FALSE)+VLOOKUP(BA$4, Rates_previous!$G$6:$Q$29, 11, FALSE))</f>
        <v>21249.653540941999</v>
      </c>
      <c r="BB37" s="192">
        <f>$F37*(VLOOKUP(BB$4, Rates_previous!$G$6:$Q$29, 10, FALSE)+VLOOKUP(BB$4, Rates_previous!$G$6:$Q$29, 11, FALSE))</f>
        <v>17301.49084368</v>
      </c>
      <c r="BC37" s="192">
        <f>$F37*(VLOOKUP(BC$4, Rates_previous!$G$6:$Q$29, 10, FALSE)+VLOOKUP(BC$4, Rates_previous!$G$6:$Q$29, 11, FALSE))</f>
        <v>23333.640340736001</v>
      </c>
      <c r="BD37" s="192">
        <f>$F37*(VLOOKUP(BD$4, Rates_previous!$G$6:$Q$29, 10, FALSE)+VLOOKUP(BD$4, Rates_previous!$G$6:$Q$29, 11, FALSE))</f>
        <v>29772.138120680003</v>
      </c>
      <c r="BE37" s="192">
        <f>$F37*(VLOOKUP(BE$4, Rates_previous!$G$6:$Q$29, 10, FALSE)+VLOOKUP(BE$4, Rates_previous!$G$6:$Q$29, 11, FALSE))</f>
        <v>23342.300301736002</v>
      </c>
      <c r="BF37" s="192">
        <f>$F37*(VLOOKUP(BF$4, Rates_previous!$G$6:$Q$29, 10, FALSE)+VLOOKUP(BF$4, Rates_previous!$G$6:$Q$29, 11, FALSE))</f>
        <v>22730.752498736001</v>
      </c>
      <c r="BG37" s="192">
        <f>$F37*(VLOOKUP(BG$4, Rates_previous!$G$6:$Q$29, 10, FALSE)+VLOOKUP(BG$4, Rates_previous!$G$6:$Q$29, 11, FALSE))</f>
        <v>20407.380289680001</v>
      </c>
      <c r="BH37" s="314">
        <f>IF($D37=0,IF(C37=0, MAX(BJ37 - (VLOOKUP($A37,TOCA_previous!$A$2:$AI$137,MATCH("RHWM 2020",TOCA_previous!$A$2:$AI$2,0),FALSE)*$F$2*TOCA_previous!C34),0),0), 0)</f>
        <v>0</v>
      </c>
      <c r="BI37" s="204">
        <f>MIN(VLOOKUP($A37,TOCA_previous!$A$2:$AI$137,MATCH("TRL - NLSL - Existing Resource "&amp;$F$1,TOCA_previous!$A$2:$AI$2,0),FALSE)*$F$2,(VLOOKUP($A37,TOCA_previous!$A$2:$AI$137,MATCH("RHWM 2020",TOCA_previous!$A$2:$AI$2,0),FALSE)*$F$2))</f>
        <v>269396.49599999998</v>
      </c>
      <c r="BJ37" s="418">
        <f>SUM(L37:AI37)+(F37*RT1SC!$C$3*$F$2)</f>
        <v>380278.79311165598</v>
      </c>
      <c r="BK37" s="417">
        <f>VLOOKUP($A37,TOCA_previous!$A$2:$AI$137,MATCH("Above RHWM Not Served with LS "&amp;$F$1,TOCA_previous!$A$2:$AI$2,0),FALSE)*$F$2</f>
        <v>0</v>
      </c>
      <c r="BL37" s="418">
        <f t="shared" si="8"/>
        <v>110882.29711165599</v>
      </c>
      <c r="BM37" s="417">
        <f>(VLOOKUP($A37,TOCA_previous!$A$2:$AI$137,MATCH("RHWM 2020",TOCA_previous!$A$2:$AI$2,0),FALSE)*$F$2) - $BI37</f>
        <v>477480.67200000008</v>
      </c>
      <c r="BN37" s="418">
        <f t="shared" si="9"/>
        <v>-110882.29711165599</v>
      </c>
      <c r="BO37" s="417">
        <f t="shared" si="10"/>
        <v>0</v>
      </c>
      <c r="BP37" s="418">
        <f t="shared" si="11"/>
        <v>0</v>
      </c>
      <c r="BQ37" s="417">
        <f t="shared" si="2"/>
        <v>-110882.29711165599</v>
      </c>
      <c r="BR37" s="120">
        <f>VLOOKUP($A37,TOCA_current!$A$2:$AI$137,MATCH(BR$4,TOCA_current!$A$2:$AI$2,0),FALSE)</f>
        <v>8.3526999999999994E-3</v>
      </c>
      <c r="BS37" s="120">
        <f>VLOOKUP($A37,TOCA_current!$A$2:$AI$137,MATCH(BS$4,TOCA_current!$A$2:$AI$2,0),FALSE)</f>
        <v>8.3526999999999994E-3</v>
      </c>
      <c r="BT37" s="201">
        <f t="shared" si="12"/>
        <v>0</v>
      </c>
      <c r="BU37" s="120">
        <f>VLOOKUP($A37,TOCA_current!A33:BG168,MATCH(BU$4,TOCA_current!$A$2:$BG$2,0),FALSE)</f>
        <v>0</v>
      </c>
      <c r="BV37" s="120">
        <f t="shared" si="3"/>
        <v>0</v>
      </c>
      <c r="BW37" s="120">
        <f t="shared" si="4"/>
        <v>0</v>
      </c>
      <c r="BX37" s="191">
        <f>VLOOKUP($A37,IRD!$A$4:$G$139, 7, FALSE)</f>
        <v>0</v>
      </c>
      <c r="BY37" s="192">
        <f t="array" ref="BY37">IF($BT37=0, INDEX(LS_current!$D$4:$AY$138, MATCH('Staging Table'!$A37, LS_current!$B$4:$B$138, 0), MATCH(BY$4&amp;BY$5, LS_current!$D$2:$AY$2&amp;LS_current!$D$3:$AY$3, 0)),SUM(VLOOKUP($A37, LS_current!$B$4:$AY$138, LS_current!D$148, FALSE), VLOOKUP($A37, LS_current!$B$4:$AY$138,LS_current!AB$148, FALSE))/2)</f>
        <v>-6123.9598425856639</v>
      </c>
      <c r="BZ37" s="192">
        <f t="array" ref="BZ37">IF($BT37=0, INDEX(LS_current!$D$4:$AY$138, MATCH('Staging Table'!$A37, LS_current!$B$4:$B$138, 0), MATCH(BZ$4&amp;BZ$5, LS_current!$D$2:$AY$2&amp;LS_current!$D$3:$AY$3, 0)),SUM(VLOOKUP($A37, LS_current!$B$4:$AY$138, LS_current!E$148, FALSE), VLOOKUP($A37, LS_current!$B$4:$AY$138,LS_current!AC$148, FALSE))/2)</f>
        <v>-1221.2986667214391</v>
      </c>
      <c r="CA37" s="192">
        <f t="array" ref="CA37">IF($BT37=0, INDEX(LS_current!$D$4:$AY$138, MATCH('Staging Table'!$A37, LS_current!$B$4:$B$138, 0), MATCH(CA$4&amp;CA$5, LS_current!$D$2:$AY$2&amp;LS_current!$D$3:$AY$3, 0)),SUM(VLOOKUP($A37, LS_current!$B$4:$AY$138, LS_current!F$148, FALSE), VLOOKUP($A37, LS_current!$B$4:$AY$138,LS_current!AD$148, FALSE))/2)</f>
        <v>-9653.9236260989237</v>
      </c>
      <c r="CB37" s="192">
        <f t="array" ref="CB37">IF($BT37=0, INDEX(LS_current!$D$4:$AY$138, MATCH('Staging Table'!$A37, LS_current!$B$4:$B$138, 0), MATCH(CB$4&amp;CB$5, LS_current!$D$2:$AY$2&amp;LS_current!$D$3:$AY$3, 0)),SUM(VLOOKUP($A37, LS_current!$B$4:$AY$138, LS_current!G$148, FALSE), VLOOKUP($A37, LS_current!$B$4:$AY$138,LS_current!AE$148, FALSE))/2)</f>
        <v>-4025.4635208977834</v>
      </c>
      <c r="CC37" s="192">
        <f t="array" ref="CC37">IF($BT37=0, INDEX(LS_current!$D$4:$AY$138, MATCH('Staging Table'!$A37, LS_current!$B$4:$B$138, 0), MATCH(CC$4&amp;CC$5, LS_current!$D$2:$AY$2&amp;LS_current!$D$3:$AY$3, 0)),SUM(VLOOKUP($A37, LS_current!$B$4:$AY$138, LS_current!H$148, FALSE), VLOOKUP($A37, LS_current!$B$4:$AY$138,LS_current!AF$148, FALSE))/2)</f>
        <v>-3769.5847993018069</v>
      </c>
      <c r="CD37" s="192">
        <f t="array" ref="CD37">IF($BT37=0, INDEX(LS_current!$D$4:$AY$138, MATCH('Staging Table'!$A37, LS_current!$B$4:$B$138, 0), MATCH(CD$4&amp;CD$5, LS_current!$D$2:$AY$2&amp;LS_current!$D$3:$AY$3, 0)),SUM(VLOOKUP($A37, LS_current!$B$4:$AY$138, LS_current!I$148, FALSE), VLOOKUP($A37, LS_current!$B$4:$AY$138,LS_current!AG$148, FALSE))/2)</f>
        <v>-2242.451719842451</v>
      </c>
      <c r="CE37" s="192">
        <f t="array" ref="CE37">IF($BT37=0, INDEX(LS_current!$D$4:$AY$138, MATCH('Staging Table'!$A37, LS_current!$B$4:$B$138, 0), MATCH(CE$4&amp;CE$5, LS_current!$D$2:$AY$2&amp;LS_current!$D$3:$AY$3, 0)),SUM(VLOOKUP($A37, LS_current!$B$4:$AY$138, LS_current!J$148, FALSE), VLOOKUP($A37, LS_current!$B$4:$AY$138,LS_current!AH$148, FALSE))/2)</f>
        <v>2357.3300293010798</v>
      </c>
      <c r="CF37" s="192">
        <f t="array" ref="CF37">IF($BT37=0, INDEX(LS_current!$D$4:$AY$138, MATCH('Staging Table'!$A37, LS_current!$B$4:$B$138, 0), MATCH(CF$4&amp;CF$5, LS_current!$D$2:$AY$2&amp;LS_current!$D$3:$AY$3, 0)),SUM(VLOOKUP($A37, LS_current!$B$4:$AY$138, LS_current!K$148, FALSE), VLOOKUP($A37, LS_current!$B$4:$AY$138,LS_current!AI$148, FALSE))/2)</f>
        <v>709.29047370610351</v>
      </c>
      <c r="CG37" s="192">
        <f t="array" ref="CG37">IF($BT37=0, INDEX(LS_current!$D$4:$AY$138, MATCH('Staging Table'!$A37, LS_current!$B$4:$B$138, 0), MATCH(CG$4&amp;CG$5, LS_current!$D$2:$AY$2&amp;LS_current!$D$3:$AY$3, 0)),SUM(VLOOKUP($A37, LS_current!$B$4:$AY$138, LS_current!L$148, FALSE), VLOOKUP($A37, LS_current!$B$4:$AY$138,LS_current!AJ$148, FALSE))/2)</f>
        <v>1987.4694207854664</v>
      </c>
      <c r="CH37" s="192">
        <f t="array" ref="CH37">IF($BT37=0, INDEX(LS_current!$D$4:$AY$138, MATCH('Staging Table'!$A37, LS_current!$B$4:$B$138, 0), MATCH(CH$4&amp;CH$5, LS_current!$D$2:$AY$2&amp;LS_current!$D$3:$AY$3, 0)),SUM(VLOOKUP($A37, LS_current!$B$4:$AY$138, LS_current!M$148, FALSE), VLOOKUP($A37, LS_current!$B$4:$AY$138,LS_current!AK$148, FALSE))/2)</f>
        <v>979.02685315336021</v>
      </c>
      <c r="CI37" s="192">
        <f t="array" ref="CI37">IF($BT37=0, INDEX(LS_current!$D$4:$AY$138, MATCH('Staging Table'!$A37, LS_current!$B$4:$B$138, 0), MATCH(CI$4&amp;CI$5, LS_current!$D$2:$AY$2&amp;LS_current!$D$3:$AY$3, 0)),SUM(VLOOKUP($A37, LS_current!$B$4:$AY$138, LS_current!N$148, FALSE), VLOOKUP($A37, LS_current!$B$4:$AY$138,LS_current!AL$148, FALSE))/2)</f>
        <v>-2812.1127144295642</v>
      </c>
      <c r="CJ37" s="192">
        <f t="array" ref="CJ37">IF($BT37=0, INDEX(LS_current!$D$4:$AY$138, MATCH('Staging Table'!$A37, LS_current!$B$4:$B$138, 0), MATCH(CJ$4&amp;CJ$5, LS_current!$D$2:$AY$2&amp;LS_current!$D$3:$AY$3, 0)),SUM(VLOOKUP($A37, LS_current!$B$4:$AY$138, LS_current!O$148, FALSE), VLOOKUP($A37, LS_current!$B$4:$AY$138,LS_current!AM$148, FALSE))/2)</f>
        <v>-133.5736975253094</v>
      </c>
      <c r="CK37" s="192">
        <f t="array" ref="CK37">IF($BT37=0, INDEX(LS_current!$D$4:$AY$138, MATCH('Staging Table'!$A37, LS_current!$B$4:$B$138, 0), MATCH(CK$4&amp;CK$5, LS_current!$D$2:$AY$2&amp;LS_current!$D$3:$AY$3, 0)),SUM(VLOOKUP($A37, LS_current!$B$4:$AY$138, LS_current!P$148, FALSE), VLOOKUP($A37, LS_current!$B$4:$AY$138,LS_current!AN$148, FALSE))/2)</f>
        <v>-866.46257827880254</v>
      </c>
      <c r="CL37" s="192">
        <f t="array" ref="CL37">IF($BT37=0, INDEX(LS_current!$D$4:$AY$138, MATCH('Staging Table'!$A37, LS_current!$B$4:$B$138, 0), MATCH(CL$4&amp;CL$5, LS_current!$D$2:$AY$2&amp;LS_current!$D$3:$AY$3, 0)),SUM(VLOOKUP($A37, LS_current!$B$4:$AY$138, LS_current!Q$148, FALSE), VLOOKUP($A37, LS_current!$B$4:$AY$138,LS_current!AO$148, FALSE))/2)</f>
        <v>880.23296098190076</v>
      </c>
      <c r="CM37" s="192">
        <f t="array" ref="CM37">IF($BT37=0, INDEX(LS_current!$D$4:$AY$138, MATCH('Staging Table'!$A37, LS_current!$B$4:$B$138, 0), MATCH(CM$4&amp;CM$5, LS_current!$D$2:$AY$2&amp;LS_current!$D$3:$AY$3, 0)),SUM(VLOOKUP($A37, LS_current!$B$4:$AY$138, LS_current!R$148, FALSE), VLOOKUP($A37, LS_current!$B$4:$AY$138,LS_current!AP$148, FALSE))/2)</f>
        <v>-13500.848195101473</v>
      </c>
      <c r="CN37" s="192">
        <f t="array" ref="CN37">IF($BT37=0, INDEX(LS_current!$D$4:$AY$138, MATCH('Staging Table'!$A37, LS_current!$B$4:$B$138, 0), MATCH(CN$4&amp;CN$5, LS_current!$D$2:$AY$2&amp;LS_current!$D$3:$AY$3, 0)),SUM(VLOOKUP($A37, LS_current!$B$4:$AY$138, LS_current!S$148, FALSE), VLOOKUP($A37, LS_current!$B$4:$AY$138,LS_current!AQ$148, FALSE))/2)</f>
        <v>-2648.2411905836507</v>
      </c>
      <c r="CO37" s="192">
        <f t="array" ref="CO37">IF($BT37=0, INDEX(LS_current!$D$4:$AY$138, MATCH('Staging Table'!$A37, LS_current!$B$4:$B$138, 0), MATCH(CO$4&amp;CO$5, LS_current!$D$2:$AY$2&amp;LS_current!$D$3:$AY$3, 0)),SUM(VLOOKUP($A37, LS_current!$B$4:$AY$138, LS_current!T$148, FALSE), VLOOKUP($A37, LS_current!$B$4:$AY$138,LS_current!AR$148, FALSE))/2)</f>
        <v>-18036.423741755236</v>
      </c>
      <c r="CP37" s="192">
        <f t="array" ref="CP37">IF($BT37=0, INDEX(LS_current!$D$4:$AY$138, MATCH('Staging Table'!$A37, LS_current!$B$4:$B$138, 0), MATCH(CP$4&amp;CP$5, LS_current!$D$2:$AY$2&amp;LS_current!$D$3:$AY$3, 0)),SUM(VLOOKUP($A37, LS_current!$B$4:$AY$138, LS_current!U$148, FALSE), VLOOKUP($A37, LS_current!$B$4:$AY$138,LS_current!AS$148, FALSE))/2)</f>
        <v>-3398.4813158084235</v>
      </c>
      <c r="CQ37" s="192">
        <f t="array" ref="CQ37">IF($BT37=0, INDEX(LS_current!$D$4:$AY$138, MATCH('Staging Table'!$A37, LS_current!$B$4:$B$138, 0), MATCH(CQ$4&amp;CQ$5, LS_current!$D$2:$AY$2&amp;LS_current!$D$3:$AY$3, 0)),SUM(VLOOKUP($A37, LS_current!$B$4:$AY$138, LS_current!V$148, FALSE), VLOOKUP($A37, LS_current!$B$4:$AY$138,LS_current!AT$148, FALSE))/2)</f>
        <v>-15007.759655326096</v>
      </c>
      <c r="CR37" s="192">
        <f t="array" ref="CR37">IF($BT37=0, INDEX(LS_current!$D$4:$AY$138, MATCH('Staging Table'!$A37, LS_current!$B$4:$B$138, 0), MATCH(CR$4&amp;CR$5, LS_current!$D$2:$AY$2&amp;LS_current!$D$3:$AY$3, 0)),SUM(VLOOKUP($A37, LS_current!$B$4:$AY$138, LS_current!W$148, FALSE), VLOOKUP($A37, LS_current!$B$4:$AY$138,LS_current!AU$148, FALSE))/2)</f>
        <v>-4084.1835620179409</v>
      </c>
      <c r="CS37" s="192">
        <f t="array" ref="CS37">IF($BT37=0, INDEX(LS_current!$D$4:$AY$138, MATCH('Staging Table'!$A37, LS_current!$B$4:$B$138, 0), MATCH(CS$4&amp;CS$5, LS_current!$D$2:$AY$2&amp;LS_current!$D$3:$AY$3, 0)),SUM(VLOOKUP($A37, LS_current!$B$4:$AY$138, LS_current!X$148, FALSE), VLOOKUP($A37, LS_current!$B$4:$AY$138,LS_current!AV$148, FALSE))/2)</f>
        <v>-13568.228133064045</v>
      </c>
      <c r="CT37" s="192">
        <f t="array" ref="CT37">IF($BT37=0, INDEX(LS_current!$D$4:$AY$138, MATCH('Staging Table'!$A37, LS_current!$B$4:$B$138, 0), MATCH(CT$4&amp;CT$5, LS_current!$D$2:$AY$2&amp;LS_current!$D$3:$AY$3, 0)),SUM(VLOOKUP($A37, LS_current!$B$4:$AY$138, LS_current!Y$148, FALSE), VLOOKUP($A37, LS_current!$B$4:$AY$138,LS_current!AW$148, FALSE))/2)</f>
        <v>-4074.4949877770778</v>
      </c>
      <c r="CU37" s="192">
        <f t="array" ref="CU37">IF($BT37=0, INDEX(LS_current!$D$4:$AY$138, MATCH('Staging Table'!$A37, LS_current!$B$4:$B$138, 0), MATCH(CU$4&amp;CU$5, LS_current!$D$2:$AY$2&amp;LS_current!$D$3:$AY$3, 0)),SUM(VLOOKUP($A37, LS_current!$B$4:$AY$138, LS_current!Z$148, FALSE), VLOOKUP($A37, LS_current!$B$4:$AY$138,LS_current!AX$148, FALSE))/2)</f>
        <v>-10832.017847550384</v>
      </c>
      <c r="CV37" s="192">
        <f t="array" ref="CV37">IF($BT37=0, INDEX(LS_current!$D$4:$AY$138, MATCH('Staging Table'!$A37, LS_current!$B$4:$B$138, 0), MATCH(CV$4&amp;CV$5, LS_current!$D$2:$AY$2&amp;LS_current!$D$3:$AY$3, 0)),SUM(VLOOKUP($A37, LS_current!$B$4:$AY$138, LS_current!AA$148, FALSE), VLOOKUP($A37, LS_current!$B$4:$AY$138,LS_current!AY$148, FALSE))/2)</f>
        <v>-3532.0755065145877</v>
      </c>
      <c r="CW37" s="194">
        <f t="array" ref="CW37">INDEX(Demand_current!$D$4:$AY$138, MATCH($A37, Demand_current!$B$4:$B$138, 0), MATCH(CW$4&amp;CW$5,Demand_current!$D$2:$AY$2&amp;Demand_current!$D$3:$AY$3, 0))/1000</f>
        <v>0</v>
      </c>
      <c r="CX37" s="194">
        <f t="array" ref="CX37">INDEX(Demand_current!$D$4:$AY$138, MATCH($A37, Demand_current!$B$4:$B$138, 0), MATCH(CX$4&amp;CX$5,Demand_current!$D$2:$AY$2&amp;Demand_current!$D$3:$AY$3, 0))/1000</f>
        <v>0</v>
      </c>
      <c r="CY37" s="194">
        <f t="array" ref="CY37">INDEX(Demand_current!$D$4:$AY$138, MATCH($A37, Demand_current!$B$4:$B$138, 0), MATCH(CY$4&amp;CY$5,Demand_current!$D$2:$AY$2&amp;Demand_current!$D$3:$AY$3, 0))/1000</f>
        <v>0.13463221153846305</v>
      </c>
      <c r="CZ37" s="194">
        <f t="array" ref="CZ37">INDEX(Demand_current!$D$4:$AY$138, MATCH($A37, Demand_current!$B$4:$B$138, 0), MATCH(CZ$4&amp;CZ$5,Demand_current!$D$2:$AY$2&amp;Demand_current!$D$3:$AY$3, 0))/1000</f>
        <v>0</v>
      </c>
      <c r="DA37" s="194">
        <f t="array" ref="DA37">INDEX(Demand_current!$D$4:$AY$138, MATCH($A37, Demand_current!$B$4:$B$138, 0), MATCH(DA$4&amp;DA$5,Demand_current!$D$2:$AY$2&amp;Demand_current!$D$3:$AY$3, 0))/1000</f>
        <v>0</v>
      </c>
      <c r="DB37" s="194">
        <f t="array" ref="DB37">INDEX(Demand_current!$D$4:$AY$138, MATCH($A37, Demand_current!$B$4:$B$138, 0), MATCH(DB$4&amp;DB$5,Demand_current!$D$2:$AY$2&amp;Demand_current!$D$3:$AY$3, 0))/1000</f>
        <v>0</v>
      </c>
      <c r="DC37" s="194">
        <f t="array" ref="DC37">INDEX(Demand_current!$D$4:$AY$138, MATCH($A37, Demand_current!$B$4:$B$138, 0), MATCH(DC$4&amp;DC$5,Demand_current!$D$2:$AY$2&amp;Demand_current!$D$3:$AY$3, 0))/1000</f>
        <v>0</v>
      </c>
      <c r="DD37" s="194">
        <f t="array" ref="DD37">INDEX(Demand_current!$D$4:$AY$138, MATCH($A37, Demand_current!$B$4:$B$138, 0), MATCH(DD$4&amp;DD$5,Demand_current!$D$2:$AY$2&amp;Demand_current!$D$3:$AY$3, 0))/1000</f>
        <v>0</v>
      </c>
      <c r="DE37" s="194">
        <f t="array" ref="DE37">INDEX(Demand_current!$D$4:$AY$138, MATCH($A37, Demand_current!$B$4:$B$138, 0), MATCH(DE$4&amp;DE$5,Demand_current!$D$2:$AY$2&amp;Demand_current!$D$3:$AY$3, 0))/1000</f>
        <v>0</v>
      </c>
      <c r="DF37" s="194">
        <f t="array" ref="DF37">INDEX(Demand_current!$D$4:$AY$138, MATCH($A37, Demand_current!$B$4:$B$138, 0), MATCH(DF$4&amp;DF$5,Demand_current!$D$2:$AY$2&amp;Demand_current!$D$3:$AY$3, 0))/1000</f>
        <v>0</v>
      </c>
      <c r="DG37" s="194">
        <f t="array" ref="DG37">INDEX(Demand_current!$D$4:$AY$138, MATCH($A37, Demand_current!$B$4:$B$138, 0), MATCH(DG$4&amp;DG$5,Demand_current!$D$2:$AY$2&amp;Demand_current!$D$3:$AY$3, 0))/1000</f>
        <v>0</v>
      </c>
      <c r="DH37" s="194">
        <f t="array" ref="DH37">INDEX(Demand_current!$D$4:$AY$138, MATCH($A37, Demand_current!$B$4:$B$138, 0), MATCH(DH$4&amp;DH$5,Demand_current!$D$2:$AY$2&amp;Demand_current!$D$3:$AY$3, 0))/1000</f>
        <v>0</v>
      </c>
      <c r="DI37" s="192">
        <f>$BS37*(VLOOKUP(DI$4, Rates_current!$G$6:$Q$29, 10, FALSE)+VLOOKUP(DI$4, Rates_current!$G$6:$Q$29, 11, FALSE))</f>
        <v>38037.564509307107</v>
      </c>
      <c r="DJ37" s="192">
        <f>$BS37*(VLOOKUP(DJ$4, Rates_current!$G$6:$Q$29, 10, FALSE)+VLOOKUP(DJ$4, Rates_current!$G$6:$Q$29, 11, FALSE))</f>
        <v>48156.937146996715</v>
      </c>
      <c r="DK37" s="192">
        <f>$BS37*(VLOOKUP(DK$4, Rates_current!$G$6:$Q$29, 10, FALSE)+VLOOKUP(DK$4, Rates_current!$G$6:$Q$29, 11, FALSE))</f>
        <v>47136.020519144258</v>
      </c>
      <c r="DL37" s="192">
        <f>$BS37*(VLOOKUP(DL$4, Rates_current!$G$6:$Q$29, 10, FALSE)+VLOOKUP(DL$4, Rates_current!$G$6:$Q$29, 11, FALSE))</f>
        <v>38932.348496992818</v>
      </c>
      <c r="DM37" s="192">
        <f>$BS37*(VLOOKUP(DM$4, Rates_current!$G$6:$Q$29, 10, FALSE)+VLOOKUP(DM$4, Rates_current!$G$6:$Q$29, 11, FALSE))</f>
        <v>33743.519726061175</v>
      </c>
      <c r="DN37" s="192">
        <f>$BS37*(VLOOKUP(DN$4, Rates_current!$G$6:$Q$29, 10, FALSE)+VLOOKUP(DN$4, Rates_current!$G$6:$Q$29, 11, FALSE))</f>
        <v>40282.948411954872</v>
      </c>
      <c r="DO37" s="192">
        <f>$BS37*(VLOOKUP(DO$4, Rates_current!$G$6:$Q$29, 10, FALSE)+VLOOKUP(DO$4, Rates_current!$G$6:$Q$29, 11, FALSE))</f>
        <v>31274.346617296902</v>
      </c>
      <c r="DP37" s="192">
        <f>$BS37*(VLOOKUP(DP$4, Rates_current!$G$6:$Q$29, 10, FALSE)+VLOOKUP(DP$4, Rates_current!$G$6:$Q$29, 11, FALSE))</f>
        <v>43330.837385685125</v>
      </c>
      <c r="DQ37" s="192">
        <f>$BS37*(VLOOKUP(DQ$4, Rates_current!$G$6:$Q$29, 10, FALSE)+VLOOKUP(DQ$4, Rates_current!$G$6:$Q$29, 11, FALSE))</f>
        <v>46299.907057563658</v>
      </c>
      <c r="DR37" s="192">
        <f>$BS37*(VLOOKUP(DR$4, Rates_current!$G$6:$Q$29, 10, FALSE)+VLOOKUP(DR$4, Rates_current!$G$6:$Q$29, 11, FALSE))</f>
        <v>43959.665217344038</v>
      </c>
      <c r="DS37" s="192">
        <f>$BS37*(VLOOKUP(DS$4, Rates_current!$G$6:$Q$29, 10, FALSE)+VLOOKUP(DS$4, Rates_current!$G$6:$Q$29, 11, FALSE))</f>
        <v>42483.625120841127</v>
      </c>
      <c r="DT37" s="192">
        <f>$BS37*(VLOOKUP(DT$4, Rates_current!$G$6:$Q$29, 10, FALSE)+VLOOKUP(DT$4, Rates_current!$G$6:$Q$29, 11, FALSE))</f>
        <v>39259.298354064973</v>
      </c>
      <c r="DU37" s="418">
        <f>IF(D37=0,IF(C37=0,MAX(0,DW37 - (VLOOKUP($A37,TOCA_current!$A$2:$AI$137,MATCH("RHWM 2022",TOCA_current!$A$2:$AI$2,0),FALSE)*$BS$2)), 0),0)</f>
        <v>0</v>
      </c>
      <c r="DV37" s="419">
        <f>MIN(VLOOKUP($A37,TOCA_current!$A$2:$AI$137,MATCH("TRL - NLSL - Existing Resource "&amp;$BS$1,TOCA_current!$A$2:$AI$2,0),FALSE)*$BS$2, VLOOKUP($A37,TOCA_current!$A$2:$AI$137,MATCH("RHWM 2022",TOCA_current!$A$2:$AI$2,0),FALSE)*$BS$2)</f>
        <v>492898.92000000004</v>
      </c>
      <c r="DW37" s="419">
        <f>SUM(BY37:CV37)+(BS37*RT1SC!$C$4*$BS$2)</f>
        <v>380278.80821381521</v>
      </c>
      <c r="DX37" s="419">
        <f>VLOOKUP($A37,TOCA_current!$A$2:$AI$137,MATCH("Above RHWM Not Served with LS "&amp;$BS$1,TOCA_current!$A$2:$AI$2,0),FALSE)*$BS$2</f>
        <v>0</v>
      </c>
      <c r="DY37" s="419">
        <f t="shared" si="13"/>
        <v>-112620.11178618483</v>
      </c>
      <c r="DZ37" s="419">
        <f>(VLOOKUP($A37,TOCA_current!$A$2:$AI$137,MATCH("RHWM 2022",TOCA_current!$A$2:$AI$2,0),FALSE)*$BS$2) - $DV37</f>
        <v>221382.71999999997</v>
      </c>
      <c r="EA37" s="419">
        <f t="shared" si="14"/>
        <v>0</v>
      </c>
      <c r="EB37" s="419">
        <f t="shared" si="15"/>
        <v>112620.11178618483</v>
      </c>
      <c r="EC37" s="419">
        <f t="shared" si="16"/>
        <v>0</v>
      </c>
      <c r="ED37" s="419">
        <f t="shared" si="17"/>
        <v>112620.11178618483</v>
      </c>
    </row>
    <row r="38" spans="1:134">
      <c r="A38" s="135">
        <v>10089</v>
      </c>
      <c r="B38" s="136" t="s">
        <v>39</v>
      </c>
      <c r="C38" s="244">
        <f>VLOOKUP(A38, TOCA_current!$A$3:$D$137, 4, FALSE)</f>
        <v>0</v>
      </c>
      <c r="D38" s="203">
        <v>0</v>
      </c>
      <c r="E38" s="119">
        <f>VLOOKUP($A38,TOCA_previous!$A$2:$AI$137,MATCH(E$4,TOCA_previous!$A$2:$AI$2,0),FALSE)</f>
        <v>1.47066E-2</v>
      </c>
      <c r="F38" s="120">
        <f>VLOOKUP($A38,TOCA_previous!$A$2:$AI$137,MATCH(F$4,TOCA_previous!$A$2:$AI$2,0),FALSE)</f>
        <v>1.47066E-2</v>
      </c>
      <c r="G38" s="120">
        <f t="shared" si="5"/>
        <v>0</v>
      </c>
      <c r="H38" s="120">
        <f>VLOOKUP($A38,TOCA_previous!$A$2:$AI$137,MATCH(H$4,TOCA_previous!$A$2:$AI$2,0),FALSE)</f>
        <v>0</v>
      </c>
      <c r="I38" s="120">
        <f t="shared" si="6"/>
        <v>0</v>
      </c>
      <c r="J38" s="120">
        <f t="shared" si="7"/>
        <v>0</v>
      </c>
      <c r="K38" s="191">
        <f>VLOOKUP(A38, IRD!$A$5:$C$139, 3, FALSE)</f>
        <v>0</v>
      </c>
      <c r="L38" s="192">
        <f t="array" ref="L38">IF($G38=0, INDEX(LS_previous!$D$4:$AY$138, MATCH('Staging Table'!$A38, LS_previous!$B$4:$B$138, 0), MATCH(L$4&amp;L$5, LS_previous!$D$2:$AY$2&amp;LS_previous!$D$3:$AY$3, 0)),SUM(VLOOKUP($A38, LS_previous!$B$4:$AY$138, LS_previous!D$149, FALSE), VLOOKUP('Staging Table'!$A38, LS_previous!$B$4:$AY$138,LS_previous!AB$149, FALSE))/2)</f>
        <v>-7018.7270351607949</v>
      </c>
      <c r="M38" s="192">
        <f t="array" ref="M38">IF($G38=0, INDEX(LS_previous!$D$4:$AY$138, MATCH('Staging Table'!$A38, LS_previous!$B$4:$B$138, 0), MATCH(M$4&amp;M$5, LS_previous!$D$2:$AY$2&amp;LS_previous!$D$3:$AY$3, 0)),SUM(VLOOKUP($A38, LS_previous!$B$4:$AY$138, LS_previous!E$149, FALSE), VLOOKUP('Staging Table'!$A38, LS_previous!$B$4:$AY$138,LS_previous!AC$149, FALSE))/2)</f>
        <v>288.67396046720023</v>
      </c>
      <c r="N38" s="192">
        <f t="array" ref="N38">IF($G38=0, INDEX(LS_previous!$D$4:$AY$138, MATCH('Staging Table'!$A38, LS_previous!$B$4:$B$138, 0), MATCH(N$4&amp;N$5, LS_previous!$D$2:$AY$2&amp;LS_previous!$D$3:$AY$3, 0)),SUM(VLOOKUP($A38, LS_previous!$B$4:$AY$138, LS_previous!F$149, FALSE), VLOOKUP('Staging Table'!$A38, LS_previous!$B$4:$AY$138,LS_previous!AD$149, FALSE))/2)</f>
        <v>-14452.293287284796</v>
      </c>
      <c r="O38" s="192">
        <f t="array" ref="O38">IF($G38=0, INDEX(LS_previous!$D$4:$AY$138, MATCH('Staging Table'!$A38, LS_previous!$B$4:$B$138, 0), MATCH(O$4&amp;O$5, LS_previous!$D$2:$AY$2&amp;LS_previous!$D$3:$AY$3, 0)),SUM(VLOOKUP($A38, LS_previous!$B$4:$AY$138, LS_previous!G$149, FALSE), VLOOKUP('Staging Table'!$A38, LS_previous!$B$4:$AY$138,LS_previous!AE$149, FALSE))/2)</f>
        <v>-4902.262185392603</v>
      </c>
      <c r="P38" s="192">
        <f t="array" ref="P38">IF($G38=0, INDEX(LS_previous!$D$4:$AY$138, MATCH('Staging Table'!$A38, LS_previous!$B$4:$B$138, 0), MATCH(P$4&amp;P$5, LS_previous!$D$2:$AY$2&amp;LS_previous!$D$3:$AY$3, 0)),SUM(VLOOKUP($A38, LS_previous!$B$4:$AY$138, LS_previous!H$149, FALSE), VLOOKUP('Staging Table'!$A38, LS_previous!$B$4:$AY$138,LS_previous!AF$149, FALSE))/2)</f>
        <v>2578.9951075647987</v>
      </c>
      <c r="Q38" s="192">
        <f t="array" ref="Q38">IF($G38=0, INDEX(LS_previous!$D$4:$AY$138, MATCH('Staging Table'!$A38, LS_previous!$B$4:$B$138, 0), MATCH(Q$4&amp;Q$5, LS_previous!$D$2:$AY$2&amp;LS_previous!$D$3:$AY$3, 0)),SUM(VLOOKUP($A38, LS_previous!$B$4:$AY$138, LS_previous!I$149, FALSE), VLOOKUP('Staging Table'!$A38, LS_previous!$B$4:$AY$138,LS_previous!AG$149, FALSE))/2)</f>
        <v>5177.9146499415947</v>
      </c>
      <c r="R38" s="192">
        <f t="array" ref="R38">IF($G38=0, INDEX(LS_previous!$D$4:$AY$138, MATCH('Staging Table'!$A38, LS_previous!$B$4:$B$138, 0), MATCH(R$4&amp;R$5, LS_previous!$D$2:$AY$2&amp;LS_previous!$D$3:$AY$3, 0)),SUM(VLOOKUP($A38, LS_previous!$B$4:$AY$138, LS_previous!J$149, FALSE), VLOOKUP('Staging Table'!$A38, LS_previous!$B$4:$AY$138,LS_previous!AH$149, FALSE))/2)</f>
        <v>7723.6692891647981</v>
      </c>
      <c r="S38" s="192">
        <f t="array" ref="S38">IF($G38=0, INDEX(LS_previous!$D$4:$AY$138, MATCH('Staging Table'!$A38, LS_previous!$B$4:$B$138, 0), MATCH(S$4&amp;S$5, LS_previous!$D$2:$AY$2&amp;LS_previous!$D$3:$AY$3, 0)),SUM(VLOOKUP($A38, LS_previous!$B$4:$AY$138, LS_previous!K$149, FALSE), VLOOKUP('Staging Table'!$A38, LS_previous!$B$4:$AY$138,LS_previous!AI$149, FALSE))/2)</f>
        <v>13630.015425141595</v>
      </c>
      <c r="T38" s="192">
        <f t="array" ref="T38">IF($G38=0, INDEX(LS_previous!$D$4:$AY$138, MATCH('Staging Table'!$A38, LS_previous!$B$4:$B$138, 0), MATCH(T$4&amp;T$5, LS_previous!$D$2:$AY$2&amp;LS_previous!$D$3:$AY$3, 0)),SUM(VLOOKUP($A38, LS_previous!$B$4:$AY$138, LS_previous!L$149, FALSE), VLOOKUP('Staging Table'!$A38, LS_previous!$B$4:$AY$138,LS_previous!AJ$149, FALSE))/2)</f>
        <v>-499.63166381839983</v>
      </c>
      <c r="U38" s="192">
        <f t="array" ref="U38">IF($G38=0, INDEX(LS_previous!$D$4:$AY$138, MATCH('Staging Table'!$A38, LS_previous!$B$4:$B$138, 0), MATCH(U$4&amp;U$5, LS_previous!$D$2:$AY$2&amp;LS_previous!$D$3:$AY$3, 0)),SUM(VLOOKUP($A38, LS_previous!$B$4:$AY$138, LS_previous!M$149, FALSE), VLOOKUP('Staging Table'!$A38, LS_previous!$B$4:$AY$138,LS_previous!AK$149, FALSE))/2)</f>
        <v>2841.3346329384003</v>
      </c>
      <c r="V38" s="192">
        <f t="array" ref="V38">IF($G38=0, INDEX(LS_previous!$D$4:$AY$138, MATCH('Staging Table'!$A38, LS_previous!$B$4:$B$138, 0), MATCH(V$4&amp;V$5, LS_previous!$D$2:$AY$2&amp;LS_previous!$D$3:$AY$3, 0)),SUM(VLOOKUP($A38, LS_previous!$B$4:$AY$138, LS_previous!N$149, FALSE), VLOOKUP('Staging Table'!$A38, LS_previous!$B$4:$AY$138,LS_previous!AL$149, FALSE))/2)</f>
        <v>-3857.3974143855885</v>
      </c>
      <c r="W38" s="192">
        <f t="array" ref="W38">IF($G38=0, INDEX(LS_previous!$D$4:$AY$138, MATCH('Staging Table'!$A38, LS_previous!$B$4:$B$138, 0), MATCH(W$4&amp;W$5, LS_previous!$D$2:$AY$2&amp;LS_previous!$D$3:$AY$3, 0)),SUM(VLOOKUP($A38, LS_previous!$B$4:$AY$138, LS_previous!O$149, FALSE), VLOOKUP('Staging Table'!$A38, LS_previous!$B$4:$AY$138,LS_previous!AM$149, FALSE))/2)</f>
        <v>-515.45156069860241</v>
      </c>
      <c r="X38" s="192">
        <f t="array" ref="X38">IF($G38=0, INDEX(LS_previous!$D$4:$AY$138, MATCH('Staging Table'!$A38, LS_previous!$B$4:$B$138, 0), MATCH(X$4&amp;X$5, LS_previous!$D$2:$AY$2&amp;LS_previous!$D$3:$AY$3, 0)),SUM(VLOOKUP($A38, LS_previous!$B$4:$AY$138, LS_previous!P$149, FALSE), VLOOKUP('Staging Table'!$A38, LS_previous!$B$4:$AY$138,LS_previous!AN$149, FALSE))/2)</f>
        <v>349.67560388960555</v>
      </c>
      <c r="Y38" s="192">
        <f t="array" ref="Y38">IF($G38=0, INDEX(LS_previous!$D$4:$AY$138, MATCH('Staging Table'!$A38, LS_previous!$B$4:$B$138, 0), MATCH(Y$4&amp;Y$5, LS_previous!$D$2:$AY$2&amp;LS_previous!$D$3:$AY$3, 0)),SUM(VLOOKUP($A38, LS_previous!$B$4:$AY$138, LS_previous!Q$149, FALSE), VLOOKUP('Staging Table'!$A38, LS_previous!$B$4:$AY$138,LS_previous!AO$149, FALSE))/2)</f>
        <v>373.73840214239681</v>
      </c>
      <c r="Z38" s="192">
        <f t="array" ref="Z38">IF($G38=0, INDEX(LS_previous!$D$4:$AY$138, MATCH('Staging Table'!$A38, LS_previous!$B$4:$B$138, 0), MATCH(Z$4&amp;Z$5, LS_previous!$D$2:$AY$2&amp;LS_previous!$D$3:$AY$3, 0)),SUM(VLOOKUP($A38, LS_previous!$B$4:$AY$138, LS_previous!R$149, FALSE), VLOOKUP('Staging Table'!$A38, LS_previous!$B$4:$AY$138,LS_previous!AP$149, FALSE))/2)</f>
        <v>-12405.54774486</v>
      </c>
      <c r="AA38" s="192">
        <f t="array" ref="AA38">IF($G38=0, INDEX(LS_previous!$D$4:$AY$138, MATCH('Staging Table'!$A38, LS_previous!$B$4:$B$138, 0), MATCH(AA$4&amp;AA$5, LS_previous!$D$2:$AY$2&amp;LS_previous!$D$3:$AY$3, 0)),SUM(VLOOKUP($A38, LS_previous!$B$4:$AY$138, LS_previous!S$149, FALSE), VLOOKUP('Staging Table'!$A38, LS_previous!$B$4:$AY$138,LS_previous!AQ$149, FALSE))/2)</f>
        <v>-1643.3364111335977</v>
      </c>
      <c r="AB38" s="192">
        <f t="array" ref="AB38">IF($G38=0, INDEX(LS_previous!$D$4:$AY$138, MATCH('Staging Table'!$A38, LS_previous!$B$4:$B$138, 0), MATCH(AB$4&amp;AB$5, LS_previous!$D$2:$AY$2&amp;LS_previous!$D$3:$AY$3, 0)),SUM(VLOOKUP($A38, LS_previous!$B$4:$AY$138, LS_previous!T$149, FALSE), VLOOKUP('Staging Table'!$A38, LS_previous!$B$4:$AY$138,LS_previous!AR$149, FALSE))/2)</f>
        <v>-20812.262201210397</v>
      </c>
      <c r="AC38" s="192">
        <f t="array" ref="AC38">IF($G38=0, INDEX(LS_previous!$D$4:$AY$138, MATCH('Staging Table'!$A38, LS_previous!$B$4:$B$138, 0), MATCH(AC$4&amp;AC$5, LS_previous!$D$2:$AY$2&amp;LS_previous!$D$3:$AY$3, 0)),SUM(VLOOKUP($A38, LS_previous!$B$4:$AY$138, LS_previous!U$149, FALSE), VLOOKUP('Staging Table'!$A38, LS_previous!$B$4:$AY$138,LS_previous!AS$149, FALSE))/2)</f>
        <v>-10887.712085457599</v>
      </c>
      <c r="AD38" s="192">
        <f t="array" ref="AD38">IF($G38=0, INDEX(LS_previous!$D$4:$AY$138, MATCH('Staging Table'!$A38, LS_previous!$B$4:$B$138, 0), MATCH(AD$4&amp;AD$5, LS_previous!$D$2:$AY$2&amp;LS_previous!$D$3:$AY$3, 0)),SUM(VLOOKUP($A38, LS_previous!$B$4:$AY$138, LS_previous!V$149, FALSE), VLOOKUP('Staging Table'!$A38, LS_previous!$B$4:$AY$138,LS_previous!AT$149, FALSE))/2)</f>
        <v>-4523.2727542103967</v>
      </c>
      <c r="AE38" s="192">
        <f t="array" ref="AE38">IF($G38=0, INDEX(LS_previous!$D$4:$AY$138, MATCH('Staging Table'!$A38, LS_previous!$B$4:$B$138, 0), MATCH(AE$4&amp;AE$5, LS_previous!$D$2:$AY$2&amp;LS_previous!$D$3:$AY$3, 0)),SUM(VLOOKUP($A38, LS_previous!$B$4:$AY$138, LS_previous!W$149, FALSE), VLOOKUP('Staging Table'!$A38, LS_previous!$B$4:$AY$138,LS_previous!AU$149, FALSE))/2)</f>
        <v>7669.0960571167998</v>
      </c>
      <c r="AF38" s="192">
        <f t="array" ref="AF38">IF($G38=0, INDEX(LS_previous!$D$4:$AY$138, MATCH('Staging Table'!$A38, LS_previous!$B$4:$B$138, 0), MATCH(AF$4&amp;AF$5, LS_previous!$D$2:$AY$2&amp;LS_previous!$D$3:$AY$3, 0)),SUM(VLOOKUP($A38, LS_previous!$B$4:$AY$138, LS_previous!X$149, FALSE), VLOOKUP('Staging Table'!$A38, LS_previous!$B$4:$AY$138,LS_previous!AV$149, FALSE))/2)</f>
        <v>336.00542908960051</v>
      </c>
      <c r="AG38" s="192">
        <f t="array" ref="AG38">IF($G38=0, INDEX(LS_previous!$D$4:$AY$138, MATCH('Staging Table'!$A38, LS_previous!$B$4:$B$138, 0), MATCH(AG$4&amp;AG$5, LS_previous!$D$2:$AY$2&amp;LS_previous!$D$3:$AY$3, 0)),SUM(VLOOKUP($A38, LS_previous!$B$4:$AY$138, LS_previous!Y$149, FALSE), VLOOKUP('Staging Table'!$A38, LS_previous!$B$4:$AY$138,LS_previous!AW$149, FALSE))/2)</f>
        <v>3421.5326891168006</v>
      </c>
      <c r="AH38" s="192">
        <f t="array" ref="AH38">IF($G38=0, INDEX(LS_previous!$D$4:$AY$138, MATCH('Staging Table'!$A38, LS_previous!$B$4:$B$138, 0), MATCH(AH$4&amp;AH$5, LS_previous!$D$2:$AY$2&amp;LS_previous!$D$3:$AY$3, 0)),SUM(VLOOKUP($A38, LS_previous!$B$4:$AY$138, LS_previous!Z$149, FALSE), VLOOKUP('Staging Table'!$A38, LS_previous!$B$4:$AY$138,LS_previous!AX$149, FALSE))/2)</f>
        <v>-5541.021664959997</v>
      </c>
      <c r="AI38" s="192">
        <f t="array" ref="AI38">IF($G38=0, INDEX(LS_previous!$D$4:$AY$138, MATCH('Staging Table'!$A38, LS_previous!$B$4:$B$138, 0), MATCH(AI$4&amp;AI$5, LS_previous!$D$2:$AY$2&amp;LS_previous!$D$3:$AY$3, 0)),SUM(VLOOKUP($A38, LS_previous!$B$4:$AY$138, LS_previous!AA$149, FALSE), VLOOKUP('Staging Table'!$A38, LS_previous!$B$4:$AY$138,LS_previous!AY$149, FALSE))/2)</f>
        <v>-865.14814360799937</v>
      </c>
      <c r="AJ38" s="314">
        <f t="array" ref="AJ38">INDEX(Demand_previous!$D$4:$AY$138, MATCH('Staging Table'!$A38, Demand_previous!$B$4:$B$138, 0), MATCH(AJ$4&amp;AJ$5,Demand_previous!$D$2:$AY$2&amp;Demand_previous!$D$3:$AY$3, 0))/1000</f>
        <v>5.8742731481481485</v>
      </c>
      <c r="AK38" s="314">
        <f t="array" ref="AK38">INDEX(Demand_previous!$D$4:$AY$138, MATCH('Staging Table'!$A38, Demand_previous!$B$4:$B$138, 0), MATCH(AK$4&amp;AK$5,Demand_previous!$D$2:$AY$2&amp;Demand_previous!$D$3:$AY$3, 0))/1000</f>
        <v>3.6097999999999857</v>
      </c>
      <c r="AL38" s="314">
        <f t="array" ref="AL38">INDEX(Demand_previous!$D$4:$AY$138, MATCH('Staging Table'!$A38, Demand_previous!$B$4:$B$138, 0), MATCH(AL$4&amp;AL$5,Demand_previous!$D$2:$AY$2&amp;Demand_previous!$D$3:$AY$3, 0))/1000</f>
        <v>16.115854999999982</v>
      </c>
      <c r="AM38" s="314">
        <f t="array" ref="AM38">INDEX(Demand_previous!$D$4:$AY$138, MATCH('Staging Table'!$A38, Demand_previous!$B$4:$B$138, 0), MATCH(AM$4&amp;AM$5,Demand_previous!$D$2:$AY$2&amp;Demand_previous!$D$3:$AY$3, 0))/1000</f>
        <v>16.807413461538466</v>
      </c>
      <c r="AN38" s="314">
        <f t="array" ref="AN38">INDEX(Demand_previous!$D$4:$AY$138, MATCH('Staging Table'!$A38, Demand_previous!$B$4:$B$138, 0), MATCH(AN$4&amp;AN$5,Demand_previous!$D$2:$AY$2&amp;Demand_previous!$D$3:$AY$3, 0))/1000</f>
        <v>5.7985849999999957</v>
      </c>
      <c r="AO38" s="314">
        <f t="array" ref="AO38">INDEX(Demand_previous!$D$4:$AY$138, MATCH('Staging Table'!$A38, Demand_previous!$B$4:$B$138, 0), MATCH(AO$4&amp;AO$5,Demand_previous!$D$2:$AY$2&amp;Demand_previous!$D$3:$AY$3, 0))/1000</f>
        <v>12.343259615384625</v>
      </c>
      <c r="AP38" s="314">
        <f t="array" ref="AP38">INDEX(Demand_previous!$D$4:$AY$138, MATCH('Staging Table'!$A38, Demand_previous!$B$4:$B$138, 0), MATCH(AP$4&amp;AP$5,Demand_previous!$D$2:$AY$2&amp;Demand_previous!$D$3:$AY$3, 0))/1000</f>
        <v>16.506218749999995</v>
      </c>
      <c r="AQ38" s="314">
        <f t="array" ref="AQ38">INDEX(Demand_previous!$D$4:$AY$138, MATCH('Staging Table'!$A38, Demand_previous!$B$4:$B$138, 0), MATCH(AQ$4&amp;AQ$5,Demand_previous!$D$2:$AY$2&amp;Demand_previous!$D$3:$AY$3, 0))/1000</f>
        <v>6.1124449999999904</v>
      </c>
      <c r="AR38" s="314">
        <f t="array" ref="AR38">INDEX(Demand_previous!$D$4:$AY$138, MATCH('Staging Table'!$A38, Demand_previous!$B$4:$B$138, 0), MATCH(AR$4&amp;AR$5,Demand_previous!$D$2:$AY$2&amp;Demand_previous!$D$3:$AY$3, 0))/1000</f>
        <v>27.895586538461544</v>
      </c>
      <c r="AS38" s="314">
        <f t="array" ref="AS38">INDEX(Demand_previous!$D$4:$AY$138, MATCH('Staging Table'!$A38, Demand_previous!$B$4:$B$138, 0), MATCH(AS$4&amp;AS$5,Demand_previous!$D$2:$AY$2&amp;Demand_previous!$D$3:$AY$3, 0))/1000</f>
        <v>27.763331730769245</v>
      </c>
      <c r="AT38" s="314">
        <f t="array" ref="AT38">INDEX(Demand_previous!$D$4:$AY$138, MATCH('Staging Table'!$A38, Demand_previous!$B$4:$B$138, 0), MATCH(AT$4&amp;AT$5,Demand_previous!$D$2:$AY$2&amp;Demand_previous!$D$3:$AY$3, 0))/1000</f>
        <v>21.928305288461537</v>
      </c>
      <c r="AU38" s="314">
        <f t="array" ref="AU38">INDEX(Demand_previous!$D$4:$AY$138, MATCH('Staging Table'!$A38, Demand_previous!$B$4:$B$138, 0), MATCH(AU$4&amp;AU$5,Demand_previous!$D$2:$AY$2&amp;Demand_previous!$D$3:$AY$3, 0))/1000</f>
        <v>16.400242500000004</v>
      </c>
      <c r="AV38" s="192">
        <f>$F38*(VLOOKUP(AV$4, Rates_previous!$G$6:$Q$29, 10, FALSE)+VLOOKUP(AV$4, Rates_previous!$G$6:$Q$29, 11, FALSE))</f>
        <v>67905.037074693595</v>
      </c>
      <c r="AW38" s="192">
        <f>$F38*(VLOOKUP(AW$4, Rates_previous!$G$6:$Q$29, 10, FALSE)+VLOOKUP(AW$4, Rates_previous!$G$6:$Q$29, 11, FALSE))</f>
        <v>86260.580472677408</v>
      </c>
      <c r="AX38" s="192">
        <f>$F38*(VLOOKUP(AX$4, Rates_previous!$G$6:$Q$29, 10, FALSE)+VLOOKUP(AX$4, Rates_previous!$G$6:$Q$29, 11, FALSE))</f>
        <v>85218.867242493609</v>
      </c>
      <c r="AY38" s="192">
        <f>$F38*(VLOOKUP(AY$4, Rates_previous!$G$6:$Q$29, 10, FALSE)+VLOOKUP(AY$4, Rates_previous!$G$6:$Q$29, 11, FALSE))</f>
        <v>71035.116285693613</v>
      </c>
      <c r="AZ38" s="192">
        <f>$F38*(VLOOKUP(AZ$4, Rates_previous!$G$6:$Q$29, 10, FALSE)+VLOOKUP(AZ$4, Rates_previous!$G$6:$Q$29, 11, FALSE))</f>
        <v>64350.446030879997</v>
      </c>
      <c r="BA38" s="192">
        <f>$F38*(VLOOKUP(BA$4, Rates_previous!$G$6:$Q$29, 10, FALSE)+VLOOKUP(BA$4, Rates_previous!$G$6:$Q$29, 11, FALSE))</f>
        <v>71578.138975084206</v>
      </c>
      <c r="BB38" s="192">
        <f>$F38*(VLOOKUP(BB$4, Rates_previous!$G$6:$Q$29, 10, FALSE)+VLOOKUP(BB$4, Rates_previous!$G$6:$Q$29, 11, FALSE))</f>
        <v>58278.997993967998</v>
      </c>
      <c r="BC38" s="192">
        <f>$F38*(VLOOKUP(BC$4, Rates_previous!$G$6:$Q$29, 10, FALSE)+VLOOKUP(BC$4, Rates_previous!$G$6:$Q$29, 11, FALSE))</f>
        <v>78597.919155993615</v>
      </c>
      <c r="BD38" s="192">
        <f>$F38*(VLOOKUP(BD$4, Rates_previous!$G$6:$Q$29, 10, FALSE)+VLOOKUP(BD$4, Rates_previous!$G$6:$Q$29, 11, FALSE))</f>
        <v>100285.599286668</v>
      </c>
      <c r="BE38" s="192">
        <f>$F38*(VLOOKUP(BE$4, Rates_previous!$G$6:$Q$29, 10, FALSE)+VLOOKUP(BE$4, Rates_previous!$G$6:$Q$29, 11, FALSE))</f>
        <v>78627.089697093601</v>
      </c>
      <c r="BF38" s="192">
        <f>$F38*(VLOOKUP(BF$4, Rates_previous!$G$6:$Q$29, 10, FALSE)+VLOOKUP(BF$4, Rates_previous!$G$6:$Q$29, 11, FALSE))</f>
        <v>76567.128881793615</v>
      </c>
      <c r="BG38" s="192">
        <f>$F38*(VLOOKUP(BG$4, Rates_previous!$G$6:$Q$29, 10, FALSE)+VLOOKUP(BG$4, Rates_previous!$G$6:$Q$29, 11, FALSE))</f>
        <v>68740.993808568004</v>
      </c>
      <c r="BH38" s="314">
        <f>IF($D38=0,IF(C38=0, MAX(BJ38 - (VLOOKUP($A38,TOCA_previous!$A$2:$AI$137,MATCH("RHWM 2020",TOCA_previous!$A$2:$AI$2,0),FALSE)*$F$2*TOCA_previous!C35),0),0), 0)</f>
        <v>0</v>
      </c>
      <c r="BI38" s="204">
        <f>MIN(VLOOKUP($A38,TOCA_previous!$A$2:$AI$137,MATCH("TRL - NLSL - Existing Resource "&amp;$F$1,TOCA_previous!$A$2:$AI$2,0),FALSE)*$F$2,(VLOOKUP($A38,TOCA_previous!$A$2:$AI$137,MATCH("RHWM 2020",TOCA_previous!$A$2:$AI$2,0),FALSE)*$F$2))</f>
        <v>907448.68799999997</v>
      </c>
      <c r="BJ38" s="418">
        <f>SUM(L38:AI38)+(F38*RT1SC!$C$3*$F$2)</f>
        <v>863912.53606048564</v>
      </c>
      <c r="BK38" s="417">
        <f>VLOOKUP($A38,TOCA_previous!$A$2:$AI$137,MATCH("Above RHWM Not Served with LS "&amp;$F$1,TOCA_previous!$A$2:$AI$2,0),FALSE)*$F$2</f>
        <v>96211.152000000002</v>
      </c>
      <c r="BL38" s="418">
        <f t="shared" si="8"/>
        <v>-43536.151939514326</v>
      </c>
      <c r="BM38" s="417">
        <f>(VLOOKUP($A38,TOCA_previous!$A$2:$AI$137,MATCH("RHWM 2020",TOCA_previous!$A$2:$AI$2,0),FALSE)*$F$2) - $BI38</f>
        <v>0</v>
      </c>
      <c r="BN38" s="418">
        <f t="shared" si="9"/>
        <v>0</v>
      </c>
      <c r="BO38" s="417">
        <f t="shared" si="10"/>
        <v>0</v>
      </c>
      <c r="BP38" s="418">
        <f t="shared" si="11"/>
        <v>0</v>
      </c>
      <c r="BQ38" s="417">
        <f t="shared" ref="BQ38:BQ69" si="18">IF($D38=0,SUM($BN38:$BP38),0)</f>
        <v>0</v>
      </c>
      <c r="BR38" s="120">
        <f>VLOOKUP($A38,TOCA_current!$A$2:$AI$137,MATCH(BR$4,TOCA_current!$A$2:$AI$2,0),FALSE)</f>
        <v>1.47066E-2</v>
      </c>
      <c r="BS38" s="120">
        <f>VLOOKUP($A38,TOCA_current!$A$2:$AI$137,MATCH(BS$4,TOCA_current!$A$2:$AI$2,0),FALSE)</f>
        <v>1.47066E-2</v>
      </c>
      <c r="BT38" s="201">
        <f t="shared" si="12"/>
        <v>0</v>
      </c>
      <c r="BU38" s="120">
        <f>VLOOKUP($A38,TOCA_current!A34:BG169,MATCH(BU$4,TOCA_current!$A$2:$BG$2,0),FALSE)</f>
        <v>0</v>
      </c>
      <c r="BV38" s="120">
        <f t="shared" ref="BV38:BV69" si="19">IF(C38=0,0,BU38)</f>
        <v>0</v>
      </c>
      <c r="BW38" s="120">
        <f t="shared" ref="BW38:BW69" si="20">IF(C38=0,0,BR38)</f>
        <v>0</v>
      </c>
      <c r="BX38" s="191">
        <f>VLOOKUP($A38,IRD!$A$4:$G$139, 7, FALSE)</f>
        <v>0</v>
      </c>
      <c r="BY38" s="192">
        <f t="array" ref="BY38">IF($BT38=0, INDEX(LS_current!$D$4:$AY$138, MATCH('Staging Table'!$A38, LS_current!$B$4:$B$138, 0), MATCH(BY$4&amp;BY$5, LS_current!$D$2:$AY$2&amp;LS_current!$D$3:$AY$3, 0)),SUM(VLOOKUP($A38, LS_current!$B$4:$AY$138, LS_current!D$148, FALSE), VLOOKUP($A38, LS_current!$B$4:$AY$138,LS_current!AB$148, FALSE))/2)</f>
        <v>-5773.6361044177902</v>
      </c>
      <c r="BZ38" s="192">
        <f t="array" ref="BZ38">IF($BT38=0, INDEX(LS_current!$D$4:$AY$138, MATCH('Staging Table'!$A38, LS_current!$B$4:$B$138, 0), MATCH(BZ$4&amp;BZ$5, LS_current!$D$2:$AY$2&amp;LS_current!$D$3:$AY$3, 0)),SUM(VLOOKUP($A38, LS_current!$B$4:$AY$138, LS_current!E$148, FALSE), VLOOKUP($A38, LS_current!$B$4:$AY$138,LS_current!AC$148, FALSE))/2)</f>
        <v>-432.5807819753536</v>
      </c>
      <c r="CA38" s="192">
        <f t="array" ref="CA38">IF($BT38=0, INDEX(LS_current!$D$4:$AY$138, MATCH('Staging Table'!$A38, LS_current!$B$4:$B$138, 0), MATCH(CA$4&amp;CA$5, LS_current!$D$2:$AY$2&amp;LS_current!$D$3:$AY$3, 0)),SUM(VLOOKUP($A38, LS_current!$B$4:$AY$138, LS_current!F$148, FALSE), VLOOKUP($A38, LS_current!$B$4:$AY$138,LS_current!AD$148, FALSE))/2)</f>
        <v>-12621.464445291524</v>
      </c>
      <c r="CB38" s="192">
        <f t="array" ref="CB38">IF($BT38=0, INDEX(LS_current!$D$4:$AY$138, MATCH('Staging Table'!$A38, LS_current!$B$4:$B$138, 0), MATCH(CB$4&amp;CB$5, LS_current!$D$2:$AY$2&amp;LS_current!$D$3:$AY$3, 0)),SUM(VLOOKUP($A38, LS_current!$B$4:$AY$138, LS_current!G$148, FALSE), VLOOKUP($A38, LS_current!$B$4:$AY$138,LS_current!AE$148, FALSE))/2)</f>
        <v>-5658.2651890568777</v>
      </c>
      <c r="CC38" s="192">
        <f t="array" ref="CC38">IF($BT38=0, INDEX(LS_current!$D$4:$AY$138, MATCH('Staging Table'!$A38, LS_current!$B$4:$B$138, 0), MATCH(CC$4&amp;CC$5, LS_current!$D$2:$AY$2&amp;LS_current!$D$3:$AY$3, 0)),SUM(VLOOKUP($A38, LS_current!$B$4:$AY$138, LS_current!H$148, FALSE), VLOOKUP($A38, LS_current!$B$4:$AY$138,LS_current!AF$148, FALSE))/2)</f>
        <v>7684.2192254705733</v>
      </c>
      <c r="CD38" s="192">
        <f t="array" ref="CD38">IF($BT38=0, INDEX(LS_current!$D$4:$AY$138, MATCH('Staging Table'!$A38, LS_current!$B$4:$B$138, 0), MATCH(CD$4&amp;CD$5, LS_current!$D$2:$AY$2&amp;LS_current!$D$3:$AY$3, 0)),SUM(VLOOKUP($A38, LS_current!$B$4:$AY$138, LS_current!I$148, FALSE), VLOOKUP($A38, LS_current!$B$4:$AY$138,LS_current!AG$148, FALSE))/2)</f>
        <v>1890.7041825116394</v>
      </c>
      <c r="CE38" s="192">
        <f t="array" ref="CE38">IF($BT38=0, INDEX(LS_current!$D$4:$AY$138, MATCH('Staging Table'!$A38, LS_current!$B$4:$B$138, 0), MATCH(CE$4&amp;CE$5, LS_current!$D$2:$AY$2&amp;LS_current!$D$3:$AY$3, 0)),SUM(VLOOKUP($A38, LS_current!$B$4:$AY$138, LS_current!J$148, FALSE), VLOOKUP($A38, LS_current!$B$4:$AY$138,LS_current!AH$148, FALSE))/2)</f>
        <v>13326.665613336911</v>
      </c>
      <c r="CF38" s="192">
        <f t="array" ref="CF38">IF($BT38=0, INDEX(LS_current!$D$4:$AY$138, MATCH('Staging Table'!$A38, LS_current!$B$4:$B$138, 0), MATCH(CF$4&amp;CF$5, LS_current!$D$2:$AY$2&amp;LS_current!$D$3:$AY$3, 0)),SUM(VLOOKUP($A38, LS_current!$B$4:$AY$138, LS_current!K$148, FALSE), VLOOKUP($A38, LS_current!$B$4:$AY$138,LS_current!AI$148, FALSE))/2)</f>
        <v>10105.488214242832</v>
      </c>
      <c r="CG38" s="192">
        <f t="array" ref="CG38">IF($BT38=0, INDEX(LS_current!$D$4:$AY$138, MATCH('Staging Table'!$A38, LS_current!$B$4:$B$138, 0), MATCH(CG$4&amp;CG$5, LS_current!$D$2:$AY$2&amp;LS_current!$D$3:$AY$3, 0)),SUM(VLOOKUP($A38, LS_current!$B$4:$AY$138, LS_current!L$148, FALSE), VLOOKUP($A38, LS_current!$B$4:$AY$138,LS_current!AJ$148, FALSE))/2)</f>
        <v>5551.9650567509234</v>
      </c>
      <c r="CH38" s="192">
        <f t="array" ref="CH38">IF($BT38=0, INDEX(LS_current!$D$4:$AY$138, MATCH('Staging Table'!$A38, LS_current!$B$4:$B$138, 0), MATCH(CH$4&amp;CH$5, LS_current!$D$2:$AY$2&amp;LS_current!$D$3:$AY$3, 0)),SUM(VLOOKUP($A38, LS_current!$B$4:$AY$138, LS_current!M$148, FALSE), VLOOKUP($A38, LS_current!$B$4:$AY$138,LS_current!AK$148, FALSE))/2)</f>
        <v>1621.9082773576411</v>
      </c>
      <c r="CI38" s="192">
        <f t="array" ref="CI38">IF($BT38=0, INDEX(LS_current!$D$4:$AY$138, MATCH('Staging Table'!$A38, LS_current!$B$4:$B$138, 0), MATCH(CI$4&amp;CI$5, LS_current!$D$2:$AY$2&amp;LS_current!$D$3:$AY$3, 0)),SUM(VLOOKUP($A38, LS_current!$B$4:$AY$138, LS_current!N$148, FALSE), VLOOKUP($A38, LS_current!$B$4:$AY$138,LS_current!AL$148, FALSE))/2)</f>
        <v>-2317.4451333377001</v>
      </c>
      <c r="CJ38" s="192">
        <f t="array" ref="CJ38">IF($BT38=0, INDEX(LS_current!$D$4:$AY$138, MATCH('Staging Table'!$A38, LS_current!$B$4:$B$138, 0), MATCH(CJ$4&amp;CJ$5, LS_current!$D$2:$AY$2&amp;LS_current!$D$3:$AY$3, 0)),SUM(VLOOKUP($A38, LS_current!$B$4:$AY$138, LS_current!O$148, FALSE), VLOOKUP($A38, LS_current!$B$4:$AY$138,LS_current!AM$148, FALSE))/2)</f>
        <v>-1811.3644888390263</v>
      </c>
      <c r="CK38" s="192">
        <f t="array" ref="CK38">IF($BT38=0, INDEX(LS_current!$D$4:$AY$138, MATCH('Staging Table'!$A38, LS_current!$B$4:$B$138, 0), MATCH(CK$4&amp;CK$5, LS_current!$D$2:$AY$2&amp;LS_current!$D$3:$AY$3, 0)),SUM(VLOOKUP($A38, LS_current!$B$4:$AY$138, LS_current!P$148, FALSE), VLOOKUP($A38, LS_current!$B$4:$AY$138,LS_current!AN$148, FALSE))/2)</f>
        <v>2860.7063321063761</v>
      </c>
      <c r="CL38" s="192">
        <f t="array" ref="CL38">IF($BT38=0, INDEX(LS_current!$D$4:$AY$138, MATCH('Staging Table'!$A38, LS_current!$B$4:$B$138, 0), MATCH(CL$4&amp;CL$5, LS_current!$D$2:$AY$2&amp;LS_current!$D$3:$AY$3, 0)),SUM(VLOOKUP($A38, LS_current!$B$4:$AY$138, LS_current!Q$148, FALSE), VLOOKUP($A38, LS_current!$B$4:$AY$138,LS_current!AO$148, FALSE))/2)</f>
        <v>681.67942273473091</v>
      </c>
      <c r="CM38" s="192">
        <f t="array" ref="CM38">IF($BT38=0, INDEX(LS_current!$D$4:$AY$138, MATCH('Staging Table'!$A38, LS_current!$B$4:$B$138, 0), MATCH(CM$4&amp;CM$5, LS_current!$D$2:$AY$2&amp;LS_current!$D$3:$AY$3, 0)),SUM(VLOOKUP($A38, LS_current!$B$4:$AY$138, LS_current!R$148, FALSE), VLOOKUP($A38, LS_current!$B$4:$AY$138,LS_current!AP$148, FALSE))/2)</f>
        <v>-13031.381893552913</v>
      </c>
      <c r="CN38" s="192">
        <f t="array" ref="CN38">IF($BT38=0, INDEX(LS_current!$D$4:$AY$138, MATCH('Staging Table'!$A38, LS_current!$B$4:$B$138, 0), MATCH(CN$4&amp;CN$5, LS_current!$D$2:$AY$2&amp;LS_current!$D$3:$AY$3, 0)),SUM(VLOOKUP($A38, LS_current!$B$4:$AY$138, LS_current!S$148, FALSE), VLOOKUP($A38, LS_current!$B$4:$AY$138,LS_current!AQ$148, FALSE))/2)</f>
        <v>879.34975029181805</v>
      </c>
      <c r="CO38" s="192">
        <f t="array" ref="CO38">IF($BT38=0, INDEX(LS_current!$D$4:$AY$138, MATCH('Staging Table'!$A38, LS_current!$B$4:$B$138, 0), MATCH(CO$4&amp;CO$5, LS_current!$D$2:$AY$2&amp;LS_current!$D$3:$AY$3, 0)),SUM(VLOOKUP($A38, LS_current!$B$4:$AY$138, LS_current!T$148, FALSE), VLOOKUP($A38, LS_current!$B$4:$AY$138,LS_current!AR$148, FALSE))/2)</f>
        <v>-14089.19917716398</v>
      </c>
      <c r="CP38" s="192">
        <f t="array" ref="CP38">IF($BT38=0, INDEX(LS_current!$D$4:$AY$138, MATCH('Staging Table'!$A38, LS_current!$B$4:$B$138, 0), MATCH(CP$4&amp;CP$5, LS_current!$D$2:$AY$2&amp;LS_current!$D$3:$AY$3, 0)),SUM(VLOOKUP($A38, LS_current!$B$4:$AY$138, LS_current!U$148, FALSE), VLOOKUP($A38, LS_current!$B$4:$AY$138,LS_current!AS$148, FALSE))/2)</f>
        <v>759.29166806323701</v>
      </c>
      <c r="CQ38" s="192">
        <f t="array" ref="CQ38">IF($BT38=0, INDEX(LS_current!$D$4:$AY$138, MATCH('Staging Table'!$A38, LS_current!$B$4:$B$138, 0), MATCH(CQ$4&amp;CQ$5, LS_current!$D$2:$AY$2&amp;LS_current!$D$3:$AY$3, 0)),SUM(VLOOKUP($A38, LS_current!$B$4:$AY$138, LS_current!V$148, FALSE), VLOOKUP($A38, LS_current!$B$4:$AY$138,LS_current!AT$148, FALSE))/2)</f>
        <v>-1994.3530976592956</v>
      </c>
      <c r="CR38" s="192">
        <f t="array" ref="CR38">IF($BT38=0, INDEX(LS_current!$D$4:$AY$138, MATCH('Staging Table'!$A38, LS_current!$B$4:$B$138, 0), MATCH(CR$4&amp;CR$5, LS_current!$D$2:$AY$2&amp;LS_current!$D$3:$AY$3, 0)),SUM(VLOOKUP($A38, LS_current!$B$4:$AY$138, LS_current!W$148, FALSE), VLOOKUP($A38, LS_current!$B$4:$AY$138,LS_current!AU$148, FALSE))/2)</f>
        <v>5959.0217076306981</v>
      </c>
      <c r="CS38" s="192">
        <f t="array" ref="CS38">IF($BT38=0, INDEX(LS_current!$D$4:$AY$138, MATCH('Staging Table'!$A38, LS_current!$B$4:$B$138, 0), MATCH(CS$4&amp;CS$5, LS_current!$D$2:$AY$2&amp;LS_current!$D$3:$AY$3, 0)),SUM(VLOOKUP($A38, LS_current!$B$4:$AY$138, LS_current!X$148, FALSE), VLOOKUP($A38, LS_current!$B$4:$AY$138,LS_current!AV$148, FALSE))/2)</f>
        <v>2019.3327302764665</v>
      </c>
      <c r="CT38" s="192">
        <f t="array" ref="CT38">IF($BT38=0, INDEX(LS_current!$D$4:$AY$138, MATCH('Staging Table'!$A38, LS_current!$B$4:$B$138, 0), MATCH(CT$4&amp;CT$5, LS_current!$D$2:$AY$2&amp;LS_current!$D$3:$AY$3, 0)),SUM(VLOOKUP($A38, LS_current!$B$4:$AY$138, LS_current!Y$148, FALSE), VLOOKUP($A38, LS_current!$B$4:$AY$138,LS_current!AW$148, FALSE))/2)</f>
        <v>3095.9538737602925</v>
      </c>
      <c r="CU38" s="192">
        <f t="array" ref="CU38">IF($BT38=0, INDEX(LS_current!$D$4:$AY$138, MATCH('Staging Table'!$A38, LS_current!$B$4:$B$138, 0), MATCH(CU$4&amp;CU$5, LS_current!$D$2:$AY$2&amp;LS_current!$D$3:$AY$3, 0)),SUM(VLOOKUP($A38, LS_current!$B$4:$AY$138, LS_current!Z$148, FALSE), VLOOKUP($A38, LS_current!$B$4:$AY$138,LS_current!AX$148, FALSE))/2)</f>
        <v>-5853.2643295323069</v>
      </c>
      <c r="CV38" s="192">
        <f t="array" ref="CV38">IF($BT38=0, INDEX(LS_current!$D$4:$AY$138, MATCH('Staging Table'!$A38, LS_current!$B$4:$B$138, 0), MATCH(CV$4&amp;CV$5, LS_current!$D$2:$AY$2&amp;LS_current!$D$3:$AY$3, 0)),SUM(VLOOKUP($A38, LS_current!$B$4:$AY$138, LS_current!AA$148, FALSE), VLOOKUP($A38, LS_current!$B$4:$AY$138,LS_current!AY$148, FALSE))/2)</f>
        <v>-1331.0434996836302</v>
      </c>
      <c r="CW38" s="194">
        <f t="array" ref="CW38">INDEX(Demand_current!$D$4:$AY$138, MATCH($A38, Demand_current!$B$4:$B$138, 0), MATCH(CW$4&amp;CW$5,Demand_current!$D$2:$AY$2&amp;Demand_current!$D$3:$AY$3, 0))/1000</f>
        <v>2.1379759615384586</v>
      </c>
      <c r="CX38" s="194">
        <f t="array" ref="CX38">INDEX(Demand_current!$D$4:$AY$138, MATCH($A38, Demand_current!$B$4:$B$138, 0), MATCH(CX$4&amp;CX$5,Demand_current!$D$2:$AY$2&amp;Demand_current!$D$3:$AY$3, 0))/1000</f>
        <v>3.6097999999999857</v>
      </c>
      <c r="CY38" s="194">
        <f t="array" ref="CY38">INDEX(Demand_current!$D$4:$AY$138, MATCH($A38, Demand_current!$B$4:$B$138, 0), MATCH(CY$4&amp;CY$5,Demand_current!$D$2:$AY$2&amp;Demand_current!$D$3:$AY$3, 0))/1000</f>
        <v>21.873668269230762</v>
      </c>
      <c r="CZ38" s="194">
        <f t="array" ref="CZ38">INDEX(Demand_current!$D$4:$AY$138, MATCH($A38, Demand_current!$B$4:$B$138, 0), MATCH(CZ$4&amp;CZ$5,Demand_current!$D$2:$AY$2&amp;Demand_current!$D$3:$AY$3, 0))/1000</f>
        <v>11.334029999999991</v>
      </c>
      <c r="DA38" s="194">
        <f t="array" ref="DA38">INDEX(Demand_current!$D$4:$AY$138, MATCH($A38, Demand_current!$B$4:$B$138, 0), MATCH(DA$4&amp;DA$5,Demand_current!$D$2:$AY$2&amp;Demand_current!$D$3:$AY$3, 0))/1000</f>
        <v>1.1651927083333433</v>
      </c>
      <c r="DB38" s="194">
        <f t="array" ref="DB38">INDEX(Demand_current!$D$4:$AY$138, MATCH($A38, Demand_current!$B$4:$B$138, 0), MATCH(DB$4&amp;DB$5,Demand_current!$D$2:$AY$2&amp;Demand_current!$D$3:$AY$3, 0))/1000</f>
        <v>16.457398148148158</v>
      </c>
      <c r="DC38" s="194">
        <f t="array" ref="DC38">INDEX(Demand_current!$D$4:$AY$138, MATCH($A38, Demand_current!$B$4:$B$138, 0), MATCH(DC$4&amp;DC$5,Demand_current!$D$2:$AY$2&amp;Demand_current!$D$3:$AY$3, 0))/1000</f>
        <v>16.506218749999995</v>
      </c>
      <c r="DD38" s="194">
        <f t="array" ref="DD38">INDEX(Demand_current!$D$4:$AY$138, MATCH($A38, Demand_current!$B$4:$B$138, 0), MATCH(DD$4&amp;DD$5,Demand_current!$D$2:$AY$2&amp;Demand_current!$D$3:$AY$3, 0))/1000</f>
        <v>6.1124449999999904</v>
      </c>
      <c r="DE38" s="194">
        <f t="array" ref="DE38">INDEX(Demand_current!$D$4:$AY$138, MATCH($A38, Demand_current!$B$4:$B$138, 0), MATCH(DE$4&amp;DE$5,Demand_current!$D$2:$AY$2&amp;Demand_current!$D$3:$AY$3, 0))/1000</f>
        <v>27.895586538461544</v>
      </c>
      <c r="DF38" s="194">
        <f t="array" ref="DF38">INDEX(Demand_current!$D$4:$AY$138, MATCH($A38, Demand_current!$B$4:$B$138, 0), MATCH(DF$4&amp;DF$5,Demand_current!$D$2:$AY$2&amp;Demand_current!$D$3:$AY$3, 0))/1000</f>
        <v>22.555825000000006</v>
      </c>
      <c r="DG38" s="194">
        <f t="array" ref="DG38">INDEX(Demand_current!$D$4:$AY$138, MATCH($A38, Demand_current!$B$4:$B$138, 0), MATCH(DG$4&amp;DG$5,Demand_current!$D$2:$AY$2&amp;Demand_current!$D$3:$AY$3, 0))/1000</f>
        <v>27.03533101851853</v>
      </c>
      <c r="DH38" s="194">
        <f t="array" ref="DH38">INDEX(Demand_current!$D$4:$AY$138, MATCH($A38, Demand_current!$B$4:$B$138, 0), MATCH(DH$4&amp;DH$5,Demand_current!$D$2:$AY$2&amp;Demand_current!$D$3:$AY$3, 0))/1000</f>
        <v>16.400242500000004</v>
      </c>
      <c r="DI38" s="192">
        <f>$BS38*(VLOOKUP(DI$4, Rates_current!$G$6:$Q$29, 10, FALSE)+VLOOKUP(DI$4, Rates_current!$G$6:$Q$29, 11, FALSE))</f>
        <v>66972.744886393135</v>
      </c>
      <c r="DJ38" s="192">
        <f>$BS38*(VLOOKUP(DJ$4, Rates_current!$G$6:$Q$29, 10, FALSE)+VLOOKUP(DJ$4, Rates_current!$G$6:$Q$29, 11, FALSE))</f>
        <v>84789.925634348401</v>
      </c>
      <c r="DK38" s="192">
        <f>$BS38*(VLOOKUP(DK$4, Rates_current!$G$6:$Q$29, 10, FALSE)+VLOOKUP(DK$4, Rates_current!$G$6:$Q$29, 11, FALSE))</f>
        <v>82992.397592017791</v>
      </c>
      <c r="DL38" s="192">
        <f>$BS38*(VLOOKUP(DL$4, Rates_current!$G$6:$Q$29, 10, FALSE)+VLOOKUP(DL$4, Rates_current!$G$6:$Q$29, 11, FALSE))</f>
        <v>68548.191172420251</v>
      </c>
      <c r="DM38" s="192">
        <f>$BS38*(VLOOKUP(DM$4, Rates_current!$G$6:$Q$29, 10, FALSE)+VLOOKUP(DM$4, Rates_current!$G$6:$Q$29, 11, FALSE))</f>
        <v>59412.219665891433</v>
      </c>
      <c r="DN38" s="192">
        <f>$BS38*(VLOOKUP(DN$4, Rates_current!$G$6:$Q$29, 10, FALSE)+VLOOKUP(DN$4, Rates_current!$G$6:$Q$29, 11, FALSE))</f>
        <v>70926.192622176735</v>
      </c>
      <c r="DO38" s="192">
        <f>$BS38*(VLOOKUP(DO$4, Rates_current!$G$6:$Q$29, 10, FALSE)+VLOOKUP(DO$4, Rates_current!$G$6:$Q$29, 11, FALSE))</f>
        <v>55064.746245158894</v>
      </c>
      <c r="DP38" s="192">
        <f>$BS38*(VLOOKUP(DP$4, Rates_current!$G$6:$Q$29, 10, FALSE)+VLOOKUP(DP$4, Rates_current!$G$6:$Q$29, 11, FALSE))</f>
        <v>76292.611143261092</v>
      </c>
      <c r="DQ38" s="192">
        <f>$BS38*(VLOOKUP(DQ$4, Rates_current!$G$6:$Q$29, 10, FALSE)+VLOOKUP(DQ$4, Rates_current!$G$6:$Q$29, 11, FALSE))</f>
        <v>81520.252509100741</v>
      </c>
      <c r="DR38" s="192">
        <f>$BS38*(VLOOKUP(DR$4, Rates_current!$G$6:$Q$29, 10, FALSE)+VLOOKUP(DR$4, Rates_current!$G$6:$Q$29, 11, FALSE))</f>
        <v>77399.788390028596</v>
      </c>
      <c r="DS38" s="192">
        <f>$BS38*(VLOOKUP(DS$4, Rates_current!$G$6:$Q$29, 10, FALSE)+VLOOKUP(DS$4, Rates_current!$G$6:$Q$29, 11, FALSE))</f>
        <v>74800.924395963244</v>
      </c>
      <c r="DT38" s="192">
        <f>$BS38*(VLOOKUP(DT$4, Rates_current!$G$6:$Q$29, 10, FALSE)+VLOOKUP(DT$4, Rates_current!$G$6:$Q$29, 11, FALSE))</f>
        <v>69123.851829215942</v>
      </c>
      <c r="DU38" s="418">
        <f>IF(D38=0,IF(C38=0,MAX(0,DW38 - (VLOOKUP($A38,TOCA_current!$A$2:$AI$137,MATCH("RHWM 2022",TOCA_current!$A$2:$AI$2,0),FALSE)*$BS$2)), 0),0)</f>
        <v>0</v>
      </c>
      <c r="DV38" s="419">
        <f>MIN(VLOOKUP($A38,TOCA_current!$A$2:$AI$137,MATCH("TRL - NLSL - Existing Resource "&amp;$BS$1,TOCA_current!$A$2:$AI$2,0),FALSE)*$BS$2, VLOOKUP($A38,TOCA_current!$A$2:$AI$137,MATCH("RHWM 2022",TOCA_current!$A$2:$AI$2,0),FALSE)*$BS$2)</f>
        <v>867844.44000000006</v>
      </c>
      <c r="DW38" s="419">
        <f>SUM(BY38:CV38)+(BS38*RT1SC!$C$4*$BS$2)</f>
        <v>859366.1783939678</v>
      </c>
      <c r="DX38" s="419">
        <f>VLOOKUP($A38,TOCA_current!$A$2:$AI$137,MATCH("Above RHWM Not Served with LS "&amp;$BS$1,TOCA_current!$A$2:$AI$2,0),FALSE)*$BS$2</f>
        <v>100757.52</v>
      </c>
      <c r="DY38" s="419">
        <f t="shared" si="13"/>
        <v>-8478.2616060322616</v>
      </c>
      <c r="DZ38" s="419">
        <f>(VLOOKUP($A38,TOCA_current!$A$2:$AI$137,MATCH("RHWM 2022",TOCA_current!$A$2:$AI$2,0),FALSE)*$BS$2) - $DV38</f>
        <v>0</v>
      </c>
      <c r="EA38" s="419">
        <f t="shared" si="14"/>
        <v>0</v>
      </c>
      <c r="EB38" s="419">
        <f t="shared" si="15"/>
        <v>0</v>
      </c>
      <c r="EC38" s="419">
        <f t="shared" si="16"/>
        <v>0</v>
      </c>
      <c r="ED38" s="419">
        <f t="shared" si="17"/>
        <v>0</v>
      </c>
    </row>
    <row r="39" spans="1:134">
      <c r="A39" s="135">
        <v>10091</v>
      </c>
      <c r="B39" s="136" t="s">
        <v>40</v>
      </c>
      <c r="C39" s="244">
        <f>VLOOKUP(A39, TOCA_current!$A$3:$D$137, 4, FALSE)</f>
        <v>0</v>
      </c>
      <c r="D39" s="203">
        <v>0</v>
      </c>
      <c r="E39" s="119">
        <f>VLOOKUP($A39,TOCA_previous!$A$2:$AI$137,MATCH(E$4,TOCA_previous!$A$2:$AI$2,0),FALSE)</f>
        <v>1.3343000000000001E-3</v>
      </c>
      <c r="F39" s="120">
        <f>VLOOKUP($A39,TOCA_previous!$A$2:$AI$137,MATCH(F$4,TOCA_previous!$A$2:$AI$2,0),FALSE)</f>
        <v>1.3343000000000001E-3</v>
      </c>
      <c r="G39" s="120">
        <f t="shared" si="5"/>
        <v>0</v>
      </c>
      <c r="H39" s="120">
        <f>VLOOKUP($A39,TOCA_previous!$A$2:$AI$137,MATCH(H$4,TOCA_previous!$A$2:$AI$2,0),FALSE)</f>
        <v>0</v>
      </c>
      <c r="I39" s="120">
        <f t="shared" si="6"/>
        <v>0</v>
      </c>
      <c r="J39" s="120">
        <f t="shared" si="7"/>
        <v>0</v>
      </c>
      <c r="K39" s="191">
        <f>VLOOKUP(A39, IRD!$A$5:$C$139, 3, FALSE)</f>
        <v>0</v>
      </c>
      <c r="L39" s="192">
        <f t="array" ref="L39">IF($G39=0, INDEX(LS_previous!$D$4:$AY$138, MATCH('Staging Table'!$A39, LS_previous!$B$4:$B$138, 0), MATCH(L$4&amp;L$5, LS_previous!$D$2:$AY$2&amp;LS_previous!$D$3:$AY$3, 0)),SUM(VLOOKUP($A39, LS_previous!$B$4:$AY$138, LS_previous!D$149, FALSE), VLOOKUP('Staging Table'!$A39, LS_previous!$B$4:$AY$138,LS_previous!AB$149, FALSE))/2)</f>
        <v>-305.45194720840027</v>
      </c>
      <c r="M39" s="192">
        <f t="array" ref="M39">IF($G39=0, INDEX(LS_previous!$D$4:$AY$138, MATCH('Staging Table'!$A39, LS_previous!$B$4:$B$138, 0), MATCH(M$4&amp;M$5, LS_previous!$D$2:$AY$2&amp;LS_previous!$D$3:$AY$3, 0)),SUM(VLOOKUP($A39, LS_previous!$B$4:$AY$138, LS_previous!E$149, FALSE), VLOOKUP('Staging Table'!$A39, LS_previous!$B$4:$AY$138,LS_previous!AC$149, FALSE))/2)</f>
        <v>155.86961258559995</v>
      </c>
      <c r="N39" s="192">
        <f t="array" ref="N39">IF($G39=0, INDEX(LS_previous!$D$4:$AY$138, MATCH('Staging Table'!$A39, LS_previous!$B$4:$B$138, 0), MATCH(N$4&amp;N$5, LS_previous!$D$2:$AY$2&amp;LS_previous!$D$3:$AY$3, 0)),SUM(VLOOKUP($A39, LS_previous!$B$4:$AY$138, LS_previous!F$149, FALSE), VLOOKUP('Staging Table'!$A39, LS_previous!$B$4:$AY$138,LS_previous!AD$149, FALSE))/2)</f>
        <v>-685.71749261040077</v>
      </c>
      <c r="O39" s="192">
        <f t="array" ref="O39">IF($G39=0, INDEX(LS_previous!$D$4:$AY$138, MATCH('Staging Table'!$A39, LS_previous!$B$4:$B$138, 0), MATCH(O$4&amp;O$5, LS_previous!$D$2:$AY$2&amp;LS_previous!$D$3:$AY$3, 0)),SUM(VLOOKUP($A39, LS_previous!$B$4:$AY$138, LS_previous!G$149, FALSE), VLOOKUP('Staging Table'!$A39, LS_previous!$B$4:$AY$138,LS_previous!AE$149, FALSE))/2)</f>
        <v>95.496921812699384</v>
      </c>
      <c r="P39" s="192">
        <f t="array" ref="P39">IF($G39=0, INDEX(LS_previous!$D$4:$AY$138, MATCH('Staging Table'!$A39, LS_previous!$B$4:$B$138, 0), MATCH(P$4&amp;P$5, LS_previous!$D$2:$AY$2&amp;LS_previous!$D$3:$AY$3, 0)),SUM(VLOOKUP($A39, LS_previous!$B$4:$AY$138, LS_previous!H$149, FALSE), VLOOKUP('Staging Table'!$A39, LS_previous!$B$4:$AY$138,LS_previous!AF$149, FALSE))/2)</f>
        <v>415.26026255039869</v>
      </c>
      <c r="Q39" s="192">
        <f t="array" ref="Q39">IF($G39=0, INDEX(LS_previous!$D$4:$AY$138, MATCH('Staging Table'!$A39, LS_previous!$B$4:$B$138, 0), MATCH(Q$4&amp;Q$5, LS_previous!$D$2:$AY$2&amp;LS_previous!$D$3:$AY$3, 0)),SUM(VLOOKUP($A39, LS_previous!$B$4:$AY$138, LS_previous!I$149, FALSE), VLOOKUP('Staging Table'!$A39, LS_previous!$B$4:$AY$138,LS_previous!AG$149, FALSE))/2)</f>
        <v>901.54269592679975</v>
      </c>
      <c r="R39" s="192">
        <f t="array" ref="R39">IF($G39=0, INDEX(LS_previous!$D$4:$AY$138, MATCH('Staging Table'!$A39, LS_previous!$B$4:$B$138, 0), MATCH(R$4&amp;R$5, LS_previous!$D$2:$AY$2&amp;LS_previous!$D$3:$AY$3, 0)),SUM(VLOOKUP($A39, LS_previous!$B$4:$AY$138, LS_previous!J$149, FALSE), VLOOKUP('Staging Table'!$A39, LS_previous!$B$4:$AY$138,LS_previous!AH$149, FALSE))/2)</f>
        <v>1293.189709350399</v>
      </c>
      <c r="S39" s="192">
        <f t="array" ref="S39">IF($G39=0, INDEX(LS_previous!$D$4:$AY$138, MATCH('Staging Table'!$A39, LS_previous!$B$4:$B$138, 0), MATCH(S$4&amp;S$5, LS_previous!$D$2:$AY$2&amp;LS_previous!$D$3:$AY$3, 0)),SUM(VLOOKUP($A39, LS_previous!$B$4:$AY$138, LS_previous!K$149, FALSE), VLOOKUP('Staging Table'!$A39, LS_previous!$B$4:$AY$138,LS_previous!AI$149, FALSE))/2)</f>
        <v>1461.0702155268</v>
      </c>
      <c r="T39" s="192">
        <f t="array" ref="T39">IF($G39=0, INDEX(LS_previous!$D$4:$AY$138, MATCH('Staging Table'!$A39, LS_previous!$B$4:$B$138, 0), MATCH(T$4&amp;T$5, LS_previous!$D$2:$AY$2&amp;LS_previous!$D$3:$AY$3, 0)),SUM(VLOOKUP($A39, LS_previous!$B$4:$AY$138, LS_previous!L$149, FALSE), VLOOKUP('Staging Table'!$A39, LS_previous!$B$4:$AY$138,LS_previous!AJ$149, FALSE))/2)</f>
        <v>1012.1542574467999</v>
      </c>
      <c r="U39" s="192">
        <f t="array" ref="U39">IF($G39=0, INDEX(LS_previous!$D$4:$AY$138, MATCH('Staging Table'!$A39, LS_previous!$B$4:$B$138, 0), MATCH(U$4&amp;U$5, LS_previous!$D$2:$AY$2&amp;LS_previous!$D$3:$AY$3, 0)),SUM(VLOOKUP($A39, LS_previous!$B$4:$AY$138, LS_previous!M$149, FALSE), VLOOKUP('Staging Table'!$A39, LS_previous!$B$4:$AY$138,LS_previous!AK$149, FALSE))/2)</f>
        <v>1026.5642463131999</v>
      </c>
      <c r="V39" s="192">
        <f t="array" ref="V39">IF($G39=0, INDEX(LS_previous!$D$4:$AY$138, MATCH('Staging Table'!$A39, LS_previous!$B$4:$B$138, 0), MATCH(V$4&amp;V$5, LS_previous!$D$2:$AY$2&amp;LS_previous!$D$3:$AY$3, 0)),SUM(VLOOKUP($A39, LS_previous!$B$4:$AY$138, LS_previous!N$149, FALSE), VLOOKUP('Staging Table'!$A39, LS_previous!$B$4:$AY$138,LS_previous!AL$149, FALSE))/2)</f>
        <v>188.11547131120005</v>
      </c>
      <c r="W39" s="192">
        <f t="array" ref="W39">IF($G39=0, INDEX(LS_previous!$D$4:$AY$138, MATCH('Staging Table'!$A39, LS_previous!$B$4:$B$138, 0), MATCH(W$4&amp;W$5, LS_previous!$D$2:$AY$2&amp;LS_previous!$D$3:$AY$3, 0)),SUM(VLOOKUP($A39, LS_previous!$B$4:$AY$138, LS_previous!O$149, FALSE), VLOOKUP('Staging Table'!$A39, LS_previous!$B$4:$AY$138,LS_previous!AM$149, FALSE))/2)</f>
        <v>554.33810594969964</v>
      </c>
      <c r="X39" s="192">
        <f t="array" ref="X39">IF($G39=0, INDEX(LS_previous!$D$4:$AY$138, MATCH('Staging Table'!$A39, LS_previous!$B$4:$B$138, 0), MATCH(X$4&amp;X$5, LS_previous!$D$2:$AY$2&amp;LS_previous!$D$3:$AY$3, 0)),SUM(VLOOKUP($A39, LS_previous!$B$4:$AY$138, LS_previous!P$149, FALSE), VLOOKUP('Staging Table'!$A39, LS_previous!$B$4:$AY$138,LS_previous!AN$149, FALSE))/2)</f>
        <v>379.69187608079983</v>
      </c>
      <c r="Y39" s="192">
        <f t="array" ref="Y39">IF($G39=0, INDEX(LS_previous!$D$4:$AY$138, MATCH('Staging Table'!$A39, LS_previous!$B$4:$B$138, 0), MATCH(Y$4&amp;Y$5, LS_previous!$D$2:$AY$2&amp;LS_previous!$D$3:$AY$3, 0)),SUM(VLOOKUP($A39, LS_previous!$B$4:$AY$138, LS_previous!Q$149, FALSE), VLOOKUP('Staging Table'!$A39, LS_previous!$B$4:$AY$138,LS_previous!AO$149, FALSE))/2)</f>
        <v>401.64179805519984</v>
      </c>
      <c r="Z39" s="192">
        <f t="array" ref="Z39">IF($G39=0, INDEX(LS_previous!$D$4:$AY$138, MATCH('Staging Table'!$A39, LS_previous!$B$4:$B$138, 0), MATCH(Z$4&amp;Z$5, LS_previous!$D$2:$AY$2&amp;LS_previous!$D$3:$AY$3, 0)),SUM(VLOOKUP($A39, LS_previous!$B$4:$AY$138, LS_previous!R$149, FALSE), VLOOKUP('Staging Table'!$A39, LS_previous!$B$4:$AY$138,LS_previous!AP$149, FALSE))/2)</f>
        <v>-1244.2376175300001</v>
      </c>
      <c r="AA39" s="192">
        <f t="array" ref="AA39">IF($G39=0, INDEX(LS_previous!$D$4:$AY$138, MATCH('Staging Table'!$A39, LS_previous!$B$4:$B$138, 0), MATCH(AA$4&amp;AA$5, LS_previous!$D$2:$AY$2&amp;LS_previous!$D$3:$AY$3, 0)),SUM(VLOOKUP($A39, LS_previous!$B$4:$AY$138, LS_previous!S$149, FALSE), VLOOKUP('Staging Table'!$A39, LS_previous!$B$4:$AY$138,LS_previous!AQ$149, FALSE))/2)</f>
        <v>-293.9992282428002</v>
      </c>
      <c r="AB39" s="192">
        <f t="array" ref="AB39">IF($G39=0, INDEX(LS_previous!$D$4:$AY$138, MATCH('Staging Table'!$A39, LS_previous!$B$4:$B$138, 0), MATCH(AB$4&amp;AB$5, LS_previous!$D$2:$AY$2&amp;LS_previous!$D$3:$AY$3, 0)),SUM(VLOOKUP($A39, LS_previous!$B$4:$AY$138, LS_previous!T$149, FALSE), VLOOKUP('Staging Table'!$A39, LS_previous!$B$4:$AY$138,LS_previous!AR$149, FALSE))/2)</f>
        <v>-2383.7900799692006</v>
      </c>
      <c r="AC39" s="192">
        <f t="array" ref="AC39">IF($G39=0, INDEX(LS_previous!$D$4:$AY$138, MATCH('Staging Table'!$A39, LS_previous!$B$4:$B$138, 0), MATCH(AC$4&amp;AC$5, LS_previous!$D$2:$AY$2&amp;LS_previous!$D$3:$AY$3, 0)),SUM(VLOOKUP($A39, LS_previous!$B$4:$AY$138, LS_previous!U$149, FALSE), VLOOKUP('Staging Table'!$A39, LS_previous!$B$4:$AY$138,LS_previous!AS$149, FALSE))/2)</f>
        <v>-1103.5570117448001</v>
      </c>
      <c r="AD39" s="192">
        <f t="array" ref="AD39">IF($G39=0, INDEX(LS_previous!$D$4:$AY$138, MATCH('Staging Table'!$A39, LS_previous!$B$4:$B$138, 0), MATCH(AD$4&amp;AD$5, LS_previous!$D$2:$AY$2&amp;LS_previous!$D$3:$AY$3, 0)),SUM(VLOOKUP($A39, LS_previous!$B$4:$AY$138, LS_previous!V$149, FALSE), VLOOKUP('Staging Table'!$A39, LS_previous!$B$4:$AY$138,LS_previous!AT$149, FALSE))/2)</f>
        <v>-1020.5659614692004</v>
      </c>
      <c r="AE39" s="192">
        <f t="array" ref="AE39">IF($G39=0, INDEX(LS_previous!$D$4:$AY$138, MATCH('Staging Table'!$A39, LS_previous!$B$4:$B$138, 0), MATCH(AE$4&amp;AE$5, LS_previous!$D$2:$AY$2&amp;LS_previous!$D$3:$AY$3, 0)),SUM(VLOOKUP($A39, LS_previous!$B$4:$AY$138, LS_previous!W$149, FALSE), VLOOKUP('Staging Table'!$A39, LS_previous!$B$4:$AY$138,LS_previous!AU$149, FALSE))/2)</f>
        <v>245.05953164640005</v>
      </c>
      <c r="AF39" s="192">
        <f t="array" ref="AF39">IF($G39=0, INDEX(LS_previous!$D$4:$AY$138, MATCH('Staging Table'!$A39, LS_previous!$B$4:$B$138, 0), MATCH(AF$4&amp;AF$5, LS_previous!$D$2:$AY$2&amp;LS_previous!$D$3:$AY$3, 0)),SUM(VLOOKUP($A39, LS_previous!$B$4:$AY$138, LS_previous!X$149, FALSE), VLOOKUP('Staging Table'!$A39, LS_previous!$B$4:$AY$138,LS_previous!AV$149, FALSE))/2)</f>
        <v>-984.43182931920046</v>
      </c>
      <c r="AG39" s="192">
        <f t="array" ref="AG39">IF($G39=0, INDEX(LS_previous!$D$4:$AY$138, MATCH('Staging Table'!$A39, LS_previous!$B$4:$B$138, 0), MATCH(AG$4&amp;AG$5, LS_previous!$D$2:$AY$2&amp;LS_previous!$D$3:$AY$3, 0)),SUM(VLOOKUP($A39, LS_previous!$B$4:$AY$138, LS_previous!Y$149, FALSE), VLOOKUP('Staging Table'!$A39, LS_previous!$B$4:$AY$138,LS_previous!AW$149, FALSE))/2)</f>
        <v>-27.185532353600138</v>
      </c>
      <c r="AH39" s="192">
        <f t="array" ref="AH39">IF($G39=0, INDEX(LS_previous!$D$4:$AY$138, MATCH('Staging Table'!$A39, LS_previous!$B$4:$B$138, 0), MATCH(AH$4&amp;AH$5, LS_previous!$D$2:$AY$2&amp;LS_previous!$D$3:$AY$3, 0)),SUM(VLOOKUP($A39, LS_previous!$B$4:$AY$138, LS_previous!Z$149, FALSE), VLOOKUP('Staging Table'!$A39, LS_previous!$B$4:$AY$138,LS_previous!AX$149, FALSE))/2)</f>
        <v>-780.24640608000027</v>
      </c>
      <c r="AI39" s="192">
        <f t="array" ref="AI39">IF($G39=0, INDEX(LS_previous!$D$4:$AY$138, MATCH('Staging Table'!$A39, LS_previous!$B$4:$B$138, 0), MATCH(AI$4&amp;AI$5, LS_previous!$D$2:$AY$2&amp;LS_previous!$D$3:$AY$3, 0)),SUM(VLOOKUP($A39, LS_previous!$B$4:$AY$138, LS_previous!AA$149, FALSE), VLOOKUP('Staging Table'!$A39, LS_previous!$B$4:$AY$138,LS_previous!AY$149, FALSE))/2)</f>
        <v>-134.7215880839999</v>
      </c>
      <c r="AJ39" s="314">
        <f t="array" ref="AJ39">INDEX(Demand_previous!$D$4:$AY$138, MATCH('Staging Table'!$A39, Demand_previous!$B$4:$B$138, 0), MATCH(AJ$4&amp;AJ$5,Demand_previous!$D$2:$AY$2&amp;Demand_previous!$D$3:$AY$3, 0))/1000</f>
        <v>1.0710925925925923</v>
      </c>
      <c r="AK39" s="314">
        <f t="array" ref="AK39">INDEX(Demand_previous!$D$4:$AY$138, MATCH('Staging Table'!$A39, Demand_previous!$B$4:$B$138, 0), MATCH(AK$4&amp;AK$5,Demand_previous!$D$2:$AY$2&amp;Demand_previous!$D$3:$AY$3, 0))/1000</f>
        <v>0.61851500000000126</v>
      </c>
      <c r="AL39" s="314">
        <f t="array" ref="AL39">INDEX(Demand_previous!$D$4:$AY$138, MATCH('Staging Table'!$A39, Demand_previous!$B$4:$B$138, 0), MATCH(AL$4&amp;AL$5,Demand_previous!$D$2:$AY$2&amp;Demand_previous!$D$3:$AY$3, 0))/1000</f>
        <v>1.9782975000000018</v>
      </c>
      <c r="AM39" s="314">
        <f t="array" ref="AM39">INDEX(Demand_previous!$D$4:$AY$138, MATCH('Staging Table'!$A39, Demand_previous!$B$4:$B$138, 0), MATCH(AM$4&amp;AM$5,Demand_previous!$D$2:$AY$2&amp;Demand_previous!$D$3:$AY$3, 0))/1000</f>
        <v>1.7458918269230801</v>
      </c>
      <c r="AN39" s="314">
        <f t="array" ref="AN39">INDEX(Demand_previous!$D$4:$AY$138, MATCH('Staging Table'!$A39, Demand_previous!$B$4:$B$138, 0), MATCH(AN$4&amp;AN$5,Demand_previous!$D$2:$AY$2&amp;Demand_previous!$D$3:$AY$3, 0))/1000</f>
        <v>1.438952500000001</v>
      </c>
      <c r="AO39" s="314">
        <f t="array" ref="AO39">INDEX(Demand_previous!$D$4:$AY$138, MATCH('Staging Table'!$A39, Demand_previous!$B$4:$B$138, 0), MATCH(AO$4&amp;AO$5,Demand_previous!$D$2:$AY$2&amp;Demand_previous!$D$3:$AY$3, 0))/1000</f>
        <v>0.40603846153846268</v>
      </c>
      <c r="AP39" s="314">
        <f t="array" ref="AP39">INDEX(Demand_previous!$D$4:$AY$138, MATCH('Staging Table'!$A39, Demand_previous!$B$4:$B$138, 0), MATCH(AP$4&amp;AP$5,Demand_previous!$D$2:$AY$2&amp;Demand_previous!$D$3:$AY$3, 0))/1000</f>
        <v>1.6302259615384629</v>
      </c>
      <c r="AQ39" s="314">
        <f t="array" ref="AQ39">INDEX(Demand_previous!$D$4:$AY$138, MATCH('Staging Table'!$A39, Demand_previous!$B$4:$B$138, 0), MATCH(AQ$4&amp;AQ$5,Demand_previous!$D$2:$AY$2&amp;Demand_previous!$D$3:$AY$3, 0))/1000</f>
        <v>0.96192250000000024</v>
      </c>
      <c r="AR39" s="314">
        <f t="array" ref="AR39">INDEX(Demand_previous!$D$4:$AY$138, MATCH('Staging Table'!$A39, Demand_previous!$B$4:$B$138, 0), MATCH(AR$4&amp;AR$5,Demand_previous!$D$2:$AY$2&amp;Demand_previous!$D$3:$AY$3, 0))/1000</f>
        <v>2.4303389423076922</v>
      </c>
      <c r="AS39" s="314">
        <f t="array" ref="AS39">INDEX(Demand_previous!$D$4:$AY$138, MATCH('Staging Table'!$A39, Demand_previous!$B$4:$B$138, 0), MATCH(AS$4&amp;AS$5,Demand_previous!$D$2:$AY$2&amp;Demand_previous!$D$3:$AY$3, 0))/1000</f>
        <v>2.7328557692307696</v>
      </c>
      <c r="AT39" s="314">
        <f t="array" ref="AT39">INDEX(Demand_previous!$D$4:$AY$138, MATCH('Staging Table'!$A39, Demand_previous!$B$4:$B$138, 0), MATCH(AT$4&amp;AT$5,Demand_previous!$D$2:$AY$2&amp;Demand_previous!$D$3:$AY$3, 0))/1000</f>
        <v>2.2139951923076913</v>
      </c>
      <c r="AU39" s="314">
        <f t="array" ref="AU39">INDEX(Demand_previous!$D$4:$AY$138, MATCH('Staging Table'!$A39, Demand_previous!$B$4:$B$138, 0), MATCH(AU$4&amp;AU$5,Demand_previous!$D$2:$AY$2&amp;Demand_previous!$D$3:$AY$3, 0))/1000</f>
        <v>1.7104299999999995</v>
      </c>
      <c r="AV39" s="192">
        <f>$F39*(VLOOKUP(AV$4, Rates_previous!$G$6:$Q$29, 10, FALSE)+VLOOKUP(AV$4, Rates_previous!$G$6:$Q$29, 11, FALSE))</f>
        <v>6160.8863346228</v>
      </c>
      <c r="AW39" s="192">
        <f>$F39*(VLOOKUP(AW$4, Rates_previous!$G$6:$Q$29, 10, FALSE)+VLOOKUP(AW$4, Rates_previous!$G$6:$Q$29, 11, FALSE))</f>
        <v>7826.2475707977001</v>
      </c>
      <c r="AX39" s="192">
        <f>$F39*(VLOOKUP(AX$4, Rates_previous!$G$6:$Q$29, 10, FALSE)+VLOOKUP(AX$4, Rates_previous!$G$6:$Q$29, 11, FALSE))</f>
        <v>7731.7350415228011</v>
      </c>
      <c r="AY39" s="192">
        <f>$F39*(VLOOKUP(AY$4, Rates_previous!$G$6:$Q$29, 10, FALSE)+VLOOKUP(AY$4, Rates_previous!$G$6:$Q$29, 11, FALSE))</f>
        <v>6444.8720751228011</v>
      </c>
      <c r="AZ39" s="192">
        <f>$F39*(VLOOKUP(AZ$4, Rates_previous!$G$6:$Q$29, 10, FALSE)+VLOOKUP(AZ$4, Rates_previous!$G$6:$Q$29, 11, FALSE))</f>
        <v>5838.3854962400001</v>
      </c>
      <c r="BA39" s="192">
        <f>$F39*(VLOOKUP(BA$4, Rates_previous!$G$6:$Q$29, 10, FALSE)+VLOOKUP(BA$4, Rates_previous!$G$6:$Q$29, 11, FALSE))</f>
        <v>6494.1394227391002</v>
      </c>
      <c r="BB39" s="192">
        <f>$F39*(VLOOKUP(BB$4, Rates_previous!$G$6:$Q$29, 10, FALSE)+VLOOKUP(BB$4, Rates_previous!$G$6:$Q$29, 11, FALSE))</f>
        <v>5287.5353258640007</v>
      </c>
      <c r="BC39" s="192">
        <f>$F39*(VLOOKUP(BC$4, Rates_previous!$G$6:$Q$29, 10, FALSE)+VLOOKUP(BC$4, Rates_previous!$G$6:$Q$29, 11, FALSE))</f>
        <v>7131.0298457728013</v>
      </c>
      <c r="BD39" s="192">
        <f>$F39*(VLOOKUP(BD$4, Rates_previous!$G$6:$Q$29, 10, FALSE)+VLOOKUP(BD$4, Rates_previous!$G$6:$Q$29, 11, FALSE))</f>
        <v>9098.7090917140013</v>
      </c>
      <c r="BE39" s="192">
        <f>$F39*(VLOOKUP(BE$4, Rates_previous!$G$6:$Q$29, 10, FALSE)+VLOOKUP(BE$4, Rates_previous!$G$6:$Q$29, 11, FALSE))</f>
        <v>7133.6764298228009</v>
      </c>
      <c r="BF39" s="192">
        <f>$F39*(VLOOKUP(BF$4, Rates_previous!$G$6:$Q$29, 10, FALSE)+VLOOKUP(BF$4, Rates_previous!$G$6:$Q$29, 11, FALSE))</f>
        <v>6946.7803616728006</v>
      </c>
      <c r="BG39" s="192">
        <f>$F39*(VLOOKUP(BG$4, Rates_previous!$G$6:$Q$29, 10, FALSE)+VLOOKUP(BG$4, Rates_previous!$G$6:$Q$29, 11, FALSE))</f>
        <v>6236.7309941640005</v>
      </c>
      <c r="BH39" s="314">
        <f>IF($D39=0,IF(C39=0, MAX(BJ39 - (VLOOKUP($A39,TOCA_previous!$A$2:$AI$137,MATCH("RHWM 2020",TOCA_previous!$A$2:$AI$2,0),FALSE)*$F$2*TOCA_previous!C36),0),0), 0)</f>
        <v>0</v>
      </c>
      <c r="BI39" s="204">
        <f>MIN(VLOOKUP($A39,TOCA_previous!$A$2:$AI$137,MATCH("TRL - NLSL - Existing Resource "&amp;$F$1,TOCA_previous!$A$2:$AI$2,0),FALSE)*$F$2,(VLOOKUP($A39,TOCA_previous!$A$2:$AI$137,MATCH("RHWM 2020",TOCA_previous!$A$2:$AI$2,0),FALSE)*$F$2))</f>
        <v>82332.432000000001</v>
      </c>
      <c r="BJ39" s="418">
        <f>SUM(L39:AI39)+(F39*RT1SC!$C$3*$F$2)</f>
        <v>81496.821090238795</v>
      </c>
      <c r="BK39" s="417">
        <f>VLOOKUP($A39,TOCA_previous!$A$2:$AI$137,MATCH("Above RHWM Not Served with LS "&amp;$F$1,TOCA_previous!$A$2:$AI$2,0),FALSE)*$F$2</f>
        <v>0</v>
      </c>
      <c r="BL39" s="418">
        <f t="shared" si="8"/>
        <v>-835.61090976120613</v>
      </c>
      <c r="BM39" s="417">
        <f>(VLOOKUP($A39,TOCA_previous!$A$2:$AI$137,MATCH("RHWM 2020",TOCA_previous!$A$2:$AI$2,0),FALSE)*$F$2) - $BI39</f>
        <v>0</v>
      </c>
      <c r="BN39" s="418">
        <f t="shared" si="9"/>
        <v>0</v>
      </c>
      <c r="BO39" s="417">
        <f t="shared" si="10"/>
        <v>835.61090976120613</v>
      </c>
      <c r="BP39" s="418">
        <f t="shared" si="11"/>
        <v>0</v>
      </c>
      <c r="BQ39" s="417">
        <f t="shared" si="18"/>
        <v>835.61090976120613</v>
      </c>
      <c r="BR39" s="120">
        <f>VLOOKUP($A39,TOCA_current!$A$2:$AI$137,MATCH(BR$4,TOCA_current!$A$2:$AI$2,0),FALSE)</f>
        <v>1.3343000000000001E-3</v>
      </c>
      <c r="BS39" s="120">
        <f>VLOOKUP($A39,TOCA_current!$A$2:$AI$137,MATCH(BS$4,TOCA_current!$A$2:$AI$2,0),FALSE)</f>
        <v>1.3343000000000001E-3</v>
      </c>
      <c r="BT39" s="201">
        <f t="shared" si="12"/>
        <v>0</v>
      </c>
      <c r="BU39" s="120">
        <f>VLOOKUP($A39,TOCA_current!A35:BG170,MATCH(BU$4,TOCA_current!$A$2:$BG$2,0),FALSE)</f>
        <v>0</v>
      </c>
      <c r="BV39" s="120">
        <f t="shared" si="19"/>
        <v>0</v>
      </c>
      <c r="BW39" s="120">
        <f t="shared" si="20"/>
        <v>0</v>
      </c>
      <c r="BX39" s="191">
        <f>VLOOKUP($A39,IRD!$A$4:$G$139, 7, FALSE)</f>
        <v>0</v>
      </c>
      <c r="BY39" s="192">
        <f t="array" ref="BY39">IF($BT39=0, INDEX(LS_current!$D$4:$AY$138, MATCH('Staging Table'!$A39, LS_current!$B$4:$B$138, 0), MATCH(BY$4&amp;BY$5, LS_current!$D$2:$AY$2&amp;LS_current!$D$3:$AY$3, 0)),SUM(VLOOKUP($A39, LS_current!$B$4:$AY$138, LS_current!D$148, FALSE), VLOOKUP($A39, LS_current!$B$4:$AY$138,LS_current!AB$148, FALSE))/2)</f>
        <v>-187.66644996971763</v>
      </c>
      <c r="BZ39" s="192">
        <f t="array" ref="BZ39">IF($BT39=0, INDEX(LS_current!$D$4:$AY$138, MATCH('Staging Table'!$A39, LS_current!$B$4:$B$138, 0), MATCH(BZ$4&amp;BZ$5, LS_current!$D$2:$AY$2&amp;LS_current!$D$3:$AY$3, 0)),SUM(VLOOKUP($A39, LS_current!$B$4:$AY$138, LS_current!E$148, FALSE), VLOOKUP($A39, LS_current!$B$4:$AY$138,LS_current!AC$148, FALSE))/2)</f>
        <v>122.66909534564684</v>
      </c>
      <c r="CA39" s="192">
        <f t="array" ref="CA39">IF($BT39=0, INDEX(LS_current!$D$4:$AY$138, MATCH('Staging Table'!$A39, LS_current!$B$4:$B$138, 0), MATCH(CA$4&amp;CA$5, LS_current!$D$2:$AY$2&amp;LS_current!$D$3:$AY$3, 0)),SUM(VLOOKUP($A39, LS_current!$B$4:$AY$138, LS_current!F$148, FALSE), VLOOKUP($A39, LS_current!$B$4:$AY$138,LS_current!AD$148, FALSE))/2)</f>
        <v>-499.68624107220421</v>
      </c>
      <c r="CB39" s="192">
        <f t="array" ref="CB39">IF($BT39=0, INDEX(LS_current!$D$4:$AY$138, MATCH('Staging Table'!$A39, LS_current!$B$4:$B$138, 0), MATCH(CB$4&amp;CB$5, LS_current!$D$2:$AY$2&amp;LS_current!$D$3:$AY$3, 0)),SUM(VLOOKUP($A39, LS_current!$B$4:$AY$138, LS_current!G$148, FALSE), VLOOKUP($A39, LS_current!$B$4:$AY$138,LS_current!AE$148, FALSE))/2)</f>
        <v>42.895201966559398</v>
      </c>
      <c r="CC39" s="192">
        <f t="array" ref="CC39">IF($BT39=0, INDEX(LS_current!$D$4:$AY$138, MATCH('Staging Table'!$A39, LS_current!$B$4:$B$138, 0), MATCH(CC$4&amp;CC$5, LS_current!$D$2:$AY$2&amp;LS_current!$D$3:$AY$3, 0)),SUM(VLOOKUP($A39, LS_current!$B$4:$AY$138, LS_current!H$148, FALSE), VLOOKUP($A39, LS_current!$B$4:$AY$138,LS_current!AF$148, FALSE))/2)</f>
        <v>915.06760878417663</v>
      </c>
      <c r="CD39" s="192">
        <f t="array" ref="CD39">IF($BT39=0, INDEX(LS_current!$D$4:$AY$138, MATCH('Staging Table'!$A39, LS_current!$B$4:$B$138, 0), MATCH(CD$4&amp;CD$5, LS_current!$D$2:$AY$2&amp;LS_current!$D$3:$AY$3, 0)),SUM(VLOOKUP($A39, LS_current!$B$4:$AY$138, LS_current!I$148, FALSE), VLOOKUP($A39, LS_current!$B$4:$AY$138,LS_current!AG$148, FALSE))/2)</f>
        <v>603.73842685768886</v>
      </c>
      <c r="CE39" s="192">
        <f t="array" ref="CE39">IF($BT39=0, INDEX(LS_current!$D$4:$AY$138, MATCH('Staging Table'!$A39, LS_current!$B$4:$B$138, 0), MATCH(CE$4&amp;CE$5, LS_current!$D$2:$AY$2&amp;LS_current!$D$3:$AY$3, 0)),SUM(VLOOKUP($A39, LS_current!$B$4:$AY$138, LS_current!J$148, FALSE), VLOOKUP($A39, LS_current!$B$4:$AY$138,LS_current!AH$148, FALSE))/2)</f>
        <v>1805.562172662304</v>
      </c>
      <c r="CF39" s="192">
        <f t="array" ref="CF39">IF($BT39=0, INDEX(LS_current!$D$4:$AY$138, MATCH('Staging Table'!$A39, LS_current!$B$4:$B$138, 0), MATCH(CF$4&amp;CF$5, LS_current!$D$2:$AY$2&amp;LS_current!$D$3:$AY$3, 0)),SUM(VLOOKUP($A39, LS_current!$B$4:$AY$138, LS_current!K$148, FALSE), VLOOKUP($A39, LS_current!$B$4:$AY$138,LS_current!AI$148, FALSE))/2)</f>
        <v>1174.3314254392053</v>
      </c>
      <c r="CG39" s="192">
        <f t="array" ref="CG39">IF($BT39=0, INDEX(LS_current!$D$4:$AY$138, MATCH('Staging Table'!$A39, LS_current!$B$4:$B$138, 0), MATCH(CG$4&amp;CG$5, LS_current!$D$2:$AY$2&amp;LS_current!$D$3:$AY$3, 0)),SUM(VLOOKUP($A39, LS_current!$B$4:$AY$138, LS_current!L$148, FALSE), VLOOKUP($A39, LS_current!$B$4:$AY$138,LS_current!AJ$148, FALSE))/2)</f>
        <v>1564.4303706650594</v>
      </c>
      <c r="CH39" s="192">
        <f t="array" ref="CH39">IF($BT39=0, INDEX(LS_current!$D$4:$AY$138, MATCH('Staging Table'!$A39, LS_current!$B$4:$B$138, 0), MATCH(CH$4&amp;CH$5, LS_current!$D$2:$AY$2&amp;LS_current!$D$3:$AY$3, 0)),SUM(VLOOKUP($A39, LS_current!$B$4:$AY$138, LS_current!M$148, FALSE), VLOOKUP($A39, LS_current!$B$4:$AY$138,LS_current!AK$148, FALSE))/2)</f>
        <v>922.32339881266262</v>
      </c>
      <c r="CI39" s="192">
        <f t="array" ref="CI39">IF($BT39=0, INDEX(LS_current!$D$4:$AY$138, MATCH('Staging Table'!$A39, LS_current!$B$4:$B$138, 0), MATCH(CI$4&amp;CI$5, LS_current!$D$2:$AY$2&amp;LS_current!$D$3:$AY$3, 0)),SUM(VLOOKUP($A39, LS_current!$B$4:$AY$138, LS_current!N$148, FALSE), VLOOKUP($A39, LS_current!$B$4:$AY$138,LS_current!AL$148, FALSE))/2)</f>
        <v>365.24988697506569</v>
      </c>
      <c r="CJ39" s="192">
        <f t="array" ref="CJ39">IF($BT39=0, INDEX(LS_current!$D$4:$AY$138, MATCH('Staging Table'!$A39, LS_current!$B$4:$B$138, 0), MATCH(CJ$4&amp;CJ$5, LS_current!$D$2:$AY$2&amp;LS_current!$D$3:$AY$3, 0)),SUM(VLOOKUP($A39, LS_current!$B$4:$AY$138, LS_current!O$148, FALSE), VLOOKUP($A39, LS_current!$B$4:$AY$138,LS_current!AM$148, FALSE))/2)</f>
        <v>436.35346104756263</v>
      </c>
      <c r="CK39" s="192">
        <f t="array" ref="CK39">IF($BT39=0, INDEX(LS_current!$D$4:$AY$138, MATCH('Staging Table'!$A39, LS_current!$B$4:$B$138, 0), MATCH(CK$4&amp;CK$5, LS_current!$D$2:$AY$2&amp;LS_current!$D$3:$AY$3, 0)),SUM(VLOOKUP($A39, LS_current!$B$4:$AY$138, LS_current!P$148, FALSE), VLOOKUP($A39, LS_current!$B$4:$AY$138,LS_current!AN$148, FALSE))/2)</f>
        <v>628.23342013990577</v>
      </c>
      <c r="CL39" s="192">
        <f t="array" ref="CL39">IF($BT39=0, INDEX(LS_current!$D$4:$AY$138, MATCH('Staging Table'!$A39, LS_current!$B$4:$B$138, 0), MATCH(CL$4&amp;CL$5, LS_current!$D$2:$AY$2&amp;LS_current!$D$3:$AY$3, 0)),SUM(VLOOKUP($A39, LS_current!$B$4:$AY$138, LS_current!Q$148, FALSE), VLOOKUP($A39, LS_current!$B$4:$AY$138,LS_current!AO$148, FALSE))/2)</f>
        <v>444.72279818958509</v>
      </c>
      <c r="CM39" s="192">
        <f t="array" ref="CM39">IF($BT39=0, INDEX(LS_current!$D$4:$AY$138, MATCH('Staging Table'!$A39, LS_current!$B$4:$B$138, 0), MATCH(CM$4&amp;CM$5, LS_current!$D$2:$AY$2&amp;LS_current!$D$3:$AY$3, 0)),SUM(VLOOKUP($A39, LS_current!$B$4:$AY$138, LS_current!R$148, FALSE), VLOOKUP($A39, LS_current!$B$4:$AY$138,LS_current!AP$148, FALSE))/2)</f>
        <v>-1281.0944181909922</v>
      </c>
      <c r="CN39" s="192">
        <f t="array" ref="CN39">IF($BT39=0, INDEX(LS_current!$D$4:$AY$138, MATCH('Staging Table'!$A39, LS_current!$B$4:$B$138, 0), MATCH(CN$4&amp;CN$5, LS_current!$D$2:$AY$2&amp;LS_current!$D$3:$AY$3, 0)),SUM(VLOOKUP($A39, LS_current!$B$4:$AY$138, LS_current!S$148, FALSE), VLOOKUP($A39, LS_current!$B$4:$AY$138,LS_current!AQ$148, FALSE))/2)</f>
        <v>-47.986505656346708</v>
      </c>
      <c r="CO39" s="192">
        <f t="array" ref="CO39">IF($BT39=0, INDEX(LS_current!$D$4:$AY$138, MATCH('Staging Table'!$A39, LS_current!$B$4:$B$138, 0), MATCH(CO$4&amp;CO$5, LS_current!$D$2:$AY$2&amp;LS_current!$D$3:$AY$3, 0)),SUM(VLOOKUP($A39, LS_current!$B$4:$AY$138, LS_current!T$148, FALSE), VLOOKUP($A39, LS_current!$B$4:$AY$138,LS_current!AR$148, FALSE))/2)</f>
        <v>-1753.0993857104913</v>
      </c>
      <c r="CP39" s="192">
        <f t="array" ref="CP39">IF($BT39=0, INDEX(LS_current!$D$4:$AY$138, MATCH('Staging Table'!$A39, LS_current!$B$4:$B$138, 0), MATCH(CP$4&amp;CP$5, LS_current!$D$2:$AY$2&amp;LS_current!$D$3:$AY$3, 0)),SUM(VLOOKUP($A39, LS_current!$B$4:$AY$138, LS_current!U$148, FALSE), VLOOKUP($A39, LS_current!$B$4:$AY$138,LS_current!AS$148, FALSE))/2)</f>
        <v>-31.70584008562264</v>
      </c>
      <c r="CQ39" s="192">
        <f t="array" ref="CQ39">IF($BT39=0, INDEX(LS_current!$D$4:$AY$138, MATCH('Staging Table'!$A39, LS_current!$B$4:$B$138, 0), MATCH(CQ$4&amp;CQ$5, LS_current!$D$2:$AY$2&amp;LS_current!$D$3:$AY$3, 0)),SUM(VLOOKUP($A39, LS_current!$B$4:$AY$138, LS_current!V$148, FALSE), VLOOKUP($A39, LS_current!$B$4:$AY$138,LS_current!AT$148, FALSE))/2)</f>
        <v>-787.09824144308004</v>
      </c>
      <c r="CR39" s="192">
        <f t="array" ref="CR39">IF($BT39=0, INDEX(LS_current!$D$4:$AY$138, MATCH('Staging Table'!$A39, LS_current!$B$4:$B$138, 0), MATCH(CR$4&amp;CR$5, LS_current!$D$2:$AY$2&amp;LS_current!$D$3:$AY$3, 0)),SUM(VLOOKUP($A39, LS_current!$B$4:$AY$138, LS_current!W$148, FALSE), VLOOKUP($A39, LS_current!$B$4:$AY$138,LS_current!AU$148, FALSE))/2)</f>
        <v>122.94237082613563</v>
      </c>
      <c r="CS39" s="192">
        <f t="array" ref="CS39">IF($BT39=0, INDEX(LS_current!$D$4:$AY$138, MATCH('Staging Table'!$A39, LS_current!$B$4:$B$138, 0), MATCH(CS$4&amp;CS$5, LS_current!$D$2:$AY$2&amp;LS_current!$D$3:$AY$3, 0)),SUM(VLOOKUP($A39, LS_current!$B$4:$AY$138, LS_current!X$148, FALSE), VLOOKUP($A39, LS_current!$B$4:$AY$138,LS_current!AV$148, FALSE))/2)</f>
        <v>-794.28928877457156</v>
      </c>
      <c r="CT39" s="192">
        <f t="array" ref="CT39">IF($BT39=0, INDEX(LS_current!$D$4:$AY$138, MATCH('Staging Table'!$A39, LS_current!$B$4:$B$138, 0), MATCH(CT$4&amp;CT$5, LS_current!$D$2:$AY$2&amp;LS_current!$D$3:$AY$3, 0)),SUM(VLOOKUP($A39, LS_current!$B$4:$AY$138, LS_current!Y$148, FALSE), VLOOKUP($A39, LS_current!$B$4:$AY$138,LS_current!AW$148, FALSE))/2)</f>
        <v>-57.083920922690595</v>
      </c>
      <c r="CU39" s="192">
        <f t="array" ref="CU39">IF($BT39=0, INDEX(LS_current!$D$4:$AY$138, MATCH('Staging Table'!$A39, LS_current!$B$4:$B$138, 0), MATCH(CU$4&amp;CU$5, LS_current!$D$2:$AY$2&amp;LS_current!$D$3:$AY$3, 0)),SUM(VLOOKUP($A39, LS_current!$B$4:$AY$138, LS_current!Z$148, FALSE), VLOOKUP($A39, LS_current!$B$4:$AY$138,LS_current!AX$148, FALSE))/2)</f>
        <v>-788.65168720132169</v>
      </c>
      <c r="CV39" s="192">
        <f t="array" ref="CV39">IF($BT39=0, INDEX(LS_current!$D$4:$AY$138, MATCH('Staging Table'!$A39, LS_current!$B$4:$B$138, 0), MATCH(CV$4&amp;CV$5, LS_current!$D$2:$AY$2&amp;LS_current!$D$3:$AY$3, 0)),SUM(VLOOKUP($A39, LS_current!$B$4:$AY$138, LS_current!AA$148, FALSE), VLOOKUP($A39, LS_current!$B$4:$AY$138,LS_current!AY$148, FALSE))/2)</f>
        <v>-161.05223892183585</v>
      </c>
      <c r="CW39" s="194">
        <f t="array" ref="CW39">INDEX(Demand_current!$D$4:$AY$138, MATCH($A39, Demand_current!$B$4:$B$138, 0), MATCH(CW$4&amp;CW$5,Demand_current!$D$2:$AY$2&amp;Demand_current!$D$3:$AY$3, 0))/1000</f>
        <v>0.74082692307692355</v>
      </c>
      <c r="CX39" s="194">
        <f t="array" ref="CX39">INDEX(Demand_current!$D$4:$AY$138, MATCH($A39, Demand_current!$B$4:$B$138, 0), MATCH(CX$4&amp;CX$5,Demand_current!$D$2:$AY$2&amp;Demand_current!$D$3:$AY$3, 0))/1000</f>
        <v>0.61851500000000126</v>
      </c>
      <c r="CY39" s="194">
        <f t="array" ref="CY39">INDEX(Demand_current!$D$4:$AY$138, MATCH($A39, Demand_current!$B$4:$B$138, 0), MATCH(CY$4&amp;CY$5,Demand_current!$D$2:$AY$2&amp;Demand_current!$D$3:$AY$3, 0))/1000</f>
        <v>2.4799014423076944</v>
      </c>
      <c r="CZ39" s="194">
        <f t="array" ref="CZ39">INDEX(Demand_current!$D$4:$AY$138, MATCH($A39, Demand_current!$B$4:$B$138, 0), MATCH(CZ$4&amp;CZ$5,Demand_current!$D$2:$AY$2&amp;Demand_current!$D$3:$AY$3, 0))/1000</f>
        <v>1.2320875000000027</v>
      </c>
      <c r="DA39" s="194">
        <f t="array" ref="DA39">INDEX(Demand_current!$D$4:$AY$138, MATCH($A39, Demand_current!$B$4:$B$138, 0), MATCH(DA$4&amp;DA$5,Demand_current!$D$2:$AY$2&amp;Demand_current!$D$3:$AY$3, 0))/1000</f>
        <v>0.94982552083333438</v>
      </c>
      <c r="DB39" s="194">
        <f t="array" ref="DB39">INDEX(Demand_current!$D$4:$AY$138, MATCH($A39, Demand_current!$B$4:$B$138, 0), MATCH(DB$4&amp;DB$5,Demand_current!$D$2:$AY$2&amp;Demand_current!$D$3:$AY$3, 0))/1000</f>
        <v>0.790407407407407</v>
      </c>
      <c r="DC39" s="194">
        <f t="array" ref="DC39">INDEX(Demand_current!$D$4:$AY$138, MATCH($A39, Demand_current!$B$4:$B$138, 0), MATCH(DC$4&amp;DC$5,Demand_current!$D$2:$AY$2&amp;Demand_current!$D$3:$AY$3, 0))/1000</f>
        <v>1.6302259615384629</v>
      </c>
      <c r="DD39" s="194">
        <f t="array" ref="DD39">INDEX(Demand_current!$D$4:$AY$138, MATCH($A39, Demand_current!$B$4:$B$138, 0), MATCH(DD$4&amp;DD$5,Demand_current!$D$2:$AY$2&amp;Demand_current!$D$3:$AY$3, 0))/1000</f>
        <v>0.96192250000000024</v>
      </c>
      <c r="DE39" s="194">
        <f t="array" ref="DE39">INDEX(Demand_current!$D$4:$AY$138, MATCH($A39, Demand_current!$B$4:$B$138, 0), MATCH(DE$4&amp;DE$5,Demand_current!$D$2:$AY$2&amp;Demand_current!$D$3:$AY$3, 0))/1000</f>
        <v>2.4303389423076922</v>
      </c>
      <c r="DF39" s="194">
        <f t="array" ref="DF39">INDEX(Demand_current!$D$4:$AY$138, MATCH($A39, Demand_current!$B$4:$B$138, 0), MATCH(DF$4&amp;DF$5,Demand_current!$D$2:$AY$2&amp;Demand_current!$D$3:$AY$3, 0))/1000</f>
        <v>2.358810000000001</v>
      </c>
      <c r="DG39" s="194">
        <f t="array" ref="DG39">INDEX(Demand_current!$D$4:$AY$138, MATCH($A39, Demand_current!$B$4:$B$138, 0), MATCH(DG$4&amp;DG$5,Demand_current!$D$2:$AY$2&amp;Demand_current!$D$3:$AY$3, 0))/1000</f>
        <v>2.5501805555555555</v>
      </c>
      <c r="DH39" s="194">
        <f t="array" ref="DH39">INDEX(Demand_current!$D$4:$AY$138, MATCH($A39, Demand_current!$B$4:$B$138, 0), MATCH(DH$4&amp;DH$5,Demand_current!$D$2:$AY$2&amp;Demand_current!$D$3:$AY$3, 0))/1000</f>
        <v>1.7104299999999995</v>
      </c>
      <c r="DI39" s="192">
        <f>$BS39*(VLOOKUP(DI$4, Rates_current!$G$6:$Q$29, 10, FALSE)+VLOOKUP(DI$4, Rates_current!$G$6:$Q$29, 11, FALSE))</f>
        <v>6076.3013546240709</v>
      </c>
      <c r="DJ39" s="192">
        <f>$BS39*(VLOOKUP(DJ$4, Rates_current!$G$6:$Q$29, 10, FALSE)+VLOOKUP(DJ$4, Rates_current!$G$6:$Q$29, 11, FALSE))</f>
        <v>7692.8180391056449</v>
      </c>
      <c r="DK39" s="192">
        <f>$BS39*(VLOOKUP(DK$4, Rates_current!$G$6:$Q$29, 10, FALSE)+VLOOKUP(DK$4, Rates_current!$G$6:$Q$29, 11, FALSE))</f>
        <v>7529.731964358135</v>
      </c>
      <c r="DL39" s="192">
        <f>$BS39*(VLOOKUP(DL$4, Rates_current!$G$6:$Q$29, 10, FALSE)+VLOOKUP(DL$4, Rates_current!$G$6:$Q$29, 11, FALSE))</f>
        <v>6219.2384018984903</v>
      </c>
      <c r="DM39" s="192">
        <f>$BS39*(VLOOKUP(DM$4, Rates_current!$G$6:$Q$29, 10, FALSE)+VLOOKUP(DM$4, Rates_current!$G$6:$Q$29, 11, FALSE))</f>
        <v>5390.3502305222783</v>
      </c>
      <c r="DN39" s="192">
        <f>$BS39*(VLOOKUP(DN$4, Rates_current!$G$6:$Q$29, 10, FALSE)+VLOOKUP(DN$4, Rates_current!$G$6:$Q$29, 11, FALSE))</f>
        <v>6434.989651977372</v>
      </c>
      <c r="DO39" s="192">
        <f>$BS39*(VLOOKUP(DO$4, Rates_current!$G$6:$Q$29, 10, FALSE)+VLOOKUP(DO$4, Rates_current!$G$6:$Q$29, 11, FALSE))</f>
        <v>4995.9127816705095</v>
      </c>
      <c r="DP39" s="192">
        <f>$BS39*(VLOOKUP(DP$4, Rates_current!$G$6:$Q$29, 10, FALSE)+VLOOKUP(DP$4, Rates_current!$G$6:$Q$29, 11, FALSE))</f>
        <v>6921.873923847339</v>
      </c>
      <c r="DQ39" s="192">
        <f>$BS39*(VLOOKUP(DQ$4, Rates_current!$G$6:$Q$29, 10, FALSE)+VLOOKUP(DQ$4, Rates_current!$G$6:$Q$29, 11, FALSE))</f>
        <v>7396.1672257961136</v>
      </c>
      <c r="DR39" s="192">
        <f>$BS39*(VLOOKUP(DR$4, Rates_current!$G$6:$Q$29, 10, FALSE)+VLOOKUP(DR$4, Rates_current!$G$6:$Q$29, 11, FALSE))</f>
        <v>7022.3258706169454</v>
      </c>
      <c r="DS39" s="192">
        <f>$BS39*(VLOOKUP(DS$4, Rates_current!$G$6:$Q$29, 10, FALSE)+VLOOKUP(DS$4, Rates_current!$G$6:$Q$29, 11, FALSE))</f>
        <v>6786.5362096972622</v>
      </c>
      <c r="DT39" s="192">
        <f>$BS39*(VLOOKUP(DT$4, Rates_current!$G$6:$Q$29, 10, FALSE)+VLOOKUP(DT$4, Rates_current!$G$6:$Q$29, 11, FALSE))</f>
        <v>6271.4669261231575</v>
      </c>
      <c r="DU39" s="418">
        <f>IF(D39=0,IF(C39=0,MAX(0,DW39 - (VLOOKUP($A39,TOCA_current!$A$2:$AI$137,MATCH("RHWM 2022",TOCA_current!$A$2:$AI$2,0),FALSE)*$BS$2)), 0),0)</f>
        <v>2761.9420277746976</v>
      </c>
      <c r="DV39" s="419">
        <f>MIN(VLOOKUP($A39,TOCA_current!$A$2:$AI$137,MATCH("TRL - NLSL - Existing Resource "&amp;$BS$1,TOCA_current!$A$2:$AI$2,0),FALSE)*$BS$2, VLOOKUP($A39,TOCA_current!$A$2:$AI$137,MATCH("RHWM 2022",TOCA_current!$A$2:$AI$2,0),FALSE)*$BS$2)</f>
        <v>78734.87999999999</v>
      </c>
      <c r="DW39" s="419">
        <f>SUM(BY39:CV39)+(BS39*RT1SC!$C$4*$BS$2)</f>
        <v>81496.822027774688</v>
      </c>
      <c r="DX39" s="419">
        <f>VLOOKUP($A39,TOCA_current!$A$2:$AI$137,MATCH("Above RHWM Not Served with LS "&amp;$BS$1,TOCA_current!$A$2:$AI$2,0),FALSE)*$BS$2</f>
        <v>0</v>
      </c>
      <c r="DY39" s="419">
        <f t="shared" si="13"/>
        <v>2761.9420277746976</v>
      </c>
      <c r="DZ39" s="419">
        <f>(VLOOKUP($A39,TOCA_current!$A$2:$AI$137,MATCH("RHWM 2022",TOCA_current!$A$2:$AI$2,0),FALSE)*$BS$2) - $DV39</f>
        <v>0</v>
      </c>
      <c r="EA39" s="419">
        <f t="shared" si="14"/>
        <v>0</v>
      </c>
      <c r="EB39" s="419">
        <f t="shared" si="15"/>
        <v>0</v>
      </c>
      <c r="EC39" s="419">
        <f t="shared" si="16"/>
        <v>0</v>
      </c>
      <c r="ED39" s="419">
        <f t="shared" si="17"/>
        <v>0</v>
      </c>
    </row>
    <row r="40" spans="1:134">
      <c r="A40" s="135">
        <v>10094</v>
      </c>
      <c r="B40" s="136" t="s">
        <v>41</v>
      </c>
      <c r="C40" s="244">
        <f>VLOOKUP(A40, TOCA_current!$A$3:$D$137, 4, FALSE)</f>
        <v>0</v>
      </c>
      <c r="D40" s="203">
        <v>0</v>
      </c>
      <c r="E40" s="119">
        <f>VLOOKUP($A40,TOCA_previous!$A$2:$AI$137,MATCH(E$4,TOCA_previous!$A$2:$AI$2,0),FALSE)</f>
        <v>4.3009999999999999E-4</v>
      </c>
      <c r="F40" s="120">
        <f>VLOOKUP($A40,TOCA_previous!$A$2:$AI$137,MATCH(F$4,TOCA_previous!$A$2:$AI$2,0),FALSE)</f>
        <v>4.3009999999999999E-4</v>
      </c>
      <c r="G40" s="120">
        <f t="shared" si="5"/>
        <v>0</v>
      </c>
      <c r="H40" s="120">
        <f>VLOOKUP($A40,TOCA_previous!$A$2:$AI$137,MATCH(H$4,TOCA_previous!$A$2:$AI$2,0),FALSE)</f>
        <v>0</v>
      </c>
      <c r="I40" s="120">
        <f t="shared" si="6"/>
        <v>0</v>
      </c>
      <c r="J40" s="120">
        <f t="shared" si="7"/>
        <v>0</v>
      </c>
      <c r="K40" s="191">
        <f>VLOOKUP(A40, IRD!$A$5:$C$139, 3, FALSE)</f>
        <v>0</v>
      </c>
      <c r="L40" s="192">
        <f t="array" ref="L40">IF($G40=0, INDEX(LS_previous!$D$4:$AY$138, MATCH('Staging Table'!$A40, LS_previous!$B$4:$B$138, 0), MATCH(L$4&amp;L$5, LS_previous!$D$2:$AY$2&amp;LS_previous!$D$3:$AY$3, 0)),SUM(VLOOKUP($A40, LS_previous!$B$4:$AY$138, LS_previous!D$149, FALSE), VLOOKUP('Staging Table'!$A40, LS_previous!$B$4:$AY$138,LS_previous!AB$149, FALSE))/2)</f>
        <v>55.010976621200143</v>
      </c>
      <c r="M40" s="192">
        <f t="array" ref="M40">IF($G40=0, INDEX(LS_previous!$D$4:$AY$138, MATCH('Staging Table'!$A40, LS_previous!$B$4:$B$138, 0), MATCH(M$4&amp;M$5, LS_previous!$D$2:$AY$2&amp;LS_previous!$D$3:$AY$3, 0)),SUM(VLOOKUP($A40, LS_previous!$B$4:$AY$138, LS_previous!E$149, FALSE), VLOOKUP('Staging Table'!$A40, LS_previous!$B$4:$AY$138,LS_previous!AC$149, FALSE))/2)</f>
        <v>93.097897379200049</v>
      </c>
      <c r="N40" s="192">
        <f t="array" ref="N40">IF($G40=0, INDEX(LS_previous!$D$4:$AY$138, MATCH('Staging Table'!$A40, LS_previous!$B$4:$B$138, 0), MATCH(N$4&amp;N$5, LS_previous!$D$2:$AY$2&amp;LS_previous!$D$3:$AY$3, 0)),SUM(VLOOKUP($A40, LS_previous!$B$4:$AY$138, LS_previous!F$149, FALSE), VLOOKUP('Staging Table'!$A40, LS_previous!$B$4:$AY$138,LS_previous!AD$149, FALSE))/2)</f>
        <v>-164.54777379279994</v>
      </c>
      <c r="O40" s="192">
        <f t="array" ref="O40">IF($G40=0, INDEX(LS_previous!$D$4:$AY$138, MATCH('Staging Table'!$A40, LS_previous!$B$4:$B$138, 0), MATCH(O$4&amp;O$5, LS_previous!$D$2:$AY$2&amp;LS_previous!$D$3:$AY$3, 0)),SUM(VLOOKUP($A40, LS_previous!$B$4:$AY$138, LS_previous!G$149, FALSE), VLOOKUP('Staging Table'!$A40, LS_previous!$B$4:$AY$138,LS_previous!AE$149, FALSE))/2)</f>
        <v>-4.4700623011000289</v>
      </c>
      <c r="P40" s="192">
        <f t="array" ref="P40">IF($G40=0, INDEX(LS_previous!$D$4:$AY$138, MATCH('Staging Table'!$A40, LS_previous!$B$4:$B$138, 0), MATCH(P$4&amp;P$5, LS_previous!$D$2:$AY$2&amp;LS_previous!$D$3:$AY$3, 0)),SUM(VLOOKUP($A40, LS_previous!$B$4:$AY$138, LS_previous!H$149, FALSE), VLOOKUP('Staging Table'!$A40, LS_previous!$B$4:$AY$138,LS_previous!AF$149, FALSE))/2)</f>
        <v>116.80178537279994</v>
      </c>
      <c r="Q40" s="192">
        <f t="array" ref="Q40">IF($G40=0, INDEX(LS_previous!$D$4:$AY$138, MATCH('Staging Table'!$A40, LS_previous!$B$4:$B$138, 0), MATCH(Q$4&amp;Q$5, LS_previous!$D$2:$AY$2&amp;LS_previous!$D$3:$AY$3, 0)),SUM(VLOOKUP($A40, LS_previous!$B$4:$AY$138, LS_previous!I$149, FALSE), VLOOKUP('Staging Table'!$A40, LS_previous!$B$4:$AY$138,LS_previous!AG$149, FALSE))/2)</f>
        <v>157.17067032759985</v>
      </c>
      <c r="R40" s="192">
        <f t="array" ref="R40">IF($G40=0, INDEX(LS_previous!$D$4:$AY$138, MATCH('Staging Table'!$A40, LS_previous!$B$4:$B$138, 0), MATCH(R$4&amp;R$5, LS_previous!$D$2:$AY$2&amp;LS_previous!$D$3:$AY$3, 0)),SUM(VLOOKUP($A40, LS_previous!$B$4:$AY$138, LS_previous!J$149, FALSE), VLOOKUP('Staging Table'!$A40, LS_previous!$B$4:$AY$138,LS_previous!AH$149, FALSE))/2)</f>
        <v>368.99975297280002</v>
      </c>
      <c r="S40" s="192">
        <f t="array" ref="S40">IF($G40=0, INDEX(LS_previous!$D$4:$AY$138, MATCH('Staging Table'!$A40, LS_previous!$B$4:$B$138, 0), MATCH(S$4&amp;S$5, LS_previous!$D$2:$AY$2&amp;LS_previous!$D$3:$AY$3, 0)),SUM(VLOOKUP($A40, LS_previous!$B$4:$AY$138, LS_previous!K$149, FALSE), VLOOKUP('Staging Table'!$A40, LS_previous!$B$4:$AY$138,LS_previous!AI$149, FALSE))/2)</f>
        <v>335.00278752759993</v>
      </c>
      <c r="T40" s="192">
        <f t="array" ref="T40">IF($G40=0, INDEX(LS_previous!$D$4:$AY$138, MATCH('Staging Table'!$A40, LS_previous!$B$4:$B$138, 0), MATCH(T$4&amp;T$5, LS_previous!$D$2:$AY$2&amp;LS_previous!$D$3:$AY$3, 0)),SUM(VLOOKUP($A40, LS_previous!$B$4:$AY$138, LS_previous!L$149, FALSE), VLOOKUP('Staging Table'!$A40, LS_previous!$B$4:$AY$138,LS_previous!AJ$149, FALSE))/2)</f>
        <v>254.53817696760029</v>
      </c>
      <c r="U40" s="192">
        <f t="array" ref="U40">IF($G40=0, INDEX(LS_previous!$D$4:$AY$138, MATCH('Staging Table'!$A40, LS_previous!$B$4:$B$138, 0), MATCH(U$4&amp;U$5, LS_previous!$D$2:$AY$2&amp;LS_previous!$D$3:$AY$3, 0)),SUM(VLOOKUP($A40, LS_previous!$B$4:$AY$138, LS_previous!M$149, FALSE), VLOOKUP('Staging Table'!$A40, LS_previous!$B$4:$AY$138,LS_previous!AK$149, FALSE))/2)</f>
        <v>206.80603735240004</v>
      </c>
      <c r="V40" s="192">
        <f t="array" ref="V40">IF($G40=0, INDEX(LS_previous!$D$4:$AY$138, MATCH('Staging Table'!$A40, LS_previous!$B$4:$B$138, 0), MATCH(V$4&amp;V$5, LS_previous!$D$2:$AY$2&amp;LS_previous!$D$3:$AY$3, 0)),SUM(VLOOKUP($A40, LS_previous!$B$4:$AY$138, LS_previous!N$149, FALSE), VLOOKUP('Staging Table'!$A40, LS_previous!$B$4:$AY$138,LS_previous!AL$149, FALSE))/2)</f>
        <v>156.79019973840036</v>
      </c>
      <c r="W40" s="192">
        <f t="array" ref="W40">IF($G40=0, INDEX(LS_previous!$D$4:$AY$138, MATCH('Staging Table'!$A40, LS_previous!$B$4:$B$138, 0), MATCH(W$4&amp;W$5, LS_previous!$D$2:$AY$2&amp;LS_previous!$D$3:$AY$3, 0)),SUM(VLOOKUP($A40, LS_previous!$B$4:$AY$138, LS_previous!O$149, FALSE), VLOOKUP('Staging Table'!$A40, LS_previous!$B$4:$AY$138,LS_previous!AM$149, FALSE))/2)</f>
        <v>151.8194397579</v>
      </c>
      <c r="X40" s="192">
        <f t="array" ref="X40">IF($G40=0, INDEX(LS_previous!$D$4:$AY$138, MATCH('Staging Table'!$A40, LS_previous!$B$4:$B$138, 0), MATCH(X$4&amp;X$5, LS_previous!$D$2:$AY$2&amp;LS_previous!$D$3:$AY$3, 0)),SUM(VLOOKUP($A40, LS_previous!$B$4:$AY$138, LS_previous!P$149, FALSE), VLOOKUP('Staging Table'!$A40, LS_previous!$B$4:$AY$138,LS_previous!AN$149, FALSE))/2)</f>
        <v>281.2392016056001</v>
      </c>
      <c r="Y40" s="192">
        <f t="array" ref="Y40">IF($G40=0, INDEX(LS_previous!$D$4:$AY$138, MATCH('Staging Table'!$A40, LS_previous!$B$4:$B$138, 0), MATCH(Y$4&amp;Y$5, LS_previous!$D$2:$AY$2&amp;LS_previous!$D$3:$AY$3, 0)),SUM(VLOOKUP($A40, LS_previous!$B$4:$AY$138, LS_previous!Q$149, FALSE), VLOOKUP('Staging Table'!$A40, LS_previous!$B$4:$AY$138,LS_previous!AO$149, FALSE))/2)</f>
        <v>194.61077414639999</v>
      </c>
      <c r="Z40" s="192">
        <f t="array" ref="Z40">IF($G40=0, INDEX(LS_previous!$D$4:$AY$138, MATCH('Staging Table'!$A40, LS_previous!$B$4:$B$138, 0), MATCH(Z$4&amp;Z$5, LS_previous!$D$2:$AY$2&amp;LS_previous!$D$3:$AY$3, 0)),SUM(VLOOKUP($A40, LS_previous!$B$4:$AY$138, LS_previous!R$149, FALSE), VLOOKUP('Staging Table'!$A40, LS_previous!$B$4:$AY$138,LS_previous!AP$149, FALSE))/2)</f>
        <v>-295.37926171000004</v>
      </c>
      <c r="AA40" s="192">
        <f t="array" ref="AA40">IF($G40=0, INDEX(LS_previous!$D$4:$AY$138, MATCH('Staging Table'!$A40, LS_previous!$B$4:$B$138, 0), MATCH(AA$4&amp;AA$5, LS_previous!$D$2:$AY$2&amp;LS_previous!$D$3:$AY$3, 0)),SUM(VLOOKUP($A40, LS_previous!$B$4:$AY$138, LS_previous!S$149, FALSE), VLOOKUP('Staging Table'!$A40, LS_previous!$B$4:$AY$138,LS_previous!AQ$149, FALSE))/2)</f>
        <v>-37.836187339599974</v>
      </c>
      <c r="AB40" s="192">
        <f t="array" ref="AB40">IF($G40=0, INDEX(LS_previous!$D$4:$AY$138, MATCH('Staging Table'!$A40, LS_previous!$B$4:$B$138, 0), MATCH(AB$4&amp;AB$5, LS_previous!$D$2:$AY$2&amp;LS_previous!$D$3:$AY$3, 0)),SUM(VLOOKUP($A40, LS_previous!$B$4:$AY$138, LS_previous!T$149, FALSE), VLOOKUP('Staging Table'!$A40, LS_previous!$B$4:$AY$138,LS_previous!AR$149, FALSE))/2)</f>
        <v>-778.89210574439994</v>
      </c>
      <c r="AC40" s="192">
        <f t="array" ref="AC40">IF($G40=0, INDEX(LS_previous!$D$4:$AY$138, MATCH('Staging Table'!$A40, LS_previous!$B$4:$B$138, 0), MATCH(AC$4&amp;AC$5, LS_previous!$D$2:$AY$2&amp;LS_previous!$D$3:$AY$3, 0)),SUM(VLOOKUP($A40, LS_previous!$B$4:$AY$138, LS_previous!U$149, FALSE), VLOOKUP('Staging Table'!$A40, LS_previous!$B$4:$AY$138,LS_previous!AS$149, FALSE))/2)</f>
        <v>-392.09563445359993</v>
      </c>
      <c r="AD40" s="192">
        <f t="array" ref="AD40">IF($G40=0, INDEX(LS_previous!$D$4:$AY$138, MATCH('Staging Table'!$A40, LS_previous!$B$4:$B$138, 0), MATCH(AD$4&amp;AD$5, LS_previous!$D$2:$AY$2&amp;LS_previous!$D$3:$AY$3, 0)),SUM(VLOOKUP($A40, LS_previous!$B$4:$AY$138, LS_previous!V$149, FALSE), VLOOKUP('Staging Table'!$A40, LS_previous!$B$4:$AY$138,LS_previous!AT$149, FALSE))/2)</f>
        <v>-372.67272624439988</v>
      </c>
      <c r="AE40" s="192">
        <f t="array" ref="AE40">IF($G40=0, INDEX(LS_previous!$D$4:$AY$138, MATCH('Staging Table'!$A40, LS_previous!$B$4:$B$138, 0), MATCH(AE$4&amp;AE$5, LS_previous!$D$2:$AY$2&amp;LS_previous!$D$3:$AY$3, 0)),SUM(VLOOKUP($A40, LS_previous!$B$4:$AY$138, LS_previous!W$149, FALSE), VLOOKUP('Staging Table'!$A40, LS_previous!$B$4:$AY$138,LS_previous!AU$149, FALSE))/2)</f>
        <v>11.595173844800001</v>
      </c>
      <c r="AF40" s="192">
        <f t="array" ref="AF40">IF($G40=0, INDEX(LS_previous!$D$4:$AY$138, MATCH('Staging Table'!$A40, LS_previous!$B$4:$B$138, 0), MATCH(AF$4&amp;AF$5, LS_previous!$D$2:$AY$2&amp;LS_previous!$D$3:$AY$3, 0)),SUM(VLOOKUP($A40, LS_previous!$B$4:$AY$138, LS_previous!X$149, FALSE), VLOOKUP('Staging Table'!$A40, LS_previous!$B$4:$AY$138,LS_previous!AV$149, FALSE))/2)</f>
        <v>-251.16675619440002</v>
      </c>
      <c r="AG40" s="192">
        <f t="array" ref="AG40">IF($G40=0, INDEX(LS_previous!$D$4:$AY$138, MATCH('Staging Table'!$A40, LS_previous!$B$4:$B$138, 0), MATCH(AG$4&amp;AG$5, LS_previous!$D$2:$AY$2&amp;LS_previous!$D$3:$AY$3, 0)),SUM(VLOOKUP($A40, LS_previous!$B$4:$AY$138, LS_previous!Y$149, FALSE), VLOOKUP('Staging Table'!$A40, LS_previous!$B$4:$AY$138,LS_previous!AW$149, FALSE))/2)</f>
        <v>8.1525844800012237E-2</v>
      </c>
      <c r="AH40" s="192">
        <f t="array" ref="AH40">IF($G40=0, INDEX(LS_previous!$D$4:$AY$138, MATCH('Staging Table'!$A40, LS_previous!$B$4:$B$138, 0), MATCH(AH$4&amp;AH$5, LS_previous!$D$2:$AY$2&amp;LS_previous!$D$3:$AY$3, 0)),SUM(VLOOKUP($A40, LS_previous!$B$4:$AY$138, LS_previous!Z$149, FALSE), VLOOKUP('Staging Table'!$A40, LS_previous!$B$4:$AY$138,LS_previous!AX$149, FALSE))/2)</f>
        <v>-88.782146560000001</v>
      </c>
      <c r="AI40" s="192">
        <f t="array" ref="AI40">IF($G40=0, INDEX(LS_previous!$D$4:$AY$138, MATCH('Staging Table'!$A40, LS_previous!$B$4:$B$138, 0), MATCH(AI$4&amp;AI$5, LS_previous!$D$2:$AY$2&amp;LS_previous!$D$3:$AY$3, 0)),SUM(VLOOKUP($A40, LS_previous!$B$4:$AY$138, LS_previous!AA$149, FALSE), VLOOKUP('Staging Table'!$A40, LS_previous!$B$4:$AY$138,LS_previous!AY$149, FALSE))/2)</f>
        <v>20.939154212000062</v>
      </c>
      <c r="AJ40" s="314">
        <f t="array" ref="AJ40">INDEX(Demand_previous!$D$4:$AY$138, MATCH('Staging Table'!$A40, Demand_previous!$B$4:$B$138, 0), MATCH(AJ$4&amp;AJ$5,Demand_previous!$D$2:$AY$2&amp;Demand_previous!$D$3:$AY$3, 0))/1000</f>
        <v>0.58319907407407434</v>
      </c>
      <c r="AK40" s="314">
        <f t="array" ref="AK40">INDEX(Demand_previous!$D$4:$AY$138, MATCH('Staging Table'!$A40, Demand_previous!$B$4:$B$138, 0), MATCH(AK$4&amp;AK$5,Demand_previous!$D$2:$AY$2&amp;Demand_previous!$D$3:$AY$3, 0))/1000</f>
        <v>0.24878000000000033</v>
      </c>
      <c r="AL40" s="314">
        <f t="array" ref="AL40">INDEX(Demand_previous!$D$4:$AY$138, MATCH('Staging Table'!$A40, Demand_previous!$B$4:$B$138, 0), MATCH(AL$4&amp;AL$5,Demand_previous!$D$2:$AY$2&amp;Demand_previous!$D$3:$AY$3, 0))/1000</f>
        <v>0.31225499999999984</v>
      </c>
      <c r="AM40" s="314">
        <f t="array" ref="AM40">INDEX(Demand_previous!$D$4:$AY$138, MATCH('Staging Table'!$A40, Demand_previous!$B$4:$B$138, 0), MATCH(AM$4&amp;AM$5,Demand_previous!$D$2:$AY$2&amp;Demand_previous!$D$3:$AY$3, 0))/1000</f>
        <v>0.63208894230769186</v>
      </c>
      <c r="AN40" s="314">
        <f t="array" ref="AN40">INDEX(Demand_previous!$D$4:$AY$138, MATCH('Staging Table'!$A40, Demand_previous!$B$4:$B$138, 0), MATCH(AN$4&amp;AN$5,Demand_previous!$D$2:$AY$2&amp;Demand_previous!$D$3:$AY$3, 0))/1000</f>
        <v>0.6088224999999996</v>
      </c>
      <c r="AO40" s="314">
        <f t="array" ref="AO40">INDEX(Demand_previous!$D$4:$AY$138, MATCH('Staging Table'!$A40, Demand_previous!$B$4:$B$138, 0), MATCH(AO$4&amp;AO$5,Demand_previous!$D$2:$AY$2&amp;Demand_previous!$D$3:$AY$3, 0))/1000</f>
        <v>0.47965625000000001</v>
      </c>
      <c r="AP40" s="314">
        <f t="array" ref="AP40">INDEX(Demand_previous!$D$4:$AY$138, MATCH('Staging Table'!$A40, Demand_previous!$B$4:$B$138, 0), MATCH(AP$4&amp;AP$5,Demand_previous!$D$2:$AY$2&amp;Demand_previous!$D$3:$AY$3, 0))/1000</f>
        <v>0.56584134615384629</v>
      </c>
      <c r="AQ40" s="314">
        <f t="array" ref="AQ40">INDEX(Demand_previous!$D$4:$AY$138, MATCH('Staging Table'!$A40, Demand_previous!$B$4:$B$138, 0), MATCH(AQ$4&amp;AQ$5,Demand_previous!$D$2:$AY$2&amp;Demand_previous!$D$3:$AY$3, 0))/1000</f>
        <v>0.37988750000000066</v>
      </c>
      <c r="AR40" s="314">
        <f t="array" ref="AR40">INDEX(Demand_previous!$D$4:$AY$138, MATCH('Staging Table'!$A40, Demand_previous!$B$4:$B$138, 0), MATCH(AR$4&amp;AR$5,Demand_previous!$D$2:$AY$2&amp;Demand_previous!$D$3:$AY$3, 0))/1000</f>
        <v>0.46841826923076968</v>
      </c>
      <c r="AS40" s="314">
        <f t="array" ref="AS40">INDEX(Demand_previous!$D$4:$AY$138, MATCH('Staging Table'!$A40, Demand_previous!$B$4:$B$138, 0), MATCH(AS$4&amp;AS$5,Demand_previous!$D$2:$AY$2&amp;Demand_previous!$D$3:$AY$3, 0))/1000</f>
        <v>0.61931249999999938</v>
      </c>
      <c r="AT40" s="314">
        <f t="array" ref="AT40">INDEX(Demand_previous!$D$4:$AY$138, MATCH('Staging Table'!$A40, Demand_previous!$B$4:$B$138, 0), MATCH(AT$4&amp;AT$5,Demand_previous!$D$2:$AY$2&amp;Demand_previous!$D$3:$AY$3, 0))/1000</f>
        <v>0.42009615384615384</v>
      </c>
      <c r="AU40" s="314">
        <f t="array" ref="AU40">INDEX(Demand_previous!$D$4:$AY$138, MATCH('Staging Table'!$A40, Demand_previous!$B$4:$B$138, 0), MATCH(AU$4&amp;AU$5,Demand_previous!$D$2:$AY$2&amp;Demand_previous!$D$3:$AY$3, 0))/1000</f>
        <v>0.45531749999999993</v>
      </c>
      <c r="AV40" s="192">
        <f>$F40*(VLOOKUP(AV$4, Rates_previous!$G$6:$Q$29, 10, FALSE)+VLOOKUP(AV$4, Rates_previous!$G$6:$Q$29, 11, FALSE))</f>
        <v>1985.9081259995999</v>
      </c>
      <c r="AW40" s="192">
        <f>$F40*(VLOOKUP(AW$4, Rates_previous!$G$6:$Q$29, 10, FALSE)+VLOOKUP(AW$4, Rates_previous!$G$6:$Q$29, 11, FALSE))</f>
        <v>2522.7228360938998</v>
      </c>
      <c r="AX40" s="192">
        <f>$F40*(VLOOKUP(AX$4, Rates_previous!$G$6:$Q$29, 10, FALSE)+VLOOKUP(AX$4, Rates_previous!$G$6:$Q$29, 11, FALSE))</f>
        <v>2492.2575442996003</v>
      </c>
      <c r="AY40" s="192">
        <f>$F40*(VLOOKUP(AY$4, Rates_previous!$G$6:$Q$29, 10, FALSE)+VLOOKUP(AY$4, Rates_previous!$G$6:$Q$29, 11, FALSE))</f>
        <v>2077.4484594996002</v>
      </c>
      <c r="AZ40" s="192">
        <f>$F40*(VLOOKUP(AZ$4, Rates_previous!$G$6:$Q$29, 10, FALSE)+VLOOKUP(AZ$4, Rates_previous!$G$6:$Q$29, 11, FALSE))</f>
        <v>1881.9527856799998</v>
      </c>
      <c r="BA40" s="192">
        <f>$F40*(VLOOKUP(BA$4, Rates_previous!$G$6:$Q$29, 10, FALSE)+VLOOKUP(BA$4, Rates_previous!$G$6:$Q$29, 11, FALSE))</f>
        <v>2093.3293605036997</v>
      </c>
      <c r="BB40" s="192">
        <f>$F40*(VLOOKUP(BB$4, Rates_previous!$G$6:$Q$29, 10, FALSE)+VLOOKUP(BB$4, Rates_previous!$G$6:$Q$29, 11, FALSE))</f>
        <v>1704.3910242479999</v>
      </c>
      <c r="BC40" s="192">
        <f>$F40*(VLOOKUP(BC$4, Rates_previous!$G$6:$Q$29, 10, FALSE)+VLOOKUP(BC$4, Rates_previous!$G$6:$Q$29, 11, FALSE))</f>
        <v>2298.6254490496003</v>
      </c>
      <c r="BD40" s="192">
        <f>$F40*(VLOOKUP(BD$4, Rates_previous!$G$6:$Q$29, 10, FALSE)+VLOOKUP(BD$4, Rates_previous!$G$6:$Q$29, 11, FALSE))</f>
        <v>2932.8897401980003</v>
      </c>
      <c r="BE40" s="192">
        <f>$F40*(VLOOKUP(BE$4, Rates_previous!$G$6:$Q$29, 10, FALSE)+VLOOKUP(BE$4, Rates_previous!$G$6:$Q$29, 11, FALSE))</f>
        <v>2299.4785523996002</v>
      </c>
      <c r="BF40" s="192">
        <f>$F40*(VLOOKUP(BF$4, Rates_previous!$G$6:$Q$29, 10, FALSE)+VLOOKUP(BF$4, Rates_previous!$G$6:$Q$29, 11, FALSE))</f>
        <v>2239.2342303496002</v>
      </c>
      <c r="BG40" s="192">
        <f>$F40*(VLOOKUP(BG$4, Rates_previous!$G$6:$Q$29, 10, FALSE)+VLOOKUP(BG$4, Rates_previous!$G$6:$Q$29, 11, FALSE))</f>
        <v>2010.3559923480002</v>
      </c>
      <c r="BH40" s="314">
        <f>IF($D40=0,IF(C40=0, MAX(BJ40 - (VLOOKUP($A40,TOCA_previous!$A$2:$AI$137,MATCH("RHWM 2020",TOCA_previous!$A$2:$AI$2,0),FALSE)*$F$2*TOCA_previous!C37),0),0), 0)</f>
        <v>20.791996111598564</v>
      </c>
      <c r="BI40" s="204">
        <f>MIN(VLOOKUP($A40,TOCA_previous!$A$2:$AI$137,MATCH("TRL - NLSL - Existing Resource "&amp;$F$1,TOCA_previous!$A$2:$AI$2,0),FALSE)*$F$2,(VLOOKUP($A40,TOCA_previous!$A$2:$AI$137,MATCH("RHWM 2020",TOCA_previous!$A$2:$AI$2,0),FALSE)*$F$2))</f>
        <v>26536.464</v>
      </c>
      <c r="BJ40" s="418">
        <f>SUM(L40:AI40)+(F40*RT1SC!$C$3*$F$2)</f>
        <v>26557.255996111599</v>
      </c>
      <c r="BK40" s="417">
        <f>VLOOKUP($A40,TOCA_previous!$A$2:$AI$137,MATCH("Above RHWM Not Served with LS "&amp;$F$1,TOCA_previous!$A$2:$AI$2,0),FALSE)*$F$2</f>
        <v>0</v>
      </c>
      <c r="BL40" s="418">
        <f t="shared" si="8"/>
        <v>20.791996111598564</v>
      </c>
      <c r="BM40" s="417">
        <f>(VLOOKUP($A40,TOCA_previous!$A$2:$AI$137,MATCH("RHWM 2020",TOCA_previous!$A$2:$AI$2,0),FALSE)*$F$2) - $BI40</f>
        <v>0</v>
      </c>
      <c r="BN40" s="418">
        <f t="shared" si="9"/>
        <v>0</v>
      </c>
      <c r="BO40" s="417">
        <f t="shared" si="10"/>
        <v>0</v>
      </c>
      <c r="BP40" s="418">
        <f t="shared" si="11"/>
        <v>0</v>
      </c>
      <c r="BQ40" s="417">
        <f t="shared" si="18"/>
        <v>0</v>
      </c>
      <c r="BR40" s="120">
        <f>VLOOKUP($A40,TOCA_current!$A$2:$AI$137,MATCH(BR$4,TOCA_current!$A$2:$AI$2,0),FALSE)</f>
        <v>4.3009999999999999E-4</v>
      </c>
      <c r="BS40" s="120">
        <f>VLOOKUP($A40,TOCA_current!$A$2:$AI$137,MATCH(BS$4,TOCA_current!$A$2:$AI$2,0),FALSE)</f>
        <v>4.3009999999999999E-4</v>
      </c>
      <c r="BT40" s="201">
        <f t="shared" si="12"/>
        <v>0</v>
      </c>
      <c r="BU40" s="120">
        <f>VLOOKUP($A40,TOCA_current!A36:BG171,MATCH(BU$4,TOCA_current!$A$2:$BG$2,0),FALSE)</f>
        <v>0</v>
      </c>
      <c r="BV40" s="120">
        <f t="shared" si="19"/>
        <v>0</v>
      </c>
      <c r="BW40" s="120">
        <f t="shared" si="20"/>
        <v>0</v>
      </c>
      <c r="BX40" s="191">
        <f>VLOOKUP($A40,IRD!$A$4:$G$139, 7, FALSE)</f>
        <v>0</v>
      </c>
      <c r="BY40" s="192">
        <f t="array" ref="BY40">IF($BT40=0, INDEX(LS_current!$D$4:$AY$138, MATCH('Staging Table'!$A40, LS_current!$B$4:$B$138, 0), MATCH(BY$4&amp;BY$5, LS_current!$D$2:$AY$2&amp;LS_current!$D$3:$AY$3, 0)),SUM(VLOOKUP($A40, LS_current!$B$4:$AY$138, LS_current!D$148, FALSE), VLOOKUP($A40, LS_current!$B$4:$AY$138,LS_current!AB$148, FALSE))/2)</f>
        <v>92.97810722328154</v>
      </c>
      <c r="BZ40" s="192">
        <f t="array" ref="BZ40">IF($BT40=0, INDEX(LS_current!$D$4:$AY$138, MATCH('Staging Table'!$A40, LS_current!$B$4:$B$138, 0), MATCH(BZ$4&amp;BZ$5, LS_current!$D$2:$AY$2&amp;LS_current!$D$3:$AY$3, 0)),SUM(VLOOKUP($A40, LS_current!$B$4:$AY$138, LS_current!E$148, FALSE), VLOOKUP($A40, LS_current!$B$4:$AY$138,LS_current!AC$148, FALSE))/2)</f>
        <v>82.395999406552164</v>
      </c>
      <c r="CA40" s="192">
        <f t="array" ref="CA40">IF($BT40=0, INDEX(LS_current!$D$4:$AY$138, MATCH('Staging Table'!$A40, LS_current!$B$4:$B$138, 0), MATCH(CA$4&amp;CA$5, LS_current!$D$2:$AY$2&amp;LS_current!$D$3:$AY$3, 0)),SUM(VLOOKUP($A40, LS_current!$B$4:$AY$138, LS_current!F$148, FALSE), VLOOKUP($A40, LS_current!$B$4:$AY$138,LS_current!AD$148, FALSE))/2)</f>
        <v>-104.58221785592059</v>
      </c>
      <c r="CB40" s="192">
        <f t="array" ref="CB40">IF($BT40=0, INDEX(LS_current!$D$4:$AY$138, MATCH('Staging Table'!$A40, LS_current!$B$4:$B$138, 0), MATCH(CB$4&amp;CB$5, LS_current!$D$2:$AY$2&amp;LS_current!$D$3:$AY$3, 0)),SUM(VLOOKUP($A40, LS_current!$B$4:$AY$138, LS_current!G$148, FALSE), VLOOKUP($A40, LS_current!$B$4:$AY$138,LS_current!AE$148, FALSE))/2)</f>
        <v>-21.425769192972098</v>
      </c>
      <c r="CC40" s="192">
        <f t="array" ref="CC40">IF($BT40=0, INDEX(LS_current!$D$4:$AY$138, MATCH('Staging Table'!$A40, LS_current!$B$4:$B$138, 0), MATCH(CC$4&amp;CC$5, LS_current!$D$2:$AY$2&amp;LS_current!$D$3:$AY$3, 0)),SUM(VLOOKUP($A40, LS_current!$B$4:$AY$138, LS_current!H$148, FALSE), VLOOKUP($A40, LS_current!$B$4:$AY$138,LS_current!AF$148, FALSE))/2)</f>
        <v>277.91033638467729</v>
      </c>
      <c r="CD40" s="192">
        <f t="array" ref="CD40">IF($BT40=0, INDEX(LS_current!$D$4:$AY$138, MATCH('Staging Table'!$A40, LS_current!$B$4:$B$138, 0), MATCH(CD$4&amp;CD$5, LS_current!$D$2:$AY$2&amp;LS_current!$D$3:$AY$3, 0)),SUM(VLOOKUP($A40, LS_current!$B$4:$AY$138, LS_current!I$148, FALSE), VLOOKUP($A40, LS_current!$B$4:$AY$138,LS_current!AG$148, FALSE))/2)</f>
        <v>61.176054329230283</v>
      </c>
      <c r="CE40" s="192">
        <f t="array" ref="CE40">IF($BT40=0, INDEX(LS_current!$D$4:$AY$138, MATCH('Staging Table'!$A40, LS_current!$B$4:$B$138, 0), MATCH(CE$4&amp;CE$5, LS_current!$D$2:$AY$2&amp;LS_current!$D$3:$AY$3, 0)),SUM(VLOOKUP($A40, LS_current!$B$4:$AY$138, LS_current!J$148, FALSE), VLOOKUP($A40, LS_current!$B$4:$AY$138,LS_current!AH$148, FALSE))/2)</f>
        <v>534.15856019040484</v>
      </c>
      <c r="CF40" s="192">
        <f t="array" ref="CF40">IF($BT40=0, INDEX(LS_current!$D$4:$AY$138, MATCH('Staging Table'!$A40, LS_current!$B$4:$B$138, 0), MATCH(CF$4&amp;CF$5, LS_current!$D$2:$AY$2&amp;LS_current!$D$3:$AY$3, 0)),SUM(VLOOKUP($A40, LS_current!$B$4:$AY$138, LS_current!K$148, FALSE), VLOOKUP($A40, LS_current!$B$4:$AY$138,LS_current!AI$148, FALSE))/2)</f>
        <v>242.57503243753445</v>
      </c>
      <c r="CG40" s="192">
        <f t="array" ref="CG40">IF($BT40=0, INDEX(LS_current!$D$4:$AY$138, MATCH('Staging Table'!$A40, LS_current!$B$4:$B$138, 0), MATCH(CG$4&amp;CG$5, LS_current!$D$2:$AY$2&amp;LS_current!$D$3:$AY$3, 0)),SUM(VLOOKUP($A40, LS_current!$B$4:$AY$138, LS_current!L$148, FALSE), VLOOKUP($A40, LS_current!$B$4:$AY$138,LS_current!AJ$148, FALSE))/2)</f>
        <v>432.55957867274401</v>
      </c>
      <c r="CH40" s="192">
        <f t="array" ref="CH40">IF($BT40=0, INDEX(LS_current!$D$4:$AY$138, MATCH('Staging Table'!$A40, LS_current!$B$4:$B$138, 0), MATCH(CH$4&amp;CH$5, LS_current!$D$2:$AY$2&amp;LS_current!$D$3:$AY$3, 0)),SUM(VLOOKUP($A40, LS_current!$B$4:$AY$138, LS_current!M$148, FALSE), VLOOKUP($A40, LS_current!$B$4:$AY$138,LS_current!AK$148, FALSE))/2)</f>
        <v>173.20490678957219</v>
      </c>
      <c r="CI40" s="192">
        <f t="array" ref="CI40">IF($BT40=0, INDEX(LS_current!$D$4:$AY$138, MATCH('Staging Table'!$A40, LS_current!$B$4:$B$138, 0), MATCH(CI$4&amp;CI$5, LS_current!$D$2:$AY$2&amp;LS_current!$D$3:$AY$3, 0)),SUM(VLOOKUP($A40, LS_current!$B$4:$AY$138, LS_current!N$148, FALSE), VLOOKUP($A40, LS_current!$B$4:$AY$138,LS_current!AL$148, FALSE))/2)</f>
        <v>213.88793801092402</v>
      </c>
      <c r="CJ40" s="192">
        <f t="array" ref="CJ40">IF($BT40=0, INDEX(LS_current!$D$4:$AY$138, MATCH('Staging Table'!$A40, LS_current!$B$4:$B$138, 0), MATCH(CJ$4&amp;CJ$5, LS_current!$D$2:$AY$2&amp;LS_current!$D$3:$AY$3, 0)),SUM(VLOOKUP($A40, LS_current!$B$4:$AY$138, LS_current!O$148, FALSE), VLOOKUP($A40, LS_current!$B$4:$AY$138,LS_current!AM$148, FALSE))/2)</f>
        <v>113.7881156385796</v>
      </c>
      <c r="CK40" s="192">
        <f t="array" ref="CK40">IF($BT40=0, INDEX(LS_current!$D$4:$AY$138, MATCH('Staging Table'!$A40, LS_current!$B$4:$B$138, 0), MATCH(CK$4&amp;CK$5, LS_current!$D$2:$AY$2&amp;LS_current!$D$3:$AY$3, 0)),SUM(VLOOKUP($A40, LS_current!$B$4:$AY$138, LS_current!P$148, FALSE), VLOOKUP($A40, LS_current!$B$4:$AY$138,LS_current!AN$148, FALSE))/2)</f>
        <v>361.35440665680392</v>
      </c>
      <c r="CL40" s="192">
        <f t="array" ref="CL40">IF($BT40=0, INDEX(LS_current!$D$4:$AY$138, MATCH('Staging Table'!$A40, LS_current!$B$4:$B$138, 0), MATCH(CL$4&amp;CL$5, LS_current!$D$2:$AY$2&amp;LS_current!$D$3:$AY$3, 0)),SUM(VLOOKUP($A40, LS_current!$B$4:$AY$138, LS_current!Q$148, FALSE), VLOOKUP($A40, LS_current!$B$4:$AY$138,LS_current!AO$148, FALSE))/2)</f>
        <v>208.49755984511773</v>
      </c>
      <c r="CM40" s="192">
        <f t="array" ref="CM40">IF($BT40=0, INDEX(LS_current!$D$4:$AY$138, MATCH('Staging Table'!$A40, LS_current!$B$4:$B$138, 0), MATCH(CM$4&amp;CM$5, LS_current!$D$2:$AY$2&amp;LS_current!$D$3:$AY$3, 0)),SUM(VLOOKUP($A40, LS_current!$B$4:$AY$138, LS_current!R$148, FALSE), VLOOKUP($A40, LS_current!$B$4:$AY$138,LS_current!AP$148, FALSE))/2)</f>
        <v>-307.25973084309794</v>
      </c>
      <c r="CN40" s="192">
        <f t="array" ref="CN40">IF($BT40=0, INDEX(LS_current!$D$4:$AY$138, MATCH('Staging Table'!$A40, LS_current!$B$4:$B$138, 0), MATCH(CN$4&amp;CN$5, LS_current!$D$2:$AY$2&amp;LS_current!$D$3:$AY$3, 0)),SUM(VLOOKUP($A40, LS_current!$B$4:$AY$138, LS_current!S$148, FALSE), VLOOKUP($A40, LS_current!$B$4:$AY$138,LS_current!AQ$148, FALSE))/2)</f>
        <v>41.463874104178444</v>
      </c>
      <c r="CO40" s="192">
        <f t="array" ref="CO40">IF($BT40=0, INDEX(LS_current!$D$4:$AY$138, MATCH('Staging Table'!$A40, LS_current!$B$4:$B$138, 0), MATCH(CO$4&amp;CO$5, LS_current!$D$2:$AY$2&amp;LS_current!$D$3:$AY$3, 0)),SUM(VLOOKUP($A40, LS_current!$B$4:$AY$138, LS_current!T$148, FALSE), VLOOKUP($A40, LS_current!$B$4:$AY$138,LS_current!AR$148, FALSE))/2)</f>
        <v>-575.59444584732228</v>
      </c>
      <c r="CP40" s="192">
        <f t="array" ref="CP40">IF($BT40=0, INDEX(LS_current!$D$4:$AY$138, MATCH('Staging Table'!$A40, LS_current!$B$4:$B$138, 0), MATCH(CP$4&amp;CP$5, LS_current!$D$2:$AY$2&amp;LS_current!$D$3:$AY$3, 0)),SUM(VLOOKUP($A40, LS_current!$B$4:$AY$138, LS_current!U$148, FALSE), VLOOKUP($A40, LS_current!$B$4:$AY$138,LS_current!AS$148, FALSE))/2)</f>
        <v>-46.593731635184213</v>
      </c>
      <c r="CQ40" s="192">
        <f t="array" ref="CQ40">IF($BT40=0, INDEX(LS_current!$D$4:$AY$138, MATCH('Staging Table'!$A40, LS_current!$B$4:$B$138, 0), MATCH(CQ$4&amp;CQ$5, LS_current!$D$2:$AY$2&amp;LS_current!$D$3:$AY$3, 0)),SUM(VLOOKUP($A40, LS_current!$B$4:$AY$138, LS_current!V$148, FALSE), VLOOKUP($A40, LS_current!$B$4:$AY$138,LS_current!AT$148, FALSE))/2)</f>
        <v>-297.41643726648317</v>
      </c>
      <c r="CR40" s="192">
        <f t="array" ref="CR40">IF($BT40=0, INDEX(LS_current!$D$4:$AY$138, MATCH('Staging Table'!$A40, LS_current!$B$4:$B$138, 0), MATCH(CR$4&amp;CR$5, LS_current!$D$2:$AY$2&amp;LS_current!$D$3:$AY$3, 0)),SUM(VLOOKUP($A40, LS_current!$B$4:$AY$138, LS_current!W$148, FALSE), VLOOKUP($A40, LS_current!$B$4:$AY$138,LS_current!AU$148, FALSE))/2)</f>
        <v>-27.76823083840145</v>
      </c>
      <c r="CS40" s="192">
        <f t="array" ref="CS40">IF($BT40=0, INDEX(LS_current!$D$4:$AY$138, MATCH('Staging Table'!$A40, LS_current!$B$4:$B$138, 0), MATCH(CS$4&amp;CS$5, LS_current!$D$2:$AY$2&amp;LS_current!$D$3:$AY$3, 0)),SUM(VLOOKUP($A40, LS_current!$B$4:$AY$138, LS_current!X$148, FALSE), VLOOKUP($A40, LS_current!$B$4:$AY$138,LS_current!AV$148, FALSE))/2)</f>
        <v>-189.87596200400435</v>
      </c>
      <c r="CT40" s="192">
        <f t="array" ref="CT40">IF($BT40=0, INDEX(LS_current!$D$4:$AY$138, MATCH('Staging Table'!$A40, LS_current!$B$4:$B$138, 0), MATCH(CT$4&amp;CT$5, LS_current!$D$2:$AY$2&amp;LS_current!$D$3:$AY$3, 0)),SUM(VLOOKUP($A40, LS_current!$B$4:$AY$138, LS_current!Y$148, FALSE), VLOOKUP($A40, LS_current!$B$4:$AY$138,LS_current!AW$148, FALSE))/2)</f>
        <v>-9.5559596708754952</v>
      </c>
      <c r="CU40" s="192">
        <f t="array" ref="CU40">IF($BT40=0, INDEX(LS_current!$D$4:$AY$138, MATCH('Staging Table'!$A40, LS_current!$B$4:$B$138, 0), MATCH(CU$4&amp;CU$5, LS_current!$D$2:$AY$2&amp;LS_current!$D$3:$AY$3, 0)),SUM(VLOOKUP($A40, LS_current!$B$4:$AY$138, LS_current!Z$148, FALSE), VLOOKUP($A40, LS_current!$B$4:$AY$138,LS_current!AX$148, FALSE))/2)</f>
        <v>-91.49151582499303</v>
      </c>
      <c r="CV40" s="192">
        <f t="array" ref="CV40">IF($BT40=0, INDEX(LS_current!$D$4:$AY$138, MATCH('Staging Table'!$A40, LS_current!$B$4:$B$138, 0), MATCH(CV$4&amp;CV$5, LS_current!$D$2:$AY$2&amp;LS_current!$D$3:$AY$3, 0)),SUM(VLOOKUP($A40, LS_current!$B$4:$AY$138, LS_current!AA$148, FALSE), VLOOKUP($A40, LS_current!$B$4:$AY$138,LS_current!AY$148, FALSE))/2)</f>
        <v>12.4516979237942</v>
      </c>
      <c r="CW40" s="194">
        <f t="array" ref="CW40">INDEX(Demand_current!$D$4:$AY$138, MATCH($A40, Demand_current!$B$4:$B$138, 0), MATCH(CW$4&amp;CW$5,Demand_current!$D$2:$AY$2&amp;Demand_current!$D$3:$AY$3, 0))/1000</f>
        <v>0.45809134615384639</v>
      </c>
      <c r="CX40" s="194">
        <f t="array" ref="CX40">INDEX(Demand_current!$D$4:$AY$138, MATCH($A40, Demand_current!$B$4:$B$138, 0), MATCH(CX$4&amp;CX$5,Demand_current!$D$2:$AY$2&amp;Demand_current!$D$3:$AY$3, 0))/1000</f>
        <v>0.24878000000000033</v>
      </c>
      <c r="CY40" s="194">
        <f t="array" ref="CY40">INDEX(Demand_current!$D$4:$AY$138, MATCH($A40, Demand_current!$B$4:$B$138, 0), MATCH(CY$4&amp;CY$5,Demand_current!$D$2:$AY$2&amp;Demand_current!$D$3:$AY$3, 0))/1000</f>
        <v>0.47816826923076883</v>
      </c>
      <c r="CZ40" s="194">
        <f t="array" ref="CZ40">INDEX(Demand_current!$D$4:$AY$138, MATCH($A40, Demand_current!$B$4:$B$138, 0), MATCH(CZ$4&amp;CZ$5,Demand_current!$D$2:$AY$2&amp;Demand_current!$D$3:$AY$3, 0))/1000</f>
        <v>0.46549249999999981</v>
      </c>
      <c r="DA40" s="194">
        <f t="array" ref="DA40">INDEX(Demand_current!$D$4:$AY$138, MATCH($A40, Demand_current!$B$4:$B$138, 0), MATCH(DA$4&amp;DA$5,Demand_current!$D$2:$AY$2&amp;Demand_current!$D$3:$AY$3, 0))/1000</f>
        <v>0.45310677083333273</v>
      </c>
      <c r="DB40" s="194">
        <f t="array" ref="DB40">INDEX(Demand_current!$D$4:$AY$138, MATCH($A40, Demand_current!$B$4:$B$138, 0), MATCH(DB$4&amp;DB$5,Demand_current!$D$2:$AY$2&amp;Demand_current!$D$3:$AY$3, 0))/1000</f>
        <v>0.6158541666666667</v>
      </c>
      <c r="DC40" s="194">
        <f t="array" ref="DC40">INDEX(Demand_current!$D$4:$AY$138, MATCH($A40, Demand_current!$B$4:$B$138, 0), MATCH(DC$4&amp;DC$5,Demand_current!$D$2:$AY$2&amp;Demand_current!$D$3:$AY$3, 0))/1000</f>
        <v>0.56584134615384629</v>
      </c>
      <c r="DD40" s="194">
        <f t="array" ref="DD40">INDEX(Demand_current!$D$4:$AY$138, MATCH($A40, Demand_current!$B$4:$B$138, 0), MATCH(DD$4&amp;DD$5,Demand_current!$D$2:$AY$2&amp;Demand_current!$D$3:$AY$3, 0))/1000</f>
        <v>0.37988750000000066</v>
      </c>
      <c r="DE40" s="194">
        <f t="array" ref="DE40">INDEX(Demand_current!$D$4:$AY$138, MATCH($A40, Demand_current!$B$4:$B$138, 0), MATCH(DE$4&amp;DE$5,Demand_current!$D$2:$AY$2&amp;Demand_current!$D$3:$AY$3, 0))/1000</f>
        <v>0.46841826923076968</v>
      </c>
      <c r="DF40" s="194">
        <f t="array" ref="DF40">INDEX(Demand_current!$D$4:$AY$138, MATCH($A40, Demand_current!$B$4:$B$138, 0), MATCH(DF$4&amp;DF$5,Demand_current!$D$2:$AY$2&amp;Demand_current!$D$3:$AY$3, 0))/1000</f>
        <v>0.49592499999999962</v>
      </c>
      <c r="DG40" s="194">
        <f t="array" ref="DG40">INDEX(Demand_current!$D$4:$AY$138, MATCH($A40, Demand_current!$B$4:$B$138, 0), MATCH(DG$4&amp;DG$5,Demand_current!$D$2:$AY$2&amp;Demand_current!$D$3:$AY$3, 0))/1000</f>
        <v>0.53853703703703704</v>
      </c>
      <c r="DH40" s="194">
        <f t="array" ref="DH40">INDEX(Demand_current!$D$4:$AY$138, MATCH($A40, Demand_current!$B$4:$B$138, 0), MATCH(DH$4&amp;DH$5,Demand_current!$D$2:$AY$2&amp;Demand_current!$D$3:$AY$3, 0))/1000</f>
        <v>0.45531749999999993</v>
      </c>
      <c r="DI40" s="192">
        <f>$BS40*(VLOOKUP(DI$4, Rates_current!$G$6:$Q$29, 10, FALSE)+VLOOKUP(DI$4, Rates_current!$G$6:$Q$29, 11, FALSE))</f>
        <v>1958.6428933701661</v>
      </c>
      <c r="DJ40" s="192">
        <f>$BS40*(VLOOKUP(DJ$4, Rates_current!$G$6:$Q$29, 10, FALSE)+VLOOKUP(DJ$4, Rates_current!$G$6:$Q$29, 11, FALSE))</f>
        <v>2479.712987048893</v>
      </c>
      <c r="DK40" s="192">
        <f>$BS40*(VLOOKUP(DK$4, Rates_current!$G$6:$Q$29, 10, FALSE)+VLOOKUP(DK$4, Rates_current!$G$6:$Q$29, 11, FALSE))</f>
        <v>2427.1436092860927</v>
      </c>
      <c r="DL40" s="192">
        <f>$BS40*(VLOOKUP(DL$4, Rates_current!$G$6:$Q$29, 10, FALSE)+VLOOKUP(DL$4, Rates_current!$G$6:$Q$29, 11, FALSE))</f>
        <v>2004.7174073720607</v>
      </c>
      <c r="DM40" s="192">
        <f>$BS40*(VLOOKUP(DM$4, Rates_current!$G$6:$Q$29, 10, FALSE)+VLOOKUP(DM$4, Rates_current!$G$6:$Q$29, 11, FALSE))</f>
        <v>1737.5325145376839</v>
      </c>
      <c r="DN40" s="192">
        <f>$BS40*(VLOOKUP(DN$4, Rates_current!$G$6:$Q$29, 10, FALSE)+VLOOKUP(DN$4, Rates_current!$G$6:$Q$29, 11, FALSE))</f>
        <v>2074.2629463504963</v>
      </c>
      <c r="DO40" s="192">
        <f>$BS40*(VLOOKUP(DO$4, Rates_current!$G$6:$Q$29, 10, FALSE)+VLOOKUP(DO$4, Rates_current!$G$6:$Q$29, 11, FALSE))</f>
        <v>1610.3890334980783</v>
      </c>
      <c r="DP40" s="192">
        <f>$BS40*(VLOOKUP(DP$4, Rates_current!$G$6:$Q$29, 10, FALSE)+VLOOKUP(DP$4, Rates_current!$G$6:$Q$29, 11, FALSE))</f>
        <v>2231.2058567389195</v>
      </c>
      <c r="DQ40" s="192">
        <f>$BS40*(VLOOKUP(DQ$4, Rates_current!$G$6:$Q$29, 10, FALSE)+VLOOKUP(DQ$4, Rates_current!$G$6:$Q$29, 11, FALSE))</f>
        <v>2384.0901774825061</v>
      </c>
      <c r="DR40" s="192">
        <f>$BS40*(VLOOKUP(DR$4, Rates_current!$G$6:$Q$29, 10, FALSE)+VLOOKUP(DR$4, Rates_current!$G$6:$Q$29, 11, FALSE))</f>
        <v>2263.5856681048849</v>
      </c>
      <c r="DS40" s="192">
        <f>$BS40*(VLOOKUP(DS$4, Rates_current!$G$6:$Q$29, 10, FALSE)+VLOOKUP(DS$4, Rates_current!$G$6:$Q$29, 11, FALSE))</f>
        <v>2187.5809216748798</v>
      </c>
      <c r="DT40" s="192">
        <f>$BS40*(VLOOKUP(DT$4, Rates_current!$G$6:$Q$29, 10, FALSE)+VLOOKUP(DT$4, Rates_current!$G$6:$Q$29, 11, FALSE))</f>
        <v>2021.552817901199</v>
      </c>
      <c r="DU40" s="418">
        <f>IF(D40=0,IF(C40=0,MAX(0,DW40 - (VLOOKUP($A40,TOCA_current!$A$2:$AI$137,MATCH("RHWM 2022",TOCA_current!$A$2:$AI$2,0),FALSE)*$BS$2)), 0),0)</f>
        <v>1179.5362983181476</v>
      </c>
      <c r="DV40" s="419">
        <f>MIN(VLOOKUP($A40,TOCA_current!$A$2:$AI$137,MATCH("TRL - NLSL - Existing Resource "&amp;$BS$1,TOCA_current!$A$2:$AI$2,0),FALSE)*$BS$2, VLOOKUP($A40,TOCA_current!$A$2:$AI$137,MATCH("RHWM 2022",TOCA_current!$A$2:$AI$2,0),FALSE)*$BS$2)</f>
        <v>25377.719999999998</v>
      </c>
      <c r="DW40" s="419">
        <f>SUM(BY40:CV40)+(BS40*RT1SC!$C$4*$BS$2)</f>
        <v>26557.256298318145</v>
      </c>
      <c r="DX40" s="419">
        <f>VLOOKUP($A40,TOCA_current!$A$2:$AI$137,MATCH("Above RHWM Not Served with LS "&amp;$BS$1,TOCA_current!$A$2:$AI$2,0),FALSE)*$BS$2</f>
        <v>0</v>
      </c>
      <c r="DY40" s="419">
        <f t="shared" si="13"/>
        <v>1179.5362983181476</v>
      </c>
      <c r="DZ40" s="419">
        <f>(VLOOKUP($A40,TOCA_current!$A$2:$AI$137,MATCH("RHWM 2022",TOCA_current!$A$2:$AI$2,0),FALSE)*$BS$2) - $DV40</f>
        <v>0</v>
      </c>
      <c r="EA40" s="419">
        <f t="shared" si="14"/>
        <v>0</v>
      </c>
      <c r="EB40" s="419">
        <f t="shared" si="15"/>
        <v>0</v>
      </c>
      <c r="EC40" s="419">
        <f t="shared" si="16"/>
        <v>0</v>
      </c>
      <c r="ED40" s="419">
        <f t="shared" si="17"/>
        <v>0</v>
      </c>
    </row>
    <row r="41" spans="1:134">
      <c r="A41" s="135">
        <v>10095</v>
      </c>
      <c r="B41" s="136" t="s">
        <v>42</v>
      </c>
      <c r="C41" s="244">
        <f>VLOOKUP(A41, TOCA_current!$A$3:$D$137, 4, FALSE)</f>
        <v>0</v>
      </c>
      <c r="D41" s="203">
        <v>0</v>
      </c>
      <c r="E41" s="119">
        <f>VLOOKUP($A41,TOCA_previous!$A$2:$AI$137,MATCH(E$4,TOCA_previous!$A$2:$AI$2,0),FALSE)</f>
        <v>5.1579999999999996E-4</v>
      </c>
      <c r="F41" s="120">
        <f>VLOOKUP($A41,TOCA_previous!$A$2:$AI$137,MATCH(F$4,TOCA_previous!$A$2:$AI$2,0),FALSE)</f>
        <v>5.1579999999999996E-4</v>
      </c>
      <c r="G41" s="120">
        <f t="shared" si="5"/>
        <v>0</v>
      </c>
      <c r="H41" s="120">
        <f>VLOOKUP($A41,TOCA_previous!$A$2:$AI$137,MATCH(H$4,TOCA_previous!$A$2:$AI$2,0),FALSE)</f>
        <v>0</v>
      </c>
      <c r="I41" s="120">
        <f t="shared" si="6"/>
        <v>0</v>
      </c>
      <c r="J41" s="120">
        <f t="shared" si="7"/>
        <v>0</v>
      </c>
      <c r="K41" s="191">
        <f>VLOOKUP(A41, IRD!$A$5:$C$139, 3, FALSE)</f>
        <v>0</v>
      </c>
      <c r="L41" s="192">
        <f t="array" ref="L41">IF($G41=0, INDEX(LS_previous!$D$4:$AY$138, MATCH('Staging Table'!$A41, LS_previous!$B$4:$B$138, 0), MATCH(L$4&amp;L$5, LS_previous!$D$2:$AY$2&amp;LS_previous!$D$3:$AY$3, 0)),SUM(VLOOKUP($A41, LS_previous!$B$4:$AY$138, LS_previous!D$149, FALSE), VLOOKUP('Staging Table'!$A41, LS_previous!$B$4:$AY$138,LS_previous!AB$149, FALSE))/2)</f>
        <v>112.37107286960008</v>
      </c>
      <c r="M41" s="192">
        <f t="array" ref="M41">IF($G41=0, INDEX(LS_previous!$D$4:$AY$138, MATCH('Staging Table'!$A41, LS_previous!$B$4:$B$138, 0), MATCH(M$4&amp;M$5, LS_previous!$D$2:$AY$2&amp;LS_previous!$D$3:$AY$3, 0)),SUM(VLOOKUP($A41, LS_previous!$B$4:$AY$138, LS_previous!E$149, FALSE), VLOOKUP('Staging Table'!$A41, LS_previous!$B$4:$AY$138,LS_previous!AC$149, FALSE))/2)</f>
        <v>112.66571743360009</v>
      </c>
      <c r="N41" s="192">
        <f t="array" ref="N41">IF($G41=0, INDEX(LS_previous!$D$4:$AY$138, MATCH('Staging Table'!$A41, LS_previous!$B$4:$B$138, 0), MATCH(N$4&amp;N$5, LS_previous!$D$2:$AY$2&amp;LS_previous!$D$3:$AY$3, 0)),SUM(VLOOKUP($A41, LS_previous!$B$4:$AY$138, LS_previous!F$149, FALSE), VLOOKUP('Staging Table'!$A41, LS_previous!$B$4:$AY$138,LS_previous!AD$149, FALSE))/2)</f>
        <v>-277.97217094239977</v>
      </c>
      <c r="O41" s="192">
        <f t="array" ref="O41">IF($G41=0, INDEX(LS_previous!$D$4:$AY$138, MATCH('Staging Table'!$A41, LS_previous!$B$4:$B$138, 0), MATCH(O$4&amp;O$5, LS_previous!$D$2:$AY$2&amp;LS_previous!$D$3:$AY$3, 0)),SUM(VLOOKUP($A41, LS_previous!$B$4:$AY$138, LS_previous!G$149, FALSE), VLOOKUP('Staging Table'!$A41, LS_previous!$B$4:$AY$138,LS_previous!AE$149, FALSE))/2)</f>
        <v>-159.5022937338</v>
      </c>
      <c r="P41" s="192">
        <f t="array" ref="P41">IF($G41=0, INDEX(LS_previous!$D$4:$AY$138, MATCH('Staging Table'!$A41, LS_previous!$B$4:$B$138, 0), MATCH(P$4&amp;P$5, LS_previous!$D$2:$AY$2&amp;LS_previous!$D$3:$AY$3, 0)),SUM(VLOOKUP($A41, LS_previous!$B$4:$AY$138, LS_previous!H$149, FALSE), VLOOKUP('Staging Table'!$A41, LS_previous!$B$4:$AY$138,LS_previous!AF$149, FALSE))/2)</f>
        <v>-165.81995141760012</v>
      </c>
      <c r="Q41" s="192">
        <f t="array" ref="Q41">IF($G41=0, INDEX(LS_previous!$D$4:$AY$138, MATCH('Staging Table'!$A41, LS_previous!$B$4:$B$138, 0), MATCH(Q$4&amp;Q$5, LS_previous!$D$2:$AY$2&amp;LS_previous!$D$3:$AY$3, 0)),SUM(VLOOKUP($A41, LS_previous!$B$4:$AY$138, LS_previous!I$149, FALSE), VLOOKUP('Staging Table'!$A41, LS_previous!$B$4:$AY$138,LS_previous!AG$149, FALSE))/2)</f>
        <v>-114.12482967920005</v>
      </c>
      <c r="R41" s="192">
        <f t="array" ref="R41">IF($G41=0, INDEX(LS_previous!$D$4:$AY$138, MATCH('Staging Table'!$A41, LS_previous!$B$4:$B$138, 0), MATCH(R$4&amp;R$5, LS_previous!$D$2:$AY$2&amp;LS_previous!$D$3:$AY$3, 0)),SUM(VLOOKUP($A41, LS_previous!$B$4:$AY$138, LS_previous!J$149, FALSE), VLOOKUP('Staging Table'!$A41, LS_previous!$B$4:$AY$138,LS_previous!AH$149, FALSE))/2)</f>
        <v>375.78948938240001</v>
      </c>
      <c r="S41" s="192">
        <f t="array" ref="S41">IF($G41=0, INDEX(LS_previous!$D$4:$AY$138, MATCH('Staging Table'!$A41, LS_previous!$B$4:$B$138, 0), MATCH(S$4&amp;S$5, LS_previous!$D$2:$AY$2&amp;LS_previous!$D$3:$AY$3, 0)),SUM(VLOOKUP($A41, LS_previous!$B$4:$AY$138, LS_previous!K$149, FALSE), VLOOKUP('Staging Table'!$A41, LS_previous!$B$4:$AY$138,LS_previous!AI$149, FALSE))/2)</f>
        <v>302.3390079208001</v>
      </c>
      <c r="T41" s="192">
        <f t="array" ref="T41">IF($G41=0, INDEX(LS_previous!$D$4:$AY$138, MATCH('Staging Table'!$A41, LS_previous!$B$4:$B$138, 0), MATCH(T$4&amp;T$5, LS_previous!$D$2:$AY$2&amp;LS_previous!$D$3:$AY$3, 0)),SUM(VLOOKUP($A41, LS_previous!$B$4:$AY$138, LS_previous!L$149, FALSE), VLOOKUP('Staging Table'!$A41, LS_previous!$B$4:$AY$138,LS_previous!AJ$149, FALSE))/2)</f>
        <v>382.66200344080016</v>
      </c>
      <c r="U41" s="192">
        <f t="array" ref="U41">IF($G41=0, INDEX(LS_previous!$D$4:$AY$138, MATCH('Staging Table'!$A41, LS_previous!$B$4:$B$138, 0), MATCH(U$4&amp;U$5, LS_previous!$D$2:$AY$2&amp;LS_previous!$D$3:$AY$3, 0)),SUM(VLOOKUP($A41, LS_previous!$B$4:$AY$138, LS_previous!M$149, FALSE), VLOOKUP('Staging Table'!$A41, LS_previous!$B$4:$AY$138,LS_previous!AK$149, FALSE))/2)</f>
        <v>191.55185111920002</v>
      </c>
      <c r="V41" s="192">
        <f t="array" ref="V41">IF($G41=0, INDEX(LS_previous!$D$4:$AY$138, MATCH('Staging Table'!$A41, LS_previous!$B$4:$B$138, 0), MATCH(V$4&amp;V$5, LS_previous!$D$2:$AY$2&amp;LS_previous!$D$3:$AY$3, 0)),SUM(VLOOKUP($A41, LS_previous!$B$4:$AY$138, LS_previous!N$149, FALSE), VLOOKUP('Staging Table'!$A41, LS_previous!$B$4:$AY$138,LS_previous!AL$149, FALSE))/2)</f>
        <v>380.99450970720022</v>
      </c>
      <c r="W41" s="192">
        <f t="array" ref="W41">IF($G41=0, INDEX(LS_previous!$D$4:$AY$138, MATCH('Staging Table'!$A41, LS_previous!$B$4:$B$138, 0), MATCH(W$4&amp;W$5, LS_previous!$D$2:$AY$2&amp;LS_previous!$D$3:$AY$3, 0)),SUM(VLOOKUP($A41, LS_previous!$B$4:$AY$138, LS_previous!O$149, FALSE), VLOOKUP('Staging Table'!$A41, LS_previous!$B$4:$AY$138,LS_previous!AM$149, FALSE))/2)</f>
        <v>147.07972198820005</v>
      </c>
      <c r="X41" s="192">
        <f t="array" ref="X41">IF($G41=0, INDEX(LS_previous!$D$4:$AY$138, MATCH('Staging Table'!$A41, LS_previous!$B$4:$B$138, 0), MATCH(X$4&amp;X$5, LS_previous!$D$2:$AY$2&amp;LS_previous!$D$3:$AY$3, 0)),SUM(VLOOKUP($A41, LS_previous!$B$4:$AY$138, LS_previous!P$149, FALSE), VLOOKUP('Staging Table'!$A41, LS_previous!$B$4:$AY$138,LS_previous!AN$149, FALSE))/2)</f>
        <v>479.85798904480021</v>
      </c>
      <c r="Y41" s="192">
        <f t="array" ref="Y41">IF($G41=0, INDEX(LS_previous!$D$4:$AY$138, MATCH('Staging Table'!$A41, LS_previous!$B$4:$B$138, 0), MATCH(Y$4&amp;Y$5, LS_previous!$D$2:$AY$2&amp;LS_previous!$D$3:$AY$3, 0)),SUM(VLOOKUP($A41, LS_previous!$B$4:$AY$138, LS_previous!Q$149, FALSE), VLOOKUP('Staging Table'!$A41, LS_previous!$B$4:$AY$138,LS_previous!AO$149, FALSE))/2)</f>
        <v>197.77387097120004</v>
      </c>
      <c r="Z41" s="192">
        <f t="array" ref="Z41">IF($G41=0, INDEX(LS_previous!$D$4:$AY$138, MATCH('Staging Table'!$A41, LS_previous!$B$4:$B$138, 0), MATCH(Z$4&amp;Z$5, LS_previous!$D$2:$AY$2&amp;LS_previous!$D$3:$AY$3, 0)),SUM(VLOOKUP($A41, LS_previous!$B$4:$AY$138, LS_previous!R$149, FALSE), VLOOKUP('Staging Table'!$A41, LS_previous!$B$4:$AY$138,LS_previous!AP$149, FALSE))/2)</f>
        <v>-91.29932617999998</v>
      </c>
      <c r="AA41" s="192">
        <f t="array" ref="AA41">IF($G41=0, INDEX(LS_previous!$D$4:$AY$138, MATCH('Staging Table'!$A41, LS_previous!$B$4:$B$138, 0), MATCH(AA$4&amp;AA$5, LS_previous!$D$2:$AY$2&amp;LS_previous!$D$3:$AY$3, 0)),SUM(VLOOKUP($A41, LS_previous!$B$4:$AY$138, LS_previous!S$149, FALSE), VLOOKUP('Staging Table'!$A41, LS_previous!$B$4:$AY$138,LS_previous!AQ$149, FALSE))/2)</f>
        <v>61.954994583200232</v>
      </c>
      <c r="AB41" s="192">
        <f t="array" ref="AB41">IF($G41=0, INDEX(LS_previous!$D$4:$AY$138, MATCH('Staging Table'!$A41, LS_previous!$B$4:$B$138, 0), MATCH(AB$4&amp;AB$5, LS_previous!$D$2:$AY$2&amp;LS_previous!$D$3:$AY$3, 0)),SUM(VLOOKUP($A41, LS_previous!$B$4:$AY$138, LS_previous!T$149, FALSE), VLOOKUP('Staging Table'!$A41, LS_previous!$B$4:$AY$138,LS_previous!AR$149, FALSE))/2)</f>
        <v>-546.77373225519977</v>
      </c>
      <c r="AC41" s="192">
        <f t="array" ref="AC41">IF($G41=0, INDEX(LS_previous!$D$4:$AY$138, MATCH('Staging Table'!$A41, LS_previous!$B$4:$B$138, 0), MATCH(AC$4&amp;AC$5, LS_previous!$D$2:$AY$2&amp;LS_previous!$D$3:$AY$3, 0)),SUM(VLOOKUP($A41, LS_previous!$B$4:$AY$138, LS_previous!U$149, FALSE), VLOOKUP('Staging Table'!$A41, LS_previous!$B$4:$AY$138,LS_previous!AS$149, FALSE))/2)</f>
        <v>-339.1218478287999</v>
      </c>
      <c r="AD41" s="192">
        <f t="array" ref="AD41">IF($G41=0, INDEX(LS_previous!$D$4:$AY$138, MATCH('Staging Table'!$A41, LS_previous!$B$4:$B$138, 0), MATCH(AD$4&amp;AD$5, LS_previous!$D$2:$AY$2&amp;LS_previous!$D$3:$AY$3, 0)),SUM(VLOOKUP($A41, LS_previous!$B$4:$AY$138, LS_previous!V$149, FALSE), VLOOKUP('Staging Table'!$A41, LS_previous!$B$4:$AY$138,LS_previous!AT$149, FALSE))/2)</f>
        <v>-216.6545712551997</v>
      </c>
      <c r="AE41" s="192">
        <f t="array" ref="AE41">IF($G41=0, INDEX(LS_previous!$D$4:$AY$138, MATCH('Staging Table'!$A41, LS_previous!$B$4:$B$138, 0), MATCH(AE$4&amp;AE$5, LS_previous!$D$2:$AY$2&amp;LS_previous!$D$3:$AY$3, 0)),SUM(VLOOKUP($A41, LS_previous!$B$4:$AY$138, LS_previous!W$149, FALSE), VLOOKUP('Staging Table'!$A41, LS_previous!$B$4:$AY$138,LS_previous!AU$149, FALSE))/2)</f>
        <v>170.5051503584001</v>
      </c>
      <c r="AF41" s="192">
        <f t="array" ref="AF41">IF($G41=0, INDEX(LS_previous!$D$4:$AY$138, MATCH('Staging Table'!$A41, LS_previous!$B$4:$B$138, 0), MATCH(AF$4&amp;AF$5, LS_previous!$D$2:$AY$2&amp;LS_previous!$D$3:$AY$3, 0)),SUM(VLOOKUP($A41, LS_previous!$B$4:$AY$138, LS_previous!X$149, FALSE), VLOOKUP('Staging Table'!$A41, LS_previous!$B$4:$AY$138,LS_previous!AV$149, FALSE))/2)</f>
        <v>-48.463023355199766</v>
      </c>
      <c r="AG41" s="192">
        <f t="array" ref="AG41">IF($G41=0, INDEX(LS_previous!$D$4:$AY$138, MATCH('Staging Table'!$A41, LS_previous!$B$4:$B$138, 0), MATCH(AG$4&amp;AG$5, LS_previous!$D$2:$AY$2&amp;LS_previous!$D$3:$AY$3, 0)),SUM(VLOOKUP($A41, LS_previous!$B$4:$AY$138, LS_previous!Y$149, FALSE), VLOOKUP('Staging Table'!$A41, LS_previous!$B$4:$AY$138,LS_previous!AW$149, FALSE))/2)</f>
        <v>87.427966358399999</v>
      </c>
      <c r="AH41" s="192">
        <f t="array" ref="AH41">IF($G41=0, INDEX(LS_previous!$D$4:$AY$138, MATCH('Staging Table'!$A41, LS_previous!$B$4:$B$138, 0), MATCH(AH$4&amp;AH$5, LS_previous!$D$2:$AY$2&amp;LS_previous!$D$3:$AY$3, 0)),SUM(VLOOKUP($A41, LS_previous!$B$4:$AY$138, LS_previous!Z$149, FALSE), VLOOKUP('Staging Table'!$A41, LS_previous!$B$4:$AY$138,LS_previous!AX$149, FALSE))/2)</f>
        <v>57.253707520000034</v>
      </c>
      <c r="AI41" s="192">
        <f t="array" ref="AI41">IF($G41=0, INDEX(LS_previous!$D$4:$AY$138, MATCH('Staging Table'!$A41, LS_previous!$B$4:$B$138, 0), MATCH(AI$4&amp;AI$5, LS_previous!$D$2:$AY$2&amp;LS_previous!$D$3:$AY$3, 0)),SUM(VLOOKUP($A41, LS_previous!$B$4:$AY$138, LS_previous!AA$149, FALSE), VLOOKUP('Staging Table'!$A41, LS_previous!$B$4:$AY$138,LS_previous!AY$149, FALSE))/2)</f>
        <v>47.277832696000132</v>
      </c>
      <c r="AJ41" s="314">
        <f t="array" ref="AJ41">INDEX(Demand_previous!$D$4:$AY$138, MATCH('Staging Table'!$A41, Demand_previous!$B$4:$B$138, 0), MATCH(AJ$4&amp;AJ$5,Demand_previous!$D$2:$AY$2&amp;Demand_previous!$D$3:$AY$3, 0))/1000</f>
        <v>0.57811342592592629</v>
      </c>
      <c r="AK41" s="314">
        <f t="array" ref="AK41">INDEX(Demand_previous!$D$4:$AY$138, MATCH('Staging Table'!$A41, Demand_previous!$B$4:$B$138, 0), MATCH(AK$4&amp;AK$5,Demand_previous!$D$2:$AY$2&amp;Demand_previous!$D$3:$AY$3, 0))/1000</f>
        <v>0.24296499999999985</v>
      </c>
      <c r="AL41" s="314">
        <f t="array" ref="AL41">INDEX(Demand_previous!$D$4:$AY$138, MATCH('Staging Table'!$A41, Demand_previous!$B$4:$B$138, 0), MATCH(AL$4&amp;AL$5,Demand_previous!$D$2:$AY$2&amp;Demand_previous!$D$3:$AY$3, 0))/1000</f>
        <v>0.44034000000000084</v>
      </c>
      <c r="AM41" s="314">
        <f t="array" ref="AM41">INDEX(Demand_previous!$D$4:$AY$138, MATCH('Staging Table'!$A41, Demand_previous!$B$4:$B$138, 0), MATCH(AM$4&amp;AM$5,Demand_previous!$D$2:$AY$2&amp;Demand_previous!$D$3:$AY$3, 0))/1000</f>
        <v>0.56383173076923054</v>
      </c>
      <c r="AN41" s="314">
        <f t="array" ref="AN41">INDEX(Demand_previous!$D$4:$AY$138, MATCH('Staging Table'!$A41, Demand_previous!$B$4:$B$138, 0), MATCH(AN$4&amp;AN$5,Demand_previous!$D$2:$AY$2&amp;Demand_previous!$D$3:$AY$3, 0))/1000</f>
        <v>0.42255500000000024</v>
      </c>
      <c r="AO41" s="314">
        <f t="array" ref="AO41">INDEX(Demand_previous!$D$4:$AY$138, MATCH('Staging Table'!$A41, Demand_previous!$B$4:$B$138, 0), MATCH(AO$4&amp;AO$5,Demand_previous!$D$2:$AY$2&amp;Demand_previous!$D$3:$AY$3, 0))/1000</f>
        <v>0</v>
      </c>
      <c r="AP41" s="314">
        <f t="array" ref="AP41">INDEX(Demand_previous!$D$4:$AY$138, MATCH('Staging Table'!$A41, Demand_previous!$B$4:$B$138, 0), MATCH(AP$4&amp;AP$5,Demand_previous!$D$2:$AY$2&amp;Demand_previous!$D$3:$AY$3, 0))/1000</f>
        <v>0.47468990384615417</v>
      </c>
      <c r="AQ41" s="314">
        <f t="array" ref="AQ41">INDEX(Demand_previous!$D$4:$AY$138, MATCH('Staging Table'!$A41, Demand_previous!$B$4:$B$138, 0), MATCH(AQ$4&amp;AQ$5,Demand_previous!$D$2:$AY$2&amp;Demand_previous!$D$3:$AY$3, 0))/1000</f>
        <v>0.18515000000000015</v>
      </c>
      <c r="AR41" s="314">
        <f t="array" ref="AR41">INDEX(Demand_previous!$D$4:$AY$138, MATCH('Staging Table'!$A41, Demand_previous!$B$4:$B$138, 0), MATCH(AR$4&amp;AR$5,Demand_previous!$D$2:$AY$2&amp;Demand_previous!$D$3:$AY$3, 0))/1000</f>
        <v>0.11603125000000003</v>
      </c>
      <c r="AS41" s="314">
        <f t="array" ref="AS41">INDEX(Demand_previous!$D$4:$AY$138, MATCH('Staging Table'!$A41, Demand_previous!$B$4:$B$138, 0), MATCH(AS$4&amp;AS$5,Demand_previous!$D$2:$AY$2&amp;Demand_previous!$D$3:$AY$3, 0))/1000</f>
        <v>0.28756971153846167</v>
      </c>
      <c r="AT41" s="314">
        <f t="array" ref="AT41">INDEX(Demand_previous!$D$4:$AY$138, MATCH('Staging Table'!$A41, Demand_previous!$B$4:$B$138, 0), MATCH(AT$4&amp;AT$5,Demand_previous!$D$2:$AY$2&amp;Demand_previous!$D$3:$AY$3, 0))/1000</f>
        <v>0</v>
      </c>
      <c r="AU41" s="314">
        <f t="array" ref="AU41">INDEX(Demand_previous!$D$4:$AY$138, MATCH('Staging Table'!$A41, Demand_previous!$B$4:$B$138, 0), MATCH(AU$4&amp;AU$5,Demand_previous!$D$2:$AY$2&amp;Demand_previous!$D$3:$AY$3, 0))/1000</f>
        <v>0.21489500000000072</v>
      </c>
      <c r="AV41" s="192">
        <f>$F41*(VLOOKUP(AV$4, Rates_previous!$G$6:$Q$29, 10, FALSE)+VLOOKUP(AV$4, Rates_previous!$G$6:$Q$29, 11, FALSE))</f>
        <v>2381.6122096967997</v>
      </c>
      <c r="AW41" s="192">
        <f>$F41*(VLOOKUP(AW$4, Rates_previous!$G$6:$Q$29, 10, FALSE)+VLOOKUP(AW$4, Rates_previous!$G$6:$Q$29, 11, FALSE))</f>
        <v>3025.3904646761998</v>
      </c>
      <c r="AX41" s="192">
        <f>$F41*(VLOOKUP(AX$4, Rates_previous!$G$6:$Q$29, 10, FALSE)+VLOOKUP(AX$4, Rates_previous!$G$6:$Q$29, 11, FALSE))</f>
        <v>2988.8547810967998</v>
      </c>
      <c r="AY41" s="192">
        <f>$F41*(VLOOKUP(AY$4, Rates_previous!$G$6:$Q$29, 10, FALSE)+VLOOKUP(AY$4, Rates_previous!$G$6:$Q$29, 11, FALSE))</f>
        <v>2491.3925026968</v>
      </c>
      <c r="AZ41" s="192">
        <f>$F41*(VLOOKUP(AZ$4, Rates_previous!$G$6:$Q$29, 10, FALSE)+VLOOKUP(AZ$4, Rates_previous!$G$6:$Q$29, 11, FALSE))</f>
        <v>2256.9431454399996</v>
      </c>
      <c r="BA41" s="192">
        <f>$F41*(VLOOKUP(BA$4, Rates_previous!$G$6:$Q$29, 10, FALSE)+VLOOKUP(BA$4, Rates_previous!$G$6:$Q$29, 11, FALSE))</f>
        <v>2510.4377683045996</v>
      </c>
      <c r="BB41" s="192">
        <f>$F41*(VLOOKUP(BB$4, Rates_previous!$G$6:$Q$29, 10, FALSE)+VLOOKUP(BB$4, Rates_previous!$G$6:$Q$29, 11, FALSE))</f>
        <v>2044.0011399839998</v>
      </c>
      <c r="BC41" s="192">
        <f>$F41*(VLOOKUP(BC$4, Rates_previous!$G$6:$Q$29, 10, FALSE)+VLOOKUP(BC$4, Rates_previous!$G$6:$Q$29, 11, FALSE))</f>
        <v>2756.6403315968</v>
      </c>
      <c r="BD41" s="192">
        <f>$F41*(VLOOKUP(BD$4, Rates_previous!$G$6:$Q$29, 10, FALSE)+VLOOKUP(BD$4, Rates_previous!$G$6:$Q$29, 11, FALSE))</f>
        <v>3517.2855800839998</v>
      </c>
      <c r="BE41" s="192">
        <f>$F41*(VLOOKUP(BE$4, Rates_previous!$G$6:$Q$29, 10, FALSE)+VLOOKUP(BE$4, Rates_previous!$G$6:$Q$29, 11, FALSE))</f>
        <v>2757.6634208967998</v>
      </c>
      <c r="BF41" s="192">
        <f>$F41*(VLOOKUP(BF$4, Rates_previous!$G$6:$Q$29, 10, FALSE)+VLOOKUP(BF$4, Rates_previous!$G$6:$Q$29, 11, FALSE))</f>
        <v>2685.4150569968001</v>
      </c>
      <c r="BG41" s="192">
        <f>$F41*(VLOOKUP(BG$4, Rates_previous!$G$6:$Q$29, 10, FALSE)+VLOOKUP(BG$4, Rates_previous!$G$6:$Q$29, 11, FALSE))</f>
        <v>2410.9314597840003</v>
      </c>
      <c r="BH41" s="314">
        <f>IF($D41=0,IF(C41=0, MAX(BJ41 - (VLOOKUP($A41,TOCA_previous!$A$2:$AI$137,MATCH("RHWM 2020",TOCA_previous!$A$2:$AI$2,0),FALSE)*$F$2*TOCA_previous!C38),0),0), 0)</f>
        <v>1149.9101945927978</v>
      </c>
      <c r="BI41" s="204">
        <f>MIN(VLOOKUP($A41,TOCA_previous!$A$2:$AI$137,MATCH("TRL - NLSL - Existing Resource "&amp;$F$1,TOCA_previous!$A$2:$AI$2,0),FALSE)*$F$2,(VLOOKUP($A41,TOCA_previous!$A$2:$AI$137,MATCH("RHWM 2020",TOCA_previous!$A$2:$AI$2,0),FALSE)*$F$2))</f>
        <v>31824.432000000001</v>
      </c>
      <c r="BJ41" s="418">
        <f>SUM(L41:AI41)+(F41*RT1SC!$C$3*$F$2)</f>
        <v>32974.342194592798</v>
      </c>
      <c r="BK41" s="417">
        <f>VLOOKUP($A41,TOCA_previous!$A$2:$AI$137,MATCH("Above RHWM Not Served with LS "&amp;$F$1,TOCA_previous!$A$2:$AI$2,0),FALSE)*$F$2</f>
        <v>0</v>
      </c>
      <c r="BL41" s="418">
        <f t="shared" si="8"/>
        <v>1149.9101945927978</v>
      </c>
      <c r="BM41" s="417">
        <f>(VLOOKUP($A41,TOCA_previous!$A$2:$AI$137,MATCH("RHWM 2020",TOCA_previous!$A$2:$AI$2,0),FALSE)*$F$2) - $BI41</f>
        <v>0</v>
      </c>
      <c r="BN41" s="418">
        <f t="shared" si="9"/>
        <v>0</v>
      </c>
      <c r="BO41" s="417">
        <f t="shared" si="10"/>
        <v>0</v>
      </c>
      <c r="BP41" s="418">
        <f t="shared" si="11"/>
        <v>0</v>
      </c>
      <c r="BQ41" s="417">
        <f t="shared" si="18"/>
        <v>0</v>
      </c>
      <c r="BR41" s="120">
        <f>VLOOKUP($A41,TOCA_current!$A$2:$AI$137,MATCH(BR$4,TOCA_current!$A$2:$AI$2,0),FALSE)</f>
        <v>5.1590000000000002E-4</v>
      </c>
      <c r="BS41" s="120">
        <f>VLOOKUP($A41,TOCA_current!$A$2:$AI$137,MATCH(BS$4,TOCA_current!$A$2:$AI$2,0),FALSE)</f>
        <v>5.1590000000000002E-4</v>
      </c>
      <c r="BT41" s="201">
        <f t="shared" si="12"/>
        <v>0</v>
      </c>
      <c r="BU41" s="120">
        <f>VLOOKUP($A41,TOCA_current!A37:BG172,MATCH(BU$4,TOCA_current!$A$2:$BG$2,0),FALSE)</f>
        <v>0</v>
      </c>
      <c r="BV41" s="120">
        <f t="shared" si="19"/>
        <v>0</v>
      </c>
      <c r="BW41" s="120">
        <f t="shared" si="20"/>
        <v>0</v>
      </c>
      <c r="BX41" s="191">
        <f>VLOOKUP($A41,IRD!$A$4:$G$139, 7, FALSE)</f>
        <v>0</v>
      </c>
      <c r="BY41" s="192">
        <f t="array" ref="BY41">IF($BT41=0, INDEX(LS_current!$D$4:$AY$138, MATCH('Staging Table'!$A41, LS_current!$B$4:$B$138, 0), MATCH(BY$4&amp;BY$5, LS_current!$D$2:$AY$2&amp;LS_current!$D$3:$AY$3, 0)),SUM(VLOOKUP($A41, LS_current!$B$4:$AY$138, LS_current!D$148, FALSE), VLOOKUP($A41, LS_current!$B$4:$AY$138,LS_current!AB$148, FALSE))/2)</f>
        <v>157.61130252613543</v>
      </c>
      <c r="BZ41" s="192">
        <f t="array" ref="BZ41">IF($BT41=0, INDEX(LS_current!$D$4:$AY$138, MATCH('Staging Table'!$A41, LS_current!$B$4:$B$138, 0), MATCH(BZ$4&amp;BZ$5, LS_current!$D$2:$AY$2&amp;LS_current!$D$3:$AY$3, 0)),SUM(VLOOKUP($A41, LS_current!$B$4:$AY$138, LS_current!E$148, FALSE), VLOOKUP($A41, LS_current!$B$4:$AY$138,LS_current!AC$148, FALSE))/2)</f>
        <v>99.66808880223266</v>
      </c>
      <c r="CA41" s="192">
        <f t="array" ref="CA41">IF($BT41=0, INDEX(LS_current!$D$4:$AY$138, MATCH('Staging Table'!$A41, LS_current!$B$4:$B$138, 0), MATCH(CA$4&amp;CA$5, LS_current!$D$2:$AY$2&amp;LS_current!$D$3:$AY$3, 0)),SUM(VLOOKUP($A41, LS_current!$B$4:$AY$138, LS_current!F$148, FALSE), VLOOKUP($A41, LS_current!$B$4:$AY$138,LS_current!AD$148, FALSE))/2)</f>
        <v>-206.4119134895825</v>
      </c>
      <c r="CB41" s="192">
        <f t="array" ref="CB41">IF($BT41=0, INDEX(LS_current!$D$4:$AY$138, MATCH('Staging Table'!$A41, LS_current!$B$4:$B$138, 0), MATCH(CB$4&amp;CB$5, LS_current!$D$2:$AY$2&amp;LS_current!$D$3:$AY$3, 0)),SUM(VLOOKUP($A41, LS_current!$B$4:$AY$138, LS_current!G$148, FALSE), VLOOKUP($A41, LS_current!$B$4:$AY$138,LS_current!AE$148, FALSE))/2)</f>
        <v>-180.05927557929397</v>
      </c>
      <c r="CC41" s="192">
        <f t="array" ref="CC41">IF($BT41=0, INDEX(LS_current!$D$4:$AY$138, MATCH('Staging Table'!$A41, LS_current!$B$4:$B$138, 0), MATCH(CC$4&amp;CC$5, LS_current!$D$2:$AY$2&amp;LS_current!$D$3:$AY$3, 0)),SUM(VLOOKUP($A41, LS_current!$B$4:$AY$138, LS_current!H$148, FALSE), VLOOKUP($A41, LS_current!$B$4:$AY$138,LS_current!AF$148, FALSE))/2)</f>
        <v>27.068055663461564</v>
      </c>
      <c r="CD41" s="192">
        <f t="array" ref="CD41">IF($BT41=0, INDEX(LS_current!$D$4:$AY$138, MATCH('Staging Table'!$A41, LS_current!$B$4:$B$138, 0), MATCH(CD$4&amp;CD$5, LS_current!$D$2:$AY$2&amp;LS_current!$D$3:$AY$3, 0)),SUM(VLOOKUP($A41, LS_current!$B$4:$AY$138, LS_current!I$148, FALSE), VLOOKUP($A41, LS_current!$B$4:$AY$138,LS_current!AG$148, FALSE))/2)</f>
        <v>-229.48888112427358</v>
      </c>
      <c r="CE41" s="192">
        <f t="array" ref="CE41">IF($BT41=0, INDEX(LS_current!$D$4:$AY$138, MATCH('Staging Table'!$A41, LS_current!$B$4:$B$138, 0), MATCH(CE$4&amp;CE$5, LS_current!$D$2:$AY$2&amp;LS_current!$D$3:$AY$3, 0)),SUM(VLOOKUP($A41, LS_current!$B$4:$AY$138, LS_current!J$148, FALSE), VLOOKUP($A41, LS_current!$B$4:$AY$138,LS_current!AH$148, FALSE))/2)</f>
        <v>573.59201976803024</v>
      </c>
      <c r="CF41" s="192">
        <f t="array" ref="CF41">IF($BT41=0, INDEX(LS_current!$D$4:$AY$138, MATCH('Staging Table'!$A41, LS_current!$B$4:$B$138, 0), MATCH(CF$4&amp;CF$5, LS_current!$D$2:$AY$2&amp;LS_current!$D$3:$AY$3, 0)),SUM(VLOOKUP($A41, LS_current!$B$4:$AY$138, LS_current!K$148, FALSE), VLOOKUP($A41, LS_current!$B$4:$AY$138,LS_current!AI$148, FALSE))/2)</f>
        <v>191.29352228440848</v>
      </c>
      <c r="CG41" s="192">
        <f t="array" ref="CG41">IF($BT41=0, INDEX(LS_current!$D$4:$AY$138, MATCH('Staging Table'!$A41, LS_current!$B$4:$B$138, 0), MATCH(CG$4&amp;CG$5, LS_current!$D$2:$AY$2&amp;LS_current!$D$3:$AY$3, 0)),SUM(VLOOKUP($A41, LS_current!$B$4:$AY$138, LS_current!L$148, FALSE), VLOOKUP($A41, LS_current!$B$4:$AY$138,LS_current!AJ$148, FALSE))/2)</f>
        <v>595.92056623405847</v>
      </c>
      <c r="CH41" s="192">
        <f t="array" ref="CH41">IF($BT41=0, INDEX(LS_current!$D$4:$AY$138, MATCH('Staging Table'!$A41, LS_current!$B$4:$B$138, 0), MATCH(CH$4&amp;CH$5, LS_current!$D$2:$AY$2&amp;LS_current!$D$3:$AY$3, 0)),SUM(VLOOKUP($A41, LS_current!$B$4:$AY$138, LS_current!M$148, FALSE), VLOOKUP($A41, LS_current!$B$4:$AY$138,LS_current!AK$148, FALSE))/2)</f>
        <v>151.08617975526681</v>
      </c>
      <c r="CI41" s="192">
        <f t="array" ref="CI41">IF($BT41=0, INDEX(LS_current!$D$4:$AY$138, MATCH('Staging Table'!$A41, LS_current!$B$4:$B$138, 0), MATCH(CI$4&amp;CI$5, LS_current!$D$2:$AY$2&amp;LS_current!$D$3:$AY$3, 0)),SUM(VLOOKUP($A41, LS_current!$B$4:$AY$138, LS_current!N$148, FALSE), VLOOKUP($A41, LS_current!$B$4:$AY$138,LS_current!AL$148, FALSE))/2)</f>
        <v>449.17313024839723</v>
      </c>
      <c r="CJ41" s="192">
        <f t="array" ref="CJ41">IF($BT41=0, INDEX(LS_current!$D$4:$AY$138, MATCH('Staging Table'!$A41, LS_current!$B$4:$B$138, 0), MATCH(CJ$4&amp;CJ$5, LS_current!$D$2:$AY$2&amp;LS_current!$D$3:$AY$3, 0)),SUM(VLOOKUP($A41, LS_current!$B$4:$AY$138, LS_current!O$148, FALSE), VLOOKUP($A41, LS_current!$B$4:$AY$138,LS_current!AM$148, FALSE))/2)</f>
        <v>101.28433819563634</v>
      </c>
      <c r="CK41" s="192">
        <f t="array" ref="CK41">IF($BT41=0, INDEX(LS_current!$D$4:$AY$138, MATCH('Staging Table'!$A41, LS_current!$B$4:$B$138, 0), MATCH(CK$4&amp;CK$5, LS_current!$D$2:$AY$2&amp;LS_current!$D$3:$AY$3, 0)),SUM(VLOOKUP($A41, LS_current!$B$4:$AY$138, LS_current!P$148, FALSE), VLOOKUP($A41, LS_current!$B$4:$AY$138,LS_current!AN$148, FALSE))/2)</f>
        <v>575.70589698731715</v>
      </c>
      <c r="CL41" s="192">
        <f t="array" ref="CL41">IF($BT41=0, INDEX(LS_current!$D$4:$AY$138, MATCH('Staging Table'!$A41, LS_current!$B$4:$B$138, 0), MATCH(CL$4&amp;CL$5, LS_current!$D$2:$AY$2&amp;LS_current!$D$3:$AY$3, 0)),SUM(VLOOKUP($A41, LS_current!$B$4:$AY$138, LS_current!Q$148, FALSE), VLOOKUP($A41, LS_current!$B$4:$AY$138,LS_current!AO$148, FALSE))/2)</f>
        <v>214.28399122087001</v>
      </c>
      <c r="CM41" s="192">
        <f t="array" ref="CM41">IF($BT41=0, INDEX(LS_current!$D$4:$AY$138, MATCH('Staging Table'!$A41, LS_current!$B$4:$B$138, 0), MATCH(CM$4&amp;CM$5, LS_current!$D$2:$AY$2&amp;LS_current!$D$3:$AY$3, 0)),SUM(VLOOKUP($A41, LS_current!$B$4:$AY$138, LS_current!R$148, FALSE), VLOOKUP($A41, LS_current!$B$4:$AY$138,LS_current!AP$148, FALSE))/2)</f>
        <v>-105.89662088340924</v>
      </c>
      <c r="CN41" s="192">
        <f t="array" ref="CN41">IF($BT41=0, INDEX(LS_current!$D$4:$AY$138, MATCH('Staging Table'!$A41, LS_current!$B$4:$B$138, 0), MATCH(CN$4&amp;CN$5, LS_current!$D$2:$AY$2&amp;LS_current!$D$3:$AY$3, 0)),SUM(VLOOKUP($A41, LS_current!$B$4:$AY$138, LS_current!S$148, FALSE), VLOOKUP($A41, LS_current!$B$4:$AY$138,LS_current!AQ$148, FALSE))/2)</f>
        <v>156.88687456485854</v>
      </c>
      <c r="CO41" s="192">
        <f t="array" ref="CO41">IF($BT41=0, INDEX(LS_current!$D$4:$AY$138, MATCH('Staging Table'!$A41, LS_current!$B$4:$B$138, 0), MATCH(CO$4&amp;CO$5, LS_current!$D$2:$AY$2&amp;LS_current!$D$3:$AY$3, 0)),SUM(VLOOKUP($A41, LS_current!$B$4:$AY$138, LS_current!T$148, FALSE), VLOOKUP($A41, LS_current!$B$4:$AY$138,LS_current!AR$148, FALSE))/2)</f>
        <v>-303.36308977594422</v>
      </c>
      <c r="CP41" s="192">
        <f t="array" ref="CP41">IF($BT41=0, INDEX(LS_current!$D$4:$AY$138, MATCH('Staging Table'!$A41, LS_current!$B$4:$B$138, 0), MATCH(CP$4&amp;CP$5, LS_current!$D$2:$AY$2&amp;LS_current!$D$3:$AY$3, 0)),SUM(VLOOKUP($A41, LS_current!$B$4:$AY$138, LS_current!U$148, FALSE), VLOOKUP($A41, LS_current!$B$4:$AY$138,LS_current!AS$148, FALSE))/2)</f>
        <v>75.064360263679077</v>
      </c>
      <c r="CQ41" s="192">
        <f t="array" ref="CQ41">IF($BT41=0, INDEX(LS_current!$D$4:$AY$138, MATCH('Staging Table'!$A41, LS_current!$B$4:$B$138, 0), MATCH(CQ$4&amp;CQ$5, LS_current!$D$2:$AY$2&amp;LS_current!$D$3:$AY$3, 0)),SUM(VLOOKUP($A41, LS_current!$B$4:$AY$138, LS_current!V$148, FALSE), VLOOKUP($A41, LS_current!$B$4:$AY$138,LS_current!AT$148, FALSE))/2)</f>
        <v>-126.75355007156168</v>
      </c>
      <c r="CR41" s="192">
        <f t="array" ref="CR41">IF($BT41=0, INDEX(LS_current!$D$4:$AY$138, MATCH('Staging Table'!$A41, LS_current!$B$4:$B$138, 0), MATCH(CR$4&amp;CR$5, LS_current!$D$2:$AY$2&amp;LS_current!$D$3:$AY$3, 0)),SUM(VLOOKUP($A41, LS_current!$B$4:$AY$138, LS_current!W$148, FALSE), VLOOKUP($A41, LS_current!$B$4:$AY$138,LS_current!AU$148, FALSE))/2)</f>
        <v>123.12259267721151</v>
      </c>
      <c r="CS41" s="192">
        <f t="array" ref="CS41">IF($BT41=0, INDEX(LS_current!$D$4:$AY$138, MATCH('Staging Table'!$A41, LS_current!$B$4:$B$138, 0), MATCH(CS$4&amp;CS$5, LS_current!$D$2:$AY$2&amp;LS_current!$D$3:$AY$3, 0)),SUM(VLOOKUP($A41, LS_current!$B$4:$AY$138, LS_current!X$148, FALSE), VLOOKUP($A41, LS_current!$B$4:$AY$138,LS_current!AV$148, FALSE))/2)</f>
        <v>24.697802609007567</v>
      </c>
      <c r="CT41" s="192">
        <f t="array" ref="CT41">IF($BT41=0, INDEX(LS_current!$D$4:$AY$138, MATCH('Staging Table'!$A41, LS_current!$B$4:$B$138, 0), MATCH(CT$4&amp;CT$5, LS_current!$D$2:$AY$2&amp;LS_current!$D$3:$AY$3, 0)),SUM(VLOOKUP($A41, LS_current!$B$4:$AY$138, LS_current!Y$148, FALSE), VLOOKUP($A41, LS_current!$B$4:$AY$138,LS_current!AW$148, FALSE))/2)</f>
        <v>75.704058604499664</v>
      </c>
      <c r="CU41" s="192">
        <f t="array" ref="CU41">IF($BT41=0, INDEX(LS_current!$D$4:$AY$138, MATCH('Staging Table'!$A41, LS_current!$B$4:$B$138, 0), MATCH(CU$4&amp;CU$5, LS_current!$D$2:$AY$2&amp;LS_current!$D$3:$AY$3, 0)),SUM(VLOOKUP($A41, LS_current!$B$4:$AY$138, LS_current!Z$148, FALSE), VLOOKUP($A41, LS_current!$B$4:$AY$138,LS_current!AX$148, FALSE))/2)</f>
        <v>53.704511708639757</v>
      </c>
      <c r="CV41" s="192">
        <f t="array" ref="CV41">IF($BT41=0, INDEX(LS_current!$D$4:$AY$138, MATCH('Staging Table'!$A41, LS_current!$B$4:$B$138, 0), MATCH(CV$4&amp;CV$5, LS_current!$D$2:$AY$2&amp;LS_current!$D$3:$AY$3, 0)),SUM(VLOOKUP($A41, LS_current!$B$4:$AY$138, LS_current!AA$148, FALSE), VLOOKUP($A41, LS_current!$B$4:$AY$138,LS_current!AY$148, FALSE))/2)</f>
        <v>36.929149172019038</v>
      </c>
      <c r="CW41" s="194">
        <f t="array" ref="CW41">INDEX(Demand_current!$D$4:$AY$138, MATCH($A41, Demand_current!$B$4:$B$138, 0), MATCH(CW$4&amp;CW$5,Demand_current!$D$2:$AY$2&amp;Demand_current!$D$3:$AY$3, 0))/1000</f>
        <v>0.42992548076923154</v>
      </c>
      <c r="CX41" s="194">
        <f t="array" ref="CX41">INDEX(Demand_current!$D$4:$AY$138, MATCH($A41, Demand_current!$B$4:$B$138, 0), MATCH(CX$4&amp;CX$5,Demand_current!$D$2:$AY$2&amp;Demand_current!$D$3:$AY$3, 0))/1000</f>
        <v>0.24296499999999985</v>
      </c>
      <c r="CY41" s="194">
        <f t="array" ref="CY41">INDEX(Demand_current!$D$4:$AY$138, MATCH($A41, Demand_current!$B$4:$B$138, 0), MATCH(CY$4&amp;CY$5,Demand_current!$D$2:$AY$2&amp;Demand_current!$D$3:$AY$3, 0))/1000</f>
        <v>0.6028653846153853</v>
      </c>
      <c r="CZ41" s="194">
        <f t="array" ref="CZ41">INDEX(Demand_current!$D$4:$AY$138, MATCH($A41, Demand_current!$B$4:$B$138, 0), MATCH(CZ$4&amp;CZ$5,Demand_current!$D$2:$AY$2&amp;Demand_current!$D$3:$AY$3, 0))/1000</f>
        <v>0.37714500000000051</v>
      </c>
      <c r="DA41" s="194">
        <f t="array" ref="DA41">INDEX(Demand_current!$D$4:$AY$138, MATCH($A41, Demand_current!$B$4:$B$138, 0), MATCH(DA$4&amp;DA$5,Demand_current!$D$2:$AY$2&amp;Demand_current!$D$3:$AY$3, 0))/1000</f>
        <v>0.23436979166666672</v>
      </c>
      <c r="DB41" s="194">
        <f t="array" ref="DB41">INDEX(Demand_current!$D$4:$AY$138, MATCH($A41, Demand_current!$B$4:$B$138, 0), MATCH(DB$4&amp;DB$5,Demand_current!$D$2:$AY$2&amp;Demand_current!$D$3:$AY$3, 0))/1000</f>
        <v>0.15718055555555588</v>
      </c>
      <c r="DC41" s="194">
        <f t="array" ref="DC41">INDEX(Demand_current!$D$4:$AY$138, MATCH($A41, Demand_current!$B$4:$B$138, 0), MATCH(DC$4&amp;DC$5,Demand_current!$D$2:$AY$2&amp;Demand_current!$D$3:$AY$3, 0))/1000</f>
        <v>0.47468990384615417</v>
      </c>
      <c r="DD41" s="194">
        <f t="array" ref="DD41">INDEX(Demand_current!$D$4:$AY$138, MATCH($A41, Demand_current!$B$4:$B$138, 0), MATCH(DD$4&amp;DD$5,Demand_current!$D$2:$AY$2&amp;Demand_current!$D$3:$AY$3, 0))/1000</f>
        <v>0.18515000000000015</v>
      </c>
      <c r="DE41" s="194">
        <f t="array" ref="DE41">INDEX(Demand_current!$D$4:$AY$138, MATCH($A41, Demand_current!$B$4:$B$138, 0), MATCH(DE$4&amp;DE$5,Demand_current!$D$2:$AY$2&amp;Demand_current!$D$3:$AY$3, 0))/1000</f>
        <v>0.11603125000000003</v>
      </c>
      <c r="DF41" s="194">
        <f t="array" ref="DF41">INDEX(Demand_current!$D$4:$AY$138, MATCH($A41, Demand_current!$B$4:$B$138, 0), MATCH(DF$4&amp;DF$5,Demand_current!$D$2:$AY$2&amp;Demand_current!$D$3:$AY$3, 0))/1000</f>
        <v>0.12587250000000005</v>
      </c>
      <c r="DG41" s="194">
        <f t="array" ref="DG41">INDEX(Demand_current!$D$4:$AY$138, MATCH($A41, Demand_current!$B$4:$B$138, 0), MATCH(DG$4&amp;DG$5,Demand_current!$D$2:$AY$2&amp;Demand_current!$D$3:$AY$3, 0))/1000</f>
        <v>0.15534027777777715</v>
      </c>
      <c r="DH41" s="194">
        <f t="array" ref="DH41">INDEX(Demand_current!$D$4:$AY$138, MATCH($A41, Demand_current!$B$4:$B$138, 0), MATCH(DH$4&amp;DH$5,Demand_current!$D$2:$AY$2&amp;Demand_current!$D$3:$AY$3, 0))/1000</f>
        <v>0.21489500000000072</v>
      </c>
      <c r="DI41" s="192">
        <f>$BS41*(VLOOKUP(DI$4, Rates_current!$G$6:$Q$29, 10, FALSE)+VLOOKUP(DI$4, Rates_current!$G$6:$Q$29, 11, FALSE))</f>
        <v>2349.3696086716318</v>
      </c>
      <c r="DJ41" s="192">
        <f>$BS41*(VLOOKUP(DJ$4, Rates_current!$G$6:$Q$29, 10, FALSE)+VLOOKUP(DJ$4, Rates_current!$G$6:$Q$29, 11, FALSE))</f>
        <v>2974.387189068877</v>
      </c>
      <c r="DK41" s="192">
        <f>$BS41*(VLOOKUP(DK$4, Rates_current!$G$6:$Q$29, 10, FALSE)+VLOOKUP(DK$4, Rates_current!$G$6:$Q$29, 11, FALSE))</f>
        <v>2911.3308254608119</v>
      </c>
      <c r="DL41" s="192">
        <f>$BS41*(VLOOKUP(DL$4, Rates_current!$G$6:$Q$29, 10, FALSE)+VLOOKUP(DL$4, Rates_current!$G$6:$Q$29, 11, FALSE))</f>
        <v>2404.6354579475615</v>
      </c>
      <c r="DM41" s="192">
        <f>$BS41*(VLOOKUP(DM$4, Rates_current!$G$6:$Q$29, 10, FALSE)+VLOOKUP(DM$4, Rates_current!$G$6:$Q$29, 11, FALSE))</f>
        <v>2084.1502540106749</v>
      </c>
      <c r="DN41" s="192">
        <f>$BS41*(VLOOKUP(DN$4, Rates_current!$G$6:$Q$29, 10, FALSE)+VLOOKUP(DN$4, Rates_current!$G$6:$Q$29, 11, FALSE))</f>
        <v>2488.0545315559666</v>
      </c>
      <c r="DO41" s="192">
        <f>$BS41*(VLOOKUP(DO$4, Rates_current!$G$6:$Q$29, 10, FALSE)+VLOOKUP(DO$4, Rates_current!$G$6:$Q$29, 11, FALSE))</f>
        <v>1931.6431117918128</v>
      </c>
      <c r="DP41" s="192">
        <f>$BS41*(VLOOKUP(DP$4, Rates_current!$G$6:$Q$29, 10, FALSE)+VLOOKUP(DP$4, Rates_current!$G$6:$Q$29, 11, FALSE))</f>
        <v>2676.3057463185505</v>
      </c>
      <c r="DQ41" s="192">
        <f>$BS41*(VLOOKUP(DQ$4, Rates_current!$G$6:$Q$29, 10, FALSE)+VLOOKUP(DQ$4, Rates_current!$G$6:$Q$29, 11, FALSE))</f>
        <v>2859.6887295122647</v>
      </c>
      <c r="DR41" s="192">
        <f>$BS41*(VLOOKUP(DR$4, Rates_current!$G$6:$Q$29, 10, FALSE)+VLOOKUP(DR$4, Rates_current!$G$6:$Q$29, 11, FALSE))</f>
        <v>2715.1449573943505</v>
      </c>
      <c r="DS41" s="192">
        <f>$BS41*(VLOOKUP(DS$4, Rates_current!$G$6:$Q$29, 10, FALSE)+VLOOKUP(DS$4, Rates_current!$G$6:$Q$29, 11, FALSE))</f>
        <v>2623.9781387864928</v>
      </c>
      <c r="DT41" s="192">
        <f>$BS41*(VLOOKUP(DT$4, Rates_current!$G$6:$Q$29, 10, FALSE)+VLOOKUP(DT$4, Rates_current!$G$6:$Q$29, 11, FALSE))</f>
        <v>2424.8293391193411</v>
      </c>
      <c r="DU41" s="418">
        <f>IF(D41=0,IF(C41=0,MAX(0,DW41 - (VLOOKUP($A41,TOCA_current!$A$2:$AI$137,MATCH("RHWM 2022",TOCA_current!$A$2:$AI$2,0),FALSE)*$BS$2)), 0),0)</f>
        <v>2533.3425573176719</v>
      </c>
      <c r="DV41" s="419">
        <f>MIN(VLOOKUP($A41,TOCA_current!$A$2:$AI$137,MATCH("TRL - NLSL - Existing Resource "&amp;$BS$1,TOCA_current!$A$2:$AI$2,0),FALSE)*$BS$2, VLOOKUP($A41,TOCA_current!$A$2:$AI$137,MATCH("RHWM 2022",TOCA_current!$A$2:$AI$2,0),FALSE)*$BS$2)</f>
        <v>30441</v>
      </c>
      <c r="DW41" s="419">
        <f>SUM(BY41:CV41)+(BS41*RT1SC!$C$4*$BS$2)</f>
        <v>32974.342557317672</v>
      </c>
      <c r="DX41" s="419">
        <f>VLOOKUP($A41,TOCA_current!$A$2:$AI$137,MATCH("Above RHWM Not Served with LS "&amp;$BS$1,TOCA_current!$A$2:$AI$2,0),FALSE)*$BS$2</f>
        <v>0</v>
      </c>
      <c r="DY41" s="419">
        <f t="shared" si="13"/>
        <v>2533.3425573176719</v>
      </c>
      <c r="DZ41" s="419">
        <f>(VLOOKUP($A41,TOCA_current!$A$2:$AI$137,MATCH("RHWM 2022",TOCA_current!$A$2:$AI$2,0),FALSE)*$BS$2) - $DV41</f>
        <v>0</v>
      </c>
      <c r="EA41" s="419">
        <f t="shared" si="14"/>
        <v>0</v>
      </c>
      <c r="EB41" s="419">
        <f t="shared" si="15"/>
        <v>0</v>
      </c>
      <c r="EC41" s="419">
        <f t="shared" si="16"/>
        <v>0</v>
      </c>
      <c r="ED41" s="419">
        <f t="shared" si="17"/>
        <v>0</v>
      </c>
    </row>
    <row r="42" spans="1:134">
      <c r="A42" s="135">
        <v>10097</v>
      </c>
      <c r="B42" s="136" t="s">
        <v>43</v>
      </c>
      <c r="C42" s="244">
        <f>VLOOKUP(A42, TOCA_current!$A$3:$D$137, 4, FALSE)</f>
        <v>0</v>
      </c>
      <c r="D42" s="203">
        <v>0</v>
      </c>
      <c r="E42" s="119">
        <f>VLOOKUP($A42,TOCA_previous!$A$2:$AI$137,MATCH(E$4,TOCA_previous!$A$2:$AI$2,0),FALSE)</f>
        <v>2.8630000000000002E-4</v>
      </c>
      <c r="F42" s="120">
        <f>VLOOKUP($A42,TOCA_previous!$A$2:$AI$137,MATCH(F$4,TOCA_previous!$A$2:$AI$2,0),FALSE)</f>
        <v>2.8630000000000002E-4</v>
      </c>
      <c r="G42" s="120">
        <f t="shared" si="5"/>
        <v>0</v>
      </c>
      <c r="H42" s="120">
        <f>VLOOKUP($A42,TOCA_previous!$A$2:$AI$137,MATCH(H$4,TOCA_previous!$A$2:$AI$2,0),FALSE)</f>
        <v>0</v>
      </c>
      <c r="I42" s="120">
        <f t="shared" si="6"/>
        <v>0</v>
      </c>
      <c r="J42" s="120">
        <f t="shared" si="7"/>
        <v>0</v>
      </c>
      <c r="K42" s="191">
        <f>VLOOKUP(A42, IRD!$A$5:$C$139, 3, FALSE)</f>
        <v>0</v>
      </c>
      <c r="L42" s="192">
        <f t="array" ref="L42">IF($G42=0, INDEX(LS_previous!$D$4:$AY$138, MATCH('Staging Table'!$A42, LS_previous!$B$4:$B$138, 0), MATCH(L$4&amp;L$5, LS_previous!$D$2:$AY$2&amp;LS_previous!$D$3:$AY$3, 0)),SUM(VLOOKUP($A42, LS_previous!$B$4:$AY$138, LS_previous!D$149, FALSE), VLOOKUP('Staging Table'!$A42, LS_previous!$B$4:$AY$138,LS_previous!AB$149, FALSE))/2)</f>
        <v>1.9005794155999638</v>
      </c>
      <c r="M42" s="192">
        <f t="array" ref="M42">IF($G42=0, INDEX(LS_previous!$D$4:$AY$138, MATCH('Staging Table'!$A42, LS_previous!$B$4:$B$138, 0), MATCH(M$4&amp;M$5, LS_previous!$D$2:$AY$2&amp;LS_previous!$D$3:$AY$3, 0)),SUM(VLOOKUP($A42, LS_previous!$B$4:$AY$138, LS_previous!E$149, FALSE), VLOOKUP('Staging Table'!$A42, LS_previous!$B$4:$AY$138,LS_previous!AC$149, FALSE))/2)</f>
        <v>82.87350736960002</v>
      </c>
      <c r="N42" s="192">
        <f t="array" ref="N42">IF($G42=0, INDEX(LS_previous!$D$4:$AY$138, MATCH('Staging Table'!$A42, LS_previous!$B$4:$B$138, 0), MATCH(N$4&amp;N$5, LS_previous!$D$2:$AY$2&amp;LS_previous!$D$3:$AY$3, 0)),SUM(VLOOKUP($A42, LS_previous!$B$4:$AY$138, LS_previous!F$149, FALSE), VLOOKUP('Staging Table'!$A42, LS_previous!$B$4:$AY$138,LS_previous!AD$149, FALSE))/2)</f>
        <v>-111.52332326639998</v>
      </c>
      <c r="O42" s="192">
        <f t="array" ref="O42">IF($G42=0, INDEX(LS_previous!$D$4:$AY$138, MATCH('Staging Table'!$A42, LS_previous!$B$4:$B$138, 0), MATCH(O$4&amp;O$5, LS_previous!$D$2:$AY$2&amp;LS_previous!$D$3:$AY$3, 0)),SUM(VLOOKUP($A42, LS_previous!$B$4:$AY$138, LS_previous!G$149, FALSE), VLOOKUP('Staging Table'!$A42, LS_previous!$B$4:$AY$138,LS_previous!AE$149, FALSE))/2)</f>
        <v>37.821786940699894</v>
      </c>
      <c r="P42" s="192">
        <f t="array" ref="P42">IF($G42=0, INDEX(LS_previous!$D$4:$AY$138, MATCH('Staging Table'!$A42, LS_previous!$B$4:$B$138, 0), MATCH(P$4&amp;P$5, LS_previous!$D$2:$AY$2&amp;LS_previous!$D$3:$AY$3, 0)),SUM(VLOOKUP($A42, LS_previous!$B$4:$AY$138, LS_previous!H$149, FALSE), VLOOKUP('Staging Table'!$A42, LS_previous!$B$4:$AY$138,LS_previous!AF$149, FALSE))/2)</f>
        <v>235.41785480639987</v>
      </c>
      <c r="Q42" s="192">
        <f t="array" ref="Q42">IF($G42=0, INDEX(LS_previous!$D$4:$AY$138, MATCH('Staging Table'!$A42, LS_previous!$B$4:$B$138, 0), MATCH(Q$4&amp;Q$5, LS_previous!$D$2:$AY$2&amp;LS_previous!$D$3:$AY$3, 0)),SUM(VLOOKUP($A42, LS_previous!$B$4:$AY$138, LS_previous!I$149, FALSE), VLOOKUP('Staging Table'!$A42, LS_previous!$B$4:$AY$138,LS_previous!AG$149, FALSE))/2)</f>
        <v>318.03610907879988</v>
      </c>
      <c r="R42" s="192">
        <f t="array" ref="R42">IF($G42=0, INDEX(LS_previous!$D$4:$AY$138, MATCH('Staging Table'!$A42, LS_previous!$B$4:$B$138, 0), MATCH(R$4&amp;R$5, LS_previous!$D$2:$AY$2&amp;LS_previous!$D$3:$AY$3, 0)),SUM(VLOOKUP($A42, LS_previous!$B$4:$AY$138, LS_previous!J$149, FALSE), VLOOKUP('Staging Table'!$A42, LS_previous!$B$4:$AY$138,LS_previous!AH$149, FALSE))/2)</f>
        <v>430.23125360639983</v>
      </c>
      <c r="S42" s="192">
        <f t="array" ref="S42">IF($G42=0, INDEX(LS_previous!$D$4:$AY$138, MATCH('Staging Table'!$A42, LS_previous!$B$4:$B$138, 0), MATCH(S$4&amp;S$5, LS_previous!$D$2:$AY$2&amp;LS_previous!$D$3:$AY$3, 0)),SUM(VLOOKUP($A42, LS_previous!$B$4:$AY$138, LS_previous!K$149, FALSE), VLOOKUP('Staging Table'!$A42, LS_previous!$B$4:$AY$138,LS_previous!AI$149, FALSE))/2)</f>
        <v>449.20517267879995</v>
      </c>
      <c r="T42" s="192">
        <f t="array" ref="T42">IF($G42=0, INDEX(LS_previous!$D$4:$AY$138, MATCH('Staging Table'!$A42, LS_previous!$B$4:$B$138, 0), MATCH(T$4&amp;T$5, LS_previous!$D$2:$AY$2&amp;LS_previous!$D$3:$AY$3, 0)),SUM(VLOOKUP($A42, LS_previous!$B$4:$AY$138, LS_previous!L$149, FALSE), VLOOKUP('Staging Table'!$A42, LS_previous!$B$4:$AY$138,LS_previous!AJ$149, FALSE))/2)</f>
        <v>256.22304339880009</v>
      </c>
      <c r="U42" s="192">
        <f t="array" ref="U42">IF($G42=0, INDEX(LS_previous!$D$4:$AY$138, MATCH('Staging Table'!$A42, LS_previous!$B$4:$B$138, 0), MATCH(U$4&amp;U$5, LS_previous!$D$2:$AY$2&amp;LS_previous!$D$3:$AY$3, 0)),SUM(VLOOKUP($A42, LS_previous!$B$4:$AY$138, LS_previous!M$149, FALSE), VLOOKUP('Staging Table'!$A42, LS_previous!$B$4:$AY$138,LS_previous!AK$149, FALSE))/2)</f>
        <v>228.94986676120004</v>
      </c>
      <c r="V42" s="192">
        <f t="array" ref="V42">IF($G42=0, INDEX(LS_previous!$D$4:$AY$138, MATCH('Staging Table'!$A42, LS_previous!$B$4:$B$138, 0), MATCH(V$4&amp;V$5, LS_previous!$D$2:$AY$2&amp;LS_previous!$D$3:$AY$3, 0)),SUM(VLOOKUP($A42, LS_previous!$B$4:$AY$138, LS_previous!N$149, FALSE), VLOOKUP('Staging Table'!$A42, LS_previous!$B$4:$AY$138,LS_previous!AL$149, FALSE))/2)</f>
        <v>132.21179047919998</v>
      </c>
      <c r="W42" s="192">
        <f t="array" ref="W42">IF($G42=0, INDEX(LS_previous!$D$4:$AY$138, MATCH('Staging Table'!$A42, LS_previous!$B$4:$B$138, 0), MATCH(W$4&amp;W$5, LS_previous!$D$2:$AY$2&amp;LS_previous!$D$3:$AY$3, 0)),SUM(VLOOKUP($A42, LS_previous!$B$4:$AY$138, LS_previous!O$149, FALSE), VLOOKUP('Staging Table'!$A42, LS_previous!$B$4:$AY$138,LS_previous!AM$149, FALSE))/2)</f>
        <v>187.14536875769994</v>
      </c>
      <c r="X42" s="192">
        <f t="array" ref="X42">IF($G42=0, INDEX(LS_previous!$D$4:$AY$138, MATCH('Staging Table'!$A42, LS_previous!$B$4:$B$138, 0), MATCH(X$4&amp;X$5, LS_previous!$D$2:$AY$2&amp;LS_previous!$D$3:$AY$3, 0)),SUM(VLOOKUP($A42, LS_previous!$B$4:$AY$138, LS_previous!P$149, FALSE), VLOOKUP('Staging Table'!$A42, LS_previous!$B$4:$AY$138,LS_previous!AN$149, FALSE))/2)</f>
        <v>128.62568779279991</v>
      </c>
      <c r="Y42" s="192">
        <f t="array" ref="Y42">IF($G42=0, INDEX(LS_previous!$D$4:$AY$138, MATCH('Staging Table'!$A42, LS_previous!$B$4:$B$138, 0), MATCH(Y$4&amp;Y$5, LS_previous!$D$2:$AY$2&amp;LS_previous!$D$3:$AY$3, 0)),SUM(VLOOKUP($A42, LS_previous!$B$4:$AY$138, LS_previous!Q$149, FALSE), VLOOKUP('Staging Table'!$A42, LS_previous!$B$4:$AY$138,LS_previous!AO$149, FALSE))/2)</f>
        <v>152.98783338320004</v>
      </c>
      <c r="Z42" s="192">
        <f t="array" ref="Z42">IF($G42=0, INDEX(LS_previous!$D$4:$AY$138, MATCH('Staging Table'!$A42, LS_previous!$B$4:$B$138, 0), MATCH(Z$4&amp;Z$5, LS_previous!$D$2:$AY$2&amp;LS_previous!$D$3:$AY$3, 0)),SUM(VLOOKUP($A42, LS_previous!$B$4:$AY$138, LS_previous!R$149, FALSE), VLOOKUP('Staging Table'!$A42, LS_previous!$B$4:$AY$138,LS_previous!AP$149, FALSE))/2)</f>
        <v>-357.32233673000007</v>
      </c>
      <c r="AA42" s="192">
        <f t="array" ref="AA42">IF($G42=0, INDEX(LS_previous!$D$4:$AY$138, MATCH('Staging Table'!$A42, LS_previous!$B$4:$B$138, 0), MATCH(AA$4&amp;AA$5, LS_previous!$D$2:$AY$2&amp;LS_previous!$D$3:$AY$3, 0)),SUM(VLOOKUP($A42, LS_previous!$B$4:$AY$138, LS_previous!S$149, FALSE), VLOOKUP('Staging Table'!$A42, LS_previous!$B$4:$AY$138,LS_previous!AQ$149, FALSE))/2)</f>
        <v>-108.07372363480005</v>
      </c>
      <c r="AB42" s="192">
        <f t="array" ref="AB42">IF($G42=0, INDEX(LS_previous!$D$4:$AY$138, MATCH('Staging Table'!$A42, LS_previous!$B$4:$B$138, 0), MATCH(AB$4&amp;AB$5, LS_previous!$D$2:$AY$2&amp;LS_previous!$D$3:$AY$3, 0)),SUM(VLOOKUP($A42, LS_previous!$B$4:$AY$138, LS_previous!T$149, FALSE), VLOOKUP('Staging Table'!$A42, LS_previous!$B$4:$AY$138,LS_previous!AR$149, FALSE))/2)</f>
        <v>-654.93864025719995</v>
      </c>
      <c r="AC42" s="192">
        <f t="array" ref="AC42">IF($G42=0, INDEX(LS_previous!$D$4:$AY$138, MATCH('Staging Table'!$A42, LS_previous!$B$4:$B$138, 0), MATCH(AC$4&amp;AC$5, LS_previous!$D$2:$AY$2&amp;LS_previous!$D$3:$AY$3, 0)),SUM(VLOOKUP($A42, LS_previous!$B$4:$AY$138, LS_previous!U$149, FALSE), VLOOKUP('Staging Table'!$A42, LS_previous!$B$4:$AY$138,LS_previous!AS$149, FALSE))/2)</f>
        <v>-317.85824841680005</v>
      </c>
      <c r="AD42" s="192">
        <f t="array" ref="AD42">IF($G42=0, INDEX(LS_previous!$D$4:$AY$138, MATCH('Staging Table'!$A42, LS_previous!$B$4:$B$138, 0), MATCH(AD$4&amp;AD$5, LS_previous!$D$2:$AY$2&amp;LS_previous!$D$3:$AY$3, 0)),SUM(VLOOKUP($A42, LS_previous!$B$4:$AY$138, LS_previous!V$149, FALSE), VLOOKUP('Staging Table'!$A42, LS_previous!$B$4:$AY$138,LS_previous!AT$149, FALSE))/2)</f>
        <v>-430.48468175720006</v>
      </c>
      <c r="AE42" s="192">
        <f t="array" ref="AE42">IF($G42=0, INDEX(LS_previous!$D$4:$AY$138, MATCH('Staging Table'!$A42, LS_previous!$B$4:$B$138, 0), MATCH(AE$4&amp;AE$5, LS_previous!$D$2:$AY$2&amp;LS_previous!$D$3:$AY$3, 0)),SUM(VLOOKUP($A42, LS_previous!$B$4:$AY$138, LS_previous!W$149, FALSE), VLOOKUP('Staging Table'!$A42, LS_previous!$B$4:$AY$138,LS_previous!AU$149, FALSE))/2)</f>
        <v>-87.257254657600072</v>
      </c>
      <c r="AF42" s="192">
        <f t="array" ref="AF42">IF($G42=0, INDEX(LS_previous!$D$4:$AY$138, MATCH('Staging Table'!$A42, LS_previous!$B$4:$B$138, 0), MATCH(AF$4&amp;AF$5, LS_previous!$D$2:$AY$2&amp;LS_previous!$D$3:$AY$3, 0)),SUM(VLOOKUP($A42, LS_previous!$B$4:$AY$138, LS_previous!X$149, FALSE), VLOOKUP('Staging Table'!$A42, LS_previous!$B$4:$AY$138,LS_previous!AV$149, FALSE))/2)</f>
        <v>-383.20847360720006</v>
      </c>
      <c r="AG42" s="192">
        <f t="array" ref="AG42">IF($G42=0, INDEX(LS_previous!$D$4:$AY$138, MATCH('Staging Table'!$A42, LS_previous!$B$4:$B$138, 0), MATCH(AG$4&amp;AG$5, LS_previous!$D$2:$AY$2&amp;LS_previous!$D$3:$AY$3, 0)),SUM(VLOOKUP($A42, LS_previous!$B$4:$AY$138, LS_previous!Y$149, FALSE), VLOOKUP('Staging Table'!$A42, LS_previous!$B$4:$AY$138,LS_previous!AW$149, FALSE))/2)</f>
        <v>-114.19327865760005</v>
      </c>
      <c r="AH42" s="192">
        <f t="array" ref="AH42">IF($G42=0, INDEX(LS_previous!$D$4:$AY$138, MATCH('Staging Table'!$A42, LS_previous!$B$4:$B$138, 0), MATCH(AH$4&amp;AH$5, LS_previous!$D$2:$AY$2&amp;LS_previous!$D$3:$AY$3, 0)),SUM(VLOOKUP($A42, LS_previous!$B$4:$AY$138, LS_previous!Z$149, FALSE), VLOOKUP('Staging Table'!$A42, LS_previous!$B$4:$AY$138,LS_previous!AX$149, FALSE))/2)</f>
        <v>-265.38029728000015</v>
      </c>
      <c r="AI42" s="192">
        <f t="array" ref="AI42">IF($G42=0, INDEX(LS_previous!$D$4:$AY$138, MATCH('Staging Table'!$A42, LS_previous!$B$4:$B$138, 0), MATCH(AI$4&amp;AI$5, LS_previous!$D$2:$AY$2&amp;LS_previous!$D$3:$AY$3, 0)),SUM(VLOOKUP($A42, LS_previous!$B$4:$AY$138, LS_previous!AA$149, FALSE), VLOOKUP('Staging Table'!$A42, LS_previous!$B$4:$AY$138,LS_previous!AY$149, FALSE))/2)</f>
        <v>-84.443561843999987</v>
      </c>
      <c r="AJ42" s="314">
        <f t="array" ref="AJ42">INDEX(Demand_previous!$D$4:$AY$138, MATCH('Staging Table'!$A42, Demand_previous!$B$4:$B$138, 0), MATCH(AJ$4&amp;AJ$5,Demand_previous!$D$2:$AY$2&amp;Demand_previous!$D$3:$AY$3, 0))/1000</f>
        <v>0.48139814814814808</v>
      </c>
      <c r="AK42" s="314">
        <f t="array" ref="AK42">INDEX(Demand_previous!$D$4:$AY$138, MATCH('Staging Table'!$A42, Demand_previous!$B$4:$B$138, 0), MATCH(AK$4&amp;AK$5,Demand_previous!$D$2:$AY$2&amp;Demand_previous!$D$3:$AY$3, 0))/1000</f>
        <v>0.30473250000000035</v>
      </c>
      <c r="AL42" s="314">
        <f t="array" ref="AL42">INDEX(Demand_previous!$D$4:$AY$138, MATCH('Staging Table'!$A42, Demand_previous!$B$4:$B$138, 0), MATCH(AL$4&amp;AL$5,Demand_previous!$D$2:$AY$2&amp;Demand_previous!$D$3:$AY$3, 0))/1000</f>
        <v>0.64786000000000032</v>
      </c>
      <c r="AM42" s="314">
        <f t="array" ref="AM42">INDEX(Demand_previous!$D$4:$AY$138, MATCH('Staging Table'!$A42, Demand_previous!$B$4:$B$138, 0), MATCH(AM$4&amp;AM$5,Demand_previous!$D$2:$AY$2&amp;Demand_previous!$D$3:$AY$3, 0))/1000</f>
        <v>0.64663942307692301</v>
      </c>
      <c r="AN42" s="314">
        <f t="array" ref="AN42">INDEX(Demand_previous!$D$4:$AY$138, MATCH('Staging Table'!$A42, Demand_previous!$B$4:$B$138, 0), MATCH(AN$4&amp;AN$5,Demand_previous!$D$2:$AY$2&amp;Demand_previous!$D$3:$AY$3, 0))/1000</f>
        <v>0.34354499999999966</v>
      </c>
      <c r="AO42" s="314">
        <f t="array" ref="AO42">INDEX(Demand_previous!$D$4:$AY$138, MATCH('Staging Table'!$A42, Demand_previous!$B$4:$B$138, 0), MATCH(AO$4&amp;AO$5,Demand_previous!$D$2:$AY$2&amp;Demand_previous!$D$3:$AY$3, 0))/1000</f>
        <v>0.34041826923076945</v>
      </c>
      <c r="AP42" s="314">
        <f t="array" ref="AP42">INDEX(Demand_previous!$D$4:$AY$138, MATCH('Staging Table'!$A42, Demand_previous!$B$4:$B$138, 0), MATCH(AP$4&amp;AP$5,Demand_previous!$D$2:$AY$2&amp;Demand_previous!$D$3:$AY$3, 0))/1000</f>
        <v>0.45466586538461562</v>
      </c>
      <c r="AQ42" s="314">
        <f t="array" ref="AQ42">INDEX(Demand_previous!$D$4:$AY$138, MATCH('Staging Table'!$A42, Demand_previous!$B$4:$B$138, 0), MATCH(AQ$4&amp;AQ$5,Demand_previous!$D$2:$AY$2&amp;Demand_previous!$D$3:$AY$3, 0))/1000</f>
        <v>0.24902250000000015</v>
      </c>
      <c r="AR42" s="314">
        <f t="array" ref="AR42">INDEX(Demand_previous!$D$4:$AY$138, MATCH('Staging Table'!$A42, Demand_previous!$B$4:$B$138, 0), MATCH(AR$4&amp;AR$5,Demand_previous!$D$2:$AY$2&amp;Demand_previous!$D$3:$AY$3, 0))/1000</f>
        <v>0.26357451923076908</v>
      </c>
      <c r="AS42" s="314">
        <f t="array" ref="AS42">INDEX(Demand_previous!$D$4:$AY$138, MATCH('Staging Table'!$A42, Demand_previous!$B$4:$B$138, 0), MATCH(AS$4&amp;AS$5,Demand_previous!$D$2:$AY$2&amp;Demand_previous!$D$3:$AY$3, 0))/1000</f>
        <v>0.24094951923076915</v>
      </c>
      <c r="AT42" s="314">
        <f t="array" ref="AT42">INDEX(Demand_previous!$D$4:$AY$138, MATCH('Staging Table'!$A42, Demand_previous!$B$4:$B$138, 0), MATCH(AT$4&amp;AT$5,Demand_previous!$D$2:$AY$2&amp;Demand_previous!$D$3:$AY$3, 0))/1000</f>
        <v>0.19976442307692321</v>
      </c>
      <c r="AU42" s="314">
        <f t="array" ref="AU42">INDEX(Demand_previous!$D$4:$AY$138, MATCH('Staging Table'!$A42, Demand_previous!$B$4:$B$138, 0), MATCH(AU$4&amp;AU$5,Demand_previous!$D$2:$AY$2&amp;Demand_previous!$D$3:$AY$3, 0))/1000</f>
        <v>0.29993500000000006</v>
      </c>
      <c r="AV42" s="192">
        <f>$F42*(VLOOKUP(AV$4, Rates_previous!$G$6:$Q$29, 10, FALSE)+VLOOKUP(AV$4, Rates_previous!$G$6:$Q$29, 11, FALSE))</f>
        <v>1321.9379132147999</v>
      </c>
      <c r="AW42" s="192">
        <f>$F42*(VLOOKUP(AW$4, Rates_previous!$G$6:$Q$29, 10, FALSE)+VLOOKUP(AW$4, Rates_previous!$G$6:$Q$29, 11, FALSE))</f>
        <v>1679.2735363257002</v>
      </c>
      <c r="AX42" s="192">
        <f>$F42*(VLOOKUP(AX$4, Rates_previous!$G$6:$Q$29, 10, FALSE)+VLOOKUP(AX$4, Rates_previous!$G$6:$Q$29, 11, FALSE))</f>
        <v>1658.9940361148003</v>
      </c>
      <c r="AY42" s="192">
        <f>$F42*(VLOOKUP(AY$4, Rates_previous!$G$6:$Q$29, 10, FALSE)+VLOOKUP(AY$4, Rates_previous!$G$6:$Q$29, 11, FALSE))</f>
        <v>1382.8725737148002</v>
      </c>
      <c r="AZ42" s="192">
        <f>$F42*(VLOOKUP(AZ$4, Rates_previous!$G$6:$Q$29, 10, FALSE)+VLOOKUP(AZ$4, Rates_previous!$G$6:$Q$29, 11, FALSE))</f>
        <v>1252.7390898400001</v>
      </c>
      <c r="BA42" s="192">
        <f>$F42*(VLOOKUP(BA$4, Rates_previous!$G$6:$Q$29, 10, FALSE)+VLOOKUP(BA$4, Rates_previous!$G$6:$Q$29, 11, FALSE))</f>
        <v>1393.4438407631001</v>
      </c>
      <c r="BB42" s="192">
        <f>$F42*(VLOOKUP(BB$4, Rates_previous!$G$6:$Q$29, 10, FALSE)+VLOOKUP(BB$4, Rates_previous!$G$6:$Q$29, 11, FALSE))</f>
        <v>1134.543478824</v>
      </c>
      <c r="BC42" s="192">
        <f>$F42*(VLOOKUP(BC$4, Rates_previous!$G$6:$Q$29, 10, FALSE)+VLOOKUP(BC$4, Rates_previous!$G$6:$Q$29, 11, FALSE))</f>
        <v>1530.1010603648003</v>
      </c>
      <c r="BD42" s="192">
        <f>$F42*(VLOOKUP(BD$4, Rates_previous!$G$6:$Q$29, 10, FALSE)+VLOOKUP(BD$4, Rates_previous!$G$6:$Q$29, 11, FALSE))</f>
        <v>1952.3048886740003</v>
      </c>
      <c r="BE42" s="192">
        <f>$F42*(VLOOKUP(BE$4, Rates_previous!$G$6:$Q$29, 10, FALSE)+VLOOKUP(BE$4, Rates_previous!$G$6:$Q$29, 11, FALSE))</f>
        <v>1530.6689364148003</v>
      </c>
      <c r="BF42" s="192">
        <f>$F42*(VLOOKUP(BF$4, Rates_previous!$G$6:$Q$29, 10, FALSE)+VLOOKUP(BF$4, Rates_previous!$G$6:$Q$29, 11, FALSE))</f>
        <v>1490.5667522648002</v>
      </c>
      <c r="BG42" s="192">
        <f>$F42*(VLOOKUP(BG$4, Rates_previous!$G$6:$Q$29, 10, FALSE)+VLOOKUP(BG$4, Rates_previous!$G$6:$Q$29, 11, FALSE))</f>
        <v>1338.2118591240003</v>
      </c>
      <c r="BH42" s="314">
        <f>IF($D42=0,IF(C42=0, MAX(BJ42 - (VLOOKUP($A42,TOCA_previous!$A$2:$AI$137,MATCH("RHWM 2020",TOCA_previous!$A$2:$AI$2,0),FALSE)*$F$2*TOCA_previous!C39),0),0), 0)</f>
        <v>0</v>
      </c>
      <c r="BI42" s="204">
        <f>MIN(VLOOKUP($A42,TOCA_previous!$A$2:$AI$137,MATCH("TRL - NLSL - Existing Resource "&amp;$F$1,TOCA_previous!$A$2:$AI$2,0),FALSE)*$F$2,(VLOOKUP($A42,TOCA_previous!$A$2:$AI$137,MATCH("RHWM 2020",TOCA_previous!$A$2:$AI$2,0),FALSE)*$F$2))</f>
        <v>17664.624</v>
      </c>
      <c r="BJ42" s="418">
        <f>SUM(L42:AI42)+(F42*RT1SC!$C$3*$F$2)</f>
        <v>17392.604663070801</v>
      </c>
      <c r="BK42" s="417">
        <f>VLOOKUP($A42,TOCA_previous!$A$2:$AI$137,MATCH("Above RHWM Not Served with LS "&amp;$F$1,TOCA_previous!$A$2:$AI$2,0),FALSE)*$F$2</f>
        <v>0</v>
      </c>
      <c r="BL42" s="418">
        <f t="shared" si="8"/>
        <v>-272.0193369291992</v>
      </c>
      <c r="BM42" s="417">
        <f>(VLOOKUP($A42,TOCA_previous!$A$2:$AI$137,MATCH("RHWM 2020",TOCA_previous!$A$2:$AI$2,0),FALSE)*$F$2) - $BI42</f>
        <v>140.54400000000169</v>
      </c>
      <c r="BN42" s="418">
        <f t="shared" si="9"/>
        <v>0</v>
      </c>
      <c r="BO42" s="417">
        <f t="shared" si="10"/>
        <v>272.0193369291992</v>
      </c>
      <c r="BP42" s="418">
        <f t="shared" si="11"/>
        <v>0</v>
      </c>
      <c r="BQ42" s="417">
        <f t="shared" si="18"/>
        <v>272.0193369291992</v>
      </c>
      <c r="BR42" s="120">
        <f>VLOOKUP($A42,TOCA_current!$A$2:$AI$137,MATCH(BR$4,TOCA_current!$A$2:$AI$2,0),FALSE)</f>
        <v>2.8860000000000002E-4</v>
      </c>
      <c r="BS42" s="120">
        <f>VLOOKUP($A42,TOCA_current!$A$2:$AI$137,MATCH(BS$4,TOCA_current!$A$2:$AI$2,0),FALSE)</f>
        <v>2.8860000000000002E-4</v>
      </c>
      <c r="BT42" s="201">
        <f t="shared" si="12"/>
        <v>0</v>
      </c>
      <c r="BU42" s="120">
        <f>VLOOKUP($A42,TOCA_current!A38:BG173,MATCH(BU$4,TOCA_current!$A$2:$BG$2,0),FALSE)</f>
        <v>0</v>
      </c>
      <c r="BV42" s="120">
        <f t="shared" si="19"/>
        <v>0</v>
      </c>
      <c r="BW42" s="120">
        <f t="shared" si="20"/>
        <v>0</v>
      </c>
      <c r="BX42" s="191">
        <f>VLOOKUP($A42,IRD!$A$4:$G$139, 7, FALSE)</f>
        <v>0</v>
      </c>
      <c r="BY42" s="192">
        <f t="array" ref="BY42">IF($BT42=0, INDEX(LS_current!$D$4:$AY$138, MATCH('Staging Table'!$A42, LS_current!$B$4:$B$138, 0), MATCH(BY$4&amp;BY$5, LS_current!$D$2:$AY$2&amp;LS_current!$D$3:$AY$3, 0)),SUM(VLOOKUP($A42, LS_current!$B$4:$AY$138, LS_current!D$148, FALSE), VLOOKUP($A42, LS_current!$B$4:$AY$138,LS_current!AB$148, FALSE))/2)</f>
        <v>20.455929655054661</v>
      </c>
      <c r="BZ42" s="192">
        <f t="array" ref="BZ42">IF($BT42=0, INDEX(LS_current!$D$4:$AY$138, MATCH('Staging Table'!$A42, LS_current!$B$4:$B$138, 0), MATCH(BZ$4&amp;BZ$5, LS_current!$D$2:$AY$2&amp;LS_current!$D$3:$AY$3, 0)),SUM(VLOOKUP($A42, LS_current!$B$4:$AY$138, LS_current!E$148, FALSE), VLOOKUP($A42, LS_current!$B$4:$AY$138,LS_current!AC$148, FALSE))/2)</f>
        <v>71.993482512743469</v>
      </c>
      <c r="CA42" s="192">
        <f t="array" ref="CA42">IF($BT42=0, INDEX(LS_current!$D$4:$AY$138, MATCH('Staging Table'!$A42, LS_current!$B$4:$B$138, 0), MATCH(CA$4&amp;CA$5, LS_current!$D$2:$AY$2&amp;LS_current!$D$3:$AY$3, 0)),SUM(VLOOKUP($A42, LS_current!$B$4:$AY$138, LS_current!F$148, FALSE), VLOOKUP($A42, LS_current!$B$4:$AY$138,LS_current!AD$148, FALSE))/2)</f>
        <v>-79.743976222317428</v>
      </c>
      <c r="CB42" s="192">
        <f t="array" ref="CB42">IF($BT42=0, INDEX(LS_current!$D$4:$AY$138, MATCH('Staging Table'!$A42, LS_current!$B$4:$B$138, 0), MATCH(CB$4&amp;CB$5, LS_current!$D$2:$AY$2&amp;LS_current!$D$3:$AY$3, 0)),SUM(VLOOKUP($A42, LS_current!$B$4:$AY$138, LS_current!G$148, FALSE), VLOOKUP($A42, LS_current!$B$4:$AY$138,LS_current!AE$148, FALSE))/2)</f>
        <v>21.411842155099407</v>
      </c>
      <c r="CC42" s="192">
        <f t="array" ref="CC42">IF($BT42=0, INDEX(LS_current!$D$4:$AY$138, MATCH('Staging Table'!$A42, LS_current!$B$4:$B$138, 0), MATCH(CC$4&amp;CC$5, LS_current!$D$2:$AY$2&amp;LS_current!$D$3:$AY$3, 0)),SUM(VLOOKUP($A42, LS_current!$B$4:$AY$138, LS_current!H$148, FALSE), VLOOKUP($A42, LS_current!$B$4:$AY$138,LS_current!AF$148, FALSE))/2)</f>
        <v>335.24632848318481</v>
      </c>
      <c r="CD42" s="192">
        <f t="array" ref="CD42">IF($BT42=0, INDEX(LS_current!$D$4:$AY$138, MATCH('Staging Table'!$A42, LS_current!$B$4:$B$138, 0), MATCH(CD$4&amp;CD$5, LS_current!$D$2:$AY$2&amp;LS_current!$D$3:$AY$3, 0)),SUM(VLOOKUP($A42, LS_current!$B$4:$AY$138, LS_current!I$148, FALSE), VLOOKUP($A42, LS_current!$B$4:$AY$138,LS_current!AG$148, FALSE))/2)</f>
        <v>248.57194438366855</v>
      </c>
      <c r="CE42" s="192">
        <f t="array" ref="CE42">IF($BT42=0, INDEX(LS_current!$D$4:$AY$138, MATCH('Staging Table'!$A42, LS_current!$B$4:$B$138, 0), MATCH(CE$4&amp;CE$5, LS_current!$D$2:$AY$2&amp;LS_current!$D$3:$AY$3, 0)),SUM(VLOOKUP($A42, LS_current!$B$4:$AY$138, LS_current!J$148, FALSE), VLOOKUP($A42, LS_current!$B$4:$AY$138,LS_current!AH$148, FALSE))/2)</f>
        <v>534.07209130655849</v>
      </c>
      <c r="CF42" s="192">
        <f t="array" ref="CF42">IF($BT42=0, INDEX(LS_current!$D$4:$AY$138, MATCH('Staging Table'!$A42, LS_current!$B$4:$B$138, 0), MATCH(CF$4&amp;CF$5, LS_current!$D$2:$AY$2&amp;LS_current!$D$3:$AY$3, 0)),SUM(VLOOKUP($A42, LS_current!$B$4:$AY$138, LS_current!K$148, FALSE), VLOOKUP($A42, LS_current!$B$4:$AY$138,LS_current!AI$148, FALSE))/2)</f>
        <v>383.05801130312125</v>
      </c>
      <c r="CG42" s="192">
        <f t="array" ref="CG42">IF($BT42=0, INDEX(LS_current!$D$4:$AY$138, MATCH('Staging Table'!$A42, LS_current!$B$4:$B$138, 0), MATCH(CG$4&amp;CG$5, LS_current!$D$2:$AY$2&amp;LS_current!$D$3:$AY$3, 0)),SUM(VLOOKUP($A42, LS_current!$B$4:$AY$138, LS_current!L$148, FALSE), VLOOKUP($A42, LS_current!$B$4:$AY$138,LS_current!AJ$148, FALSE))/2)</f>
        <v>369.32723088805835</v>
      </c>
      <c r="CH42" s="192">
        <f t="array" ref="CH42">IF($BT42=0, INDEX(LS_current!$D$4:$AY$138, MATCH('Staging Table'!$A42, LS_current!$B$4:$B$138, 0), MATCH(CH$4&amp;CH$5, LS_current!$D$2:$AY$2&amp;LS_current!$D$3:$AY$3, 0)),SUM(VLOOKUP($A42, LS_current!$B$4:$AY$138, LS_current!M$148, FALSE), VLOOKUP($A42, LS_current!$B$4:$AY$138,LS_current!AK$148, FALSE))/2)</f>
        <v>202.6887363391549</v>
      </c>
      <c r="CI42" s="192">
        <f t="array" ref="CI42">IF($BT42=0, INDEX(LS_current!$D$4:$AY$138, MATCH('Staging Table'!$A42, LS_current!$B$4:$B$138, 0), MATCH(CI$4&amp;CI$5, LS_current!$D$2:$AY$2&amp;LS_current!$D$3:$AY$3, 0)),SUM(VLOOKUP($A42, LS_current!$B$4:$AY$138, LS_current!N$148, FALSE), VLOOKUP($A42, LS_current!$B$4:$AY$138,LS_current!AL$148, FALSE))/2)</f>
        <v>163.40719207150107</v>
      </c>
      <c r="CJ42" s="192">
        <f t="array" ref="CJ42">IF($BT42=0, INDEX(LS_current!$D$4:$AY$138, MATCH('Staging Table'!$A42, LS_current!$B$4:$B$138, 0), MATCH(CJ$4&amp;CJ$5, LS_current!$D$2:$AY$2&amp;LS_current!$D$3:$AY$3, 0)),SUM(VLOOKUP($A42, LS_current!$B$4:$AY$138, LS_current!O$148, FALSE), VLOOKUP($A42, LS_current!$B$4:$AY$138,LS_current!AM$148, FALSE))/2)</f>
        <v>157.54938496464558</v>
      </c>
      <c r="CK42" s="192">
        <f t="array" ref="CK42">IF($BT42=0, INDEX(LS_current!$D$4:$AY$138, MATCH('Staging Table'!$A42, LS_current!$B$4:$B$138, 0), MATCH(CK$4&amp;CK$5, LS_current!$D$2:$AY$2&amp;LS_current!$D$3:$AY$3, 0)),SUM(VLOOKUP($A42, LS_current!$B$4:$AY$138, LS_current!P$148, FALSE), VLOOKUP($A42, LS_current!$B$4:$AY$138,LS_current!AN$148, FALSE))/2)</f>
        <v>176.64828565718108</v>
      </c>
      <c r="CL42" s="192">
        <f t="array" ref="CL42">IF($BT42=0, INDEX(LS_current!$D$4:$AY$138, MATCH('Staging Table'!$A42, LS_current!$B$4:$B$138, 0), MATCH(CL$4&amp;CL$5, LS_current!$D$2:$AY$2&amp;LS_current!$D$3:$AY$3, 0)),SUM(VLOOKUP($A42, LS_current!$B$4:$AY$138, LS_current!Q$148, FALSE), VLOOKUP($A42, LS_current!$B$4:$AY$138,LS_current!AO$148, FALSE))/2)</f>
        <v>158.9268146275308</v>
      </c>
      <c r="CM42" s="192">
        <f t="array" ref="CM42">IF($BT42=0, INDEX(LS_current!$D$4:$AY$138, MATCH('Staging Table'!$A42, LS_current!$B$4:$B$138, 0), MATCH(CM$4&amp;CM$5, LS_current!$D$2:$AY$2&amp;LS_current!$D$3:$AY$3, 0)),SUM(VLOOKUP($A42, LS_current!$B$4:$AY$138, LS_current!R$148, FALSE), VLOOKUP($A42, LS_current!$B$4:$AY$138,LS_current!AP$148, FALSE))/2)</f>
        <v>-373.27081195377377</v>
      </c>
      <c r="CN42" s="192">
        <f t="array" ref="CN42">IF($BT42=0, INDEX(LS_current!$D$4:$AY$138, MATCH('Staging Table'!$A42, LS_current!$B$4:$B$138, 0), MATCH(CN$4&amp;CN$5, LS_current!$D$2:$AY$2&amp;LS_current!$D$3:$AY$3, 0)),SUM(VLOOKUP($A42, LS_current!$B$4:$AY$138, LS_current!S$148, FALSE), VLOOKUP($A42, LS_current!$B$4:$AY$138,LS_current!AQ$148, FALSE))/2)</f>
        <v>-59.178362086803361</v>
      </c>
      <c r="CO42" s="192">
        <f t="array" ref="CO42">IF($BT42=0, INDEX(LS_current!$D$4:$AY$138, MATCH('Staging Table'!$A42, LS_current!$B$4:$B$138, 0), MATCH(CO$4&amp;CO$5, LS_current!$D$2:$AY$2&amp;LS_current!$D$3:$AY$3, 0)),SUM(VLOOKUP($A42, LS_current!$B$4:$AY$138, LS_current!T$148, FALSE), VLOOKUP($A42, LS_current!$B$4:$AY$138,LS_current!AR$148, FALSE))/2)</f>
        <v>-528.70343866900066</v>
      </c>
      <c r="CP42" s="192">
        <f t="array" ref="CP42">IF($BT42=0, INDEX(LS_current!$D$4:$AY$138, MATCH('Staging Table'!$A42, LS_current!$B$4:$B$138, 0), MATCH(CP$4&amp;CP$5, LS_current!$D$2:$AY$2&amp;LS_current!$D$3:$AY$3, 0)),SUM(VLOOKUP($A42, LS_current!$B$4:$AY$138, LS_current!U$148, FALSE), VLOOKUP($A42, LS_current!$B$4:$AY$138,LS_current!AS$148, FALSE))/2)</f>
        <v>-91.529145431095571</v>
      </c>
      <c r="CQ42" s="192">
        <f t="array" ref="CQ42">IF($BT42=0, INDEX(LS_current!$D$4:$AY$138, MATCH('Staging Table'!$A42, LS_current!$B$4:$B$138, 0), MATCH(CQ$4&amp;CQ$5, LS_current!$D$2:$AY$2&amp;LS_current!$D$3:$AY$3, 0)),SUM(VLOOKUP($A42, LS_current!$B$4:$AY$138, LS_current!V$148, FALSE), VLOOKUP($A42, LS_current!$B$4:$AY$138,LS_current!AT$148, FALSE))/2)</f>
        <v>-388.45192488980956</v>
      </c>
      <c r="CR42" s="192">
        <f t="array" ref="CR42">IF($BT42=0, INDEX(LS_current!$D$4:$AY$138, MATCH('Staging Table'!$A42, LS_current!$B$4:$B$138, 0), MATCH(CR$4&amp;CR$5, LS_current!$D$2:$AY$2&amp;LS_current!$D$3:$AY$3, 0)),SUM(VLOOKUP($A42, LS_current!$B$4:$AY$138, LS_current!W$148, FALSE), VLOOKUP($A42, LS_current!$B$4:$AY$138,LS_current!AU$148, FALSE))/2)</f>
        <v>-117.50232090202906</v>
      </c>
      <c r="CS42" s="192">
        <f t="array" ref="CS42">IF($BT42=0, INDEX(LS_current!$D$4:$AY$138, MATCH('Staging Table'!$A42, LS_current!$B$4:$B$138, 0), MATCH(CS$4&amp;CS$5, LS_current!$D$2:$AY$2&amp;LS_current!$D$3:$AY$3, 0)),SUM(VLOOKUP($A42, LS_current!$B$4:$AY$138, LS_current!X$148, FALSE), VLOOKUP($A42, LS_current!$B$4:$AY$138,LS_current!AV$148, FALSE))/2)</f>
        <v>-350.28779175623276</v>
      </c>
      <c r="CT42" s="192">
        <f t="array" ref="CT42">IF($BT42=0, INDEX(LS_current!$D$4:$AY$138, MATCH('Staging Table'!$A42, LS_current!$B$4:$B$138, 0), MATCH(CT$4&amp;CT$5, LS_current!$D$2:$AY$2&amp;LS_current!$D$3:$AY$3, 0)),SUM(VLOOKUP($A42, LS_current!$B$4:$AY$138, LS_current!Y$148, FALSE), VLOOKUP($A42, LS_current!$B$4:$AY$138,LS_current!AW$148, FALSE))/2)</f>
        <v>-124.4287567101016</v>
      </c>
      <c r="CU42" s="192">
        <f t="array" ref="CU42">IF($BT42=0, INDEX(LS_current!$D$4:$AY$138, MATCH('Staging Table'!$A42, LS_current!$B$4:$B$138, 0), MATCH(CU$4&amp;CU$5, LS_current!$D$2:$AY$2&amp;LS_current!$D$3:$AY$3, 0)),SUM(VLOOKUP($A42, LS_current!$B$4:$AY$138, LS_current!Z$148, FALSE), VLOOKUP($A42, LS_current!$B$4:$AY$138,LS_current!AX$148, FALSE))/2)</f>
        <v>-274.08308920505249</v>
      </c>
      <c r="CV42" s="192">
        <f t="array" ref="CV42">IF($BT42=0, INDEX(LS_current!$D$4:$AY$138, MATCH('Staging Table'!$A42, LS_current!$B$4:$B$138, 0), MATCH(CV$4&amp;CV$5, LS_current!$D$2:$AY$2&amp;LS_current!$D$3:$AY$3, 0)),SUM(VLOOKUP($A42, LS_current!$B$4:$AY$138, LS_current!AA$148, FALSE), VLOOKUP($A42, LS_current!$B$4:$AY$138,LS_current!AY$148, FALSE))/2)</f>
        <v>-94.004482165061688</v>
      </c>
      <c r="CW42" s="194">
        <f t="array" ref="CW42">INDEX(Demand_current!$D$4:$AY$138, MATCH($A42, Demand_current!$B$4:$B$138, 0), MATCH(CW$4&amp;CW$5,Demand_current!$D$2:$AY$2&amp;Demand_current!$D$3:$AY$3, 0))/1000</f>
        <v>0.40452884615384599</v>
      </c>
      <c r="CX42" s="194">
        <f t="array" ref="CX42">INDEX(Demand_current!$D$4:$AY$138, MATCH($A42, Demand_current!$B$4:$B$138, 0), MATCH(CX$4&amp;CX$5,Demand_current!$D$2:$AY$2&amp;Demand_current!$D$3:$AY$3, 0))/1000</f>
        <v>0.30473250000000035</v>
      </c>
      <c r="CY42" s="194">
        <f t="array" ref="CY42">INDEX(Demand_current!$D$4:$AY$138, MATCH($A42, Demand_current!$B$4:$B$138, 0), MATCH(CY$4&amp;CY$5,Demand_current!$D$2:$AY$2&amp;Demand_current!$D$3:$AY$3, 0))/1000</f>
        <v>0.76955769230769255</v>
      </c>
      <c r="CZ42" s="194">
        <f t="array" ref="CZ42">INDEX(Demand_current!$D$4:$AY$138, MATCH($A42, Demand_current!$B$4:$B$138, 0), MATCH(CZ$4&amp;CZ$5,Demand_current!$D$2:$AY$2&amp;Demand_current!$D$3:$AY$3, 0))/1000</f>
        <v>0.52170499999999964</v>
      </c>
      <c r="DA42" s="194">
        <f t="array" ref="DA42">INDEX(Demand_current!$D$4:$AY$138, MATCH($A42, Demand_current!$B$4:$B$138, 0), MATCH(DA$4&amp;DA$5,Demand_current!$D$2:$AY$2&amp;Demand_current!$D$3:$AY$3, 0))/1000</f>
        <v>0.23452604166666624</v>
      </c>
      <c r="DB42" s="194">
        <f t="array" ref="DB42">INDEX(Demand_current!$D$4:$AY$138, MATCH($A42, Demand_current!$B$4:$B$138, 0), MATCH(DB$4&amp;DB$5,Demand_current!$D$2:$AY$2&amp;Demand_current!$D$3:$AY$3, 0))/1000</f>
        <v>0.43106944444444439</v>
      </c>
      <c r="DC42" s="194">
        <f t="array" ref="DC42">INDEX(Demand_current!$D$4:$AY$138, MATCH($A42, Demand_current!$B$4:$B$138, 0), MATCH(DC$4&amp;DC$5,Demand_current!$D$2:$AY$2&amp;Demand_current!$D$3:$AY$3, 0))/1000</f>
        <v>0.45466586538461562</v>
      </c>
      <c r="DD42" s="194">
        <f t="array" ref="DD42">INDEX(Demand_current!$D$4:$AY$138, MATCH($A42, Demand_current!$B$4:$B$138, 0), MATCH(DD$4&amp;DD$5,Demand_current!$D$2:$AY$2&amp;Demand_current!$D$3:$AY$3, 0))/1000</f>
        <v>0.24902250000000015</v>
      </c>
      <c r="DE42" s="194">
        <f t="array" ref="DE42">INDEX(Demand_current!$D$4:$AY$138, MATCH($A42, Demand_current!$B$4:$B$138, 0), MATCH(DE$4&amp;DE$5,Demand_current!$D$2:$AY$2&amp;Demand_current!$D$3:$AY$3, 0))/1000</f>
        <v>0.26357451923076908</v>
      </c>
      <c r="DF42" s="194">
        <f t="array" ref="DF42">INDEX(Demand_current!$D$4:$AY$138, MATCH($A42, Demand_current!$B$4:$B$138, 0), MATCH(DF$4&amp;DF$5,Demand_current!$D$2:$AY$2&amp;Demand_current!$D$3:$AY$3, 0))/1000</f>
        <v>0.18102749999999992</v>
      </c>
      <c r="DG42" s="194">
        <f t="array" ref="DG42">INDEX(Demand_current!$D$4:$AY$138, MATCH($A42, Demand_current!$B$4:$B$138, 0), MATCH(DG$4&amp;DG$5,Demand_current!$D$2:$AY$2&amp;Demand_current!$D$3:$AY$3, 0))/1000</f>
        <v>0.25658796296296316</v>
      </c>
      <c r="DH42" s="194">
        <f t="array" ref="DH42">INDEX(Demand_current!$D$4:$AY$138, MATCH($A42, Demand_current!$B$4:$B$138, 0), MATCH(DH$4&amp;DH$5,Demand_current!$D$2:$AY$2&amp;Demand_current!$D$3:$AY$3, 0))/1000</f>
        <v>0.29993500000000006</v>
      </c>
      <c r="DI42" s="192">
        <f>$BS42*(VLOOKUP(DI$4, Rates_current!$G$6:$Q$29, 10, FALSE)+VLOOKUP(DI$4, Rates_current!$G$6:$Q$29, 11, FALSE))</f>
        <v>1314.2625878322019</v>
      </c>
      <c r="DJ42" s="192">
        <f>$BS42*(VLOOKUP(DJ$4, Rates_current!$G$6:$Q$29, 10, FALSE)+VLOOKUP(DJ$4, Rates_current!$G$6:$Q$29, 11, FALSE))</f>
        <v>1663.9041340672181</v>
      </c>
      <c r="DK42" s="192">
        <f>$BS42*(VLOOKUP(DK$4, Rates_current!$G$6:$Q$29, 10, FALSE)+VLOOKUP(DK$4, Rates_current!$G$6:$Q$29, 11, FALSE))</f>
        <v>1628.6297271331468</v>
      </c>
      <c r="DL42" s="192">
        <f>$BS42*(VLOOKUP(DL$4, Rates_current!$G$6:$Q$29, 10, FALSE)+VLOOKUP(DL$4, Rates_current!$G$6:$Q$29, 11, FALSE))</f>
        <v>1345.1788973903203</v>
      </c>
      <c r="DM42" s="192">
        <f>$BS42*(VLOOKUP(DM$4, Rates_current!$G$6:$Q$29, 10, FALSE)+VLOOKUP(DM$4, Rates_current!$G$6:$Q$29, 11, FALSE))</f>
        <v>1165.8960327727868</v>
      </c>
      <c r="DN42" s="192">
        <f>$BS42*(VLOOKUP(DN$4, Rates_current!$G$6:$Q$29, 10, FALSE)+VLOOKUP(DN$4, Rates_current!$G$6:$Q$29, 11, FALSE))</f>
        <v>1391.8444229638535</v>
      </c>
      <c r="DO42" s="192">
        <f>$BS42*(VLOOKUP(DO$4, Rates_current!$G$6:$Q$29, 10, FALSE)+VLOOKUP(DO$4, Rates_current!$G$6:$Q$29, 11, FALSE))</f>
        <v>1080.5818997152883</v>
      </c>
      <c r="DP42" s="192">
        <f>$BS42*(VLOOKUP(DP$4, Rates_current!$G$6:$Q$29, 10, FALSE)+VLOOKUP(DP$4, Rates_current!$G$6:$Q$29, 11, FALSE))</f>
        <v>1497.1541740405771</v>
      </c>
      <c r="DQ42" s="192">
        <f>$BS42*(VLOOKUP(DQ$4, Rates_current!$G$6:$Q$29, 10, FALSE)+VLOOKUP(DQ$4, Rates_current!$G$6:$Q$29, 11, FALSE))</f>
        <v>1599.7405841000962</v>
      </c>
      <c r="DR42" s="192">
        <f>$BS42*(VLOOKUP(DR$4, Rates_current!$G$6:$Q$29, 10, FALSE)+VLOOKUP(DR$4, Rates_current!$G$6:$Q$29, 11, FALSE))</f>
        <v>1518.8812457918386</v>
      </c>
      <c r="DS42" s="192">
        <f>$BS42*(VLOOKUP(DS$4, Rates_current!$G$6:$Q$29, 10, FALSE)+VLOOKUP(DS$4, Rates_current!$G$6:$Q$29, 11, FALSE))</f>
        <v>1467.8815484663344</v>
      </c>
      <c r="DT42" s="192">
        <f>$BS42*(VLOOKUP(DT$4, Rates_current!$G$6:$Q$29, 10, FALSE)+VLOOKUP(DT$4, Rates_current!$G$6:$Q$29, 11, FALSE))</f>
        <v>1356.475571370114</v>
      </c>
      <c r="DU42" s="418">
        <f>IF(D42=0,IF(C42=0,MAX(0,DW42 - (VLOOKUP($A42,TOCA_current!$A$2:$AI$137,MATCH("RHWM 2022",TOCA_current!$A$2:$AI$2,0),FALSE)*$BS$2)), 0),0)</f>
        <v>363.16487118022633</v>
      </c>
      <c r="DV42" s="419">
        <f>MIN(VLOOKUP($A42,TOCA_current!$A$2:$AI$137,MATCH("TRL - NLSL - Existing Resource "&amp;$BS$1,TOCA_current!$A$2:$AI$2,0),FALSE)*$BS$2, VLOOKUP($A42,TOCA_current!$A$2:$AI$137,MATCH("RHWM 2022",TOCA_current!$A$2:$AI$2,0),FALSE)*$BS$2)</f>
        <v>17029.439999999999</v>
      </c>
      <c r="DW42" s="419">
        <f>SUM(BY42:CV42)+(BS42*RT1SC!$C$4*$BS$2)</f>
        <v>17392.604871180225</v>
      </c>
      <c r="DX42" s="419">
        <f>VLOOKUP($A42,TOCA_current!$A$2:$AI$137,MATCH("Above RHWM Not Served with LS "&amp;$BS$1,TOCA_current!$A$2:$AI$2,0),FALSE)*$BS$2</f>
        <v>0</v>
      </c>
      <c r="DY42" s="419">
        <f t="shared" si="13"/>
        <v>363.16487118022633</v>
      </c>
      <c r="DZ42" s="419">
        <f>(VLOOKUP($A42,TOCA_current!$A$2:$AI$137,MATCH("RHWM 2022",TOCA_current!$A$2:$AI$2,0),FALSE)*$BS$2) - $DV42</f>
        <v>0</v>
      </c>
      <c r="EA42" s="419">
        <f t="shared" si="14"/>
        <v>0</v>
      </c>
      <c r="EB42" s="419">
        <f t="shared" si="15"/>
        <v>0</v>
      </c>
      <c r="EC42" s="419">
        <f t="shared" si="16"/>
        <v>0</v>
      </c>
      <c r="ED42" s="419">
        <f t="shared" si="17"/>
        <v>0</v>
      </c>
    </row>
    <row r="43" spans="1:134">
      <c r="A43" s="135">
        <v>10101</v>
      </c>
      <c r="B43" s="136" t="s">
        <v>44</v>
      </c>
      <c r="C43" s="244">
        <f>VLOOKUP(A43, TOCA_current!$A$3:$D$137, 4, FALSE)</f>
        <v>0</v>
      </c>
      <c r="D43" s="203">
        <v>0</v>
      </c>
      <c r="E43" s="119">
        <f>VLOOKUP($A43,TOCA_previous!$A$2:$AI$137,MATCH(E$4,TOCA_previous!$A$2:$AI$2,0),FALSE)</f>
        <v>1.07659E-2</v>
      </c>
      <c r="F43" s="120">
        <f>VLOOKUP($A43,TOCA_previous!$A$2:$AI$137,MATCH(F$4,TOCA_previous!$A$2:$AI$2,0),FALSE)</f>
        <v>1.07659E-2</v>
      </c>
      <c r="G43" s="120">
        <f t="shared" si="5"/>
        <v>0</v>
      </c>
      <c r="H43" s="120">
        <f>VLOOKUP($A43,TOCA_previous!$A$2:$AI$137,MATCH(H$4,TOCA_previous!$A$2:$AI$2,0),FALSE)</f>
        <v>5.1153719008264466E-2</v>
      </c>
      <c r="I43" s="120">
        <f t="shared" si="6"/>
        <v>0</v>
      </c>
      <c r="J43" s="120">
        <f t="shared" si="7"/>
        <v>0</v>
      </c>
      <c r="K43" s="191">
        <f>VLOOKUP(A43, IRD!$A$5:$C$139, 3, FALSE)</f>
        <v>0</v>
      </c>
      <c r="L43" s="192">
        <f t="array" ref="L43">IF($G43=0, INDEX(LS_previous!$D$4:$AY$138, MATCH('Staging Table'!$A43, LS_previous!$B$4:$B$138, 0), MATCH(L$4&amp;L$5, LS_previous!$D$2:$AY$2&amp;LS_previous!$D$3:$AY$3, 0)),SUM(VLOOKUP($A43, LS_previous!$B$4:$AY$138, LS_previous!D$149, FALSE), VLOOKUP('Staging Table'!$A43, LS_previous!$B$4:$AY$138,LS_previous!AB$149, FALSE))/2)</f>
        <v>1197.5189393308065</v>
      </c>
      <c r="M43" s="192">
        <f t="array" ref="M43">IF($G43=0, INDEX(LS_previous!$D$4:$AY$138, MATCH('Staging Table'!$A43, LS_previous!$B$4:$B$138, 0), MATCH(M$4&amp;M$5, LS_previous!$D$2:$AY$2&amp;LS_previous!$D$3:$AY$3, 0)),SUM(VLOOKUP($A43, LS_previous!$B$4:$AY$138, LS_previous!E$149, FALSE), VLOOKUP('Staging Table'!$A43, LS_previous!$B$4:$AY$138,LS_previous!AC$149, FALSE))/2)</f>
        <v>2230.9928602528016</v>
      </c>
      <c r="N43" s="192">
        <f t="array" ref="N43">IF($G43=0, INDEX(LS_previous!$D$4:$AY$138, MATCH('Staging Table'!$A43, LS_previous!$B$4:$B$138, 0), MATCH(N$4&amp;N$5, LS_previous!$D$2:$AY$2&amp;LS_previous!$D$3:$AY$3, 0)),SUM(VLOOKUP($A43, LS_previous!$B$4:$AY$138, LS_previous!F$149, FALSE), VLOOKUP('Staging Table'!$A43, LS_previous!$B$4:$AY$138,LS_previous!AD$149, FALSE))/2)</f>
        <v>432.35993030480313</v>
      </c>
      <c r="O43" s="192">
        <f t="array" ref="O43">IF($G43=0, INDEX(LS_previous!$D$4:$AY$138, MATCH('Staging Table'!$A43, LS_previous!$B$4:$B$138, 0), MATCH(O$4&amp;O$5, LS_previous!$D$2:$AY$2&amp;LS_previous!$D$3:$AY$3, 0)),SUM(VLOOKUP($A43, LS_previous!$B$4:$AY$138, LS_previous!G$149, FALSE), VLOOKUP('Staging Table'!$A43, LS_previous!$B$4:$AY$138,LS_previous!AE$149, FALSE))/2)</f>
        <v>2249.8543619450975</v>
      </c>
      <c r="P43" s="192">
        <f t="array" ref="P43">IF($G43=0, INDEX(LS_previous!$D$4:$AY$138, MATCH('Staging Table'!$A43, LS_previous!$B$4:$B$138, 0), MATCH(P$4&amp;P$5, LS_previous!$D$2:$AY$2&amp;LS_previous!$D$3:$AY$3, 0)),SUM(VLOOKUP($A43, LS_previous!$B$4:$AY$138, LS_previous!H$149, FALSE), VLOOKUP('Staging Table'!$A43, LS_previous!$B$4:$AY$138,LS_previous!AF$149, FALSE))/2)</f>
        <v>8730.1333149151978</v>
      </c>
      <c r="Q43" s="192">
        <f t="array" ref="Q43">IF($G43=0, INDEX(LS_previous!$D$4:$AY$138, MATCH('Staging Table'!$A43, LS_previous!$B$4:$B$138, 0), MATCH(Q$4&amp;Q$5, LS_previous!$D$2:$AY$2&amp;LS_previous!$D$3:$AY$3, 0)),SUM(VLOOKUP($A43, LS_previous!$B$4:$AY$138, LS_previous!I$149, FALSE), VLOOKUP('Staging Table'!$A43, LS_previous!$B$4:$AY$138,LS_previous!AG$149, FALSE))/2)</f>
        <v>6884.0844349684012</v>
      </c>
      <c r="R43" s="192">
        <f t="array" ref="R43">IF($G43=0, INDEX(LS_previous!$D$4:$AY$138, MATCH('Staging Table'!$A43, LS_previous!$B$4:$B$138, 0), MATCH(R$4&amp;R$5, LS_previous!$D$2:$AY$2&amp;LS_previous!$D$3:$AY$3, 0)),SUM(VLOOKUP($A43, LS_previous!$B$4:$AY$138, LS_previous!J$149, FALSE), VLOOKUP('Staging Table'!$A43, LS_previous!$B$4:$AY$138,LS_previous!AH$149, FALSE))/2)</f>
        <v>15102.7600433152</v>
      </c>
      <c r="S43" s="192">
        <f t="array" ref="S43">IF($G43=0, INDEX(LS_previous!$D$4:$AY$138, MATCH('Staging Table'!$A43, LS_previous!$B$4:$B$138, 0), MATCH(S$4&amp;S$5, LS_previous!$D$2:$AY$2&amp;LS_previous!$D$3:$AY$3, 0)),SUM(VLOOKUP($A43, LS_previous!$B$4:$AY$138, LS_previous!K$149, FALSE), VLOOKUP('Staging Table'!$A43, LS_previous!$B$4:$AY$138,LS_previous!AI$149, FALSE))/2)</f>
        <v>12333.493429768398</v>
      </c>
      <c r="T43" s="192">
        <f t="array" ref="T43">IF($G43=0, INDEX(LS_previous!$D$4:$AY$138, MATCH('Staging Table'!$A43, LS_previous!$B$4:$B$138, 0), MATCH(T$4&amp;T$5, LS_previous!$D$2:$AY$2&amp;LS_previous!$D$3:$AY$3, 0)),SUM(VLOOKUP($A43, LS_previous!$B$4:$AY$138, LS_previous!L$149, FALSE), VLOOKUP('Staging Table'!$A43, LS_previous!$B$4:$AY$138,LS_previous!AJ$149, FALSE))/2)</f>
        <v>12605.140422728404</v>
      </c>
      <c r="U43" s="192">
        <f t="array" ref="U43">IF($G43=0, INDEX(LS_previous!$D$4:$AY$138, MATCH('Staging Table'!$A43, LS_previous!$B$4:$B$138, 0), MATCH(U$4&amp;U$5, LS_previous!$D$2:$AY$2&amp;LS_previous!$D$3:$AY$3, 0)),SUM(VLOOKUP($A43, LS_previous!$B$4:$AY$138, LS_previous!M$149, FALSE), VLOOKUP('Staging Table'!$A43, LS_previous!$B$4:$AY$138,LS_previous!AK$149, FALSE))/2)</f>
        <v>8743.7636701515985</v>
      </c>
      <c r="V43" s="192">
        <f t="array" ref="V43">IF($G43=0, INDEX(LS_previous!$D$4:$AY$138, MATCH('Staging Table'!$A43, LS_previous!$B$4:$B$138, 0), MATCH(V$4&amp;V$5, LS_previous!$D$2:$AY$2&amp;LS_previous!$D$3:$AY$3, 0)),SUM(VLOOKUP($A43, LS_previous!$B$4:$AY$138, LS_previous!N$149, FALSE), VLOOKUP('Staging Table'!$A43, LS_previous!$B$4:$AY$138,LS_previous!AL$149, FALSE))/2)</f>
        <v>7036.465436325605</v>
      </c>
      <c r="W43" s="192">
        <f t="array" ref="W43">IF($G43=0, INDEX(LS_previous!$D$4:$AY$138, MATCH('Staging Table'!$A43, LS_previous!$B$4:$B$138, 0), MATCH(W$4&amp;W$5, LS_previous!$D$2:$AY$2&amp;LS_previous!$D$3:$AY$3, 0)),SUM(VLOOKUP($A43, LS_previous!$B$4:$AY$138, LS_previous!O$149, FALSE), VLOOKUP('Staging Table'!$A43, LS_previous!$B$4:$AY$138,LS_previous!AM$149, FALSE))/2)</f>
        <v>5306.884733526098</v>
      </c>
      <c r="X43" s="192">
        <f t="array" ref="X43">IF($G43=0, INDEX(LS_previous!$D$4:$AY$138, MATCH('Staging Table'!$A43, LS_previous!$B$4:$B$138, 0), MATCH(X$4&amp;X$5, LS_previous!$D$2:$AY$2&amp;LS_previous!$D$3:$AY$3, 0)),SUM(VLOOKUP($A43, LS_previous!$B$4:$AY$138, LS_previous!P$149, FALSE), VLOOKUP('Staging Table'!$A43, LS_previous!$B$4:$AY$138,LS_previous!AN$149, FALSE))/2)</f>
        <v>5852.0050045703974</v>
      </c>
      <c r="Y43" s="192">
        <f t="array" ref="Y43">IF($G43=0, INDEX(LS_previous!$D$4:$AY$138, MATCH('Staging Table'!$A43, LS_previous!$B$4:$B$138, 0), MATCH(Y$4&amp;Y$5, LS_previous!$D$2:$AY$2&amp;LS_previous!$D$3:$AY$3, 0)),SUM(VLOOKUP($A43, LS_previous!$B$4:$AY$138, LS_previous!Q$149, FALSE), VLOOKUP('Staging Table'!$A43, LS_previous!$B$4:$AY$138,LS_previous!AO$149, FALSE))/2)</f>
        <v>4330.6861575976</v>
      </c>
      <c r="Z43" s="192">
        <f t="array" ref="Z43">IF($G43=0, INDEX(LS_previous!$D$4:$AY$138, MATCH('Staging Table'!$A43, LS_previous!$B$4:$B$138, 0), MATCH(Z$4&amp;Z$5, LS_previous!$D$2:$AY$2&amp;LS_previous!$D$3:$AY$3, 0)),SUM(VLOOKUP($A43, LS_previous!$B$4:$AY$138, LS_previous!R$149, FALSE), VLOOKUP('Staging Table'!$A43, LS_previous!$B$4:$AY$138,LS_previous!AP$149, FALSE))/2)</f>
        <v>-11563.65690989</v>
      </c>
      <c r="AA43" s="192">
        <f t="array" ref="AA43">IF($G43=0, INDEX(LS_previous!$D$4:$AY$138, MATCH('Staging Table'!$A43, LS_previous!$B$4:$B$138, 0), MATCH(AA$4&amp;AA$5, LS_previous!$D$2:$AY$2&amp;LS_previous!$D$3:$AY$3, 0)),SUM(VLOOKUP($A43, LS_previous!$B$4:$AY$138, LS_previous!S$149, FALSE), VLOOKUP('Staging Table'!$A43, LS_previous!$B$4:$AY$138,LS_previous!AQ$149, FALSE))/2)</f>
        <v>-3135.3802454763972</v>
      </c>
      <c r="AB43" s="192">
        <f t="array" ref="AB43">IF($G43=0, INDEX(LS_previous!$D$4:$AY$138, MATCH('Staging Table'!$A43, LS_previous!$B$4:$B$138, 0), MATCH(AB$4&amp;AB$5, LS_previous!$D$2:$AY$2&amp;LS_previous!$D$3:$AY$3, 0)),SUM(VLOOKUP($A43, LS_previous!$B$4:$AY$138, LS_previous!T$149, FALSE), VLOOKUP('Staging Table'!$A43, LS_previous!$B$4:$AY$138,LS_previous!AR$149, FALSE))/2)</f>
        <v>-23483.997794079594</v>
      </c>
      <c r="AC43" s="192">
        <f t="array" ref="AC43">IF($G43=0, INDEX(LS_previous!$D$4:$AY$138, MATCH('Staging Table'!$A43, LS_previous!$B$4:$B$138, 0), MATCH(AC$4&amp;AC$5, LS_previous!$D$2:$AY$2&amp;LS_previous!$D$3:$AY$3, 0)),SUM(VLOOKUP($A43, LS_previous!$B$4:$AY$138, LS_previous!U$149, FALSE), VLOOKUP('Staging Table'!$A43, LS_previous!$B$4:$AY$138,LS_previous!AS$149, FALSE))/2)</f>
        <v>-11777.6724898024</v>
      </c>
      <c r="AD43" s="192">
        <f t="array" ref="AD43">IF($G43=0, INDEX(LS_previous!$D$4:$AY$138, MATCH('Staging Table'!$A43, LS_previous!$B$4:$B$138, 0), MATCH(AD$4&amp;AD$5, LS_previous!$D$2:$AY$2&amp;LS_previous!$D$3:$AY$3, 0)),SUM(VLOOKUP($A43, LS_previous!$B$4:$AY$138, LS_previous!V$149, FALSE), VLOOKUP('Staging Table'!$A43, LS_previous!$B$4:$AY$138,LS_previous!AT$149, FALSE))/2)</f>
        <v>-16728.368353579594</v>
      </c>
      <c r="AE43" s="192">
        <f t="array" ref="AE43">IF($G43=0, INDEX(LS_previous!$D$4:$AY$138, MATCH('Staging Table'!$A43, LS_previous!$B$4:$B$138, 0), MATCH(AE$4&amp;AE$5, LS_previous!$D$2:$AY$2&amp;LS_previous!$D$3:$AY$3, 0)),SUM(VLOOKUP($A43, LS_previous!$B$4:$AY$138, LS_previous!W$149, FALSE), VLOOKUP('Staging Table'!$A43, LS_previous!$B$4:$AY$138,LS_previous!AU$149, FALSE))/2)</f>
        <v>-3353.165964436801</v>
      </c>
      <c r="AF43" s="192">
        <f t="array" ref="AF43">IF($G43=0, INDEX(LS_previous!$D$4:$AY$138, MATCH('Staging Table'!$A43, LS_previous!$B$4:$B$138, 0), MATCH(AF$4&amp;AF$5, LS_previous!$D$2:$AY$2&amp;LS_previous!$D$3:$AY$3, 0)),SUM(VLOOKUP($A43, LS_previous!$B$4:$AY$138, LS_previous!X$149, FALSE), VLOOKUP('Staging Table'!$A43, LS_previous!$B$4:$AY$138,LS_previous!AV$149, FALSE))/2)</f>
        <v>-14330.733925629604</v>
      </c>
      <c r="AG43" s="192">
        <f t="array" ref="AG43">IF($G43=0, INDEX(LS_previous!$D$4:$AY$138, MATCH('Staging Table'!$A43, LS_previous!$B$4:$B$138, 0), MATCH(AG$4&amp;AG$5, LS_previous!$D$2:$AY$2&amp;LS_previous!$D$3:$AY$3, 0)),SUM(VLOOKUP($A43, LS_previous!$B$4:$AY$138, LS_previous!Y$149, FALSE), VLOOKUP('Staging Table'!$A43, LS_previous!$B$4:$AY$138,LS_previous!AW$149, FALSE))/2)</f>
        <v>-4167.9583964368012</v>
      </c>
      <c r="AH43" s="192">
        <f t="array" ref="AH43">IF($G43=0, INDEX(LS_previous!$D$4:$AY$138, MATCH('Staging Table'!$A43, LS_previous!$B$4:$B$138, 0), MATCH(AH$4&amp;AH$5, LS_previous!$D$2:$AY$2&amp;LS_previous!$D$3:$AY$3, 0)),SUM(VLOOKUP($A43, LS_previous!$B$4:$AY$138, LS_previous!Z$149, FALSE), VLOOKUP('Staging Table'!$A43, LS_previous!$B$4:$AY$138,LS_previous!AX$149, FALSE))/2)</f>
        <v>-8243.7870310399994</v>
      </c>
      <c r="AI43" s="192">
        <f t="array" ref="AI43">IF($G43=0, INDEX(LS_previous!$D$4:$AY$138, MATCH('Staging Table'!$A43, LS_previous!$B$4:$B$138, 0), MATCH(AI$4&amp;AI$5, LS_previous!$D$2:$AY$2&amp;LS_previous!$D$3:$AY$3, 0)),SUM(VLOOKUP($A43, LS_previous!$B$4:$AY$138, LS_previous!AA$149, FALSE), VLOOKUP('Staging Table'!$A43, LS_previous!$B$4:$AY$138,LS_previous!AY$149, FALSE))/2)</f>
        <v>-3367.5405146919984</v>
      </c>
      <c r="AJ43" s="314">
        <f t="array" ref="AJ43">INDEX(Demand_previous!$D$4:$AY$138, MATCH('Staging Table'!$A43, Demand_previous!$B$4:$B$138, 0), MATCH(AJ$4&amp;AJ$5,Demand_previous!$D$2:$AY$2&amp;Demand_previous!$D$3:$AY$3, 0))/1000</f>
        <v>0</v>
      </c>
      <c r="AK43" s="314">
        <f t="array" ref="AK43">INDEX(Demand_previous!$D$4:$AY$138, MATCH('Staging Table'!$A43, Demand_previous!$B$4:$B$138, 0), MATCH(AK$4&amp;AK$5,Demand_previous!$D$2:$AY$2&amp;Demand_previous!$D$3:$AY$3, 0))/1000</f>
        <v>0</v>
      </c>
      <c r="AL43" s="314">
        <f t="array" ref="AL43">INDEX(Demand_previous!$D$4:$AY$138, MATCH('Staging Table'!$A43, Demand_previous!$B$4:$B$138, 0), MATCH(AL$4&amp;AL$5,Demand_previous!$D$2:$AY$2&amp;Demand_previous!$D$3:$AY$3, 0))/1000</f>
        <v>24.485104999999983</v>
      </c>
      <c r="AM43" s="314">
        <f t="array" ref="AM43">INDEX(Demand_previous!$D$4:$AY$138, MATCH('Staging Table'!$A43, Demand_previous!$B$4:$B$138, 0), MATCH(AM$4&amp;AM$5,Demand_previous!$D$2:$AY$2&amp;Demand_previous!$D$3:$AY$3, 0))/1000</f>
        <v>24.170774038461524</v>
      </c>
      <c r="AN43" s="314">
        <f t="array" ref="AN43">INDEX(Demand_previous!$D$4:$AY$138, MATCH('Staging Table'!$A43, Demand_previous!$B$4:$B$138, 0), MATCH(AN$4&amp;AN$5,Demand_previous!$D$2:$AY$2&amp;Demand_previous!$D$3:$AY$3, 0))/1000</f>
        <v>23.9103675</v>
      </c>
      <c r="AO43" s="314">
        <f t="array" ref="AO43">INDEX(Demand_previous!$D$4:$AY$138, MATCH('Staging Table'!$A43, Demand_previous!$B$4:$B$138, 0), MATCH(AO$4&amp;AO$5,Demand_previous!$D$2:$AY$2&amp;Demand_previous!$D$3:$AY$3, 0))/1000</f>
        <v>12.115670673076913</v>
      </c>
      <c r="AP43" s="314">
        <f t="array" ref="AP43">INDEX(Demand_previous!$D$4:$AY$138, MATCH('Staging Table'!$A43, Demand_previous!$B$4:$B$138, 0), MATCH(AP$4&amp;AP$5,Demand_previous!$D$2:$AY$2&amp;Demand_previous!$D$3:$AY$3, 0))/1000</f>
        <v>15.88178605769231</v>
      </c>
      <c r="AQ43" s="314">
        <f t="array" ref="AQ43">INDEX(Demand_previous!$D$4:$AY$138, MATCH('Staging Table'!$A43, Demand_previous!$B$4:$B$138, 0), MATCH(AQ$4&amp;AQ$5,Demand_previous!$D$2:$AY$2&amp;Demand_previous!$D$3:$AY$3, 0))/1000</f>
        <v>13.913444999999989</v>
      </c>
      <c r="AR43" s="314">
        <f t="array" ref="AR43">INDEX(Demand_previous!$D$4:$AY$138, MATCH('Staging Table'!$A43, Demand_previous!$B$4:$B$138, 0), MATCH(AR$4&amp;AR$5,Demand_previous!$D$2:$AY$2&amp;Demand_previous!$D$3:$AY$3, 0))/1000</f>
        <v>9.0940913461538422</v>
      </c>
      <c r="AS43" s="314">
        <f t="array" ref="AS43">INDEX(Demand_previous!$D$4:$AY$138, MATCH('Staging Table'!$A43, Demand_previous!$B$4:$B$138, 0), MATCH(AS$4&amp;AS$5,Demand_previous!$D$2:$AY$2&amp;Demand_previous!$D$3:$AY$3, 0))/1000</f>
        <v>6.5955096153846053</v>
      </c>
      <c r="AT43" s="314">
        <f t="array" ref="AT43">INDEX(Demand_previous!$D$4:$AY$138, MATCH('Staging Table'!$A43, Demand_previous!$B$4:$B$138, 0), MATCH(AT$4&amp;AT$5,Demand_previous!$D$2:$AY$2&amp;Demand_previous!$D$3:$AY$3, 0))/1000</f>
        <v>6.0787235576923084</v>
      </c>
      <c r="AU43" s="314">
        <f t="array" ref="AU43">INDEX(Demand_previous!$D$4:$AY$138, MATCH('Staging Table'!$A43, Demand_previous!$B$4:$B$138, 0), MATCH(AU$4&amp;AU$5,Demand_previous!$D$2:$AY$2&amp;Demand_previous!$D$3:$AY$3, 0))/1000</f>
        <v>10.957242499999992</v>
      </c>
      <c r="AV43" s="192">
        <f>$F43*(VLOOKUP(AV$4, Rates_previous!$G$6:$Q$29, 10, FALSE)+VLOOKUP(AV$4, Rates_previous!$G$6:$Q$29, 11, FALSE))</f>
        <v>49709.575200416395</v>
      </c>
      <c r="AW43" s="192">
        <f>$F43*(VLOOKUP(AW$4, Rates_previous!$G$6:$Q$29, 10, FALSE)+VLOOKUP(AW$4, Rates_previous!$G$6:$Q$29, 11, FALSE))</f>
        <v>63146.667707750101</v>
      </c>
      <c r="AX43" s="192">
        <f>$F43*(VLOOKUP(AX$4, Rates_previous!$G$6:$Q$29, 10, FALSE)+VLOOKUP(AX$4, Rates_previous!$G$6:$Q$29, 11, FALSE))</f>
        <v>62384.086250116408</v>
      </c>
      <c r="AY43" s="192">
        <f>$F43*(VLOOKUP(AY$4, Rates_previous!$G$6:$Q$29, 10, FALSE)+VLOOKUP(AY$4, Rates_previous!$G$6:$Q$29, 11, FALSE))</f>
        <v>52000.935526916408</v>
      </c>
      <c r="AZ43" s="192">
        <f>$F43*(VLOOKUP(AZ$4, Rates_previous!$G$6:$Q$29, 10, FALSE)+VLOOKUP(AZ$4, Rates_previous!$G$6:$Q$29, 11, FALSE))</f>
        <v>47107.452907120001</v>
      </c>
      <c r="BA43" s="192">
        <f>$F43*(VLOOKUP(BA$4, Rates_previous!$G$6:$Q$29, 10, FALSE)+VLOOKUP(BA$4, Rates_previous!$G$6:$Q$29, 11, FALSE))</f>
        <v>52398.452830148301</v>
      </c>
      <c r="BB43" s="192">
        <f>$F43*(VLOOKUP(BB$4, Rates_previous!$G$6:$Q$29, 10, FALSE)+VLOOKUP(BB$4, Rates_previous!$G$6:$Q$29, 11, FALSE))</f>
        <v>42662.876837832002</v>
      </c>
      <c r="BC43" s="192">
        <f>$F43*(VLOOKUP(BC$4, Rates_previous!$G$6:$Q$29, 10, FALSE)+VLOOKUP(BC$4, Rates_previous!$G$6:$Q$29, 11, FALSE))</f>
        <v>57537.251155366408</v>
      </c>
      <c r="BD43" s="192">
        <f>$F43*(VLOOKUP(BD$4, Rates_previous!$G$6:$Q$29, 10, FALSE)+VLOOKUP(BD$4, Rates_previous!$G$6:$Q$29, 11, FALSE))</f>
        <v>73413.619283881999</v>
      </c>
      <c r="BE43" s="192">
        <f>$F43*(VLOOKUP(BE$4, Rates_previous!$G$6:$Q$29, 10, FALSE)+VLOOKUP(BE$4, Rates_previous!$G$6:$Q$29, 11, FALSE))</f>
        <v>57558.605318016409</v>
      </c>
      <c r="BF43" s="192">
        <f>$F43*(VLOOKUP(BF$4, Rates_previous!$G$6:$Q$29, 10, FALSE)+VLOOKUP(BF$4, Rates_previous!$G$6:$Q$29, 11, FALSE))</f>
        <v>56050.620322066403</v>
      </c>
      <c r="BG43" s="192">
        <f>$F43*(VLOOKUP(BG$4, Rates_previous!$G$6:$Q$29, 10, FALSE)+VLOOKUP(BG$4, Rates_previous!$G$6:$Q$29, 11, FALSE))</f>
        <v>50321.533545732003</v>
      </c>
      <c r="BH43" s="314">
        <f>IF($D43=0,IF(C43=0, MAX(BJ43 - (VLOOKUP($A43,TOCA_previous!$A$2:$AI$137,MATCH("RHWM 2020",TOCA_previous!$A$2:$AI$2,0),FALSE)*$F$2*TOCA_previous!C40),0),0), 0)</f>
        <v>0</v>
      </c>
      <c r="BI43" s="204">
        <f>MIN(VLOOKUP($A43,TOCA_previous!$A$2:$AI$137,MATCH("TRL - NLSL - Existing Resource "&amp;$F$1,TOCA_previous!$A$2:$AI$2,0),FALSE)*$F$2,(VLOOKUP($A43,TOCA_previous!$A$2:$AI$137,MATCH("RHWM 2020",TOCA_previous!$A$2:$AI$2,0),FALSE)*$F$2))</f>
        <v>664290</v>
      </c>
      <c r="BJ43" s="418">
        <f>SUM(L43:AI43)+(F43*RT1SC!$C$3*$F$2)</f>
        <v>657175.58293382439</v>
      </c>
      <c r="BK43" s="417">
        <f>VLOOKUP($A43,TOCA_previous!$A$2:$AI$137,MATCH("Above RHWM Not Served with LS "&amp;$F$1,TOCA_previous!$A$2:$AI$2,0),FALSE)*$F$2</f>
        <v>15328.080000000002</v>
      </c>
      <c r="BL43" s="418">
        <f t="shared" si="8"/>
        <v>-7114.417066175607</v>
      </c>
      <c r="BM43" s="417">
        <f>(VLOOKUP($A43,TOCA_previous!$A$2:$AI$137,MATCH("RHWM 2020",TOCA_previous!$A$2:$AI$2,0),FALSE)*$F$2) - $BI43</f>
        <v>0</v>
      </c>
      <c r="BN43" s="418">
        <f t="shared" si="9"/>
        <v>0</v>
      </c>
      <c r="BO43" s="417">
        <f t="shared" si="10"/>
        <v>0</v>
      </c>
      <c r="BP43" s="418">
        <f t="shared" si="11"/>
        <v>0</v>
      </c>
      <c r="BQ43" s="417">
        <f t="shared" si="18"/>
        <v>0</v>
      </c>
      <c r="BR43" s="120">
        <f>VLOOKUP($A43,TOCA_current!$A$2:$AI$137,MATCH(BR$4,TOCA_current!$A$2:$AI$2,0),FALSE)</f>
        <v>1.07659E-2</v>
      </c>
      <c r="BS43" s="120">
        <f>VLOOKUP($A43,TOCA_current!$A$2:$AI$137,MATCH(BS$4,TOCA_current!$A$2:$AI$2,0),FALSE)</f>
        <v>1.07659E-2</v>
      </c>
      <c r="BT43" s="201">
        <f t="shared" si="12"/>
        <v>0</v>
      </c>
      <c r="BU43" s="120">
        <f>VLOOKUP($A43,TOCA_current!A39:BG174,MATCH(BU$4,TOCA_current!$A$2:$BG$2,0),FALSE)</f>
        <v>5.2931483805137694E-2</v>
      </c>
      <c r="BV43" s="120">
        <f t="shared" si="19"/>
        <v>0</v>
      </c>
      <c r="BW43" s="120">
        <f t="shared" si="20"/>
        <v>0</v>
      </c>
      <c r="BX43" s="191">
        <f>VLOOKUP($A43,IRD!$A$4:$G$139, 7, FALSE)</f>
        <v>0</v>
      </c>
      <c r="BY43" s="192">
        <f t="array" ref="BY43">IF($BT43=0, INDEX(LS_current!$D$4:$AY$138, MATCH('Staging Table'!$A43, LS_current!$B$4:$B$138, 0), MATCH(BY$4&amp;BY$5, LS_current!$D$2:$AY$2&amp;LS_current!$D$3:$AY$3, 0)),SUM(VLOOKUP($A43, LS_current!$B$4:$AY$138, LS_current!D$148, FALSE), VLOOKUP($A43, LS_current!$B$4:$AY$138,LS_current!AB$148, FALSE))/2)</f>
        <v>1132.8880910372682</v>
      </c>
      <c r="BZ43" s="192">
        <f t="array" ref="BZ43">IF($BT43=0, INDEX(LS_current!$D$4:$AY$138, MATCH('Staging Table'!$A43, LS_current!$B$4:$B$138, 0), MATCH(BZ$4&amp;BZ$5, LS_current!$D$2:$AY$2&amp;LS_current!$D$3:$AY$3, 0)),SUM(VLOOKUP($A43, LS_current!$B$4:$AY$138, LS_current!E$148, FALSE), VLOOKUP($A43, LS_current!$B$4:$AY$138,LS_current!AC$148, FALSE))/2)</f>
        <v>1112.8959874703542</v>
      </c>
      <c r="CA43" s="192">
        <f t="array" ref="CA43">IF($BT43=0, INDEX(LS_current!$D$4:$AY$138, MATCH('Staging Table'!$A43, LS_current!$B$4:$B$138, 0), MATCH(CA$4&amp;CA$5, LS_current!$D$2:$AY$2&amp;LS_current!$D$3:$AY$3, 0)),SUM(VLOOKUP($A43, LS_current!$B$4:$AY$138, LS_current!F$148, FALSE), VLOOKUP($A43, LS_current!$B$4:$AY$138,LS_current!AD$148, FALSE))/2)</f>
        <v>930.56708831653668</v>
      </c>
      <c r="CB43" s="192">
        <f t="array" ref="CB43">IF($BT43=0, INDEX(LS_current!$D$4:$AY$138, MATCH('Staging Table'!$A43, LS_current!$B$4:$B$138, 0), MATCH(CB$4&amp;CB$5, LS_current!$D$2:$AY$2&amp;LS_current!$D$3:$AY$3, 0)),SUM(VLOOKUP($A43, LS_current!$B$4:$AY$138, LS_current!G$148, FALSE), VLOOKUP($A43, LS_current!$B$4:$AY$138,LS_current!AE$148, FALSE))/2)</f>
        <v>1020.6864253554559</v>
      </c>
      <c r="CC43" s="192">
        <f t="array" ref="CC43">IF($BT43=0, INDEX(LS_current!$D$4:$AY$138, MATCH('Staging Table'!$A43, LS_current!$B$4:$B$138, 0), MATCH(CC$4&amp;CC$5, LS_current!$D$2:$AY$2&amp;LS_current!$D$3:$AY$3, 0)),SUM(VLOOKUP($A43, LS_current!$B$4:$AY$138, LS_current!H$148, FALSE), VLOOKUP($A43, LS_current!$B$4:$AY$138,LS_current!AF$148, FALSE))/2)</f>
        <v>11692.034514958832</v>
      </c>
      <c r="CD43" s="192">
        <f t="array" ref="CD43">IF($BT43=0, INDEX(LS_current!$D$4:$AY$138, MATCH('Staging Table'!$A43, LS_current!$B$4:$B$138, 0), MATCH(CD$4&amp;CD$5, LS_current!$D$2:$AY$2&amp;LS_current!$D$3:$AY$3, 0)),SUM(VLOOKUP($A43, LS_current!$B$4:$AY$138, LS_current!I$148, FALSE), VLOOKUP($A43, LS_current!$B$4:$AY$138,LS_current!AG$148, FALSE))/2)</f>
        <v>3686.8522704093521</v>
      </c>
      <c r="CE43" s="192">
        <f t="array" ref="CE43">IF($BT43=0, INDEX(LS_current!$D$4:$AY$138, MATCH('Staging Table'!$A43, LS_current!$B$4:$B$138, 0), MATCH(CE$4&amp;CE$5, LS_current!$D$2:$AY$2&amp;LS_current!$D$3:$AY$3, 0)),SUM(VLOOKUP($A43, LS_current!$B$4:$AY$138, LS_current!J$148, FALSE), VLOOKUP($A43, LS_current!$B$4:$AY$138,LS_current!AH$148, FALSE))/2)</f>
        <v>18261.995836442406</v>
      </c>
      <c r="CF43" s="192">
        <f t="array" ref="CF43">IF($BT43=0, INDEX(LS_current!$D$4:$AY$138, MATCH('Staging Table'!$A43, LS_current!$B$4:$B$138, 0), MATCH(CF$4&amp;CF$5, LS_current!$D$2:$AY$2&amp;LS_current!$D$3:$AY$3, 0)),SUM(VLOOKUP($A43, LS_current!$B$4:$AY$138, LS_current!K$148, FALSE), VLOOKUP($A43, LS_current!$B$4:$AY$138,LS_current!AI$148, FALSE))/2)</f>
        <v>9129.5919154132825</v>
      </c>
      <c r="CG43" s="192">
        <f t="array" ref="CG43">IF($BT43=0, INDEX(LS_current!$D$4:$AY$138, MATCH('Staging Table'!$A43, LS_current!$B$4:$B$138, 0), MATCH(CG$4&amp;CG$5, LS_current!$D$2:$AY$2&amp;LS_current!$D$3:$AY$3, 0)),SUM(VLOOKUP($A43, LS_current!$B$4:$AY$138, LS_current!L$148, FALSE), VLOOKUP($A43, LS_current!$B$4:$AY$138,LS_current!AJ$148, FALSE))/2)</f>
        <v>16126.453819188311</v>
      </c>
      <c r="CH43" s="192">
        <f t="array" ref="CH43">IF($BT43=0, INDEX(LS_current!$D$4:$AY$138, MATCH('Staging Table'!$A43, LS_current!$B$4:$B$138, 0), MATCH(CH$4&amp;CH$5, LS_current!$D$2:$AY$2&amp;LS_current!$D$3:$AY$3, 0)),SUM(VLOOKUP($A43, LS_current!$B$4:$AY$138, LS_current!M$148, FALSE), VLOOKUP($A43, LS_current!$B$4:$AY$138,LS_current!AK$148, FALSE))/2)</f>
        <v>7194.6325445381408</v>
      </c>
      <c r="CI43" s="192">
        <f t="array" ref="CI43">IF($BT43=0, INDEX(LS_current!$D$4:$AY$138, MATCH('Staging Table'!$A43, LS_current!$B$4:$B$138, 0), MATCH(CI$4&amp;CI$5, LS_current!$D$2:$AY$2&amp;LS_current!$D$3:$AY$3, 0)),SUM(VLOOKUP($A43, LS_current!$B$4:$AY$138, LS_current!N$148, FALSE), VLOOKUP($A43, LS_current!$B$4:$AY$138,LS_current!AL$148, FALSE))/2)</f>
        <v>7354.7438043055226</v>
      </c>
      <c r="CJ43" s="192">
        <f t="array" ref="CJ43">IF($BT43=0, INDEX(LS_current!$D$4:$AY$138, MATCH('Staging Table'!$A43, LS_current!$B$4:$B$138, 0), MATCH(CJ$4&amp;CJ$5, LS_current!$D$2:$AY$2&amp;LS_current!$D$3:$AY$3, 0)),SUM(VLOOKUP($A43, LS_current!$B$4:$AY$138, LS_current!O$148, FALSE), VLOOKUP($A43, LS_current!$B$4:$AY$138,LS_current!AM$148, FALSE))/2)</f>
        <v>3603.1597439046382</v>
      </c>
      <c r="CK43" s="192">
        <f t="array" ref="CK43">IF($BT43=0, INDEX(LS_current!$D$4:$AY$138, MATCH('Staging Table'!$A43, LS_current!$B$4:$B$138, 0), MATCH(CK$4&amp;CK$5, LS_current!$D$2:$AY$2&amp;LS_current!$D$3:$AY$3, 0)),SUM(VLOOKUP($A43, LS_current!$B$4:$AY$138, LS_current!P$148, FALSE), VLOOKUP($A43, LS_current!$B$4:$AY$138,LS_current!AN$148, FALSE))/2)</f>
        <v>6814.4691637444412</v>
      </c>
      <c r="CL43" s="192">
        <f t="array" ref="CL43">IF($BT43=0, INDEX(LS_current!$D$4:$AY$138, MATCH('Staging Table'!$A43, LS_current!$B$4:$B$138, 0), MATCH(CL$4&amp;CL$5, LS_current!$D$2:$AY$2&amp;LS_current!$D$3:$AY$3, 0)),SUM(VLOOKUP($A43, LS_current!$B$4:$AY$138, LS_current!Q$148, FALSE), VLOOKUP($A43, LS_current!$B$4:$AY$138,LS_current!AO$148, FALSE))/2)</f>
        <v>3916.160450445368</v>
      </c>
      <c r="CM43" s="192">
        <f t="array" ref="CM43">IF($BT43=0, INDEX(LS_current!$D$4:$AY$138, MATCH('Staging Table'!$A43, LS_current!$B$4:$B$138, 0), MATCH(CM$4&amp;CM$5, LS_current!$D$2:$AY$2&amp;LS_current!$D$3:$AY$3, 0)),SUM(VLOOKUP($A43, LS_current!$B$4:$AY$138, LS_current!R$148, FALSE), VLOOKUP($A43, LS_current!$B$4:$AY$138,LS_current!AP$148, FALSE))/2)</f>
        <v>-12863.838780710783</v>
      </c>
      <c r="CN43" s="192">
        <f t="array" ref="CN43">IF($BT43=0, INDEX(LS_current!$D$4:$AY$138, MATCH('Staging Table'!$A43, LS_current!$B$4:$B$138, 0), MATCH(CN$4&amp;CN$5, LS_current!$D$2:$AY$2&amp;LS_current!$D$3:$AY$3, 0)),SUM(VLOOKUP($A43, LS_current!$B$4:$AY$138, LS_current!S$148, FALSE), VLOOKUP($A43, LS_current!$B$4:$AY$138,LS_current!AQ$148, FALSE))/2)</f>
        <v>-2012.8160727315171</v>
      </c>
      <c r="CO43" s="192">
        <f t="array" ref="CO43">IF($BT43=0, INDEX(LS_current!$D$4:$AY$138, MATCH('Staging Table'!$A43, LS_current!$B$4:$B$138, 0), MATCH(CO$4&amp;CO$5, LS_current!$D$2:$AY$2&amp;LS_current!$D$3:$AY$3, 0)),SUM(VLOOKUP($A43, LS_current!$B$4:$AY$138, LS_current!T$148, FALSE), VLOOKUP($A43, LS_current!$B$4:$AY$138,LS_current!AR$148, FALSE))/2)</f>
        <v>-19438.134447216191</v>
      </c>
      <c r="CP43" s="192">
        <f t="array" ref="CP43">IF($BT43=0, INDEX(LS_current!$D$4:$AY$138, MATCH('Staging Table'!$A43, LS_current!$B$4:$B$138, 0), MATCH(CP$4&amp;CP$5, LS_current!$D$2:$AY$2&amp;LS_current!$D$3:$AY$3, 0)),SUM(VLOOKUP($A43, LS_current!$B$4:$AY$138, LS_current!U$148, FALSE), VLOOKUP($A43, LS_current!$B$4:$AY$138,LS_current!AS$148, FALSE))/2)</f>
        <v>-3891.4886191844453</v>
      </c>
      <c r="CQ43" s="192">
        <f t="array" ref="CQ43">IF($BT43=0, INDEX(LS_current!$D$4:$AY$138, MATCH('Staging Table'!$A43, LS_current!$B$4:$B$138, 0), MATCH(CQ$4&amp;CQ$5, LS_current!$D$2:$AY$2&amp;LS_current!$D$3:$AY$3, 0)),SUM(VLOOKUP($A43, LS_current!$B$4:$AY$138, LS_current!V$148, FALSE), VLOOKUP($A43, LS_current!$B$4:$AY$138,LS_current!AT$148, FALSE))/2)</f>
        <v>-15819.496478417186</v>
      </c>
      <c r="CR43" s="192">
        <f t="array" ref="CR43">IF($BT43=0, INDEX(LS_current!$D$4:$AY$138, MATCH('Staging Table'!$A43, LS_current!$B$4:$B$138, 0), MATCH(CR$4&amp;CR$5, LS_current!$D$2:$AY$2&amp;LS_current!$D$3:$AY$3, 0)),SUM(VLOOKUP($A43, LS_current!$B$4:$AY$138, LS_current!W$148, FALSE), VLOOKUP($A43, LS_current!$B$4:$AY$138,LS_current!AU$148, FALSE))/2)</f>
        <v>-5228.8054698515389</v>
      </c>
      <c r="CS43" s="192">
        <f t="array" ref="CS43">IF($BT43=0, INDEX(LS_current!$D$4:$AY$138, MATCH('Staging Table'!$A43, LS_current!$B$4:$B$138, 0), MATCH(CS$4&amp;CS$5, LS_current!$D$2:$AY$2&amp;LS_current!$D$3:$AY$3, 0)),SUM(VLOOKUP($A43, LS_current!$B$4:$AY$138, LS_current!X$148, FALSE), VLOOKUP($A43, LS_current!$B$4:$AY$138,LS_current!AV$148, FALSE))/2)</f>
        <v>-13907.498522759615</v>
      </c>
      <c r="CT43" s="192">
        <f t="array" ref="CT43">IF($BT43=0, INDEX(LS_current!$D$4:$AY$138, MATCH('Staging Table'!$A43, LS_current!$B$4:$B$138, 0), MATCH(CT$4&amp;CT$5, LS_current!$D$2:$AY$2&amp;LS_current!$D$3:$AY$3, 0)),SUM(VLOOKUP($A43, LS_current!$B$4:$AY$138, LS_current!Y$148, FALSE), VLOOKUP($A43, LS_current!$B$4:$AY$138,LS_current!AW$148, FALSE))/2)</f>
        <v>-5163.4597954444998</v>
      </c>
      <c r="CU43" s="192">
        <f t="array" ref="CU43">IF($BT43=0, INDEX(LS_current!$D$4:$AY$138, MATCH('Staging Table'!$A43, LS_current!$B$4:$B$138, 0), MATCH(CU$4&amp;CU$5, LS_current!$D$2:$AY$2&amp;LS_current!$D$3:$AY$3, 0)),SUM(VLOOKUP($A43, LS_current!$B$4:$AY$138, LS_current!Z$148, FALSE), VLOOKUP($A43, LS_current!$B$4:$AY$138,LS_current!AX$148, FALSE))/2)</f>
        <v>-9314.4056745414855</v>
      </c>
      <c r="CV43" s="192">
        <f t="array" ref="CV43">IF($BT43=0, INDEX(LS_current!$D$4:$AY$138, MATCH('Staging Table'!$A43, LS_current!$B$4:$B$138, 0), MATCH(CV$4&amp;CV$5, LS_current!$D$2:$AY$2&amp;LS_current!$D$3:$AY$3, 0)),SUM(VLOOKUP($A43, LS_current!$B$4:$AY$138, LS_current!AA$148, FALSE), VLOOKUP($A43, LS_current!$B$4:$AY$138,LS_current!AY$148, FALSE))/2)</f>
        <v>-4382.231353225352</v>
      </c>
      <c r="CW43" s="194">
        <f t="array" ref="CW43">INDEX(Demand_current!$D$4:$AY$138, MATCH($A43, Demand_current!$B$4:$B$138, 0), MATCH(CW$4&amp;CW$5,Demand_current!$D$2:$AY$2&amp;Demand_current!$D$3:$AY$3, 0))/1000</f>
        <v>0</v>
      </c>
      <c r="CX43" s="194">
        <f t="array" ref="CX43">INDEX(Demand_current!$D$4:$AY$138, MATCH($A43, Demand_current!$B$4:$B$138, 0), MATCH(CX$4&amp;CX$5,Demand_current!$D$2:$AY$2&amp;Demand_current!$D$3:$AY$3, 0))/1000</f>
        <v>0</v>
      </c>
      <c r="CY43" s="194">
        <f t="array" ref="CY43">INDEX(Demand_current!$D$4:$AY$138, MATCH($A43, Demand_current!$B$4:$B$138, 0), MATCH(CY$4&amp;CY$5,Demand_current!$D$2:$AY$2&amp;Demand_current!$D$3:$AY$3, 0))/1000</f>
        <v>29.116716346153829</v>
      </c>
      <c r="CZ43" s="194">
        <f t="array" ref="CZ43">INDEX(Demand_current!$D$4:$AY$138, MATCH($A43, Demand_current!$B$4:$B$138, 0), MATCH(CZ$4&amp;CZ$5,Demand_current!$D$2:$AY$2&amp;Demand_current!$D$3:$AY$3, 0))/1000</f>
        <v>19.506404999999994</v>
      </c>
      <c r="DA43" s="194">
        <f t="array" ref="DA43">INDEX(Demand_current!$D$4:$AY$138, MATCH($A43, Demand_current!$B$4:$B$138, 0), MATCH(DA$4&amp;DA$5,Demand_current!$D$2:$AY$2&amp;Demand_current!$D$3:$AY$3, 0))/1000</f>
        <v>19.428757812500017</v>
      </c>
      <c r="DB43" s="194">
        <f t="array" ref="DB43">INDEX(Demand_current!$D$4:$AY$138, MATCH($A43, Demand_current!$B$4:$B$138, 0), MATCH(DB$4&amp;DB$5,Demand_current!$D$2:$AY$2&amp;Demand_current!$D$3:$AY$3, 0))/1000</f>
        <v>15.77294212962962</v>
      </c>
      <c r="DC43" s="194">
        <f t="array" ref="DC43">INDEX(Demand_current!$D$4:$AY$138, MATCH($A43, Demand_current!$B$4:$B$138, 0), MATCH(DC$4&amp;DC$5,Demand_current!$D$2:$AY$2&amp;Demand_current!$D$3:$AY$3, 0))/1000</f>
        <v>15.88178605769231</v>
      </c>
      <c r="DD43" s="194">
        <f t="array" ref="DD43">INDEX(Demand_current!$D$4:$AY$138, MATCH($A43, Demand_current!$B$4:$B$138, 0), MATCH(DD$4&amp;DD$5,Demand_current!$D$2:$AY$2&amp;Demand_current!$D$3:$AY$3, 0))/1000</f>
        <v>13.913444999999989</v>
      </c>
      <c r="DE43" s="194">
        <f t="array" ref="DE43">INDEX(Demand_current!$D$4:$AY$138, MATCH($A43, Demand_current!$B$4:$B$138, 0), MATCH(DE$4&amp;DE$5,Demand_current!$D$2:$AY$2&amp;Demand_current!$D$3:$AY$3, 0))/1000</f>
        <v>9.0940913461538422</v>
      </c>
      <c r="DF43" s="194">
        <f t="array" ref="DF43">INDEX(Demand_current!$D$4:$AY$138, MATCH($A43, Demand_current!$B$4:$B$138, 0), MATCH(DF$4&amp;DF$5,Demand_current!$D$2:$AY$2&amp;Demand_current!$D$3:$AY$3, 0))/1000</f>
        <v>4.3244099999999914</v>
      </c>
      <c r="DG43" s="194">
        <f t="array" ref="DG43">INDEX(Demand_current!$D$4:$AY$138, MATCH($A43, Demand_current!$B$4:$B$138, 0), MATCH(DG$4&amp;DG$5,Demand_current!$D$2:$AY$2&amp;Demand_current!$D$3:$AY$3, 0))/1000</f>
        <v>8.2871782407407313</v>
      </c>
      <c r="DH43" s="194">
        <f t="array" ref="DH43">INDEX(Demand_current!$D$4:$AY$138, MATCH($A43, Demand_current!$B$4:$B$138, 0), MATCH(DH$4&amp;DH$5,Demand_current!$D$2:$AY$2&amp;Demand_current!$D$3:$AY$3, 0))/1000</f>
        <v>10.957242499999992</v>
      </c>
      <c r="DI43" s="192">
        <f>$BS43*(VLOOKUP(DI$4, Rates_current!$G$6:$Q$29, 10, FALSE)+VLOOKUP(DI$4, Rates_current!$G$6:$Q$29, 11, FALSE))</f>
        <v>49027.094921492382</v>
      </c>
      <c r="DJ43" s="192">
        <f>$BS43*(VLOOKUP(DJ$4, Rates_current!$G$6:$Q$29, 10, FALSE)+VLOOKUP(DJ$4, Rates_current!$G$6:$Q$29, 11, FALSE))</f>
        <v>62070.08148632801</v>
      </c>
      <c r="DK43" s="192">
        <f>$BS43*(VLOOKUP(DK$4, Rates_current!$G$6:$Q$29, 10, FALSE)+VLOOKUP(DK$4, Rates_current!$G$6:$Q$29, 11, FALSE))</f>
        <v>60754.209214631817</v>
      </c>
      <c r="DL43" s="192">
        <f>$BS43*(VLOOKUP(DL$4, Rates_current!$G$6:$Q$29, 10, FALSE)+VLOOKUP(DL$4, Rates_current!$G$6:$Q$29, 11, FALSE))</f>
        <v>50180.393248144312</v>
      </c>
      <c r="DM43" s="192">
        <f>$BS43*(VLOOKUP(DM$4, Rates_current!$G$6:$Q$29, 10, FALSE)+VLOOKUP(DM$4, Rates_current!$G$6:$Q$29, 11, FALSE))</f>
        <v>43492.446636273547</v>
      </c>
      <c r="DN43" s="192">
        <f>$BS43*(VLOOKUP(DN$4, Rates_current!$G$6:$Q$29, 10, FALSE)+VLOOKUP(DN$4, Rates_current!$G$6:$Q$29, 11, FALSE))</f>
        <v>51921.198451789845</v>
      </c>
      <c r="DO43" s="192">
        <f>$BS43*(VLOOKUP(DO$4, Rates_current!$G$6:$Q$29, 10, FALSE)+VLOOKUP(DO$4, Rates_current!$G$6:$Q$29, 11, FALSE))</f>
        <v>40309.898385810186</v>
      </c>
      <c r="DP43" s="192">
        <f>$BS43*(VLOOKUP(DP$4, Rates_current!$G$6:$Q$29, 10, FALSE)+VLOOKUP(DP$4, Rates_current!$G$6:$Q$29, 11, FALSE))</f>
        <v>55849.660853442299</v>
      </c>
      <c r="DQ43" s="192">
        <f>$BS43*(VLOOKUP(DQ$4, Rates_current!$G$6:$Q$29, 10, FALSE)+VLOOKUP(DQ$4, Rates_current!$G$6:$Q$29, 11, FALSE))</f>
        <v>59676.532066400636</v>
      </c>
      <c r="DR43" s="192">
        <f>$BS43*(VLOOKUP(DR$4, Rates_current!$G$6:$Q$29, 10, FALSE)+VLOOKUP(DR$4, Rates_current!$G$6:$Q$29, 11, FALSE))</f>
        <v>56660.164948268728</v>
      </c>
      <c r="DS43" s="192">
        <f>$BS43*(VLOOKUP(DS$4, Rates_current!$G$6:$Q$29, 10, FALSE)+VLOOKUP(DS$4, Rates_current!$G$6:$Q$29, 11, FALSE))</f>
        <v>54757.678318204111</v>
      </c>
      <c r="DT43" s="192">
        <f>$BS43*(VLOOKUP(DT$4, Rates_current!$G$6:$Q$29, 10, FALSE)+VLOOKUP(DT$4, Rates_current!$G$6:$Q$29, 11, FALSE))</f>
        <v>50601.803027766844</v>
      </c>
      <c r="DU43" s="418">
        <f>IF(D43=0,IF(C43=0,MAX(0,DW43 - (VLOOKUP($A43,TOCA_current!$A$2:$AI$137,MATCH("RHWM 2022",TOCA_current!$A$2:$AI$2,0),FALSE)*$BS$2)), 0),0)</f>
        <v>0</v>
      </c>
      <c r="DV43" s="419">
        <f>MIN(VLOOKUP($A43,TOCA_current!$A$2:$AI$137,MATCH("TRL - NLSL - Existing Resource "&amp;$BS$1,TOCA_current!$A$2:$AI$2,0),FALSE)*$BS$2, VLOOKUP($A43,TOCA_current!$A$2:$AI$137,MATCH("RHWM 2022",TOCA_current!$A$2:$AI$2,0),FALSE)*$BS$2)</f>
        <v>635301.48</v>
      </c>
      <c r="DW43" s="419">
        <f>SUM(BY43:CV43)+(BS43*RT1SC!$C$4*$BS$2)</f>
        <v>635256.15049840335</v>
      </c>
      <c r="DX43" s="419">
        <f>VLOOKUP($A43,TOCA_current!$A$2:$AI$137,MATCH("Above RHWM Not Served with LS "&amp;$BS$1,TOCA_current!$A$2:$AI$2,0),FALSE)*$BS$2</f>
        <v>37247.519999999997</v>
      </c>
      <c r="DY43" s="419">
        <f t="shared" si="13"/>
        <v>-45.329501596628688</v>
      </c>
      <c r="DZ43" s="419">
        <f>(VLOOKUP($A43,TOCA_current!$A$2:$AI$137,MATCH("RHWM 2022",TOCA_current!$A$2:$AI$2,0),FALSE)*$BS$2) - $DV43</f>
        <v>0</v>
      </c>
      <c r="EA43" s="419">
        <f t="shared" si="14"/>
        <v>0</v>
      </c>
      <c r="EB43" s="419">
        <f t="shared" si="15"/>
        <v>0</v>
      </c>
      <c r="EC43" s="419">
        <f t="shared" si="16"/>
        <v>0</v>
      </c>
      <c r="ED43" s="419">
        <f t="shared" si="17"/>
        <v>0</v>
      </c>
    </row>
    <row r="44" spans="1:134">
      <c r="A44" s="135">
        <v>10103</v>
      </c>
      <c r="B44" s="136" t="s">
        <v>45</v>
      </c>
      <c r="C44" s="244">
        <f>VLOOKUP(A44, TOCA_current!$A$3:$D$137, 4, FALSE)</f>
        <v>0</v>
      </c>
      <c r="D44" s="203">
        <v>1</v>
      </c>
      <c r="E44" s="119">
        <f>VLOOKUP($A44,TOCA_previous!$A$2:$AI$137,MATCH(E$4,TOCA_previous!$A$2:$AI$2,0),FALSE)</f>
        <v>4.3481899999999997E-2</v>
      </c>
      <c r="F44" s="120">
        <f>VLOOKUP($A44,TOCA_previous!$A$2:$AI$137,MATCH(F$4,TOCA_previous!$A$2:$AI$2,0),FALSE)</f>
        <v>2.1660399999999996E-2</v>
      </c>
      <c r="G44" s="120">
        <f t="shared" si="5"/>
        <v>2.1821500000000001E-2</v>
      </c>
      <c r="H44" s="120">
        <f>VLOOKUP($A44,TOCA_previous!$A$2:$AI$137,MATCH(H$4,TOCA_previous!$A$2:$AI$2,0),FALSE)</f>
        <v>0</v>
      </c>
      <c r="I44" s="120">
        <f t="shared" si="6"/>
        <v>0</v>
      </c>
      <c r="J44" s="120">
        <f t="shared" si="7"/>
        <v>0</v>
      </c>
      <c r="K44" s="191">
        <f>VLOOKUP(A44, IRD!$A$5:$C$139, 3, FALSE)</f>
        <v>0</v>
      </c>
      <c r="L44" s="192">
        <f t="array" ref="L44">IF($G44=0, INDEX(LS_previous!$D$4:$AY$138, MATCH('Staging Table'!$A44, LS_previous!$B$4:$B$138, 0), MATCH(L$4&amp;L$5, LS_previous!$D$2:$AY$2&amp;LS_previous!$D$3:$AY$3, 0)),SUM(VLOOKUP($A44, LS_previous!$B$4:$AY$138, LS_previous!D$149, FALSE), VLOOKUP('Staging Table'!$A44, LS_previous!$B$4:$AY$138,LS_previous!AB$149, FALSE))/2)</f>
        <v>-10252.148249911766</v>
      </c>
      <c r="M44" s="192">
        <f t="array" ref="M44">IF($G44=0, INDEX(LS_previous!$D$4:$AY$138, MATCH('Staging Table'!$A44, LS_previous!$B$4:$B$138, 0), MATCH(M$4&amp;M$5, LS_previous!$D$2:$AY$2&amp;LS_previous!$D$3:$AY$3, 0)),SUM(VLOOKUP($A44, LS_previous!$B$4:$AY$138, LS_previous!E$149, FALSE), VLOOKUP('Staging Table'!$A44, LS_previous!$B$4:$AY$138,LS_previous!AC$149, FALSE))/2)</f>
        <v>4950.600523980389</v>
      </c>
      <c r="N44" s="192">
        <f t="array" ref="N44">IF($G44=0, INDEX(LS_previous!$D$4:$AY$138, MATCH('Staging Table'!$A44, LS_previous!$B$4:$B$138, 0), MATCH(N$4&amp;N$5, LS_previous!$D$2:$AY$2&amp;LS_previous!$D$3:$AY$3, 0)),SUM(VLOOKUP($A44, LS_previous!$B$4:$AY$138, LS_previous!F$149, FALSE), VLOOKUP('Staging Table'!$A44, LS_previous!$B$4:$AY$138,LS_previous!AD$149, FALSE))/2)</f>
        <v>-10837.24650822769</v>
      </c>
      <c r="O44" s="192">
        <f t="array" ref="O44">IF($G44=0, INDEX(LS_previous!$D$4:$AY$138, MATCH('Staging Table'!$A44, LS_previous!$B$4:$B$138, 0), MATCH(O$4&amp;O$5, LS_previous!$D$2:$AY$2&amp;LS_previous!$D$3:$AY$3, 0)),SUM(VLOOKUP($A44, LS_previous!$B$4:$AY$138, LS_previous!G$149, FALSE), VLOOKUP('Staging Table'!$A44, LS_previous!$B$4:$AY$138,LS_previous!AE$149, FALSE))/2)</f>
        <v>10581.220996408254</v>
      </c>
      <c r="P44" s="192">
        <f t="array" ref="P44">IF($G44=0, INDEX(LS_previous!$D$4:$AY$138, MATCH('Staging Table'!$A44, LS_previous!$B$4:$B$138, 0), MATCH(P$4&amp;P$5, LS_previous!$D$2:$AY$2&amp;LS_previous!$D$3:$AY$3, 0)),SUM(VLOOKUP($A44, LS_previous!$B$4:$AY$138, LS_previous!H$149, FALSE), VLOOKUP('Staging Table'!$A44, LS_previous!$B$4:$AY$138,LS_previous!AF$149, FALSE))/2)</f>
        <v>8524.4049736064771</v>
      </c>
      <c r="Q44" s="192">
        <f t="array" ref="Q44">IF($G44=0, INDEX(LS_previous!$D$4:$AY$138, MATCH('Staging Table'!$A44, LS_previous!$B$4:$B$138, 0), MATCH(Q$4&amp;Q$5, LS_previous!$D$2:$AY$2&amp;LS_previous!$D$3:$AY$3, 0)),SUM(VLOOKUP($A44, LS_previous!$B$4:$AY$138, LS_previous!I$149, FALSE), VLOOKUP('Staging Table'!$A44, LS_previous!$B$4:$AY$138,LS_previous!AG$149, FALSE))/2)</f>
        <v>23761.158681115823</v>
      </c>
      <c r="R44" s="192">
        <f t="array" ref="R44">IF($G44=0, INDEX(LS_previous!$D$4:$AY$138, MATCH('Staging Table'!$A44, LS_previous!$B$4:$B$138, 0), MATCH(R$4&amp;R$5, LS_previous!$D$2:$AY$2&amp;LS_previous!$D$3:$AY$3, 0)),SUM(VLOOKUP($A44, LS_previous!$B$4:$AY$138, LS_previous!J$149, FALSE), VLOOKUP('Staging Table'!$A44, LS_previous!$B$4:$AY$138,LS_previous!AH$149, FALSE))/2)</f>
        <v>22269.007152325692</v>
      </c>
      <c r="S44" s="192">
        <f t="array" ref="S44">IF($G44=0, INDEX(LS_previous!$D$4:$AY$138, MATCH('Staging Table'!$A44, LS_previous!$B$4:$B$138, 0), MATCH(S$4&amp;S$5, LS_previous!$D$2:$AY$2&amp;LS_previous!$D$3:$AY$3, 0)),SUM(VLOOKUP($A44, LS_previous!$B$4:$AY$138, LS_previous!K$149, FALSE), VLOOKUP('Staging Table'!$A44, LS_previous!$B$4:$AY$138,LS_previous!AI$149, FALSE))/2)</f>
        <v>33802.690094534628</v>
      </c>
      <c r="T44" s="192">
        <f t="array" ref="T44">IF($G44=0, INDEX(LS_previous!$D$4:$AY$138, MATCH('Staging Table'!$A44, LS_previous!$B$4:$B$138, 0), MATCH(T$4&amp;T$5, LS_previous!$D$2:$AY$2&amp;LS_previous!$D$3:$AY$3, 0)),SUM(VLOOKUP($A44, LS_previous!$B$4:$AY$138, LS_previous!L$149, FALSE), VLOOKUP('Staging Table'!$A44, LS_previous!$B$4:$AY$138,LS_previous!AJ$149, FALSE))/2)</f>
        <v>8050.5079183158196</v>
      </c>
      <c r="U44" s="192">
        <f t="array" ref="U44">IF($G44=0, INDEX(LS_previous!$D$4:$AY$138, MATCH('Staging Table'!$A44, LS_previous!$B$4:$B$138, 0), MATCH(U$4&amp;U$5, LS_previous!$D$2:$AY$2&amp;LS_previous!$D$3:$AY$3, 0)),SUM(VLOOKUP($A44, LS_previous!$B$4:$AY$138, LS_previous!M$149, FALSE), VLOOKUP('Staging Table'!$A44, LS_previous!$B$4:$AY$138,LS_previous!AK$149, FALSE))/2)</f>
        <v>15354.58706868524</v>
      </c>
      <c r="V44" s="192">
        <f t="array" ref="V44">IF($G44=0, INDEX(LS_previous!$D$4:$AY$138, MATCH('Staging Table'!$A44, LS_previous!$B$4:$B$138, 0), MATCH(V$4&amp;V$5, LS_previous!$D$2:$AY$2&amp;LS_previous!$D$3:$AY$3, 0)),SUM(VLOOKUP($A44, LS_previous!$B$4:$AY$138, LS_previous!N$149, FALSE), VLOOKUP('Staging Table'!$A44, LS_previous!$B$4:$AY$138,LS_previous!AL$149, FALSE))/2)</f>
        <v>-5373.7149936809619</v>
      </c>
      <c r="W44" s="192">
        <f t="array" ref="W44">IF($G44=0, INDEX(LS_previous!$D$4:$AY$138, MATCH('Staging Table'!$A44, LS_previous!$B$4:$B$138, 0), MATCH(W$4&amp;W$5, LS_previous!$D$2:$AY$2&amp;LS_previous!$D$3:$AY$3, 0)),SUM(VLOOKUP($A44, LS_previous!$B$4:$AY$138, LS_previous!O$149, FALSE), VLOOKUP('Staging Table'!$A44, LS_previous!$B$4:$AY$138,LS_previous!AM$149, FALSE))/2)</f>
        <v>8085.3235610094889</v>
      </c>
      <c r="X44" s="192">
        <f t="array" ref="X44">IF($G44=0, INDEX(LS_previous!$D$4:$AY$138, MATCH('Staging Table'!$A44, LS_previous!$B$4:$B$138, 0), MATCH(X$4&amp;X$5, LS_previous!$D$2:$AY$2&amp;LS_previous!$D$3:$AY$3, 0)),SUM(VLOOKUP($A44, LS_previous!$B$4:$AY$138, LS_previous!P$149, FALSE), VLOOKUP('Staging Table'!$A44, LS_previous!$B$4:$AY$138,LS_previous!AN$149, FALSE))/2)</f>
        <v>-2367.8678285543792</v>
      </c>
      <c r="Y44" s="192">
        <f t="array" ref="Y44">IF($G44=0, INDEX(LS_previous!$D$4:$AY$138, MATCH('Staging Table'!$A44, LS_previous!$B$4:$B$138, 0), MATCH(Y$4&amp;Y$5, LS_previous!$D$2:$AY$2&amp;LS_previous!$D$3:$AY$3, 0)),SUM(VLOOKUP($A44, LS_previous!$B$4:$AY$138, LS_previous!Q$149, FALSE), VLOOKUP('Staging Table'!$A44, LS_previous!$B$4:$AY$138,LS_previous!AO$149, FALSE))/2)</f>
        <v>5990.1533486641074</v>
      </c>
      <c r="Z44" s="192">
        <f t="array" ref="Z44">IF($G44=0, INDEX(LS_previous!$D$4:$AY$138, MATCH('Staging Table'!$A44, LS_previous!$B$4:$B$138, 0), MATCH(Z$4&amp;Z$5, LS_previous!$D$2:$AY$2&amp;LS_previous!$D$3:$AY$3, 0)),SUM(VLOOKUP($A44, LS_previous!$B$4:$AY$138, LS_previous!R$149, FALSE), VLOOKUP('Staging Table'!$A44, LS_previous!$B$4:$AY$138,LS_previous!AP$149, FALSE))/2)</f>
        <v>-7742.5940771534006</v>
      </c>
      <c r="AA44" s="192">
        <f t="array" ref="AA44">IF($G44=0, INDEX(LS_previous!$D$4:$AY$138, MATCH('Staging Table'!$A44, LS_previous!$B$4:$B$138, 0), MATCH(AA$4&amp;AA$5, LS_previous!$D$2:$AY$2&amp;LS_previous!$D$3:$AY$3, 0)),SUM(VLOOKUP($A44, LS_previous!$B$4:$AY$138, LS_previous!S$149, FALSE), VLOOKUP('Staging Table'!$A44, LS_previous!$B$4:$AY$138,LS_previous!AQ$149, FALSE))/2)</f>
        <v>17533.38341131408</v>
      </c>
      <c r="AB44" s="192">
        <f t="array" ref="AB44">IF($G44=0, INDEX(LS_previous!$D$4:$AY$138, MATCH('Staging Table'!$A44, LS_previous!$B$4:$B$138, 0), MATCH(AB$4&amp;AB$5, LS_previous!$D$2:$AY$2&amp;LS_previous!$D$3:$AY$3, 0)),SUM(VLOOKUP($A44, LS_previous!$B$4:$AY$138, LS_previous!T$149, FALSE), VLOOKUP('Staging Table'!$A44, LS_previous!$B$4:$AY$138,LS_previous!AR$149, FALSE))/2)</f>
        <v>-46175.63155271663</v>
      </c>
      <c r="AC44" s="192">
        <f t="array" ref="AC44">IF($G44=0, INDEX(LS_previous!$D$4:$AY$138, MATCH('Staging Table'!$A44, LS_previous!$B$4:$B$138, 0), MATCH(AC$4&amp;AC$5, LS_previous!$D$2:$AY$2&amp;LS_previous!$D$3:$AY$3, 0)),SUM(VLOOKUP($A44, LS_previous!$B$4:$AY$138, LS_previous!U$149, FALSE), VLOOKUP('Staging Table'!$A44, LS_previous!$B$4:$AY$138,LS_previous!AS$149, FALSE))/2)</f>
        <v>-15360.578918212159</v>
      </c>
      <c r="AD44" s="192">
        <f t="array" ref="AD44">IF($G44=0, INDEX(LS_previous!$D$4:$AY$138, MATCH('Staging Table'!$A44, LS_previous!$B$4:$B$138, 0), MATCH(AD$4&amp;AD$5, LS_previous!$D$2:$AY$2&amp;LS_previous!$D$3:$AY$3, 0)),SUM(VLOOKUP($A44, LS_previous!$B$4:$AY$138, LS_previous!V$149, FALSE), VLOOKUP('Staging Table'!$A44, LS_previous!$B$4:$AY$138,LS_previous!AT$149, FALSE))/2)</f>
        <v>-26988.876857859486</v>
      </c>
      <c r="AE44" s="192">
        <f t="array" ref="AE44">IF($G44=0, INDEX(LS_previous!$D$4:$AY$138, MATCH('Staging Table'!$A44, LS_previous!$B$4:$B$138, 0), MATCH(AE$4&amp;AE$5, LS_previous!$D$2:$AY$2&amp;LS_previous!$D$3:$AY$3, 0)),SUM(VLOOKUP($A44, LS_previous!$B$4:$AY$138, LS_previous!W$149, FALSE), VLOOKUP('Staging Table'!$A44, LS_previous!$B$4:$AY$138,LS_previous!AU$149, FALSE))/2)</f>
        <v>5743.7201415280942</v>
      </c>
      <c r="AF44" s="192">
        <f t="array" ref="AF44">IF($G44=0, INDEX(LS_previous!$D$4:$AY$138, MATCH('Staging Table'!$A44, LS_previous!$B$4:$B$138, 0), MATCH(AF$4&amp;AF$5, LS_previous!$D$2:$AY$2&amp;LS_previous!$D$3:$AY$3, 0)),SUM(VLOOKUP($A44, LS_previous!$B$4:$AY$138, LS_previous!X$149, FALSE), VLOOKUP('Staging Table'!$A44, LS_previous!$B$4:$AY$138,LS_previous!AV$149, FALSE))/2)</f>
        <v>-23774.11243933564</v>
      </c>
      <c r="AG44" s="192">
        <f t="array" ref="AG44">IF($G44=0, INDEX(LS_previous!$D$4:$AY$138, MATCH('Staging Table'!$A44, LS_previous!$B$4:$B$138, 0), MATCH(AG$4&amp;AG$5, LS_previous!$D$2:$AY$2&amp;LS_previous!$D$3:$AY$3, 0)),SUM(VLOOKUP($A44, LS_previous!$B$4:$AY$138, LS_previous!Y$149, FALSE), VLOOKUP('Staging Table'!$A44, LS_previous!$B$4:$AY$138,LS_previous!AW$149, FALSE))/2)</f>
        <v>6939.6044889738187</v>
      </c>
      <c r="AH44" s="192">
        <f t="array" ref="AH44">IF($G44=0, INDEX(LS_previous!$D$4:$AY$138, MATCH('Staging Table'!$A44, LS_previous!$B$4:$B$138, 0), MATCH(AH$4&amp;AH$5, LS_previous!$D$2:$AY$2&amp;LS_previous!$D$3:$AY$3, 0)),SUM(VLOOKUP($A44, LS_previous!$B$4:$AY$138, LS_previous!Z$149, FALSE), VLOOKUP('Staging Table'!$A44, LS_previous!$B$4:$AY$138,LS_previous!AX$149, FALSE))/2)</f>
        <v>-21292.997470780199</v>
      </c>
      <c r="AI44" s="192">
        <f t="array" ref="AI44">IF($G44=0, INDEX(LS_previous!$D$4:$AY$138, MATCH('Staging Table'!$A44, LS_previous!$B$4:$B$138, 0), MATCH(AI$4&amp;AI$5, LS_previous!$D$2:$AY$2&amp;LS_previous!$D$3:$AY$3, 0)),SUM(VLOOKUP($A44, LS_previous!$B$4:$AY$138, LS_previous!AA$149, FALSE), VLOOKUP('Staging Table'!$A44, LS_previous!$B$4:$AY$138,LS_previous!AY$149, FALSE))/2)</f>
        <v>-1421.6477830641525</v>
      </c>
      <c r="AJ44" s="314">
        <f t="array" ref="AJ44">INDEX(Demand_previous!$D$4:$AY$138, MATCH('Staging Table'!$A44, Demand_previous!$B$4:$B$138, 0), MATCH(AJ$4&amp;AJ$5,Demand_previous!$D$2:$AY$2&amp;Demand_previous!$D$3:$AY$3, 0))/1000</f>
        <v>0</v>
      </c>
      <c r="AK44" s="314">
        <f t="array" ref="AK44">INDEX(Demand_previous!$D$4:$AY$138, MATCH('Staging Table'!$A44, Demand_previous!$B$4:$B$138, 0), MATCH(AK$4&amp;AK$5,Demand_previous!$D$2:$AY$2&amp;Demand_previous!$D$3:$AY$3, 0))/1000</f>
        <v>0</v>
      </c>
      <c r="AL44" s="314">
        <f t="array" ref="AL44">INDEX(Demand_previous!$D$4:$AY$138, MATCH('Staging Table'!$A44, Demand_previous!$B$4:$B$138, 0), MATCH(AL$4&amp;AL$5,Demand_previous!$D$2:$AY$2&amp;Demand_previous!$D$3:$AY$3, 0))/1000</f>
        <v>0</v>
      </c>
      <c r="AM44" s="314">
        <f t="array" ref="AM44">INDEX(Demand_previous!$D$4:$AY$138, MATCH('Staging Table'!$A44, Demand_previous!$B$4:$B$138, 0), MATCH(AM$4&amp;AM$5,Demand_previous!$D$2:$AY$2&amp;Demand_previous!$D$3:$AY$3, 0))/1000</f>
        <v>0</v>
      </c>
      <c r="AN44" s="314">
        <f t="array" ref="AN44">INDEX(Demand_previous!$D$4:$AY$138, MATCH('Staging Table'!$A44, Demand_previous!$B$4:$B$138, 0), MATCH(AN$4&amp;AN$5,Demand_previous!$D$2:$AY$2&amp;Demand_previous!$D$3:$AY$3, 0))/1000</f>
        <v>0</v>
      </c>
      <c r="AO44" s="314">
        <f t="array" ref="AO44">INDEX(Demand_previous!$D$4:$AY$138, MATCH('Staging Table'!$A44, Demand_previous!$B$4:$B$138, 0), MATCH(AO$4&amp;AO$5,Demand_previous!$D$2:$AY$2&amp;Demand_previous!$D$3:$AY$3, 0))/1000</f>
        <v>0</v>
      </c>
      <c r="AP44" s="314">
        <f t="array" ref="AP44">INDEX(Demand_previous!$D$4:$AY$138, MATCH('Staging Table'!$A44, Demand_previous!$B$4:$B$138, 0), MATCH(AP$4&amp;AP$5,Demand_previous!$D$2:$AY$2&amp;Demand_previous!$D$3:$AY$3, 0))/1000</f>
        <v>0</v>
      </c>
      <c r="AQ44" s="314">
        <f t="array" ref="AQ44">INDEX(Demand_previous!$D$4:$AY$138, MATCH('Staging Table'!$A44, Demand_previous!$B$4:$B$138, 0), MATCH(AQ$4&amp;AQ$5,Demand_previous!$D$2:$AY$2&amp;Demand_previous!$D$3:$AY$3, 0))/1000</f>
        <v>0</v>
      </c>
      <c r="AR44" s="314">
        <f t="array" ref="AR44">INDEX(Demand_previous!$D$4:$AY$138, MATCH('Staging Table'!$A44, Demand_previous!$B$4:$B$138, 0), MATCH(AR$4&amp;AR$5,Demand_previous!$D$2:$AY$2&amp;Demand_previous!$D$3:$AY$3, 0))/1000</f>
        <v>0</v>
      </c>
      <c r="AS44" s="314">
        <f t="array" ref="AS44">INDEX(Demand_previous!$D$4:$AY$138, MATCH('Staging Table'!$A44, Demand_previous!$B$4:$B$138, 0), MATCH(AS$4&amp;AS$5,Demand_previous!$D$2:$AY$2&amp;Demand_previous!$D$3:$AY$3, 0))/1000</f>
        <v>0</v>
      </c>
      <c r="AT44" s="314">
        <f t="array" ref="AT44">INDEX(Demand_previous!$D$4:$AY$138, MATCH('Staging Table'!$A44, Demand_previous!$B$4:$B$138, 0), MATCH(AT$4&amp;AT$5,Demand_previous!$D$2:$AY$2&amp;Demand_previous!$D$3:$AY$3, 0))/1000</f>
        <v>0</v>
      </c>
      <c r="AU44" s="314">
        <f t="array" ref="AU44">INDEX(Demand_previous!$D$4:$AY$138, MATCH('Staging Table'!$A44, Demand_previous!$B$4:$B$138, 0), MATCH(AU$4&amp;AU$5,Demand_previous!$D$2:$AY$2&amp;Demand_previous!$D$3:$AY$3, 0))/1000</f>
        <v>0</v>
      </c>
      <c r="AV44" s="192">
        <f>$F44*(VLOOKUP(AV$4, Rates_previous!$G$6:$Q$29, 10, FALSE)+VLOOKUP(AV$4, Rates_previous!$G$6:$Q$29, 11, FALSE))</f>
        <v>100012.93739223837</v>
      </c>
      <c r="AW44" s="192">
        <f>$F44*(VLOOKUP(AW$4, Rates_previous!$G$6:$Q$29, 10, FALSE)+VLOOKUP(AW$4, Rates_previous!$G$6:$Q$29, 11, FALSE))</f>
        <v>127047.63013003558</v>
      </c>
      <c r="AX44" s="192">
        <f>$F44*(VLOOKUP(AX$4, Rates_previous!$G$6:$Q$29, 10, FALSE)+VLOOKUP(AX$4, Rates_previous!$G$6:$Q$29, 11, FALSE))</f>
        <v>125513.35808543839</v>
      </c>
      <c r="AY44" s="192">
        <f>$F44*(VLOOKUP(AY$4, Rates_previous!$G$6:$Q$29, 10, FALSE)+VLOOKUP(AY$4, Rates_previous!$G$6:$Q$29, 11, FALSE))</f>
        <v>104623.02862623839</v>
      </c>
      <c r="AZ44" s="192">
        <f>$F44*(VLOOKUP(AZ$4, Rates_previous!$G$6:$Q$29, 10, FALSE)+VLOOKUP(AZ$4, Rates_previous!$G$6:$Q$29, 11, FALSE))</f>
        <v>94777.610134719973</v>
      </c>
      <c r="BA44" s="192">
        <f>$F44*(VLOOKUP(BA$4, Rates_previous!$G$6:$Q$29, 10, FALSE)+VLOOKUP(BA$4, Rates_previous!$G$6:$Q$29, 11, FALSE))</f>
        <v>105422.81162579478</v>
      </c>
      <c r="BB44" s="192">
        <f>$F44*(VLOOKUP(BB$4, Rates_previous!$G$6:$Q$29, 10, FALSE)+VLOOKUP(BB$4, Rates_previous!$G$6:$Q$29, 11, FALSE))</f>
        <v>85835.366988191992</v>
      </c>
      <c r="BC44" s="192">
        <f>$F44*(VLOOKUP(BC$4, Rates_previous!$G$6:$Q$29, 10, FALSE)+VLOOKUP(BC$4, Rates_previous!$G$6:$Q$29, 11, FALSE))</f>
        <v>115761.79185443839</v>
      </c>
      <c r="BD44" s="192">
        <f>$F44*(VLOOKUP(BD$4, Rates_previous!$G$6:$Q$29, 10, FALSE)+VLOOKUP(BD$4, Rates_previous!$G$6:$Q$29, 11, FALSE))</f>
        <v>147704.17328199197</v>
      </c>
      <c r="BE44" s="192">
        <f>$F44*(VLOOKUP(BE$4, Rates_previous!$G$6:$Q$29, 10, FALSE)+VLOOKUP(BE$4, Rates_previous!$G$6:$Q$29, 11, FALSE))</f>
        <v>115804.75525783839</v>
      </c>
      <c r="BF44" s="192">
        <f>$F44*(VLOOKUP(BF$4, Rates_previous!$G$6:$Q$29, 10, FALSE)+VLOOKUP(BF$4, Rates_previous!$G$6:$Q$29, 11, FALSE))</f>
        <v>112770.77219963839</v>
      </c>
      <c r="BG44" s="192">
        <f>$F44*(VLOOKUP(BG$4, Rates_previous!$G$6:$Q$29, 10, FALSE)+VLOOKUP(BG$4, Rates_previous!$G$6:$Q$29, 11, FALSE))</f>
        <v>101244.16400059199</v>
      </c>
      <c r="BH44" s="314">
        <f>IF($D44=0,IF(C44=0, MAX(BJ44 - (VLOOKUP($A44,TOCA_previous!$A$2:$AI$137,MATCH("RHWM 2020",TOCA_previous!$A$2:$AI$2,0),FALSE)*$F$2*TOCA_previous!C41),0),0), 0)</f>
        <v>0</v>
      </c>
      <c r="BI44" s="204">
        <f>MIN(VLOOKUP($A44,TOCA_previous!$A$2:$AI$137,MATCH("TRL - NLSL - Existing Resource "&amp;$F$1,TOCA_previous!$A$2:$AI$2,0),FALSE)*$F$2,(VLOOKUP($A44,TOCA_previous!$A$2:$AI$137,MATCH("RHWM 2020",TOCA_previous!$A$2:$AI$2,0),FALSE)*$F$2))</f>
        <v>2682976.176</v>
      </c>
      <c r="BJ44" s="418">
        <f>SUM(L44:AI44)+(F44*RT1SC!$C$3*$F$2)</f>
        <v>1336517.3954236084</v>
      </c>
      <c r="BK44" s="417">
        <f>VLOOKUP($A44,TOCA_previous!$A$2:$AI$137,MATCH("Above RHWM Not Served with LS "&amp;$F$1,TOCA_previous!$A$2:$AI$2,0),FALSE)*$F$2</f>
        <v>0</v>
      </c>
      <c r="BL44" s="418">
        <f t="shared" si="8"/>
        <v>-1346458.7805763916</v>
      </c>
      <c r="BM44" s="417">
        <f>(VLOOKUP($A44,TOCA_previous!$A$2:$AI$137,MATCH("RHWM 2020",TOCA_previous!$A$2:$AI$2,0),FALSE)*$F$2) - $BI44</f>
        <v>99865.296000000089</v>
      </c>
      <c r="BN44" s="418">
        <f t="shared" si="9"/>
        <v>0</v>
      </c>
      <c r="BO44" s="417">
        <f t="shared" si="10"/>
        <v>1346458.7805763916</v>
      </c>
      <c r="BP44" s="418">
        <f t="shared" si="11"/>
        <v>0</v>
      </c>
      <c r="BQ44" s="417">
        <f t="shared" si="18"/>
        <v>0</v>
      </c>
      <c r="BR44" s="120">
        <f>VLOOKUP($A44,TOCA_current!$A$2:$AI$137,MATCH(BR$4,TOCA_current!$A$2:$AI$2,0),FALSE)</f>
        <v>4.5100300000000003E-2</v>
      </c>
      <c r="BS44" s="120">
        <f>VLOOKUP($A44,TOCA_current!$A$2:$AI$137,MATCH(BS$4,TOCA_current!$A$2:$AI$2,0),FALSE)</f>
        <v>2.3278800000000002E-2</v>
      </c>
      <c r="BT44" s="201">
        <f t="shared" si="12"/>
        <v>2.1821500000000001E-2</v>
      </c>
      <c r="BU44" s="120">
        <f>VLOOKUP($A44,TOCA_current!A40:BG175,MATCH(BU$4,TOCA_current!$A$2:$BG$2,0),FALSE)</f>
        <v>0</v>
      </c>
      <c r="BV44" s="120">
        <f t="shared" si="19"/>
        <v>0</v>
      </c>
      <c r="BW44" s="120">
        <f t="shared" si="20"/>
        <v>0</v>
      </c>
      <c r="BX44" s="191">
        <f>VLOOKUP($A44,IRD!$A$4:$G$139, 7, FALSE)</f>
        <v>0</v>
      </c>
      <c r="BY44" s="192">
        <f t="array" ref="BY44">IF($BT44=0, INDEX(LS_current!$D$4:$AY$138, MATCH('Staging Table'!$A44, LS_current!$B$4:$B$138, 0), MATCH(BY$4&amp;BY$5, LS_current!$D$2:$AY$2&amp;LS_current!$D$3:$AY$3, 0)),SUM(VLOOKUP($A44, LS_current!$B$4:$AY$138, LS_current!D$148, FALSE), VLOOKUP($A44, LS_current!$B$4:$AY$138,LS_current!AB$148, FALSE))/2)</f>
        <v>-13458.259958097206</v>
      </c>
      <c r="BZ44" s="192">
        <f t="array" ref="BZ44">IF($BT44=0, INDEX(LS_current!$D$4:$AY$138, MATCH('Staging Table'!$A44, LS_current!$B$4:$B$138, 0), MATCH(BZ$4&amp;BZ$5, LS_current!$D$2:$AY$2&amp;LS_current!$D$3:$AY$3, 0)),SUM(VLOOKUP($A44, LS_current!$B$4:$AY$138, LS_current!E$148, FALSE), VLOOKUP($A44, LS_current!$B$4:$AY$138,LS_current!AC$148, FALSE))/2)</f>
        <v>4980.7414219120983</v>
      </c>
      <c r="CA44" s="192">
        <f t="array" ref="CA44">IF($BT44=0, INDEX(LS_current!$D$4:$AY$138, MATCH('Staging Table'!$A44, LS_current!$B$4:$B$138, 0), MATCH(CA$4&amp;CA$5, LS_current!$D$2:$AY$2&amp;LS_current!$D$3:$AY$3, 0)),SUM(VLOOKUP($A44, LS_current!$B$4:$AY$138, LS_current!F$148, FALSE), VLOOKUP($A44, LS_current!$B$4:$AY$138,LS_current!AD$148, FALSE))/2)</f>
        <v>-9959.0802121949891</v>
      </c>
      <c r="CB44" s="192">
        <f t="array" ref="CB44">IF($BT44=0, INDEX(LS_current!$D$4:$AY$138, MATCH('Staging Table'!$A44, LS_current!$B$4:$B$138, 0), MATCH(CB$4&amp;CB$5, LS_current!$D$2:$AY$2&amp;LS_current!$D$3:$AY$3, 0)),SUM(VLOOKUP($A44, LS_current!$B$4:$AY$138, LS_current!G$148, FALSE), VLOOKUP($A44, LS_current!$B$4:$AY$138,LS_current!AE$148, FALSE))/2)</f>
        <v>6247.7729358486758</v>
      </c>
      <c r="CC44" s="192">
        <f t="array" ref="CC44">IF($BT44=0, INDEX(LS_current!$D$4:$AY$138, MATCH('Staging Table'!$A44, LS_current!$B$4:$B$138, 0), MATCH(CC$4&amp;CC$5, LS_current!$D$2:$AY$2&amp;LS_current!$D$3:$AY$3, 0)),SUM(VLOOKUP($A44, LS_current!$B$4:$AY$138, LS_current!H$148, FALSE), VLOOKUP($A44, LS_current!$B$4:$AY$138,LS_current!AF$148, FALSE))/2)</f>
        <v>15586.469520302417</v>
      </c>
      <c r="CD44" s="192">
        <f t="array" ref="CD44">IF($BT44=0, INDEX(LS_current!$D$4:$AY$138, MATCH('Staging Table'!$A44, LS_current!$B$4:$B$138, 0), MATCH(CD$4&amp;CD$5, LS_current!$D$2:$AY$2&amp;LS_current!$D$3:$AY$3, 0)),SUM(VLOOKUP($A44, LS_current!$B$4:$AY$138, LS_current!I$148, FALSE), VLOOKUP($A44, LS_current!$B$4:$AY$138,LS_current!AG$148, FALSE))/2)</f>
        <v>15142.491921479406</v>
      </c>
      <c r="CE44" s="192">
        <f t="array" ref="CE44">IF($BT44=0, INDEX(LS_current!$D$4:$AY$138, MATCH('Staging Table'!$A44, LS_current!$B$4:$B$138, 0), MATCH(CE$4&amp;CE$5, LS_current!$D$2:$AY$2&amp;LS_current!$D$3:$AY$3, 0)),SUM(VLOOKUP($A44, LS_current!$B$4:$AY$138, LS_current!J$148, FALSE), VLOOKUP($A44, LS_current!$B$4:$AY$138,LS_current!AH$148, FALSE))/2)</f>
        <v>26899.919086842841</v>
      </c>
      <c r="CF44" s="192">
        <f t="array" ref="CF44">IF($BT44=0, INDEX(LS_current!$D$4:$AY$138, MATCH('Staging Table'!$A44, LS_current!$B$4:$B$138, 0), MATCH(CF$4&amp;CF$5, LS_current!$D$2:$AY$2&amp;LS_current!$D$3:$AY$3, 0)),SUM(VLOOKUP($A44, LS_current!$B$4:$AY$138, LS_current!K$148, FALSE), VLOOKUP($A44, LS_current!$B$4:$AY$138,LS_current!AI$148, FALSE))/2)</f>
        <v>29439.895410232246</v>
      </c>
      <c r="CG44" s="192">
        <f t="array" ref="CG44">IF($BT44=0, INDEX(LS_current!$D$4:$AY$138, MATCH('Staging Table'!$A44, LS_current!$B$4:$B$138, 0), MATCH(CG$4&amp;CG$5, LS_current!$D$2:$AY$2&amp;LS_current!$D$3:$AY$3, 0)),SUM(VLOOKUP($A44, LS_current!$B$4:$AY$138, LS_current!L$148, FALSE), VLOOKUP($A44, LS_current!$B$4:$AY$138,LS_current!AJ$148, FALSE))/2)</f>
        <v>13664.158305520832</v>
      </c>
      <c r="CH44" s="192">
        <f t="array" ref="CH44">IF($BT44=0, INDEX(LS_current!$D$4:$AY$138, MATCH('Staging Table'!$A44, LS_current!$B$4:$B$138, 0), MATCH(CH$4&amp;CH$5, LS_current!$D$2:$AY$2&amp;LS_current!$D$3:$AY$3, 0)),SUM(VLOOKUP($A44, LS_current!$B$4:$AY$138, LS_current!M$148, FALSE), VLOOKUP($A44, LS_current!$B$4:$AY$138,LS_current!AK$148, FALSE))/2)</f>
        <v>11804.863326833696</v>
      </c>
      <c r="CI44" s="192">
        <f t="array" ref="CI44">IF($BT44=0, INDEX(LS_current!$D$4:$AY$138, MATCH('Staging Table'!$A44, LS_current!$B$4:$B$138, 0), MATCH(CI$4&amp;CI$5, LS_current!$D$2:$AY$2&amp;LS_current!$D$3:$AY$3, 0)),SUM(VLOOKUP($A44, LS_current!$B$4:$AY$138, LS_current!N$148, FALSE), VLOOKUP($A44, LS_current!$B$4:$AY$138,LS_current!AL$148, FALSE))/2)</f>
        <v>-4253.1088608089085</v>
      </c>
      <c r="CJ44" s="192">
        <f t="array" ref="CJ44">IF($BT44=0, INDEX(LS_current!$D$4:$AY$138, MATCH('Staging Table'!$A44, LS_current!$B$4:$B$138, 0), MATCH(CJ$4&amp;CJ$5, LS_current!$D$2:$AY$2&amp;LS_current!$D$3:$AY$3, 0)),SUM(VLOOKUP($A44, LS_current!$B$4:$AY$138, LS_current!O$148, FALSE), VLOOKUP($A44, LS_current!$B$4:$AY$138,LS_current!AM$148, FALSE))/2)</f>
        <v>3254.7069498469937</v>
      </c>
      <c r="CK44" s="192">
        <f t="array" ref="CK44">IF($BT44=0, INDEX(LS_current!$D$4:$AY$138, MATCH('Staging Table'!$A44, LS_current!$B$4:$B$138, 0), MATCH(CK$4&amp;CK$5, LS_current!$D$2:$AY$2&amp;LS_current!$D$3:$AY$3, 0)),SUM(VLOOKUP($A44, LS_current!$B$4:$AY$138, LS_current!P$148, FALSE), VLOOKUP($A44, LS_current!$B$4:$AY$138,LS_current!AN$148, FALSE))/2)</f>
        <v>-1566.2402255000707</v>
      </c>
      <c r="CL44" s="192">
        <f t="array" ref="CL44">IF($BT44=0, INDEX(LS_current!$D$4:$AY$138, MATCH('Staging Table'!$A44, LS_current!$B$4:$B$138, 0), MATCH(CL$4&amp;CL$5, LS_current!$D$2:$AY$2&amp;LS_current!$D$3:$AY$3, 0)),SUM(VLOOKUP($A44, LS_current!$B$4:$AY$138, LS_current!Q$148, FALSE), VLOOKUP($A44, LS_current!$B$4:$AY$138,LS_current!AO$148, FALSE))/2)</f>
        <v>6442.8865190280594</v>
      </c>
      <c r="CM44" s="192">
        <f t="array" ref="CM44">IF($BT44=0, INDEX(LS_current!$D$4:$AY$138, MATCH('Staging Table'!$A44, LS_current!$B$4:$B$138, 0), MATCH(CM$4&amp;CM$5, LS_current!$D$2:$AY$2&amp;LS_current!$D$3:$AY$3, 0)),SUM(VLOOKUP($A44, LS_current!$B$4:$AY$138, LS_current!R$148, FALSE), VLOOKUP($A44, LS_current!$B$4:$AY$138,LS_current!AP$148, FALSE))/2)</f>
        <v>-10551.398966635337</v>
      </c>
      <c r="CN44" s="192">
        <f t="array" ref="CN44">IF($BT44=0, INDEX(LS_current!$D$4:$AY$138, MATCH('Staging Table'!$A44, LS_current!$B$4:$B$138, 0), MATCH(CN$4&amp;CN$5, LS_current!$D$2:$AY$2&amp;LS_current!$D$3:$AY$3, 0)),SUM(VLOOKUP($A44, LS_current!$B$4:$AY$138, LS_current!S$148, FALSE), VLOOKUP($A44, LS_current!$B$4:$AY$138,LS_current!AQ$148, FALSE))/2)</f>
        <v>18916.635215229886</v>
      </c>
      <c r="CO44" s="192">
        <f t="array" ref="CO44">IF($BT44=0, INDEX(LS_current!$D$4:$AY$138, MATCH('Staging Table'!$A44, LS_current!$B$4:$B$138, 0), MATCH(CO$4&amp;CO$5, LS_current!$D$2:$AY$2&amp;LS_current!$D$3:$AY$3, 0)),SUM(VLOOKUP($A44, LS_current!$B$4:$AY$138, LS_current!T$148, FALSE), VLOOKUP($A44, LS_current!$B$4:$AY$138,LS_current!AR$148, FALSE))/2)</f>
        <v>-40429.638735219509</v>
      </c>
      <c r="CP44" s="192">
        <f t="array" ref="CP44">IF($BT44=0, INDEX(LS_current!$D$4:$AY$138, MATCH('Staging Table'!$A44, LS_current!$B$4:$B$138, 0), MATCH(CP$4&amp;CP$5, LS_current!$D$2:$AY$2&amp;LS_current!$D$3:$AY$3, 0)),SUM(VLOOKUP($A44, LS_current!$B$4:$AY$138, LS_current!U$148, FALSE), VLOOKUP($A44, LS_current!$B$4:$AY$138,LS_current!AS$148, FALSE))/2)</f>
        <v>682.97179798657817</v>
      </c>
      <c r="CQ44" s="192">
        <f t="array" ref="CQ44">IF($BT44=0, INDEX(LS_current!$D$4:$AY$138, MATCH('Staging Table'!$A44, LS_current!$B$4:$B$138, 0), MATCH(CQ$4&amp;CQ$5, LS_current!$D$2:$AY$2&amp;LS_current!$D$3:$AY$3, 0)),SUM(VLOOKUP($A44, LS_current!$B$4:$AY$138, LS_current!V$148, FALSE), VLOOKUP($A44, LS_current!$B$4:$AY$138,LS_current!AT$148, FALSE))/2)</f>
        <v>-29163.330758498701</v>
      </c>
      <c r="CR44" s="192">
        <f t="array" ref="CR44">IF($BT44=0, INDEX(LS_current!$D$4:$AY$138, MATCH('Staging Table'!$A44, LS_current!$B$4:$B$138, 0), MATCH(CR$4&amp;CR$5, LS_current!$D$2:$AY$2&amp;LS_current!$D$3:$AY$3, 0)),SUM(VLOOKUP($A44, LS_current!$B$4:$AY$138, LS_current!W$148, FALSE), VLOOKUP($A44, LS_current!$B$4:$AY$138,LS_current!AU$148, FALSE))/2)</f>
        <v>4181.0415538770394</v>
      </c>
      <c r="CS44" s="192">
        <f t="array" ref="CS44">IF($BT44=0, INDEX(LS_current!$D$4:$AY$138, MATCH('Staging Table'!$A44, LS_current!$B$4:$B$138, 0), MATCH(CS$4&amp;CS$5, LS_current!$D$2:$AY$2&amp;LS_current!$D$3:$AY$3, 0)),SUM(VLOOKUP($A44, LS_current!$B$4:$AY$138, LS_current!X$148, FALSE), VLOOKUP($A44, LS_current!$B$4:$AY$138,LS_current!AV$148, FALSE))/2)</f>
        <v>-22306.590237384753</v>
      </c>
      <c r="CT44" s="192">
        <f t="array" ref="CT44">IF($BT44=0, INDEX(LS_current!$D$4:$AY$138, MATCH('Staging Table'!$A44, LS_current!$B$4:$B$138, 0), MATCH(CT$4&amp;CT$5, LS_current!$D$2:$AY$2&amp;LS_current!$D$3:$AY$3, 0)),SUM(VLOOKUP($A44, LS_current!$B$4:$AY$138, LS_current!Y$148, FALSE), VLOOKUP($A44, LS_current!$B$4:$AY$138,LS_current!AW$148, FALSE))/2)</f>
        <v>2811.6893289209911</v>
      </c>
      <c r="CU44" s="192">
        <f t="array" ref="CU44">IF($BT44=0, INDEX(LS_current!$D$4:$AY$138, MATCH('Staging Table'!$A44, LS_current!$B$4:$B$138, 0), MATCH(CU$4&amp;CU$5, LS_current!$D$2:$AY$2&amp;LS_current!$D$3:$AY$3, 0)),SUM(VLOOKUP($A44, LS_current!$B$4:$AY$138, LS_current!Z$148, FALSE), VLOOKUP($A44, LS_current!$B$4:$AY$138,LS_current!AX$148, FALSE))/2)</f>
        <v>-24802.38269110112</v>
      </c>
      <c r="CV44" s="192">
        <f t="array" ref="CV44">IF($BT44=0, INDEX(LS_current!$D$4:$AY$138, MATCH('Staging Table'!$A44, LS_current!$B$4:$B$138, 0), MATCH(CV$4&amp;CV$5, LS_current!$D$2:$AY$2&amp;LS_current!$D$3:$AY$3, 0)),SUM(VLOOKUP($A44, LS_current!$B$4:$AY$138, LS_current!AA$148, FALSE), VLOOKUP($A44, LS_current!$B$4:$AY$138,LS_current!AY$148, FALSE))/2)</f>
        <v>-3564.4279421905849</v>
      </c>
      <c r="CW44" s="194">
        <f t="array" ref="CW44">INDEX(Demand_current!$D$4:$AY$138, MATCH($A44, Demand_current!$B$4:$B$138, 0), MATCH(CW$4&amp;CW$5,Demand_current!$D$2:$AY$2&amp;Demand_current!$D$3:$AY$3, 0))/1000</f>
        <v>0</v>
      </c>
      <c r="CX44" s="194">
        <f t="array" ref="CX44">INDEX(Demand_current!$D$4:$AY$138, MATCH($A44, Demand_current!$B$4:$B$138, 0), MATCH(CX$4&amp;CX$5,Demand_current!$D$2:$AY$2&amp;Demand_current!$D$3:$AY$3, 0))/1000</f>
        <v>0</v>
      </c>
      <c r="CY44" s="194">
        <f t="array" ref="CY44">INDEX(Demand_current!$D$4:$AY$138, MATCH($A44, Demand_current!$B$4:$B$138, 0), MATCH(CY$4&amp;CY$5,Demand_current!$D$2:$AY$2&amp;Demand_current!$D$3:$AY$3, 0))/1000</f>
        <v>0</v>
      </c>
      <c r="CZ44" s="194">
        <f t="array" ref="CZ44">INDEX(Demand_current!$D$4:$AY$138, MATCH($A44, Demand_current!$B$4:$B$138, 0), MATCH(CZ$4&amp;CZ$5,Demand_current!$D$2:$AY$2&amp;Demand_current!$D$3:$AY$3, 0))/1000</f>
        <v>0</v>
      </c>
      <c r="DA44" s="194">
        <f t="array" ref="DA44">INDEX(Demand_current!$D$4:$AY$138, MATCH($A44, Demand_current!$B$4:$B$138, 0), MATCH(DA$4&amp;DA$5,Demand_current!$D$2:$AY$2&amp;Demand_current!$D$3:$AY$3, 0))/1000</f>
        <v>0</v>
      </c>
      <c r="DB44" s="194">
        <f t="array" ref="DB44">INDEX(Demand_current!$D$4:$AY$138, MATCH($A44, Demand_current!$B$4:$B$138, 0), MATCH(DB$4&amp;DB$5,Demand_current!$D$2:$AY$2&amp;Demand_current!$D$3:$AY$3, 0))/1000</f>
        <v>0</v>
      </c>
      <c r="DC44" s="194">
        <f t="array" ref="DC44">INDEX(Demand_current!$D$4:$AY$138, MATCH($A44, Demand_current!$B$4:$B$138, 0), MATCH(DC$4&amp;DC$5,Demand_current!$D$2:$AY$2&amp;Demand_current!$D$3:$AY$3, 0))/1000</f>
        <v>0</v>
      </c>
      <c r="DD44" s="194">
        <f t="array" ref="DD44">INDEX(Demand_current!$D$4:$AY$138, MATCH($A44, Demand_current!$B$4:$B$138, 0), MATCH(DD$4&amp;DD$5,Demand_current!$D$2:$AY$2&amp;Demand_current!$D$3:$AY$3, 0))/1000</f>
        <v>0</v>
      </c>
      <c r="DE44" s="194">
        <f t="array" ref="DE44">INDEX(Demand_current!$D$4:$AY$138, MATCH($A44, Demand_current!$B$4:$B$138, 0), MATCH(DE$4&amp;DE$5,Demand_current!$D$2:$AY$2&amp;Demand_current!$D$3:$AY$3, 0))/1000</f>
        <v>0</v>
      </c>
      <c r="DF44" s="194">
        <f t="array" ref="DF44">INDEX(Demand_current!$D$4:$AY$138, MATCH($A44, Demand_current!$B$4:$B$138, 0), MATCH(DF$4&amp;DF$5,Demand_current!$D$2:$AY$2&amp;Demand_current!$D$3:$AY$3, 0))/1000</f>
        <v>0</v>
      </c>
      <c r="DG44" s="194">
        <f t="array" ref="DG44">INDEX(Demand_current!$D$4:$AY$138, MATCH($A44, Demand_current!$B$4:$B$138, 0), MATCH(DG$4&amp;DG$5,Demand_current!$D$2:$AY$2&amp;Demand_current!$D$3:$AY$3, 0))/1000</f>
        <v>0</v>
      </c>
      <c r="DH44" s="194">
        <f t="array" ref="DH44">INDEX(Demand_current!$D$4:$AY$138, MATCH($A44, Demand_current!$B$4:$B$138, 0), MATCH(DH$4&amp;DH$5,Demand_current!$D$2:$AY$2&amp;Demand_current!$D$3:$AY$3, 0))/1000</f>
        <v>0</v>
      </c>
      <c r="DI44" s="192">
        <f>$BS44*(VLOOKUP(DI$4, Rates_current!$G$6:$Q$29, 10, FALSE)+VLOOKUP(DI$4, Rates_current!$G$6:$Q$29, 11, FALSE))</f>
        <v>106009.89580605773</v>
      </c>
      <c r="DJ44" s="192">
        <f>$BS44*(VLOOKUP(DJ$4, Rates_current!$G$6:$Q$29, 10, FALSE)+VLOOKUP(DJ$4, Rates_current!$G$6:$Q$29, 11, FALSE))</f>
        <v>134212.37545434499</v>
      </c>
      <c r="DK44" s="192">
        <f>$BS44*(VLOOKUP(DK$4, Rates_current!$G$6:$Q$29, 10, FALSE)+VLOOKUP(DK$4, Rates_current!$G$6:$Q$29, 11, FALSE))</f>
        <v>131367.10218983749</v>
      </c>
      <c r="DL44" s="192">
        <f>$BS44*(VLOOKUP(DL$4, Rates_current!$G$6:$Q$29, 10, FALSE)+VLOOKUP(DL$4, Rates_current!$G$6:$Q$29, 11, FALSE))</f>
        <v>108503.64004355436</v>
      </c>
      <c r="DM44" s="192">
        <f>$BS44*(VLOOKUP(DM$4, Rates_current!$G$6:$Q$29, 10, FALSE)+VLOOKUP(DM$4, Rates_current!$G$6:$Q$29, 11, FALSE))</f>
        <v>94042.482909602055</v>
      </c>
      <c r="DN44" s="192">
        <f>$BS44*(VLOOKUP(DN$4, Rates_current!$G$6:$Q$29, 10, FALSE)+VLOOKUP(DN$4, Rates_current!$G$6:$Q$29, 11, FALSE))</f>
        <v>112267.73372588688</v>
      </c>
      <c r="DO44" s="192">
        <f>$BS44*(VLOOKUP(DO$4, Rates_current!$G$6:$Q$29, 10, FALSE)+VLOOKUP(DO$4, Rates_current!$G$6:$Q$29, 11, FALSE))</f>
        <v>87160.949158323812</v>
      </c>
      <c r="DP44" s="192">
        <f>$BS44*(VLOOKUP(DP$4, Rates_current!$G$6:$Q$29, 10, FALSE)+VLOOKUP(DP$4, Rates_current!$G$6:$Q$29, 11, FALSE))</f>
        <v>120762.13647489877</v>
      </c>
      <c r="DQ44" s="192">
        <f>$BS44*(VLOOKUP(DQ$4, Rates_current!$G$6:$Q$29, 10, FALSE)+VLOOKUP(DQ$4, Rates_current!$G$6:$Q$29, 11, FALSE))</f>
        <v>129036.87148007387</v>
      </c>
      <c r="DR44" s="192">
        <f>$BS44*(VLOOKUP(DR$4, Rates_current!$G$6:$Q$29, 10, FALSE)+VLOOKUP(DR$4, Rates_current!$G$6:$Q$29, 11, FALSE))</f>
        <v>122514.6664744943</v>
      </c>
      <c r="DS44" s="192">
        <f>$BS44*(VLOOKUP(DS$4, Rates_current!$G$6:$Q$29, 10, FALSE)+VLOOKUP(DS$4, Rates_current!$G$6:$Q$29, 11, FALSE))</f>
        <v>118400.97363284166</v>
      </c>
      <c r="DT44" s="192">
        <f>$BS44*(VLOOKUP(DT$4, Rates_current!$G$6:$Q$29, 10, FALSE)+VLOOKUP(DT$4, Rates_current!$G$6:$Q$29, 11, FALSE))</f>
        <v>109414.84244910123</v>
      </c>
      <c r="DU44" s="418">
        <f>IF(D44=0,IF(C44=0,MAX(0,DW44 - (VLOOKUP($A44,TOCA_current!$A$2:$AI$137,MATCH("RHWM 2022",TOCA_current!$A$2:$AI$2,0),FALSE)*$BS$2)), 0),0)</f>
        <v>0</v>
      </c>
      <c r="DV44" s="419">
        <f>MIN(VLOOKUP($A44,TOCA_current!$A$2:$AI$137,MATCH("TRL - NLSL - Existing Resource "&amp;$BS$1,TOCA_current!$A$2:$AI$2,0),FALSE)*$BS$2, VLOOKUP($A44,TOCA_current!$A$2:$AI$137,MATCH("RHWM 2022",TOCA_current!$A$2:$AI$2,0),FALSE)*$BS$2)</f>
        <v>2661393.12</v>
      </c>
      <c r="DW44" s="419">
        <f>SUM(BY44:CV44)+(BS44*RT1SC!$C$4*$BS$2)</f>
        <v>1373695.5247756226</v>
      </c>
      <c r="DX44" s="419">
        <f>VLOOKUP($A44,TOCA_current!$A$2:$AI$137,MATCH("Above RHWM Not Served with LS "&amp;$BS$1,TOCA_current!$A$2:$AI$2,0),FALSE)*$BS$2</f>
        <v>0</v>
      </c>
      <c r="DY44" s="419">
        <f t="shared" si="13"/>
        <v>-1287697.5952243775</v>
      </c>
      <c r="DZ44" s="419">
        <f>(VLOOKUP($A44,TOCA_current!$A$2:$AI$137,MATCH("RHWM 2022",TOCA_current!$A$2:$AI$2,0),FALSE)*$BS$2) - $DV44</f>
        <v>0</v>
      </c>
      <c r="EA44" s="419">
        <f t="shared" si="14"/>
        <v>0</v>
      </c>
      <c r="EB44" s="419">
        <f t="shared" si="15"/>
        <v>1287697.5952243775</v>
      </c>
      <c r="EC44" s="419">
        <f t="shared" si="16"/>
        <v>0</v>
      </c>
      <c r="ED44" s="419">
        <f t="shared" si="17"/>
        <v>0</v>
      </c>
    </row>
    <row r="45" spans="1:134">
      <c r="A45" s="135">
        <v>10105</v>
      </c>
      <c r="B45" s="136" t="s">
        <v>46</v>
      </c>
      <c r="C45" s="244">
        <f>VLOOKUP(A45, TOCA_current!$A$3:$D$137, 4, FALSE)</f>
        <v>0</v>
      </c>
      <c r="D45" s="203">
        <v>1</v>
      </c>
      <c r="E45" s="119">
        <f>VLOOKUP($A45,TOCA_previous!$A$2:$AI$137,MATCH(E$4,TOCA_previous!$A$2:$AI$2,0),FALSE)</f>
        <v>1.17669E-2</v>
      </c>
      <c r="F45" s="120">
        <f>VLOOKUP($A45,TOCA_previous!$A$2:$AI$137,MATCH(F$4,TOCA_previous!$A$2:$AI$2,0),FALSE)</f>
        <v>4.5135000000000002E-3</v>
      </c>
      <c r="G45" s="120">
        <f t="shared" si="5"/>
        <v>7.2534000000000001E-3</v>
      </c>
      <c r="H45" s="120">
        <f>VLOOKUP($A45,TOCA_previous!$A$2:$AI$137,MATCH(H$4,TOCA_previous!$A$2:$AI$2,0),FALSE)</f>
        <v>0</v>
      </c>
      <c r="I45" s="120">
        <f t="shared" si="6"/>
        <v>0</v>
      </c>
      <c r="J45" s="120">
        <f t="shared" si="7"/>
        <v>0</v>
      </c>
      <c r="K45" s="191">
        <f>VLOOKUP(A45, IRD!$A$5:$C$139, 3, FALSE)</f>
        <v>0</v>
      </c>
      <c r="L45" s="192">
        <f t="array" ref="L45">IF($G45=0, INDEX(LS_previous!$D$4:$AY$138, MATCH('Staging Table'!$A45, LS_previous!$B$4:$B$138, 0), MATCH(L$4&amp;L$5, LS_previous!$D$2:$AY$2&amp;LS_previous!$D$3:$AY$3, 0)),SUM(VLOOKUP($A45, LS_previous!$B$4:$AY$138, LS_previous!D$149, FALSE), VLOOKUP('Staging Table'!$A45, LS_previous!$B$4:$AY$138,LS_previous!AB$149, FALSE))/2)</f>
        <v>-179.6181901044074</v>
      </c>
      <c r="M45" s="192">
        <f t="array" ref="M45">IF($G45=0, INDEX(LS_previous!$D$4:$AY$138, MATCH('Staging Table'!$A45, LS_previous!$B$4:$B$138, 0), MATCH(M$4&amp;M$5, LS_previous!$D$2:$AY$2&amp;LS_previous!$D$3:$AY$3, 0)),SUM(VLOOKUP($A45, LS_previous!$B$4:$AY$138, LS_previous!E$149, FALSE), VLOOKUP('Staging Table'!$A45, LS_previous!$B$4:$AY$138,LS_previous!AC$149, FALSE))/2)</f>
        <v>2443.5932968620946</v>
      </c>
      <c r="N45" s="192">
        <f t="array" ref="N45">IF($G45=0, INDEX(LS_previous!$D$4:$AY$138, MATCH('Staging Table'!$A45, LS_previous!$B$4:$B$138, 0), MATCH(N$4&amp;N$5, LS_previous!$D$2:$AY$2&amp;LS_previous!$D$3:$AY$3, 0)),SUM(VLOOKUP($A45, LS_previous!$B$4:$AY$138, LS_previous!F$149, FALSE), VLOOKUP('Staging Table'!$A45, LS_previous!$B$4:$AY$138,LS_previous!AD$149, FALSE))/2)</f>
        <v>-4088.2542506189748</v>
      </c>
      <c r="O45" s="192">
        <f t="array" ref="O45">IF($G45=0, INDEX(LS_previous!$D$4:$AY$138, MATCH('Staging Table'!$A45, LS_previous!$B$4:$B$138, 0), MATCH(O$4&amp;O$5, LS_previous!$D$2:$AY$2&amp;LS_previous!$D$3:$AY$3, 0)),SUM(VLOOKUP($A45, LS_previous!$B$4:$AY$138, LS_previous!G$149, FALSE), VLOOKUP('Staging Table'!$A45, LS_previous!$B$4:$AY$138,LS_previous!AE$149, FALSE))/2)</f>
        <v>667.2479989180747</v>
      </c>
      <c r="P45" s="192">
        <f t="array" ref="P45">IF($G45=0, INDEX(LS_previous!$D$4:$AY$138, MATCH('Staging Table'!$A45, LS_previous!$B$4:$B$138, 0), MATCH(P$4&amp;P$5, LS_previous!$D$2:$AY$2&amp;LS_previous!$D$3:$AY$3, 0)),SUM(VLOOKUP($A45, LS_previous!$B$4:$AY$138, LS_previous!H$149, FALSE), VLOOKUP('Staging Table'!$A45, LS_previous!$B$4:$AY$138,LS_previous!AF$149, FALSE))/2)</f>
        <v>-2226.4440681600363</v>
      </c>
      <c r="Q45" s="192">
        <f t="array" ref="Q45">IF($G45=0, INDEX(LS_previous!$D$4:$AY$138, MATCH('Staging Table'!$A45, LS_previous!$B$4:$B$138, 0), MATCH(Q$4&amp;Q$5, LS_previous!$D$2:$AY$2&amp;LS_previous!$D$3:$AY$3, 0)),SUM(VLOOKUP($A45, LS_previous!$B$4:$AY$138, LS_previous!I$149, FALSE), VLOOKUP('Staging Table'!$A45, LS_previous!$B$4:$AY$138,LS_previous!AG$149, FALSE))/2)</f>
        <v>1654.053160592096</v>
      </c>
      <c r="R45" s="192">
        <f t="array" ref="R45">IF($G45=0, INDEX(LS_previous!$D$4:$AY$138, MATCH('Staging Table'!$A45, LS_previous!$B$4:$B$138, 0), MATCH(R$4&amp;R$5, LS_previous!$D$2:$AY$2&amp;LS_previous!$D$3:$AY$3, 0)),SUM(VLOOKUP($A45, LS_previous!$B$4:$AY$138, LS_previous!J$149, FALSE), VLOOKUP('Staging Table'!$A45, LS_previous!$B$4:$AY$138,LS_previous!AH$149, FALSE))/2)</f>
        <v>21.62458520961718</v>
      </c>
      <c r="S45" s="192">
        <f t="array" ref="S45">IF($G45=0, INDEX(LS_previous!$D$4:$AY$138, MATCH('Staging Table'!$A45, LS_previous!$B$4:$B$138, 0), MATCH(S$4&amp;S$5, LS_previous!$D$2:$AY$2&amp;LS_previous!$D$3:$AY$3, 0)),SUM(VLOOKUP($A45, LS_previous!$B$4:$AY$138, LS_previous!K$149, FALSE), VLOOKUP('Staging Table'!$A45, LS_previous!$B$4:$AY$138,LS_previous!AI$149, FALSE))/2)</f>
        <v>3237.5712670836865</v>
      </c>
      <c r="T45" s="192">
        <f t="array" ref="T45">IF($G45=0, INDEX(LS_previous!$D$4:$AY$138, MATCH('Staging Table'!$A45, LS_previous!$B$4:$B$138, 0), MATCH(T$4&amp;T$5, LS_previous!$D$2:$AY$2&amp;LS_previous!$D$3:$AY$3, 0)),SUM(VLOOKUP($A45, LS_previous!$B$4:$AY$138, LS_previous!L$149, FALSE), VLOOKUP('Staging Table'!$A45, LS_previous!$B$4:$AY$138,LS_previous!AJ$149, FALSE))/2)</f>
        <v>1033.4038562626765</v>
      </c>
      <c r="U45" s="192">
        <f t="array" ref="U45">IF($G45=0, INDEX(LS_previous!$D$4:$AY$138, MATCH('Staging Table'!$A45, LS_previous!$B$4:$B$138, 0), MATCH(U$4&amp;U$5, LS_previous!$D$2:$AY$2&amp;LS_previous!$D$3:$AY$3, 0)),SUM(VLOOKUP($A45, LS_previous!$B$4:$AY$138, LS_previous!M$149, FALSE), VLOOKUP('Staging Table'!$A45, LS_previous!$B$4:$AY$138,LS_previous!AK$149, FALSE))/2)</f>
        <v>2718.9130438683987</v>
      </c>
      <c r="V45" s="192">
        <f t="array" ref="V45">IF($G45=0, INDEX(LS_previous!$D$4:$AY$138, MATCH('Staging Table'!$A45, LS_previous!$B$4:$B$138, 0), MATCH(V$4&amp;V$5, LS_previous!$D$2:$AY$2&amp;LS_previous!$D$3:$AY$3, 0)),SUM(VLOOKUP($A45, LS_previous!$B$4:$AY$138, LS_previous!N$149, FALSE), VLOOKUP('Staging Table'!$A45, LS_previous!$B$4:$AY$138,LS_previous!AL$149, FALSE))/2)</f>
        <v>483.47217818918307</v>
      </c>
      <c r="W45" s="192">
        <f t="array" ref="W45">IF($G45=0, INDEX(LS_previous!$D$4:$AY$138, MATCH('Staging Table'!$A45, LS_previous!$B$4:$B$138, 0), MATCH(W$4&amp;W$5, LS_previous!$D$2:$AY$2&amp;LS_previous!$D$3:$AY$3, 0)),SUM(VLOOKUP($A45, LS_previous!$B$4:$AY$138, LS_previous!O$149, FALSE), VLOOKUP('Staging Table'!$A45, LS_previous!$B$4:$AY$138,LS_previous!AM$149, FALSE))/2)</f>
        <v>2888.2061788796377</v>
      </c>
      <c r="X45" s="192">
        <f t="array" ref="X45">IF($G45=0, INDEX(LS_previous!$D$4:$AY$138, MATCH('Staging Table'!$A45, LS_previous!$B$4:$B$138, 0), MATCH(X$4&amp;X$5, LS_previous!$D$2:$AY$2&amp;LS_previous!$D$3:$AY$3, 0)),SUM(VLOOKUP($A45, LS_previous!$B$4:$AY$138, LS_previous!P$149, FALSE), VLOOKUP('Staging Table'!$A45, LS_previous!$B$4:$AY$138,LS_previous!AN$149, FALSE))/2)</f>
        <v>2588.0079746921947</v>
      </c>
      <c r="Y45" s="192">
        <f t="array" ref="Y45">IF($G45=0, INDEX(LS_previous!$D$4:$AY$138, MATCH('Staging Table'!$A45, LS_previous!$B$4:$B$138, 0), MATCH(Y$4&amp;Y$5, LS_previous!$D$2:$AY$2&amp;LS_previous!$D$3:$AY$3, 0)),SUM(VLOOKUP($A45, LS_previous!$B$4:$AY$138, LS_previous!Q$149, FALSE), VLOOKUP('Staging Table'!$A45, LS_previous!$B$4:$AY$138,LS_previous!AO$149, FALSE))/2)</f>
        <v>3499.2866220462188</v>
      </c>
      <c r="Z45" s="192">
        <f t="array" ref="Z45">IF($G45=0, INDEX(LS_previous!$D$4:$AY$138, MATCH('Staging Table'!$A45, LS_previous!$B$4:$B$138, 0), MATCH(Z$4&amp;Z$5, LS_previous!$D$2:$AY$2&amp;LS_previous!$D$3:$AY$3, 0)),SUM(VLOOKUP($A45, LS_previous!$B$4:$AY$138, LS_previous!R$149, FALSE), VLOOKUP('Staging Table'!$A45, LS_previous!$B$4:$AY$138,LS_previous!AP$149, FALSE))/2)</f>
        <v>-5686.654896548861</v>
      </c>
      <c r="AA45" s="192">
        <f t="array" ref="AA45">IF($G45=0, INDEX(LS_previous!$D$4:$AY$138, MATCH('Staging Table'!$A45, LS_previous!$B$4:$B$138, 0), MATCH(AA$4&amp;AA$5, LS_previous!$D$2:$AY$2&amp;LS_previous!$D$3:$AY$3, 0)),SUM(VLOOKUP($A45, LS_previous!$B$4:$AY$138, LS_previous!S$149, FALSE), VLOOKUP('Staging Table'!$A45, LS_previous!$B$4:$AY$138,LS_previous!AQ$149, FALSE))/2)</f>
        <v>148.25368437148063</v>
      </c>
      <c r="AB45" s="192">
        <f t="array" ref="AB45">IF($G45=0, INDEX(LS_previous!$D$4:$AY$138, MATCH('Staging Table'!$A45, LS_previous!$B$4:$B$138, 0), MATCH(AB$4&amp;AB$5, LS_previous!$D$2:$AY$2&amp;LS_previous!$D$3:$AY$3, 0)),SUM(VLOOKUP($A45, LS_previous!$B$4:$AY$138, LS_previous!T$149, FALSE), VLOOKUP('Staging Table'!$A45, LS_previous!$B$4:$AY$138,LS_previous!AR$149, FALSE))/2)</f>
        <v>-6536.3928095363171</v>
      </c>
      <c r="AC45" s="192">
        <f t="array" ref="AC45">IF($G45=0, INDEX(LS_previous!$D$4:$AY$138, MATCH('Staging Table'!$A45, LS_previous!$B$4:$B$138, 0), MATCH(AC$4&amp;AC$5, LS_previous!$D$2:$AY$2&amp;LS_previous!$D$3:$AY$3, 0)),SUM(VLOOKUP($A45, LS_previous!$B$4:$AY$138, LS_previous!U$149, FALSE), VLOOKUP('Staging Table'!$A45, LS_previous!$B$4:$AY$138,LS_previous!AS$149, FALSE))/2)</f>
        <v>-947.70313273904048</v>
      </c>
      <c r="AD45" s="192">
        <f t="array" ref="AD45">IF($G45=0, INDEX(LS_previous!$D$4:$AY$138, MATCH('Staging Table'!$A45, LS_previous!$B$4:$B$138, 0), MATCH(AD$4&amp;AD$5, LS_previous!$D$2:$AY$2&amp;LS_previous!$D$3:$AY$3, 0)),SUM(VLOOKUP($A45, LS_previous!$B$4:$AY$138, LS_previous!V$149, FALSE), VLOOKUP('Staging Table'!$A45, LS_previous!$B$4:$AY$138,LS_previous!AT$149, FALSE))/2)</f>
        <v>-4208.8149631688193</v>
      </c>
      <c r="AE45" s="192">
        <f t="array" ref="AE45">IF($G45=0, INDEX(LS_previous!$D$4:$AY$138, MATCH('Staging Table'!$A45, LS_previous!$B$4:$B$138, 0), MATCH(AE$4&amp;AE$5, LS_previous!$D$2:$AY$2&amp;LS_previous!$D$3:$AY$3, 0)),SUM(VLOOKUP($A45, LS_previous!$B$4:$AY$138, LS_previous!W$149, FALSE), VLOOKUP('Staging Table'!$A45, LS_previous!$B$4:$AY$138,LS_previous!AU$149, FALSE))/2)</f>
        <v>2310.0190901183341</v>
      </c>
      <c r="AF45" s="192">
        <f t="array" ref="AF45">IF($G45=0, INDEX(LS_previous!$D$4:$AY$138, MATCH('Staging Table'!$A45, LS_previous!$B$4:$B$138, 0), MATCH(AF$4&amp;AF$5, LS_previous!$D$2:$AY$2&amp;LS_previous!$D$3:$AY$3, 0)),SUM(VLOOKUP($A45, LS_previous!$B$4:$AY$138, LS_previous!X$149, FALSE), VLOOKUP('Staging Table'!$A45, LS_previous!$B$4:$AY$138,LS_previous!AV$149, FALSE))/2)</f>
        <v>-3539.2335705405121</v>
      </c>
      <c r="AG45" s="192">
        <f t="array" ref="AG45">IF($G45=0, INDEX(LS_previous!$D$4:$AY$138, MATCH('Staging Table'!$A45, LS_previous!$B$4:$B$138, 0), MATCH(AG$4&amp;AG$5, LS_previous!$D$2:$AY$2&amp;LS_previous!$D$3:$AY$3, 0)),SUM(VLOOKUP($A45, LS_previous!$B$4:$AY$138, LS_previous!Y$149, FALSE), VLOOKUP('Staging Table'!$A45, LS_previous!$B$4:$AY$138,LS_previous!AW$149, FALSE))/2)</f>
        <v>2559.1024208844037</v>
      </c>
      <c r="AH45" s="192">
        <f t="array" ref="AH45">IF($G45=0, INDEX(LS_previous!$D$4:$AY$138, MATCH('Staging Table'!$A45, LS_previous!$B$4:$B$138, 0), MATCH(AH$4&amp;AH$5, LS_previous!$D$2:$AY$2&amp;LS_previous!$D$3:$AY$3, 0)),SUM(VLOOKUP($A45, LS_previous!$B$4:$AY$138, LS_previous!Z$149, FALSE), VLOOKUP('Staging Table'!$A45, LS_previous!$B$4:$AY$138,LS_previous!AX$149, FALSE))/2)</f>
        <v>-1160.4398904099207</v>
      </c>
      <c r="AI45" s="192">
        <f t="array" ref="AI45">IF($G45=0, INDEX(LS_previous!$D$4:$AY$138, MATCH('Staging Table'!$A45, LS_previous!$B$4:$B$138, 0), MATCH(AI$4&amp;AI$5, LS_previous!$D$2:$AY$2&amp;LS_previous!$D$3:$AY$3, 0)),SUM(VLOOKUP($A45, LS_previous!$B$4:$AY$138, LS_previous!AA$149, FALSE), VLOOKUP('Staging Table'!$A45, LS_previous!$B$4:$AY$138,LS_previous!AY$149, FALSE))/2)</f>
        <v>2323.5131004820641</v>
      </c>
      <c r="AJ45" s="314">
        <f t="array" ref="AJ45">INDEX(Demand_previous!$D$4:$AY$138, MATCH('Staging Table'!$A45, Demand_previous!$B$4:$B$138, 0), MATCH(AJ$4&amp;AJ$5,Demand_previous!$D$2:$AY$2&amp;Demand_previous!$D$3:$AY$3, 0))/1000</f>
        <v>0</v>
      </c>
      <c r="AK45" s="314">
        <f t="array" ref="AK45">INDEX(Demand_previous!$D$4:$AY$138, MATCH('Staging Table'!$A45, Demand_previous!$B$4:$B$138, 0), MATCH(AK$4&amp;AK$5,Demand_previous!$D$2:$AY$2&amp;Demand_previous!$D$3:$AY$3, 0))/1000</f>
        <v>0</v>
      </c>
      <c r="AL45" s="314">
        <f t="array" ref="AL45">INDEX(Demand_previous!$D$4:$AY$138, MATCH('Staging Table'!$A45, Demand_previous!$B$4:$B$138, 0), MATCH(AL$4&amp;AL$5,Demand_previous!$D$2:$AY$2&amp;Demand_previous!$D$3:$AY$3, 0))/1000</f>
        <v>0</v>
      </c>
      <c r="AM45" s="314">
        <f t="array" ref="AM45">INDEX(Demand_previous!$D$4:$AY$138, MATCH('Staging Table'!$A45, Demand_previous!$B$4:$B$138, 0), MATCH(AM$4&amp;AM$5,Demand_previous!$D$2:$AY$2&amp;Demand_previous!$D$3:$AY$3, 0))/1000</f>
        <v>0</v>
      </c>
      <c r="AN45" s="314">
        <f t="array" ref="AN45">INDEX(Demand_previous!$D$4:$AY$138, MATCH('Staging Table'!$A45, Demand_previous!$B$4:$B$138, 0), MATCH(AN$4&amp;AN$5,Demand_previous!$D$2:$AY$2&amp;Demand_previous!$D$3:$AY$3, 0))/1000</f>
        <v>0</v>
      </c>
      <c r="AO45" s="314">
        <f t="array" ref="AO45">INDEX(Demand_previous!$D$4:$AY$138, MATCH('Staging Table'!$A45, Demand_previous!$B$4:$B$138, 0), MATCH(AO$4&amp;AO$5,Demand_previous!$D$2:$AY$2&amp;Demand_previous!$D$3:$AY$3, 0))/1000</f>
        <v>0</v>
      </c>
      <c r="AP45" s="314">
        <f t="array" ref="AP45">INDEX(Demand_previous!$D$4:$AY$138, MATCH('Staging Table'!$A45, Demand_previous!$B$4:$B$138, 0), MATCH(AP$4&amp;AP$5,Demand_previous!$D$2:$AY$2&amp;Demand_previous!$D$3:$AY$3, 0))/1000</f>
        <v>0</v>
      </c>
      <c r="AQ45" s="314">
        <f t="array" ref="AQ45">INDEX(Demand_previous!$D$4:$AY$138, MATCH('Staging Table'!$A45, Demand_previous!$B$4:$B$138, 0), MATCH(AQ$4&amp;AQ$5,Demand_previous!$D$2:$AY$2&amp;Demand_previous!$D$3:$AY$3, 0))/1000</f>
        <v>0</v>
      </c>
      <c r="AR45" s="314">
        <f t="array" ref="AR45">INDEX(Demand_previous!$D$4:$AY$138, MATCH('Staging Table'!$A45, Demand_previous!$B$4:$B$138, 0), MATCH(AR$4&amp;AR$5,Demand_previous!$D$2:$AY$2&amp;Demand_previous!$D$3:$AY$3, 0))/1000</f>
        <v>0</v>
      </c>
      <c r="AS45" s="314">
        <f t="array" ref="AS45">INDEX(Demand_previous!$D$4:$AY$138, MATCH('Staging Table'!$A45, Demand_previous!$B$4:$B$138, 0), MATCH(AS$4&amp;AS$5,Demand_previous!$D$2:$AY$2&amp;Demand_previous!$D$3:$AY$3, 0))/1000</f>
        <v>0</v>
      </c>
      <c r="AT45" s="314">
        <f t="array" ref="AT45">INDEX(Demand_previous!$D$4:$AY$138, MATCH('Staging Table'!$A45, Demand_previous!$B$4:$B$138, 0), MATCH(AT$4&amp;AT$5,Demand_previous!$D$2:$AY$2&amp;Demand_previous!$D$3:$AY$3, 0))/1000</f>
        <v>0</v>
      </c>
      <c r="AU45" s="314">
        <f t="array" ref="AU45">INDEX(Demand_previous!$D$4:$AY$138, MATCH('Staging Table'!$A45, Demand_previous!$B$4:$B$138, 0), MATCH(AU$4&amp;AU$5,Demand_previous!$D$2:$AY$2&amp;Demand_previous!$D$3:$AY$3, 0))/1000</f>
        <v>0</v>
      </c>
      <c r="AV45" s="192">
        <f>$F45*(VLOOKUP(AV$4, Rates_previous!$G$6:$Q$29, 10, FALSE)+VLOOKUP(AV$4, Rates_previous!$G$6:$Q$29, 11, FALSE))</f>
        <v>20840.261164145999</v>
      </c>
      <c r="AW45" s="192">
        <f>$F45*(VLOOKUP(AW$4, Rates_previous!$G$6:$Q$29, 10, FALSE)+VLOOKUP(AW$4, Rates_previous!$G$6:$Q$29, 11, FALSE))</f>
        <v>26473.632924226502</v>
      </c>
      <c r="AX45" s="192">
        <f>$F45*(VLOOKUP(AX$4, Rates_previous!$G$6:$Q$29, 10, FALSE)+VLOOKUP(AX$4, Rates_previous!$G$6:$Q$29, 11, FALSE))</f>
        <v>26153.927984646001</v>
      </c>
      <c r="AY45" s="192">
        <f>$F45*(VLOOKUP(AY$4, Rates_previous!$G$6:$Q$29, 10, FALSE)+VLOOKUP(AY$4, Rates_previous!$G$6:$Q$29, 11, FALSE))</f>
        <v>21800.891936646003</v>
      </c>
      <c r="AZ45" s="192">
        <f>$F45*(VLOOKUP(AZ$4, Rates_previous!$G$6:$Q$29, 10, FALSE)+VLOOKUP(AZ$4, Rates_previous!$G$6:$Q$29, 11, FALSE))</f>
        <v>19749.346426799999</v>
      </c>
      <c r="BA45" s="192">
        <f>$F45*(VLOOKUP(BA$4, Rates_previous!$G$6:$Q$29, 10, FALSE)+VLOOKUP(BA$4, Rates_previous!$G$6:$Q$29, 11, FALSE))</f>
        <v>21967.547241649499</v>
      </c>
      <c r="BB45" s="192">
        <f>$F45*(VLOOKUP(BB$4, Rates_previous!$G$6:$Q$29, 10, FALSE)+VLOOKUP(BB$4, Rates_previous!$G$6:$Q$29, 11, FALSE))</f>
        <v>17886.000669479999</v>
      </c>
      <c r="BC45" s="192">
        <f>$F45*(VLOOKUP(BC$4, Rates_previous!$G$6:$Q$29, 10, FALSE)+VLOOKUP(BC$4, Rates_previous!$G$6:$Q$29, 11, FALSE))</f>
        <v>24121.939000896004</v>
      </c>
      <c r="BD45" s="192">
        <f>$F45*(VLOOKUP(BD$4, Rates_previous!$G$6:$Q$29, 10, FALSE)+VLOOKUP(BD$4, Rates_previous!$G$6:$Q$29, 11, FALSE))</f>
        <v>30777.953597730004</v>
      </c>
      <c r="BE45" s="192">
        <f>$F45*(VLOOKUP(BE$4, Rates_previous!$G$6:$Q$29, 10, FALSE)+VLOOKUP(BE$4, Rates_previous!$G$6:$Q$29, 11, FALSE))</f>
        <v>24130.891528146003</v>
      </c>
      <c r="BF45" s="192">
        <f>$F45*(VLOOKUP(BF$4, Rates_previous!$G$6:$Q$29, 10, FALSE)+VLOOKUP(BF$4, Rates_previous!$G$6:$Q$29, 11, FALSE))</f>
        <v>23498.683326396003</v>
      </c>
      <c r="BG45" s="192">
        <f>$F45*(VLOOKUP(BG$4, Rates_previous!$G$6:$Q$29, 10, FALSE)+VLOOKUP(BG$4, Rates_previous!$G$6:$Q$29, 11, FALSE))</f>
        <v>21096.818812980004</v>
      </c>
      <c r="BH45" s="314">
        <f>IF($D45=0,IF(C45=0, MAX(BJ45 - (VLOOKUP($A45,TOCA_previous!$A$2:$AI$137,MATCH("RHWM 2020",TOCA_previous!$A$2:$AI$2,0),FALSE)*$F$2*TOCA_previous!C42),0),0), 0)</f>
        <v>0</v>
      </c>
      <c r="BI45" s="204">
        <f>MIN(VLOOKUP($A45,TOCA_previous!$A$2:$AI$137,MATCH("TRL - NLSL - Existing Resource "&amp;$F$1,TOCA_previous!$A$2:$AI$2,0),FALSE)*$F$2,(VLOOKUP($A45,TOCA_previous!$A$2:$AI$137,MATCH("RHWM 2020",TOCA_previous!$A$2:$AI$2,0),FALSE)*$F$2))</f>
        <v>726059.08799999999</v>
      </c>
      <c r="BJ45" s="418">
        <f>SUM(L45:AI45)+(F45*RT1SC!$C$3*$F$2)</f>
        <v>278500.61775364127</v>
      </c>
      <c r="BK45" s="417">
        <f>VLOOKUP($A45,TOCA_previous!$A$2:$AI$137,MATCH("Above RHWM Not Served with LS "&amp;$F$1,TOCA_previous!$A$2:$AI$2,0),FALSE)*$F$2</f>
        <v>0</v>
      </c>
      <c r="BL45" s="418">
        <f t="shared" si="8"/>
        <v>-447558.47024635872</v>
      </c>
      <c r="BM45" s="417">
        <f>(VLOOKUP($A45,TOCA_previous!$A$2:$AI$137,MATCH("RHWM 2020",TOCA_previous!$A$2:$AI$2,0),FALSE)*$F$2) - $BI45</f>
        <v>85116.959999999963</v>
      </c>
      <c r="BN45" s="418">
        <f t="shared" si="9"/>
        <v>0</v>
      </c>
      <c r="BO45" s="417">
        <f t="shared" si="10"/>
        <v>447558.47024635872</v>
      </c>
      <c r="BP45" s="418">
        <f t="shared" si="11"/>
        <v>0</v>
      </c>
      <c r="BQ45" s="417">
        <f t="shared" si="18"/>
        <v>0</v>
      </c>
      <c r="BR45" s="120">
        <f>VLOOKUP($A45,TOCA_current!$A$2:$AI$137,MATCH(BR$4,TOCA_current!$A$2:$AI$2,0),FALSE)</f>
        <v>1.23038E-2</v>
      </c>
      <c r="BS45" s="120">
        <f>VLOOKUP($A45,TOCA_current!$A$2:$AI$137,MATCH(BS$4,TOCA_current!$A$2:$AI$2,0),FALSE)</f>
        <v>5.0504E-3</v>
      </c>
      <c r="BT45" s="201">
        <f t="shared" si="12"/>
        <v>7.2534000000000001E-3</v>
      </c>
      <c r="BU45" s="120">
        <f>VLOOKUP($A45,TOCA_current!A41:BG176,MATCH(BU$4,TOCA_current!$A$2:$BG$2,0),FALSE)</f>
        <v>0</v>
      </c>
      <c r="BV45" s="120">
        <f t="shared" si="19"/>
        <v>0</v>
      </c>
      <c r="BW45" s="120">
        <f t="shared" si="20"/>
        <v>0</v>
      </c>
      <c r="BX45" s="191">
        <f>VLOOKUP($A45,IRD!$A$4:$G$139, 7, FALSE)</f>
        <v>0</v>
      </c>
      <c r="BY45" s="192">
        <f t="array" ref="BY45">IF($BT45=0, INDEX(LS_current!$D$4:$AY$138, MATCH('Staging Table'!$A45, LS_current!$B$4:$B$138, 0), MATCH(BY$4&amp;BY$5, LS_current!$D$2:$AY$2&amp;LS_current!$D$3:$AY$3, 0)),SUM(VLOOKUP($A45, LS_current!$B$4:$AY$138, LS_current!D$148, FALSE), VLOOKUP($A45, LS_current!$B$4:$AY$138,LS_current!AB$148, FALSE))/2)</f>
        <v>-924.88415311527569</v>
      </c>
      <c r="BZ45" s="192">
        <f t="array" ref="BZ45">IF($BT45=0, INDEX(LS_current!$D$4:$AY$138, MATCH('Staging Table'!$A45, LS_current!$B$4:$B$138, 0), MATCH(BZ$4&amp;BZ$5, LS_current!$D$2:$AY$2&amp;LS_current!$D$3:$AY$3, 0)),SUM(VLOOKUP($A45, LS_current!$B$4:$AY$138, LS_current!E$148, FALSE), VLOOKUP($A45, LS_current!$B$4:$AY$138,LS_current!AC$148, FALSE))/2)</f>
        <v>2671.1544553908498</v>
      </c>
      <c r="CA45" s="192">
        <f t="array" ref="CA45">IF($BT45=0, INDEX(LS_current!$D$4:$AY$138, MATCH('Staging Table'!$A45, LS_current!$B$4:$B$138, 0), MATCH(CA$4&amp;CA$5, LS_current!$D$2:$AY$2&amp;LS_current!$D$3:$AY$3, 0)),SUM(VLOOKUP($A45, LS_current!$B$4:$AY$138, LS_current!F$148, FALSE), VLOOKUP($A45, LS_current!$B$4:$AY$138,LS_current!AD$148, FALSE))/2)</f>
        <v>-4166.3083011312965</v>
      </c>
      <c r="CB45" s="192">
        <f t="array" ref="CB45">IF($BT45=0, INDEX(LS_current!$D$4:$AY$138, MATCH('Staging Table'!$A45, LS_current!$B$4:$B$138, 0), MATCH(CB$4&amp;CB$5, LS_current!$D$2:$AY$2&amp;LS_current!$D$3:$AY$3, 0)),SUM(VLOOKUP($A45, LS_current!$B$4:$AY$138, LS_current!G$148, FALSE), VLOOKUP($A45, LS_current!$B$4:$AY$138,LS_current!AE$148, FALSE))/2)</f>
        <v>-237.95057139777236</v>
      </c>
      <c r="CC45" s="192">
        <f t="array" ref="CC45">IF($BT45=0, INDEX(LS_current!$D$4:$AY$138, MATCH('Staging Table'!$A45, LS_current!$B$4:$B$138, 0), MATCH(CC$4&amp;CC$5, LS_current!$D$2:$AY$2&amp;LS_current!$D$3:$AY$3, 0)),SUM(VLOOKUP($A45, LS_current!$B$4:$AY$138, LS_current!H$148, FALSE), VLOOKUP($A45, LS_current!$B$4:$AY$138,LS_current!AF$148, FALSE))/2)</f>
        <v>-955.97808365570381</v>
      </c>
      <c r="CD45" s="192">
        <f t="array" ref="CD45">IF($BT45=0, INDEX(LS_current!$D$4:$AY$138, MATCH('Staging Table'!$A45, LS_current!$B$4:$B$138, 0), MATCH(CD$4&amp;CD$5, LS_current!$D$2:$AY$2&amp;LS_current!$D$3:$AY$3, 0)),SUM(VLOOKUP($A45, LS_current!$B$4:$AY$138, LS_current!I$148, FALSE), VLOOKUP($A45, LS_current!$B$4:$AY$138,LS_current!AG$148, FALSE))/2)</f>
        <v>-131.52138174228185</v>
      </c>
      <c r="CE45" s="192">
        <f t="array" ref="CE45">IF($BT45=0, INDEX(LS_current!$D$4:$AY$138, MATCH('Staging Table'!$A45, LS_current!$B$4:$B$138, 0), MATCH(CE$4&amp;CE$5, LS_current!$D$2:$AY$2&amp;LS_current!$D$3:$AY$3, 0)),SUM(VLOOKUP($A45, LS_current!$B$4:$AY$138, LS_current!J$148, FALSE), VLOOKUP($A45, LS_current!$B$4:$AY$138,LS_current!AH$148, FALSE))/2)</f>
        <v>1034.554215028149</v>
      </c>
      <c r="CF45" s="192">
        <f t="array" ref="CF45">IF($BT45=0, INDEX(LS_current!$D$4:$AY$138, MATCH('Staging Table'!$A45, LS_current!$B$4:$B$138, 0), MATCH(CF$4&amp;CF$5, LS_current!$D$2:$AY$2&amp;LS_current!$D$3:$AY$3, 0)),SUM(VLOOKUP($A45, LS_current!$B$4:$AY$138, LS_current!K$148, FALSE), VLOOKUP($A45, LS_current!$B$4:$AY$138,LS_current!AI$148, FALSE))/2)</f>
        <v>2264.9510782098278</v>
      </c>
      <c r="CG45" s="192">
        <f t="array" ref="CG45">IF($BT45=0, INDEX(LS_current!$D$4:$AY$138, MATCH('Staging Table'!$A45, LS_current!$B$4:$B$138, 0), MATCH(CG$4&amp;CG$5, LS_current!$D$2:$AY$2&amp;LS_current!$D$3:$AY$3, 0)),SUM(VLOOKUP($A45, LS_current!$B$4:$AY$138, LS_current!L$148, FALSE), VLOOKUP($A45, LS_current!$B$4:$AY$138,LS_current!AJ$148, FALSE))/2)</f>
        <v>2295.2444136382856</v>
      </c>
      <c r="CH45" s="192">
        <f t="array" ref="CH45">IF($BT45=0, INDEX(LS_current!$D$4:$AY$138, MATCH('Staging Table'!$A45, LS_current!$B$4:$B$138, 0), MATCH(CH$4&amp;CH$5, LS_current!$D$2:$AY$2&amp;LS_current!$D$3:$AY$3, 0)),SUM(VLOOKUP($A45, LS_current!$B$4:$AY$138, LS_current!M$148, FALSE), VLOOKUP($A45, LS_current!$B$4:$AY$138,LS_current!AK$148, FALSE))/2)</f>
        <v>2060.9354811455269</v>
      </c>
      <c r="CI45" s="192">
        <f t="array" ref="CI45">IF($BT45=0, INDEX(LS_current!$D$4:$AY$138, MATCH('Staging Table'!$A45, LS_current!$B$4:$B$138, 0), MATCH(CI$4&amp;CI$5, LS_current!$D$2:$AY$2&amp;LS_current!$D$3:$AY$3, 0)),SUM(VLOOKUP($A45, LS_current!$B$4:$AY$138, LS_current!N$148, FALSE), VLOOKUP($A45, LS_current!$B$4:$AY$138,LS_current!AL$148, FALSE))/2)</f>
        <v>814.37759809061208</v>
      </c>
      <c r="CJ45" s="192">
        <f t="array" ref="CJ45">IF($BT45=0, INDEX(LS_current!$D$4:$AY$138, MATCH('Staging Table'!$A45, LS_current!$B$4:$B$138, 0), MATCH(CJ$4&amp;CJ$5, LS_current!$D$2:$AY$2&amp;LS_current!$D$3:$AY$3, 0)),SUM(VLOOKUP($A45, LS_current!$B$4:$AY$138, LS_current!O$148, FALSE), VLOOKUP($A45, LS_current!$B$4:$AY$138,LS_current!AM$148, FALSE))/2)</f>
        <v>1963.819678244502</v>
      </c>
      <c r="CK45" s="192">
        <f t="array" ref="CK45">IF($BT45=0, INDEX(LS_current!$D$4:$AY$138, MATCH('Staging Table'!$A45, LS_current!$B$4:$B$138, 0), MATCH(CK$4&amp;CK$5, LS_current!$D$2:$AY$2&amp;LS_current!$D$3:$AY$3, 0)),SUM(VLOOKUP($A45, LS_current!$B$4:$AY$138, LS_current!P$148, FALSE), VLOOKUP($A45, LS_current!$B$4:$AY$138,LS_current!AN$148, FALSE))/2)</f>
        <v>2880.5437481941553</v>
      </c>
      <c r="CL45" s="192">
        <f t="array" ref="CL45">IF($BT45=0, INDEX(LS_current!$D$4:$AY$138, MATCH('Staging Table'!$A45, LS_current!$B$4:$B$138, 0), MATCH(CL$4&amp;CL$5, LS_current!$D$2:$AY$2&amp;LS_current!$D$3:$AY$3, 0)),SUM(VLOOKUP($A45, LS_current!$B$4:$AY$138, LS_current!Q$148, FALSE), VLOOKUP($A45, LS_current!$B$4:$AY$138,LS_current!AO$148, FALSE))/2)</f>
        <v>3875.1429547375892</v>
      </c>
      <c r="CM45" s="192">
        <f t="array" ref="CM45">IF($BT45=0, INDEX(LS_current!$D$4:$AY$138, MATCH('Staging Table'!$A45, LS_current!$B$4:$B$138, 0), MATCH(CM$4&amp;CM$5, LS_current!$D$2:$AY$2&amp;LS_current!$D$3:$AY$3, 0)),SUM(VLOOKUP($A45, LS_current!$B$4:$AY$138, LS_current!R$148, FALSE), VLOOKUP($A45, LS_current!$B$4:$AY$138,LS_current!AP$148, FALSE))/2)</f>
        <v>-6735.4381271231341</v>
      </c>
      <c r="CN45" s="192">
        <f t="array" ref="CN45">IF($BT45=0, INDEX(LS_current!$D$4:$AY$138, MATCH('Staging Table'!$A45, LS_current!$B$4:$B$138, 0), MATCH(CN$4&amp;CN$5, LS_current!$D$2:$AY$2&amp;LS_current!$D$3:$AY$3, 0)),SUM(VLOOKUP($A45, LS_current!$B$4:$AY$138, LS_current!S$148, FALSE), VLOOKUP($A45, LS_current!$B$4:$AY$138,LS_current!AQ$148, FALSE))/2)</f>
        <v>471.13922385550541</v>
      </c>
      <c r="CO45" s="192">
        <f t="array" ref="CO45">IF($BT45=0, INDEX(LS_current!$D$4:$AY$138, MATCH('Staging Table'!$A45, LS_current!$B$4:$B$138, 0), MATCH(CO$4&amp;CO$5, LS_current!$D$2:$AY$2&amp;LS_current!$D$3:$AY$3, 0)),SUM(VLOOKUP($A45, LS_current!$B$4:$AY$138, LS_current!T$148, FALSE), VLOOKUP($A45, LS_current!$B$4:$AY$138,LS_current!AR$148, FALSE))/2)</f>
        <v>-5528.2805634872238</v>
      </c>
      <c r="CP45" s="192">
        <f t="array" ref="CP45">IF($BT45=0, INDEX(LS_current!$D$4:$AY$138, MATCH('Staging Table'!$A45, LS_current!$B$4:$B$138, 0), MATCH(CP$4&amp;CP$5, LS_current!$D$2:$AY$2&amp;LS_current!$D$3:$AY$3, 0)),SUM(VLOOKUP($A45, LS_current!$B$4:$AY$138, LS_current!U$148, FALSE), VLOOKUP($A45, LS_current!$B$4:$AY$138,LS_current!AS$148, FALSE))/2)</f>
        <v>2552.3031031995465</v>
      </c>
      <c r="CQ45" s="192">
        <f t="array" ref="CQ45">IF($BT45=0, INDEX(LS_current!$D$4:$AY$138, MATCH('Staging Table'!$A45, LS_current!$B$4:$B$138, 0), MATCH(CQ$4&amp;CQ$5, LS_current!$D$2:$AY$2&amp;LS_current!$D$3:$AY$3, 0)),SUM(VLOOKUP($A45, LS_current!$B$4:$AY$138, LS_current!V$148, FALSE), VLOOKUP($A45, LS_current!$B$4:$AY$138,LS_current!AT$148, FALSE))/2)</f>
        <v>-4910.4321558391503</v>
      </c>
      <c r="CR45" s="192">
        <f t="array" ref="CR45">IF($BT45=0, INDEX(LS_current!$D$4:$AY$138, MATCH('Staging Table'!$A45, LS_current!$B$4:$B$138, 0), MATCH(CR$4&amp;CR$5, LS_current!$D$2:$AY$2&amp;LS_current!$D$3:$AY$3, 0)),SUM(VLOOKUP($A45, LS_current!$B$4:$AY$138, LS_current!W$148, FALSE), VLOOKUP($A45, LS_current!$B$4:$AY$138,LS_current!AU$148, FALSE))/2)</f>
        <v>2158.5149611347988</v>
      </c>
      <c r="CS45" s="192">
        <f t="array" ref="CS45">IF($BT45=0, INDEX(LS_current!$D$4:$AY$138, MATCH('Staging Table'!$A45, LS_current!$B$4:$B$138, 0), MATCH(CS$4&amp;CS$5, LS_current!$D$2:$AY$2&amp;LS_current!$D$3:$AY$3, 0)),SUM(VLOOKUP($A45, LS_current!$B$4:$AY$138, LS_current!X$148, FALSE), VLOOKUP($A45, LS_current!$B$4:$AY$138,LS_current!AV$148, FALSE))/2)</f>
        <v>-3299.1097479472164</v>
      </c>
      <c r="CT45" s="192">
        <f t="array" ref="CT45">IF($BT45=0, INDEX(LS_current!$D$4:$AY$138, MATCH('Staging Table'!$A45, LS_current!$B$4:$B$138, 0), MATCH(CT$4&amp;CT$5, LS_current!$D$2:$AY$2&amp;LS_current!$D$3:$AY$3, 0)),SUM(VLOOKUP($A45, LS_current!$B$4:$AY$138, LS_current!Y$148, FALSE), VLOOKUP($A45, LS_current!$B$4:$AY$138,LS_current!AW$148, FALSE))/2)</f>
        <v>1743.9092083867308</v>
      </c>
      <c r="CU45" s="192">
        <f t="array" ref="CU45">IF($BT45=0, INDEX(LS_current!$D$4:$AY$138, MATCH('Staging Table'!$A45, LS_current!$B$4:$B$138, 0), MATCH(CU$4&amp;CU$5, LS_current!$D$2:$AY$2&amp;LS_current!$D$3:$AY$3, 0)),SUM(VLOOKUP($A45, LS_current!$B$4:$AY$138, LS_current!Z$148, FALSE), VLOOKUP($A45, LS_current!$B$4:$AY$138,LS_current!AX$148, FALSE))/2)</f>
        <v>-1913.8416326655724</v>
      </c>
      <c r="CV45" s="192">
        <f t="array" ref="CV45">IF($BT45=0, INDEX(LS_current!$D$4:$AY$138, MATCH('Staging Table'!$A45, LS_current!$B$4:$B$138, 0), MATCH(CV$4&amp;CV$5, LS_current!$D$2:$AY$2&amp;LS_current!$D$3:$AY$3, 0)),SUM(VLOOKUP($A45, LS_current!$B$4:$AY$138, LS_current!AA$148, FALSE), VLOOKUP($A45, LS_current!$B$4:$AY$138,LS_current!AY$148, FALSE))/2)</f>
        <v>2018.7955662373361</v>
      </c>
      <c r="CW45" s="194">
        <f t="array" ref="CW45">INDEX(Demand_current!$D$4:$AY$138, MATCH($A45, Demand_current!$B$4:$B$138, 0), MATCH(CW$4&amp;CW$5,Demand_current!$D$2:$AY$2&amp;Demand_current!$D$3:$AY$3, 0))/1000</f>
        <v>0</v>
      </c>
      <c r="CX45" s="194">
        <f t="array" ref="CX45">INDEX(Demand_current!$D$4:$AY$138, MATCH($A45, Demand_current!$B$4:$B$138, 0), MATCH(CX$4&amp;CX$5,Demand_current!$D$2:$AY$2&amp;Demand_current!$D$3:$AY$3, 0))/1000</f>
        <v>0</v>
      </c>
      <c r="CY45" s="194">
        <f t="array" ref="CY45">INDEX(Demand_current!$D$4:$AY$138, MATCH($A45, Demand_current!$B$4:$B$138, 0), MATCH(CY$4&amp;CY$5,Demand_current!$D$2:$AY$2&amp;Demand_current!$D$3:$AY$3, 0))/1000</f>
        <v>0</v>
      </c>
      <c r="CZ45" s="194">
        <f t="array" ref="CZ45">INDEX(Demand_current!$D$4:$AY$138, MATCH($A45, Demand_current!$B$4:$B$138, 0), MATCH(CZ$4&amp;CZ$5,Demand_current!$D$2:$AY$2&amp;Demand_current!$D$3:$AY$3, 0))/1000</f>
        <v>0</v>
      </c>
      <c r="DA45" s="194">
        <f t="array" ref="DA45">INDEX(Demand_current!$D$4:$AY$138, MATCH($A45, Demand_current!$B$4:$B$138, 0), MATCH(DA$4&amp;DA$5,Demand_current!$D$2:$AY$2&amp;Demand_current!$D$3:$AY$3, 0))/1000</f>
        <v>0</v>
      </c>
      <c r="DB45" s="194">
        <f t="array" ref="DB45">INDEX(Demand_current!$D$4:$AY$138, MATCH($A45, Demand_current!$B$4:$B$138, 0), MATCH(DB$4&amp;DB$5,Demand_current!$D$2:$AY$2&amp;Demand_current!$D$3:$AY$3, 0))/1000</f>
        <v>0</v>
      </c>
      <c r="DC45" s="194">
        <f t="array" ref="DC45">INDEX(Demand_current!$D$4:$AY$138, MATCH($A45, Demand_current!$B$4:$B$138, 0), MATCH(DC$4&amp;DC$5,Demand_current!$D$2:$AY$2&amp;Demand_current!$D$3:$AY$3, 0))/1000</f>
        <v>0</v>
      </c>
      <c r="DD45" s="194">
        <f t="array" ref="DD45">INDEX(Demand_current!$D$4:$AY$138, MATCH($A45, Demand_current!$B$4:$B$138, 0), MATCH(DD$4&amp;DD$5,Demand_current!$D$2:$AY$2&amp;Demand_current!$D$3:$AY$3, 0))/1000</f>
        <v>0</v>
      </c>
      <c r="DE45" s="194">
        <f t="array" ref="DE45">INDEX(Demand_current!$D$4:$AY$138, MATCH($A45, Demand_current!$B$4:$B$138, 0), MATCH(DE$4&amp;DE$5,Demand_current!$D$2:$AY$2&amp;Demand_current!$D$3:$AY$3, 0))/1000</f>
        <v>0</v>
      </c>
      <c r="DF45" s="194">
        <f t="array" ref="DF45">INDEX(Demand_current!$D$4:$AY$138, MATCH($A45, Demand_current!$B$4:$B$138, 0), MATCH(DF$4&amp;DF$5,Demand_current!$D$2:$AY$2&amp;Demand_current!$D$3:$AY$3, 0))/1000</f>
        <v>0</v>
      </c>
      <c r="DG45" s="194">
        <f t="array" ref="DG45">INDEX(Demand_current!$D$4:$AY$138, MATCH($A45, Demand_current!$B$4:$B$138, 0), MATCH(DG$4&amp;DG$5,Demand_current!$D$2:$AY$2&amp;Demand_current!$D$3:$AY$3, 0))/1000</f>
        <v>0</v>
      </c>
      <c r="DH45" s="194">
        <f t="array" ref="DH45">INDEX(Demand_current!$D$4:$AY$138, MATCH($A45, Demand_current!$B$4:$B$138, 0), MATCH(DH$4&amp;DH$5,Demand_current!$D$2:$AY$2&amp;Demand_current!$D$3:$AY$3, 0))/1000</f>
        <v>0</v>
      </c>
      <c r="DI45" s="192">
        <f>$BS45*(VLOOKUP(DI$4, Rates_current!$G$6:$Q$29, 10, FALSE)+VLOOKUP(DI$4, Rates_current!$G$6:$Q$29, 11, FALSE))</f>
        <v>22999.139894621454</v>
      </c>
      <c r="DJ45" s="192">
        <f>$BS45*(VLOOKUP(DJ$4, Rates_current!$G$6:$Q$29, 10, FALSE)+VLOOKUP(DJ$4, Rates_current!$G$6:$Q$29, 11, FALSE))</f>
        <v>29117.745802817321</v>
      </c>
      <c r="DK45" s="192">
        <f>$BS45*(VLOOKUP(DK$4, Rates_current!$G$6:$Q$29, 10, FALSE)+VLOOKUP(DK$4, Rates_current!$G$6:$Q$29, 11, FALSE))</f>
        <v>28500.455904065293</v>
      </c>
      <c r="DL45" s="192">
        <f>$BS45*(VLOOKUP(DL$4, Rates_current!$G$6:$Q$29, 10, FALSE)+VLOOKUP(DL$4, Rates_current!$G$6:$Q$29, 11, FALSE))</f>
        <v>23540.164599376552</v>
      </c>
      <c r="DM45" s="192">
        <f>$BS45*(VLOOKUP(DM$4, Rates_current!$G$6:$Q$29, 10, FALSE)+VLOOKUP(DM$4, Rates_current!$G$6:$Q$29, 11, FALSE))</f>
        <v>20402.776590144429</v>
      </c>
      <c r="DN45" s="192">
        <f>$BS45*(VLOOKUP(DN$4, Rates_current!$G$6:$Q$29, 10, FALSE)+VLOOKUP(DN$4, Rates_current!$G$6:$Q$29, 11, FALSE))</f>
        <v>24356.7951272926</v>
      </c>
      <c r="DO45" s="192">
        <f>$BS45*(VLOOKUP(DO$4, Rates_current!$G$6:$Q$29, 10, FALSE)+VLOOKUP(DO$4, Rates_current!$G$6:$Q$29, 11, FALSE))</f>
        <v>18909.808823014868</v>
      </c>
      <c r="DP45" s="192">
        <f>$BS45*(VLOOKUP(DP$4, Rates_current!$G$6:$Q$29, 10, FALSE)+VLOOKUP(DP$4, Rates_current!$G$6:$Q$29, 11, FALSE))</f>
        <v>26199.679281270026</v>
      </c>
      <c r="DQ45" s="192">
        <f>$BS45*(VLOOKUP(DQ$4, Rates_current!$G$6:$Q$29, 10, FALSE)+VLOOKUP(DQ$4, Rates_current!$G$6:$Q$29, 11, FALSE))</f>
        <v>27994.905911084981</v>
      </c>
      <c r="DR45" s="192">
        <f>$BS45*(VLOOKUP(DR$4, Rates_current!$G$6:$Q$29, 10, FALSE)+VLOOKUP(DR$4, Rates_current!$G$6:$Q$29, 11, FALSE))</f>
        <v>26579.895508479214</v>
      </c>
      <c r="DS45" s="192">
        <f>$BS45*(VLOOKUP(DS$4, Rates_current!$G$6:$Q$29, 10, FALSE)+VLOOKUP(DS$4, Rates_current!$G$6:$Q$29, 11, FALSE))</f>
        <v>25687.418476695682</v>
      </c>
      <c r="DT45" s="192">
        <f>$BS45*(VLOOKUP(DT$4, Rates_current!$G$6:$Q$29, 10, FALSE)+VLOOKUP(DT$4, Rates_current!$G$6:$Q$29, 11, FALSE))</f>
        <v>23737.852479721496</v>
      </c>
      <c r="DU45" s="418">
        <f>IF(D45=0,IF(C45=0,MAX(0,DW45 - (VLOOKUP($A45,TOCA_current!$A$2:$AI$137,MATCH("RHWM 2022",TOCA_current!$A$2:$AI$2,0),FALSE)*$BS$2)), 0),0)</f>
        <v>0</v>
      </c>
      <c r="DV45" s="419">
        <f>MIN(VLOOKUP($A45,TOCA_current!$A$2:$AI$137,MATCH("TRL - NLSL - Existing Resource "&amp;$BS$1,TOCA_current!$A$2:$AI$2,0),FALSE)*$BS$2, VLOOKUP($A45,TOCA_current!$A$2:$AI$137,MATCH("RHWM 2022",TOCA_current!$A$2:$AI$2,0),FALSE)*$BS$2)</f>
        <v>726055.08</v>
      </c>
      <c r="DW45" s="419">
        <f>SUM(BY45:CV45)+(BS45*RT1SC!$C$4*$BS$2)</f>
        <v>298028.29461132485</v>
      </c>
      <c r="DX45" s="419">
        <f>VLOOKUP($A45,TOCA_current!$A$2:$AI$137,MATCH("Above RHWM Not Served with LS "&amp;$BS$1,TOCA_current!$A$2:$AI$2,0),FALSE)*$BS$2</f>
        <v>52840.32</v>
      </c>
      <c r="DY45" s="419">
        <f t="shared" si="13"/>
        <v>-428026.78538867511</v>
      </c>
      <c r="DZ45" s="419">
        <f>(VLOOKUP($A45,TOCA_current!$A$2:$AI$137,MATCH("RHWM 2022",TOCA_current!$A$2:$AI$2,0),FALSE)*$BS$2) - $DV45</f>
        <v>49713.000000000116</v>
      </c>
      <c r="EA45" s="419">
        <f t="shared" si="14"/>
        <v>0</v>
      </c>
      <c r="EB45" s="419">
        <f t="shared" si="15"/>
        <v>375186.4653886751</v>
      </c>
      <c r="EC45" s="419">
        <f t="shared" si="16"/>
        <v>0</v>
      </c>
      <c r="ED45" s="419">
        <f t="shared" si="17"/>
        <v>0</v>
      </c>
    </row>
    <row r="46" spans="1:134">
      <c r="A46" s="135">
        <v>10106</v>
      </c>
      <c r="B46" s="136" t="s">
        <v>47</v>
      </c>
      <c r="C46" s="244">
        <f>VLOOKUP(A46, TOCA_current!$A$3:$D$137, 4, FALSE)</f>
        <v>1</v>
      </c>
      <c r="D46" s="203">
        <v>0</v>
      </c>
      <c r="E46" s="119">
        <f>VLOOKUP($A46,TOCA_previous!$A$2:$AI$137,MATCH(E$4,TOCA_previous!$A$2:$AI$2,0),FALSE)</f>
        <v>3.3711000000000001E-3</v>
      </c>
      <c r="F46" s="120">
        <f>VLOOKUP($A46,TOCA_previous!$A$2:$AI$137,MATCH(F$4,TOCA_previous!$A$2:$AI$2,0),FALSE)</f>
        <v>3.3711000000000001E-3</v>
      </c>
      <c r="G46" s="120">
        <f t="shared" si="5"/>
        <v>0</v>
      </c>
      <c r="H46" s="120">
        <f>VLOOKUP($A46,TOCA_previous!$A$2:$AI$137,MATCH(H$4,TOCA_previous!$A$2:$AI$2,0),FALSE)</f>
        <v>7.0000000000000007E-2</v>
      </c>
      <c r="I46" s="120">
        <f t="shared" si="6"/>
        <v>7.0000000000000007E-2</v>
      </c>
      <c r="J46" s="120">
        <f t="shared" si="7"/>
        <v>3.3711000000000001E-3</v>
      </c>
      <c r="K46" s="191">
        <f>VLOOKUP(A46, IRD!$A$5:$C$139, 3, FALSE)</f>
        <v>0</v>
      </c>
      <c r="L46" s="192">
        <f t="array" ref="L46">IF($G46=0, INDEX(LS_previous!$D$4:$AY$138, MATCH('Staging Table'!$A46, LS_previous!$B$4:$B$138, 0), MATCH(L$4&amp;L$5, LS_previous!$D$2:$AY$2&amp;LS_previous!$D$3:$AY$3, 0)),SUM(VLOOKUP($A46, LS_previous!$B$4:$AY$138, LS_previous!D$149, FALSE), VLOOKUP('Staging Table'!$A46, LS_previous!$B$4:$AY$138,LS_previous!AB$149, FALSE))/2)</f>
        <v>0</v>
      </c>
      <c r="M46" s="192">
        <f t="array" ref="M46">IF($G46=0, INDEX(LS_previous!$D$4:$AY$138, MATCH('Staging Table'!$A46, LS_previous!$B$4:$B$138, 0), MATCH(M$4&amp;M$5, LS_previous!$D$2:$AY$2&amp;LS_previous!$D$3:$AY$3, 0)),SUM(VLOOKUP($A46, LS_previous!$B$4:$AY$138, LS_previous!E$149, FALSE), VLOOKUP('Staging Table'!$A46, LS_previous!$B$4:$AY$138,LS_previous!AC$149, FALSE))/2)</f>
        <v>0</v>
      </c>
      <c r="N46" s="192">
        <f t="array" ref="N46">IF($G46=0, INDEX(LS_previous!$D$4:$AY$138, MATCH('Staging Table'!$A46, LS_previous!$B$4:$B$138, 0), MATCH(N$4&amp;N$5, LS_previous!$D$2:$AY$2&amp;LS_previous!$D$3:$AY$3, 0)),SUM(VLOOKUP($A46, LS_previous!$B$4:$AY$138, LS_previous!F$149, FALSE), VLOOKUP('Staging Table'!$A46, LS_previous!$B$4:$AY$138,LS_previous!AD$149, FALSE))/2)</f>
        <v>0</v>
      </c>
      <c r="O46" s="192">
        <f t="array" ref="O46">IF($G46=0, INDEX(LS_previous!$D$4:$AY$138, MATCH('Staging Table'!$A46, LS_previous!$B$4:$B$138, 0), MATCH(O$4&amp;O$5, LS_previous!$D$2:$AY$2&amp;LS_previous!$D$3:$AY$3, 0)),SUM(VLOOKUP($A46, LS_previous!$B$4:$AY$138, LS_previous!G$149, FALSE), VLOOKUP('Staging Table'!$A46, LS_previous!$B$4:$AY$138,LS_previous!AE$149, FALSE))/2)</f>
        <v>0</v>
      </c>
      <c r="P46" s="192">
        <f t="array" ref="P46">IF($G46=0, INDEX(LS_previous!$D$4:$AY$138, MATCH('Staging Table'!$A46, LS_previous!$B$4:$B$138, 0), MATCH(P$4&amp;P$5, LS_previous!$D$2:$AY$2&amp;LS_previous!$D$3:$AY$3, 0)),SUM(VLOOKUP($A46, LS_previous!$B$4:$AY$138, LS_previous!H$149, FALSE), VLOOKUP('Staging Table'!$A46, LS_previous!$B$4:$AY$138,LS_previous!AF$149, FALSE))/2)</f>
        <v>0</v>
      </c>
      <c r="Q46" s="192">
        <f t="array" ref="Q46">IF($G46=0, INDEX(LS_previous!$D$4:$AY$138, MATCH('Staging Table'!$A46, LS_previous!$B$4:$B$138, 0), MATCH(Q$4&amp;Q$5, LS_previous!$D$2:$AY$2&amp;LS_previous!$D$3:$AY$3, 0)),SUM(VLOOKUP($A46, LS_previous!$B$4:$AY$138, LS_previous!I$149, FALSE), VLOOKUP('Staging Table'!$A46, LS_previous!$B$4:$AY$138,LS_previous!AG$149, FALSE))/2)</f>
        <v>0</v>
      </c>
      <c r="R46" s="192">
        <f t="array" ref="R46">IF($G46=0, INDEX(LS_previous!$D$4:$AY$138, MATCH('Staging Table'!$A46, LS_previous!$B$4:$B$138, 0), MATCH(R$4&amp;R$5, LS_previous!$D$2:$AY$2&amp;LS_previous!$D$3:$AY$3, 0)),SUM(VLOOKUP($A46, LS_previous!$B$4:$AY$138, LS_previous!J$149, FALSE), VLOOKUP('Staging Table'!$A46, LS_previous!$B$4:$AY$138,LS_previous!AH$149, FALSE))/2)</f>
        <v>0</v>
      </c>
      <c r="S46" s="192">
        <f t="array" ref="S46">IF($G46=0, INDEX(LS_previous!$D$4:$AY$138, MATCH('Staging Table'!$A46, LS_previous!$B$4:$B$138, 0), MATCH(S$4&amp;S$5, LS_previous!$D$2:$AY$2&amp;LS_previous!$D$3:$AY$3, 0)),SUM(VLOOKUP($A46, LS_previous!$B$4:$AY$138, LS_previous!K$149, FALSE), VLOOKUP('Staging Table'!$A46, LS_previous!$B$4:$AY$138,LS_previous!AI$149, FALSE))/2)</f>
        <v>0</v>
      </c>
      <c r="T46" s="192">
        <f t="array" ref="T46">IF($G46=0, INDEX(LS_previous!$D$4:$AY$138, MATCH('Staging Table'!$A46, LS_previous!$B$4:$B$138, 0), MATCH(T$4&amp;T$5, LS_previous!$D$2:$AY$2&amp;LS_previous!$D$3:$AY$3, 0)),SUM(VLOOKUP($A46, LS_previous!$B$4:$AY$138, LS_previous!L$149, FALSE), VLOOKUP('Staging Table'!$A46, LS_previous!$B$4:$AY$138,LS_previous!AJ$149, FALSE))/2)</f>
        <v>0</v>
      </c>
      <c r="U46" s="192">
        <f t="array" ref="U46">IF($G46=0, INDEX(LS_previous!$D$4:$AY$138, MATCH('Staging Table'!$A46, LS_previous!$B$4:$B$138, 0), MATCH(U$4&amp;U$5, LS_previous!$D$2:$AY$2&amp;LS_previous!$D$3:$AY$3, 0)),SUM(VLOOKUP($A46, LS_previous!$B$4:$AY$138, LS_previous!M$149, FALSE), VLOOKUP('Staging Table'!$A46, LS_previous!$B$4:$AY$138,LS_previous!AK$149, FALSE))/2)</f>
        <v>0</v>
      </c>
      <c r="V46" s="192">
        <f t="array" ref="V46">IF($G46=0, INDEX(LS_previous!$D$4:$AY$138, MATCH('Staging Table'!$A46, LS_previous!$B$4:$B$138, 0), MATCH(V$4&amp;V$5, LS_previous!$D$2:$AY$2&amp;LS_previous!$D$3:$AY$3, 0)),SUM(VLOOKUP($A46, LS_previous!$B$4:$AY$138, LS_previous!N$149, FALSE), VLOOKUP('Staging Table'!$A46, LS_previous!$B$4:$AY$138,LS_previous!AL$149, FALSE))/2)</f>
        <v>0</v>
      </c>
      <c r="W46" s="192">
        <f t="array" ref="W46">IF($G46=0, INDEX(LS_previous!$D$4:$AY$138, MATCH('Staging Table'!$A46, LS_previous!$B$4:$B$138, 0), MATCH(W$4&amp;W$5, LS_previous!$D$2:$AY$2&amp;LS_previous!$D$3:$AY$3, 0)),SUM(VLOOKUP($A46, LS_previous!$B$4:$AY$138, LS_previous!O$149, FALSE), VLOOKUP('Staging Table'!$A46, LS_previous!$B$4:$AY$138,LS_previous!AM$149, FALSE))/2)</f>
        <v>0</v>
      </c>
      <c r="X46" s="192">
        <f t="array" ref="X46">IF($G46=0, INDEX(LS_previous!$D$4:$AY$138, MATCH('Staging Table'!$A46, LS_previous!$B$4:$B$138, 0), MATCH(X$4&amp;X$5, LS_previous!$D$2:$AY$2&amp;LS_previous!$D$3:$AY$3, 0)),SUM(VLOOKUP($A46, LS_previous!$B$4:$AY$138, LS_previous!P$149, FALSE), VLOOKUP('Staging Table'!$A46, LS_previous!$B$4:$AY$138,LS_previous!AN$149, FALSE))/2)</f>
        <v>0</v>
      </c>
      <c r="Y46" s="192">
        <f t="array" ref="Y46">IF($G46=0, INDEX(LS_previous!$D$4:$AY$138, MATCH('Staging Table'!$A46, LS_previous!$B$4:$B$138, 0), MATCH(Y$4&amp;Y$5, LS_previous!$D$2:$AY$2&amp;LS_previous!$D$3:$AY$3, 0)),SUM(VLOOKUP($A46, LS_previous!$B$4:$AY$138, LS_previous!Q$149, FALSE), VLOOKUP('Staging Table'!$A46, LS_previous!$B$4:$AY$138,LS_previous!AO$149, FALSE))/2)</f>
        <v>0</v>
      </c>
      <c r="Z46" s="192">
        <f t="array" ref="Z46">IF($G46=0, INDEX(LS_previous!$D$4:$AY$138, MATCH('Staging Table'!$A46, LS_previous!$B$4:$B$138, 0), MATCH(Z$4&amp;Z$5, LS_previous!$D$2:$AY$2&amp;LS_previous!$D$3:$AY$3, 0)),SUM(VLOOKUP($A46, LS_previous!$B$4:$AY$138, LS_previous!R$149, FALSE), VLOOKUP('Staging Table'!$A46, LS_previous!$B$4:$AY$138,LS_previous!AP$149, FALSE))/2)</f>
        <v>0</v>
      </c>
      <c r="AA46" s="192">
        <f t="array" ref="AA46">IF($G46=0, INDEX(LS_previous!$D$4:$AY$138, MATCH('Staging Table'!$A46, LS_previous!$B$4:$B$138, 0), MATCH(AA$4&amp;AA$5, LS_previous!$D$2:$AY$2&amp;LS_previous!$D$3:$AY$3, 0)),SUM(VLOOKUP($A46, LS_previous!$B$4:$AY$138, LS_previous!S$149, FALSE), VLOOKUP('Staging Table'!$A46, LS_previous!$B$4:$AY$138,LS_previous!AQ$149, FALSE))/2)</f>
        <v>0</v>
      </c>
      <c r="AB46" s="192">
        <f t="array" ref="AB46">IF($G46=0, INDEX(LS_previous!$D$4:$AY$138, MATCH('Staging Table'!$A46, LS_previous!$B$4:$B$138, 0), MATCH(AB$4&amp;AB$5, LS_previous!$D$2:$AY$2&amp;LS_previous!$D$3:$AY$3, 0)),SUM(VLOOKUP($A46, LS_previous!$B$4:$AY$138, LS_previous!T$149, FALSE), VLOOKUP('Staging Table'!$A46, LS_previous!$B$4:$AY$138,LS_previous!AR$149, FALSE))/2)</f>
        <v>0</v>
      </c>
      <c r="AC46" s="192">
        <f t="array" ref="AC46">IF($G46=0, INDEX(LS_previous!$D$4:$AY$138, MATCH('Staging Table'!$A46, LS_previous!$B$4:$B$138, 0), MATCH(AC$4&amp;AC$5, LS_previous!$D$2:$AY$2&amp;LS_previous!$D$3:$AY$3, 0)),SUM(VLOOKUP($A46, LS_previous!$B$4:$AY$138, LS_previous!U$149, FALSE), VLOOKUP('Staging Table'!$A46, LS_previous!$B$4:$AY$138,LS_previous!AS$149, FALSE))/2)</f>
        <v>0</v>
      </c>
      <c r="AD46" s="192">
        <f t="array" ref="AD46">IF($G46=0, INDEX(LS_previous!$D$4:$AY$138, MATCH('Staging Table'!$A46, LS_previous!$B$4:$B$138, 0), MATCH(AD$4&amp;AD$5, LS_previous!$D$2:$AY$2&amp;LS_previous!$D$3:$AY$3, 0)),SUM(VLOOKUP($A46, LS_previous!$B$4:$AY$138, LS_previous!V$149, FALSE), VLOOKUP('Staging Table'!$A46, LS_previous!$B$4:$AY$138,LS_previous!AT$149, FALSE))/2)</f>
        <v>0</v>
      </c>
      <c r="AE46" s="192">
        <f t="array" ref="AE46">IF($G46=0, INDEX(LS_previous!$D$4:$AY$138, MATCH('Staging Table'!$A46, LS_previous!$B$4:$B$138, 0), MATCH(AE$4&amp;AE$5, LS_previous!$D$2:$AY$2&amp;LS_previous!$D$3:$AY$3, 0)),SUM(VLOOKUP($A46, LS_previous!$B$4:$AY$138, LS_previous!W$149, FALSE), VLOOKUP('Staging Table'!$A46, LS_previous!$B$4:$AY$138,LS_previous!AU$149, FALSE))/2)</f>
        <v>0</v>
      </c>
      <c r="AF46" s="192">
        <f t="array" ref="AF46">IF($G46=0, INDEX(LS_previous!$D$4:$AY$138, MATCH('Staging Table'!$A46, LS_previous!$B$4:$B$138, 0), MATCH(AF$4&amp;AF$5, LS_previous!$D$2:$AY$2&amp;LS_previous!$D$3:$AY$3, 0)),SUM(VLOOKUP($A46, LS_previous!$B$4:$AY$138, LS_previous!X$149, FALSE), VLOOKUP('Staging Table'!$A46, LS_previous!$B$4:$AY$138,LS_previous!AV$149, FALSE))/2)</f>
        <v>0</v>
      </c>
      <c r="AG46" s="192">
        <f t="array" ref="AG46">IF($G46=0, INDEX(LS_previous!$D$4:$AY$138, MATCH('Staging Table'!$A46, LS_previous!$B$4:$B$138, 0), MATCH(AG$4&amp;AG$5, LS_previous!$D$2:$AY$2&amp;LS_previous!$D$3:$AY$3, 0)),SUM(VLOOKUP($A46, LS_previous!$B$4:$AY$138, LS_previous!Y$149, FALSE), VLOOKUP('Staging Table'!$A46, LS_previous!$B$4:$AY$138,LS_previous!AW$149, FALSE))/2)</f>
        <v>0</v>
      </c>
      <c r="AH46" s="192">
        <f t="array" ref="AH46">IF($G46=0, INDEX(LS_previous!$D$4:$AY$138, MATCH('Staging Table'!$A46, LS_previous!$B$4:$B$138, 0), MATCH(AH$4&amp;AH$5, LS_previous!$D$2:$AY$2&amp;LS_previous!$D$3:$AY$3, 0)),SUM(VLOOKUP($A46, LS_previous!$B$4:$AY$138, LS_previous!Z$149, FALSE), VLOOKUP('Staging Table'!$A46, LS_previous!$B$4:$AY$138,LS_previous!AX$149, FALSE))/2)</f>
        <v>0</v>
      </c>
      <c r="AI46" s="192">
        <f t="array" ref="AI46">IF($G46=0, INDEX(LS_previous!$D$4:$AY$138, MATCH('Staging Table'!$A46, LS_previous!$B$4:$B$138, 0), MATCH(AI$4&amp;AI$5, LS_previous!$D$2:$AY$2&amp;LS_previous!$D$3:$AY$3, 0)),SUM(VLOOKUP($A46, LS_previous!$B$4:$AY$138, LS_previous!AA$149, FALSE), VLOOKUP('Staging Table'!$A46, LS_previous!$B$4:$AY$138,LS_previous!AY$149, FALSE))/2)</f>
        <v>0</v>
      </c>
      <c r="AJ46" s="314">
        <f t="array" ref="AJ46">INDEX(Demand_previous!$D$4:$AY$138, MATCH('Staging Table'!$A46, Demand_previous!$B$4:$B$138, 0), MATCH(AJ$4&amp;AJ$5,Demand_previous!$D$2:$AY$2&amp;Demand_previous!$D$3:$AY$3, 0))/1000</f>
        <v>0</v>
      </c>
      <c r="AK46" s="314">
        <f t="array" ref="AK46">INDEX(Demand_previous!$D$4:$AY$138, MATCH('Staging Table'!$A46, Demand_previous!$B$4:$B$138, 0), MATCH(AK$4&amp;AK$5,Demand_previous!$D$2:$AY$2&amp;Demand_previous!$D$3:$AY$3, 0))/1000</f>
        <v>0</v>
      </c>
      <c r="AL46" s="314">
        <f t="array" ref="AL46">INDEX(Demand_previous!$D$4:$AY$138, MATCH('Staging Table'!$A46, Demand_previous!$B$4:$B$138, 0), MATCH(AL$4&amp;AL$5,Demand_previous!$D$2:$AY$2&amp;Demand_previous!$D$3:$AY$3, 0))/1000</f>
        <v>0</v>
      </c>
      <c r="AM46" s="314">
        <f t="array" ref="AM46">INDEX(Demand_previous!$D$4:$AY$138, MATCH('Staging Table'!$A46, Demand_previous!$B$4:$B$138, 0), MATCH(AM$4&amp;AM$5,Demand_previous!$D$2:$AY$2&amp;Demand_previous!$D$3:$AY$3, 0))/1000</f>
        <v>0</v>
      </c>
      <c r="AN46" s="314">
        <f t="array" ref="AN46">INDEX(Demand_previous!$D$4:$AY$138, MATCH('Staging Table'!$A46, Demand_previous!$B$4:$B$138, 0), MATCH(AN$4&amp;AN$5,Demand_previous!$D$2:$AY$2&amp;Demand_previous!$D$3:$AY$3, 0))/1000</f>
        <v>0</v>
      </c>
      <c r="AO46" s="314">
        <f t="array" ref="AO46">INDEX(Demand_previous!$D$4:$AY$138, MATCH('Staging Table'!$A46, Demand_previous!$B$4:$B$138, 0), MATCH(AO$4&amp;AO$5,Demand_previous!$D$2:$AY$2&amp;Demand_previous!$D$3:$AY$3, 0))/1000</f>
        <v>0</v>
      </c>
      <c r="AP46" s="314">
        <f t="array" ref="AP46">INDEX(Demand_previous!$D$4:$AY$138, MATCH('Staging Table'!$A46, Demand_previous!$B$4:$B$138, 0), MATCH(AP$4&amp;AP$5,Demand_previous!$D$2:$AY$2&amp;Demand_previous!$D$3:$AY$3, 0))/1000</f>
        <v>0</v>
      </c>
      <c r="AQ46" s="314">
        <f t="array" ref="AQ46">INDEX(Demand_previous!$D$4:$AY$138, MATCH('Staging Table'!$A46, Demand_previous!$B$4:$B$138, 0), MATCH(AQ$4&amp;AQ$5,Demand_previous!$D$2:$AY$2&amp;Demand_previous!$D$3:$AY$3, 0))/1000</f>
        <v>0</v>
      </c>
      <c r="AR46" s="314">
        <f t="array" ref="AR46">INDEX(Demand_previous!$D$4:$AY$138, MATCH('Staging Table'!$A46, Demand_previous!$B$4:$B$138, 0), MATCH(AR$4&amp;AR$5,Demand_previous!$D$2:$AY$2&amp;Demand_previous!$D$3:$AY$3, 0))/1000</f>
        <v>0</v>
      </c>
      <c r="AS46" s="314">
        <f t="array" ref="AS46">INDEX(Demand_previous!$D$4:$AY$138, MATCH('Staging Table'!$A46, Demand_previous!$B$4:$B$138, 0), MATCH(AS$4&amp;AS$5,Demand_previous!$D$2:$AY$2&amp;Demand_previous!$D$3:$AY$3, 0))/1000</f>
        <v>0</v>
      </c>
      <c r="AT46" s="314">
        <f t="array" ref="AT46">INDEX(Demand_previous!$D$4:$AY$138, MATCH('Staging Table'!$A46, Demand_previous!$B$4:$B$138, 0), MATCH(AT$4&amp;AT$5,Demand_previous!$D$2:$AY$2&amp;Demand_previous!$D$3:$AY$3, 0))/1000</f>
        <v>0</v>
      </c>
      <c r="AU46" s="314">
        <f t="array" ref="AU46">INDEX(Demand_previous!$D$4:$AY$138, MATCH('Staging Table'!$A46, Demand_previous!$B$4:$B$138, 0), MATCH(AU$4&amp;AU$5,Demand_previous!$D$2:$AY$2&amp;Demand_previous!$D$3:$AY$3, 0))/1000</f>
        <v>0</v>
      </c>
      <c r="AV46" s="192">
        <f>$F46*(VLOOKUP(AV$4, Rates_previous!$G$6:$Q$29, 10, FALSE)+VLOOKUP(AV$4, Rates_previous!$G$6:$Q$29, 11, FALSE))</f>
        <v>15565.437999435599</v>
      </c>
      <c r="AW46" s="192">
        <f>$F46*(VLOOKUP(AW$4, Rates_previous!$G$6:$Q$29, 10, FALSE)+VLOOKUP(AW$4, Rates_previous!$G$6:$Q$29, 11, FALSE))</f>
        <v>19772.961991992903</v>
      </c>
      <c r="AX46" s="192">
        <f>$F46*(VLOOKUP(AX$4, Rates_previous!$G$6:$Q$29, 10, FALSE)+VLOOKUP(AX$4, Rates_previous!$G$6:$Q$29, 11, FALSE))</f>
        <v>19534.176720735602</v>
      </c>
      <c r="AY46" s="192">
        <f>$F46*(VLOOKUP(AY$4, Rates_previous!$G$6:$Q$29, 10, FALSE)+VLOOKUP(AY$4, Rates_previous!$G$6:$Q$29, 11, FALSE))</f>
        <v>16282.926067935603</v>
      </c>
      <c r="AZ46" s="192">
        <f>$F46*(VLOOKUP(AZ$4, Rates_previous!$G$6:$Q$29, 10, FALSE)+VLOOKUP(AZ$4, Rates_previous!$G$6:$Q$29, 11, FALSE))</f>
        <v>14750.64179448</v>
      </c>
      <c r="BA46" s="192">
        <f>$F46*(VLOOKUP(BA$4, Rates_previous!$G$6:$Q$29, 10, FALSE)+VLOOKUP(BA$4, Rates_previous!$G$6:$Q$29, 11, FALSE))</f>
        <v>16407.3996912207</v>
      </c>
      <c r="BB46" s="192">
        <f>$F46*(VLOOKUP(BB$4, Rates_previous!$G$6:$Q$29, 10, FALSE)+VLOOKUP(BB$4, Rates_previous!$G$6:$Q$29, 11, FALSE))</f>
        <v>13358.922533928</v>
      </c>
      <c r="BC46" s="192">
        <f>$F46*(VLOOKUP(BC$4, Rates_previous!$G$6:$Q$29, 10, FALSE)+VLOOKUP(BC$4, Rates_previous!$G$6:$Q$29, 11, FALSE))</f>
        <v>18016.499072985604</v>
      </c>
      <c r="BD46" s="192">
        <f>$F46*(VLOOKUP(BD$4, Rates_previous!$G$6:$Q$29, 10, FALSE)+VLOOKUP(BD$4, Rates_previous!$G$6:$Q$29, 11, FALSE))</f>
        <v>22987.827489378004</v>
      </c>
      <c r="BE46" s="192">
        <f>$F46*(VLOOKUP(BE$4, Rates_previous!$G$6:$Q$29, 10, FALSE)+VLOOKUP(BE$4, Rates_previous!$G$6:$Q$29, 11, FALSE))</f>
        <v>18023.185649835603</v>
      </c>
      <c r="BF46" s="192">
        <f>$F46*(VLOOKUP(BF$4, Rates_previous!$G$6:$Q$29, 10, FALSE)+VLOOKUP(BF$4, Rates_previous!$G$6:$Q$29, 11, FALSE))</f>
        <v>17550.993987285601</v>
      </c>
      <c r="BG46" s="192">
        <f>$F46*(VLOOKUP(BG$4, Rates_previous!$G$6:$Q$29, 10, FALSE)+VLOOKUP(BG$4, Rates_previous!$G$6:$Q$29, 11, FALSE))</f>
        <v>15757.059023028001</v>
      </c>
      <c r="BH46" s="314">
        <f>IF($D46=0,IF(C46=0, MAX(BJ46 - (VLOOKUP($A46,TOCA_previous!$A$2:$AI$137,MATCH("RHWM 2020",TOCA_previous!$A$2:$AI$2,0),FALSE)*$F$2*TOCA_previous!C43),0),0), 0)</f>
        <v>0</v>
      </c>
      <c r="BI46" s="204">
        <f>MIN(VLOOKUP($A46,TOCA_previous!$A$2:$AI$137,MATCH("TRL - NLSL - Existing Resource "&amp;$F$1,TOCA_previous!$A$2:$AI$2,0),FALSE)*$F$2,(VLOOKUP($A46,TOCA_previous!$A$2:$AI$137,MATCH("RHWM 2020",TOCA_previous!$A$2:$AI$2,0),FALSE)*$F$2))</f>
        <v>208005.12</v>
      </c>
      <c r="BJ46" s="418">
        <f>SUM(L46:AI46)+(F46*RT1SC!$C$3*$F$2)</f>
        <v>208008.03982970881</v>
      </c>
      <c r="BK46" s="417">
        <f>VLOOKUP($A46,TOCA_previous!$A$2:$AI$137,MATCH("Above RHWM Not Served with LS "&amp;$F$1,TOCA_previous!$A$2:$AI$2,0),FALSE)*$F$2</f>
        <v>0</v>
      </c>
      <c r="BL46" s="418">
        <f t="shared" si="8"/>
        <v>2.9198297088150866</v>
      </c>
      <c r="BM46" s="417">
        <f>(VLOOKUP($A46,TOCA_previous!$A$2:$AI$137,MATCH("RHWM 2020",TOCA_previous!$A$2:$AI$2,0),FALSE)*$F$2) - $BI46</f>
        <v>632.44800000000396</v>
      </c>
      <c r="BN46" s="418">
        <f t="shared" si="9"/>
        <v>-2.9198297088150866</v>
      </c>
      <c r="BO46" s="417">
        <f t="shared" si="10"/>
        <v>0</v>
      </c>
      <c r="BP46" s="418">
        <f t="shared" si="11"/>
        <v>0</v>
      </c>
      <c r="BQ46" s="417">
        <f t="shared" si="18"/>
        <v>-2.9198297088150866</v>
      </c>
      <c r="BR46" s="120">
        <f>VLOOKUP($A46,TOCA_current!$A$2:$AI$137,MATCH(BR$4,TOCA_current!$A$2:$AI$2,0),FALSE)</f>
        <v>3.3814000000000001E-3</v>
      </c>
      <c r="BS46" s="120">
        <f>VLOOKUP($A46,TOCA_current!$A$2:$AI$137,MATCH(BS$4,TOCA_current!$A$2:$AI$2,0),FALSE)</f>
        <v>3.3814000000000001E-3</v>
      </c>
      <c r="BT46" s="201">
        <f t="shared" si="12"/>
        <v>0</v>
      </c>
      <c r="BU46" s="120">
        <f>VLOOKUP($A46,TOCA_current!A42:BG177,MATCH(BU$4,TOCA_current!$A$2:$BG$2,0),FALSE)</f>
        <v>7.2793484941610351E-2</v>
      </c>
      <c r="BV46" s="120">
        <f t="shared" si="19"/>
        <v>7.2793484941610351E-2</v>
      </c>
      <c r="BW46" s="120">
        <f t="shared" si="20"/>
        <v>3.3814000000000001E-3</v>
      </c>
      <c r="BX46" s="191">
        <f>VLOOKUP($A46,IRD!$A$4:$G$139, 7, FALSE)</f>
        <v>0</v>
      </c>
      <c r="BY46" s="192">
        <f t="array" ref="BY46">IF($BT46=0, INDEX(LS_current!$D$4:$AY$138, MATCH('Staging Table'!$A46, LS_current!$B$4:$B$138, 0), MATCH(BY$4&amp;BY$5, LS_current!$D$2:$AY$2&amp;LS_current!$D$3:$AY$3, 0)),SUM(VLOOKUP($A46, LS_current!$B$4:$AY$138, LS_current!D$148, FALSE), VLOOKUP($A46, LS_current!$B$4:$AY$138,LS_current!AB$148, FALSE))/2)</f>
        <v>0</v>
      </c>
      <c r="BZ46" s="192">
        <f t="array" ref="BZ46">IF($BT46=0, INDEX(LS_current!$D$4:$AY$138, MATCH('Staging Table'!$A46, LS_current!$B$4:$B$138, 0), MATCH(BZ$4&amp;BZ$5, LS_current!$D$2:$AY$2&amp;LS_current!$D$3:$AY$3, 0)),SUM(VLOOKUP($A46, LS_current!$B$4:$AY$138, LS_current!E$148, FALSE), VLOOKUP($A46, LS_current!$B$4:$AY$138,LS_current!AC$148, FALSE))/2)</f>
        <v>0</v>
      </c>
      <c r="CA46" s="192">
        <f t="array" ref="CA46">IF($BT46=0, INDEX(LS_current!$D$4:$AY$138, MATCH('Staging Table'!$A46, LS_current!$B$4:$B$138, 0), MATCH(CA$4&amp;CA$5, LS_current!$D$2:$AY$2&amp;LS_current!$D$3:$AY$3, 0)),SUM(VLOOKUP($A46, LS_current!$B$4:$AY$138, LS_current!F$148, FALSE), VLOOKUP($A46, LS_current!$B$4:$AY$138,LS_current!AD$148, FALSE))/2)</f>
        <v>0</v>
      </c>
      <c r="CB46" s="192">
        <f t="array" ref="CB46">IF($BT46=0, INDEX(LS_current!$D$4:$AY$138, MATCH('Staging Table'!$A46, LS_current!$B$4:$B$138, 0), MATCH(CB$4&amp;CB$5, LS_current!$D$2:$AY$2&amp;LS_current!$D$3:$AY$3, 0)),SUM(VLOOKUP($A46, LS_current!$B$4:$AY$138, LS_current!G$148, FALSE), VLOOKUP($A46, LS_current!$B$4:$AY$138,LS_current!AE$148, FALSE))/2)</f>
        <v>0</v>
      </c>
      <c r="CC46" s="192">
        <f t="array" ref="CC46">IF($BT46=0, INDEX(LS_current!$D$4:$AY$138, MATCH('Staging Table'!$A46, LS_current!$B$4:$B$138, 0), MATCH(CC$4&amp;CC$5, LS_current!$D$2:$AY$2&amp;LS_current!$D$3:$AY$3, 0)),SUM(VLOOKUP($A46, LS_current!$B$4:$AY$138, LS_current!H$148, FALSE), VLOOKUP($A46, LS_current!$B$4:$AY$138,LS_current!AF$148, FALSE))/2)</f>
        <v>0</v>
      </c>
      <c r="CD46" s="192">
        <f t="array" ref="CD46">IF($BT46=0, INDEX(LS_current!$D$4:$AY$138, MATCH('Staging Table'!$A46, LS_current!$B$4:$B$138, 0), MATCH(CD$4&amp;CD$5, LS_current!$D$2:$AY$2&amp;LS_current!$D$3:$AY$3, 0)),SUM(VLOOKUP($A46, LS_current!$B$4:$AY$138, LS_current!I$148, FALSE), VLOOKUP($A46, LS_current!$B$4:$AY$138,LS_current!AG$148, FALSE))/2)</f>
        <v>0</v>
      </c>
      <c r="CE46" s="192">
        <f t="array" ref="CE46">IF($BT46=0, INDEX(LS_current!$D$4:$AY$138, MATCH('Staging Table'!$A46, LS_current!$B$4:$B$138, 0), MATCH(CE$4&amp;CE$5, LS_current!$D$2:$AY$2&amp;LS_current!$D$3:$AY$3, 0)),SUM(VLOOKUP($A46, LS_current!$B$4:$AY$138, LS_current!J$148, FALSE), VLOOKUP($A46, LS_current!$B$4:$AY$138,LS_current!AH$148, FALSE))/2)</f>
        <v>0</v>
      </c>
      <c r="CF46" s="192">
        <f t="array" ref="CF46">IF($BT46=0, INDEX(LS_current!$D$4:$AY$138, MATCH('Staging Table'!$A46, LS_current!$B$4:$B$138, 0), MATCH(CF$4&amp;CF$5, LS_current!$D$2:$AY$2&amp;LS_current!$D$3:$AY$3, 0)),SUM(VLOOKUP($A46, LS_current!$B$4:$AY$138, LS_current!K$148, FALSE), VLOOKUP($A46, LS_current!$B$4:$AY$138,LS_current!AI$148, FALSE))/2)</f>
        <v>0</v>
      </c>
      <c r="CG46" s="192">
        <f t="array" ref="CG46">IF($BT46=0, INDEX(LS_current!$D$4:$AY$138, MATCH('Staging Table'!$A46, LS_current!$B$4:$B$138, 0), MATCH(CG$4&amp;CG$5, LS_current!$D$2:$AY$2&amp;LS_current!$D$3:$AY$3, 0)),SUM(VLOOKUP($A46, LS_current!$B$4:$AY$138, LS_current!L$148, FALSE), VLOOKUP($A46, LS_current!$B$4:$AY$138,LS_current!AJ$148, FALSE))/2)</f>
        <v>0</v>
      </c>
      <c r="CH46" s="192">
        <f t="array" ref="CH46">IF($BT46=0, INDEX(LS_current!$D$4:$AY$138, MATCH('Staging Table'!$A46, LS_current!$B$4:$B$138, 0), MATCH(CH$4&amp;CH$5, LS_current!$D$2:$AY$2&amp;LS_current!$D$3:$AY$3, 0)),SUM(VLOOKUP($A46, LS_current!$B$4:$AY$138, LS_current!M$148, FALSE), VLOOKUP($A46, LS_current!$B$4:$AY$138,LS_current!AK$148, FALSE))/2)</f>
        <v>0</v>
      </c>
      <c r="CI46" s="192">
        <f t="array" ref="CI46">IF($BT46=0, INDEX(LS_current!$D$4:$AY$138, MATCH('Staging Table'!$A46, LS_current!$B$4:$B$138, 0), MATCH(CI$4&amp;CI$5, LS_current!$D$2:$AY$2&amp;LS_current!$D$3:$AY$3, 0)),SUM(VLOOKUP($A46, LS_current!$B$4:$AY$138, LS_current!N$148, FALSE), VLOOKUP($A46, LS_current!$B$4:$AY$138,LS_current!AL$148, FALSE))/2)</f>
        <v>0</v>
      </c>
      <c r="CJ46" s="192">
        <f t="array" ref="CJ46">IF($BT46=0, INDEX(LS_current!$D$4:$AY$138, MATCH('Staging Table'!$A46, LS_current!$B$4:$B$138, 0), MATCH(CJ$4&amp;CJ$5, LS_current!$D$2:$AY$2&amp;LS_current!$D$3:$AY$3, 0)),SUM(VLOOKUP($A46, LS_current!$B$4:$AY$138, LS_current!O$148, FALSE), VLOOKUP($A46, LS_current!$B$4:$AY$138,LS_current!AM$148, FALSE))/2)</f>
        <v>0</v>
      </c>
      <c r="CK46" s="192">
        <f t="array" ref="CK46">IF($BT46=0, INDEX(LS_current!$D$4:$AY$138, MATCH('Staging Table'!$A46, LS_current!$B$4:$B$138, 0), MATCH(CK$4&amp;CK$5, LS_current!$D$2:$AY$2&amp;LS_current!$D$3:$AY$3, 0)),SUM(VLOOKUP($A46, LS_current!$B$4:$AY$138, LS_current!P$148, FALSE), VLOOKUP($A46, LS_current!$B$4:$AY$138,LS_current!AN$148, FALSE))/2)</f>
        <v>0</v>
      </c>
      <c r="CL46" s="192">
        <f t="array" ref="CL46">IF($BT46=0, INDEX(LS_current!$D$4:$AY$138, MATCH('Staging Table'!$A46, LS_current!$B$4:$B$138, 0), MATCH(CL$4&amp;CL$5, LS_current!$D$2:$AY$2&amp;LS_current!$D$3:$AY$3, 0)),SUM(VLOOKUP($A46, LS_current!$B$4:$AY$138, LS_current!Q$148, FALSE), VLOOKUP($A46, LS_current!$B$4:$AY$138,LS_current!AO$148, FALSE))/2)</f>
        <v>0</v>
      </c>
      <c r="CM46" s="192">
        <f t="array" ref="CM46">IF($BT46=0, INDEX(LS_current!$D$4:$AY$138, MATCH('Staging Table'!$A46, LS_current!$B$4:$B$138, 0), MATCH(CM$4&amp;CM$5, LS_current!$D$2:$AY$2&amp;LS_current!$D$3:$AY$3, 0)),SUM(VLOOKUP($A46, LS_current!$B$4:$AY$138, LS_current!R$148, FALSE), VLOOKUP($A46, LS_current!$B$4:$AY$138,LS_current!AP$148, FALSE))/2)</f>
        <v>0</v>
      </c>
      <c r="CN46" s="192">
        <f t="array" ref="CN46">IF($BT46=0, INDEX(LS_current!$D$4:$AY$138, MATCH('Staging Table'!$A46, LS_current!$B$4:$B$138, 0), MATCH(CN$4&amp;CN$5, LS_current!$D$2:$AY$2&amp;LS_current!$D$3:$AY$3, 0)),SUM(VLOOKUP($A46, LS_current!$B$4:$AY$138, LS_current!S$148, FALSE), VLOOKUP($A46, LS_current!$B$4:$AY$138,LS_current!AQ$148, FALSE))/2)</f>
        <v>0</v>
      </c>
      <c r="CO46" s="192">
        <f t="array" ref="CO46">IF($BT46=0, INDEX(LS_current!$D$4:$AY$138, MATCH('Staging Table'!$A46, LS_current!$B$4:$B$138, 0), MATCH(CO$4&amp;CO$5, LS_current!$D$2:$AY$2&amp;LS_current!$D$3:$AY$3, 0)),SUM(VLOOKUP($A46, LS_current!$B$4:$AY$138, LS_current!T$148, FALSE), VLOOKUP($A46, LS_current!$B$4:$AY$138,LS_current!AR$148, FALSE))/2)</f>
        <v>0</v>
      </c>
      <c r="CP46" s="192">
        <f t="array" ref="CP46">IF($BT46=0, INDEX(LS_current!$D$4:$AY$138, MATCH('Staging Table'!$A46, LS_current!$B$4:$B$138, 0), MATCH(CP$4&amp;CP$5, LS_current!$D$2:$AY$2&amp;LS_current!$D$3:$AY$3, 0)),SUM(VLOOKUP($A46, LS_current!$B$4:$AY$138, LS_current!U$148, FALSE), VLOOKUP($A46, LS_current!$B$4:$AY$138,LS_current!AS$148, FALSE))/2)</f>
        <v>0</v>
      </c>
      <c r="CQ46" s="192">
        <f t="array" ref="CQ46">IF($BT46=0, INDEX(LS_current!$D$4:$AY$138, MATCH('Staging Table'!$A46, LS_current!$B$4:$B$138, 0), MATCH(CQ$4&amp;CQ$5, LS_current!$D$2:$AY$2&amp;LS_current!$D$3:$AY$3, 0)),SUM(VLOOKUP($A46, LS_current!$B$4:$AY$138, LS_current!V$148, FALSE), VLOOKUP($A46, LS_current!$B$4:$AY$138,LS_current!AT$148, FALSE))/2)</f>
        <v>0</v>
      </c>
      <c r="CR46" s="192">
        <f t="array" ref="CR46">IF($BT46=0, INDEX(LS_current!$D$4:$AY$138, MATCH('Staging Table'!$A46, LS_current!$B$4:$B$138, 0), MATCH(CR$4&amp;CR$5, LS_current!$D$2:$AY$2&amp;LS_current!$D$3:$AY$3, 0)),SUM(VLOOKUP($A46, LS_current!$B$4:$AY$138, LS_current!W$148, FALSE), VLOOKUP($A46, LS_current!$B$4:$AY$138,LS_current!AU$148, FALSE))/2)</f>
        <v>0</v>
      </c>
      <c r="CS46" s="192">
        <f t="array" ref="CS46">IF($BT46=0, INDEX(LS_current!$D$4:$AY$138, MATCH('Staging Table'!$A46, LS_current!$B$4:$B$138, 0), MATCH(CS$4&amp;CS$5, LS_current!$D$2:$AY$2&amp;LS_current!$D$3:$AY$3, 0)),SUM(VLOOKUP($A46, LS_current!$B$4:$AY$138, LS_current!X$148, FALSE), VLOOKUP($A46, LS_current!$B$4:$AY$138,LS_current!AV$148, FALSE))/2)</f>
        <v>0</v>
      </c>
      <c r="CT46" s="192">
        <f t="array" ref="CT46">IF($BT46=0, INDEX(LS_current!$D$4:$AY$138, MATCH('Staging Table'!$A46, LS_current!$B$4:$B$138, 0), MATCH(CT$4&amp;CT$5, LS_current!$D$2:$AY$2&amp;LS_current!$D$3:$AY$3, 0)),SUM(VLOOKUP($A46, LS_current!$B$4:$AY$138, LS_current!Y$148, FALSE), VLOOKUP($A46, LS_current!$B$4:$AY$138,LS_current!AW$148, FALSE))/2)</f>
        <v>0</v>
      </c>
      <c r="CU46" s="192">
        <f t="array" ref="CU46">IF($BT46=0, INDEX(LS_current!$D$4:$AY$138, MATCH('Staging Table'!$A46, LS_current!$B$4:$B$138, 0), MATCH(CU$4&amp;CU$5, LS_current!$D$2:$AY$2&amp;LS_current!$D$3:$AY$3, 0)),SUM(VLOOKUP($A46, LS_current!$B$4:$AY$138, LS_current!Z$148, FALSE), VLOOKUP($A46, LS_current!$B$4:$AY$138,LS_current!AX$148, FALSE))/2)</f>
        <v>0</v>
      </c>
      <c r="CV46" s="192">
        <f t="array" ref="CV46">IF($BT46=0, INDEX(LS_current!$D$4:$AY$138, MATCH('Staging Table'!$A46, LS_current!$B$4:$B$138, 0), MATCH(CV$4&amp;CV$5, LS_current!$D$2:$AY$2&amp;LS_current!$D$3:$AY$3, 0)),SUM(VLOOKUP($A46, LS_current!$B$4:$AY$138, LS_current!AA$148, FALSE), VLOOKUP($A46, LS_current!$B$4:$AY$138,LS_current!AY$148, FALSE))/2)</f>
        <v>0</v>
      </c>
      <c r="CW46" s="194">
        <f t="array" ref="CW46">INDEX(Demand_current!$D$4:$AY$138, MATCH($A46, Demand_current!$B$4:$B$138, 0), MATCH(CW$4&amp;CW$5,Demand_current!$D$2:$AY$2&amp;Demand_current!$D$3:$AY$3, 0))/1000</f>
        <v>0</v>
      </c>
      <c r="CX46" s="194">
        <f t="array" ref="CX46">INDEX(Demand_current!$D$4:$AY$138, MATCH($A46, Demand_current!$B$4:$B$138, 0), MATCH(CX$4&amp;CX$5,Demand_current!$D$2:$AY$2&amp;Demand_current!$D$3:$AY$3, 0))/1000</f>
        <v>0</v>
      </c>
      <c r="CY46" s="194">
        <f t="array" ref="CY46">INDEX(Demand_current!$D$4:$AY$138, MATCH($A46, Demand_current!$B$4:$B$138, 0), MATCH(CY$4&amp;CY$5,Demand_current!$D$2:$AY$2&amp;Demand_current!$D$3:$AY$3, 0))/1000</f>
        <v>0</v>
      </c>
      <c r="CZ46" s="194">
        <f t="array" ref="CZ46">INDEX(Demand_current!$D$4:$AY$138, MATCH($A46, Demand_current!$B$4:$B$138, 0), MATCH(CZ$4&amp;CZ$5,Demand_current!$D$2:$AY$2&amp;Demand_current!$D$3:$AY$3, 0))/1000</f>
        <v>0</v>
      </c>
      <c r="DA46" s="194">
        <f t="array" ref="DA46">INDEX(Demand_current!$D$4:$AY$138, MATCH($A46, Demand_current!$B$4:$B$138, 0), MATCH(DA$4&amp;DA$5,Demand_current!$D$2:$AY$2&amp;Demand_current!$D$3:$AY$3, 0))/1000</f>
        <v>0</v>
      </c>
      <c r="DB46" s="194">
        <f t="array" ref="DB46">INDEX(Demand_current!$D$4:$AY$138, MATCH($A46, Demand_current!$B$4:$B$138, 0), MATCH(DB$4&amp;DB$5,Demand_current!$D$2:$AY$2&amp;Demand_current!$D$3:$AY$3, 0))/1000</f>
        <v>0</v>
      </c>
      <c r="DC46" s="194">
        <f t="array" ref="DC46">INDEX(Demand_current!$D$4:$AY$138, MATCH($A46, Demand_current!$B$4:$B$138, 0), MATCH(DC$4&amp;DC$5,Demand_current!$D$2:$AY$2&amp;Demand_current!$D$3:$AY$3, 0))/1000</f>
        <v>0</v>
      </c>
      <c r="DD46" s="194">
        <f t="array" ref="DD46">INDEX(Demand_current!$D$4:$AY$138, MATCH($A46, Demand_current!$B$4:$B$138, 0), MATCH(DD$4&amp;DD$5,Demand_current!$D$2:$AY$2&amp;Demand_current!$D$3:$AY$3, 0))/1000</f>
        <v>0</v>
      </c>
      <c r="DE46" s="194">
        <f t="array" ref="DE46">INDEX(Demand_current!$D$4:$AY$138, MATCH($A46, Demand_current!$B$4:$B$138, 0), MATCH(DE$4&amp;DE$5,Demand_current!$D$2:$AY$2&amp;Demand_current!$D$3:$AY$3, 0))/1000</f>
        <v>0</v>
      </c>
      <c r="DF46" s="194">
        <f t="array" ref="DF46">INDEX(Demand_current!$D$4:$AY$138, MATCH($A46, Demand_current!$B$4:$B$138, 0), MATCH(DF$4&amp;DF$5,Demand_current!$D$2:$AY$2&amp;Demand_current!$D$3:$AY$3, 0))/1000</f>
        <v>0</v>
      </c>
      <c r="DG46" s="194">
        <f t="array" ref="DG46">INDEX(Demand_current!$D$4:$AY$138, MATCH($A46, Demand_current!$B$4:$B$138, 0), MATCH(DG$4&amp;DG$5,Demand_current!$D$2:$AY$2&amp;Demand_current!$D$3:$AY$3, 0))/1000</f>
        <v>0</v>
      </c>
      <c r="DH46" s="194">
        <f t="array" ref="DH46">INDEX(Demand_current!$D$4:$AY$138, MATCH($A46, Demand_current!$B$4:$B$138, 0), MATCH(DH$4&amp;DH$5,Demand_current!$D$2:$AY$2&amp;Demand_current!$D$3:$AY$3, 0))/1000</f>
        <v>0</v>
      </c>
      <c r="DI46" s="192">
        <f>$BS46*(VLOOKUP(DI$4, Rates_current!$G$6:$Q$29, 10, FALSE)+VLOOKUP(DI$4, Rates_current!$G$6:$Q$29, 11, FALSE))</f>
        <v>15398.640036368008</v>
      </c>
      <c r="DJ46" s="192">
        <f>$BS46*(VLOOKUP(DJ$4, Rates_current!$G$6:$Q$29, 10, FALSE)+VLOOKUP(DJ$4, Rates_current!$G$6:$Q$29, 11, FALSE))</f>
        <v>19495.237141146539</v>
      </c>
      <c r="DK46" s="192">
        <f>$BS46*(VLOOKUP(DK$4, Rates_current!$G$6:$Q$29, 10, FALSE)+VLOOKUP(DK$4, Rates_current!$G$6:$Q$29, 11, FALSE))</f>
        <v>19081.942340013939</v>
      </c>
      <c r="DL46" s="192">
        <f>$BS46*(VLOOKUP(DL$4, Rates_current!$G$6:$Q$29, 10, FALSE)+VLOOKUP(DL$4, Rates_current!$G$6:$Q$29, 11, FALSE))</f>
        <v>15760.872916270369</v>
      </c>
      <c r="DM46" s="192">
        <f>$BS46*(VLOOKUP(DM$4, Rates_current!$G$6:$Q$29, 10, FALSE)+VLOOKUP(DM$4, Rates_current!$G$6:$Q$29, 11, FALSE))</f>
        <v>13660.293988974017</v>
      </c>
      <c r="DN46" s="192">
        <f>$BS46*(VLOOKUP(DN$4, Rates_current!$G$6:$Q$29, 10, FALSE)+VLOOKUP(DN$4, Rates_current!$G$6:$Q$29, 11, FALSE))</f>
        <v>16307.632473354033</v>
      </c>
      <c r="DO46" s="192">
        <f>$BS46*(VLOOKUP(DO$4, Rates_current!$G$6:$Q$29, 10, FALSE)+VLOOKUP(DO$4, Rates_current!$G$6:$Q$29, 11, FALSE))</f>
        <v>12660.705598396657</v>
      </c>
      <c r="DP46" s="192">
        <f>$BS46*(VLOOKUP(DP$4, Rates_current!$G$6:$Q$29, 10, FALSE)+VLOOKUP(DP$4, Rates_current!$G$6:$Q$29, 11, FALSE))</f>
        <v>17541.500776510075</v>
      </c>
      <c r="DQ46" s="192">
        <f>$BS46*(VLOOKUP(DQ$4, Rates_current!$G$6:$Q$29, 10, FALSE)+VLOOKUP(DQ$4, Rates_current!$G$6:$Q$29, 11, FALSE))</f>
        <v>18743.460883839449</v>
      </c>
      <c r="DR46" s="192">
        <f>$BS46*(VLOOKUP(DR$4, Rates_current!$G$6:$Q$29, 10, FALSE)+VLOOKUP(DR$4, Rates_current!$G$6:$Q$29, 11, FALSE))</f>
        <v>17796.067375330989</v>
      </c>
      <c r="DS46" s="192">
        <f>$BS46*(VLOOKUP(DS$4, Rates_current!$G$6:$Q$29, 10, FALSE)+VLOOKUP(DS$4, Rates_current!$G$6:$Q$29, 11, FALSE))</f>
        <v>17198.526223091001</v>
      </c>
      <c r="DT46" s="192">
        <f>$BS46*(VLOOKUP(DT$4, Rates_current!$G$6:$Q$29, 10, FALSE)+VLOOKUP(DT$4, Rates_current!$G$6:$Q$29, 11, FALSE))</f>
        <v>15893.231105443187</v>
      </c>
      <c r="DU46" s="418">
        <f>IF(D46=0,IF(C46=0,MAX(0,DW46 - (VLOOKUP($A46,TOCA_current!$A$2:$AI$137,MATCH("RHWM 2022",TOCA_current!$A$2:$AI$2,0),FALSE)*$BS$2)), 0),0)</f>
        <v>0</v>
      </c>
      <c r="DV46" s="419">
        <f>MIN(VLOOKUP($A46,TOCA_current!$A$2:$AI$137,MATCH("TRL - NLSL - Existing Resource "&amp;$BS$1,TOCA_current!$A$2:$AI$2,0),FALSE)*$BS$2, VLOOKUP($A46,TOCA_current!$A$2:$AI$137,MATCH("RHWM 2022",TOCA_current!$A$2:$AI$2,0),FALSE)*$BS$2)</f>
        <v>199535.28</v>
      </c>
      <c r="DW46" s="419">
        <f>SUM(BY46:CV46)+(BS46*RT1SC!$C$4*$BS$2)</f>
        <v>199538.12106597604</v>
      </c>
      <c r="DX46" s="419">
        <f>VLOOKUP($A46,TOCA_current!$A$2:$AI$137,MATCH("Above RHWM Not Served with LS "&amp;$BS$1,TOCA_current!$A$2:$AI$2,0),FALSE)*$BS$2</f>
        <v>7962.84</v>
      </c>
      <c r="DY46" s="419">
        <f t="shared" si="13"/>
        <v>2.8410659760411363</v>
      </c>
      <c r="DZ46" s="419">
        <f>(VLOOKUP($A46,TOCA_current!$A$2:$AI$137,MATCH("RHWM 2022",TOCA_current!$A$2:$AI$2,0),FALSE)*$BS$2) - $DV46</f>
        <v>0</v>
      </c>
      <c r="EA46" s="419">
        <f t="shared" si="14"/>
        <v>0</v>
      </c>
      <c r="EB46" s="419">
        <f t="shared" si="15"/>
        <v>0</v>
      </c>
      <c r="EC46" s="419">
        <f t="shared" si="16"/>
        <v>0</v>
      </c>
      <c r="ED46" s="419">
        <f t="shared" si="17"/>
        <v>0</v>
      </c>
    </row>
    <row r="47" spans="1:134">
      <c r="A47" s="135">
        <v>10109</v>
      </c>
      <c r="B47" s="136" t="s">
        <v>48</v>
      </c>
      <c r="C47" s="244">
        <f>VLOOKUP(A47, TOCA_current!$A$3:$D$137, 4, FALSE)</f>
        <v>0</v>
      </c>
      <c r="D47" s="203">
        <v>0</v>
      </c>
      <c r="E47" s="119">
        <f>VLOOKUP($A47,TOCA_previous!$A$2:$AI$137,MATCH(E$4,TOCA_previous!$A$2:$AI$2,0),FALSE)</f>
        <v>1.7160000000000001E-3</v>
      </c>
      <c r="F47" s="120">
        <f>VLOOKUP($A47,TOCA_previous!$A$2:$AI$137,MATCH(F$4,TOCA_previous!$A$2:$AI$2,0),FALSE)</f>
        <v>1.7160000000000001E-3</v>
      </c>
      <c r="G47" s="120">
        <f t="shared" si="5"/>
        <v>0</v>
      </c>
      <c r="H47" s="120">
        <f>VLOOKUP($A47,TOCA_previous!$A$2:$AI$137,MATCH(H$4,TOCA_previous!$A$2:$AI$2,0),FALSE)</f>
        <v>7.9256678281068527E-2</v>
      </c>
      <c r="I47" s="120">
        <f t="shared" si="6"/>
        <v>0</v>
      </c>
      <c r="J47" s="120">
        <f t="shared" si="7"/>
        <v>0</v>
      </c>
      <c r="K47" s="191">
        <f>VLOOKUP(A47, IRD!$A$5:$C$139, 3, FALSE)</f>
        <v>21100.335000000003</v>
      </c>
      <c r="L47" s="192">
        <f t="array" ref="L47">IF($G47=0, INDEX(LS_previous!$D$4:$AY$138, MATCH('Staging Table'!$A47, LS_previous!$B$4:$B$138, 0), MATCH(L$4&amp;L$5, LS_previous!$D$2:$AY$2&amp;LS_previous!$D$3:$AY$3, 0)),SUM(VLOOKUP($A47, LS_previous!$B$4:$AY$138, LS_previous!D$149, FALSE), VLOOKUP('Staging Table'!$A47, LS_previous!$B$4:$AY$138,LS_previous!AB$149, FALSE))/2)</f>
        <v>-793.47320580799988</v>
      </c>
      <c r="M47" s="192">
        <f t="array" ref="M47">IF($G47=0, INDEX(LS_previous!$D$4:$AY$138, MATCH('Staging Table'!$A47, LS_previous!$B$4:$B$138, 0), MATCH(M$4&amp;M$5, LS_previous!$D$2:$AY$2&amp;LS_previous!$D$3:$AY$3, 0)),SUM(VLOOKUP($A47, LS_previous!$B$4:$AY$138, LS_previous!E$149, FALSE), VLOOKUP('Staging Table'!$A47, LS_previous!$B$4:$AY$138,LS_previous!AC$149, FALSE))/2)</f>
        <v>330.621897472</v>
      </c>
      <c r="N47" s="192">
        <f t="array" ref="N47">IF($G47=0, INDEX(LS_previous!$D$4:$AY$138, MATCH('Staging Table'!$A47, LS_previous!$B$4:$B$138, 0), MATCH(N$4&amp;N$5, LS_previous!$D$2:$AY$2&amp;LS_previous!$D$3:$AY$3, 0)),SUM(VLOOKUP($A47, LS_previous!$B$4:$AY$138, LS_previous!F$149, FALSE), VLOOKUP('Staging Table'!$A47, LS_previous!$B$4:$AY$138,LS_previous!AD$149, FALSE))/2)</f>
        <v>-2368.3816780479997</v>
      </c>
      <c r="O47" s="192">
        <f t="array" ref="O47">IF($G47=0, INDEX(LS_previous!$D$4:$AY$138, MATCH('Staging Table'!$A47, LS_previous!$B$4:$B$138, 0), MATCH(O$4&amp;O$5, LS_previous!$D$2:$AY$2&amp;LS_previous!$D$3:$AY$3, 0)),SUM(VLOOKUP($A47, LS_previous!$B$4:$AY$138, LS_previous!G$149, FALSE), VLOOKUP('Staging Table'!$A47, LS_previous!$B$4:$AY$138,LS_previous!AE$149, FALSE))/2)</f>
        <v>-894.11176007600034</v>
      </c>
      <c r="P47" s="192">
        <f t="array" ref="P47">IF($G47=0, INDEX(LS_previous!$D$4:$AY$138, MATCH('Staging Table'!$A47, LS_previous!$B$4:$B$138, 0), MATCH(P$4&amp;P$5, LS_previous!$D$2:$AY$2&amp;LS_previous!$D$3:$AY$3, 0)),SUM(VLOOKUP($A47, LS_previous!$B$4:$AY$138, LS_previous!H$149, FALSE), VLOOKUP('Staging Table'!$A47, LS_previous!$B$4:$AY$138,LS_previous!AF$149, FALSE))/2)</f>
        <v>-785.2326491520007</v>
      </c>
      <c r="Q47" s="192">
        <f t="array" ref="Q47">IF($G47=0, INDEX(LS_previous!$D$4:$AY$138, MATCH('Staging Table'!$A47, LS_previous!$B$4:$B$138, 0), MATCH(Q$4&amp;Q$5, LS_previous!$D$2:$AY$2&amp;LS_previous!$D$3:$AY$3, 0)),SUM(VLOOKUP($A47, LS_previous!$B$4:$AY$138, LS_previous!I$149, FALSE), VLOOKUP('Staging Table'!$A47, LS_previous!$B$4:$AY$138,LS_previous!AG$149, FALSE))/2)</f>
        <v>121.66371281599959</v>
      </c>
      <c r="R47" s="192">
        <f t="array" ref="R47">IF($G47=0, INDEX(LS_previous!$D$4:$AY$138, MATCH('Staging Table'!$A47, LS_previous!$B$4:$B$138, 0), MATCH(R$4&amp;R$5, LS_previous!$D$2:$AY$2&amp;LS_previous!$D$3:$AY$3, 0)),SUM(VLOOKUP($A47, LS_previous!$B$4:$AY$138, LS_previous!J$149, FALSE), VLOOKUP('Staging Table'!$A47, LS_previous!$B$4:$AY$138,LS_previous!AH$149, FALSE))/2)</f>
        <v>-259.90143315200112</v>
      </c>
      <c r="S47" s="192">
        <f t="array" ref="S47">IF($G47=0, INDEX(LS_previous!$D$4:$AY$138, MATCH('Staging Table'!$A47, LS_previous!$B$4:$B$138, 0), MATCH(S$4&amp;S$5, LS_previous!$D$2:$AY$2&amp;LS_previous!$D$3:$AY$3, 0)),SUM(VLOOKUP($A47, LS_previous!$B$4:$AY$138, LS_previous!K$149, FALSE), VLOOKUP('Staging Table'!$A47, LS_previous!$B$4:$AY$138,LS_previous!AI$149, FALSE))/2)</f>
        <v>716.80226481599993</v>
      </c>
      <c r="T47" s="192">
        <f t="array" ref="T47">IF($G47=0, INDEX(LS_previous!$D$4:$AY$138, MATCH('Staging Table'!$A47, LS_previous!$B$4:$B$138, 0), MATCH(T$4&amp;T$5, LS_previous!$D$2:$AY$2&amp;LS_previous!$D$3:$AY$3, 0)),SUM(VLOOKUP($A47, LS_previous!$B$4:$AY$138, LS_previous!L$149, FALSE), VLOOKUP('Staging Table'!$A47, LS_previous!$B$4:$AY$138,LS_previous!AJ$149, FALSE))/2)</f>
        <v>-800.81366478400059</v>
      </c>
      <c r="U47" s="192">
        <f t="array" ref="U47">IF($G47=0, INDEX(LS_previous!$D$4:$AY$138, MATCH('Staging Table'!$A47, LS_previous!$B$4:$B$138, 0), MATCH(U$4&amp;U$5, LS_previous!$D$2:$AY$2&amp;LS_previous!$D$3:$AY$3, 0)),SUM(VLOOKUP($A47, LS_previous!$B$4:$AY$138, LS_previous!M$149, FALSE), VLOOKUP('Staging Table'!$A47, LS_previous!$B$4:$AY$138,LS_previous!AK$149, FALSE))/2)</f>
        <v>-156.22876401600024</v>
      </c>
      <c r="V47" s="192">
        <f t="array" ref="V47">IF($G47=0, INDEX(LS_previous!$D$4:$AY$138, MATCH('Staging Table'!$A47, LS_previous!$B$4:$B$138, 0), MATCH(V$4&amp;V$5, LS_previous!$D$2:$AY$2&amp;LS_previous!$D$3:$AY$3, 0)),SUM(VLOOKUP($A47, LS_previous!$B$4:$AY$138, LS_previous!N$149, FALSE), VLOOKUP('Staging Table'!$A47, LS_previous!$B$4:$AY$138,LS_previous!AL$149, FALSE))/2)</f>
        <v>-701.69698825600062</v>
      </c>
      <c r="W47" s="192">
        <f t="array" ref="W47">IF($G47=0, INDEX(LS_previous!$D$4:$AY$138, MATCH('Staging Table'!$A47, LS_previous!$B$4:$B$138, 0), MATCH(W$4&amp;W$5, LS_previous!$D$2:$AY$2&amp;LS_previous!$D$3:$AY$3, 0)),SUM(VLOOKUP($A47, LS_previous!$B$4:$AY$138, LS_previous!O$149, FALSE), VLOOKUP('Staging Table'!$A47, LS_previous!$B$4:$AY$138,LS_previous!AM$149, FALSE))/2)</f>
        <v>-35.21831963600016</v>
      </c>
      <c r="X47" s="192">
        <f t="array" ref="X47">IF($G47=0, INDEX(LS_previous!$D$4:$AY$138, MATCH('Staging Table'!$A47, LS_previous!$B$4:$B$138, 0), MATCH(X$4&amp;X$5, LS_previous!$D$2:$AY$2&amp;LS_previous!$D$3:$AY$3, 0)),SUM(VLOOKUP($A47, LS_previous!$B$4:$AY$138, LS_previous!P$149, FALSE), VLOOKUP('Staging Table'!$A47, LS_previous!$B$4:$AY$138,LS_previous!AN$149, FALSE))/2)</f>
        <v>1150.9045792959996</v>
      </c>
      <c r="Y47" s="192">
        <f t="array" ref="Y47">IF($G47=0, INDEX(LS_previous!$D$4:$AY$138, MATCH('Staging Table'!$A47, LS_previous!$B$4:$B$138, 0), MATCH(Y$4&amp;Y$5, LS_previous!$D$2:$AY$2&amp;LS_previous!$D$3:$AY$3, 0)),SUM(VLOOKUP($A47, LS_previous!$B$4:$AY$138, LS_previous!Q$149, FALSE), VLOOKUP('Staging Table'!$A47, LS_previous!$B$4:$AY$138,LS_previous!AO$149, FALSE))/2)</f>
        <v>1034.6135490239999</v>
      </c>
      <c r="Z47" s="192">
        <f t="array" ref="Z47">IF($G47=0, INDEX(LS_previous!$D$4:$AY$138, MATCH('Staging Table'!$A47, LS_previous!$B$4:$B$138, 0), MATCH(Z$4&amp;Z$5, LS_previous!$D$2:$AY$2&amp;LS_previous!$D$3:$AY$3, 0)),SUM(VLOOKUP($A47, LS_previous!$B$4:$AY$138, LS_previous!R$149, FALSE), VLOOKUP('Staging Table'!$A47, LS_previous!$B$4:$AY$138,LS_previous!AP$149, FALSE))/2)</f>
        <v>22.586536399999204</v>
      </c>
      <c r="AA47" s="192">
        <f t="array" ref="AA47">IF($G47=0, INDEX(LS_previous!$D$4:$AY$138, MATCH('Staging Table'!$A47, LS_previous!$B$4:$B$138, 0), MATCH(AA$4&amp;AA$5, LS_previous!$D$2:$AY$2&amp;LS_previous!$D$3:$AY$3, 0)),SUM(VLOOKUP($A47, LS_previous!$B$4:$AY$138, LS_previous!S$149, FALSE), VLOOKUP('Staging Table'!$A47, LS_previous!$B$4:$AY$138,LS_previous!AQ$149, FALSE))/2)</f>
        <v>1437.635017264</v>
      </c>
      <c r="AB47" s="192">
        <f t="array" ref="AB47">IF($G47=0, INDEX(LS_previous!$D$4:$AY$138, MATCH('Staging Table'!$A47, LS_previous!$B$4:$B$138, 0), MATCH(AB$4&amp;AB$5, LS_previous!$D$2:$AY$2&amp;LS_previous!$D$3:$AY$3, 0)),SUM(VLOOKUP($A47, LS_previous!$B$4:$AY$138, LS_previous!T$149, FALSE), VLOOKUP('Staging Table'!$A47, LS_previous!$B$4:$AY$138,LS_previous!AR$149, FALSE))/2)</f>
        <v>-606.11474670400094</v>
      </c>
      <c r="AC47" s="192">
        <f t="array" ref="AC47">IF($G47=0, INDEX(LS_previous!$D$4:$AY$138, MATCH('Staging Table'!$A47, LS_previous!$B$4:$B$138, 0), MATCH(AC$4&amp;AC$5, LS_previous!$D$2:$AY$2&amp;LS_previous!$D$3:$AY$3, 0)),SUM(VLOOKUP($A47, LS_previous!$B$4:$AY$138, LS_previous!U$149, FALSE), VLOOKUP('Staging Table'!$A47, LS_previous!$B$4:$AY$138,LS_previous!AS$149, FALSE))/2)</f>
        <v>498.34977302399966</v>
      </c>
      <c r="AD47" s="192">
        <f t="array" ref="AD47">IF($G47=0, INDEX(LS_previous!$D$4:$AY$138, MATCH('Staging Table'!$A47, LS_previous!$B$4:$B$138, 0), MATCH(AD$4&amp;AD$5, LS_previous!$D$2:$AY$2&amp;LS_previous!$D$3:$AY$3, 0)),SUM(VLOOKUP($A47, LS_previous!$B$4:$AY$138, LS_previous!V$149, FALSE), VLOOKUP('Staging Table'!$A47, LS_previous!$B$4:$AY$138,LS_previous!AT$149, FALSE))/2)</f>
        <v>6.9374732959995526</v>
      </c>
      <c r="AE47" s="192">
        <f t="array" ref="AE47">IF($G47=0, INDEX(LS_previous!$D$4:$AY$138, MATCH('Staging Table'!$A47, LS_previous!$B$4:$B$138, 0), MATCH(AE$4&amp;AE$5, LS_previous!$D$2:$AY$2&amp;LS_previous!$D$3:$AY$3, 0)),SUM(VLOOKUP($A47, LS_previous!$B$4:$AY$138, LS_previous!W$149, FALSE), VLOOKUP('Staging Table'!$A47, LS_previous!$B$4:$AY$138,LS_previous!AU$149, FALSE))/2)</f>
        <v>1894.7173943679995</v>
      </c>
      <c r="AF47" s="192">
        <f t="array" ref="AF47">IF($G47=0, INDEX(LS_previous!$D$4:$AY$138, MATCH('Staging Table'!$A47, LS_previous!$B$4:$B$138, 0), MATCH(AF$4&amp;AF$5, LS_previous!$D$2:$AY$2&amp;LS_previous!$D$3:$AY$3, 0)),SUM(VLOOKUP($A47, LS_previous!$B$4:$AY$138, LS_previous!X$149, FALSE), VLOOKUP('Staging Table'!$A47, LS_previous!$B$4:$AY$138,LS_previous!AV$149, FALSE))/2)</f>
        <v>671.98113129599915</v>
      </c>
      <c r="AG47" s="192">
        <f t="array" ref="AG47">IF($G47=0, INDEX(LS_previous!$D$4:$AY$138, MATCH('Staging Table'!$A47, LS_previous!$B$4:$B$138, 0), MATCH(AG$4&amp;AG$5, LS_previous!$D$2:$AY$2&amp;LS_previous!$D$3:$AY$3, 0)),SUM(VLOOKUP($A47, LS_previous!$B$4:$AY$138, LS_previous!Y$149, FALSE), VLOOKUP('Staging Table'!$A47, LS_previous!$B$4:$AY$138,LS_previous!AW$149, FALSE))/2)</f>
        <v>1346.5847143679994</v>
      </c>
      <c r="AH47" s="192">
        <f t="array" ref="AH47">IF($G47=0, INDEX(LS_previous!$D$4:$AY$138, MATCH('Staging Table'!$A47, LS_previous!$B$4:$B$138, 0), MATCH(AH$4&amp;AH$5, LS_previous!$D$2:$AY$2&amp;LS_previous!$D$3:$AY$3, 0)),SUM(VLOOKUP($A47, LS_previous!$B$4:$AY$138, LS_previous!Z$149, FALSE), VLOOKUP('Staging Table'!$A47, LS_previous!$B$4:$AY$138,LS_previous!AX$149, FALSE))/2)</f>
        <v>42.748310399998445</v>
      </c>
      <c r="AI47" s="192">
        <f t="array" ref="AI47">IF($G47=0, INDEX(LS_previous!$D$4:$AY$138, MATCH('Staging Table'!$A47, LS_previous!$B$4:$B$138, 0), MATCH(AI$4&amp;AI$5, LS_previous!$D$2:$AY$2&amp;LS_previous!$D$3:$AY$3, 0)),SUM(VLOOKUP($A47, LS_previous!$B$4:$AY$138, LS_previous!AA$149, FALSE), VLOOKUP('Staging Table'!$A47, LS_previous!$B$4:$AY$138,LS_previous!AY$149, FALSE))/2)</f>
        <v>826.67602192000004</v>
      </c>
      <c r="AJ47" s="314">
        <f t="array" ref="AJ47">INDEX(Demand_previous!$D$4:$AY$138, MATCH('Staging Table'!$A47, Demand_previous!$B$4:$B$138, 0), MATCH(AJ$4&amp;AJ$5,Demand_previous!$D$2:$AY$2&amp;Demand_previous!$D$3:$AY$3, 0))/1000</f>
        <v>6.2250671296296298</v>
      </c>
      <c r="AK47" s="314">
        <f t="array" ref="AK47">INDEX(Demand_previous!$D$4:$AY$138, MATCH('Staging Table'!$A47, Demand_previous!$B$4:$B$138, 0), MATCH(AK$4&amp;AK$5,Demand_previous!$D$2:$AY$2&amp;Demand_previous!$D$3:$AY$3, 0))/1000</f>
        <v>3.0710474999999997</v>
      </c>
      <c r="AL47" s="314">
        <f t="array" ref="AL47">INDEX(Demand_previous!$D$4:$AY$138, MATCH('Staging Table'!$A47, Demand_previous!$B$4:$B$138, 0), MATCH(AL$4&amp;AL$5,Demand_previous!$D$2:$AY$2&amp;Demand_previous!$D$3:$AY$3, 0))/1000</f>
        <v>3.805702499999998</v>
      </c>
      <c r="AM47" s="314">
        <f t="array" ref="AM47">INDEX(Demand_previous!$D$4:$AY$138, MATCH('Staging Table'!$A47, Demand_previous!$B$4:$B$138, 0), MATCH(AM$4&amp;AM$5,Demand_previous!$D$2:$AY$2&amp;Demand_previous!$D$3:$AY$3, 0))/1000</f>
        <v>6.8759927884615379</v>
      </c>
      <c r="AN47" s="314">
        <f t="array" ref="AN47">INDEX(Demand_previous!$D$4:$AY$138, MATCH('Staging Table'!$A47, Demand_previous!$B$4:$B$138, 0), MATCH(AN$4&amp;AN$5,Demand_previous!$D$2:$AY$2&amp;Demand_previous!$D$3:$AY$3, 0))/1000</f>
        <v>5.4410724999999989</v>
      </c>
      <c r="AO47" s="314">
        <f t="array" ref="AO47">INDEX(Demand_previous!$D$4:$AY$138, MATCH('Staging Table'!$A47, Demand_previous!$B$4:$B$138, 0), MATCH(AO$4&amp;AO$5,Demand_previous!$D$2:$AY$2&amp;Demand_previous!$D$3:$AY$3, 0))/1000</f>
        <v>5.0875721153846163</v>
      </c>
      <c r="AP47" s="314">
        <f t="array" ref="AP47">INDEX(Demand_previous!$D$4:$AY$138, MATCH('Staging Table'!$A47, Demand_previous!$B$4:$B$138, 0), MATCH(AP$4&amp;AP$5,Demand_previous!$D$2:$AY$2&amp;Demand_previous!$D$3:$AY$3, 0))/1000</f>
        <v>5.2103653846153843</v>
      </c>
      <c r="AQ47" s="314">
        <f t="array" ref="AQ47">INDEX(Demand_previous!$D$4:$AY$138, MATCH('Staging Table'!$A47, Demand_previous!$B$4:$B$138, 0), MATCH(AQ$4&amp;AQ$5,Demand_previous!$D$2:$AY$2&amp;Demand_previous!$D$3:$AY$3, 0))/1000</f>
        <v>3.1074400000000018</v>
      </c>
      <c r="AR47" s="314">
        <f t="array" ref="AR47">INDEX(Demand_previous!$D$4:$AY$138, MATCH('Staging Table'!$A47, Demand_previous!$B$4:$B$138, 0), MATCH(AR$4&amp;AR$5,Demand_previous!$D$2:$AY$2&amp;Demand_previous!$D$3:$AY$3, 0))/1000</f>
        <v>3.5683725961538482</v>
      </c>
      <c r="AS47" s="314">
        <f t="array" ref="AS47">INDEX(Demand_previous!$D$4:$AY$138, MATCH('Staging Table'!$A47, Demand_previous!$B$4:$B$138, 0), MATCH(AS$4&amp;AS$5,Demand_previous!$D$2:$AY$2&amp;Demand_previous!$D$3:$AY$3, 0))/1000</f>
        <v>5.2710312500000027</v>
      </c>
      <c r="AT47" s="314">
        <f t="array" ref="AT47">INDEX(Demand_previous!$D$4:$AY$138, MATCH('Staging Table'!$A47, Demand_previous!$B$4:$B$138, 0), MATCH(AT$4&amp;AT$5,Demand_previous!$D$2:$AY$2&amp;Demand_previous!$D$3:$AY$3, 0))/1000</f>
        <v>3.7446394230769231</v>
      </c>
      <c r="AU47" s="314">
        <f t="array" ref="AU47">INDEX(Demand_previous!$D$4:$AY$138, MATCH('Staging Table'!$A47, Demand_previous!$B$4:$B$138, 0), MATCH(AU$4&amp;AU$5,Demand_previous!$D$2:$AY$2&amp;Demand_previous!$D$3:$AY$3, 0))/1000</f>
        <v>4.8545050000000014</v>
      </c>
      <c r="AV47" s="192">
        <f>$F47*(VLOOKUP(AV$4, Rates_previous!$G$6:$Q$29, 10, FALSE)+VLOOKUP(AV$4, Rates_previous!$G$6:$Q$29, 11, FALSE))</f>
        <v>7923.3163083359996</v>
      </c>
      <c r="AW47" s="192">
        <f>$F47*(VLOOKUP(AW$4, Rates_previous!$G$6:$Q$29, 10, FALSE)+VLOOKUP(AW$4, Rates_previous!$G$6:$Q$29, 11, FALSE))</f>
        <v>10065.083438124</v>
      </c>
      <c r="AX47" s="192">
        <f>$F47*(VLOOKUP(AX$4, Rates_previous!$G$6:$Q$29, 10, FALSE)+VLOOKUP(AX$4, Rates_previous!$G$6:$Q$29, 11, FALSE))</f>
        <v>9943.5339363360017</v>
      </c>
      <c r="AY47" s="192">
        <f>$F47*(VLOOKUP(AY$4, Rates_previous!$G$6:$Q$29, 10, FALSE)+VLOOKUP(AY$4, Rates_previous!$G$6:$Q$29, 11, FALSE))</f>
        <v>8288.5411683360016</v>
      </c>
      <c r="AZ47" s="192">
        <f>$F47*(VLOOKUP(AZ$4, Rates_previous!$G$6:$Q$29, 10, FALSE)+VLOOKUP(AZ$4, Rates_previous!$G$6:$Q$29, 11, FALSE))</f>
        <v>7508.5584288</v>
      </c>
      <c r="BA47" s="192">
        <f>$F47*(VLOOKUP(BA$4, Rates_previous!$G$6:$Q$29, 10, FALSE)+VLOOKUP(BA$4, Rates_previous!$G$6:$Q$29, 11, FALSE))</f>
        <v>8351.902307892</v>
      </c>
      <c r="BB47" s="192">
        <f>$F47*(VLOOKUP(BB$4, Rates_previous!$G$6:$Q$29, 10, FALSE)+VLOOKUP(BB$4, Rates_previous!$G$6:$Q$29, 11, FALSE))</f>
        <v>6800.1278716800007</v>
      </c>
      <c r="BC47" s="192">
        <f>$F47*(VLOOKUP(BC$4, Rates_previous!$G$6:$Q$29, 10, FALSE)+VLOOKUP(BC$4, Rates_previous!$G$6:$Q$29, 11, FALSE))</f>
        <v>9170.9864463360009</v>
      </c>
      <c r="BD47" s="192">
        <f>$F47*(VLOOKUP(BD$4, Rates_previous!$G$6:$Q$29, 10, FALSE)+VLOOKUP(BD$4, Rates_previous!$G$6:$Q$29, 11, FALSE))</f>
        <v>11701.554973680002</v>
      </c>
      <c r="BE47" s="192">
        <f>$F47*(VLOOKUP(BE$4, Rates_previous!$G$6:$Q$29, 10, FALSE)+VLOOKUP(BE$4, Rates_previous!$G$6:$Q$29, 11, FALSE))</f>
        <v>9174.3901323360005</v>
      </c>
      <c r="BF47" s="192">
        <f>$F47*(VLOOKUP(BF$4, Rates_previous!$G$6:$Q$29, 10, FALSE)+VLOOKUP(BF$4, Rates_previous!$G$6:$Q$29, 11, FALSE))</f>
        <v>8934.0291543360017</v>
      </c>
      <c r="BG47" s="192">
        <f>$F47*(VLOOKUP(BG$4, Rates_previous!$G$6:$Q$29, 10, FALSE)+VLOOKUP(BG$4, Rates_previous!$G$6:$Q$29, 11, FALSE))</f>
        <v>8020.8576676800012</v>
      </c>
      <c r="BH47" s="314">
        <f>IF($D47=0,IF(C47=0, MAX(BJ47 - (VLOOKUP($A47,TOCA_previous!$A$2:$AI$137,MATCH("RHWM 2020",TOCA_previous!$A$2:$AI$2,0),FALSE)*$F$2*TOCA_previous!C44),0),0), 0)</f>
        <v>2702.1989742559817</v>
      </c>
      <c r="BI47" s="204">
        <f>MIN(VLOOKUP($A47,TOCA_previous!$A$2:$AI$137,MATCH("TRL - NLSL - Existing Resource "&amp;$F$1,TOCA_previous!$A$2:$AI$2,0),FALSE)*$F$2,(VLOOKUP($A47,TOCA_previous!$A$2:$AI$137,MATCH("RHWM 2020",TOCA_previous!$A$2:$AI$2,0),FALSE)*$F$2))</f>
        <v>105882.336</v>
      </c>
      <c r="BJ47" s="418">
        <f>SUM(L47:AI47)+(F47*RT1SC!$C$3*$F$2)</f>
        <v>108584.53497425598</v>
      </c>
      <c r="BK47" s="417">
        <f>VLOOKUP($A47,TOCA_previous!$A$2:$AI$137,MATCH("Above RHWM Not Served with LS "&amp;$F$1,TOCA_previous!$A$2:$AI$2,0),FALSE)*$F$2</f>
        <v>14001.696</v>
      </c>
      <c r="BL47" s="418">
        <f t="shared" si="8"/>
        <v>2702.1989742559817</v>
      </c>
      <c r="BM47" s="417">
        <f>(VLOOKUP($A47,TOCA_previous!$A$2:$AI$137,MATCH("RHWM 2020",TOCA_previous!$A$2:$AI$2,0),FALSE)*$F$2) - $BI47</f>
        <v>0</v>
      </c>
      <c r="BN47" s="418">
        <f t="shared" si="9"/>
        <v>0</v>
      </c>
      <c r="BO47" s="417">
        <f t="shared" si="10"/>
        <v>0</v>
      </c>
      <c r="BP47" s="418">
        <f t="shared" si="11"/>
        <v>0</v>
      </c>
      <c r="BQ47" s="417">
        <f t="shared" si="18"/>
        <v>0</v>
      </c>
      <c r="BR47" s="120">
        <f>VLOOKUP($A47,TOCA_current!$A$2:$AI$137,MATCH(BR$4,TOCA_current!$A$2:$AI$2,0),FALSE)</f>
        <v>1.7160999999999999E-3</v>
      </c>
      <c r="BS47" s="120">
        <f>VLOOKUP($A47,TOCA_current!$A$2:$AI$137,MATCH(BS$4,TOCA_current!$A$2:$AI$2,0),FALSE)</f>
        <v>1.7160999999999999E-3</v>
      </c>
      <c r="BT47" s="201">
        <f t="shared" si="12"/>
        <v>0</v>
      </c>
      <c r="BU47" s="120">
        <f>VLOOKUP($A47,TOCA_current!A43:BG178,MATCH(BU$4,TOCA_current!$A$2:$BG$2,0),FALSE)</f>
        <v>8.2522491349480975E-2</v>
      </c>
      <c r="BV47" s="120">
        <f t="shared" si="19"/>
        <v>0</v>
      </c>
      <c r="BW47" s="120">
        <f t="shared" si="20"/>
        <v>0</v>
      </c>
      <c r="BX47" s="191">
        <f>VLOOKUP($A47,IRD!$A$4:$G$139, 7, FALSE)</f>
        <v>21100.335000000003</v>
      </c>
      <c r="BY47" s="192">
        <f t="array" ref="BY47">IF($BT47=0, INDEX(LS_current!$D$4:$AY$138, MATCH('Staging Table'!$A47, LS_current!$B$4:$B$138, 0), MATCH(BY$4&amp;BY$5, LS_current!$D$2:$AY$2&amp;LS_current!$D$3:$AY$3, 0)),SUM(VLOOKUP($A47, LS_current!$B$4:$AY$138, LS_current!D$148, FALSE), VLOOKUP($A47, LS_current!$B$4:$AY$138,LS_current!AB$148, FALSE))/2)</f>
        <v>-813.96517296937054</v>
      </c>
      <c r="BZ47" s="192">
        <f t="array" ref="BZ47">IF($BT47=0, INDEX(LS_current!$D$4:$AY$138, MATCH('Staging Table'!$A47, LS_current!$B$4:$B$138, 0), MATCH(BZ$4&amp;BZ$5, LS_current!$D$2:$AY$2&amp;LS_current!$D$3:$AY$3, 0)),SUM(VLOOKUP($A47, LS_current!$B$4:$AY$138, LS_current!E$148, FALSE), VLOOKUP($A47, LS_current!$B$4:$AY$138,LS_current!AC$148, FALSE))/2)</f>
        <v>106.78447449798705</v>
      </c>
      <c r="CA47" s="192">
        <f t="array" ref="CA47">IF($BT47=0, INDEX(LS_current!$D$4:$AY$138, MATCH('Staging Table'!$A47, LS_current!$B$4:$B$138, 0), MATCH(CA$4&amp;CA$5, LS_current!$D$2:$AY$2&amp;LS_current!$D$3:$AY$3, 0)),SUM(VLOOKUP($A47, LS_current!$B$4:$AY$138, LS_current!F$148, FALSE), VLOOKUP($A47, LS_current!$B$4:$AY$138,LS_current!AD$148, FALSE))/2)</f>
        <v>-2319.0867071902931</v>
      </c>
      <c r="CB47" s="192">
        <f t="array" ref="CB47">IF($BT47=0, INDEX(LS_current!$D$4:$AY$138, MATCH('Staging Table'!$A47, LS_current!$B$4:$B$138, 0), MATCH(CB$4&amp;CB$5, LS_current!$D$2:$AY$2&amp;LS_current!$D$3:$AY$3, 0)),SUM(VLOOKUP($A47, LS_current!$B$4:$AY$138, LS_current!G$148, FALSE), VLOOKUP($A47, LS_current!$B$4:$AY$138,LS_current!AE$148, FALSE))/2)</f>
        <v>-1114.137876568378</v>
      </c>
      <c r="CC47" s="192">
        <f t="array" ref="CC47">IF($BT47=0, INDEX(LS_current!$D$4:$AY$138, MATCH('Staging Table'!$A47, LS_current!$B$4:$B$138, 0), MATCH(CC$4&amp;CC$5, LS_current!$D$2:$AY$2&amp;LS_current!$D$3:$AY$3, 0)),SUM(VLOOKUP($A47, LS_current!$B$4:$AY$138, LS_current!H$148, FALSE), VLOOKUP($A47, LS_current!$B$4:$AY$138,LS_current!AF$148, FALSE))/2)</f>
        <v>-365.45700169787233</v>
      </c>
      <c r="CD47" s="192">
        <f t="array" ref="CD47">IF($BT47=0, INDEX(LS_current!$D$4:$AY$138, MATCH('Staging Table'!$A47, LS_current!$B$4:$B$138, 0), MATCH(CD$4&amp;CD$5, LS_current!$D$2:$AY$2&amp;LS_current!$D$3:$AY$3, 0)),SUM(VLOOKUP($A47, LS_current!$B$4:$AY$138, LS_current!I$148, FALSE), VLOOKUP($A47, LS_current!$B$4:$AY$138,LS_current!AG$148, FALSE))/2)</f>
        <v>-391.54264256128226</v>
      </c>
      <c r="CE47" s="192">
        <f t="array" ref="CE47">IF($BT47=0, INDEX(LS_current!$D$4:$AY$138, MATCH('Staging Table'!$A47, LS_current!$B$4:$B$138, 0), MATCH(CE$4&amp;CE$5, LS_current!$D$2:$AY$2&amp;LS_current!$D$3:$AY$3, 0)),SUM(VLOOKUP($A47, LS_current!$B$4:$AY$138, LS_current!J$148, FALSE), VLOOKUP($A47, LS_current!$B$4:$AY$138,LS_current!AH$148, FALSE))/2)</f>
        <v>234.68303357999048</v>
      </c>
      <c r="CF47" s="192">
        <f t="array" ref="CF47">IF($BT47=0, INDEX(LS_current!$D$4:$AY$138, MATCH('Staging Table'!$A47, LS_current!$B$4:$B$138, 0), MATCH(CF$4&amp;CF$5, LS_current!$D$2:$AY$2&amp;LS_current!$D$3:$AY$3, 0)),SUM(VLOOKUP($A47, LS_current!$B$4:$AY$138, LS_current!K$148, FALSE), VLOOKUP($A47, LS_current!$B$4:$AY$138,LS_current!AI$148, FALSE))/2)</f>
        <v>159.27584995594771</v>
      </c>
      <c r="CG47" s="192">
        <f t="array" ref="CG47">IF($BT47=0, INDEX(LS_current!$D$4:$AY$138, MATCH('Staging Table'!$A47, LS_current!$B$4:$B$138, 0), MATCH(CG$4&amp;CG$5, LS_current!$D$2:$AY$2&amp;LS_current!$D$3:$AY$3, 0)),SUM(VLOOKUP($A47, LS_current!$B$4:$AY$138, LS_current!L$148, FALSE), VLOOKUP($A47, LS_current!$B$4:$AY$138,LS_current!AJ$148, FALSE))/2)</f>
        <v>-247.29591778587383</v>
      </c>
      <c r="CH47" s="192">
        <f t="array" ref="CH47">IF($BT47=0, INDEX(LS_current!$D$4:$AY$138, MATCH('Staging Table'!$A47, LS_current!$B$4:$B$138, 0), MATCH(CH$4&amp;CH$5, LS_current!$D$2:$AY$2&amp;LS_current!$D$3:$AY$3, 0)),SUM(VLOOKUP($A47, LS_current!$B$4:$AY$138, LS_current!M$148, FALSE), VLOOKUP($A47, LS_current!$B$4:$AY$138,LS_current!AK$148, FALSE))/2)</f>
        <v>-414.21885505327828</v>
      </c>
      <c r="CI47" s="192">
        <f t="array" ref="CI47">IF($BT47=0, INDEX(LS_current!$D$4:$AY$138, MATCH('Staging Table'!$A47, LS_current!$B$4:$B$138, 0), MATCH(CI$4&amp;CI$5, LS_current!$D$2:$AY$2&amp;LS_current!$D$3:$AY$3, 0)),SUM(VLOOKUP($A47, LS_current!$B$4:$AY$138, LS_current!N$148, FALSE), VLOOKUP($A47, LS_current!$B$4:$AY$138,LS_current!AL$148, FALSE))/2)</f>
        <v>-704.45833917566506</v>
      </c>
      <c r="CJ47" s="192">
        <f t="array" ref="CJ47">IF($BT47=0, INDEX(LS_current!$D$4:$AY$138, MATCH('Staging Table'!$A47, LS_current!$B$4:$B$138, 0), MATCH(CJ$4&amp;CJ$5, LS_current!$D$2:$AY$2&amp;LS_current!$D$3:$AY$3, 0)),SUM(VLOOKUP($A47, LS_current!$B$4:$AY$138, LS_current!O$148, FALSE), VLOOKUP($A47, LS_current!$B$4:$AY$138,LS_current!AM$148, FALSE))/2)</f>
        <v>-309.05063950856402</v>
      </c>
      <c r="CK47" s="192">
        <f t="array" ref="CK47">IF($BT47=0, INDEX(LS_current!$D$4:$AY$138, MATCH('Staging Table'!$A47, LS_current!$B$4:$B$138, 0), MATCH(CK$4&amp;CK$5, LS_current!$D$2:$AY$2&amp;LS_current!$D$3:$AY$3, 0)),SUM(VLOOKUP($A47, LS_current!$B$4:$AY$138, LS_current!P$148, FALSE), VLOOKUP($A47, LS_current!$B$4:$AY$138,LS_current!AN$148, FALSE))/2)</f>
        <v>1273.1310752470149</v>
      </c>
      <c r="CL47" s="192">
        <f t="array" ref="CL47">IF($BT47=0, INDEX(LS_current!$D$4:$AY$138, MATCH('Staging Table'!$A47, LS_current!$B$4:$B$138, 0), MATCH(CL$4&amp;CL$5, LS_current!$D$2:$AY$2&amp;LS_current!$D$3:$AY$3, 0)),SUM(VLOOKUP($A47, LS_current!$B$4:$AY$138, LS_current!Q$148, FALSE), VLOOKUP($A47, LS_current!$B$4:$AY$138,LS_current!AO$148, FALSE))/2)</f>
        <v>945.77893687562573</v>
      </c>
      <c r="CM47" s="192">
        <f t="array" ref="CM47">IF($BT47=0, INDEX(LS_current!$D$4:$AY$138, MATCH('Staging Table'!$A47, LS_current!$B$4:$B$138, 0), MATCH(CM$4&amp;CM$5, LS_current!$D$2:$AY$2&amp;LS_current!$D$3:$AY$3, 0)),SUM(VLOOKUP($A47, LS_current!$B$4:$AY$138, LS_current!R$148, FALSE), VLOOKUP($A47, LS_current!$B$4:$AY$138,LS_current!AP$148, FALSE))/2)</f>
        <v>-214.76337177363439</v>
      </c>
      <c r="CN47" s="192">
        <f t="array" ref="CN47">IF($BT47=0, INDEX(LS_current!$D$4:$AY$138, MATCH('Staging Table'!$A47, LS_current!$B$4:$B$138, 0), MATCH(CN$4&amp;CN$5, LS_current!$D$2:$AY$2&amp;LS_current!$D$3:$AY$3, 0)),SUM(VLOOKUP($A47, LS_current!$B$4:$AY$138, LS_current!S$148, FALSE), VLOOKUP($A47, LS_current!$B$4:$AY$138,LS_current!AQ$148, FALSE))/2)</f>
        <v>1590.7988157409459</v>
      </c>
      <c r="CO47" s="192">
        <f t="array" ref="CO47">IF($BT47=0, INDEX(LS_current!$D$4:$AY$138, MATCH('Staging Table'!$A47, LS_current!$B$4:$B$138, 0), MATCH(CO$4&amp;CO$5, LS_current!$D$2:$AY$2&amp;LS_current!$D$3:$AY$3, 0)),SUM(VLOOKUP($A47, LS_current!$B$4:$AY$138, LS_current!T$148, FALSE), VLOOKUP($A47, LS_current!$B$4:$AY$138,LS_current!AR$148, FALSE))/2)</f>
        <v>7.4168281362717607</v>
      </c>
      <c r="CP47" s="192">
        <f t="array" ref="CP47">IF($BT47=0, INDEX(LS_current!$D$4:$AY$138, MATCH('Staging Table'!$A47, LS_current!$B$4:$B$138, 0), MATCH(CP$4&amp;CP$5, LS_current!$D$2:$AY$2&amp;LS_current!$D$3:$AY$3, 0)),SUM(VLOOKUP($A47, LS_current!$B$4:$AY$138, LS_current!U$148, FALSE), VLOOKUP($A47, LS_current!$B$4:$AY$138,LS_current!AS$148, FALSE))/2)</f>
        <v>1732.5678206018611</v>
      </c>
      <c r="CQ47" s="192">
        <f t="array" ref="CQ47">IF($BT47=0, INDEX(LS_current!$D$4:$AY$138, MATCH('Staging Table'!$A47, LS_current!$B$4:$B$138, 0), MATCH(CQ$4&amp;CQ$5, LS_current!$D$2:$AY$2&amp;LS_current!$D$3:$AY$3, 0)),SUM(VLOOKUP($A47, LS_current!$B$4:$AY$138, LS_current!V$148, FALSE), VLOOKUP($A47, LS_current!$B$4:$AY$138,LS_current!AT$148, FALSE))/2)</f>
        <v>142.74620996742215</v>
      </c>
      <c r="CR47" s="192">
        <f t="array" ref="CR47">IF($BT47=0, INDEX(LS_current!$D$4:$AY$138, MATCH('Staging Table'!$A47, LS_current!$B$4:$B$138, 0), MATCH(CR$4&amp;CR$5, LS_current!$D$2:$AY$2&amp;LS_current!$D$3:$AY$3, 0)),SUM(VLOOKUP($A47, LS_current!$B$4:$AY$138, LS_current!W$148, FALSE), VLOOKUP($A47, LS_current!$B$4:$AY$138,LS_current!AU$148, FALSE))/2)</f>
        <v>1548.9307113653085</v>
      </c>
      <c r="CS47" s="192">
        <f t="array" ref="CS47">IF($BT47=0, INDEX(LS_current!$D$4:$AY$138, MATCH('Staging Table'!$A47, LS_current!$B$4:$B$138, 0), MATCH(CS$4&amp;CS$5, LS_current!$D$2:$AY$2&amp;LS_current!$D$3:$AY$3, 0)),SUM(VLOOKUP($A47, LS_current!$B$4:$AY$138, LS_current!X$148, FALSE), VLOOKUP($A47, LS_current!$B$4:$AY$138,LS_current!AV$148, FALSE))/2)</f>
        <v>685.90276634486872</v>
      </c>
      <c r="CT47" s="192">
        <f t="array" ref="CT47">IF($BT47=0, INDEX(LS_current!$D$4:$AY$138, MATCH('Staging Table'!$A47, LS_current!$B$4:$B$138, 0), MATCH(CT$4&amp;CT$5, LS_current!$D$2:$AY$2&amp;LS_current!$D$3:$AY$3, 0)),SUM(VLOOKUP($A47, LS_current!$B$4:$AY$138, LS_current!Y$148, FALSE), VLOOKUP($A47, LS_current!$B$4:$AY$138,LS_current!AW$148, FALSE))/2)</f>
        <v>1185.583269957709</v>
      </c>
      <c r="CU47" s="192">
        <f t="array" ref="CU47">IF($BT47=0, INDEX(LS_current!$D$4:$AY$138, MATCH('Staging Table'!$A47, LS_current!$B$4:$B$138, 0), MATCH(CU$4&amp;CU$5, LS_current!$D$2:$AY$2&amp;LS_current!$D$3:$AY$3, 0)),SUM(VLOOKUP($A47, LS_current!$B$4:$AY$138, LS_current!Z$148, FALSE), VLOOKUP($A47, LS_current!$B$4:$AY$138,LS_current!AX$148, FALSE))/2)</f>
        <v>-157.96141782671657</v>
      </c>
      <c r="CV47" s="192">
        <f t="array" ref="CV47">IF($BT47=0, INDEX(LS_current!$D$4:$AY$138, MATCH('Staging Table'!$A47, LS_current!$B$4:$B$138, 0), MATCH(CV$4&amp;CV$5, LS_current!$D$2:$AY$2&amp;LS_current!$D$3:$AY$3, 0)),SUM(VLOOKUP($A47, LS_current!$B$4:$AY$138, LS_current!AA$148, FALSE), VLOOKUP($A47, LS_current!$B$4:$AY$138,LS_current!AY$148, FALSE))/2)</f>
        <v>640.96297420837709</v>
      </c>
      <c r="CW47" s="194">
        <f t="array" ref="CW47">INDEX(Demand_current!$D$4:$AY$138, MATCH($A47, Demand_current!$B$4:$B$138, 0), MATCH(CW$4&amp;CW$5,Demand_current!$D$2:$AY$2&amp;Demand_current!$D$3:$AY$3, 0))/1000</f>
        <v>5.7746850961538447</v>
      </c>
      <c r="CX47" s="194">
        <f t="array" ref="CX47">INDEX(Demand_current!$D$4:$AY$138, MATCH($A47, Demand_current!$B$4:$B$138, 0), MATCH(CX$4&amp;CX$5,Demand_current!$D$2:$AY$2&amp;Demand_current!$D$3:$AY$3, 0))/1000</f>
        <v>3.0710474999999997</v>
      </c>
      <c r="CY47" s="194">
        <f t="array" ref="CY47">INDEX(Demand_current!$D$4:$AY$138, MATCH($A47, Demand_current!$B$4:$B$138, 0), MATCH(CY$4&amp;CY$5,Demand_current!$D$2:$AY$2&amp;Demand_current!$D$3:$AY$3, 0))/1000</f>
        <v>4.3852524038461498</v>
      </c>
      <c r="CZ47" s="194">
        <f t="array" ref="CZ47">INDEX(Demand_current!$D$4:$AY$138, MATCH($A47, Demand_current!$B$4:$B$138, 0), MATCH(CZ$4&amp;CZ$5,Demand_current!$D$2:$AY$2&amp;Demand_current!$D$3:$AY$3, 0))/1000</f>
        <v>6.3363524999999985</v>
      </c>
      <c r="DA47" s="194">
        <f t="array" ref="DA47">INDEX(Demand_current!$D$4:$AY$138, MATCH($A47, Demand_current!$B$4:$B$138, 0), MATCH(DA$4&amp;DA$5,Demand_current!$D$2:$AY$2&amp;Demand_current!$D$3:$AY$3, 0))/1000</f>
        <v>4.9646171874999991</v>
      </c>
      <c r="DB47" s="194">
        <f t="array" ref="DB47">INDEX(Demand_current!$D$4:$AY$138, MATCH($A47, Demand_current!$B$4:$B$138, 0), MATCH(DB$4&amp;DB$5,Demand_current!$D$2:$AY$2&amp;Demand_current!$D$3:$AY$3, 0))/1000</f>
        <v>5.5569212962962977</v>
      </c>
      <c r="DC47" s="194">
        <f t="array" ref="DC47">INDEX(Demand_current!$D$4:$AY$138, MATCH($A47, Demand_current!$B$4:$B$138, 0), MATCH(DC$4&amp;DC$5,Demand_current!$D$2:$AY$2&amp;Demand_current!$D$3:$AY$3, 0))/1000</f>
        <v>5.2103653846153843</v>
      </c>
      <c r="DD47" s="194">
        <f t="array" ref="DD47">INDEX(Demand_current!$D$4:$AY$138, MATCH($A47, Demand_current!$B$4:$B$138, 0), MATCH(DD$4&amp;DD$5,Demand_current!$D$2:$AY$2&amp;Demand_current!$D$3:$AY$3, 0))/1000</f>
        <v>3.1074400000000018</v>
      </c>
      <c r="DE47" s="194">
        <f t="array" ref="DE47">INDEX(Demand_current!$D$4:$AY$138, MATCH($A47, Demand_current!$B$4:$B$138, 0), MATCH(DE$4&amp;DE$5,Demand_current!$D$2:$AY$2&amp;Demand_current!$D$3:$AY$3, 0))/1000</f>
        <v>3.5683725961538446</v>
      </c>
      <c r="DF47" s="194">
        <f t="array" ref="DF47">INDEX(Demand_current!$D$4:$AY$138, MATCH($A47, Demand_current!$B$4:$B$138, 0), MATCH(DF$4&amp;DF$5,Demand_current!$D$2:$AY$2&amp;Demand_current!$D$3:$AY$3, 0))/1000</f>
        <v>4.5993525000000011</v>
      </c>
      <c r="DG47" s="194">
        <f t="array" ref="DG47">INDEX(Demand_current!$D$4:$AY$138, MATCH($A47, Demand_current!$B$4:$B$138, 0), MATCH(DG$4&amp;DG$5,Demand_current!$D$2:$AY$2&amp;Demand_current!$D$3:$AY$3, 0))/1000</f>
        <v>4.4085787037037045</v>
      </c>
      <c r="DH47" s="194">
        <f t="array" ref="DH47">INDEX(Demand_current!$D$4:$AY$138, MATCH($A47, Demand_current!$B$4:$B$138, 0), MATCH(DH$4&amp;DH$5,Demand_current!$D$2:$AY$2&amp;Demand_current!$D$3:$AY$3, 0))/1000</f>
        <v>4.8545050000000014</v>
      </c>
      <c r="DI47" s="192">
        <f>$BS47*(VLOOKUP(DI$4, Rates_current!$G$6:$Q$29, 10, FALSE)+VLOOKUP(DI$4, Rates_current!$G$6:$Q$29, 11, FALSE))</f>
        <v>7814.9896984713841</v>
      </c>
      <c r="DJ47" s="192">
        <f>$BS47*(VLOOKUP(DJ$4, Rates_current!$G$6:$Q$29, 10, FALSE)+VLOOKUP(DJ$4, Rates_current!$G$6:$Q$29, 11, FALSE))</f>
        <v>9894.0605837586718</v>
      </c>
      <c r="DK47" s="192">
        <f>$BS47*(VLOOKUP(DK$4, Rates_current!$G$6:$Q$29, 10, FALSE)+VLOOKUP(DK$4, Rates_current!$G$6:$Q$29, 11, FALSE))</f>
        <v>9684.3086442591575</v>
      </c>
      <c r="DL47" s="192">
        <f>$BS47*(VLOOKUP(DL$4, Rates_current!$G$6:$Q$29, 10, FALSE)+VLOOKUP(DL$4, Rates_current!$G$6:$Q$29, 11, FALSE))</f>
        <v>7998.8271164640619</v>
      </c>
      <c r="DM47" s="192">
        <f>$BS47*(VLOOKUP(DM$4, Rates_current!$G$6:$Q$29, 10, FALSE)+VLOOKUP(DM$4, Rates_current!$G$6:$Q$29, 11, FALSE))</f>
        <v>6932.7587728391527</v>
      </c>
      <c r="DN47" s="192">
        <f>$BS47*(VLOOKUP(DN$4, Rates_current!$G$6:$Q$29, 10, FALSE)+VLOOKUP(DN$4, Rates_current!$G$6:$Q$29, 11, FALSE))</f>
        <v>8276.3139786842294</v>
      </c>
      <c r="DO47" s="192">
        <f>$BS47*(VLOOKUP(DO$4, Rates_current!$G$6:$Q$29, 10, FALSE)+VLOOKUP(DO$4, Rates_current!$G$6:$Q$29, 11, FALSE))</f>
        <v>6425.4559878773589</v>
      </c>
      <c r="DP47" s="192">
        <f>$BS47*(VLOOKUP(DP$4, Rates_current!$G$6:$Q$29, 10, FALSE)+VLOOKUP(DP$4, Rates_current!$G$6:$Q$29, 11, FALSE))</f>
        <v>8902.5165560326896</v>
      </c>
      <c r="DQ47" s="192">
        <f>$BS47*(VLOOKUP(DQ$4, Rates_current!$G$6:$Q$29, 10, FALSE)+VLOOKUP(DQ$4, Rates_current!$G$6:$Q$29, 11, FALSE))</f>
        <v>9512.5253512618674</v>
      </c>
      <c r="DR47" s="192">
        <f>$BS47*(VLOOKUP(DR$4, Rates_current!$G$6:$Q$29, 10, FALSE)+VLOOKUP(DR$4, Rates_current!$G$6:$Q$29, 11, FALSE))</f>
        <v>9031.7120786672695</v>
      </c>
      <c r="DS47" s="192">
        <f>$BS47*(VLOOKUP(DS$4, Rates_current!$G$6:$Q$29, 10, FALSE)+VLOOKUP(DS$4, Rates_current!$G$6:$Q$29, 11, FALSE))</f>
        <v>8728.4529636974221</v>
      </c>
      <c r="DT47" s="192">
        <f>$BS47*(VLOOKUP(DT$4, Rates_current!$G$6:$Q$29, 10, FALSE)+VLOOKUP(DT$4, Rates_current!$G$6:$Q$29, 11, FALSE))</f>
        <v>8066.000443618339</v>
      </c>
      <c r="DU47" s="418">
        <f>IF(D47=0,IF(C47=0,MAX(0,DW47 - (VLOOKUP($A47,TOCA_current!$A$2:$AI$137,MATCH("RHWM 2022",TOCA_current!$A$2:$AI$2,0),FALSE)*$BS$2)), 0),0)</f>
        <v>3204.9521802923991</v>
      </c>
      <c r="DV47" s="419">
        <f>MIN(VLOOKUP($A47,TOCA_current!$A$2:$AI$137,MATCH("TRL - NLSL - Existing Resource "&amp;$BS$1,TOCA_current!$A$2:$AI$2,0),FALSE)*$BS$2, VLOOKUP($A47,TOCA_current!$A$2:$AI$137,MATCH("RHWM 2022",TOCA_current!$A$2:$AI$2,0),FALSE)*$BS$2)</f>
        <v>101265.60000000001</v>
      </c>
      <c r="DW47" s="419">
        <f>SUM(BY47:CV47)+(BS47*RT1SC!$C$4*$BS$2)</f>
        <v>104470.5521802924</v>
      </c>
      <c r="DX47" s="419">
        <f>VLOOKUP($A47,TOCA_current!$A$2:$AI$137,MATCH("Above RHWM Not Served with LS "&amp;$BS$1,TOCA_current!$A$2:$AI$2,0),FALSE)*$BS$2</f>
        <v>18115.68</v>
      </c>
      <c r="DY47" s="419">
        <f t="shared" si="13"/>
        <v>3204.9521802923991</v>
      </c>
      <c r="DZ47" s="419">
        <f>(VLOOKUP($A47,TOCA_current!$A$2:$AI$137,MATCH("RHWM 2022",TOCA_current!$A$2:$AI$2,0),FALSE)*$BS$2) - $DV47</f>
        <v>0</v>
      </c>
      <c r="EA47" s="419">
        <f t="shared" si="14"/>
        <v>0</v>
      </c>
      <c r="EB47" s="419">
        <f t="shared" si="15"/>
        <v>0</v>
      </c>
      <c r="EC47" s="419">
        <f t="shared" si="16"/>
        <v>0</v>
      </c>
      <c r="ED47" s="419">
        <f t="shared" si="17"/>
        <v>0</v>
      </c>
    </row>
    <row r="48" spans="1:134">
      <c r="A48" s="135">
        <v>10111</v>
      </c>
      <c r="B48" s="136" t="s">
        <v>49</v>
      </c>
      <c r="C48" s="244">
        <f>VLOOKUP(A48, TOCA_current!$A$3:$D$137, 4, FALSE)</f>
        <v>0</v>
      </c>
      <c r="D48" s="203">
        <v>0</v>
      </c>
      <c r="E48" s="119">
        <f>VLOOKUP($A48,TOCA_previous!$A$2:$AI$137,MATCH(E$4,TOCA_previous!$A$2:$AI$2,0),FALSE)</f>
        <v>4.3360000000000002E-4</v>
      </c>
      <c r="F48" s="120">
        <f>VLOOKUP($A48,TOCA_previous!$A$2:$AI$137,MATCH(F$4,TOCA_previous!$A$2:$AI$2,0),FALSE)</f>
        <v>4.3360000000000002E-4</v>
      </c>
      <c r="G48" s="120">
        <f t="shared" si="5"/>
        <v>0</v>
      </c>
      <c r="H48" s="120">
        <f>VLOOKUP($A48,TOCA_previous!$A$2:$AI$137,MATCH(H$4,TOCA_previous!$A$2:$AI$2,0),FALSE)</f>
        <v>7.0000000000000007E-2</v>
      </c>
      <c r="I48" s="120">
        <f t="shared" si="6"/>
        <v>0</v>
      </c>
      <c r="J48" s="120">
        <f t="shared" si="7"/>
        <v>0</v>
      </c>
      <c r="K48" s="191">
        <f>VLOOKUP(A48, IRD!$A$5:$C$139, 3, FALSE)</f>
        <v>5227.6489999999994</v>
      </c>
      <c r="L48" s="192">
        <f t="array" ref="L48">IF($G48=0, INDEX(LS_previous!$D$4:$AY$138, MATCH('Staging Table'!$A48, LS_previous!$B$4:$B$138, 0), MATCH(L$4&amp;L$5, LS_previous!$D$2:$AY$2&amp;LS_previous!$D$3:$AY$3, 0)),SUM(VLOOKUP($A48, LS_previous!$B$4:$AY$138, LS_previous!D$149, FALSE), VLOOKUP('Staging Table'!$A48, LS_previous!$B$4:$AY$138,LS_previous!AB$149, FALSE))/2)</f>
        <v>-334.5757522368001</v>
      </c>
      <c r="M48" s="192">
        <f t="array" ref="M48">IF($G48=0, INDEX(LS_previous!$D$4:$AY$138, MATCH('Staging Table'!$A48, LS_previous!$B$4:$B$138, 0), MATCH(M$4&amp;M$5, LS_previous!$D$2:$AY$2&amp;LS_previous!$D$3:$AY$3, 0)),SUM(VLOOKUP($A48, LS_previous!$B$4:$AY$138, LS_previous!E$149, FALSE), VLOOKUP('Staging Table'!$A48, LS_previous!$B$4:$AY$138,LS_previous!AC$149, FALSE))/2)</f>
        <v>-20.189983948799977</v>
      </c>
      <c r="N48" s="192">
        <f t="array" ref="N48">IF($G48=0, INDEX(LS_previous!$D$4:$AY$138, MATCH('Staging Table'!$A48, LS_previous!$B$4:$B$138, 0), MATCH(N$4&amp;N$5, LS_previous!$D$2:$AY$2&amp;LS_previous!$D$3:$AY$3, 0)),SUM(VLOOKUP($A48, LS_previous!$B$4:$AY$138, LS_previous!F$149, FALSE), VLOOKUP('Staging Table'!$A48, LS_previous!$B$4:$AY$138,LS_previous!AD$149, FALSE))/2)</f>
        <v>-514.76056014079995</v>
      </c>
      <c r="O48" s="192">
        <f t="array" ref="O48">IF($G48=0, INDEX(LS_previous!$D$4:$AY$138, MATCH('Staging Table'!$A48, LS_previous!$B$4:$B$138, 0), MATCH(O$4&amp;O$5, LS_previous!$D$2:$AY$2&amp;LS_previous!$D$3:$AY$3, 0)),SUM(VLOOKUP($A48, LS_previous!$B$4:$AY$138, LS_previous!G$149, FALSE), VLOOKUP('Staging Table'!$A48, LS_previous!$B$4:$AY$138,LS_previous!AE$149, FALSE))/2)</f>
        <v>-148.54629228960016</v>
      </c>
      <c r="P48" s="192">
        <f t="array" ref="P48">IF($G48=0, INDEX(LS_previous!$D$4:$AY$138, MATCH('Staging Table'!$A48, LS_previous!$B$4:$B$138, 0), MATCH(P$4&amp;P$5, LS_previous!$D$2:$AY$2&amp;LS_previous!$D$3:$AY$3, 0)),SUM(VLOOKUP($A48, LS_previous!$B$4:$AY$138, LS_previous!H$149, FALSE), VLOOKUP('Staging Table'!$A48, LS_previous!$B$4:$AY$138,LS_previous!AF$149, FALSE))/2)</f>
        <v>-34.554812979200051</v>
      </c>
      <c r="Q48" s="192">
        <f t="array" ref="Q48">IF($G48=0, INDEX(LS_previous!$D$4:$AY$138, MATCH('Staging Table'!$A48, LS_previous!$B$4:$B$138, 0), MATCH(Q$4&amp;Q$5, LS_previous!$D$2:$AY$2&amp;LS_previous!$D$3:$AY$3, 0)),SUM(VLOOKUP($A48, LS_previous!$B$4:$AY$138, LS_previous!I$149, FALSE), VLOOKUP('Staging Table'!$A48, LS_previous!$B$4:$AY$138,LS_previous!AG$149, FALSE))/2)</f>
        <v>171.89316799359995</v>
      </c>
      <c r="R48" s="192">
        <f t="array" ref="R48">IF($G48=0, INDEX(LS_previous!$D$4:$AY$138, MATCH('Staging Table'!$A48, LS_previous!$B$4:$B$138, 0), MATCH(R$4&amp;R$5, LS_previous!$D$2:$AY$2&amp;LS_previous!$D$3:$AY$3, 0)),SUM(VLOOKUP($A48, LS_previous!$B$4:$AY$138, LS_previous!J$149, FALSE), VLOOKUP('Staging Table'!$A48, LS_previous!$B$4:$AY$138,LS_previous!AH$149, FALSE))/2)</f>
        <v>95.563220620799711</v>
      </c>
      <c r="S48" s="192">
        <f t="array" ref="S48">IF($G48=0, INDEX(LS_previous!$D$4:$AY$138, MATCH('Staging Table'!$A48, LS_previous!$B$4:$B$138, 0), MATCH(S$4&amp;S$5, LS_previous!$D$2:$AY$2&amp;LS_previous!$D$3:$AY$3, 0)),SUM(VLOOKUP($A48, LS_previous!$B$4:$AY$138, LS_previous!K$149, FALSE), VLOOKUP('Staging Table'!$A48, LS_previous!$B$4:$AY$138,LS_previous!AI$149, FALSE))/2)</f>
        <v>386.24278719359984</v>
      </c>
      <c r="T48" s="192">
        <f t="array" ref="T48">IF($G48=0, INDEX(LS_previous!$D$4:$AY$138, MATCH('Staging Table'!$A48, LS_previous!$B$4:$B$138, 0), MATCH(T$4&amp;T$5, LS_previous!$D$2:$AY$2&amp;LS_previous!$D$3:$AY$3, 0)),SUM(VLOOKUP($A48, LS_previous!$B$4:$AY$138, LS_previous!L$149, FALSE), VLOOKUP('Staging Table'!$A48, LS_previous!$B$4:$AY$138,LS_previous!AJ$149, FALSE))/2)</f>
        <v>-79.373912966399985</v>
      </c>
      <c r="U48" s="192">
        <f t="array" ref="U48">IF($G48=0, INDEX(LS_previous!$D$4:$AY$138, MATCH('Staging Table'!$A48, LS_previous!$B$4:$B$138, 0), MATCH(U$4&amp;U$5, LS_previous!$D$2:$AY$2&amp;LS_previous!$D$3:$AY$3, 0)),SUM(VLOOKUP($A48, LS_previous!$B$4:$AY$138, LS_previous!M$149, FALSE), VLOOKUP('Staging Table'!$A48, LS_previous!$B$4:$AY$138,LS_previous!AK$149, FALSE))/2)</f>
        <v>91.725468486400018</v>
      </c>
      <c r="V48" s="192">
        <f t="array" ref="V48">IF($G48=0, INDEX(LS_previous!$D$4:$AY$138, MATCH('Staging Table'!$A48, LS_previous!$B$4:$B$138, 0), MATCH(V$4&amp;V$5, LS_previous!$D$2:$AY$2&amp;LS_previous!$D$3:$AY$3, 0)),SUM(VLOOKUP($A48, LS_previous!$B$4:$AY$138, LS_previous!N$149, FALSE), VLOOKUP('Staging Table'!$A48, LS_previous!$B$4:$AY$138,LS_previous!AL$149, FALSE))/2)</f>
        <v>-144.23087861759996</v>
      </c>
      <c r="W48" s="192">
        <f t="array" ref="W48">IF($G48=0, INDEX(LS_previous!$D$4:$AY$138, MATCH('Staging Table'!$A48, LS_previous!$B$4:$B$138, 0), MATCH(W$4&amp;W$5, LS_previous!$D$2:$AY$2&amp;LS_previous!$D$3:$AY$3, 0)),SUM(VLOOKUP($A48, LS_previous!$B$4:$AY$138, LS_previous!O$149, FALSE), VLOOKUP('Staging Table'!$A48, LS_previous!$B$4:$AY$138,LS_previous!AM$149, FALSE))/2)</f>
        <v>40.297752334399888</v>
      </c>
      <c r="X48" s="192">
        <f t="array" ref="X48">IF($G48=0, INDEX(LS_previous!$D$4:$AY$138, MATCH('Staging Table'!$A48, LS_previous!$B$4:$B$138, 0), MATCH(X$4&amp;X$5, LS_previous!$D$2:$AY$2&amp;LS_previous!$D$3:$AY$3, 0)),SUM(VLOOKUP($A48, LS_previous!$B$4:$AY$138, LS_previous!P$149, FALSE), VLOOKUP('Staging Table'!$A48, LS_previous!$B$4:$AY$138,LS_previous!AN$149, FALSE))/2)</f>
        <v>74.323655001599946</v>
      </c>
      <c r="Y48" s="192">
        <f t="array" ref="Y48">IF($G48=0, INDEX(LS_previous!$D$4:$AY$138, MATCH('Staging Table'!$A48, LS_previous!$B$4:$B$138, 0), MATCH(Y$4&amp;Y$5, LS_previous!$D$2:$AY$2&amp;LS_previous!$D$3:$AY$3, 0)),SUM(VLOOKUP($A48, LS_previous!$B$4:$AY$138, LS_previous!Q$149, FALSE), VLOOKUP('Staging Table'!$A48, LS_previous!$B$4:$AY$138,LS_previous!AO$149, FALSE))/2)</f>
        <v>131.4995960704</v>
      </c>
      <c r="Z48" s="192">
        <f t="array" ref="Z48">IF($G48=0, INDEX(LS_previous!$D$4:$AY$138, MATCH('Staging Table'!$A48, LS_previous!$B$4:$B$138, 0), MATCH(Z$4&amp;Z$5, LS_previous!$D$2:$AY$2&amp;LS_previous!$D$3:$AY$3, 0)),SUM(VLOOKUP($A48, LS_previous!$B$4:$AY$138, LS_previous!R$149, FALSE), VLOOKUP('Staging Table'!$A48, LS_previous!$B$4:$AY$138,LS_previous!AP$149, FALSE))/2)</f>
        <v>-294.69556656000009</v>
      </c>
      <c r="AA48" s="192">
        <f t="array" ref="AA48">IF($G48=0, INDEX(LS_previous!$D$4:$AY$138, MATCH('Staging Table'!$A48, LS_previous!$B$4:$B$138, 0), MATCH(AA$4&amp;AA$5, LS_previous!$D$2:$AY$2&amp;LS_previous!$D$3:$AY$3, 0)),SUM(VLOOKUP($A48, LS_previous!$B$4:$AY$138, LS_previous!S$149, FALSE), VLOOKUP('Staging Table'!$A48, LS_previous!$B$4:$AY$138,LS_previous!AQ$149, FALSE))/2)</f>
        <v>124.57572557440005</v>
      </c>
      <c r="AB48" s="192">
        <f t="array" ref="AB48">IF($G48=0, INDEX(LS_previous!$D$4:$AY$138, MATCH('Staging Table'!$A48, LS_previous!$B$4:$B$138, 0), MATCH(AB$4&amp;AB$5, LS_previous!$D$2:$AY$2&amp;LS_previous!$D$3:$AY$3, 0)),SUM(VLOOKUP($A48, LS_previous!$B$4:$AY$138, LS_previous!T$149, FALSE), VLOOKUP('Staging Table'!$A48, LS_previous!$B$4:$AY$138,LS_previous!AR$149, FALSE))/2)</f>
        <v>-594.47673459840007</v>
      </c>
      <c r="AC48" s="192">
        <f t="array" ref="AC48">IF($G48=0, INDEX(LS_previous!$D$4:$AY$138, MATCH('Staging Table'!$A48, LS_previous!$B$4:$B$138, 0), MATCH(AC$4&amp;AC$5, LS_previous!$D$2:$AY$2&amp;LS_previous!$D$3:$AY$3, 0)),SUM(VLOOKUP($A48, LS_previous!$B$4:$AY$138, LS_previous!U$149, FALSE), VLOOKUP('Staging Table'!$A48, LS_previous!$B$4:$AY$138,LS_previous!AS$149, FALSE))/2)</f>
        <v>-198.54581352960008</v>
      </c>
      <c r="AD48" s="192">
        <f t="array" ref="AD48">IF($G48=0, INDEX(LS_previous!$D$4:$AY$138, MATCH('Staging Table'!$A48, LS_previous!$B$4:$B$138, 0), MATCH(AD$4&amp;AD$5, LS_previous!$D$2:$AY$2&amp;LS_previous!$D$3:$AY$3, 0)),SUM(VLOOKUP($A48, LS_previous!$B$4:$AY$138, LS_previous!V$149, FALSE), VLOOKUP('Staging Table'!$A48, LS_previous!$B$4:$AY$138,LS_previous!AT$149, FALSE))/2)</f>
        <v>6.6001774015999217</v>
      </c>
      <c r="AE48" s="192">
        <f t="array" ref="AE48">IF($G48=0, INDEX(LS_previous!$D$4:$AY$138, MATCH('Staging Table'!$A48, LS_previous!$B$4:$B$138, 0), MATCH(AE$4&amp;AE$5, LS_previous!$D$2:$AY$2&amp;LS_previous!$D$3:$AY$3, 0)),SUM(VLOOKUP($A48, LS_previous!$B$4:$AY$138, LS_previous!W$149, FALSE), VLOOKUP('Staging Table'!$A48, LS_previous!$B$4:$AY$138,LS_previous!AU$149, FALSE))/2)</f>
        <v>489.75293601279998</v>
      </c>
      <c r="AF48" s="192">
        <f t="array" ref="AF48">IF($G48=0, INDEX(LS_previous!$D$4:$AY$138, MATCH('Staging Table'!$A48, LS_previous!$B$4:$B$138, 0), MATCH(AF$4&amp;AF$5, LS_previous!$D$2:$AY$2&amp;LS_previous!$D$3:$AY$3, 0)),SUM(VLOOKUP($A48, LS_previous!$B$4:$AY$138, LS_previous!X$149, FALSE), VLOOKUP('Staging Table'!$A48, LS_previous!$B$4:$AY$138,LS_previous!AV$149, FALSE))/2)</f>
        <v>135.94807420160009</v>
      </c>
      <c r="AG48" s="192">
        <f t="array" ref="AG48">IF($G48=0, INDEX(LS_previous!$D$4:$AY$138, MATCH('Staging Table'!$A48, LS_previous!$B$4:$B$138, 0), MATCH(AG$4&amp;AG$5, LS_previous!$D$2:$AY$2&amp;LS_previous!$D$3:$AY$3, 0)),SUM(VLOOKUP($A48, LS_previous!$B$4:$AY$138, LS_previous!Y$149, FALSE), VLOOKUP('Staging Table'!$A48, LS_previous!$B$4:$AY$138,LS_previous!AW$149, FALSE))/2)</f>
        <v>337.39460801279984</v>
      </c>
      <c r="AH48" s="192">
        <f t="array" ref="AH48">IF($G48=0, INDEX(LS_previous!$D$4:$AY$138, MATCH('Staging Table'!$A48, LS_previous!$B$4:$B$138, 0), MATCH(AH$4&amp;AH$5, LS_previous!$D$2:$AY$2&amp;LS_previous!$D$3:$AY$3, 0)),SUM(VLOOKUP($A48, LS_previous!$B$4:$AY$138, LS_previous!Z$149, FALSE), VLOOKUP('Staging Table'!$A48, LS_previous!$B$4:$AY$138,LS_previous!AX$149, FALSE))/2)</f>
        <v>-44.809996160000082</v>
      </c>
      <c r="AI48" s="192">
        <f t="array" ref="AI48">IF($G48=0, INDEX(LS_previous!$D$4:$AY$138, MATCH('Staging Table'!$A48, LS_previous!$B$4:$B$138, 0), MATCH(AI$4&amp;AI$5, LS_previous!$D$2:$AY$2&amp;LS_previous!$D$3:$AY$3, 0)),SUM(VLOOKUP($A48, LS_previous!$B$4:$AY$138, LS_previous!AA$149, FALSE), VLOOKUP('Staging Table'!$A48, LS_previous!$B$4:$AY$138,LS_previous!AY$149, FALSE))/2)</f>
        <v>157.98044563200006</v>
      </c>
      <c r="AJ48" s="314">
        <f t="array" ref="AJ48">INDEX(Demand_previous!$D$4:$AY$138, MATCH('Staging Table'!$A48, Demand_previous!$B$4:$B$138, 0), MATCH(AJ$4&amp;AJ$5,Demand_previous!$D$2:$AY$2&amp;Demand_previous!$D$3:$AY$3, 0))/1000</f>
        <v>0.47427083333333331</v>
      </c>
      <c r="AK48" s="314">
        <f t="array" ref="AK48">INDEX(Demand_previous!$D$4:$AY$138, MATCH('Staging Table'!$A48, Demand_previous!$B$4:$B$138, 0), MATCH(AK$4&amp;AK$5,Demand_previous!$D$2:$AY$2&amp;Demand_previous!$D$3:$AY$3, 0))/1000</f>
        <v>0</v>
      </c>
      <c r="AL48" s="314">
        <f t="array" ref="AL48">INDEX(Demand_previous!$D$4:$AY$138, MATCH('Staging Table'!$A48, Demand_previous!$B$4:$B$138, 0), MATCH(AL$4&amp;AL$5,Demand_previous!$D$2:$AY$2&amp;Demand_previous!$D$3:$AY$3, 0))/1000</f>
        <v>0.71766000000000019</v>
      </c>
      <c r="AM48" s="314">
        <f t="array" ref="AM48">INDEX(Demand_previous!$D$4:$AY$138, MATCH('Staging Table'!$A48, Demand_previous!$B$4:$B$138, 0), MATCH(AM$4&amp;AM$5,Demand_previous!$D$2:$AY$2&amp;Demand_previous!$D$3:$AY$3, 0))/1000</f>
        <v>1.0502716346153849</v>
      </c>
      <c r="AN48" s="314">
        <f t="array" ref="AN48">INDEX(Demand_previous!$D$4:$AY$138, MATCH('Staging Table'!$A48, Demand_previous!$B$4:$B$138, 0), MATCH(AN$4&amp;AN$5,Demand_previous!$D$2:$AY$2&amp;Demand_previous!$D$3:$AY$3, 0))/1000</f>
        <v>0.18294749999999937</v>
      </c>
      <c r="AO48" s="314">
        <f t="array" ref="AO48">INDEX(Demand_previous!$D$4:$AY$138, MATCH('Staging Table'!$A48, Demand_previous!$B$4:$B$138, 0), MATCH(AO$4&amp;AO$5,Demand_previous!$D$2:$AY$2&amp;Demand_previous!$D$3:$AY$3, 0))/1000</f>
        <v>0.58018990384615376</v>
      </c>
      <c r="AP48" s="314">
        <f t="array" ref="AP48">INDEX(Demand_previous!$D$4:$AY$138, MATCH('Staging Table'!$A48, Demand_previous!$B$4:$B$138, 0), MATCH(AP$4&amp;AP$5,Demand_previous!$D$2:$AY$2&amp;Demand_previous!$D$3:$AY$3, 0))/1000</f>
        <v>0.39725480769230814</v>
      </c>
      <c r="AQ48" s="314">
        <f t="array" ref="AQ48">INDEX(Demand_previous!$D$4:$AY$138, MATCH('Staging Table'!$A48, Demand_previous!$B$4:$B$138, 0), MATCH(AQ$4&amp;AQ$5,Demand_previous!$D$2:$AY$2&amp;Demand_previous!$D$3:$AY$3, 0))/1000</f>
        <v>0.17233250000000055</v>
      </c>
      <c r="AR48" s="314">
        <f t="array" ref="AR48">INDEX(Demand_previous!$D$4:$AY$138, MATCH('Staging Table'!$A48, Demand_previous!$B$4:$B$138, 0), MATCH(AR$4&amp;AR$5,Demand_previous!$D$2:$AY$2&amp;Demand_previous!$D$3:$AY$3, 0))/1000</f>
        <v>0.43918509615384599</v>
      </c>
      <c r="AS48" s="314">
        <f t="array" ref="AS48">INDEX(Demand_previous!$D$4:$AY$138, MATCH('Staging Table'!$A48, Demand_previous!$B$4:$B$138, 0), MATCH(AS$4&amp;AS$5,Demand_previous!$D$2:$AY$2&amp;Demand_previous!$D$3:$AY$3, 0))/1000</f>
        <v>0.74911538461538429</v>
      </c>
      <c r="AT48" s="314">
        <f t="array" ref="AT48">INDEX(Demand_previous!$D$4:$AY$138, MATCH('Staging Table'!$A48, Demand_previous!$B$4:$B$138, 0), MATCH(AT$4&amp;AT$5,Demand_previous!$D$2:$AY$2&amp;Demand_previous!$D$3:$AY$3, 0))/1000</f>
        <v>0.54649519230769172</v>
      </c>
      <c r="AU48" s="314">
        <f t="array" ref="AU48">INDEX(Demand_previous!$D$4:$AY$138, MATCH('Staging Table'!$A48, Demand_previous!$B$4:$B$138, 0), MATCH(AU$4&amp;AU$5,Demand_previous!$D$2:$AY$2&amp;Demand_previous!$D$3:$AY$3, 0))/1000</f>
        <v>0.49219499999999955</v>
      </c>
      <c r="AV48" s="192">
        <f>$F48*(VLOOKUP(AV$4, Rates_previous!$G$6:$Q$29, 10, FALSE)+VLOOKUP(AV$4, Rates_previous!$G$6:$Q$29, 11, FALSE))</f>
        <v>2002.0687361855998</v>
      </c>
      <c r="AW48" s="192">
        <f>$F48*(VLOOKUP(AW$4, Rates_previous!$G$6:$Q$29, 10, FALSE)+VLOOKUP(AW$4, Rates_previous!$G$6:$Q$29, 11, FALSE))</f>
        <v>2543.2518524304</v>
      </c>
      <c r="AX48" s="192">
        <f>$F48*(VLOOKUP(AX$4, Rates_previous!$G$6:$Q$29, 10, FALSE)+VLOOKUP(AX$4, Rates_previous!$G$6:$Q$29, 11, FALSE))</f>
        <v>2512.5386449856005</v>
      </c>
      <c r="AY48" s="192">
        <f>$F48*(VLOOKUP(AY$4, Rates_previous!$G$6:$Q$29, 10, FALSE)+VLOOKUP(AY$4, Rates_previous!$G$6:$Q$29, 11, FALSE))</f>
        <v>2094.3539921856004</v>
      </c>
      <c r="AZ48" s="192">
        <f>$F48*(VLOOKUP(AZ$4, Rates_previous!$G$6:$Q$29, 10, FALSE)+VLOOKUP(AZ$4, Rates_previous!$G$6:$Q$29, 11, FALSE))</f>
        <v>1897.26744448</v>
      </c>
      <c r="BA48" s="192">
        <f>$F48*(VLOOKUP(BA$4, Rates_previous!$G$6:$Q$29, 10, FALSE)+VLOOKUP(BA$4, Rates_previous!$G$6:$Q$29, 11, FALSE))</f>
        <v>2110.3641262832002</v>
      </c>
      <c r="BB48" s="192">
        <f>$F48*(VLOOKUP(BB$4, Rates_previous!$G$6:$Q$29, 10, FALSE)+VLOOKUP(BB$4, Rates_previous!$G$6:$Q$29, 11, FALSE))</f>
        <v>1718.2607489280001</v>
      </c>
      <c r="BC48" s="192">
        <f>$F48*(VLOOKUP(BC$4, Rates_previous!$G$6:$Q$29, 10, FALSE)+VLOOKUP(BC$4, Rates_previous!$G$6:$Q$29, 11, FALSE))</f>
        <v>2317.3308409856004</v>
      </c>
      <c r="BD48" s="192">
        <f>$F48*(VLOOKUP(BD$4, Rates_previous!$G$6:$Q$29, 10, FALSE)+VLOOKUP(BD$4, Rates_previous!$G$6:$Q$29, 11, FALSE))</f>
        <v>2956.7565481280003</v>
      </c>
      <c r="BE48" s="192">
        <f>$F48*(VLOOKUP(BE$4, Rates_previous!$G$6:$Q$29, 10, FALSE)+VLOOKUP(BE$4, Rates_previous!$G$6:$Q$29, 11, FALSE))</f>
        <v>2318.1908865856003</v>
      </c>
      <c r="BF48" s="192">
        <f>$F48*(VLOOKUP(BF$4, Rates_previous!$G$6:$Q$29, 10, FALSE)+VLOOKUP(BF$4, Rates_previous!$G$6:$Q$29, 11, FALSE))</f>
        <v>2257.4563177856003</v>
      </c>
      <c r="BG48" s="192">
        <f>$F48*(VLOOKUP(BG$4, Rates_previous!$G$6:$Q$29, 10, FALSE)+VLOOKUP(BG$4, Rates_previous!$G$6:$Q$29, 11, FALSE))</f>
        <v>2026.7155505280002</v>
      </c>
      <c r="BH48" s="314">
        <f>IF($D48=0,IF(C48=0, MAX(BJ48 - (VLOOKUP($A48,TOCA_previous!$A$2:$AI$137,MATCH("RHWM 2020",TOCA_previous!$A$2:$AI$2,0),FALSE)*$F$2*TOCA_previous!C45),0),0), 0)</f>
        <v>0</v>
      </c>
      <c r="BI48" s="204">
        <f>MIN(VLOOKUP($A48,TOCA_previous!$A$2:$AI$137,MATCH("TRL - NLSL - Existing Resource "&amp;$F$1,TOCA_previous!$A$2:$AI$2,0),FALSE)*$F$2,(VLOOKUP($A48,TOCA_previous!$A$2:$AI$137,MATCH("RHWM 2020",TOCA_previous!$A$2:$AI$2,0),FALSE)*$F$2))</f>
        <v>26756.063999999998</v>
      </c>
      <c r="BJ48" s="418">
        <f>SUM(L48:AI48)+(F48*RT1SC!$C$3*$F$2)</f>
        <v>26589.594004217601</v>
      </c>
      <c r="BK48" s="417">
        <f>VLOOKUP($A48,TOCA_previous!$A$2:$AI$137,MATCH("Above RHWM Not Served with LS "&amp;$F$1,TOCA_previous!$A$2:$AI$2,0),FALSE)*$F$2</f>
        <v>0</v>
      </c>
      <c r="BL48" s="418">
        <f t="shared" si="8"/>
        <v>-166.46999578239775</v>
      </c>
      <c r="BM48" s="417">
        <f>(VLOOKUP($A48,TOCA_previous!$A$2:$AI$137,MATCH("RHWM 2020",TOCA_previous!$A$2:$AI$2,0),FALSE)*$F$2) - $BI48</f>
        <v>1510.8480000000018</v>
      </c>
      <c r="BN48" s="418">
        <f t="shared" si="9"/>
        <v>0</v>
      </c>
      <c r="BO48" s="417">
        <f t="shared" si="10"/>
        <v>166.46999578239775</v>
      </c>
      <c r="BP48" s="418">
        <f t="shared" si="11"/>
        <v>0</v>
      </c>
      <c r="BQ48" s="417">
        <f t="shared" si="18"/>
        <v>166.46999578239775</v>
      </c>
      <c r="BR48" s="120">
        <f>VLOOKUP($A48,TOCA_current!$A$2:$AI$137,MATCH(BR$4,TOCA_current!$A$2:$AI$2,0),FALSE)</f>
        <v>4.528E-4</v>
      </c>
      <c r="BS48" s="120">
        <f>VLOOKUP($A48,TOCA_current!$A$2:$AI$137,MATCH(BS$4,TOCA_current!$A$2:$AI$2,0),FALSE)</f>
        <v>4.528E-4</v>
      </c>
      <c r="BT48" s="201">
        <f t="shared" si="12"/>
        <v>0</v>
      </c>
      <c r="BU48" s="120">
        <f>VLOOKUP($A48,TOCA_current!A44:BG179,MATCH(BU$4,TOCA_current!$A$2:$BG$2,0),FALSE)</f>
        <v>7.0000000000000007E-2</v>
      </c>
      <c r="BV48" s="120">
        <f t="shared" si="19"/>
        <v>0</v>
      </c>
      <c r="BW48" s="120">
        <f t="shared" si="20"/>
        <v>0</v>
      </c>
      <c r="BX48" s="191">
        <f>VLOOKUP($A48,IRD!$A$4:$G$139, 7, FALSE)</f>
        <v>5227.6489999999994</v>
      </c>
      <c r="BY48" s="192">
        <f t="array" ref="BY48">IF($BT48=0, INDEX(LS_current!$D$4:$AY$138, MATCH('Staging Table'!$A48, LS_current!$B$4:$B$138, 0), MATCH(BY$4&amp;BY$5, LS_current!$D$2:$AY$2&amp;LS_current!$D$3:$AY$3, 0)),SUM(VLOOKUP($A48, LS_current!$B$4:$AY$138, LS_current!D$148, FALSE), VLOOKUP($A48, LS_current!$B$4:$AY$138,LS_current!AB$148, FALSE))/2)</f>
        <v>-352.37883178167431</v>
      </c>
      <c r="BZ48" s="192">
        <f t="array" ref="BZ48">IF($BT48=0, INDEX(LS_current!$D$4:$AY$138, MATCH('Staging Table'!$A48, LS_current!$B$4:$B$138, 0), MATCH(BZ$4&amp;BZ$5, LS_current!$D$2:$AY$2&amp;LS_current!$D$3:$AY$3, 0)),SUM(VLOOKUP($A48, LS_current!$B$4:$AY$138, LS_current!E$148, FALSE), VLOOKUP($A48, LS_current!$B$4:$AY$138,LS_current!AC$148, FALSE))/2)</f>
        <v>-62.335145939812037</v>
      </c>
      <c r="CA48" s="192">
        <f t="array" ref="CA48">IF($BT48=0, INDEX(LS_current!$D$4:$AY$138, MATCH('Staging Table'!$A48, LS_current!$B$4:$B$138, 0), MATCH(CA$4&amp;CA$5, LS_current!$D$2:$AY$2&amp;LS_current!$D$3:$AY$3, 0)),SUM(VLOOKUP($A48, LS_current!$B$4:$AY$138, LS_current!F$148, FALSE), VLOOKUP($A48, LS_current!$B$4:$AY$138,LS_current!AD$148, FALSE))/2)</f>
        <v>-522.23557322753049</v>
      </c>
      <c r="CB48" s="192">
        <f t="array" ref="CB48">IF($BT48=0, INDEX(LS_current!$D$4:$AY$138, MATCH('Staging Table'!$A48, LS_current!$B$4:$B$138, 0), MATCH(CB$4&amp;CB$5, LS_current!$D$2:$AY$2&amp;LS_current!$D$3:$AY$3, 0)),SUM(VLOOKUP($A48, LS_current!$B$4:$AY$138, LS_current!G$148, FALSE), VLOOKUP($A48, LS_current!$B$4:$AY$138,LS_current!AE$148, FALSE))/2)</f>
        <v>-208.40775631382883</v>
      </c>
      <c r="CC48" s="192">
        <f t="array" ref="CC48">IF($BT48=0, INDEX(LS_current!$D$4:$AY$138, MATCH('Staging Table'!$A48, LS_current!$B$4:$B$138, 0), MATCH(CC$4&amp;CC$5, LS_current!$D$2:$AY$2&amp;LS_current!$D$3:$AY$3, 0)),SUM(VLOOKUP($A48, LS_current!$B$4:$AY$138, LS_current!H$148, FALSE), VLOOKUP($A48, LS_current!$B$4:$AY$138,LS_current!AF$148, FALSE))/2)</f>
        <v>65.966425284775369</v>
      </c>
      <c r="CD48" s="192">
        <f t="array" ref="CD48">IF($BT48=0, INDEX(LS_current!$D$4:$AY$138, MATCH('Staging Table'!$A48, LS_current!$B$4:$B$138, 0), MATCH(CD$4&amp;CD$5, LS_current!$D$2:$AY$2&amp;LS_current!$D$3:$AY$3, 0)),SUM(VLOOKUP($A48, LS_current!$B$4:$AY$138, LS_current!I$148, FALSE), VLOOKUP($A48, LS_current!$B$4:$AY$138,LS_current!AG$148, FALSE))/2)</f>
        <v>28.66615182579767</v>
      </c>
      <c r="CE48" s="192">
        <f t="array" ref="CE48">IF($BT48=0, INDEX(LS_current!$D$4:$AY$138, MATCH('Staging Table'!$A48, LS_current!$B$4:$B$138, 0), MATCH(CE$4&amp;CE$5, LS_current!$D$2:$AY$2&amp;LS_current!$D$3:$AY$3, 0)),SUM(VLOOKUP($A48, LS_current!$B$4:$AY$138, LS_current!J$148, FALSE), VLOOKUP($A48, LS_current!$B$4:$AY$138,LS_current!AH$148, FALSE))/2)</f>
        <v>211.15570042830791</v>
      </c>
      <c r="CF48" s="192">
        <f t="array" ref="CF48">IF($BT48=0, INDEX(LS_current!$D$4:$AY$138, MATCH('Staging Table'!$A48, LS_current!$B$4:$B$138, 0), MATCH(CF$4&amp;CF$5, LS_current!$D$2:$AY$2&amp;LS_current!$D$3:$AY$3, 0)),SUM(VLOOKUP($A48, LS_current!$B$4:$AY$138, LS_current!K$148, FALSE), VLOOKUP($A48, LS_current!$B$4:$AY$138,LS_current!AI$148, FALSE))/2)</f>
        <v>254.48106763012231</v>
      </c>
      <c r="CG48" s="192">
        <f t="array" ref="CG48">IF($BT48=0, INDEX(LS_current!$D$4:$AY$138, MATCH('Staging Table'!$A48, LS_current!$B$4:$B$138, 0), MATCH(CG$4&amp;CG$5, LS_current!$D$2:$AY$2&amp;LS_current!$D$3:$AY$3, 0)),SUM(VLOOKUP($A48, LS_current!$B$4:$AY$138, LS_current!L$148, FALSE), VLOOKUP($A48, LS_current!$B$4:$AY$138,LS_current!AJ$148, FALSE))/2)</f>
        <v>55.039712910994012</v>
      </c>
      <c r="CH48" s="192">
        <f t="array" ref="CH48">IF($BT48=0, INDEX(LS_current!$D$4:$AY$138, MATCH('Staging Table'!$A48, LS_current!$B$4:$B$138, 0), MATCH(CH$4&amp;CH$5, LS_current!$D$2:$AY$2&amp;LS_current!$D$3:$AY$3, 0)),SUM(VLOOKUP($A48, LS_current!$B$4:$AY$138, LS_current!M$148, FALSE), VLOOKUP($A48, LS_current!$B$4:$AY$138,LS_current!AK$148, FALSE))/2)</f>
        <v>25.342545441335233</v>
      </c>
      <c r="CI48" s="192">
        <f t="array" ref="CI48">IF($BT48=0, INDEX(LS_current!$D$4:$AY$138, MATCH('Staging Table'!$A48, LS_current!$B$4:$B$138, 0), MATCH(CI$4&amp;CI$5, LS_current!$D$2:$AY$2&amp;LS_current!$D$3:$AY$3, 0)),SUM(VLOOKUP($A48, LS_current!$B$4:$AY$138, LS_current!N$148, FALSE), VLOOKUP($A48, LS_current!$B$4:$AY$138,LS_current!AL$148, FALSE))/2)</f>
        <v>-143.535812993847</v>
      </c>
      <c r="CJ48" s="192">
        <f t="array" ref="CJ48">IF($BT48=0, INDEX(LS_current!$D$4:$AY$138, MATCH('Staging Table'!$A48, LS_current!$B$4:$B$138, 0), MATCH(CJ$4&amp;CJ$5, LS_current!$D$2:$AY$2&amp;LS_current!$D$3:$AY$3, 0)),SUM(VLOOKUP($A48, LS_current!$B$4:$AY$138, LS_current!O$148, FALSE), VLOOKUP($A48, LS_current!$B$4:$AY$138,LS_current!AM$148, FALSE))/2)</f>
        <v>-33.772461843411179</v>
      </c>
      <c r="CK48" s="192">
        <f t="array" ref="CK48">IF($BT48=0, INDEX(LS_current!$D$4:$AY$138, MATCH('Staging Table'!$A48, LS_current!$B$4:$B$138, 0), MATCH(CK$4&amp;CK$5, LS_current!$D$2:$AY$2&amp;LS_current!$D$3:$AY$3, 0)),SUM(VLOOKUP($A48, LS_current!$B$4:$AY$138, LS_current!P$148, FALSE), VLOOKUP($A48, LS_current!$B$4:$AY$138,LS_current!AN$148, FALSE))/2)</f>
        <v>110.79038719879281</v>
      </c>
      <c r="CL48" s="192">
        <f t="array" ref="CL48">IF($BT48=0, INDEX(LS_current!$D$4:$AY$138, MATCH('Staging Table'!$A48, LS_current!$B$4:$B$138, 0), MATCH(CL$4&amp;CL$5, LS_current!$D$2:$AY$2&amp;LS_current!$D$3:$AY$3, 0)),SUM(VLOOKUP($A48, LS_current!$B$4:$AY$138, LS_current!Q$148, FALSE), VLOOKUP($A48, LS_current!$B$4:$AY$138,LS_current!AO$148, FALSE))/2)</f>
        <v>117.91078469627837</v>
      </c>
      <c r="CM48" s="192">
        <f t="array" ref="CM48">IF($BT48=0, INDEX(LS_current!$D$4:$AY$138, MATCH('Staging Table'!$A48, LS_current!$B$4:$B$138, 0), MATCH(CM$4&amp;CM$5, LS_current!$D$2:$AY$2&amp;LS_current!$D$3:$AY$3, 0)),SUM(VLOOKUP($A48, LS_current!$B$4:$AY$138, LS_current!R$148, FALSE), VLOOKUP($A48, LS_current!$B$4:$AY$138,LS_current!AP$148, FALSE))/2)</f>
        <v>-373.79034044583773</v>
      </c>
      <c r="CN48" s="192">
        <f t="array" ref="CN48">IF($BT48=0, INDEX(LS_current!$D$4:$AY$138, MATCH('Staging Table'!$A48, LS_current!$B$4:$B$138, 0), MATCH(CN$4&amp;CN$5, LS_current!$D$2:$AY$2&amp;LS_current!$D$3:$AY$3, 0)),SUM(VLOOKUP($A48, LS_current!$B$4:$AY$138, LS_current!S$148, FALSE), VLOOKUP($A48, LS_current!$B$4:$AY$138,LS_current!AQ$148, FALSE))/2)</f>
        <v>172.03595581114155</v>
      </c>
      <c r="CO48" s="192">
        <f t="array" ref="CO48">IF($BT48=0, INDEX(LS_current!$D$4:$AY$138, MATCH('Staging Table'!$A48, LS_current!$B$4:$B$138, 0), MATCH(CO$4&amp;CO$5, LS_current!$D$2:$AY$2&amp;LS_current!$D$3:$AY$3, 0)),SUM(VLOOKUP($A48, LS_current!$B$4:$AY$138, LS_current!T$148, FALSE), VLOOKUP($A48, LS_current!$B$4:$AY$138,LS_current!AR$148, FALSE))/2)</f>
        <v>-465.42102297062888</v>
      </c>
      <c r="CP48" s="192">
        <f t="array" ref="CP48">IF($BT48=0, INDEX(LS_current!$D$4:$AY$138, MATCH('Staging Table'!$A48, LS_current!$B$4:$B$138, 0), MATCH(CP$4&amp;CP$5, LS_current!$D$2:$AY$2&amp;LS_current!$D$3:$AY$3, 0)),SUM(VLOOKUP($A48, LS_current!$B$4:$AY$138, LS_current!U$148, FALSE), VLOOKUP($A48, LS_current!$B$4:$AY$138,LS_current!AS$148, FALSE))/2)</f>
        <v>119.23632414691599</v>
      </c>
      <c r="CQ48" s="192">
        <f t="array" ref="CQ48">IF($BT48=0, INDEX(LS_current!$D$4:$AY$138, MATCH('Staging Table'!$A48, LS_current!$B$4:$B$138, 0), MATCH(CQ$4&amp;CQ$5, LS_current!$D$2:$AY$2&amp;LS_current!$D$3:$AY$3, 0)),SUM(VLOOKUP($A48, LS_current!$B$4:$AY$138, LS_current!V$148, FALSE), VLOOKUP($A48, LS_current!$B$4:$AY$138,LS_current!AT$148, FALSE))/2)</f>
        <v>15.166360394644016</v>
      </c>
      <c r="CR48" s="192">
        <f t="array" ref="CR48">IF($BT48=0, INDEX(LS_current!$D$4:$AY$138, MATCH('Staging Table'!$A48, LS_current!$B$4:$B$138, 0), MATCH(CR$4&amp;CR$5, LS_current!$D$2:$AY$2&amp;LS_current!$D$3:$AY$3, 0)),SUM(VLOOKUP($A48, LS_current!$B$4:$AY$138, LS_current!W$148, FALSE), VLOOKUP($A48, LS_current!$B$4:$AY$138,LS_current!AU$148, FALSE))/2)</f>
        <v>416.32348820360812</v>
      </c>
      <c r="CS48" s="192">
        <f t="array" ref="CS48">IF($BT48=0, INDEX(LS_current!$D$4:$AY$138, MATCH('Staging Table'!$A48, LS_current!$B$4:$B$138, 0), MATCH(CS$4&amp;CS$5, LS_current!$D$2:$AY$2&amp;LS_current!$D$3:$AY$3, 0)),SUM(VLOOKUP($A48, LS_current!$B$4:$AY$138, LS_current!X$148, FALSE), VLOOKUP($A48, LS_current!$B$4:$AY$138,LS_current!AV$148, FALSE))/2)</f>
        <v>131.97265520713063</v>
      </c>
      <c r="CT48" s="192">
        <f t="array" ref="CT48">IF($BT48=0, INDEX(LS_current!$D$4:$AY$138, MATCH('Staging Table'!$A48, LS_current!$B$4:$B$138, 0), MATCH(CT$4&amp;CT$5, LS_current!$D$2:$AY$2&amp;LS_current!$D$3:$AY$3, 0)),SUM(VLOOKUP($A48, LS_current!$B$4:$AY$138, LS_current!Y$148, FALSE), VLOOKUP($A48, LS_current!$B$4:$AY$138,LS_current!AW$148, FALSE))/2)</f>
        <v>295.78835052552324</v>
      </c>
      <c r="CU48" s="192">
        <f t="array" ref="CU48">IF($BT48=0, INDEX(LS_current!$D$4:$AY$138, MATCH('Staging Table'!$A48, LS_current!$B$4:$B$138, 0), MATCH(CU$4&amp;CU$5, LS_current!$D$2:$AY$2&amp;LS_current!$D$3:$AY$3, 0)),SUM(VLOOKUP($A48, LS_current!$B$4:$AY$138, LS_current!Z$148, FALSE), VLOOKUP($A48, LS_current!$B$4:$AY$138,LS_current!AX$148, FALSE))/2)</f>
        <v>-105.13536518381034</v>
      </c>
      <c r="CV48" s="192">
        <f t="array" ref="CV48">IF($BT48=0, INDEX(LS_current!$D$4:$AY$138, MATCH('Staging Table'!$A48, LS_current!$B$4:$B$138, 0), MATCH(CV$4&amp;CV$5, LS_current!$D$2:$AY$2&amp;LS_current!$D$3:$AY$3, 0)),SUM(VLOOKUP($A48, LS_current!$B$4:$AY$138, LS_current!AA$148, FALSE), VLOOKUP($A48, LS_current!$B$4:$AY$138,LS_current!AY$148, FALSE))/2)</f>
        <v>116.77417628433852</v>
      </c>
      <c r="CW48" s="194">
        <f t="array" ref="CW48">INDEX(Demand_current!$D$4:$AY$138, MATCH($A48, Demand_current!$B$4:$B$138, 0), MATCH(CW$4&amp;CW$5,Demand_current!$D$2:$AY$2&amp;Demand_current!$D$3:$AY$3, 0))/1000</f>
        <v>0.38789663461538437</v>
      </c>
      <c r="CX48" s="194">
        <f t="array" ref="CX48">INDEX(Demand_current!$D$4:$AY$138, MATCH($A48, Demand_current!$B$4:$B$138, 0), MATCH(CX$4&amp;CX$5,Demand_current!$D$2:$AY$2&amp;Demand_current!$D$3:$AY$3, 0))/1000</f>
        <v>0</v>
      </c>
      <c r="CY48" s="194">
        <f t="array" ref="CY48">INDEX(Demand_current!$D$4:$AY$138, MATCH($A48, Demand_current!$B$4:$B$138, 0), MATCH(CY$4&amp;CY$5,Demand_current!$D$2:$AY$2&amp;Demand_current!$D$3:$AY$3, 0))/1000</f>
        <v>0.86436538461538448</v>
      </c>
      <c r="CZ48" s="194">
        <f t="array" ref="CZ48">INDEX(Demand_current!$D$4:$AY$138, MATCH($A48, Demand_current!$B$4:$B$138, 0), MATCH(CZ$4&amp;CZ$5,Demand_current!$D$2:$AY$2&amp;Demand_current!$D$3:$AY$3, 0))/1000</f>
        <v>0.91452250000000013</v>
      </c>
      <c r="DA48" s="194">
        <f t="array" ref="DA48">INDEX(Demand_current!$D$4:$AY$138, MATCH($A48, Demand_current!$B$4:$B$138, 0), MATCH(DA$4&amp;DA$5,Demand_current!$D$2:$AY$2&amp;Demand_current!$D$3:$AY$3, 0))/1000</f>
        <v>6.6528645833332734E-2</v>
      </c>
      <c r="DB48" s="194">
        <f t="array" ref="DB48">INDEX(Demand_current!$D$4:$AY$138, MATCH($A48, Demand_current!$B$4:$B$138, 0), MATCH(DB$4&amp;DB$5,Demand_current!$D$2:$AY$2&amp;Demand_current!$D$3:$AY$3, 0))/1000</f>
        <v>0.68681249999999983</v>
      </c>
      <c r="DC48" s="194">
        <f t="array" ref="DC48">INDEX(Demand_current!$D$4:$AY$138, MATCH($A48, Demand_current!$B$4:$B$138, 0), MATCH(DC$4&amp;DC$5,Demand_current!$D$2:$AY$2&amp;Demand_current!$D$3:$AY$3, 0))/1000</f>
        <v>0.39725480769230814</v>
      </c>
      <c r="DD48" s="194">
        <f t="array" ref="DD48">INDEX(Demand_current!$D$4:$AY$138, MATCH($A48, Demand_current!$B$4:$B$138, 0), MATCH(DD$4&amp;DD$5,Demand_current!$D$2:$AY$2&amp;Demand_current!$D$3:$AY$3, 0))/1000</f>
        <v>0.17233250000000055</v>
      </c>
      <c r="DE48" s="194">
        <f t="array" ref="DE48">INDEX(Demand_current!$D$4:$AY$138, MATCH($A48, Demand_current!$B$4:$B$138, 0), MATCH(DE$4&amp;DE$5,Demand_current!$D$2:$AY$2&amp;Demand_current!$D$3:$AY$3, 0))/1000</f>
        <v>0.43918509615384599</v>
      </c>
      <c r="DF48" s="194">
        <f t="array" ref="DF48">INDEX(Demand_current!$D$4:$AY$138, MATCH($A48, Demand_current!$B$4:$B$138, 0), MATCH(DF$4&amp;DF$5,Demand_current!$D$2:$AY$2&amp;Demand_current!$D$3:$AY$3, 0))/1000</f>
        <v>0.59503999999999979</v>
      </c>
      <c r="DG48" s="194">
        <f t="array" ref="DG48">INDEX(Demand_current!$D$4:$AY$138, MATCH($A48, Demand_current!$B$4:$B$138, 0), MATCH(DG$4&amp;DG$5,Demand_current!$D$2:$AY$2&amp;Demand_current!$D$3:$AY$3, 0))/1000</f>
        <v>0.69632870370370314</v>
      </c>
      <c r="DH48" s="194">
        <f t="array" ref="DH48">INDEX(Demand_current!$D$4:$AY$138, MATCH($A48, Demand_current!$B$4:$B$138, 0), MATCH(DH$4&amp;DH$5,Demand_current!$D$2:$AY$2&amp;Demand_current!$D$3:$AY$3, 0))/1000</f>
        <v>0.49219499999999955</v>
      </c>
      <c r="DI48" s="192">
        <f>$BS48*(VLOOKUP(DI$4, Rates_current!$G$6:$Q$29, 10, FALSE)+VLOOKUP(DI$4, Rates_current!$G$6:$Q$29, 11, FALSE))</f>
        <v>2062.0169777214865</v>
      </c>
      <c r="DJ48" s="192">
        <f>$BS48*(VLOOKUP(DJ$4, Rates_current!$G$6:$Q$29, 10, FALSE)+VLOOKUP(DJ$4, Rates_current!$G$6:$Q$29, 11, FALSE))</f>
        <v>2610.5883295413596</v>
      </c>
      <c r="DK48" s="192">
        <f>$BS48*(VLOOKUP(DK$4, Rates_current!$G$6:$Q$29, 10, FALSE)+VLOOKUP(DK$4, Rates_current!$G$6:$Q$29, 11, FALSE))</f>
        <v>2555.2444228894274</v>
      </c>
      <c r="DL48" s="192">
        <f>$BS48*(VLOOKUP(DL$4, Rates_current!$G$6:$Q$29, 10, FALSE)+VLOOKUP(DL$4, Rates_current!$G$6:$Q$29, 11, FALSE))</f>
        <v>2110.5232319415695</v>
      </c>
      <c r="DM48" s="192">
        <f>$BS48*(VLOOKUP(DM$4, Rates_current!$G$6:$Q$29, 10, FALSE)+VLOOKUP(DM$4, Rates_current!$G$6:$Q$29, 11, FALSE))</f>
        <v>1829.2367416476711</v>
      </c>
      <c r="DN48" s="192">
        <f>$BS48*(VLOOKUP(DN$4, Rates_current!$G$6:$Q$29, 10, FALSE)+VLOOKUP(DN$4, Rates_current!$G$6:$Q$29, 11, FALSE))</f>
        <v>2183.7392748372586</v>
      </c>
      <c r="DO48" s="192">
        <f>$BS48*(VLOOKUP(DO$4, Rates_current!$G$6:$Q$29, 10, FALSE)+VLOOKUP(DO$4, Rates_current!$G$6:$Q$29, 11, FALSE))</f>
        <v>1695.3828281049289</v>
      </c>
      <c r="DP48" s="192">
        <f>$BS48*(VLOOKUP(DP$4, Rates_current!$G$6:$Q$29, 10, FALSE)+VLOOKUP(DP$4, Rates_current!$G$6:$Q$29, 11, FALSE))</f>
        <v>2348.965384634696</v>
      </c>
      <c r="DQ48" s="192">
        <f>$BS48*(VLOOKUP(DQ$4, Rates_current!$G$6:$Q$29, 10, FALSE)+VLOOKUP(DQ$4, Rates_current!$G$6:$Q$29, 11, FALSE))</f>
        <v>2509.9186988237129</v>
      </c>
      <c r="DR48" s="192">
        <f>$BS48*(VLOOKUP(DR$4, Rates_current!$G$6:$Q$29, 10, FALSE)+VLOOKUP(DR$4, Rates_current!$G$6:$Q$29, 11, FALSE))</f>
        <v>2383.0541514017482</v>
      </c>
      <c r="DS48" s="192">
        <f>$BS48*(VLOOKUP(DS$4, Rates_current!$G$6:$Q$29, 10, FALSE)+VLOOKUP(DS$4, Rates_current!$G$6:$Q$29, 11, FALSE))</f>
        <v>2303.0379942673462</v>
      </c>
      <c r="DT48" s="192">
        <f>$BS48*(VLOOKUP(DT$4, Rates_current!$G$6:$Q$29, 10, FALSE)+VLOOKUP(DT$4, Rates_current!$G$6:$Q$29, 11, FALSE))</f>
        <v>2128.2471888994719</v>
      </c>
      <c r="DU48" s="418">
        <f>IF(D48=0,IF(C48=0,MAX(0,DW48 - (VLOOKUP($A48,TOCA_current!$A$2:$AI$137,MATCH("RHWM 2022",TOCA_current!$A$2:$AI$2,0),FALSE)*$BS$2)), 0),0)</f>
        <v>0</v>
      </c>
      <c r="DV48" s="419">
        <f>MIN(VLOOKUP($A48,TOCA_current!$A$2:$AI$137,MATCH("TRL - NLSL - Existing Resource "&amp;$BS$1,TOCA_current!$A$2:$AI$2,0),FALSE)*$BS$2, VLOOKUP($A48,TOCA_current!$A$2:$AI$137,MATCH("RHWM 2022",TOCA_current!$A$2:$AI$2,0),FALSE)*$BS$2)</f>
        <v>26718</v>
      </c>
      <c r="DW48" s="419">
        <f>SUM(BY48:CV48)+(BS48*RT1SC!$C$4*$BS$2)</f>
        <v>26589.594366841324</v>
      </c>
      <c r="DX48" s="419">
        <f>VLOOKUP($A48,TOCA_current!$A$2:$AI$137,MATCH("Above RHWM Not Served with LS "&amp;$BS$1,TOCA_current!$A$2:$AI$2,0),FALSE)*$BS$2</f>
        <v>0</v>
      </c>
      <c r="DY48" s="419">
        <f t="shared" si="13"/>
        <v>-128.40563315867621</v>
      </c>
      <c r="DZ48" s="419">
        <f>(VLOOKUP($A48,TOCA_current!$A$2:$AI$137,MATCH("RHWM 2022",TOCA_current!$A$2:$AI$2,0),FALSE)*$BS$2) - $DV48</f>
        <v>315.35999999999694</v>
      </c>
      <c r="EA48" s="419">
        <f t="shared" si="14"/>
        <v>0</v>
      </c>
      <c r="EB48" s="419">
        <f t="shared" si="15"/>
        <v>128.40563315867621</v>
      </c>
      <c r="EC48" s="419">
        <f t="shared" si="16"/>
        <v>0</v>
      </c>
      <c r="ED48" s="419">
        <f t="shared" si="17"/>
        <v>128.40563315867621</v>
      </c>
    </row>
    <row r="49" spans="1:134">
      <c r="A49" s="135">
        <v>10112</v>
      </c>
      <c r="B49" s="136" t="s">
        <v>50</v>
      </c>
      <c r="C49" s="244">
        <f>VLOOKUP(A49, TOCA_current!$A$3:$D$137, 4, FALSE)</f>
        <v>0</v>
      </c>
      <c r="D49" s="203">
        <v>0</v>
      </c>
      <c r="E49" s="119">
        <f>VLOOKUP($A49,TOCA_previous!$A$2:$AI$137,MATCH(E$4,TOCA_previous!$A$2:$AI$2,0),FALSE)</f>
        <v>7.7555999999999996E-3</v>
      </c>
      <c r="F49" s="120">
        <f>VLOOKUP($A49,TOCA_previous!$A$2:$AI$137,MATCH(F$4,TOCA_previous!$A$2:$AI$2,0),FALSE)</f>
        <v>7.7555999999999996E-3</v>
      </c>
      <c r="G49" s="120">
        <f t="shared" si="5"/>
        <v>0</v>
      </c>
      <c r="H49" s="120">
        <f>VLOOKUP($A49,TOCA_previous!$A$2:$AI$137,MATCH(H$4,TOCA_previous!$A$2:$AI$2,0),FALSE)</f>
        <v>0</v>
      </c>
      <c r="I49" s="120">
        <f t="shared" si="6"/>
        <v>0</v>
      </c>
      <c r="J49" s="120">
        <f t="shared" si="7"/>
        <v>0</v>
      </c>
      <c r="K49" s="191">
        <f>VLOOKUP(A49, IRD!$A$5:$C$139, 3, FALSE)</f>
        <v>0</v>
      </c>
      <c r="L49" s="192">
        <f t="array" ref="L49">IF($G49=0, INDEX(LS_previous!$D$4:$AY$138, MATCH('Staging Table'!$A49, LS_previous!$B$4:$B$138, 0), MATCH(L$4&amp;L$5, LS_previous!$D$2:$AY$2&amp;LS_previous!$D$3:$AY$3, 0)),SUM(VLOOKUP($A49, LS_previous!$B$4:$AY$138, LS_previous!D$149, FALSE), VLOOKUP('Staging Table'!$A49, LS_previous!$B$4:$AY$138,LS_previous!AB$149, FALSE))/2)</f>
        <v>2463.5174768272009</v>
      </c>
      <c r="M49" s="192">
        <f t="array" ref="M49">IF($G49=0, INDEX(LS_previous!$D$4:$AY$138, MATCH('Staging Table'!$A49, LS_previous!$B$4:$B$138, 0), MATCH(M$4&amp;M$5, LS_previous!$D$2:$AY$2&amp;LS_previous!$D$3:$AY$3, 0)),SUM(VLOOKUP($A49, LS_previous!$B$4:$AY$138, LS_previous!E$149, FALSE), VLOOKUP('Staging Table'!$A49, LS_previous!$B$4:$AY$138,LS_previous!AC$149, FALSE))/2)</f>
        <v>2695.3582778752025</v>
      </c>
      <c r="N49" s="192">
        <f t="array" ref="N49">IF($G49=0, INDEX(LS_previous!$D$4:$AY$138, MATCH('Staging Table'!$A49, LS_previous!$B$4:$B$138, 0), MATCH(N$4&amp;N$5, LS_previous!$D$2:$AY$2&amp;LS_previous!$D$3:$AY$3, 0)),SUM(VLOOKUP($A49, LS_previous!$B$4:$AY$138, LS_previous!F$149, FALSE), VLOOKUP('Staging Table'!$A49, LS_previous!$B$4:$AY$138,LS_previous!AD$149, FALSE))/2)</f>
        <v>-2674.8146001567984</v>
      </c>
      <c r="O49" s="192">
        <f t="array" ref="O49">IF($G49=0, INDEX(LS_previous!$D$4:$AY$138, MATCH('Staging Table'!$A49, LS_previous!$B$4:$B$138, 0), MATCH(O$4&amp;O$5, LS_previous!$D$2:$AY$2&amp;LS_previous!$D$3:$AY$3, 0)),SUM(VLOOKUP($A49, LS_previous!$B$4:$AY$138, LS_previous!G$149, FALSE), VLOOKUP('Staging Table'!$A49, LS_previous!$B$4:$AY$138,LS_previous!AE$149, FALSE))/2)</f>
        <v>433.01257176840227</v>
      </c>
      <c r="P49" s="192">
        <f t="array" ref="P49">IF($G49=0, INDEX(LS_previous!$D$4:$AY$138, MATCH('Staging Table'!$A49, LS_previous!$B$4:$B$138, 0), MATCH(P$4&amp;P$5, LS_previous!$D$2:$AY$2&amp;LS_previous!$D$3:$AY$3, 0)),SUM(VLOOKUP($A49, LS_previous!$B$4:$AY$138, LS_previous!H$149, FALSE), VLOOKUP('Staging Table'!$A49, LS_previous!$B$4:$AY$138,LS_previous!AF$149, FALSE))/2)</f>
        <v>2140.9554346367986</v>
      </c>
      <c r="Q49" s="192">
        <f t="array" ref="Q49">IF($G49=0, INDEX(LS_previous!$D$4:$AY$138, MATCH('Staging Table'!$A49, LS_previous!$B$4:$B$138, 0), MATCH(Q$4&amp;Q$5, LS_previous!$D$2:$AY$2&amp;LS_previous!$D$3:$AY$3, 0)),SUM(VLOOKUP($A49, LS_previous!$B$4:$AY$138, LS_previous!I$149, FALSE), VLOOKUP('Staging Table'!$A49, LS_previous!$B$4:$AY$138,LS_previous!AG$149, FALSE))/2)</f>
        <v>3316.3162852655987</v>
      </c>
      <c r="R49" s="192">
        <f t="array" ref="R49">IF($G49=0, INDEX(LS_previous!$D$4:$AY$138, MATCH('Staging Table'!$A49, LS_previous!$B$4:$B$138, 0), MATCH(R$4&amp;R$5, LS_previous!$D$2:$AY$2&amp;LS_previous!$D$3:$AY$3, 0)),SUM(VLOOKUP($A49, LS_previous!$B$4:$AY$138, LS_previous!J$149, FALSE), VLOOKUP('Staging Table'!$A49, LS_previous!$B$4:$AY$138,LS_previous!AH$149, FALSE))/2)</f>
        <v>8416.9245402367997</v>
      </c>
      <c r="S49" s="192">
        <f t="array" ref="S49">IF($G49=0, INDEX(LS_previous!$D$4:$AY$138, MATCH('Staging Table'!$A49, LS_previous!$B$4:$B$138, 0), MATCH(S$4&amp;S$5, LS_previous!$D$2:$AY$2&amp;LS_previous!$D$3:$AY$3, 0)),SUM(VLOOKUP($A49, LS_previous!$B$4:$AY$138, LS_previous!K$149, FALSE), VLOOKUP('Staging Table'!$A49, LS_previous!$B$4:$AY$138,LS_previous!AI$149, FALSE))/2)</f>
        <v>7520.4820884656001</v>
      </c>
      <c r="T49" s="192">
        <f t="array" ref="T49">IF($G49=0, INDEX(LS_previous!$D$4:$AY$138, MATCH('Staging Table'!$A49, LS_previous!$B$4:$B$138, 0), MATCH(T$4&amp;T$5, LS_previous!$D$2:$AY$2&amp;LS_previous!$D$3:$AY$3, 0)),SUM(VLOOKUP($A49, LS_previous!$B$4:$AY$138, LS_previous!L$149, FALSE), VLOOKUP('Staging Table'!$A49, LS_previous!$B$4:$AY$138,LS_previous!AJ$149, FALSE))/2)</f>
        <v>4912.6139451056042</v>
      </c>
      <c r="U49" s="192">
        <f t="array" ref="U49">IF($G49=0, INDEX(LS_previous!$D$4:$AY$138, MATCH('Staging Table'!$A49, LS_previous!$B$4:$B$138, 0), MATCH(U$4&amp;U$5, LS_previous!$D$2:$AY$2&amp;LS_previous!$D$3:$AY$3, 0)),SUM(VLOOKUP($A49, LS_previous!$B$4:$AY$138, LS_previous!M$149, FALSE), VLOOKUP('Staging Table'!$A49, LS_previous!$B$4:$AY$138,LS_previous!AK$149, FALSE))/2)</f>
        <v>4055.9264008144</v>
      </c>
      <c r="V49" s="192">
        <f t="array" ref="V49">IF($G49=0, INDEX(LS_previous!$D$4:$AY$138, MATCH('Staging Table'!$A49, LS_previous!$B$4:$B$138, 0), MATCH(V$4&amp;V$5, LS_previous!$D$2:$AY$2&amp;LS_previous!$D$3:$AY$3, 0)),SUM(VLOOKUP($A49, LS_previous!$B$4:$AY$138, LS_previous!N$149, FALSE), VLOOKUP('Staging Table'!$A49, LS_previous!$B$4:$AY$138,LS_previous!AL$149, FALSE))/2)</f>
        <v>4024.1362006304043</v>
      </c>
      <c r="W49" s="192">
        <f t="array" ref="W49">IF($G49=0, INDEX(LS_previous!$D$4:$AY$138, MATCH('Staging Table'!$A49, LS_previous!$B$4:$B$138, 0), MATCH(W$4&amp;W$5, LS_previous!$D$2:$AY$2&amp;LS_previous!$D$3:$AY$3, 0)),SUM(VLOOKUP($A49, LS_previous!$B$4:$AY$138, LS_previous!O$149, FALSE), VLOOKUP('Staging Table'!$A49, LS_previous!$B$4:$AY$138,LS_previous!AM$149, FALSE))/2)</f>
        <v>3654.3556623723998</v>
      </c>
      <c r="X49" s="192">
        <f t="array" ref="X49">IF($G49=0, INDEX(LS_previous!$D$4:$AY$138, MATCH('Staging Table'!$A49, LS_previous!$B$4:$B$138, 0), MATCH(X$4&amp;X$5, LS_previous!$D$2:$AY$2&amp;LS_previous!$D$3:$AY$3, 0)),SUM(VLOOKUP($A49, LS_previous!$B$4:$AY$138, LS_previous!P$149, FALSE), VLOOKUP('Staging Table'!$A49, LS_previous!$B$4:$AY$138,LS_previous!AN$149, FALSE))/2)</f>
        <v>5546.0491594335981</v>
      </c>
      <c r="Y49" s="192">
        <f t="array" ref="Y49">IF($G49=0, INDEX(LS_previous!$D$4:$AY$138, MATCH('Staging Table'!$A49, LS_previous!$B$4:$B$138, 0), MATCH(Y$4&amp;Y$5, LS_previous!$D$2:$AY$2&amp;LS_previous!$D$3:$AY$3, 0)),SUM(VLOOKUP($A49, LS_previous!$B$4:$AY$138, LS_previous!Q$149, FALSE), VLOOKUP('Staging Table'!$A49, LS_previous!$B$4:$AY$138,LS_previous!AO$149, FALSE))/2)</f>
        <v>3779.3520610783999</v>
      </c>
      <c r="Z49" s="192">
        <f t="array" ref="Z49">IF($G49=0, INDEX(LS_previous!$D$4:$AY$138, MATCH('Staging Table'!$A49, LS_previous!$B$4:$B$138, 0), MATCH(Z$4&amp;Z$5, LS_previous!$D$2:$AY$2&amp;LS_previous!$D$3:$AY$3, 0)),SUM(VLOOKUP($A49, LS_previous!$B$4:$AY$138, LS_previous!R$149, FALSE), VLOOKUP('Staging Table'!$A49, LS_previous!$B$4:$AY$138,LS_previous!AP$149, FALSE))/2)</f>
        <v>-3865.9123127599996</v>
      </c>
      <c r="AA49" s="192">
        <f t="array" ref="AA49">IF($G49=0, INDEX(LS_previous!$D$4:$AY$138, MATCH('Staging Table'!$A49, LS_previous!$B$4:$B$138, 0), MATCH(AA$4&amp;AA$5, LS_previous!$D$2:$AY$2&amp;LS_previous!$D$3:$AY$3, 0)),SUM(VLOOKUP($A49, LS_previous!$B$4:$AY$138, LS_previous!S$149, FALSE), VLOOKUP('Staging Table'!$A49, LS_previous!$B$4:$AY$138,LS_previous!AQ$149, FALSE))/2)</f>
        <v>432.60654166240238</v>
      </c>
      <c r="AB49" s="192">
        <f t="array" ref="AB49">IF($G49=0, INDEX(LS_previous!$D$4:$AY$138, MATCH('Staging Table'!$A49, LS_previous!$B$4:$B$138, 0), MATCH(AB$4&amp;AB$5, LS_previous!$D$2:$AY$2&amp;LS_previous!$D$3:$AY$3, 0)),SUM(VLOOKUP($A49, LS_previous!$B$4:$AY$138, LS_previous!T$149, FALSE), VLOOKUP('Staging Table'!$A49, LS_previous!$B$4:$AY$138,LS_previous!AR$149, FALSE))/2)</f>
        <v>-10722.901297166394</v>
      </c>
      <c r="AC49" s="192">
        <f t="array" ref="AC49">IF($G49=0, INDEX(LS_previous!$D$4:$AY$138, MATCH('Staging Table'!$A49, LS_previous!$B$4:$B$138, 0), MATCH(AC$4&amp;AC$5, LS_previous!$D$2:$AY$2&amp;LS_previous!$D$3:$AY$3, 0)),SUM(VLOOKUP($A49, LS_previous!$B$4:$AY$138, LS_previous!U$149, FALSE), VLOOKUP('Staging Table'!$A49, LS_previous!$B$4:$AY$138,LS_previous!AS$149, FALSE))/2)</f>
        <v>-4577.7134405215984</v>
      </c>
      <c r="AD49" s="192">
        <f t="array" ref="AD49">IF($G49=0, INDEX(LS_previous!$D$4:$AY$138, MATCH('Staging Table'!$A49, LS_previous!$B$4:$B$138, 0), MATCH(AD$4&amp;AD$5, LS_previous!$D$2:$AY$2&amp;LS_previous!$D$3:$AY$3, 0)),SUM(VLOOKUP($A49, LS_previous!$B$4:$AY$138, LS_previous!V$149, FALSE), VLOOKUP('Staging Table'!$A49, LS_previous!$B$4:$AY$138,LS_previous!AT$149, FALSE))/2)</f>
        <v>-3832.2873951663969</v>
      </c>
      <c r="AE49" s="192">
        <f t="array" ref="AE49">IF($G49=0, INDEX(LS_previous!$D$4:$AY$138, MATCH('Staging Table'!$A49, LS_previous!$B$4:$B$138, 0), MATCH(AE$4&amp;AE$5, LS_previous!$D$2:$AY$2&amp;LS_previous!$D$3:$AY$3, 0)),SUM(VLOOKUP($A49, LS_previous!$B$4:$AY$138, LS_previous!W$149, FALSE), VLOOKUP('Staging Table'!$A49, LS_previous!$B$4:$AY$138,LS_previous!AU$149, FALSE))/2)</f>
        <v>2818.5043914688013</v>
      </c>
      <c r="AF49" s="192">
        <f t="array" ref="AF49">IF($G49=0, INDEX(LS_previous!$D$4:$AY$138, MATCH('Staging Table'!$A49, LS_previous!$B$4:$B$138, 0), MATCH(AF$4&amp;AF$5, LS_previous!$D$2:$AY$2&amp;LS_previous!$D$3:$AY$3, 0)),SUM(VLOOKUP($A49, LS_previous!$B$4:$AY$138, LS_previous!X$149, FALSE), VLOOKUP('Staging Table'!$A49, LS_previous!$B$4:$AY$138,LS_previous!AV$149, FALSE))/2)</f>
        <v>-1526.3747373663973</v>
      </c>
      <c r="AG49" s="192">
        <f t="array" ref="AG49">IF($G49=0, INDEX(LS_previous!$D$4:$AY$138, MATCH('Staging Table'!$A49, LS_previous!$B$4:$B$138, 0), MATCH(AG$4&amp;AG$5, LS_previous!$D$2:$AY$2&amp;LS_previous!$D$3:$AY$3, 0)),SUM(VLOOKUP($A49, LS_previous!$B$4:$AY$138, LS_previous!Y$149, FALSE), VLOOKUP('Staging Table'!$A49, LS_previous!$B$4:$AY$138,LS_previous!AW$149, FALSE))/2)</f>
        <v>2500.6705034688002</v>
      </c>
      <c r="AH49" s="192">
        <f t="array" ref="AH49">IF($G49=0, INDEX(LS_previous!$D$4:$AY$138, MATCH('Staging Table'!$A49, LS_previous!$B$4:$B$138, 0), MATCH(AH$4&amp;AH$5, LS_previous!$D$2:$AY$2&amp;LS_previous!$D$3:$AY$3, 0)),SUM(VLOOKUP($A49, LS_previous!$B$4:$AY$138, LS_previous!Z$149, FALSE), VLOOKUP('Staging Table'!$A49, LS_previous!$B$4:$AY$138,LS_previous!AX$149, FALSE))/2)</f>
        <v>-317.22435935999965</v>
      </c>
      <c r="AI49" s="192">
        <f t="array" ref="AI49">IF($G49=0, INDEX(LS_previous!$D$4:$AY$138, MATCH('Staging Table'!$A49, LS_previous!$B$4:$B$138, 0), MATCH(AI$4&amp;AI$5, LS_previous!$D$2:$AY$2&amp;LS_previous!$D$3:$AY$3, 0)),SUM(VLOOKUP($A49, LS_previous!$B$4:$AY$138, LS_previous!AA$149, FALSE), VLOOKUP('Staging Table'!$A49, LS_previous!$B$4:$AY$138,LS_previous!AY$149, FALSE))/2)</f>
        <v>1681.3500962720009</v>
      </c>
      <c r="AJ49" s="314">
        <f t="array" ref="AJ49">INDEX(Demand_previous!$D$4:$AY$138, MATCH('Staging Table'!$A49, Demand_previous!$B$4:$B$138, 0), MATCH(AJ$4&amp;AJ$5,Demand_previous!$D$2:$AY$2&amp;Demand_previous!$D$3:$AY$3, 0))/1000</f>
        <v>5.2793310185185183</v>
      </c>
      <c r="AK49" s="314">
        <f t="array" ref="AK49">INDEX(Demand_previous!$D$4:$AY$138, MATCH('Staging Table'!$A49, Demand_previous!$B$4:$B$138, 0), MATCH(AK$4&amp;AK$5,Demand_previous!$D$2:$AY$2&amp;Demand_previous!$D$3:$AY$3, 0))/1000</f>
        <v>5.0705575000000014</v>
      </c>
      <c r="AL49" s="314">
        <f t="array" ref="AL49">INDEX(Demand_previous!$D$4:$AY$138, MATCH('Staging Table'!$A49, Demand_previous!$B$4:$B$138, 0), MATCH(AL$4&amp;AL$5,Demand_previous!$D$2:$AY$2&amp;Demand_previous!$D$3:$AY$3, 0))/1000</f>
        <v>9.0031349999999915</v>
      </c>
      <c r="AM49" s="314">
        <f t="array" ref="AM49">INDEX(Demand_previous!$D$4:$AY$138, MATCH('Staging Table'!$A49, Demand_previous!$B$4:$B$138, 0), MATCH(AM$4&amp;AM$5,Demand_previous!$D$2:$AY$2&amp;Demand_previous!$D$3:$AY$3, 0))/1000</f>
        <v>6.7068605769230754</v>
      </c>
      <c r="AN49" s="314">
        <f t="array" ref="AN49">INDEX(Demand_previous!$D$4:$AY$138, MATCH('Staging Table'!$A49, Demand_previous!$B$4:$B$138, 0), MATCH(AN$4&amp;AN$5,Demand_previous!$D$2:$AY$2&amp;Demand_previous!$D$3:$AY$3, 0))/1000</f>
        <v>8.7752474999999937</v>
      </c>
      <c r="AO49" s="314">
        <f t="array" ref="AO49">INDEX(Demand_previous!$D$4:$AY$138, MATCH('Staging Table'!$A49, Demand_previous!$B$4:$B$138, 0), MATCH(AO$4&amp;AO$5,Demand_previous!$D$2:$AY$2&amp;Demand_previous!$D$3:$AY$3, 0))/1000</f>
        <v>0</v>
      </c>
      <c r="AP49" s="314">
        <f t="array" ref="AP49">INDEX(Demand_previous!$D$4:$AY$138, MATCH('Staging Table'!$A49, Demand_previous!$B$4:$B$138, 0), MATCH(AP$4&amp;AP$5,Demand_previous!$D$2:$AY$2&amp;Demand_previous!$D$3:$AY$3, 0))/1000</f>
        <v>10.762579326923086</v>
      </c>
      <c r="AQ49" s="314">
        <f t="array" ref="AQ49">INDEX(Demand_previous!$D$4:$AY$138, MATCH('Staging Table'!$A49, Demand_previous!$B$4:$B$138, 0), MATCH(AQ$4&amp;AQ$5,Demand_previous!$D$2:$AY$2&amp;Demand_previous!$D$3:$AY$3, 0))/1000</f>
        <v>6.2000399999999907</v>
      </c>
      <c r="AR49" s="314">
        <f t="array" ref="AR49">INDEX(Demand_previous!$D$4:$AY$138, MATCH('Staging Table'!$A49, Demand_previous!$B$4:$B$138, 0), MATCH(AR$4&amp;AR$5,Demand_previous!$D$2:$AY$2&amp;Demand_previous!$D$3:$AY$3, 0))/1000</f>
        <v>9.506399038461538</v>
      </c>
      <c r="AS49" s="314">
        <f t="array" ref="AS49">INDEX(Demand_previous!$D$4:$AY$138, MATCH('Staging Table'!$A49, Demand_previous!$B$4:$B$138, 0), MATCH(AS$4&amp;AS$5,Demand_previous!$D$2:$AY$2&amp;Demand_previous!$D$3:$AY$3, 0))/1000</f>
        <v>10.140158653846147</v>
      </c>
      <c r="AT49" s="314">
        <f t="array" ref="AT49">INDEX(Demand_previous!$D$4:$AY$138, MATCH('Staging Table'!$A49, Demand_previous!$B$4:$B$138, 0), MATCH(AT$4&amp;AT$5,Demand_previous!$D$2:$AY$2&amp;Demand_previous!$D$3:$AY$3, 0))/1000</f>
        <v>14.726408653846159</v>
      </c>
      <c r="AU49" s="314">
        <f t="array" ref="AU49">INDEX(Demand_previous!$D$4:$AY$138, MATCH('Staging Table'!$A49, Demand_previous!$B$4:$B$138, 0), MATCH(AU$4&amp;AU$5,Demand_previous!$D$2:$AY$2&amp;Demand_previous!$D$3:$AY$3, 0))/1000</f>
        <v>5.1303075000000016</v>
      </c>
      <c r="AV49" s="192">
        <f>$F49*(VLOOKUP(AV$4, Rates_previous!$G$6:$Q$29, 10, FALSE)+VLOOKUP(AV$4, Rates_previous!$G$6:$Q$29, 11, FALSE))</f>
        <v>35810.065245297592</v>
      </c>
      <c r="AW49" s="192">
        <f>$F49*(VLOOKUP(AW$4, Rates_previous!$G$6:$Q$29, 10, FALSE)+VLOOKUP(AW$4, Rates_previous!$G$6:$Q$29, 11, FALSE))</f>
        <v>45489.954028388398</v>
      </c>
      <c r="AX49" s="192">
        <f>$F49*(VLOOKUP(AX$4, Rates_previous!$G$6:$Q$29, 10, FALSE)+VLOOKUP(AX$4, Rates_previous!$G$6:$Q$29, 11, FALSE))</f>
        <v>44940.601280097602</v>
      </c>
      <c r="AY49" s="192">
        <f>$F49*(VLOOKUP(AY$4, Rates_previous!$G$6:$Q$29, 10, FALSE)+VLOOKUP(AY$4, Rates_previous!$G$6:$Q$29, 11, FALSE))</f>
        <v>37460.728371297599</v>
      </c>
      <c r="AZ49" s="192">
        <f>$F49*(VLOOKUP(AZ$4, Rates_previous!$G$6:$Q$29, 10, FALSE)+VLOOKUP(AZ$4, Rates_previous!$G$6:$Q$29, 11, FALSE))</f>
        <v>33935.533654079998</v>
      </c>
      <c r="BA49" s="192">
        <f>$F49*(VLOOKUP(BA$4, Rates_previous!$G$6:$Q$29, 10, FALSE)+VLOOKUP(BA$4, Rates_previous!$G$6:$Q$29, 11, FALSE))</f>
        <v>37747.094136997199</v>
      </c>
      <c r="BB49" s="192">
        <f>$F49*(VLOOKUP(BB$4, Rates_previous!$G$6:$Q$29, 10, FALSE)+VLOOKUP(BB$4, Rates_previous!$G$6:$Q$29, 11, FALSE))</f>
        <v>30733.724779487999</v>
      </c>
      <c r="BC49" s="192">
        <f>$F49*(VLOOKUP(BC$4, Rates_previous!$G$6:$Q$29, 10, FALSE)+VLOOKUP(BC$4, Rates_previous!$G$6:$Q$29, 11, FALSE))</f>
        <v>41449.010771097601</v>
      </c>
      <c r="BD49" s="192">
        <f>$F49*(VLOOKUP(BD$4, Rates_previous!$G$6:$Q$29, 10, FALSE)+VLOOKUP(BD$4, Rates_previous!$G$6:$Q$29, 11, FALSE))</f>
        <v>52886.118737688004</v>
      </c>
      <c r="BE49" s="192">
        <f>$F49*(VLOOKUP(BE$4, Rates_previous!$G$6:$Q$29, 10, FALSE)+VLOOKUP(BE$4, Rates_previous!$G$6:$Q$29, 11, FALSE))</f>
        <v>41464.394003697598</v>
      </c>
      <c r="BF49" s="192">
        <f>$F49*(VLOOKUP(BF$4, Rates_previous!$G$6:$Q$29, 10, FALSE)+VLOOKUP(BF$4, Rates_previous!$G$6:$Q$29, 11, FALSE))</f>
        <v>40378.063233897599</v>
      </c>
      <c r="BG49" s="192">
        <f>$F49*(VLOOKUP(BG$4, Rates_previous!$G$6:$Q$29, 10, FALSE)+VLOOKUP(BG$4, Rates_previous!$G$6:$Q$29, 11, FALSE))</f>
        <v>36250.911263088004</v>
      </c>
      <c r="BH49" s="314">
        <f>IF($D49=0,IF(C49=0, MAX(BJ49 - (VLOOKUP($A49,TOCA_previous!$A$2:$AI$137,MATCH("RHWM 2020",TOCA_previous!$A$2:$AI$2,0),FALSE)*$F$2*TOCA_previous!C46),0),0), 0)</f>
        <v>2458.5929619696108</v>
      </c>
      <c r="BI49" s="204">
        <f>MIN(VLOOKUP($A49,TOCA_previous!$A$2:$AI$137,MATCH("TRL - NLSL - Existing Resource "&amp;$F$1,TOCA_previous!$A$2:$AI$2,0),FALSE)*$F$2,(VLOOKUP($A49,TOCA_previous!$A$2:$AI$137,MATCH("RHWM 2020",TOCA_previous!$A$2:$AI$2,0),FALSE)*$F$2))</f>
        <v>478543.53600000002</v>
      </c>
      <c r="BJ49" s="418">
        <f>SUM(L49:AI49)+(F49*RT1SC!$C$3*$F$2)</f>
        <v>511421.1209619696</v>
      </c>
      <c r="BK49" s="417">
        <f>VLOOKUP($A49,TOCA_previous!$A$2:$AI$137,MATCH("Above RHWM Not Served with LS "&amp;$F$1,TOCA_previous!$A$2:$AI$2,0),FALSE)*$F$2</f>
        <v>0</v>
      </c>
      <c r="BL49" s="418">
        <f t="shared" si="8"/>
        <v>32877.58496196958</v>
      </c>
      <c r="BM49" s="417">
        <f>(VLOOKUP($A49,TOCA_previous!$A$2:$AI$137,MATCH("RHWM 2020",TOCA_previous!$A$2:$AI$2,0),FALSE)*$F$2) - $BI49</f>
        <v>30418.991999999969</v>
      </c>
      <c r="BN49" s="418">
        <f t="shared" si="9"/>
        <v>-30418.991999999969</v>
      </c>
      <c r="BO49" s="417">
        <f t="shared" si="10"/>
        <v>0</v>
      </c>
      <c r="BP49" s="418">
        <f t="shared" si="11"/>
        <v>0</v>
      </c>
      <c r="BQ49" s="417">
        <f t="shared" si="18"/>
        <v>-30418.991999999969</v>
      </c>
      <c r="BR49" s="120">
        <f>VLOOKUP($A49,TOCA_current!$A$2:$AI$137,MATCH(BR$4,TOCA_current!$A$2:$AI$2,0),FALSE)</f>
        <v>8.1761000000000004E-3</v>
      </c>
      <c r="BS49" s="120">
        <f>VLOOKUP($A49,TOCA_current!$A$2:$AI$137,MATCH(BS$4,TOCA_current!$A$2:$AI$2,0),FALSE)</f>
        <v>8.1761000000000004E-3</v>
      </c>
      <c r="BT49" s="201">
        <f t="shared" si="12"/>
        <v>0</v>
      </c>
      <c r="BU49" s="120">
        <f>VLOOKUP($A49,TOCA_current!A45:BG180,MATCH(BU$4,TOCA_current!$A$2:$BG$2,0),FALSE)</f>
        <v>0</v>
      </c>
      <c r="BV49" s="120">
        <f t="shared" si="19"/>
        <v>0</v>
      </c>
      <c r="BW49" s="120">
        <f t="shared" si="20"/>
        <v>0</v>
      </c>
      <c r="BX49" s="191">
        <f>VLOOKUP($A49,IRD!$A$4:$G$139, 7, FALSE)</f>
        <v>0</v>
      </c>
      <c r="BY49" s="192">
        <f t="array" ref="BY49">IF($BT49=0, INDEX(LS_current!$D$4:$AY$138, MATCH('Staging Table'!$A49, LS_current!$B$4:$B$138, 0), MATCH(BY$4&amp;BY$5, LS_current!$D$2:$AY$2&amp;LS_current!$D$3:$AY$3, 0)),SUM(VLOOKUP($A49, LS_current!$B$4:$AY$138, LS_current!D$148, FALSE), VLOOKUP($A49, LS_current!$B$4:$AY$138,LS_current!AB$148, FALSE))/2)</f>
        <v>1919.9517181312985</v>
      </c>
      <c r="BZ49" s="192">
        <f t="array" ref="BZ49">IF($BT49=0, INDEX(LS_current!$D$4:$AY$138, MATCH('Staging Table'!$A49, LS_current!$B$4:$B$138, 0), MATCH(BZ$4&amp;BZ$5, LS_current!$D$2:$AY$2&amp;LS_current!$D$3:$AY$3, 0)),SUM(VLOOKUP($A49, LS_current!$B$4:$AY$138, LS_current!E$148, FALSE), VLOOKUP($A49, LS_current!$B$4:$AY$138,LS_current!AC$148, FALSE))/2)</f>
        <v>1815.6478252683355</v>
      </c>
      <c r="CA49" s="192">
        <f t="array" ref="CA49">IF($BT49=0, INDEX(LS_current!$D$4:$AY$138, MATCH('Staging Table'!$A49, LS_current!$B$4:$B$138, 0), MATCH(CA$4&amp;CA$5, LS_current!$D$2:$AY$2&amp;LS_current!$D$3:$AY$3, 0)),SUM(VLOOKUP($A49, LS_current!$B$4:$AY$138, LS_current!F$148, FALSE), VLOOKUP($A49, LS_current!$B$4:$AY$138,LS_current!AD$148, FALSE))/2)</f>
        <v>-3081.2165089788286</v>
      </c>
      <c r="CB49" s="192">
        <f t="array" ref="CB49">IF($BT49=0, INDEX(LS_current!$D$4:$AY$138, MATCH('Staging Table'!$A49, LS_current!$B$4:$B$138, 0), MATCH(CB$4&amp;CB$5, LS_current!$D$2:$AY$2&amp;LS_current!$D$3:$AY$3, 0)),SUM(VLOOKUP($A49, LS_current!$B$4:$AY$138, LS_current!G$148, FALSE), VLOOKUP($A49, LS_current!$B$4:$AY$138,LS_current!AE$148, FALSE))/2)</f>
        <v>-809.39306602803845</v>
      </c>
      <c r="CC49" s="192">
        <f t="array" ref="CC49">IF($BT49=0, INDEX(LS_current!$D$4:$AY$138, MATCH('Staging Table'!$A49, LS_current!$B$4:$B$138, 0), MATCH(CC$4&amp;CC$5, LS_current!$D$2:$AY$2&amp;LS_current!$D$3:$AY$3, 0)),SUM(VLOOKUP($A49, LS_current!$B$4:$AY$138, LS_current!H$148, FALSE), VLOOKUP($A49, LS_current!$B$4:$AY$138,LS_current!AF$148, FALSE))/2)</f>
        <v>3690.4401258190155</v>
      </c>
      <c r="CD49" s="192">
        <f t="array" ref="CD49">IF($BT49=0, INDEX(LS_current!$D$4:$AY$138, MATCH('Staging Table'!$A49, LS_current!$B$4:$B$138, 0), MATCH(CD$4&amp;CD$5, LS_current!$D$2:$AY$2&amp;LS_current!$D$3:$AY$3, 0)),SUM(VLOOKUP($A49, LS_current!$B$4:$AY$138, LS_current!I$148, FALSE), VLOOKUP($A49, LS_current!$B$4:$AY$138,LS_current!AG$148, FALSE))/2)</f>
        <v>568.00282562478242</v>
      </c>
      <c r="CE49" s="192">
        <f t="array" ref="CE49">IF($BT49=0, INDEX(LS_current!$D$4:$AY$138, MATCH('Staging Table'!$A49, LS_current!$B$4:$B$138, 0), MATCH(CE$4&amp;CE$5, LS_current!$D$2:$AY$2&amp;LS_current!$D$3:$AY$3, 0)),SUM(VLOOKUP($A49, LS_current!$B$4:$AY$138, LS_current!J$148, FALSE), VLOOKUP($A49, LS_current!$B$4:$AY$138,LS_current!AH$148, FALSE))/2)</f>
        <v>10280.093008771837</v>
      </c>
      <c r="CF49" s="192">
        <f t="array" ref="CF49">IF($BT49=0, INDEX(LS_current!$D$4:$AY$138, MATCH('Staging Table'!$A49, LS_current!$B$4:$B$138, 0), MATCH(CF$4&amp;CF$5, LS_current!$D$2:$AY$2&amp;LS_current!$D$3:$AY$3, 0)),SUM(VLOOKUP($A49, LS_current!$B$4:$AY$138, LS_current!K$148, FALSE), VLOOKUP($A49, LS_current!$B$4:$AY$138,LS_current!AI$148, FALSE))/2)</f>
        <v>5008.8348430888764</v>
      </c>
      <c r="CG49" s="192">
        <f t="array" ref="CG49">IF($BT49=0, INDEX(LS_current!$D$4:$AY$138, MATCH('Staging Table'!$A49, LS_current!$B$4:$B$138, 0), MATCH(CG$4&amp;CG$5, LS_current!$D$2:$AY$2&amp;LS_current!$D$3:$AY$3, 0)),SUM(VLOOKUP($A49, LS_current!$B$4:$AY$138, LS_current!L$148, FALSE), VLOOKUP($A49, LS_current!$B$4:$AY$138,LS_current!AJ$148, FALSE))/2)</f>
        <v>7135.9278962711505</v>
      </c>
      <c r="CH49" s="192">
        <f t="array" ref="CH49">IF($BT49=0, INDEX(LS_current!$D$4:$AY$138, MATCH('Staging Table'!$A49, LS_current!$B$4:$B$138, 0), MATCH(CH$4&amp;CH$5, LS_current!$D$2:$AY$2&amp;LS_current!$D$3:$AY$3, 0)),SUM(VLOOKUP($A49, LS_current!$B$4:$AY$138, LS_current!M$148, FALSE), VLOOKUP($A49, LS_current!$B$4:$AY$138,LS_current!AK$148, FALSE))/2)</f>
        <v>2738.0610255806114</v>
      </c>
      <c r="CI49" s="192">
        <f t="array" ref="CI49">IF($BT49=0, INDEX(LS_current!$D$4:$AY$138, MATCH('Staging Table'!$A49, LS_current!$B$4:$B$138, 0), MATCH(CI$4&amp;CI$5, LS_current!$D$2:$AY$2&amp;LS_current!$D$3:$AY$3, 0)),SUM(VLOOKUP($A49, LS_current!$B$4:$AY$138, LS_current!N$148, FALSE), VLOOKUP($A49, LS_current!$B$4:$AY$138,LS_current!AL$148, FALSE))/2)</f>
        <v>3808.2740973520449</v>
      </c>
      <c r="CJ49" s="192">
        <f t="array" ref="CJ49">IF($BT49=0, INDEX(LS_current!$D$4:$AY$138, MATCH('Staging Table'!$A49, LS_current!$B$4:$B$138, 0), MATCH(CJ$4&amp;CJ$5, LS_current!$D$2:$AY$2&amp;LS_current!$D$3:$AY$3, 0)),SUM(VLOOKUP($A49, LS_current!$B$4:$AY$138, LS_current!O$148, FALSE), VLOOKUP($A49, LS_current!$B$4:$AY$138,LS_current!AM$148, FALSE))/2)</f>
        <v>2186.0603898455956</v>
      </c>
      <c r="CK49" s="192">
        <f t="array" ref="CK49">IF($BT49=0, INDEX(LS_current!$D$4:$AY$138, MATCH('Staging Table'!$A49, LS_current!$B$4:$B$138, 0), MATCH(CK$4&amp;CK$5, LS_current!$D$2:$AY$2&amp;LS_current!$D$3:$AY$3, 0)),SUM(VLOOKUP($A49, LS_current!$B$4:$AY$138, LS_current!P$148, FALSE), VLOOKUP($A49, LS_current!$B$4:$AY$138,LS_current!AN$148, FALSE))/2)</f>
        <v>6020.4680092227245</v>
      </c>
      <c r="CL49" s="192">
        <f t="array" ref="CL49">IF($BT49=0, INDEX(LS_current!$D$4:$AY$138, MATCH('Staging Table'!$A49, LS_current!$B$4:$B$138, 0), MATCH(CL$4&amp;CL$5, LS_current!$D$2:$AY$2&amp;LS_current!$D$3:$AY$3, 0)),SUM(VLOOKUP($A49, LS_current!$B$4:$AY$138, LS_current!Q$148, FALSE), VLOOKUP($A49, LS_current!$B$4:$AY$138,LS_current!AO$148, FALSE))/2)</f>
        <v>3425.5406302015035</v>
      </c>
      <c r="CM49" s="192">
        <f t="array" ref="CM49">IF($BT49=0, INDEX(LS_current!$D$4:$AY$138, MATCH('Staging Table'!$A49, LS_current!$B$4:$B$138, 0), MATCH(CM$4&amp;CM$5, LS_current!$D$2:$AY$2&amp;LS_current!$D$3:$AY$3, 0)),SUM(VLOOKUP($A49, LS_current!$B$4:$AY$138, LS_current!R$148, FALSE), VLOOKUP($A49, LS_current!$B$4:$AY$138,LS_current!AP$148, FALSE))/2)</f>
        <v>-5550.0878666502067</v>
      </c>
      <c r="CN49" s="192">
        <f t="array" ref="CN49">IF($BT49=0, INDEX(LS_current!$D$4:$AY$138, MATCH('Staging Table'!$A49, LS_current!$B$4:$B$138, 0), MATCH(CN$4&amp;CN$5, LS_current!$D$2:$AY$2&amp;LS_current!$D$3:$AY$3, 0)),SUM(VLOOKUP($A49, LS_current!$B$4:$AY$138, LS_current!S$148, FALSE), VLOOKUP($A49, LS_current!$B$4:$AY$138,LS_current!AQ$148, FALSE))/2)</f>
        <v>1151.0934821278152</v>
      </c>
      <c r="CO49" s="192">
        <f t="array" ref="CO49">IF($BT49=0, INDEX(LS_current!$D$4:$AY$138, MATCH('Staging Table'!$A49, LS_current!$B$4:$B$138, 0), MATCH(CO$4&amp;CO$5, LS_current!$D$2:$AY$2&amp;LS_current!$D$3:$AY$3, 0)),SUM(VLOOKUP($A49, LS_current!$B$4:$AY$138, LS_current!T$148, FALSE), VLOOKUP($A49, LS_current!$B$4:$AY$138,LS_current!AR$148, FALSE))/2)</f>
        <v>-8719.2287893333887</v>
      </c>
      <c r="CP49" s="192">
        <f t="array" ref="CP49">IF($BT49=0, INDEX(LS_current!$D$4:$AY$138, MATCH('Staging Table'!$A49, LS_current!$B$4:$B$138, 0), MATCH(CP$4&amp;CP$5, LS_current!$D$2:$AY$2&amp;LS_current!$D$3:$AY$3, 0)),SUM(VLOOKUP($A49, LS_current!$B$4:$AY$138, LS_current!U$148, FALSE), VLOOKUP($A49, LS_current!$B$4:$AY$138,LS_current!AS$148, FALSE))/2)</f>
        <v>983.7383691643081</v>
      </c>
      <c r="CQ49" s="192">
        <f t="array" ref="CQ49">IF($BT49=0, INDEX(LS_current!$D$4:$AY$138, MATCH('Staging Table'!$A49, LS_current!$B$4:$B$138, 0), MATCH(CQ$4&amp;CQ$5, LS_current!$D$2:$AY$2&amp;LS_current!$D$3:$AY$3, 0)),SUM(VLOOKUP($A49, LS_current!$B$4:$AY$138, LS_current!V$148, FALSE), VLOOKUP($A49, LS_current!$B$4:$AY$138,LS_current!AT$148, FALSE))/2)</f>
        <v>-3949.2547331655296</v>
      </c>
      <c r="CR49" s="192">
        <f t="array" ref="CR49">IF($BT49=0, INDEX(LS_current!$D$4:$AY$138, MATCH('Staging Table'!$A49, LS_current!$B$4:$B$138, 0), MATCH(CR$4&amp;CR$5, LS_current!$D$2:$AY$2&amp;LS_current!$D$3:$AY$3, 0)),SUM(VLOOKUP($A49, LS_current!$B$4:$AY$138, LS_current!W$148, FALSE), VLOOKUP($A49, LS_current!$B$4:$AY$138,LS_current!AU$148, FALSE))/2)</f>
        <v>1369.6337382984093</v>
      </c>
      <c r="CS49" s="192">
        <f t="array" ref="CS49">IF($BT49=0, INDEX(LS_current!$D$4:$AY$138, MATCH('Staging Table'!$A49, LS_current!$B$4:$B$138, 0), MATCH(CS$4&amp;CS$5, LS_current!$D$2:$AY$2&amp;LS_current!$D$3:$AY$3, 0)),SUM(VLOOKUP($A49, LS_current!$B$4:$AY$138, LS_current!X$148, FALSE), VLOOKUP($A49, LS_current!$B$4:$AY$138,LS_current!AV$148, FALSE))/2)</f>
        <v>-1861.4953665216017</v>
      </c>
      <c r="CT49" s="192">
        <f t="array" ref="CT49">IF($BT49=0, INDEX(LS_current!$D$4:$AY$138, MATCH('Staging Table'!$A49, LS_current!$B$4:$B$138, 0), MATCH(CT$4&amp;CT$5, LS_current!$D$2:$AY$2&amp;LS_current!$D$3:$AY$3, 0)),SUM(VLOOKUP($A49, LS_current!$B$4:$AY$138, LS_current!Y$148, FALSE), VLOOKUP($A49, LS_current!$B$4:$AY$138,LS_current!AW$148, FALSE))/2)</f>
        <v>1628.4547531619501</v>
      </c>
      <c r="CU49" s="192">
        <f t="array" ref="CU49">IF($BT49=0, INDEX(LS_current!$D$4:$AY$138, MATCH('Staging Table'!$A49, LS_current!$B$4:$B$138, 0), MATCH(CU$4&amp;CU$5, LS_current!$D$2:$AY$2&amp;LS_current!$D$3:$AY$3, 0)),SUM(VLOOKUP($A49, LS_current!$B$4:$AY$138, LS_current!Z$148, FALSE), VLOOKUP($A49, LS_current!$B$4:$AY$138,LS_current!AX$148, FALSE))/2)</f>
        <v>-1627.4474776487514</v>
      </c>
      <c r="CV49" s="192">
        <f t="array" ref="CV49">IF($BT49=0, INDEX(LS_current!$D$4:$AY$138, MATCH('Staging Table'!$A49, LS_current!$B$4:$B$138, 0), MATCH(CV$4&amp;CV$5, LS_current!$D$2:$AY$2&amp;LS_current!$D$3:$AY$3, 0)),SUM(VLOOKUP($A49, LS_current!$B$4:$AY$138, LS_current!AA$148, FALSE), VLOOKUP($A49, LS_current!$B$4:$AY$138,LS_current!AY$148, FALSE))/2)</f>
        <v>813.24012879500879</v>
      </c>
      <c r="CW49" s="194">
        <f t="array" ref="CW49">INDEX(Demand_current!$D$4:$AY$138, MATCH($A49, Demand_current!$B$4:$B$138, 0), MATCH(CW$4&amp;CW$5,Demand_current!$D$2:$AY$2&amp;Demand_current!$D$3:$AY$3, 0))/1000</f>
        <v>2.9822668269230794</v>
      </c>
      <c r="CX49" s="194">
        <f t="array" ref="CX49">INDEX(Demand_current!$D$4:$AY$138, MATCH($A49, Demand_current!$B$4:$B$138, 0), MATCH(CX$4&amp;CX$5,Demand_current!$D$2:$AY$2&amp;Demand_current!$D$3:$AY$3, 0))/1000</f>
        <v>5.0705575000000014</v>
      </c>
      <c r="CY49" s="194">
        <f t="array" ref="CY49">INDEX(Demand_current!$D$4:$AY$138, MATCH($A49, Demand_current!$B$4:$B$138, 0), MATCH(CY$4&amp;CY$5,Demand_current!$D$2:$AY$2&amp;Demand_current!$D$3:$AY$3, 0))/1000</f>
        <v>11.892475961538457</v>
      </c>
      <c r="CZ49" s="194">
        <f t="array" ref="CZ49">INDEX(Demand_current!$D$4:$AY$138, MATCH($A49, Demand_current!$B$4:$B$138, 0), MATCH(CZ$4&amp;CZ$5,Demand_current!$D$2:$AY$2&amp;Demand_current!$D$3:$AY$3, 0))/1000</f>
        <v>3.6338149999999967</v>
      </c>
      <c r="DA49" s="194">
        <f t="array" ref="DA49">INDEX(Demand_current!$D$4:$AY$138, MATCH($A49, Demand_current!$B$4:$B$138, 0), MATCH(DA$4&amp;DA$5,Demand_current!$D$2:$AY$2&amp;Demand_current!$D$3:$AY$3, 0))/1000</f>
        <v>6.0332994791666597</v>
      </c>
      <c r="DB49" s="194">
        <f t="array" ref="DB49">INDEX(Demand_current!$D$4:$AY$138, MATCH($A49, Demand_current!$B$4:$B$138, 0), MATCH(DB$4&amp;DB$5,Demand_current!$D$2:$AY$2&amp;Demand_current!$D$3:$AY$3, 0))/1000</f>
        <v>2.178314814814815</v>
      </c>
      <c r="DC49" s="194">
        <f t="array" ref="DC49">INDEX(Demand_current!$D$4:$AY$138, MATCH($A49, Demand_current!$B$4:$B$138, 0), MATCH(DC$4&amp;DC$5,Demand_current!$D$2:$AY$2&amp;Demand_current!$D$3:$AY$3, 0))/1000</f>
        <v>10.762579326923086</v>
      </c>
      <c r="DD49" s="194">
        <f t="array" ref="DD49">INDEX(Demand_current!$D$4:$AY$138, MATCH($A49, Demand_current!$B$4:$B$138, 0), MATCH(DD$4&amp;DD$5,Demand_current!$D$2:$AY$2&amp;Demand_current!$D$3:$AY$3, 0))/1000</f>
        <v>6.2000399999999907</v>
      </c>
      <c r="DE49" s="194">
        <f t="array" ref="DE49">INDEX(Demand_current!$D$4:$AY$138, MATCH($A49, Demand_current!$B$4:$B$138, 0), MATCH(DE$4&amp;DE$5,Demand_current!$D$2:$AY$2&amp;Demand_current!$D$3:$AY$3, 0))/1000</f>
        <v>9.506399038461538</v>
      </c>
      <c r="DF49" s="194">
        <f t="array" ref="DF49">INDEX(Demand_current!$D$4:$AY$138, MATCH($A49, Demand_current!$B$4:$B$138, 0), MATCH(DF$4&amp;DF$5,Demand_current!$D$2:$AY$2&amp;Demand_current!$D$3:$AY$3, 0))/1000</f>
        <v>7.7641249999999973</v>
      </c>
      <c r="DG49" s="194">
        <f t="array" ref="DG49">INDEX(Demand_current!$D$4:$AY$138, MATCH($A49, Demand_current!$B$4:$B$138, 0), MATCH(DG$4&amp;DG$5,Demand_current!$D$2:$AY$2&amp;Demand_current!$D$3:$AY$3, 0))/1000</f>
        <v>17.054023148148154</v>
      </c>
      <c r="DH49" s="194">
        <f t="array" ref="DH49">INDEX(Demand_current!$D$4:$AY$138, MATCH($A49, Demand_current!$B$4:$B$138, 0), MATCH(DH$4&amp;DH$5,Demand_current!$D$2:$AY$2&amp;Demand_current!$D$3:$AY$3, 0))/1000</f>
        <v>5.1303075000000016</v>
      </c>
      <c r="DI49" s="192">
        <f>$BS49*(VLOOKUP(DI$4, Rates_current!$G$6:$Q$29, 10, FALSE)+VLOOKUP(DI$4, Rates_current!$G$6:$Q$29, 11, FALSE))</f>
        <v>37233.341456600363</v>
      </c>
      <c r="DJ49" s="192">
        <f>$BS49*(VLOOKUP(DJ$4, Rates_current!$G$6:$Q$29, 10, FALSE)+VLOOKUP(DJ$4, Rates_current!$G$6:$Q$29, 11, FALSE))</f>
        <v>47138.761575006873</v>
      </c>
      <c r="DK49" s="192">
        <f>$BS49*(VLOOKUP(DK$4, Rates_current!$G$6:$Q$29, 10, FALSE)+VLOOKUP(DK$4, Rates_current!$G$6:$Q$29, 11, FALSE))</f>
        <v>46139.430048556205</v>
      </c>
      <c r="DL49" s="192">
        <f>$BS49*(VLOOKUP(DL$4, Rates_current!$G$6:$Q$29, 10, FALSE)+VLOOKUP(DL$4, Rates_current!$G$6:$Q$29, 11, FALSE))</f>
        <v>38109.207148139285</v>
      </c>
      <c r="DM49" s="192">
        <f>$BS49*(VLOOKUP(DM$4, Rates_current!$G$6:$Q$29, 10, FALSE)+VLOOKUP(DM$4, Rates_current!$G$6:$Q$29, 11, FALSE))</f>
        <v>33030.085078148244</v>
      </c>
      <c r="DN49" s="192">
        <f>$BS49*(VLOOKUP(DN$4, Rates_current!$G$6:$Q$29, 10, FALSE)+VLOOKUP(DN$4, Rates_current!$G$6:$Q$29, 11, FALSE))</f>
        <v>39431.251512802359</v>
      </c>
      <c r="DO49" s="192">
        <f>$BS49*(VLOOKUP(DO$4, Rates_current!$G$6:$Q$29, 10, FALSE)+VLOOKUP(DO$4, Rates_current!$G$6:$Q$29, 11, FALSE))</f>
        <v>30613.117360575772</v>
      </c>
      <c r="DP49" s="192">
        <f>$BS49*(VLOOKUP(DP$4, Rates_current!$G$6:$Q$29, 10, FALSE)+VLOOKUP(DP$4, Rates_current!$G$6:$Q$29, 11, FALSE))</f>
        <v>42414.699384522391</v>
      </c>
      <c r="DQ49" s="192">
        <f>$BS49*(VLOOKUP(DQ$4, Rates_current!$G$6:$Q$29, 10, FALSE)+VLOOKUP(DQ$4, Rates_current!$G$6:$Q$29, 11, FALSE))</f>
        <v>45320.994420169081</v>
      </c>
      <c r="DR49" s="192">
        <f>$BS49*(VLOOKUP(DR$4, Rates_current!$G$6:$Q$29, 10, FALSE)+VLOOKUP(DR$4, Rates_current!$G$6:$Q$29, 11, FALSE))</f>
        <v>43030.231994867121</v>
      </c>
      <c r="DS49" s="192">
        <f>$BS49*(VLOOKUP(DS$4, Rates_current!$G$6:$Q$29, 10, FALSE)+VLOOKUP(DS$4, Rates_current!$G$6:$Q$29, 11, FALSE))</f>
        <v>41585.399613359652</v>
      </c>
      <c r="DT49" s="192">
        <f>$BS49*(VLOOKUP(DT$4, Rates_current!$G$6:$Q$29, 10, FALSE)+VLOOKUP(DT$4, Rates_current!$G$6:$Q$29, 11, FALSE))</f>
        <v>38429.244348853739</v>
      </c>
      <c r="DU49" s="418">
        <f>IF(D49=0,IF(C49=0,MAX(0,DW49 - (VLOOKUP($A49,TOCA_current!$A$2:$AI$137,MATCH("RHWM 2022",TOCA_current!$A$2:$AI$2,0),FALSE)*$BS$2)), 0),0)</f>
        <v>24671.727680723008</v>
      </c>
      <c r="DV49" s="419">
        <f>MIN(VLOOKUP($A49,TOCA_current!$A$2:$AI$137,MATCH("TRL - NLSL - Existing Resource "&amp;$BS$1,TOCA_current!$A$2:$AI$2,0),FALSE)*$BS$2, VLOOKUP($A49,TOCA_current!$A$2:$AI$137,MATCH("RHWM 2022",TOCA_current!$A$2:$AI$2,0),FALSE)*$BS$2)</f>
        <v>482474.51999999996</v>
      </c>
      <c r="DW49" s="419">
        <f>SUM(BY49:CV49)+(BS49*RT1SC!$C$4*$BS$2)</f>
        <v>511421.12768072297</v>
      </c>
      <c r="DX49" s="419">
        <f>VLOOKUP($A49,TOCA_current!$A$2:$AI$137,MATCH("Above RHWM Not Served with LS "&amp;$BS$1,TOCA_current!$A$2:$AI$2,0),FALSE)*$BS$2</f>
        <v>0</v>
      </c>
      <c r="DY49" s="419">
        <f t="shared" si="13"/>
        <v>28946.607680723013</v>
      </c>
      <c r="DZ49" s="419">
        <f>(VLOOKUP($A49,TOCA_current!$A$2:$AI$137,MATCH("RHWM 2022",TOCA_current!$A$2:$AI$2,0),FALSE)*$BS$2) - $DV49</f>
        <v>4274.8800000000047</v>
      </c>
      <c r="EA49" s="419">
        <f t="shared" si="14"/>
        <v>-4274.8800000000047</v>
      </c>
      <c r="EB49" s="419">
        <f t="shared" si="15"/>
        <v>0</v>
      </c>
      <c r="EC49" s="419">
        <f t="shared" si="16"/>
        <v>0</v>
      </c>
      <c r="ED49" s="419">
        <f t="shared" si="17"/>
        <v>-4274.8800000000047</v>
      </c>
    </row>
    <row r="50" spans="1:134">
      <c r="A50" s="135">
        <v>10113</v>
      </c>
      <c r="B50" s="136" t="s">
        <v>51</v>
      </c>
      <c r="C50" s="244">
        <f>VLOOKUP(A50, TOCA_current!$A$3:$D$137, 4, FALSE)</f>
        <v>0</v>
      </c>
      <c r="D50" s="203">
        <v>0</v>
      </c>
      <c r="E50" s="119">
        <f>VLOOKUP($A50,TOCA_previous!$A$2:$AI$137,MATCH(E$4,TOCA_previous!$A$2:$AI$2,0),FALSE)</f>
        <v>5.3375000000000002E-3</v>
      </c>
      <c r="F50" s="120">
        <f>VLOOKUP($A50,TOCA_previous!$A$2:$AI$137,MATCH(F$4,TOCA_previous!$A$2:$AI$2,0),FALSE)</f>
        <v>5.3375000000000002E-3</v>
      </c>
      <c r="G50" s="120">
        <f t="shared" si="5"/>
        <v>0</v>
      </c>
      <c r="H50" s="120">
        <f>VLOOKUP($A50,TOCA_previous!$A$2:$AI$137,MATCH(H$4,TOCA_previous!$A$2:$AI$2,0),FALSE)</f>
        <v>8.170991918491452E-2</v>
      </c>
      <c r="I50" s="120">
        <f t="shared" si="6"/>
        <v>0</v>
      </c>
      <c r="J50" s="120">
        <f t="shared" si="7"/>
        <v>0</v>
      </c>
      <c r="K50" s="191">
        <f>VLOOKUP(A50, IRD!$A$5:$C$139, 3, FALSE)</f>
        <v>134655.962</v>
      </c>
      <c r="L50" s="192">
        <f t="array" ref="L50">IF($G50=0, INDEX(LS_previous!$D$4:$AY$138, MATCH('Staging Table'!$A50, LS_previous!$B$4:$B$138, 0), MATCH(L$4&amp;L$5, LS_previous!$D$2:$AY$2&amp;LS_previous!$D$3:$AY$3, 0)),SUM(VLOOKUP($A50, LS_previous!$B$4:$AY$138, LS_previous!D$149, FALSE), VLOOKUP('Staging Table'!$A50, LS_previous!$B$4:$AY$138,LS_previous!AB$149, FALSE))/2)</f>
        <v>-3270.8375084500003</v>
      </c>
      <c r="M50" s="192">
        <f t="array" ref="M50">IF($G50=0, INDEX(LS_previous!$D$4:$AY$138, MATCH('Staging Table'!$A50, LS_previous!$B$4:$B$138, 0), MATCH(M$4&amp;M$5, LS_previous!$D$2:$AY$2&amp;LS_previous!$D$3:$AY$3, 0)),SUM(VLOOKUP($A50, LS_previous!$B$4:$AY$138, LS_previous!E$149, FALSE), VLOOKUP('Staging Table'!$A50, LS_previous!$B$4:$AY$138,LS_previous!AC$149, FALSE))/2)</f>
        <v>-395.25002520000089</v>
      </c>
      <c r="N50" s="192">
        <f t="array" ref="N50">IF($G50=0, INDEX(LS_previous!$D$4:$AY$138, MATCH('Staging Table'!$A50, LS_previous!$B$4:$B$138, 0), MATCH(N$4&amp;N$5, LS_previous!$D$2:$AY$2&amp;LS_previous!$D$3:$AY$3, 0)),SUM(VLOOKUP($A50, LS_previous!$B$4:$AY$138, LS_previous!F$149, FALSE), VLOOKUP('Staging Table'!$A50, LS_previous!$B$4:$AY$138,LS_previous!AD$149, FALSE))/2)</f>
        <v>-10976.946180700001</v>
      </c>
      <c r="O50" s="192">
        <f t="array" ref="O50">IF($G50=0, INDEX(LS_previous!$D$4:$AY$138, MATCH('Staging Table'!$A50, LS_previous!$B$4:$B$138, 0), MATCH(O$4&amp;O$5, LS_previous!$D$2:$AY$2&amp;LS_previous!$D$3:$AY$3, 0)),SUM(VLOOKUP($A50, LS_previous!$B$4:$AY$138, LS_previous!G$149, FALSE), VLOOKUP('Staging Table'!$A50, LS_previous!$B$4:$AY$138,LS_previous!AE$149, FALSE))/2)</f>
        <v>-5924.6657324625012</v>
      </c>
      <c r="P50" s="192">
        <f t="array" ref="P50">IF($G50=0, INDEX(LS_previous!$D$4:$AY$138, MATCH('Staging Table'!$A50, LS_previous!$B$4:$B$138, 0), MATCH(P$4&amp;P$5, LS_previous!$D$2:$AY$2&amp;LS_previous!$D$3:$AY$3, 0)),SUM(VLOOKUP($A50, LS_previous!$B$4:$AY$138, LS_previous!H$149, FALSE), VLOOKUP('Staging Table'!$A50, LS_previous!$B$4:$AY$138,LS_previous!AF$149, FALSE))/2)</f>
        <v>-10017.750486800003</v>
      </c>
      <c r="Q50" s="192">
        <f t="array" ref="Q50">IF($G50=0, INDEX(LS_previous!$D$4:$AY$138, MATCH('Staging Table'!$A50, LS_previous!$B$4:$B$138, 0), MATCH(Q$4&amp;Q$5, LS_previous!$D$2:$AY$2&amp;LS_previous!$D$3:$AY$3, 0)),SUM(VLOOKUP($A50, LS_previous!$B$4:$AY$138, LS_previous!I$149, FALSE), VLOOKUP('Staging Table'!$A50, LS_previous!$B$4:$AY$138,LS_previous!AG$149, FALSE))/2)</f>
        <v>-5864.756059350002</v>
      </c>
      <c r="R50" s="192">
        <f t="array" ref="R50">IF($G50=0, INDEX(LS_previous!$D$4:$AY$138, MATCH('Staging Table'!$A50, LS_previous!$B$4:$B$138, 0), MATCH(R$4&amp;R$5, LS_previous!$D$2:$AY$2&amp;LS_previous!$D$3:$AY$3, 0)),SUM(VLOOKUP($A50, LS_previous!$B$4:$AY$138, LS_previous!J$149, FALSE), VLOOKUP('Staging Table'!$A50, LS_previous!$B$4:$AY$138,LS_previous!AH$149, FALSE))/2)</f>
        <v>-7668.2708368000021</v>
      </c>
      <c r="S50" s="192">
        <f t="array" ref="S50">IF($G50=0, INDEX(LS_previous!$D$4:$AY$138, MATCH('Staging Table'!$A50, LS_previous!$B$4:$B$138, 0), MATCH(S$4&amp;S$5, LS_previous!$D$2:$AY$2&amp;LS_previous!$D$3:$AY$3, 0)),SUM(VLOOKUP($A50, LS_previous!$B$4:$AY$138, LS_previous!K$149, FALSE), VLOOKUP('Staging Table'!$A50, LS_previous!$B$4:$AY$138,LS_previous!AI$149, FALSE))/2)</f>
        <v>-3363.3135093500005</v>
      </c>
      <c r="T50" s="192">
        <f t="array" ref="T50">IF($G50=0, INDEX(LS_previous!$D$4:$AY$138, MATCH('Staging Table'!$A50, LS_previous!$B$4:$B$138, 0), MATCH(T$4&amp;T$5, LS_previous!$D$2:$AY$2&amp;LS_previous!$D$3:$AY$3, 0)),SUM(VLOOKUP($A50, LS_previous!$B$4:$AY$138, LS_previous!L$149, FALSE), VLOOKUP('Staging Table'!$A50, LS_previous!$B$4:$AY$138,LS_previous!AJ$149, FALSE))/2)</f>
        <v>-7668.6621493499997</v>
      </c>
      <c r="U50" s="192">
        <f t="array" ref="U50">IF($G50=0, INDEX(LS_previous!$D$4:$AY$138, MATCH('Staging Table'!$A50, LS_previous!$B$4:$B$138, 0), MATCH(U$4&amp;U$5, LS_previous!$D$2:$AY$2&amp;LS_previous!$D$3:$AY$3, 0)),SUM(VLOOKUP($A50, LS_previous!$B$4:$AY$138, LS_previous!M$149, FALSE), VLOOKUP('Staging Table'!$A50, LS_previous!$B$4:$AY$138,LS_previous!AK$149, FALSE))/2)</f>
        <v>-4252.0345206500006</v>
      </c>
      <c r="V50" s="192">
        <f t="array" ref="V50">IF($G50=0, INDEX(LS_previous!$D$4:$AY$138, MATCH('Staging Table'!$A50, LS_previous!$B$4:$B$138, 0), MATCH(V$4&amp;V$5, LS_previous!$D$2:$AY$2&amp;LS_previous!$D$3:$AY$3, 0)),SUM(VLOOKUP($A50, LS_previous!$B$4:$AY$138, LS_previous!N$149, FALSE), VLOOKUP('Staging Table'!$A50, LS_previous!$B$4:$AY$138,LS_previous!AL$149, FALSE))/2)</f>
        <v>-7009.9804928999984</v>
      </c>
      <c r="W50" s="192">
        <f t="array" ref="W50">IF($G50=0, INDEX(LS_previous!$D$4:$AY$138, MATCH('Staging Table'!$A50, LS_previous!$B$4:$B$138, 0), MATCH(W$4&amp;W$5, LS_previous!$D$2:$AY$2&amp;LS_previous!$D$3:$AY$3, 0)),SUM(VLOOKUP($A50, LS_previous!$B$4:$AY$138, LS_previous!O$149, FALSE), VLOOKUP('Staging Table'!$A50, LS_previous!$B$4:$AY$138,LS_previous!AM$149, FALSE))/2)</f>
        <v>-4067.8033208375018</v>
      </c>
      <c r="X50" s="192">
        <f t="array" ref="X50">IF($G50=0, INDEX(LS_previous!$D$4:$AY$138, MATCH('Staging Table'!$A50, LS_previous!$B$4:$B$138, 0), MATCH(X$4&amp;X$5, LS_previous!$D$2:$AY$2&amp;LS_previous!$D$3:$AY$3, 0)),SUM(VLOOKUP($A50, LS_previous!$B$4:$AY$138, LS_previous!P$149, FALSE), VLOOKUP('Staging Table'!$A50, LS_previous!$B$4:$AY$138,LS_previous!AN$149, FALSE))/2)</f>
        <v>-75.811571100000947</v>
      </c>
      <c r="Y50" s="192">
        <f t="array" ref="Y50">IF($G50=0, INDEX(LS_previous!$D$4:$AY$138, MATCH('Staging Table'!$A50, LS_previous!$B$4:$B$138, 0), MATCH(Y$4&amp;Y$5, LS_previous!$D$2:$AY$2&amp;LS_previous!$D$3:$AY$3, 0)),SUM(VLOOKUP($A50, LS_previous!$B$4:$AY$138, LS_previous!Q$149, FALSE), VLOOKUP('Staging Table'!$A50, LS_previous!$B$4:$AY$138,LS_previous!AO$149, FALSE))/2)</f>
        <v>-137.68856590000087</v>
      </c>
      <c r="Z50" s="192">
        <f t="array" ref="Z50">IF($G50=0, INDEX(LS_previous!$D$4:$AY$138, MATCH('Staging Table'!$A50, LS_previous!$B$4:$B$138, 0), MATCH(Z$4&amp;Z$5, LS_previous!$D$2:$AY$2&amp;LS_previous!$D$3:$AY$3, 0)),SUM(VLOOKUP($A50, LS_previous!$B$4:$AY$138, LS_previous!R$149, FALSE), VLOOKUP('Staging Table'!$A50, LS_previous!$B$4:$AY$138,LS_previous!AP$149, FALSE))/2)</f>
        <v>1559.2871037500008</v>
      </c>
      <c r="AA50" s="192">
        <f t="array" ref="AA50">IF($G50=0, INDEX(LS_previous!$D$4:$AY$138, MATCH('Staging Table'!$A50, LS_previous!$B$4:$B$138, 0), MATCH(AA$4&amp;AA$5, LS_previous!$D$2:$AY$2&amp;LS_previous!$D$3:$AY$3, 0)),SUM(VLOOKUP($A50, LS_previous!$B$4:$AY$138, LS_previous!S$149, FALSE), VLOOKUP('Staging Table'!$A50, LS_previous!$B$4:$AY$138,LS_previous!AQ$149, FALSE))/2)</f>
        <v>4229.5711938500008</v>
      </c>
      <c r="AB50" s="192">
        <f t="array" ref="AB50">IF($G50=0, INDEX(LS_previous!$D$4:$AY$138, MATCH('Staging Table'!$A50, LS_previous!$B$4:$B$138, 0), MATCH(AB$4&amp;AB$5, LS_previous!$D$2:$AY$2&amp;LS_previous!$D$3:$AY$3, 0)),SUM(VLOOKUP($A50, LS_previous!$B$4:$AY$138, LS_previous!T$149, FALSE), VLOOKUP('Staging Table'!$A50, LS_previous!$B$4:$AY$138,LS_previous!AR$149, FALSE))/2)</f>
        <v>3160.2639976499959</v>
      </c>
      <c r="AC50" s="192">
        <f t="array" ref="AC50">IF($G50=0, INDEX(LS_previous!$D$4:$AY$138, MATCH('Staging Table'!$A50, LS_previous!$B$4:$B$138, 0), MATCH(AC$4&amp;AC$5, LS_previous!$D$2:$AY$2&amp;LS_previous!$D$3:$AY$3, 0)),SUM(VLOOKUP($A50, LS_previous!$B$4:$AY$138, LS_previous!U$149, FALSE), VLOOKUP('Staging Table'!$A50, LS_previous!$B$4:$AY$138,LS_previous!AS$149, FALSE))/2)</f>
        <v>3556.0849091</v>
      </c>
      <c r="AD50" s="192">
        <f t="array" ref="AD50">IF($G50=0, INDEX(LS_previous!$D$4:$AY$138, MATCH('Staging Table'!$A50, LS_previous!$B$4:$B$138, 0), MATCH(AD$4&amp;AD$5, LS_previous!$D$2:$AY$2&amp;LS_previous!$D$3:$AY$3, 0)),SUM(VLOOKUP($A50, LS_previous!$B$4:$AY$138, LS_previous!V$149, FALSE), VLOOKUP('Staging Table'!$A50, LS_previous!$B$4:$AY$138,LS_previous!AT$149, FALSE))/2)</f>
        <v>10781.344060149997</v>
      </c>
      <c r="AE50" s="192">
        <f t="array" ref="AE50">IF($G50=0, INDEX(LS_previous!$D$4:$AY$138, MATCH('Staging Table'!$A50, LS_previous!$B$4:$B$138, 0), MATCH(AE$4&amp;AE$5, LS_previous!$D$2:$AY$2&amp;LS_previous!$D$3:$AY$3, 0)),SUM(VLOOKUP($A50, LS_previous!$B$4:$AY$138, LS_previous!W$149, FALSE), VLOOKUP('Staging Table'!$A50, LS_previous!$B$4:$AY$138,LS_previous!AU$149, FALSE))/2)</f>
        <v>13617.650306199999</v>
      </c>
      <c r="AF50" s="192">
        <f t="array" ref="AF50">IF($G50=0, INDEX(LS_previous!$D$4:$AY$138, MATCH('Staging Table'!$A50, LS_previous!$B$4:$B$138, 0), MATCH(AF$4&amp;AF$5, LS_previous!$D$2:$AY$2&amp;LS_previous!$D$3:$AY$3, 0)),SUM(VLOOKUP($A50, LS_previous!$B$4:$AY$138, LS_previous!X$149, FALSE), VLOOKUP('Staging Table'!$A50, LS_previous!$B$4:$AY$138,LS_previous!AV$149, FALSE))/2)</f>
        <v>9981.8143538999975</v>
      </c>
      <c r="AG50" s="192">
        <f t="array" ref="AG50">IF($G50=0, INDEX(LS_previous!$D$4:$AY$138, MATCH('Staging Table'!$A50, LS_previous!$B$4:$B$138, 0), MATCH(AG$4&amp;AG$5, LS_previous!$D$2:$AY$2&amp;LS_previous!$D$3:$AY$3, 0)),SUM(VLOOKUP($A50, LS_previous!$B$4:$AY$138, LS_previous!Y$149, FALSE), VLOOKUP('Staging Table'!$A50, LS_previous!$B$4:$AY$138,LS_previous!AW$149, FALSE))/2)</f>
        <v>8497.7433061999982</v>
      </c>
      <c r="AH50" s="192">
        <f t="array" ref="AH50">IF($G50=0, INDEX(LS_previous!$D$4:$AY$138, MATCH('Staging Table'!$A50, LS_previous!$B$4:$B$138, 0), MATCH(AH$4&amp;AH$5, LS_previous!$D$2:$AY$2&amp;LS_previous!$D$3:$AY$3, 0)),SUM(VLOOKUP($A50, LS_previous!$B$4:$AY$138, LS_previous!Z$149, FALSE), VLOOKUP('Staging Table'!$A50, LS_previous!$B$4:$AY$138,LS_previous!AX$149, FALSE))/2)</f>
        <v>-206.05664000000252</v>
      </c>
      <c r="AI50" s="192">
        <f t="array" ref="AI50">IF($G50=0, INDEX(LS_previous!$D$4:$AY$138, MATCH('Staging Table'!$A50, LS_previous!$B$4:$B$138, 0), MATCH(AI$4&amp;AI$5, LS_previous!$D$2:$AY$2&amp;LS_previous!$D$3:$AY$3, 0)),SUM(VLOOKUP($A50, LS_previous!$B$4:$AY$138, LS_previous!AA$149, FALSE), VLOOKUP('Staging Table'!$A50, LS_previous!$B$4:$AY$138,LS_previous!AY$149, FALSE))/2)</f>
        <v>814.94041549999929</v>
      </c>
      <c r="AJ50" s="314">
        <f t="array" ref="AJ50">INDEX(Demand_previous!$D$4:$AY$138, MATCH('Staging Table'!$A50, Demand_previous!$B$4:$B$138, 0), MATCH(AJ$4&amp;AJ$5,Demand_previous!$D$2:$AY$2&amp;Demand_previous!$D$3:$AY$3, 0))/1000</f>
        <v>0</v>
      </c>
      <c r="AK50" s="314">
        <f t="array" ref="AK50">INDEX(Demand_previous!$D$4:$AY$138, MATCH('Staging Table'!$A50, Demand_previous!$B$4:$B$138, 0), MATCH(AK$4&amp;AK$5,Demand_previous!$D$2:$AY$2&amp;Demand_previous!$D$3:$AY$3, 0))/1000</f>
        <v>0</v>
      </c>
      <c r="AL50" s="314">
        <f t="array" ref="AL50">INDEX(Demand_previous!$D$4:$AY$138, MATCH('Staging Table'!$A50, Demand_previous!$B$4:$B$138, 0), MATCH(AL$4&amp;AL$5,Demand_previous!$D$2:$AY$2&amp;Demand_previous!$D$3:$AY$3, 0))/1000</f>
        <v>0</v>
      </c>
      <c r="AM50" s="314">
        <f t="array" ref="AM50">INDEX(Demand_previous!$D$4:$AY$138, MATCH('Staging Table'!$A50, Demand_previous!$B$4:$B$138, 0), MATCH(AM$4&amp;AM$5,Demand_previous!$D$2:$AY$2&amp;Demand_previous!$D$3:$AY$3, 0))/1000</f>
        <v>0</v>
      </c>
      <c r="AN50" s="314">
        <f t="array" ref="AN50">INDEX(Demand_previous!$D$4:$AY$138, MATCH('Staging Table'!$A50, Demand_previous!$B$4:$B$138, 0), MATCH(AN$4&amp;AN$5,Demand_previous!$D$2:$AY$2&amp;Demand_previous!$D$3:$AY$3, 0))/1000</f>
        <v>0</v>
      </c>
      <c r="AO50" s="314">
        <f t="array" ref="AO50">INDEX(Demand_previous!$D$4:$AY$138, MATCH('Staging Table'!$A50, Demand_previous!$B$4:$B$138, 0), MATCH(AO$4&amp;AO$5,Demand_previous!$D$2:$AY$2&amp;Demand_previous!$D$3:$AY$3, 0))/1000</f>
        <v>0</v>
      </c>
      <c r="AP50" s="314">
        <f t="array" ref="AP50">INDEX(Demand_previous!$D$4:$AY$138, MATCH('Staging Table'!$A50, Demand_previous!$B$4:$B$138, 0), MATCH(AP$4&amp;AP$5,Demand_previous!$D$2:$AY$2&amp;Demand_previous!$D$3:$AY$3, 0))/1000</f>
        <v>0</v>
      </c>
      <c r="AQ50" s="314">
        <f t="array" ref="AQ50">INDEX(Demand_previous!$D$4:$AY$138, MATCH('Staging Table'!$A50, Demand_previous!$B$4:$B$138, 0), MATCH(AQ$4&amp;AQ$5,Demand_previous!$D$2:$AY$2&amp;Demand_previous!$D$3:$AY$3, 0))/1000</f>
        <v>0</v>
      </c>
      <c r="AR50" s="314">
        <f t="array" ref="AR50">INDEX(Demand_previous!$D$4:$AY$138, MATCH('Staging Table'!$A50, Demand_previous!$B$4:$B$138, 0), MATCH(AR$4&amp;AR$5,Demand_previous!$D$2:$AY$2&amp;Demand_previous!$D$3:$AY$3, 0))/1000</f>
        <v>11.862317307692306</v>
      </c>
      <c r="AS50" s="314">
        <f t="array" ref="AS50">INDEX(Demand_previous!$D$4:$AY$138, MATCH('Staging Table'!$A50, Demand_previous!$B$4:$B$138, 0), MATCH(AS$4&amp;AS$5,Demand_previous!$D$2:$AY$2&amp;Demand_previous!$D$3:$AY$3, 0))/1000</f>
        <v>7.1229423076923091</v>
      </c>
      <c r="AT50" s="314">
        <f t="array" ref="AT50">INDEX(Demand_previous!$D$4:$AY$138, MATCH('Staging Table'!$A50, Demand_previous!$B$4:$B$138, 0), MATCH(AT$4&amp;AT$5,Demand_previous!$D$2:$AY$2&amp;Demand_previous!$D$3:$AY$3, 0))/1000</f>
        <v>7.2219711538461553</v>
      </c>
      <c r="AU50" s="314">
        <f t="array" ref="AU50">INDEX(Demand_previous!$D$4:$AY$138, MATCH('Staging Table'!$A50, Demand_previous!$B$4:$B$138, 0), MATCH(AU$4&amp;AU$5,Demand_previous!$D$2:$AY$2&amp;Demand_previous!$D$3:$AY$3, 0))/1000</f>
        <v>0</v>
      </c>
      <c r="AV50" s="192">
        <f>$F50*(VLOOKUP(AV$4, Rates_previous!$G$6:$Q$29, 10, FALSE)+VLOOKUP(AV$4, Rates_previous!$G$6:$Q$29, 11, FALSE))</f>
        <v>24644.93053365</v>
      </c>
      <c r="AW50" s="192">
        <f>$F50*(VLOOKUP(AW$4, Rates_previous!$G$6:$Q$29, 10, FALSE)+VLOOKUP(AW$4, Rates_previous!$G$6:$Q$29, 11, FALSE))</f>
        <v>31306.749913162501</v>
      </c>
      <c r="AX50" s="192">
        <f>$F50*(VLOOKUP(AX$4, Rates_previous!$G$6:$Q$29, 10, FALSE)+VLOOKUP(AX$4, Rates_previous!$G$6:$Q$29, 11, FALSE))</f>
        <v>30928.678546150004</v>
      </c>
      <c r="AY50" s="192">
        <f>$F50*(VLOOKUP(AY$4, Rates_previous!$G$6:$Q$29, 10, FALSE)+VLOOKUP(AY$4, Rates_previous!$G$6:$Q$29, 11, FALSE))</f>
        <v>25780.937346150004</v>
      </c>
      <c r="AZ50" s="192">
        <f>$F50*(VLOOKUP(AZ$4, Rates_previous!$G$6:$Q$29, 10, FALSE)+VLOOKUP(AZ$4, Rates_previous!$G$6:$Q$29, 11, FALSE))</f>
        <v>23354.854670000001</v>
      </c>
      <c r="BA50" s="192">
        <f>$F50*(VLOOKUP(BA$4, Rates_previous!$G$6:$Q$29, 10, FALSE)+VLOOKUP(BA$4, Rates_previous!$G$6:$Q$29, 11, FALSE))</f>
        <v>25978.017813737501</v>
      </c>
      <c r="BB50" s="192">
        <f>$F50*(VLOOKUP(BB$4, Rates_previous!$G$6:$Q$29, 10, FALSE)+VLOOKUP(BB$4, Rates_previous!$G$6:$Q$29, 11, FALSE))</f>
        <v>21151.330137000001</v>
      </c>
      <c r="BC50" s="192">
        <f>$F50*(VLOOKUP(BC$4, Rates_previous!$G$6:$Q$29, 10, FALSE)+VLOOKUP(BC$4, Rates_previous!$G$6:$Q$29, 11, FALSE))</f>
        <v>28525.722702400002</v>
      </c>
      <c r="BD50" s="192">
        <f>$F50*(VLOOKUP(BD$4, Rates_previous!$G$6:$Q$29, 10, FALSE)+VLOOKUP(BD$4, Rates_previous!$G$6:$Q$29, 11, FALSE))</f>
        <v>36396.882093250002</v>
      </c>
      <c r="BE50" s="192">
        <f>$F50*(VLOOKUP(BE$4, Rates_previous!$G$6:$Q$29, 10, FALSE)+VLOOKUP(BE$4, Rates_previous!$G$6:$Q$29, 11, FALSE))</f>
        <v>28536.309633650002</v>
      </c>
      <c r="BF50" s="192">
        <f>$F50*(VLOOKUP(BF$4, Rates_previous!$G$6:$Q$29, 10, FALSE)+VLOOKUP(BF$4, Rates_previous!$G$6:$Q$29, 11, FALSE))</f>
        <v>27788.683339900002</v>
      </c>
      <c r="BG50" s="192">
        <f>$F50*(VLOOKUP(BG$4, Rates_previous!$G$6:$Q$29, 10, FALSE)+VLOOKUP(BG$4, Rates_previous!$G$6:$Q$29, 11, FALSE))</f>
        <v>24948.326224500004</v>
      </c>
      <c r="BH50" s="314">
        <f>IF($D50=0,IF(C50=0, MAX(BJ50 - (VLOOKUP($A50,TOCA_previous!$A$2:$AI$137,MATCH("RHWM 2020",TOCA_previous!$A$2:$AI$2,0),FALSE)*$F$2*TOCA_previous!C47),0),0), 0)</f>
        <v>0</v>
      </c>
      <c r="BI50" s="204">
        <f>MIN(VLOOKUP($A50,TOCA_previous!$A$2:$AI$137,MATCH("TRL - NLSL - Existing Resource "&amp;$F$1,TOCA_previous!$A$2:$AI$2,0),FALSE)*$F$2,(VLOOKUP($A50,TOCA_previous!$A$2:$AI$137,MATCH("RHWM 2020",TOCA_previous!$A$2:$AI$2,0),FALSE)*$F$2))</f>
        <v>329338.51200000005</v>
      </c>
      <c r="BJ50" s="418">
        <f>SUM(L50:AI50)+(F50*RT1SC!$C$3*$F$2)</f>
        <v>314640.30736164993</v>
      </c>
      <c r="BK50" s="417">
        <f>VLOOKUP($A50,TOCA_previous!$A$2:$AI$137,MATCH("Above RHWM Not Served with LS "&amp;$F$1,TOCA_previous!$A$2:$AI$2,0),FALSE)*$F$2</f>
        <v>55093.248</v>
      </c>
      <c r="BL50" s="418">
        <f t="shared" si="8"/>
        <v>-14698.204638350115</v>
      </c>
      <c r="BM50" s="417">
        <f>(VLOOKUP($A50,TOCA_previous!$A$2:$AI$137,MATCH("RHWM 2020",TOCA_previous!$A$2:$AI$2,0),FALSE)*$F$2) - $BI50</f>
        <v>0</v>
      </c>
      <c r="BN50" s="418">
        <f t="shared" si="9"/>
        <v>0</v>
      </c>
      <c r="BO50" s="417">
        <f t="shared" si="10"/>
        <v>0</v>
      </c>
      <c r="BP50" s="418">
        <f t="shared" si="11"/>
        <v>0</v>
      </c>
      <c r="BQ50" s="417">
        <f t="shared" si="18"/>
        <v>0</v>
      </c>
      <c r="BR50" s="120">
        <f>VLOOKUP($A50,TOCA_current!$A$2:$AI$137,MATCH(BR$4,TOCA_current!$A$2:$AI$2,0),FALSE)</f>
        <v>5.3375000000000002E-3</v>
      </c>
      <c r="BS50" s="120">
        <f>VLOOKUP($A50,TOCA_current!$A$2:$AI$137,MATCH(BS$4,TOCA_current!$A$2:$AI$2,0),FALSE)</f>
        <v>5.3375000000000002E-3</v>
      </c>
      <c r="BT50" s="201">
        <f t="shared" si="12"/>
        <v>0</v>
      </c>
      <c r="BU50" s="120">
        <f>VLOOKUP($A50,TOCA_current!A46:BG181,MATCH(BU$4,TOCA_current!$A$2:$BG$2,0),FALSE)</f>
        <v>8.2680016687526087E-2</v>
      </c>
      <c r="BV50" s="120">
        <f t="shared" si="19"/>
        <v>0</v>
      </c>
      <c r="BW50" s="120">
        <f t="shared" si="20"/>
        <v>0</v>
      </c>
      <c r="BX50" s="191">
        <f>VLOOKUP($A50,IRD!$A$4:$G$139, 7, FALSE)</f>
        <v>134655.962</v>
      </c>
      <c r="BY50" s="192">
        <f t="array" ref="BY50">IF($BT50=0, INDEX(LS_current!$D$4:$AY$138, MATCH('Staging Table'!$A50, LS_current!$B$4:$B$138, 0), MATCH(BY$4&amp;BY$5, LS_current!$D$2:$AY$2&amp;LS_current!$D$3:$AY$3, 0)),SUM(VLOOKUP($A50, LS_current!$B$4:$AY$138, LS_current!D$148, FALSE), VLOOKUP($A50, LS_current!$B$4:$AY$138,LS_current!AB$148, FALSE))/2)</f>
        <v>-2799.5730369582307</v>
      </c>
      <c r="BZ50" s="192">
        <f t="array" ref="BZ50">IF($BT50=0, INDEX(LS_current!$D$4:$AY$138, MATCH('Staging Table'!$A50, LS_current!$B$4:$B$138, 0), MATCH(BZ$4&amp;BZ$5, LS_current!$D$2:$AY$2&amp;LS_current!$D$3:$AY$3, 0)),SUM(VLOOKUP($A50, LS_current!$B$4:$AY$138, LS_current!E$148, FALSE), VLOOKUP($A50, LS_current!$B$4:$AY$138,LS_current!AC$148, FALSE))/2)</f>
        <v>-707.45955886428328</v>
      </c>
      <c r="CA50" s="192">
        <f t="array" ref="CA50">IF($BT50=0, INDEX(LS_current!$D$4:$AY$138, MATCH('Staging Table'!$A50, LS_current!$B$4:$B$138, 0), MATCH(CA$4&amp;CA$5, LS_current!$D$2:$AY$2&amp;LS_current!$D$3:$AY$3, 0)),SUM(VLOOKUP($A50, LS_current!$B$4:$AY$138, LS_current!F$148, FALSE), VLOOKUP($A50, LS_current!$B$4:$AY$138,LS_current!AD$148, FALSE))/2)</f>
        <v>-10329.179347839985</v>
      </c>
      <c r="CB50" s="192">
        <f t="array" ref="CB50">IF($BT50=0, INDEX(LS_current!$D$4:$AY$138, MATCH('Staging Table'!$A50, LS_current!$B$4:$B$138, 0), MATCH(CB$4&amp;CB$5, LS_current!$D$2:$AY$2&amp;LS_current!$D$3:$AY$3, 0)),SUM(VLOOKUP($A50, LS_current!$B$4:$AY$138, LS_current!G$148, FALSE), VLOOKUP($A50, LS_current!$B$4:$AY$138,LS_current!AE$148, FALSE))/2)</f>
        <v>-6212.4454386595871</v>
      </c>
      <c r="CC50" s="192">
        <f t="array" ref="CC50">IF($BT50=0, INDEX(LS_current!$D$4:$AY$138, MATCH('Staging Table'!$A50, LS_current!$B$4:$B$138, 0), MATCH(CC$4&amp;CC$5, LS_current!$D$2:$AY$2&amp;LS_current!$D$3:$AY$3, 0)),SUM(VLOOKUP($A50, LS_current!$B$4:$AY$138, LS_current!H$148, FALSE), VLOOKUP($A50, LS_current!$B$4:$AY$138,LS_current!AF$148, FALSE))/2)</f>
        <v>-8219.0167266839944</v>
      </c>
      <c r="CD50" s="192">
        <f t="array" ref="CD50">IF($BT50=0, INDEX(LS_current!$D$4:$AY$138, MATCH('Staging Table'!$A50, LS_current!$B$4:$B$138, 0), MATCH(CD$4&amp;CD$5, LS_current!$D$2:$AY$2&amp;LS_current!$D$3:$AY$3, 0)),SUM(VLOOKUP($A50, LS_current!$B$4:$AY$138, LS_current!I$148, FALSE), VLOOKUP($A50, LS_current!$B$4:$AY$138,LS_current!AG$148, FALSE))/2)</f>
        <v>-7034.7360930428586</v>
      </c>
      <c r="CE50" s="192">
        <f t="array" ref="CE50">IF($BT50=0, INDEX(LS_current!$D$4:$AY$138, MATCH('Staging Table'!$A50, LS_current!$B$4:$B$138, 0), MATCH(CE$4&amp;CE$5, LS_current!$D$2:$AY$2&amp;LS_current!$D$3:$AY$3, 0)),SUM(VLOOKUP($A50, LS_current!$B$4:$AY$138, LS_current!J$148, FALSE), VLOOKUP($A50, LS_current!$B$4:$AY$138,LS_current!AH$148, FALSE))/2)</f>
        <v>-5614.7137832683438</v>
      </c>
      <c r="CF50" s="192">
        <f t="array" ref="CF50">IF($BT50=0, INDEX(LS_current!$D$4:$AY$138, MATCH('Staging Table'!$A50, LS_current!$B$4:$B$138, 0), MATCH(CF$4&amp;CF$5, LS_current!$D$2:$AY$2&amp;LS_current!$D$3:$AY$3, 0)),SUM(VLOOKUP($A50, LS_current!$B$4:$AY$138, LS_current!K$148, FALSE), VLOOKUP($A50, LS_current!$B$4:$AY$138,LS_current!AI$148, FALSE))/2)</f>
        <v>-4693.5891391877685</v>
      </c>
      <c r="CG50" s="192">
        <f t="array" ref="CG50">IF($BT50=0, INDEX(LS_current!$D$4:$AY$138, MATCH('Staging Table'!$A50, LS_current!$B$4:$B$138, 0), MATCH(CG$4&amp;CG$5, LS_current!$D$2:$AY$2&amp;LS_current!$D$3:$AY$3, 0)),SUM(VLOOKUP($A50, LS_current!$B$4:$AY$138, LS_current!L$148, FALSE), VLOOKUP($A50, LS_current!$B$4:$AY$138,LS_current!AJ$148, FALSE))/2)</f>
        <v>-5451.6255243762607</v>
      </c>
      <c r="CH50" s="192">
        <f t="array" ref="CH50">IF($BT50=0, INDEX(LS_current!$D$4:$AY$138, MATCH('Staging Table'!$A50, LS_current!$B$4:$B$138, 0), MATCH(CH$4&amp;CH$5, LS_current!$D$2:$AY$2&amp;LS_current!$D$3:$AY$3, 0)),SUM(VLOOKUP($A50, LS_current!$B$4:$AY$138, LS_current!M$148, FALSE), VLOOKUP($A50, LS_current!$B$4:$AY$138,LS_current!AK$148, FALSE))/2)</f>
        <v>-4688.2533478508676</v>
      </c>
      <c r="CI50" s="192">
        <f t="array" ref="CI50">IF($BT50=0, INDEX(LS_current!$D$4:$AY$138, MATCH('Staging Table'!$A50, LS_current!$B$4:$B$138, 0), MATCH(CI$4&amp;CI$5, LS_current!$D$2:$AY$2&amp;LS_current!$D$3:$AY$3, 0)),SUM(VLOOKUP($A50, LS_current!$B$4:$AY$138, LS_current!N$148, FALSE), VLOOKUP($A50, LS_current!$B$4:$AY$138,LS_current!AL$148, FALSE))/2)</f>
        <v>-6505.8670038751297</v>
      </c>
      <c r="CJ50" s="192">
        <f t="array" ref="CJ50">IF($BT50=0, INDEX(LS_current!$D$4:$AY$138, MATCH('Staging Table'!$A50, LS_current!$B$4:$B$138, 0), MATCH(CJ$4&amp;CJ$5, LS_current!$D$2:$AY$2&amp;LS_current!$D$3:$AY$3, 0)),SUM(VLOOKUP($A50, LS_current!$B$4:$AY$138, LS_current!O$148, FALSE), VLOOKUP($A50, LS_current!$B$4:$AY$138,LS_current!AM$148, FALSE))/2)</f>
        <v>-4514.3674277588498</v>
      </c>
      <c r="CK50" s="192">
        <f t="array" ref="CK50">IF($BT50=0, INDEX(LS_current!$D$4:$AY$138, MATCH('Staging Table'!$A50, LS_current!$B$4:$B$138, 0), MATCH(CK$4&amp;CK$5, LS_current!$D$2:$AY$2&amp;LS_current!$D$3:$AY$3, 0)),SUM(VLOOKUP($A50, LS_current!$B$4:$AY$138, LS_current!P$148, FALSE), VLOOKUP($A50, LS_current!$B$4:$AY$138,LS_current!AN$148, FALSE))/2)</f>
        <v>818.15448646986988</v>
      </c>
      <c r="CL50" s="192">
        <f t="array" ref="CL50">IF($BT50=0, INDEX(LS_current!$D$4:$AY$138, MATCH('Staging Table'!$A50, LS_current!$B$4:$B$138, 0), MATCH(CL$4&amp;CL$5, LS_current!$D$2:$AY$2&amp;LS_current!$D$3:$AY$3, 0)),SUM(VLOOKUP($A50, LS_current!$B$4:$AY$138, LS_current!Q$148, FALSE), VLOOKUP($A50, LS_current!$B$4:$AY$138,LS_current!AO$148, FALSE))/2)</f>
        <v>-38.618879159926109</v>
      </c>
      <c r="CM50" s="192">
        <f t="array" ref="CM50">IF($BT50=0, INDEX(LS_current!$D$4:$AY$138, MATCH('Staging Table'!$A50, LS_current!$B$4:$B$138, 0), MATCH(CM$4&amp;CM$5, LS_current!$D$2:$AY$2&amp;LS_current!$D$3:$AY$3, 0)),SUM(VLOOKUP($A50, LS_current!$B$4:$AY$138, LS_current!R$148, FALSE), VLOOKUP($A50, LS_current!$B$4:$AY$138,LS_current!AP$148, FALSE))/2)</f>
        <v>1315.4516143337933</v>
      </c>
      <c r="CN50" s="192">
        <f t="array" ref="CN50">IF($BT50=0, INDEX(LS_current!$D$4:$AY$138, MATCH('Staging Table'!$A50, LS_current!$B$4:$B$138, 0), MATCH(CN$4&amp;CN$5, LS_current!$D$2:$AY$2&amp;LS_current!$D$3:$AY$3, 0)),SUM(VLOOKUP($A50, LS_current!$B$4:$AY$138, LS_current!S$148, FALSE), VLOOKUP($A50, LS_current!$B$4:$AY$138,LS_current!AQ$148, FALSE))/2)</f>
        <v>5130.7733969566434</v>
      </c>
      <c r="CO50" s="192">
        <f t="array" ref="CO50">IF($BT50=0, INDEX(LS_current!$D$4:$AY$138, MATCH('Staging Table'!$A50, LS_current!$B$4:$B$138, 0), MATCH(CO$4&amp;CO$5, LS_current!$D$2:$AY$2&amp;LS_current!$D$3:$AY$3, 0)),SUM(VLOOKUP($A50, LS_current!$B$4:$AY$138, LS_current!T$148, FALSE), VLOOKUP($A50, LS_current!$B$4:$AY$138,LS_current!AR$148, FALSE))/2)</f>
        <v>5582.912577284158</v>
      </c>
      <c r="CP50" s="192">
        <f t="array" ref="CP50">IF($BT50=0, INDEX(LS_current!$D$4:$AY$138, MATCH('Staging Table'!$A50, LS_current!$B$4:$B$138, 0), MATCH(CP$4&amp;CP$5, LS_current!$D$2:$AY$2&amp;LS_current!$D$3:$AY$3, 0)),SUM(VLOOKUP($A50, LS_current!$B$4:$AY$138, LS_current!U$148, FALSE), VLOOKUP($A50, LS_current!$B$4:$AY$138,LS_current!AS$148, FALSE))/2)</f>
        <v>7770.4665875312821</v>
      </c>
      <c r="CQ50" s="192">
        <f t="array" ref="CQ50">IF($BT50=0, INDEX(LS_current!$D$4:$AY$138, MATCH('Staging Table'!$A50, LS_current!$B$4:$B$138, 0), MATCH(CQ$4&amp;CQ$5, LS_current!$D$2:$AY$2&amp;LS_current!$D$3:$AY$3, 0)),SUM(VLOOKUP($A50, LS_current!$B$4:$AY$138, LS_current!V$148, FALSE), VLOOKUP($A50, LS_current!$B$4:$AY$138,LS_current!AT$148, FALSE))/2)</f>
        <v>11719.219432434653</v>
      </c>
      <c r="CR50" s="192">
        <f t="array" ref="CR50">IF($BT50=0, INDEX(LS_current!$D$4:$AY$138, MATCH('Staging Table'!$A50, LS_current!$B$4:$B$138, 0), MATCH(CR$4&amp;CR$5, LS_current!$D$2:$AY$2&amp;LS_current!$D$3:$AY$3, 0)),SUM(VLOOKUP($A50, LS_current!$B$4:$AY$138, LS_current!W$148, FALSE), VLOOKUP($A50, LS_current!$B$4:$AY$138,LS_current!AU$148, FALSE))/2)</f>
        <v>12945.898206463686</v>
      </c>
      <c r="CS50" s="192">
        <f t="array" ref="CS50">IF($BT50=0, INDEX(LS_current!$D$4:$AY$138, MATCH('Staging Table'!$A50, LS_current!$B$4:$B$138, 0), MATCH(CS$4&amp;CS$5, LS_current!$D$2:$AY$2&amp;LS_current!$D$3:$AY$3, 0)),SUM(VLOOKUP($A50, LS_current!$B$4:$AY$138, LS_current!X$148, FALSE), VLOOKUP($A50, LS_current!$B$4:$AY$138,LS_current!AV$148, FALSE))/2)</f>
        <v>10537.963267155606</v>
      </c>
      <c r="CT50" s="192">
        <f t="array" ref="CT50">IF($BT50=0, INDEX(LS_current!$D$4:$AY$138, MATCH('Staging Table'!$A50, LS_current!$B$4:$B$138, 0), MATCH(CT$4&amp;CT$5, LS_current!$D$2:$AY$2&amp;LS_current!$D$3:$AY$3, 0)),SUM(VLOOKUP($A50, LS_current!$B$4:$AY$138, LS_current!Y$148, FALSE), VLOOKUP($A50, LS_current!$B$4:$AY$138,LS_current!AW$148, FALSE))/2)</f>
        <v>8403.3030296598499</v>
      </c>
      <c r="CU50" s="192">
        <f t="array" ref="CU50">IF($BT50=0, INDEX(LS_current!$D$4:$AY$138, MATCH('Staging Table'!$A50, LS_current!$B$4:$B$138, 0), MATCH(CU$4&amp;CU$5, LS_current!$D$2:$AY$2&amp;LS_current!$D$3:$AY$3, 0)),SUM(VLOOKUP($A50, LS_current!$B$4:$AY$138, LS_current!Z$148, FALSE), VLOOKUP($A50, LS_current!$B$4:$AY$138,LS_current!AX$148, FALSE))/2)</f>
        <v>-336.07965430342301</v>
      </c>
      <c r="CV50" s="192">
        <f t="array" ref="CV50">IF($BT50=0, INDEX(LS_current!$D$4:$AY$138, MATCH('Staging Table'!$A50, LS_current!$B$4:$B$138, 0), MATCH(CV$4&amp;CV$5, LS_current!$D$2:$AY$2&amp;LS_current!$D$3:$AY$3, 0)),SUM(VLOOKUP($A50, LS_current!$B$4:$AY$138, LS_current!AA$148, FALSE), VLOOKUP($A50, LS_current!$B$4:$AY$138,LS_current!AY$148, FALSE))/2)</f>
        <v>632.49189204429604</v>
      </c>
      <c r="CW50" s="194">
        <f t="array" ref="CW50">INDEX(Demand_current!$D$4:$AY$138, MATCH($A50, Demand_current!$B$4:$B$138, 0), MATCH(CW$4&amp;CW$5,Demand_current!$D$2:$AY$2&amp;Demand_current!$D$3:$AY$3, 0))/1000</f>
        <v>0</v>
      </c>
      <c r="CX50" s="194">
        <f t="array" ref="CX50">INDEX(Demand_current!$D$4:$AY$138, MATCH($A50, Demand_current!$B$4:$B$138, 0), MATCH(CX$4&amp;CX$5,Demand_current!$D$2:$AY$2&amp;Demand_current!$D$3:$AY$3, 0))/1000</f>
        <v>0</v>
      </c>
      <c r="CY50" s="194">
        <f t="array" ref="CY50">INDEX(Demand_current!$D$4:$AY$138, MATCH($A50, Demand_current!$B$4:$B$138, 0), MATCH(CY$4&amp;CY$5,Demand_current!$D$2:$AY$2&amp;Demand_current!$D$3:$AY$3, 0))/1000</f>
        <v>0</v>
      </c>
      <c r="CZ50" s="194">
        <f t="array" ref="CZ50">INDEX(Demand_current!$D$4:$AY$138, MATCH($A50, Demand_current!$B$4:$B$138, 0), MATCH(CZ$4&amp;CZ$5,Demand_current!$D$2:$AY$2&amp;Demand_current!$D$3:$AY$3, 0))/1000</f>
        <v>0</v>
      </c>
      <c r="DA50" s="194">
        <f t="array" ref="DA50">INDEX(Demand_current!$D$4:$AY$138, MATCH($A50, Demand_current!$B$4:$B$138, 0), MATCH(DA$4&amp;DA$5,Demand_current!$D$2:$AY$2&amp;Demand_current!$D$3:$AY$3, 0))/1000</f>
        <v>0</v>
      </c>
      <c r="DB50" s="194">
        <f t="array" ref="DB50">INDEX(Demand_current!$D$4:$AY$138, MATCH($A50, Demand_current!$B$4:$B$138, 0), MATCH(DB$4&amp;DB$5,Demand_current!$D$2:$AY$2&amp;Demand_current!$D$3:$AY$3, 0))/1000</f>
        <v>0</v>
      </c>
      <c r="DC50" s="194">
        <f t="array" ref="DC50">INDEX(Demand_current!$D$4:$AY$138, MATCH($A50, Demand_current!$B$4:$B$138, 0), MATCH(DC$4&amp;DC$5,Demand_current!$D$2:$AY$2&amp;Demand_current!$D$3:$AY$3, 0))/1000</f>
        <v>0</v>
      </c>
      <c r="DD50" s="194">
        <f t="array" ref="DD50">INDEX(Demand_current!$D$4:$AY$138, MATCH($A50, Demand_current!$B$4:$B$138, 0), MATCH(DD$4&amp;DD$5,Demand_current!$D$2:$AY$2&amp;Demand_current!$D$3:$AY$3, 0))/1000</f>
        <v>0</v>
      </c>
      <c r="DE50" s="194">
        <f t="array" ref="DE50">INDEX(Demand_current!$D$4:$AY$138, MATCH($A50, Demand_current!$B$4:$B$138, 0), MATCH(DE$4&amp;DE$5,Demand_current!$D$2:$AY$2&amp;Demand_current!$D$3:$AY$3, 0))/1000</f>
        <v>11.862317307692306</v>
      </c>
      <c r="DF50" s="194">
        <f t="array" ref="DF50">INDEX(Demand_current!$D$4:$AY$138, MATCH($A50, Demand_current!$B$4:$B$138, 0), MATCH(DF$4&amp;DF$5,Demand_current!$D$2:$AY$2&amp;Demand_current!$D$3:$AY$3, 0))/1000</f>
        <v>3.9465799999999938</v>
      </c>
      <c r="DG50" s="194">
        <f t="array" ref="DG50">INDEX(Demand_current!$D$4:$AY$138, MATCH($A50, Demand_current!$B$4:$B$138, 0), MATCH(DG$4&amp;DG$5,Demand_current!$D$2:$AY$2&amp;Demand_current!$D$3:$AY$3, 0))/1000</f>
        <v>10.038379629629631</v>
      </c>
      <c r="DH50" s="194">
        <f t="array" ref="DH50">INDEX(Demand_current!$D$4:$AY$138, MATCH($A50, Demand_current!$B$4:$B$138, 0), MATCH(DH$4&amp;DH$5,Demand_current!$D$2:$AY$2&amp;Demand_current!$D$3:$AY$3, 0))/1000</f>
        <v>0</v>
      </c>
      <c r="DI50" s="192">
        <f>$BS50*(VLOOKUP(DI$4, Rates_current!$G$6:$Q$29, 10, FALSE)+VLOOKUP(DI$4, Rates_current!$G$6:$Q$29, 11, FALSE))</f>
        <v>24306.571595822512</v>
      </c>
      <c r="DJ50" s="192">
        <f>$BS50*(VLOOKUP(DJ$4, Rates_current!$G$6:$Q$29, 10, FALSE)+VLOOKUP(DJ$4, Rates_current!$G$6:$Q$29, 11, FALSE))</f>
        <v>30773.001786499575</v>
      </c>
      <c r="DK50" s="192">
        <f>$BS50*(VLOOKUP(DK$4, Rates_current!$G$6:$Q$29, 10, FALSE)+VLOOKUP(DK$4, Rates_current!$G$6:$Q$29, 11, FALSE))</f>
        <v>30120.620819726857</v>
      </c>
      <c r="DL50" s="192">
        <f>$BS50*(VLOOKUP(DL$4, Rates_current!$G$6:$Q$29, 10, FALSE)+VLOOKUP(DL$4, Rates_current!$G$6:$Q$29, 11, FALSE))</f>
        <v>24878.351922456113</v>
      </c>
      <c r="DM50" s="192">
        <f>$BS50*(VLOOKUP(DM$4, Rates_current!$G$6:$Q$29, 10, FALSE)+VLOOKUP(DM$4, Rates_current!$G$6:$Q$29, 11, FALSE))</f>
        <v>21562.612872227131</v>
      </c>
      <c r="DN50" s="192">
        <f>$BS50*(VLOOKUP(DN$4, Rates_current!$G$6:$Q$29, 10, FALSE)+VLOOKUP(DN$4, Rates_current!$G$6:$Q$29, 11, FALSE))</f>
        <v>25741.405431633983</v>
      </c>
      <c r="DO50" s="192">
        <f>$BS50*(VLOOKUP(DO$4, Rates_current!$G$6:$Q$29, 10, FALSE)+VLOOKUP(DO$4, Rates_current!$G$6:$Q$29, 11, FALSE))</f>
        <v>19984.774392690058</v>
      </c>
      <c r="DP50" s="192">
        <f>$BS50*(VLOOKUP(DP$4, Rates_current!$G$6:$Q$29, 10, FALSE)+VLOOKUP(DP$4, Rates_current!$G$6:$Q$29, 11, FALSE))</f>
        <v>27689.051988709562</v>
      </c>
      <c r="DQ50" s="192">
        <f>$BS50*(VLOOKUP(DQ$4, Rates_current!$G$6:$Q$29, 10, FALSE)+VLOOKUP(DQ$4, Rates_current!$G$6:$Q$29, 11, FALSE))</f>
        <v>29586.331835184556</v>
      </c>
      <c r="DR50" s="192">
        <f>$BS50*(VLOOKUP(DR$4, Rates_current!$G$6:$Q$29, 10, FALSE)+VLOOKUP(DR$4, Rates_current!$G$6:$Q$29, 11, FALSE))</f>
        <v>28090.88236110166</v>
      </c>
      <c r="DS50" s="192">
        <f>$BS50*(VLOOKUP(DS$4, Rates_current!$G$6:$Q$29, 10, FALSE)+VLOOKUP(DS$4, Rates_current!$G$6:$Q$29, 11, FALSE))</f>
        <v>27147.670703184544</v>
      </c>
      <c r="DT50" s="192">
        <f>$BS50*(VLOOKUP(DT$4, Rates_current!$G$6:$Q$29, 10, FALSE)+VLOOKUP(DT$4, Rates_current!$G$6:$Q$29, 11, FALSE))</f>
        <v>25087.277762259127</v>
      </c>
      <c r="DU50" s="418">
        <f>IF(D50=0,IF(C50=0,MAX(0,DW50 - (VLOOKUP($A50,TOCA_current!$A$2:$AI$137,MATCH("RHWM 2022",TOCA_current!$A$2:$AI$2,0),FALSE)*$BS$2)), 0),0)</f>
        <v>0</v>
      </c>
      <c r="DV50" s="419">
        <f>MIN(VLOOKUP($A50,TOCA_current!$A$2:$AI$137,MATCH("TRL - NLSL - Existing Resource "&amp;$BS$1,TOCA_current!$A$2:$AI$2,0),FALSE)*$BS$2, VLOOKUP($A50,TOCA_current!$A$2:$AI$137,MATCH("RHWM 2022",TOCA_current!$A$2:$AI$2,0),FALSE)*$BS$2)</f>
        <v>314965.8</v>
      </c>
      <c r="DW50" s="419">
        <f>SUM(BY50:CV50)+(BS50*RT1SC!$C$4*$BS$2)</f>
        <v>312679.67911200435</v>
      </c>
      <c r="DX50" s="419">
        <f>VLOOKUP($A50,TOCA_current!$A$2:$AI$137,MATCH("Above RHWM Not Served with LS "&amp;$BS$1,TOCA_current!$A$2:$AI$2,0),FALSE)*$BS$2</f>
        <v>57053.88</v>
      </c>
      <c r="DY50" s="419">
        <f t="shared" si="13"/>
        <v>-2286.1208879956394</v>
      </c>
      <c r="DZ50" s="419">
        <f>(VLOOKUP($A50,TOCA_current!$A$2:$AI$137,MATCH("RHWM 2022",TOCA_current!$A$2:$AI$2,0),FALSE)*$BS$2) - $DV50</f>
        <v>0</v>
      </c>
      <c r="EA50" s="419">
        <f t="shared" si="14"/>
        <v>0</v>
      </c>
      <c r="EB50" s="419">
        <f t="shared" si="15"/>
        <v>0</v>
      </c>
      <c r="EC50" s="419">
        <f t="shared" si="16"/>
        <v>0</v>
      </c>
      <c r="ED50" s="419">
        <f t="shared" si="17"/>
        <v>0</v>
      </c>
    </row>
    <row r="51" spans="1:134">
      <c r="A51" s="135">
        <v>10116</v>
      </c>
      <c r="B51" s="136" t="s">
        <v>52</v>
      </c>
      <c r="C51" s="244">
        <f>VLOOKUP(A51, TOCA_current!$A$3:$D$137, 4, FALSE)</f>
        <v>0</v>
      </c>
      <c r="D51" s="203">
        <v>0</v>
      </c>
      <c r="E51" s="119">
        <f>VLOOKUP($A51,TOCA_previous!$A$2:$AI$137,MATCH(E$4,TOCA_previous!$A$2:$AI$2,0),FALSE)</f>
        <v>3.2199999999999997E-5</v>
      </c>
      <c r="F51" s="120">
        <f>VLOOKUP($A51,TOCA_previous!$A$2:$AI$137,MATCH(F$4,TOCA_previous!$A$2:$AI$2,0),FALSE)</f>
        <v>3.2199999999999997E-5</v>
      </c>
      <c r="G51" s="120">
        <f t="shared" si="5"/>
        <v>0</v>
      </c>
      <c r="H51" s="120">
        <f>VLOOKUP($A51,TOCA_previous!$A$2:$AI$137,MATCH(H$4,TOCA_previous!$A$2:$AI$2,0),FALSE)</f>
        <v>0</v>
      </c>
      <c r="I51" s="120">
        <f t="shared" si="6"/>
        <v>0</v>
      </c>
      <c r="J51" s="120">
        <f t="shared" si="7"/>
        <v>0</v>
      </c>
      <c r="K51" s="191">
        <f>VLOOKUP(A51, IRD!$A$5:$C$139, 3, FALSE)</f>
        <v>0</v>
      </c>
      <c r="L51" s="192">
        <f t="array" ref="L51">IF($G51=0, INDEX(LS_previous!$D$4:$AY$138, MATCH('Staging Table'!$A51, LS_previous!$B$4:$B$138, 0), MATCH(L$4&amp;L$5, LS_previous!$D$2:$AY$2&amp;LS_previous!$D$3:$AY$3, 0)),SUM(VLOOKUP($A51, LS_previous!$B$4:$AY$138, LS_previous!D$149, FALSE), VLOOKUP('Staging Table'!$A51, LS_previous!$B$4:$AY$138,LS_previous!AB$149, FALSE))/2)</f>
        <v>14.546809327785581</v>
      </c>
      <c r="M51" s="192">
        <f t="array" ref="M51">IF($G51=0, INDEX(LS_previous!$D$4:$AY$138, MATCH('Staging Table'!$A51, LS_previous!$B$4:$B$138, 0), MATCH(M$4&amp;M$5, LS_previous!$D$2:$AY$2&amp;LS_previous!$D$3:$AY$3, 0)),SUM(VLOOKUP($A51, LS_previous!$B$4:$AY$138, LS_previous!E$149, FALSE), VLOOKUP('Staging Table'!$A51, LS_previous!$B$4:$AY$138,LS_previous!AC$149, FALSE))/2)</f>
        <v>24.757942968205008</v>
      </c>
      <c r="N51" s="192">
        <f t="array" ref="N51">IF($G51=0, INDEX(LS_previous!$D$4:$AY$138, MATCH('Staging Table'!$A51, LS_previous!$B$4:$B$138, 0), MATCH(N$4&amp;N$5, LS_previous!$D$2:$AY$2&amp;LS_previous!$D$3:$AY$3, 0)),SUM(VLOOKUP($A51, LS_previous!$B$4:$AY$138, LS_previous!F$149, FALSE), VLOOKUP('Staging Table'!$A51, LS_previous!$B$4:$AY$138,LS_previous!AD$149, FALSE))/2)</f>
        <v>-24.20123440159999</v>
      </c>
      <c r="O51" s="192">
        <f t="array" ref="O51">IF($G51=0, INDEX(LS_previous!$D$4:$AY$138, MATCH('Staging Table'!$A51, LS_previous!$B$4:$B$138, 0), MATCH(O$4&amp;O$5, LS_previous!$D$2:$AY$2&amp;LS_previous!$D$3:$AY$3, 0)),SUM(VLOOKUP($A51, LS_previous!$B$4:$AY$138, LS_previous!G$149, FALSE), VLOOKUP('Staging Table'!$A51, LS_previous!$B$4:$AY$138,LS_previous!AE$149, FALSE))/2)</f>
        <v>2.6432841058000065</v>
      </c>
      <c r="P51" s="192">
        <f t="array" ref="P51">IF($G51=0, INDEX(LS_previous!$D$4:$AY$138, MATCH('Staging Table'!$A51, LS_previous!$B$4:$B$138, 0), MATCH(P$4&amp;P$5, LS_previous!$D$2:$AY$2&amp;LS_previous!$D$3:$AY$3, 0)),SUM(VLOOKUP($A51, LS_previous!$B$4:$AY$138, LS_previous!H$149, FALSE), VLOOKUP('Staging Table'!$A51, LS_previous!$B$4:$AY$138,LS_previous!AF$149, FALSE))/2)</f>
        <v>-16.707804838399994</v>
      </c>
      <c r="Q51" s="192">
        <f t="array" ref="Q51">IF($G51=0, INDEX(LS_previous!$D$4:$AY$138, MATCH('Staging Table'!$A51, LS_previous!$B$4:$B$138, 0), MATCH(Q$4&amp;Q$5, LS_previous!$D$2:$AY$2&amp;LS_previous!$D$3:$AY$3, 0)),SUM(VLOOKUP($A51, LS_previous!$B$4:$AY$138, LS_previous!I$149, FALSE), VLOOKUP('Staging Table'!$A51, LS_previous!$B$4:$AY$138,LS_previous!AG$149, FALSE))/2)</f>
        <v>13.382678527200014</v>
      </c>
      <c r="R51" s="192">
        <f t="array" ref="R51">IF($G51=0, INDEX(LS_previous!$D$4:$AY$138, MATCH('Staging Table'!$A51, LS_previous!$B$4:$B$138, 0), MATCH(R$4&amp;R$5, LS_previous!$D$2:$AY$2&amp;LS_previous!$D$3:$AY$3, 0)),SUM(VLOOKUP($A51, LS_previous!$B$4:$AY$138, LS_previous!J$149, FALSE), VLOOKUP('Staging Table'!$A51, LS_previous!$B$4:$AY$138,LS_previous!AH$149, FALSE))/2)</f>
        <v>17.191982361599997</v>
      </c>
      <c r="S51" s="192">
        <f t="array" ref="S51">IF($G51=0, INDEX(LS_previous!$D$4:$AY$138, MATCH('Staging Table'!$A51, LS_previous!$B$4:$B$138, 0), MATCH(S$4&amp;S$5, LS_previous!$D$2:$AY$2&amp;LS_previous!$D$3:$AY$3, 0)),SUM(VLOOKUP($A51, LS_previous!$B$4:$AY$138, LS_previous!K$149, FALSE), VLOOKUP('Staging Table'!$A51, LS_previous!$B$4:$AY$138,LS_previous!AI$149, FALSE))/2)</f>
        <v>23.461116927200003</v>
      </c>
      <c r="T51" s="192">
        <f t="array" ref="T51">IF($G51=0, INDEX(LS_previous!$D$4:$AY$138, MATCH('Staging Table'!$A51, LS_previous!$B$4:$B$138, 0), MATCH(T$4&amp;T$5, LS_previous!$D$2:$AY$2&amp;LS_previous!$D$3:$AY$3, 0)),SUM(VLOOKUP($A51, LS_previous!$B$4:$AY$138, LS_previous!L$149, FALSE), VLOOKUP('Staging Table'!$A51, LS_previous!$B$4:$AY$138,LS_previous!AJ$149, FALSE))/2)</f>
        <v>19.830647607200021</v>
      </c>
      <c r="U51" s="192">
        <f t="array" ref="U51">IF($G51=0, INDEX(LS_previous!$D$4:$AY$138, MATCH('Staging Table'!$A51, LS_previous!$B$4:$B$138, 0), MATCH(U$4&amp;U$5, LS_previous!$D$2:$AY$2&amp;LS_previous!$D$3:$AY$3, 0)),SUM(VLOOKUP($A51, LS_previous!$B$4:$AY$138, LS_previous!M$149, FALSE), VLOOKUP('Staging Table'!$A51, LS_previous!$B$4:$AY$138,LS_previous!AK$149, FALSE))/2)</f>
        <v>24.316241432800005</v>
      </c>
      <c r="V51" s="192">
        <f t="array" ref="V51">IF($G51=0, INDEX(LS_previous!$D$4:$AY$138, MATCH('Staging Table'!$A51, LS_previous!$B$4:$B$138, 0), MATCH(V$4&amp;V$5, LS_previous!$D$2:$AY$2&amp;LS_previous!$D$3:$AY$3, 0)),SUM(VLOOKUP($A51, LS_previous!$B$4:$AY$138, LS_previous!N$149, FALSE), VLOOKUP('Staging Table'!$A51, LS_previous!$B$4:$AY$138,LS_previous!AL$149, FALSE))/2)</f>
        <v>8.0065976433185426</v>
      </c>
      <c r="W51" s="192">
        <f t="array" ref="W51">IF($G51=0, INDEX(LS_previous!$D$4:$AY$138, MATCH('Staging Table'!$A51, LS_previous!$B$4:$B$138, 0), MATCH(W$4&amp;W$5, LS_previous!$D$2:$AY$2&amp;LS_previous!$D$3:$AY$3, 0)),SUM(VLOOKUP($A51, LS_previous!$B$4:$AY$138, LS_previous!O$149, FALSE), VLOOKUP('Staging Table'!$A51, LS_previous!$B$4:$AY$138,LS_previous!AM$149, FALSE))/2)</f>
        <v>25.035557185281512</v>
      </c>
      <c r="X51" s="192">
        <f t="array" ref="X51">IF($G51=0, INDEX(LS_previous!$D$4:$AY$138, MATCH('Staging Table'!$A51, LS_previous!$B$4:$B$138, 0), MATCH(X$4&amp;X$5, LS_previous!$D$2:$AY$2&amp;LS_previous!$D$3:$AY$3, 0)),SUM(VLOOKUP($A51, LS_previous!$B$4:$AY$138, LS_previous!P$149, FALSE), VLOOKUP('Staging Table'!$A51, LS_previous!$B$4:$AY$138,LS_previous!AN$149, FALSE))/2)</f>
        <v>27.017926256386104</v>
      </c>
      <c r="Y51" s="192">
        <f t="array" ref="Y51">IF($G51=0, INDEX(LS_previous!$D$4:$AY$138, MATCH('Staging Table'!$A51, LS_previous!$B$4:$B$138, 0), MATCH(Y$4&amp;Y$5, LS_previous!$D$2:$AY$2&amp;LS_previous!$D$3:$AY$3, 0)),SUM(VLOOKUP($A51, LS_previous!$B$4:$AY$138, LS_previous!Q$149, FALSE), VLOOKUP('Staging Table'!$A51, LS_previous!$B$4:$AY$138,LS_previous!AO$149, FALSE))/2)</f>
        <v>27.299025404249932</v>
      </c>
      <c r="Z51" s="192">
        <f t="array" ref="Z51">IF($G51=0, INDEX(LS_previous!$D$4:$AY$138, MATCH('Staging Table'!$A51, LS_previous!$B$4:$B$138, 0), MATCH(Z$4&amp;Z$5, LS_previous!$D$2:$AY$2&amp;LS_previous!$D$3:$AY$3, 0)),SUM(VLOOKUP($A51, LS_previous!$B$4:$AY$138, LS_previous!R$149, FALSE), VLOOKUP('Staging Table'!$A51, LS_previous!$B$4:$AY$138,LS_previous!AP$149, FALSE))/2)</f>
        <v>-8.4884094150133791</v>
      </c>
      <c r="AA51" s="192">
        <f t="array" ref="AA51">IF($G51=0, INDEX(LS_previous!$D$4:$AY$138, MATCH('Staging Table'!$A51, LS_previous!$B$4:$B$138, 0), MATCH(AA$4&amp;AA$5, LS_previous!$D$2:$AY$2&amp;LS_previous!$D$3:$AY$3, 0)),SUM(VLOOKUP($A51, LS_previous!$B$4:$AY$138, LS_previous!S$149, FALSE), VLOOKUP('Staging Table'!$A51, LS_previous!$B$4:$AY$138,LS_previous!AQ$149, FALSE))/2)</f>
        <v>24.381169611003955</v>
      </c>
      <c r="AB51" s="192">
        <f t="array" ref="AB51">IF($G51=0, INDEX(LS_previous!$D$4:$AY$138, MATCH('Staging Table'!$A51, LS_previous!$B$4:$B$138, 0), MATCH(AB$4&amp;AB$5, LS_previous!$D$2:$AY$2&amp;LS_previous!$D$3:$AY$3, 0)),SUM(VLOOKUP($A51, LS_previous!$B$4:$AY$138, LS_previous!T$149, FALSE), VLOOKUP('Staging Table'!$A51, LS_previous!$B$4:$AY$138,LS_previous!AR$149, FALSE))/2)</f>
        <v>-21.779311066965633</v>
      </c>
      <c r="AC51" s="192">
        <f t="array" ref="AC51">IF($G51=0, INDEX(LS_previous!$D$4:$AY$138, MATCH('Staging Table'!$A51, LS_previous!$B$4:$B$138, 0), MATCH(AC$4&amp;AC$5, LS_previous!$D$2:$AY$2&amp;LS_previous!$D$3:$AY$3, 0)),SUM(VLOOKUP($A51, LS_previous!$B$4:$AY$138, LS_previous!U$149, FALSE), VLOOKUP('Staging Table'!$A51, LS_previous!$B$4:$AY$138,LS_previous!AS$149, FALSE))/2)</f>
        <v>6.8628991671811832</v>
      </c>
      <c r="AD51" s="192">
        <f t="array" ref="AD51">IF($G51=0, INDEX(LS_previous!$D$4:$AY$138, MATCH('Staging Table'!$A51, LS_previous!$B$4:$B$138, 0), MATCH(AD$4&amp;AD$5, LS_previous!$D$2:$AY$2&amp;LS_previous!$D$3:$AY$3, 0)),SUM(VLOOKUP($A51, LS_previous!$B$4:$AY$138, LS_previous!V$149, FALSE), VLOOKUP('Staging Table'!$A51, LS_previous!$B$4:$AY$138,LS_previous!AT$149, FALSE))/2)</f>
        <v>2.2191879330343625</v>
      </c>
      <c r="AE51" s="192">
        <f t="array" ref="AE51">IF($G51=0, INDEX(LS_previous!$D$4:$AY$138, MATCH('Staging Table'!$A51, LS_previous!$B$4:$B$138, 0), MATCH(AE$4&amp;AE$5, LS_previous!$D$2:$AY$2&amp;LS_previous!$D$3:$AY$3, 0)),SUM(VLOOKUP($A51, LS_previous!$B$4:$AY$138, LS_previous!W$149, FALSE), VLOOKUP('Staging Table'!$A51, LS_previous!$B$4:$AY$138,LS_previous!AU$149, FALSE))/2)</f>
        <v>37.107499313855016</v>
      </c>
      <c r="AF51" s="192">
        <f t="array" ref="AF51">IF($G51=0, INDEX(LS_previous!$D$4:$AY$138, MATCH('Staging Table'!$A51, LS_previous!$B$4:$B$138, 0), MATCH(AF$4&amp;AF$5, LS_previous!$D$2:$AY$2&amp;LS_previous!$D$3:$AY$3, 0)),SUM(VLOOKUP($A51, LS_previous!$B$4:$AY$138, LS_previous!X$149, FALSE), VLOOKUP('Staging Table'!$A51, LS_previous!$B$4:$AY$138,LS_previous!AV$149, FALSE))/2)</f>
        <v>19.257233409682613</v>
      </c>
      <c r="AG51" s="192">
        <f t="array" ref="AG51">IF($G51=0, INDEX(LS_previous!$D$4:$AY$138, MATCH('Staging Table'!$A51, LS_previous!$B$4:$B$138, 0), MATCH(AG$4&amp;AG$5, LS_previous!$D$2:$AY$2&amp;LS_previous!$D$3:$AY$3, 0)),SUM(VLOOKUP($A51, LS_previous!$B$4:$AY$138, LS_previous!Y$149, FALSE), VLOOKUP('Staging Table'!$A51, LS_previous!$B$4:$AY$138,LS_previous!AW$149, FALSE))/2)</f>
        <v>48.077519688105596</v>
      </c>
      <c r="AH51" s="192">
        <f t="array" ref="AH51">IF($G51=0, INDEX(LS_previous!$D$4:$AY$138, MATCH('Staging Table'!$A51, LS_previous!$B$4:$B$138, 0), MATCH(AH$4&amp;AH$5, LS_previous!$D$2:$AY$2&amp;LS_previous!$D$3:$AY$3, 0)),SUM(VLOOKUP($A51, LS_previous!$B$4:$AY$138, LS_previous!Z$149, FALSE), VLOOKUP('Staging Table'!$A51, LS_previous!$B$4:$AY$138,LS_previous!AX$149, FALSE))/2)</f>
        <v>6.7969788849866291</v>
      </c>
      <c r="AI51" s="192">
        <f t="array" ref="AI51">IF($G51=0, INDEX(LS_previous!$D$4:$AY$138, MATCH('Staging Table'!$A51, LS_previous!$B$4:$B$138, 0), MATCH(AI$4&amp;AI$5, LS_previous!$D$2:$AY$2&amp;LS_previous!$D$3:$AY$3, 0)),SUM(VLOOKUP($A51, LS_previous!$B$4:$AY$138, LS_previous!AA$149, FALSE), VLOOKUP('Staging Table'!$A51, LS_previous!$B$4:$AY$138,LS_previous!AY$149, FALSE))/2)</f>
        <v>24.613504575649408</v>
      </c>
      <c r="AJ51" s="314">
        <f t="array" ref="AJ51">INDEX(Demand_previous!$D$4:$AY$138, MATCH('Staging Table'!$A51, Demand_previous!$B$4:$B$138, 0), MATCH(AJ$4&amp;AJ$5,Demand_previous!$D$2:$AY$2&amp;Demand_previous!$D$3:$AY$3, 0))/1000</f>
        <v>0</v>
      </c>
      <c r="AK51" s="314">
        <f t="array" ref="AK51">INDEX(Demand_previous!$D$4:$AY$138, MATCH('Staging Table'!$A51, Demand_previous!$B$4:$B$138, 0), MATCH(AK$4&amp;AK$5,Demand_previous!$D$2:$AY$2&amp;Demand_previous!$D$3:$AY$3, 0))/1000</f>
        <v>0</v>
      </c>
      <c r="AL51" s="314">
        <f t="array" ref="AL51">INDEX(Demand_previous!$D$4:$AY$138, MATCH('Staging Table'!$A51, Demand_previous!$B$4:$B$138, 0), MATCH(AL$4&amp;AL$5,Demand_previous!$D$2:$AY$2&amp;Demand_previous!$D$3:$AY$3, 0))/1000</f>
        <v>0</v>
      </c>
      <c r="AM51" s="314">
        <f t="array" ref="AM51">INDEX(Demand_previous!$D$4:$AY$138, MATCH('Staging Table'!$A51, Demand_previous!$B$4:$B$138, 0), MATCH(AM$4&amp;AM$5,Demand_previous!$D$2:$AY$2&amp;Demand_previous!$D$3:$AY$3, 0))/1000</f>
        <v>0</v>
      </c>
      <c r="AN51" s="314">
        <f t="array" ref="AN51">INDEX(Demand_previous!$D$4:$AY$138, MATCH('Staging Table'!$A51, Demand_previous!$B$4:$B$138, 0), MATCH(AN$4&amp;AN$5,Demand_previous!$D$2:$AY$2&amp;Demand_previous!$D$3:$AY$3, 0))/1000</f>
        <v>0</v>
      </c>
      <c r="AO51" s="314">
        <f t="array" ref="AO51">INDEX(Demand_previous!$D$4:$AY$138, MATCH('Staging Table'!$A51, Demand_previous!$B$4:$B$138, 0), MATCH(AO$4&amp;AO$5,Demand_previous!$D$2:$AY$2&amp;Demand_previous!$D$3:$AY$3, 0))/1000</f>
        <v>0</v>
      </c>
      <c r="AP51" s="314">
        <f t="array" ref="AP51">INDEX(Demand_previous!$D$4:$AY$138, MATCH('Staging Table'!$A51, Demand_previous!$B$4:$B$138, 0), MATCH(AP$4&amp;AP$5,Demand_previous!$D$2:$AY$2&amp;Demand_previous!$D$3:$AY$3, 0))/1000</f>
        <v>0</v>
      </c>
      <c r="AQ51" s="314">
        <f t="array" ref="AQ51">INDEX(Demand_previous!$D$4:$AY$138, MATCH('Staging Table'!$A51, Demand_previous!$B$4:$B$138, 0), MATCH(AQ$4&amp;AQ$5,Demand_previous!$D$2:$AY$2&amp;Demand_previous!$D$3:$AY$3, 0))/1000</f>
        <v>0</v>
      </c>
      <c r="AR51" s="314">
        <f t="array" ref="AR51">INDEX(Demand_previous!$D$4:$AY$138, MATCH('Staging Table'!$A51, Demand_previous!$B$4:$B$138, 0), MATCH(AR$4&amp;AR$5,Demand_previous!$D$2:$AY$2&amp;Demand_previous!$D$3:$AY$3, 0))/1000</f>
        <v>0</v>
      </c>
      <c r="AS51" s="314">
        <f t="array" ref="AS51">INDEX(Demand_previous!$D$4:$AY$138, MATCH('Staging Table'!$A51, Demand_previous!$B$4:$B$138, 0), MATCH(AS$4&amp;AS$5,Demand_previous!$D$2:$AY$2&amp;Demand_previous!$D$3:$AY$3, 0))/1000</f>
        <v>0</v>
      </c>
      <c r="AT51" s="314">
        <f t="array" ref="AT51">INDEX(Demand_previous!$D$4:$AY$138, MATCH('Staging Table'!$A51, Demand_previous!$B$4:$B$138, 0), MATCH(AT$4&amp;AT$5,Demand_previous!$D$2:$AY$2&amp;Demand_previous!$D$3:$AY$3, 0))/1000</f>
        <v>0</v>
      </c>
      <c r="AU51" s="314">
        <f t="array" ref="AU51">INDEX(Demand_previous!$D$4:$AY$138, MATCH('Staging Table'!$A51, Demand_previous!$B$4:$B$138, 0), MATCH(AU$4&amp;AU$5,Demand_previous!$D$2:$AY$2&amp;Demand_previous!$D$3:$AY$3, 0))/1000</f>
        <v>0</v>
      </c>
      <c r="AV51" s="192">
        <f>$F51*(VLOOKUP(AV$4, Rates_previous!$G$6:$Q$29, 10, FALSE)+VLOOKUP(AV$4, Rates_previous!$G$6:$Q$29, 11, FALSE))</f>
        <v>148.67761371119997</v>
      </c>
      <c r="AW51" s="192">
        <f>$F51*(VLOOKUP(AW$4, Rates_previous!$G$6:$Q$29, 10, FALSE)+VLOOKUP(AW$4, Rates_previous!$G$6:$Q$29, 11, FALSE))</f>
        <v>188.8669502958</v>
      </c>
      <c r="AX51" s="192">
        <f>$F51*(VLOOKUP(AX$4, Rates_previous!$G$6:$Q$29, 10, FALSE)+VLOOKUP(AX$4, Rates_previous!$G$6:$Q$29, 11, FALSE))</f>
        <v>186.58612631119999</v>
      </c>
      <c r="AY51" s="192">
        <f>$F51*(VLOOKUP(AY$4, Rates_previous!$G$6:$Q$29, 10, FALSE)+VLOOKUP(AY$4, Rates_previous!$G$6:$Q$29, 11, FALSE))</f>
        <v>155.53090071119999</v>
      </c>
      <c r="AZ51" s="192">
        <f>$F51*(VLOOKUP(AZ$4, Rates_previous!$G$6:$Q$29, 10, FALSE)+VLOOKUP(AZ$4, Rates_previous!$G$6:$Q$29, 11, FALSE))</f>
        <v>140.89486095999999</v>
      </c>
      <c r="BA51" s="192">
        <f>$F51*(VLOOKUP(BA$4, Rates_previous!$G$6:$Q$29, 10, FALSE)+VLOOKUP(BA$4, Rates_previous!$G$6:$Q$29, 11, FALSE))</f>
        <v>156.71984517139998</v>
      </c>
      <c r="BB51" s="192">
        <f>$F51*(VLOOKUP(BB$4, Rates_previous!$G$6:$Q$29, 10, FALSE)+VLOOKUP(BB$4, Rates_previous!$G$6:$Q$29, 11, FALSE))</f>
        <v>127.60146705599999</v>
      </c>
      <c r="BC51" s="192">
        <f>$F51*(VLOOKUP(BC$4, Rates_previous!$G$6:$Q$29, 10, FALSE)+VLOOKUP(BC$4, Rates_previous!$G$6:$Q$29, 11, FALSE))</f>
        <v>172.08960581119999</v>
      </c>
      <c r="BD51" s="192">
        <f>$F51*(VLOOKUP(BD$4, Rates_previous!$G$6:$Q$29, 10, FALSE)+VLOOKUP(BD$4, Rates_previous!$G$6:$Q$29, 11, FALSE))</f>
        <v>219.57463295599999</v>
      </c>
      <c r="BE51" s="192">
        <f>$F51*(VLOOKUP(BE$4, Rates_previous!$G$6:$Q$29, 10, FALSE)+VLOOKUP(BE$4, Rates_previous!$G$6:$Q$29, 11, FALSE))</f>
        <v>172.15347451119999</v>
      </c>
      <c r="BF51" s="192">
        <f>$F51*(VLOOKUP(BF$4, Rates_previous!$G$6:$Q$29, 10, FALSE)+VLOOKUP(BF$4, Rates_previous!$G$6:$Q$29, 11, FALSE))</f>
        <v>167.6432044112</v>
      </c>
      <c r="BG51" s="192">
        <f>$F51*(VLOOKUP(BG$4, Rates_previous!$G$6:$Q$29, 10, FALSE)+VLOOKUP(BG$4, Rates_previous!$G$6:$Q$29, 11, FALSE))</f>
        <v>150.507935256</v>
      </c>
      <c r="BH51" s="314">
        <f>IF($D51=0,IF(C51=0, MAX(BJ51 - (VLOOKUP($A51,TOCA_previous!$A$2:$AI$137,MATCH("RHWM 2020",TOCA_previous!$A$2:$AI$2,0),FALSE)*$F$2*TOCA_previous!C48),0),0), 0)</f>
        <v>327.29173434614609</v>
      </c>
      <c r="BI51" s="204">
        <f>MIN(VLOOKUP($A51,TOCA_previous!$A$2:$AI$137,MATCH("TRL - NLSL - Existing Resource "&amp;$F$1,TOCA_previous!$A$2:$AI$2,0),FALSE)*$F$2,(VLOOKUP($A51,TOCA_previous!$A$2:$AI$137,MATCH("RHWM 2020",TOCA_previous!$A$2:$AI$2,0),FALSE)*$F$2))</f>
        <v>1985.184</v>
      </c>
      <c r="BJ51" s="418">
        <f>SUM(L51:AI51)+(F51*RT1SC!$C$3*$F$2)</f>
        <v>2312.4757343461461</v>
      </c>
      <c r="BK51" s="417">
        <f>VLOOKUP($A51,TOCA_previous!$A$2:$AI$137,MATCH("Above RHWM Not Served with LS "&amp;$F$1,TOCA_previous!$A$2:$AI$2,0),FALSE)*$F$2</f>
        <v>0</v>
      </c>
      <c r="BL51" s="418">
        <f t="shared" si="8"/>
        <v>327.29173434614609</v>
      </c>
      <c r="BM51" s="417">
        <f>(VLOOKUP($A51,TOCA_previous!$A$2:$AI$137,MATCH("RHWM 2020",TOCA_previous!$A$2:$AI$2,0),FALSE)*$F$2) - $BI51</f>
        <v>0</v>
      </c>
      <c r="BN51" s="418">
        <f t="shared" si="9"/>
        <v>0</v>
      </c>
      <c r="BO51" s="417">
        <f t="shared" si="10"/>
        <v>0</v>
      </c>
      <c r="BP51" s="418">
        <f t="shared" si="11"/>
        <v>0</v>
      </c>
      <c r="BQ51" s="417">
        <f t="shared" si="18"/>
        <v>0</v>
      </c>
      <c r="BR51" s="120">
        <f>VLOOKUP($A51,TOCA_current!$A$2:$AI$137,MATCH(BR$4,TOCA_current!$A$2:$AI$2,0),FALSE)</f>
        <v>3.2199999999999997E-5</v>
      </c>
      <c r="BS51" s="120">
        <f>VLOOKUP($A51,TOCA_current!$A$2:$AI$137,MATCH(BS$4,TOCA_current!$A$2:$AI$2,0),FALSE)</f>
        <v>3.2199999999999997E-5</v>
      </c>
      <c r="BT51" s="201">
        <f t="shared" si="12"/>
        <v>0</v>
      </c>
      <c r="BU51" s="120">
        <f>VLOOKUP($A51,TOCA_current!A47:BG182,MATCH(BU$4,TOCA_current!$A$2:$BG$2,0),FALSE)</f>
        <v>0</v>
      </c>
      <c r="BV51" s="120">
        <f t="shared" si="19"/>
        <v>0</v>
      </c>
      <c r="BW51" s="120">
        <f t="shared" si="20"/>
        <v>0</v>
      </c>
      <c r="BX51" s="191">
        <f>VLOOKUP($A51,IRD!$A$4:$G$139, 7, FALSE)</f>
        <v>0</v>
      </c>
      <c r="BY51" s="192">
        <f t="array" ref="BY51">IF($BT51=0, INDEX(LS_current!$D$4:$AY$138, MATCH('Staging Table'!$A51, LS_current!$B$4:$B$138, 0), MATCH(BY$4&amp;BY$5, LS_current!$D$2:$AY$2&amp;LS_current!$D$3:$AY$3, 0)),SUM(VLOOKUP($A51, LS_current!$B$4:$AY$138, LS_current!D$148, FALSE), VLOOKUP($A51, LS_current!$B$4:$AY$138,LS_current!AB$148, FALSE))/2)</f>
        <v>13.261908495143004</v>
      </c>
      <c r="BZ51" s="192">
        <f t="array" ref="BZ51">IF($BT51=0, INDEX(LS_current!$D$4:$AY$138, MATCH('Staging Table'!$A51, LS_current!$B$4:$B$138, 0), MATCH(BZ$4&amp;BZ$5, LS_current!$D$2:$AY$2&amp;LS_current!$D$3:$AY$3, 0)),SUM(VLOOKUP($A51, LS_current!$B$4:$AY$138, LS_current!E$148, FALSE), VLOOKUP($A51, LS_current!$B$4:$AY$138,LS_current!AC$148, FALSE))/2)</f>
        <v>28.084091163478973</v>
      </c>
      <c r="CA51" s="192">
        <f t="array" ref="CA51">IF($BT51=0, INDEX(LS_current!$D$4:$AY$138, MATCH('Staging Table'!$A51, LS_current!$B$4:$B$138, 0), MATCH(CA$4&amp;CA$5, LS_current!$D$2:$AY$2&amp;LS_current!$D$3:$AY$3, 0)),SUM(VLOOKUP($A51, LS_current!$B$4:$AY$138, LS_current!F$148, FALSE), VLOOKUP($A51, LS_current!$B$4:$AY$138,LS_current!AD$148, FALSE))/2)</f>
        <v>-19.711834491887103</v>
      </c>
      <c r="CB51" s="192">
        <f t="array" ref="CB51">IF($BT51=0, INDEX(LS_current!$D$4:$AY$138, MATCH('Staging Table'!$A51, LS_current!$B$4:$B$138, 0), MATCH(CB$4&amp;CB$5, LS_current!$D$2:$AY$2&amp;LS_current!$D$3:$AY$3, 0)),SUM(VLOOKUP($A51, LS_current!$B$4:$AY$138, LS_current!G$148, FALSE), VLOOKUP($A51, LS_current!$B$4:$AY$138,LS_current!AE$148, FALSE))/2)</f>
        <v>1.3738728946438101</v>
      </c>
      <c r="CC51" s="192">
        <f t="array" ref="CC51">IF($BT51=0, INDEX(LS_current!$D$4:$AY$138, MATCH('Staging Table'!$A51, LS_current!$B$4:$B$138, 0), MATCH(CC$4&amp;CC$5, LS_current!$D$2:$AY$2&amp;LS_current!$D$3:$AY$3, 0)),SUM(VLOOKUP($A51, LS_current!$B$4:$AY$138, LS_current!H$148, FALSE), VLOOKUP($A51, LS_current!$B$4:$AY$138,LS_current!AF$148, FALSE))/2)</f>
        <v>-0.67970208884769079</v>
      </c>
      <c r="CD51" s="192">
        <f t="array" ref="CD51">IF($BT51=0, INDEX(LS_current!$D$4:$AY$138, MATCH('Staging Table'!$A51, LS_current!$B$4:$B$138, 0), MATCH(CD$4&amp;CD$5, LS_current!$D$2:$AY$2&amp;LS_current!$D$3:$AY$3, 0)),SUM(VLOOKUP($A51, LS_current!$B$4:$AY$138, LS_current!I$148, FALSE), VLOOKUP($A51, LS_current!$B$4:$AY$138,LS_current!AG$148, FALSE))/2)</f>
        <v>2.2294158321349187</v>
      </c>
      <c r="CE51" s="192">
        <f t="array" ref="CE51">IF($BT51=0, INDEX(LS_current!$D$4:$AY$138, MATCH('Staging Table'!$A51, LS_current!$B$4:$B$138, 0), MATCH(CE$4&amp;CE$5, LS_current!$D$2:$AY$2&amp;LS_current!$D$3:$AY$3, 0)),SUM(VLOOKUP($A51, LS_current!$B$4:$AY$138, LS_current!J$148, FALSE), VLOOKUP($A51, LS_current!$B$4:$AY$138,LS_current!AH$148, FALSE))/2)</f>
        <v>25.136132848479505</v>
      </c>
      <c r="CF51" s="192">
        <f t="array" ref="CF51">IF($BT51=0, INDEX(LS_current!$D$4:$AY$138, MATCH('Staging Table'!$A51, LS_current!$B$4:$B$138, 0), MATCH(CF$4&amp;CF$5, LS_current!$D$2:$AY$2&amp;LS_current!$D$3:$AY$3, 0)),SUM(VLOOKUP($A51, LS_current!$B$4:$AY$138, LS_current!K$148, FALSE), VLOOKUP($A51, LS_current!$B$4:$AY$138,LS_current!AI$148, FALSE))/2)</f>
        <v>20.962071947195113</v>
      </c>
      <c r="CG51" s="192">
        <f t="array" ref="CG51">IF($BT51=0, INDEX(LS_current!$D$4:$AY$138, MATCH('Staging Table'!$A51, LS_current!$B$4:$B$138, 0), MATCH(CG$4&amp;CG$5, LS_current!$D$2:$AY$2&amp;LS_current!$D$3:$AY$3, 0)),SUM(VLOOKUP($A51, LS_current!$B$4:$AY$138, LS_current!L$148, FALSE), VLOOKUP($A51, LS_current!$B$4:$AY$138,LS_current!AJ$148, FALSE))/2)</f>
        <v>28.809578082451438</v>
      </c>
      <c r="CH51" s="192">
        <f t="array" ref="CH51">IF($BT51=0, INDEX(LS_current!$D$4:$AY$138, MATCH('Staging Table'!$A51, LS_current!$B$4:$B$138, 0), MATCH(CH$4&amp;CH$5, LS_current!$D$2:$AY$2&amp;LS_current!$D$3:$AY$3, 0)),SUM(VLOOKUP($A51, LS_current!$B$4:$AY$138, LS_current!M$148, FALSE), VLOOKUP($A51, LS_current!$B$4:$AY$138,LS_current!AK$148, FALSE))/2)</f>
        <v>19.768773770342293</v>
      </c>
      <c r="CI51" s="192">
        <f t="array" ref="CI51">IF($BT51=0, INDEX(LS_current!$D$4:$AY$138, MATCH('Staging Table'!$A51, LS_current!$B$4:$B$138, 0), MATCH(CI$4&amp;CI$5, LS_current!$D$2:$AY$2&amp;LS_current!$D$3:$AY$3, 0)),SUM(VLOOKUP($A51, LS_current!$B$4:$AY$138, LS_current!N$148, FALSE), VLOOKUP($A51, LS_current!$B$4:$AY$138,LS_current!AL$148, FALSE))/2)</f>
        <v>16.42177610776973</v>
      </c>
      <c r="CJ51" s="192">
        <f t="array" ref="CJ51">IF($BT51=0, INDEX(LS_current!$D$4:$AY$138, MATCH('Staging Table'!$A51, LS_current!$B$4:$B$138, 0), MATCH(CJ$4&amp;CJ$5, LS_current!$D$2:$AY$2&amp;LS_current!$D$3:$AY$3, 0)),SUM(VLOOKUP($A51, LS_current!$B$4:$AY$138, LS_current!O$148, FALSE), VLOOKUP($A51, LS_current!$B$4:$AY$138,LS_current!AM$148, FALSE))/2)</f>
        <v>18.047810796471225</v>
      </c>
      <c r="CK51" s="192">
        <f t="array" ref="CK51">IF($BT51=0, INDEX(LS_current!$D$4:$AY$138, MATCH('Staging Table'!$A51, LS_current!$B$4:$B$138, 0), MATCH(CK$4&amp;CK$5, LS_current!$D$2:$AY$2&amp;LS_current!$D$3:$AY$3, 0)),SUM(VLOOKUP($A51, LS_current!$B$4:$AY$138, LS_current!P$148, FALSE), VLOOKUP($A51, LS_current!$B$4:$AY$138,LS_current!AN$148, FALSE))/2)</f>
        <v>33.015856046315804</v>
      </c>
      <c r="CL51" s="192">
        <f t="array" ref="CL51">IF($BT51=0, INDEX(LS_current!$D$4:$AY$138, MATCH('Staging Table'!$A51, LS_current!$B$4:$B$138, 0), MATCH(CL$4&amp;CL$5, LS_current!$D$2:$AY$2&amp;LS_current!$D$3:$AY$3, 0)),SUM(VLOOKUP($A51, LS_current!$B$4:$AY$138, LS_current!Q$148, FALSE), VLOOKUP($A51, LS_current!$B$4:$AY$138,LS_current!AO$148, FALSE))/2)</f>
        <v>28.338677809501526</v>
      </c>
      <c r="CM51" s="192">
        <f t="array" ref="CM51">IF($BT51=0, INDEX(LS_current!$D$4:$AY$138, MATCH('Staging Table'!$A51, LS_current!$B$4:$B$138, 0), MATCH(CM$4&amp;CM$5, LS_current!$D$2:$AY$2&amp;LS_current!$D$3:$AY$3, 0)),SUM(VLOOKUP($A51, LS_current!$B$4:$AY$138, LS_current!R$148, FALSE), VLOOKUP($A51, LS_current!$B$4:$AY$138,LS_current!AP$148, FALSE))/2)</f>
        <v>-9.3778563019832717</v>
      </c>
      <c r="CN51" s="192">
        <f t="array" ref="CN51">IF($BT51=0, INDEX(LS_current!$D$4:$AY$138, MATCH('Staging Table'!$A51, LS_current!$B$4:$B$138, 0), MATCH(CN$4&amp;CN$5, LS_current!$D$2:$AY$2&amp;LS_current!$D$3:$AY$3, 0)),SUM(VLOOKUP($A51, LS_current!$B$4:$AY$138, LS_current!S$148, FALSE), VLOOKUP($A51, LS_current!$B$4:$AY$138,LS_current!AQ$148, FALSE))/2)</f>
        <v>30.31807260679485</v>
      </c>
      <c r="CO51" s="192">
        <f t="array" ref="CO51">IF($BT51=0, INDEX(LS_current!$D$4:$AY$138, MATCH('Staging Table'!$A51, LS_current!$B$4:$B$138, 0), MATCH(CO$4&amp;CO$5, LS_current!$D$2:$AY$2&amp;LS_current!$D$3:$AY$3, 0)),SUM(VLOOKUP($A51, LS_current!$B$4:$AY$138, LS_current!T$148, FALSE), VLOOKUP($A51, LS_current!$B$4:$AY$138,LS_current!AR$148, FALSE))/2)</f>
        <v>-6.5591654062218367</v>
      </c>
      <c r="CP51" s="192">
        <f t="array" ref="CP51">IF($BT51=0, INDEX(LS_current!$D$4:$AY$138, MATCH('Staging Table'!$A51, LS_current!$B$4:$B$138, 0), MATCH(CP$4&amp;CP$5, LS_current!$D$2:$AY$2&amp;LS_current!$D$3:$AY$3, 0)),SUM(VLOOKUP($A51, LS_current!$B$4:$AY$138, LS_current!U$148, FALSE), VLOOKUP($A51, LS_current!$B$4:$AY$138,LS_current!AS$148, FALSE))/2)</f>
        <v>32.72935178460267</v>
      </c>
      <c r="CQ51" s="192">
        <f t="array" ref="CQ51">IF($BT51=0, INDEX(LS_current!$D$4:$AY$138, MATCH('Staging Table'!$A51, LS_current!$B$4:$B$138, 0), MATCH(CQ$4&amp;CQ$5, LS_current!$D$2:$AY$2&amp;LS_current!$D$3:$AY$3, 0)),SUM(VLOOKUP($A51, LS_current!$B$4:$AY$138, LS_current!V$148, FALSE), VLOOKUP($A51, LS_current!$B$4:$AY$138,LS_current!AT$148, FALSE))/2)</f>
        <v>3.2100688209534667</v>
      </c>
      <c r="CR51" s="192">
        <f t="array" ref="CR51">IF($BT51=0, INDEX(LS_current!$D$4:$AY$138, MATCH('Staging Table'!$A51, LS_current!$B$4:$B$138, 0), MATCH(CR$4&amp;CR$5, LS_current!$D$2:$AY$2&amp;LS_current!$D$3:$AY$3, 0)),SUM(VLOOKUP($A51, LS_current!$B$4:$AY$138, LS_current!W$148, FALSE), VLOOKUP($A51, LS_current!$B$4:$AY$138,LS_current!AU$148, FALSE))/2)</f>
        <v>38.803786234096421</v>
      </c>
      <c r="CS51" s="192">
        <f t="array" ref="CS51">IF($BT51=0, INDEX(LS_current!$D$4:$AY$138, MATCH('Staging Table'!$A51, LS_current!$B$4:$B$138, 0), MATCH(CS$4&amp;CS$5, LS_current!$D$2:$AY$2&amp;LS_current!$D$3:$AY$3, 0)),SUM(VLOOKUP($A51, LS_current!$B$4:$AY$138, LS_current!X$148, FALSE), VLOOKUP($A51, LS_current!$B$4:$AY$138,LS_current!AV$148, FALSE))/2)</f>
        <v>29.005048777769048</v>
      </c>
      <c r="CT51" s="192">
        <f t="array" ref="CT51">IF($BT51=0, INDEX(LS_current!$D$4:$AY$138, MATCH('Staging Table'!$A51, LS_current!$B$4:$B$138, 0), MATCH(CT$4&amp;CT$5, LS_current!$D$2:$AY$2&amp;LS_current!$D$3:$AY$3, 0)),SUM(VLOOKUP($A51, LS_current!$B$4:$AY$138, LS_current!Y$148, FALSE), VLOOKUP($A51, LS_current!$B$4:$AY$138,LS_current!AW$148, FALSE))/2)</f>
        <v>42.196796948073079</v>
      </c>
      <c r="CU51" s="192">
        <f t="array" ref="CU51">IF($BT51=0, INDEX(LS_current!$D$4:$AY$138, MATCH('Staging Table'!$A51, LS_current!$B$4:$B$138, 0), MATCH(CU$4&amp;CU$5, LS_current!$D$2:$AY$2&amp;LS_current!$D$3:$AY$3, 0)),SUM(VLOOKUP($A51, LS_current!$B$4:$AY$138, LS_current!Z$148, FALSE), VLOOKUP($A51, LS_current!$B$4:$AY$138,LS_current!AX$148, FALSE))/2)</f>
        <v>6.5941384052545118</v>
      </c>
      <c r="CV51" s="192">
        <f t="array" ref="CV51">IF($BT51=0, INDEX(LS_current!$D$4:$AY$138, MATCH('Staging Table'!$A51, LS_current!$B$4:$B$138, 0), MATCH(CV$4&amp;CV$5, LS_current!$D$2:$AY$2&amp;LS_current!$D$3:$AY$3, 0)),SUM(VLOOKUP($A51, LS_current!$B$4:$AY$138, LS_current!AA$148, FALSE), VLOOKUP($A51, LS_current!$B$4:$AY$138,LS_current!AY$148, FALSE))/2)</f>
        <v>23.97808004070351</v>
      </c>
      <c r="CW51" s="194">
        <f t="array" ref="CW51">INDEX(Demand_current!$D$4:$AY$138, MATCH($A51, Demand_current!$B$4:$B$138, 0), MATCH(CW$4&amp;CW$5,Demand_current!$D$2:$AY$2&amp;Demand_current!$D$3:$AY$3, 0))/1000</f>
        <v>0</v>
      </c>
      <c r="CX51" s="194">
        <f t="array" ref="CX51">INDEX(Demand_current!$D$4:$AY$138, MATCH($A51, Demand_current!$B$4:$B$138, 0), MATCH(CX$4&amp;CX$5,Demand_current!$D$2:$AY$2&amp;Demand_current!$D$3:$AY$3, 0))/1000</f>
        <v>0</v>
      </c>
      <c r="CY51" s="194">
        <f t="array" ref="CY51">INDEX(Demand_current!$D$4:$AY$138, MATCH($A51, Demand_current!$B$4:$B$138, 0), MATCH(CY$4&amp;CY$5,Demand_current!$D$2:$AY$2&amp;Demand_current!$D$3:$AY$3, 0))/1000</f>
        <v>0</v>
      </c>
      <c r="CZ51" s="194">
        <f t="array" ref="CZ51">INDEX(Demand_current!$D$4:$AY$138, MATCH($A51, Demand_current!$B$4:$B$138, 0), MATCH(CZ$4&amp;CZ$5,Demand_current!$D$2:$AY$2&amp;Demand_current!$D$3:$AY$3, 0))/1000</f>
        <v>0</v>
      </c>
      <c r="DA51" s="194">
        <f t="array" ref="DA51">INDEX(Demand_current!$D$4:$AY$138, MATCH($A51, Demand_current!$B$4:$B$138, 0), MATCH(DA$4&amp;DA$5,Demand_current!$D$2:$AY$2&amp;Demand_current!$D$3:$AY$3, 0))/1000</f>
        <v>0</v>
      </c>
      <c r="DB51" s="194">
        <f t="array" ref="DB51">INDEX(Demand_current!$D$4:$AY$138, MATCH($A51, Demand_current!$B$4:$B$138, 0), MATCH(DB$4&amp;DB$5,Demand_current!$D$2:$AY$2&amp;Demand_current!$D$3:$AY$3, 0))/1000</f>
        <v>0</v>
      </c>
      <c r="DC51" s="194">
        <f t="array" ref="DC51">INDEX(Demand_current!$D$4:$AY$138, MATCH($A51, Demand_current!$B$4:$B$138, 0), MATCH(DC$4&amp;DC$5,Demand_current!$D$2:$AY$2&amp;Demand_current!$D$3:$AY$3, 0))/1000</f>
        <v>0</v>
      </c>
      <c r="DD51" s="194">
        <f t="array" ref="DD51">INDEX(Demand_current!$D$4:$AY$138, MATCH($A51, Demand_current!$B$4:$B$138, 0), MATCH(DD$4&amp;DD$5,Demand_current!$D$2:$AY$2&amp;Demand_current!$D$3:$AY$3, 0))/1000</f>
        <v>0</v>
      </c>
      <c r="DE51" s="194">
        <f t="array" ref="DE51">INDEX(Demand_current!$D$4:$AY$138, MATCH($A51, Demand_current!$B$4:$B$138, 0), MATCH(DE$4&amp;DE$5,Demand_current!$D$2:$AY$2&amp;Demand_current!$D$3:$AY$3, 0))/1000</f>
        <v>0</v>
      </c>
      <c r="DF51" s="194">
        <f t="array" ref="DF51">INDEX(Demand_current!$D$4:$AY$138, MATCH($A51, Demand_current!$B$4:$B$138, 0), MATCH(DF$4&amp;DF$5,Demand_current!$D$2:$AY$2&amp;Demand_current!$D$3:$AY$3, 0))/1000</f>
        <v>0</v>
      </c>
      <c r="DG51" s="194">
        <f t="array" ref="DG51">INDEX(Demand_current!$D$4:$AY$138, MATCH($A51, Demand_current!$B$4:$B$138, 0), MATCH(DG$4&amp;DG$5,Demand_current!$D$2:$AY$2&amp;Demand_current!$D$3:$AY$3, 0))/1000</f>
        <v>0</v>
      </c>
      <c r="DH51" s="194">
        <f t="array" ref="DH51">INDEX(Demand_current!$D$4:$AY$138, MATCH($A51, Demand_current!$B$4:$B$138, 0), MATCH(DH$4&amp;DH$5,Demand_current!$D$2:$AY$2&amp;Demand_current!$D$3:$AY$3, 0))/1000</f>
        <v>0</v>
      </c>
      <c r="DI51" s="192">
        <f>$BS51*(VLOOKUP(DI$4, Rates_current!$G$6:$Q$29, 10, FALSE)+VLOOKUP(DI$4, Rates_current!$G$6:$Q$29, 11, FALSE))</f>
        <v>146.63636634856857</v>
      </c>
      <c r="DJ51" s="192">
        <f>$BS51*(VLOOKUP(DJ$4, Rates_current!$G$6:$Q$29, 10, FALSE)+VLOOKUP(DJ$4, Rates_current!$G$6:$Q$29, 11, FALSE))</f>
        <v>185.64696159724329</v>
      </c>
      <c r="DK51" s="192">
        <f>$BS51*(VLOOKUP(DK$4, Rates_current!$G$6:$Q$29, 10, FALSE)+VLOOKUP(DK$4, Rates_current!$G$6:$Q$29, 11, FALSE))</f>
        <v>181.71128625671281</v>
      </c>
      <c r="DL51" s="192">
        <f>$BS51*(VLOOKUP(DL$4, Rates_current!$G$6:$Q$29, 10, FALSE)+VLOOKUP(DL$4, Rates_current!$G$6:$Q$29, 11, FALSE))</f>
        <v>150.08579520432539</v>
      </c>
      <c r="DM51" s="192">
        <f>$BS51*(VLOOKUP(DM$4, Rates_current!$G$6:$Q$29, 10, FALSE)+VLOOKUP(DM$4, Rates_current!$G$6:$Q$29, 11, FALSE))</f>
        <v>130.08264814720627</v>
      </c>
      <c r="DN51" s="192">
        <f>$BS51*(VLOOKUP(DN$4, Rates_current!$G$6:$Q$29, 10, FALSE)+VLOOKUP(DN$4, Rates_current!$G$6:$Q$29, 11, FALSE))</f>
        <v>155.29241309575909</v>
      </c>
      <c r="DO51" s="192">
        <f>$BS51*(VLOOKUP(DO$4, Rates_current!$G$6:$Q$29, 10, FALSE)+VLOOKUP(DO$4, Rates_current!$G$6:$Q$29, 11, FALSE))</f>
        <v>120.56388486081869</v>
      </c>
      <c r="DP51" s="192">
        <f>$BS51*(VLOOKUP(DP$4, Rates_current!$G$6:$Q$29, 10, FALSE)+VLOOKUP(DP$4, Rates_current!$G$6:$Q$29, 11, FALSE))</f>
        <v>167.04214970237896</v>
      </c>
      <c r="DQ51" s="192">
        <f>$BS51*(VLOOKUP(DQ$4, Rates_current!$G$6:$Q$29, 10, FALSE)+VLOOKUP(DQ$4, Rates_current!$G$6:$Q$29, 11, FALSE))</f>
        <v>178.48803467783469</v>
      </c>
      <c r="DR51" s="192">
        <f>$BS51*(VLOOKUP(DR$4, Rates_current!$G$6:$Q$29, 10, FALSE)+VLOOKUP(DR$4, Rates_current!$G$6:$Q$29, 11, FALSE))</f>
        <v>169.46630670303949</v>
      </c>
      <c r="DS51" s="192">
        <f>$BS51*(VLOOKUP(DS$4, Rates_current!$G$6:$Q$29, 10, FALSE)+VLOOKUP(DS$4, Rates_current!$G$6:$Q$29, 11, FALSE))</f>
        <v>163.77611178314606</v>
      </c>
      <c r="DT51" s="192">
        <f>$BS51*(VLOOKUP(DT$4, Rates_current!$G$6:$Q$29, 10, FALSE)+VLOOKUP(DT$4, Rates_current!$G$6:$Q$29, 11, FALSE))</f>
        <v>151.346200270678</v>
      </c>
      <c r="DU51" s="418">
        <f>IF(D51=0,IF(C51=0,MAX(0,DW51 - (VLOOKUP($A51,TOCA_current!$A$2:$AI$137,MATCH("RHWM 2022",TOCA_current!$A$2:$AI$2,0),FALSE)*$BS$2)), 0),0)</f>
        <v>405.17500697123478</v>
      </c>
      <c r="DV51" s="419">
        <f>MIN(VLOOKUP($A51,TOCA_current!$A$2:$AI$137,MATCH("TRL - NLSL - Existing Resource "&amp;$BS$1,TOCA_current!$A$2:$AI$2,0),FALSE)*$BS$2, VLOOKUP($A51,TOCA_current!$A$2:$AI$137,MATCH("RHWM 2022",TOCA_current!$A$2:$AI$2,0),FALSE)*$BS$2)</f>
        <v>1900.92</v>
      </c>
      <c r="DW51" s="419">
        <f>SUM(BY51:CV51)+(BS51*RT1SC!$C$4*$BS$2)</f>
        <v>2306.0950069712349</v>
      </c>
      <c r="DX51" s="419">
        <f>VLOOKUP($A51,TOCA_current!$A$2:$AI$137,MATCH("Above RHWM Not Served with LS "&amp;$BS$1,TOCA_current!$A$2:$AI$2,0),FALSE)*$BS$2</f>
        <v>0</v>
      </c>
      <c r="DY51" s="419">
        <f t="shared" si="13"/>
        <v>405.17500697123478</v>
      </c>
      <c r="DZ51" s="419">
        <f>(VLOOKUP($A51,TOCA_current!$A$2:$AI$137,MATCH("RHWM 2022",TOCA_current!$A$2:$AI$2,0),FALSE)*$BS$2) - $DV51</f>
        <v>0</v>
      </c>
      <c r="EA51" s="419">
        <f t="shared" si="14"/>
        <v>0</v>
      </c>
      <c r="EB51" s="419">
        <f t="shared" si="15"/>
        <v>0</v>
      </c>
      <c r="EC51" s="419">
        <f t="shared" si="16"/>
        <v>0</v>
      </c>
      <c r="ED51" s="419">
        <f t="shared" si="17"/>
        <v>0</v>
      </c>
    </row>
    <row r="52" spans="1:134">
      <c r="A52" s="135">
        <v>10118</v>
      </c>
      <c r="B52" s="136" t="s">
        <v>53</v>
      </c>
      <c r="C52" s="244">
        <f>VLOOKUP(A52, TOCA_current!$A$3:$D$137, 4, FALSE)</f>
        <v>1</v>
      </c>
      <c r="D52" s="203">
        <v>0</v>
      </c>
      <c r="E52" s="119">
        <f>VLOOKUP($A52,TOCA_previous!$A$2:$AI$137,MATCH(E$4,TOCA_previous!$A$2:$AI$2,0),FALSE)</f>
        <v>6.4676000000000004E-3</v>
      </c>
      <c r="F52" s="120">
        <f>VLOOKUP($A52,TOCA_previous!$A$2:$AI$137,MATCH(F$4,TOCA_previous!$A$2:$AI$2,0),FALSE)</f>
        <v>6.4676000000000004E-3</v>
      </c>
      <c r="G52" s="120">
        <f t="shared" si="5"/>
        <v>0</v>
      </c>
      <c r="H52" s="120">
        <f>VLOOKUP($A52,TOCA_previous!$A$2:$AI$137,MATCH(H$4,TOCA_previous!$A$2:$AI$2,0),FALSE)</f>
        <v>6.7254798379996483E-2</v>
      </c>
      <c r="I52" s="120">
        <f t="shared" si="6"/>
        <v>6.7254798379996483E-2</v>
      </c>
      <c r="J52" s="120">
        <f t="shared" si="7"/>
        <v>6.4676000000000004E-3</v>
      </c>
      <c r="K52" s="191">
        <f>VLOOKUP(A52, IRD!$A$5:$C$139, 3, FALSE)</f>
        <v>0</v>
      </c>
      <c r="L52" s="192">
        <f t="array" ref="L52">IF($G52=0, INDEX(LS_previous!$D$4:$AY$138, MATCH('Staging Table'!$A52, LS_previous!$B$4:$B$138, 0), MATCH(L$4&amp;L$5, LS_previous!$D$2:$AY$2&amp;LS_previous!$D$3:$AY$3, 0)),SUM(VLOOKUP($A52, LS_previous!$B$4:$AY$138, LS_previous!D$149, FALSE), VLOOKUP('Staging Table'!$A52, LS_previous!$B$4:$AY$138,LS_previous!AB$149, FALSE))/2)</f>
        <v>0</v>
      </c>
      <c r="M52" s="192">
        <f t="array" ref="M52">IF($G52=0, INDEX(LS_previous!$D$4:$AY$138, MATCH('Staging Table'!$A52, LS_previous!$B$4:$B$138, 0), MATCH(M$4&amp;M$5, LS_previous!$D$2:$AY$2&amp;LS_previous!$D$3:$AY$3, 0)),SUM(VLOOKUP($A52, LS_previous!$B$4:$AY$138, LS_previous!E$149, FALSE), VLOOKUP('Staging Table'!$A52, LS_previous!$B$4:$AY$138,LS_previous!AC$149, FALSE))/2)</f>
        <v>0</v>
      </c>
      <c r="N52" s="192">
        <f t="array" ref="N52">IF($G52=0, INDEX(LS_previous!$D$4:$AY$138, MATCH('Staging Table'!$A52, LS_previous!$B$4:$B$138, 0), MATCH(N$4&amp;N$5, LS_previous!$D$2:$AY$2&amp;LS_previous!$D$3:$AY$3, 0)),SUM(VLOOKUP($A52, LS_previous!$B$4:$AY$138, LS_previous!F$149, FALSE), VLOOKUP('Staging Table'!$A52, LS_previous!$B$4:$AY$138,LS_previous!AD$149, FALSE))/2)</f>
        <v>0</v>
      </c>
      <c r="O52" s="192">
        <f t="array" ref="O52">IF($G52=0, INDEX(LS_previous!$D$4:$AY$138, MATCH('Staging Table'!$A52, LS_previous!$B$4:$B$138, 0), MATCH(O$4&amp;O$5, LS_previous!$D$2:$AY$2&amp;LS_previous!$D$3:$AY$3, 0)),SUM(VLOOKUP($A52, LS_previous!$B$4:$AY$138, LS_previous!G$149, FALSE), VLOOKUP('Staging Table'!$A52, LS_previous!$B$4:$AY$138,LS_previous!AE$149, FALSE))/2)</f>
        <v>0</v>
      </c>
      <c r="P52" s="192">
        <f t="array" ref="P52">IF($G52=0, INDEX(LS_previous!$D$4:$AY$138, MATCH('Staging Table'!$A52, LS_previous!$B$4:$B$138, 0), MATCH(P$4&amp;P$5, LS_previous!$D$2:$AY$2&amp;LS_previous!$D$3:$AY$3, 0)),SUM(VLOOKUP($A52, LS_previous!$B$4:$AY$138, LS_previous!H$149, FALSE), VLOOKUP('Staging Table'!$A52, LS_previous!$B$4:$AY$138,LS_previous!AF$149, FALSE))/2)</f>
        <v>0</v>
      </c>
      <c r="Q52" s="192">
        <f t="array" ref="Q52">IF($G52=0, INDEX(LS_previous!$D$4:$AY$138, MATCH('Staging Table'!$A52, LS_previous!$B$4:$B$138, 0), MATCH(Q$4&amp;Q$5, LS_previous!$D$2:$AY$2&amp;LS_previous!$D$3:$AY$3, 0)),SUM(VLOOKUP($A52, LS_previous!$B$4:$AY$138, LS_previous!I$149, FALSE), VLOOKUP('Staging Table'!$A52, LS_previous!$B$4:$AY$138,LS_previous!AG$149, FALSE))/2)</f>
        <v>0</v>
      </c>
      <c r="R52" s="192">
        <f t="array" ref="R52">IF($G52=0, INDEX(LS_previous!$D$4:$AY$138, MATCH('Staging Table'!$A52, LS_previous!$B$4:$B$138, 0), MATCH(R$4&amp;R$5, LS_previous!$D$2:$AY$2&amp;LS_previous!$D$3:$AY$3, 0)),SUM(VLOOKUP($A52, LS_previous!$B$4:$AY$138, LS_previous!J$149, FALSE), VLOOKUP('Staging Table'!$A52, LS_previous!$B$4:$AY$138,LS_previous!AH$149, FALSE))/2)</f>
        <v>0</v>
      </c>
      <c r="S52" s="192">
        <f t="array" ref="S52">IF($G52=0, INDEX(LS_previous!$D$4:$AY$138, MATCH('Staging Table'!$A52, LS_previous!$B$4:$B$138, 0), MATCH(S$4&amp;S$5, LS_previous!$D$2:$AY$2&amp;LS_previous!$D$3:$AY$3, 0)),SUM(VLOOKUP($A52, LS_previous!$B$4:$AY$138, LS_previous!K$149, FALSE), VLOOKUP('Staging Table'!$A52, LS_previous!$B$4:$AY$138,LS_previous!AI$149, FALSE))/2)</f>
        <v>0</v>
      </c>
      <c r="T52" s="192">
        <f t="array" ref="T52">IF($G52=0, INDEX(LS_previous!$D$4:$AY$138, MATCH('Staging Table'!$A52, LS_previous!$B$4:$B$138, 0), MATCH(T$4&amp;T$5, LS_previous!$D$2:$AY$2&amp;LS_previous!$D$3:$AY$3, 0)),SUM(VLOOKUP($A52, LS_previous!$B$4:$AY$138, LS_previous!L$149, FALSE), VLOOKUP('Staging Table'!$A52, LS_previous!$B$4:$AY$138,LS_previous!AJ$149, FALSE))/2)</f>
        <v>0</v>
      </c>
      <c r="U52" s="192">
        <f t="array" ref="U52">IF($G52=0, INDEX(LS_previous!$D$4:$AY$138, MATCH('Staging Table'!$A52, LS_previous!$B$4:$B$138, 0), MATCH(U$4&amp;U$5, LS_previous!$D$2:$AY$2&amp;LS_previous!$D$3:$AY$3, 0)),SUM(VLOOKUP($A52, LS_previous!$B$4:$AY$138, LS_previous!M$149, FALSE), VLOOKUP('Staging Table'!$A52, LS_previous!$B$4:$AY$138,LS_previous!AK$149, FALSE))/2)</f>
        <v>0</v>
      </c>
      <c r="V52" s="192">
        <f t="array" ref="V52">IF($G52=0, INDEX(LS_previous!$D$4:$AY$138, MATCH('Staging Table'!$A52, LS_previous!$B$4:$B$138, 0), MATCH(V$4&amp;V$5, LS_previous!$D$2:$AY$2&amp;LS_previous!$D$3:$AY$3, 0)),SUM(VLOOKUP($A52, LS_previous!$B$4:$AY$138, LS_previous!N$149, FALSE), VLOOKUP('Staging Table'!$A52, LS_previous!$B$4:$AY$138,LS_previous!AL$149, FALSE))/2)</f>
        <v>0</v>
      </c>
      <c r="W52" s="192">
        <f t="array" ref="W52">IF($G52=0, INDEX(LS_previous!$D$4:$AY$138, MATCH('Staging Table'!$A52, LS_previous!$B$4:$B$138, 0), MATCH(W$4&amp;W$5, LS_previous!$D$2:$AY$2&amp;LS_previous!$D$3:$AY$3, 0)),SUM(VLOOKUP($A52, LS_previous!$B$4:$AY$138, LS_previous!O$149, FALSE), VLOOKUP('Staging Table'!$A52, LS_previous!$B$4:$AY$138,LS_previous!AM$149, FALSE))/2)</f>
        <v>0</v>
      </c>
      <c r="X52" s="192">
        <f t="array" ref="X52">IF($G52=0, INDEX(LS_previous!$D$4:$AY$138, MATCH('Staging Table'!$A52, LS_previous!$B$4:$B$138, 0), MATCH(X$4&amp;X$5, LS_previous!$D$2:$AY$2&amp;LS_previous!$D$3:$AY$3, 0)),SUM(VLOOKUP($A52, LS_previous!$B$4:$AY$138, LS_previous!P$149, FALSE), VLOOKUP('Staging Table'!$A52, LS_previous!$B$4:$AY$138,LS_previous!AN$149, FALSE))/2)</f>
        <v>0</v>
      </c>
      <c r="Y52" s="192">
        <f t="array" ref="Y52">IF($G52=0, INDEX(LS_previous!$D$4:$AY$138, MATCH('Staging Table'!$A52, LS_previous!$B$4:$B$138, 0), MATCH(Y$4&amp;Y$5, LS_previous!$D$2:$AY$2&amp;LS_previous!$D$3:$AY$3, 0)),SUM(VLOOKUP($A52, LS_previous!$B$4:$AY$138, LS_previous!Q$149, FALSE), VLOOKUP('Staging Table'!$A52, LS_previous!$B$4:$AY$138,LS_previous!AO$149, FALSE))/2)</f>
        <v>0</v>
      </c>
      <c r="Z52" s="192">
        <f t="array" ref="Z52">IF($G52=0, INDEX(LS_previous!$D$4:$AY$138, MATCH('Staging Table'!$A52, LS_previous!$B$4:$B$138, 0), MATCH(Z$4&amp;Z$5, LS_previous!$D$2:$AY$2&amp;LS_previous!$D$3:$AY$3, 0)),SUM(VLOOKUP($A52, LS_previous!$B$4:$AY$138, LS_previous!R$149, FALSE), VLOOKUP('Staging Table'!$A52, LS_previous!$B$4:$AY$138,LS_previous!AP$149, FALSE))/2)</f>
        <v>0</v>
      </c>
      <c r="AA52" s="192">
        <f t="array" ref="AA52">IF($G52=0, INDEX(LS_previous!$D$4:$AY$138, MATCH('Staging Table'!$A52, LS_previous!$B$4:$B$138, 0), MATCH(AA$4&amp;AA$5, LS_previous!$D$2:$AY$2&amp;LS_previous!$D$3:$AY$3, 0)),SUM(VLOOKUP($A52, LS_previous!$B$4:$AY$138, LS_previous!S$149, FALSE), VLOOKUP('Staging Table'!$A52, LS_previous!$B$4:$AY$138,LS_previous!AQ$149, FALSE))/2)</f>
        <v>0</v>
      </c>
      <c r="AB52" s="192">
        <f t="array" ref="AB52">IF($G52=0, INDEX(LS_previous!$D$4:$AY$138, MATCH('Staging Table'!$A52, LS_previous!$B$4:$B$138, 0), MATCH(AB$4&amp;AB$5, LS_previous!$D$2:$AY$2&amp;LS_previous!$D$3:$AY$3, 0)),SUM(VLOOKUP($A52, LS_previous!$B$4:$AY$138, LS_previous!T$149, FALSE), VLOOKUP('Staging Table'!$A52, LS_previous!$B$4:$AY$138,LS_previous!AR$149, FALSE))/2)</f>
        <v>0</v>
      </c>
      <c r="AC52" s="192">
        <f t="array" ref="AC52">IF($G52=0, INDEX(LS_previous!$D$4:$AY$138, MATCH('Staging Table'!$A52, LS_previous!$B$4:$B$138, 0), MATCH(AC$4&amp;AC$5, LS_previous!$D$2:$AY$2&amp;LS_previous!$D$3:$AY$3, 0)),SUM(VLOOKUP($A52, LS_previous!$B$4:$AY$138, LS_previous!U$149, FALSE), VLOOKUP('Staging Table'!$A52, LS_previous!$B$4:$AY$138,LS_previous!AS$149, FALSE))/2)</f>
        <v>0</v>
      </c>
      <c r="AD52" s="192">
        <f t="array" ref="AD52">IF($G52=0, INDEX(LS_previous!$D$4:$AY$138, MATCH('Staging Table'!$A52, LS_previous!$B$4:$B$138, 0), MATCH(AD$4&amp;AD$5, LS_previous!$D$2:$AY$2&amp;LS_previous!$D$3:$AY$3, 0)),SUM(VLOOKUP($A52, LS_previous!$B$4:$AY$138, LS_previous!V$149, FALSE), VLOOKUP('Staging Table'!$A52, LS_previous!$B$4:$AY$138,LS_previous!AT$149, FALSE))/2)</f>
        <v>0</v>
      </c>
      <c r="AE52" s="192">
        <f t="array" ref="AE52">IF($G52=0, INDEX(LS_previous!$D$4:$AY$138, MATCH('Staging Table'!$A52, LS_previous!$B$4:$B$138, 0), MATCH(AE$4&amp;AE$5, LS_previous!$D$2:$AY$2&amp;LS_previous!$D$3:$AY$3, 0)),SUM(VLOOKUP($A52, LS_previous!$B$4:$AY$138, LS_previous!W$149, FALSE), VLOOKUP('Staging Table'!$A52, LS_previous!$B$4:$AY$138,LS_previous!AU$149, FALSE))/2)</f>
        <v>0</v>
      </c>
      <c r="AF52" s="192">
        <f t="array" ref="AF52">IF($G52=0, INDEX(LS_previous!$D$4:$AY$138, MATCH('Staging Table'!$A52, LS_previous!$B$4:$B$138, 0), MATCH(AF$4&amp;AF$5, LS_previous!$D$2:$AY$2&amp;LS_previous!$D$3:$AY$3, 0)),SUM(VLOOKUP($A52, LS_previous!$B$4:$AY$138, LS_previous!X$149, FALSE), VLOOKUP('Staging Table'!$A52, LS_previous!$B$4:$AY$138,LS_previous!AV$149, FALSE))/2)</f>
        <v>0</v>
      </c>
      <c r="AG52" s="192">
        <f t="array" ref="AG52">IF($G52=0, INDEX(LS_previous!$D$4:$AY$138, MATCH('Staging Table'!$A52, LS_previous!$B$4:$B$138, 0), MATCH(AG$4&amp;AG$5, LS_previous!$D$2:$AY$2&amp;LS_previous!$D$3:$AY$3, 0)),SUM(VLOOKUP($A52, LS_previous!$B$4:$AY$138, LS_previous!Y$149, FALSE), VLOOKUP('Staging Table'!$A52, LS_previous!$B$4:$AY$138,LS_previous!AW$149, FALSE))/2)</f>
        <v>0</v>
      </c>
      <c r="AH52" s="192">
        <f t="array" ref="AH52">IF($G52=0, INDEX(LS_previous!$D$4:$AY$138, MATCH('Staging Table'!$A52, LS_previous!$B$4:$B$138, 0), MATCH(AH$4&amp;AH$5, LS_previous!$D$2:$AY$2&amp;LS_previous!$D$3:$AY$3, 0)),SUM(VLOOKUP($A52, LS_previous!$B$4:$AY$138, LS_previous!Z$149, FALSE), VLOOKUP('Staging Table'!$A52, LS_previous!$B$4:$AY$138,LS_previous!AX$149, FALSE))/2)</f>
        <v>0</v>
      </c>
      <c r="AI52" s="192">
        <f t="array" ref="AI52">IF($G52=0, INDEX(LS_previous!$D$4:$AY$138, MATCH('Staging Table'!$A52, LS_previous!$B$4:$B$138, 0), MATCH(AI$4&amp;AI$5, LS_previous!$D$2:$AY$2&amp;LS_previous!$D$3:$AY$3, 0)),SUM(VLOOKUP($A52, LS_previous!$B$4:$AY$138, LS_previous!AA$149, FALSE), VLOOKUP('Staging Table'!$A52, LS_previous!$B$4:$AY$138,LS_previous!AY$149, FALSE))/2)</f>
        <v>0</v>
      </c>
      <c r="AJ52" s="314">
        <f t="array" ref="AJ52">INDEX(Demand_previous!$D$4:$AY$138, MATCH('Staging Table'!$A52, Demand_previous!$B$4:$B$138, 0), MATCH(AJ$4&amp;AJ$5,Demand_previous!$D$2:$AY$2&amp;Demand_previous!$D$3:$AY$3, 0))/1000</f>
        <v>0</v>
      </c>
      <c r="AK52" s="314">
        <f t="array" ref="AK52">INDEX(Demand_previous!$D$4:$AY$138, MATCH('Staging Table'!$A52, Demand_previous!$B$4:$B$138, 0), MATCH(AK$4&amp;AK$5,Demand_previous!$D$2:$AY$2&amp;Demand_previous!$D$3:$AY$3, 0))/1000</f>
        <v>0</v>
      </c>
      <c r="AL52" s="314">
        <f t="array" ref="AL52">INDEX(Demand_previous!$D$4:$AY$138, MATCH('Staging Table'!$A52, Demand_previous!$B$4:$B$138, 0), MATCH(AL$4&amp;AL$5,Demand_previous!$D$2:$AY$2&amp;Demand_previous!$D$3:$AY$3, 0))/1000</f>
        <v>0</v>
      </c>
      <c r="AM52" s="314">
        <f t="array" ref="AM52">INDEX(Demand_previous!$D$4:$AY$138, MATCH('Staging Table'!$A52, Demand_previous!$B$4:$B$138, 0), MATCH(AM$4&amp;AM$5,Demand_previous!$D$2:$AY$2&amp;Demand_previous!$D$3:$AY$3, 0))/1000</f>
        <v>0</v>
      </c>
      <c r="AN52" s="314">
        <f t="array" ref="AN52">INDEX(Demand_previous!$D$4:$AY$138, MATCH('Staging Table'!$A52, Demand_previous!$B$4:$B$138, 0), MATCH(AN$4&amp;AN$5,Demand_previous!$D$2:$AY$2&amp;Demand_previous!$D$3:$AY$3, 0))/1000</f>
        <v>0</v>
      </c>
      <c r="AO52" s="314">
        <f t="array" ref="AO52">INDEX(Demand_previous!$D$4:$AY$138, MATCH('Staging Table'!$A52, Demand_previous!$B$4:$B$138, 0), MATCH(AO$4&amp;AO$5,Demand_previous!$D$2:$AY$2&amp;Demand_previous!$D$3:$AY$3, 0))/1000</f>
        <v>0</v>
      </c>
      <c r="AP52" s="314">
        <f t="array" ref="AP52">INDEX(Demand_previous!$D$4:$AY$138, MATCH('Staging Table'!$A52, Demand_previous!$B$4:$B$138, 0), MATCH(AP$4&amp;AP$5,Demand_previous!$D$2:$AY$2&amp;Demand_previous!$D$3:$AY$3, 0))/1000</f>
        <v>0</v>
      </c>
      <c r="AQ52" s="314">
        <f t="array" ref="AQ52">INDEX(Demand_previous!$D$4:$AY$138, MATCH('Staging Table'!$A52, Demand_previous!$B$4:$B$138, 0), MATCH(AQ$4&amp;AQ$5,Demand_previous!$D$2:$AY$2&amp;Demand_previous!$D$3:$AY$3, 0))/1000</f>
        <v>0</v>
      </c>
      <c r="AR52" s="314">
        <f t="array" ref="AR52">INDEX(Demand_previous!$D$4:$AY$138, MATCH('Staging Table'!$A52, Demand_previous!$B$4:$B$138, 0), MATCH(AR$4&amp;AR$5,Demand_previous!$D$2:$AY$2&amp;Demand_previous!$D$3:$AY$3, 0))/1000</f>
        <v>0</v>
      </c>
      <c r="AS52" s="314">
        <f t="array" ref="AS52">INDEX(Demand_previous!$D$4:$AY$138, MATCH('Staging Table'!$A52, Demand_previous!$B$4:$B$138, 0), MATCH(AS$4&amp;AS$5,Demand_previous!$D$2:$AY$2&amp;Demand_previous!$D$3:$AY$3, 0))/1000</f>
        <v>0</v>
      </c>
      <c r="AT52" s="314">
        <f t="array" ref="AT52">INDEX(Demand_previous!$D$4:$AY$138, MATCH('Staging Table'!$A52, Demand_previous!$B$4:$B$138, 0), MATCH(AT$4&amp;AT$5,Demand_previous!$D$2:$AY$2&amp;Demand_previous!$D$3:$AY$3, 0))/1000</f>
        <v>0</v>
      </c>
      <c r="AU52" s="314">
        <f t="array" ref="AU52">INDEX(Demand_previous!$D$4:$AY$138, MATCH('Staging Table'!$A52, Demand_previous!$B$4:$B$138, 0), MATCH(AU$4&amp;AU$5,Demand_previous!$D$2:$AY$2&amp;Demand_previous!$D$3:$AY$3, 0))/1000</f>
        <v>0</v>
      </c>
      <c r="AV52" s="192">
        <f>$F52*(VLOOKUP(AV$4, Rates_previous!$G$6:$Q$29, 10, FALSE)+VLOOKUP(AV$4, Rates_previous!$G$6:$Q$29, 11, FALSE))</f>
        <v>29862.960696849597</v>
      </c>
      <c r="AW52" s="192">
        <f>$F52*(VLOOKUP(AW$4, Rates_previous!$G$6:$Q$29, 10, FALSE)+VLOOKUP(AW$4, Rates_previous!$G$6:$Q$29, 11, FALSE))</f>
        <v>37935.276016556403</v>
      </c>
      <c r="AX52" s="192">
        <f>$F52*(VLOOKUP(AX$4, Rates_previous!$G$6:$Q$29, 10, FALSE)+VLOOKUP(AX$4, Rates_previous!$G$6:$Q$29, 11, FALSE))</f>
        <v>37477.156227649604</v>
      </c>
      <c r="AY52" s="192">
        <f>$F52*(VLOOKUP(AY$4, Rates_previous!$G$6:$Q$29, 10, FALSE)+VLOOKUP(AY$4, Rates_previous!$G$6:$Q$29, 11, FALSE))</f>
        <v>31239.492342849604</v>
      </c>
      <c r="AZ52" s="192">
        <f>$F52*(VLOOKUP(AZ$4, Rates_previous!$G$6:$Q$29, 10, FALSE)+VLOOKUP(AZ$4, Rates_previous!$G$6:$Q$29, 11, FALSE))</f>
        <v>28299.739215680002</v>
      </c>
      <c r="BA52" s="192">
        <f>$F52*(VLOOKUP(BA$4, Rates_previous!$G$6:$Q$29, 10, FALSE)+VLOOKUP(BA$4, Rates_previous!$G$6:$Q$29, 11, FALSE))</f>
        <v>31478.300330141203</v>
      </c>
      <c r="BB52" s="192">
        <f>$F52*(VLOOKUP(BB$4, Rates_previous!$G$6:$Q$29, 10, FALSE)+VLOOKUP(BB$4, Rates_previous!$G$6:$Q$29, 11, FALSE))</f>
        <v>25629.666097248002</v>
      </c>
      <c r="BC52" s="192">
        <f>$F52*(VLOOKUP(BC$4, Rates_previous!$G$6:$Q$29, 10, FALSE)+VLOOKUP(BC$4, Rates_previous!$G$6:$Q$29, 11, FALSE))</f>
        <v>34565.426538649604</v>
      </c>
      <c r="BD52" s="192">
        <f>$F52*(VLOOKUP(BD$4, Rates_previous!$G$6:$Q$29, 10, FALSE)+VLOOKUP(BD$4, Rates_previous!$G$6:$Q$29, 11, FALSE))</f>
        <v>44103.133419448008</v>
      </c>
      <c r="BE52" s="192">
        <f>$F52*(VLOOKUP(BE$4, Rates_previous!$G$6:$Q$29, 10, FALSE)+VLOOKUP(BE$4, Rates_previous!$G$6:$Q$29, 11, FALSE))</f>
        <v>34578.255023249607</v>
      </c>
      <c r="BF52" s="192">
        <f>$F52*(VLOOKUP(BF$4, Rates_previous!$G$6:$Q$29, 10, FALSE)+VLOOKUP(BF$4, Rates_previous!$G$6:$Q$29, 11, FALSE))</f>
        <v>33672.335057449607</v>
      </c>
      <c r="BG52" s="192">
        <f>$F52*(VLOOKUP(BG$4, Rates_previous!$G$6:$Q$29, 10, FALSE)+VLOOKUP(BG$4, Rates_previous!$G$6:$Q$29, 11, FALSE))</f>
        <v>30230.593852848004</v>
      </c>
      <c r="BH52" s="314">
        <f>IF($D52=0,IF(C52=0, MAX(BJ52 - (VLOOKUP($A52,TOCA_previous!$A$2:$AI$137,MATCH("RHWM 2020",TOCA_previous!$A$2:$AI$2,0),FALSE)*$F$2*TOCA_previous!C49),0),0), 0)</f>
        <v>0</v>
      </c>
      <c r="BI52" s="204">
        <f>MIN(VLOOKUP($A52,TOCA_previous!$A$2:$AI$137,MATCH("TRL - NLSL - Existing Resource "&amp;$F$1,TOCA_previous!$A$2:$AI$2,0),FALSE)*$F$2,(VLOOKUP($A52,TOCA_previous!$A$2:$AI$137,MATCH("RHWM 2020",TOCA_previous!$A$2:$AI$2,0),FALSE)*$F$2))</f>
        <v>399074.68800000002</v>
      </c>
      <c r="BJ52" s="418">
        <f>SUM(L52:AI52)+(F52*RT1SC!$C$3*$F$2)</f>
        <v>399072.34979758086</v>
      </c>
      <c r="BK52" s="417">
        <f>VLOOKUP($A52,TOCA_previous!$A$2:$AI$137,MATCH("Above RHWM Not Served with LS "&amp;$F$1,TOCA_previous!$A$2:$AI$2,0),FALSE)*$F$2</f>
        <v>13843.584000000001</v>
      </c>
      <c r="BL52" s="418">
        <f t="shared" si="8"/>
        <v>-2.3382024191669188</v>
      </c>
      <c r="BM52" s="417">
        <f>(VLOOKUP($A52,TOCA_previous!$A$2:$AI$137,MATCH("RHWM 2020",TOCA_previous!$A$2:$AI$2,0),FALSE)*$F$2) - $BI52</f>
        <v>0</v>
      </c>
      <c r="BN52" s="418">
        <f t="shared" si="9"/>
        <v>0</v>
      </c>
      <c r="BO52" s="417">
        <f t="shared" si="10"/>
        <v>0</v>
      </c>
      <c r="BP52" s="418">
        <f t="shared" si="11"/>
        <v>0</v>
      </c>
      <c r="BQ52" s="417">
        <f t="shared" si="18"/>
        <v>0</v>
      </c>
      <c r="BR52" s="120">
        <f>VLOOKUP($A52,TOCA_current!$A$2:$AI$137,MATCH(BR$4,TOCA_current!$A$2:$AI$2,0),FALSE)</f>
        <v>6.4676000000000004E-3</v>
      </c>
      <c r="BS52" s="120">
        <f>VLOOKUP($A52,TOCA_current!$A$2:$AI$137,MATCH(BS$4,TOCA_current!$A$2:$AI$2,0),FALSE)</f>
        <v>6.4676000000000004E-3</v>
      </c>
      <c r="BT52" s="201">
        <f t="shared" si="12"/>
        <v>0</v>
      </c>
      <c r="BU52" s="120">
        <f>VLOOKUP($A52,TOCA_current!A48:BG183,MATCH(BU$4,TOCA_current!$A$2:$BG$2,0),FALSE)</f>
        <v>7.4132046456114584E-2</v>
      </c>
      <c r="BV52" s="120">
        <f t="shared" si="19"/>
        <v>7.4132046456114584E-2</v>
      </c>
      <c r="BW52" s="120">
        <f t="shared" si="20"/>
        <v>6.4676000000000004E-3</v>
      </c>
      <c r="BX52" s="191">
        <f>VLOOKUP($A52,IRD!$A$4:$G$139, 7, FALSE)</f>
        <v>0</v>
      </c>
      <c r="BY52" s="192">
        <f t="array" ref="BY52">IF($BT52=0, INDEX(LS_current!$D$4:$AY$138, MATCH('Staging Table'!$A52, LS_current!$B$4:$B$138, 0), MATCH(BY$4&amp;BY$5, LS_current!$D$2:$AY$2&amp;LS_current!$D$3:$AY$3, 0)),SUM(VLOOKUP($A52, LS_current!$B$4:$AY$138, LS_current!D$148, FALSE), VLOOKUP($A52, LS_current!$B$4:$AY$138,LS_current!AB$148, FALSE))/2)</f>
        <v>0</v>
      </c>
      <c r="BZ52" s="192">
        <f t="array" ref="BZ52">IF($BT52=0, INDEX(LS_current!$D$4:$AY$138, MATCH('Staging Table'!$A52, LS_current!$B$4:$B$138, 0), MATCH(BZ$4&amp;BZ$5, LS_current!$D$2:$AY$2&amp;LS_current!$D$3:$AY$3, 0)),SUM(VLOOKUP($A52, LS_current!$B$4:$AY$138, LS_current!E$148, FALSE), VLOOKUP($A52, LS_current!$B$4:$AY$138,LS_current!AC$148, FALSE))/2)</f>
        <v>0</v>
      </c>
      <c r="CA52" s="192">
        <f t="array" ref="CA52">IF($BT52=0, INDEX(LS_current!$D$4:$AY$138, MATCH('Staging Table'!$A52, LS_current!$B$4:$B$138, 0), MATCH(CA$4&amp;CA$5, LS_current!$D$2:$AY$2&amp;LS_current!$D$3:$AY$3, 0)),SUM(VLOOKUP($A52, LS_current!$B$4:$AY$138, LS_current!F$148, FALSE), VLOOKUP($A52, LS_current!$B$4:$AY$138,LS_current!AD$148, FALSE))/2)</f>
        <v>0</v>
      </c>
      <c r="CB52" s="192">
        <f t="array" ref="CB52">IF($BT52=0, INDEX(LS_current!$D$4:$AY$138, MATCH('Staging Table'!$A52, LS_current!$B$4:$B$138, 0), MATCH(CB$4&amp;CB$5, LS_current!$D$2:$AY$2&amp;LS_current!$D$3:$AY$3, 0)),SUM(VLOOKUP($A52, LS_current!$B$4:$AY$138, LS_current!G$148, FALSE), VLOOKUP($A52, LS_current!$B$4:$AY$138,LS_current!AE$148, FALSE))/2)</f>
        <v>0</v>
      </c>
      <c r="CC52" s="192">
        <f t="array" ref="CC52">IF($BT52=0, INDEX(LS_current!$D$4:$AY$138, MATCH('Staging Table'!$A52, LS_current!$B$4:$B$138, 0), MATCH(CC$4&amp;CC$5, LS_current!$D$2:$AY$2&amp;LS_current!$D$3:$AY$3, 0)),SUM(VLOOKUP($A52, LS_current!$B$4:$AY$138, LS_current!H$148, FALSE), VLOOKUP($A52, LS_current!$B$4:$AY$138,LS_current!AF$148, FALSE))/2)</f>
        <v>0</v>
      </c>
      <c r="CD52" s="192">
        <f t="array" ref="CD52">IF($BT52=0, INDEX(LS_current!$D$4:$AY$138, MATCH('Staging Table'!$A52, LS_current!$B$4:$B$138, 0), MATCH(CD$4&amp;CD$5, LS_current!$D$2:$AY$2&amp;LS_current!$D$3:$AY$3, 0)),SUM(VLOOKUP($A52, LS_current!$B$4:$AY$138, LS_current!I$148, FALSE), VLOOKUP($A52, LS_current!$B$4:$AY$138,LS_current!AG$148, FALSE))/2)</f>
        <v>0</v>
      </c>
      <c r="CE52" s="192">
        <f t="array" ref="CE52">IF($BT52=0, INDEX(LS_current!$D$4:$AY$138, MATCH('Staging Table'!$A52, LS_current!$B$4:$B$138, 0), MATCH(CE$4&amp;CE$5, LS_current!$D$2:$AY$2&amp;LS_current!$D$3:$AY$3, 0)),SUM(VLOOKUP($A52, LS_current!$B$4:$AY$138, LS_current!J$148, FALSE), VLOOKUP($A52, LS_current!$B$4:$AY$138,LS_current!AH$148, FALSE))/2)</f>
        <v>0</v>
      </c>
      <c r="CF52" s="192">
        <f t="array" ref="CF52">IF($BT52=0, INDEX(LS_current!$D$4:$AY$138, MATCH('Staging Table'!$A52, LS_current!$B$4:$B$138, 0), MATCH(CF$4&amp;CF$5, LS_current!$D$2:$AY$2&amp;LS_current!$D$3:$AY$3, 0)),SUM(VLOOKUP($A52, LS_current!$B$4:$AY$138, LS_current!K$148, FALSE), VLOOKUP($A52, LS_current!$B$4:$AY$138,LS_current!AI$148, FALSE))/2)</f>
        <v>0</v>
      </c>
      <c r="CG52" s="192">
        <f t="array" ref="CG52">IF($BT52=0, INDEX(LS_current!$D$4:$AY$138, MATCH('Staging Table'!$A52, LS_current!$B$4:$B$138, 0), MATCH(CG$4&amp;CG$5, LS_current!$D$2:$AY$2&amp;LS_current!$D$3:$AY$3, 0)),SUM(VLOOKUP($A52, LS_current!$B$4:$AY$138, LS_current!L$148, FALSE), VLOOKUP($A52, LS_current!$B$4:$AY$138,LS_current!AJ$148, FALSE))/2)</f>
        <v>0</v>
      </c>
      <c r="CH52" s="192">
        <f t="array" ref="CH52">IF($BT52=0, INDEX(LS_current!$D$4:$AY$138, MATCH('Staging Table'!$A52, LS_current!$B$4:$B$138, 0), MATCH(CH$4&amp;CH$5, LS_current!$D$2:$AY$2&amp;LS_current!$D$3:$AY$3, 0)),SUM(VLOOKUP($A52, LS_current!$B$4:$AY$138, LS_current!M$148, FALSE), VLOOKUP($A52, LS_current!$B$4:$AY$138,LS_current!AK$148, FALSE))/2)</f>
        <v>0</v>
      </c>
      <c r="CI52" s="192">
        <f t="array" ref="CI52">IF($BT52=0, INDEX(LS_current!$D$4:$AY$138, MATCH('Staging Table'!$A52, LS_current!$B$4:$B$138, 0), MATCH(CI$4&amp;CI$5, LS_current!$D$2:$AY$2&amp;LS_current!$D$3:$AY$3, 0)),SUM(VLOOKUP($A52, LS_current!$B$4:$AY$138, LS_current!N$148, FALSE), VLOOKUP($A52, LS_current!$B$4:$AY$138,LS_current!AL$148, FALSE))/2)</f>
        <v>0</v>
      </c>
      <c r="CJ52" s="192">
        <f t="array" ref="CJ52">IF($BT52=0, INDEX(LS_current!$D$4:$AY$138, MATCH('Staging Table'!$A52, LS_current!$B$4:$B$138, 0), MATCH(CJ$4&amp;CJ$5, LS_current!$D$2:$AY$2&amp;LS_current!$D$3:$AY$3, 0)),SUM(VLOOKUP($A52, LS_current!$B$4:$AY$138, LS_current!O$148, FALSE), VLOOKUP($A52, LS_current!$B$4:$AY$138,LS_current!AM$148, FALSE))/2)</f>
        <v>0</v>
      </c>
      <c r="CK52" s="192">
        <f t="array" ref="CK52">IF($BT52=0, INDEX(LS_current!$D$4:$AY$138, MATCH('Staging Table'!$A52, LS_current!$B$4:$B$138, 0), MATCH(CK$4&amp;CK$5, LS_current!$D$2:$AY$2&amp;LS_current!$D$3:$AY$3, 0)),SUM(VLOOKUP($A52, LS_current!$B$4:$AY$138, LS_current!P$148, FALSE), VLOOKUP($A52, LS_current!$B$4:$AY$138,LS_current!AN$148, FALSE))/2)</f>
        <v>0</v>
      </c>
      <c r="CL52" s="192">
        <f t="array" ref="CL52">IF($BT52=0, INDEX(LS_current!$D$4:$AY$138, MATCH('Staging Table'!$A52, LS_current!$B$4:$B$138, 0), MATCH(CL$4&amp;CL$5, LS_current!$D$2:$AY$2&amp;LS_current!$D$3:$AY$3, 0)),SUM(VLOOKUP($A52, LS_current!$B$4:$AY$138, LS_current!Q$148, FALSE), VLOOKUP($A52, LS_current!$B$4:$AY$138,LS_current!AO$148, FALSE))/2)</f>
        <v>0</v>
      </c>
      <c r="CM52" s="192">
        <f t="array" ref="CM52">IF($BT52=0, INDEX(LS_current!$D$4:$AY$138, MATCH('Staging Table'!$A52, LS_current!$B$4:$B$138, 0), MATCH(CM$4&amp;CM$5, LS_current!$D$2:$AY$2&amp;LS_current!$D$3:$AY$3, 0)),SUM(VLOOKUP($A52, LS_current!$B$4:$AY$138, LS_current!R$148, FALSE), VLOOKUP($A52, LS_current!$B$4:$AY$138,LS_current!AP$148, FALSE))/2)</f>
        <v>0</v>
      </c>
      <c r="CN52" s="192">
        <f t="array" ref="CN52">IF($BT52=0, INDEX(LS_current!$D$4:$AY$138, MATCH('Staging Table'!$A52, LS_current!$B$4:$B$138, 0), MATCH(CN$4&amp;CN$5, LS_current!$D$2:$AY$2&amp;LS_current!$D$3:$AY$3, 0)),SUM(VLOOKUP($A52, LS_current!$B$4:$AY$138, LS_current!S$148, FALSE), VLOOKUP($A52, LS_current!$B$4:$AY$138,LS_current!AQ$148, FALSE))/2)</f>
        <v>0</v>
      </c>
      <c r="CO52" s="192">
        <f t="array" ref="CO52">IF($BT52=0, INDEX(LS_current!$D$4:$AY$138, MATCH('Staging Table'!$A52, LS_current!$B$4:$B$138, 0), MATCH(CO$4&amp;CO$5, LS_current!$D$2:$AY$2&amp;LS_current!$D$3:$AY$3, 0)),SUM(VLOOKUP($A52, LS_current!$B$4:$AY$138, LS_current!T$148, FALSE), VLOOKUP($A52, LS_current!$B$4:$AY$138,LS_current!AR$148, FALSE))/2)</f>
        <v>0</v>
      </c>
      <c r="CP52" s="192">
        <f t="array" ref="CP52">IF($BT52=0, INDEX(LS_current!$D$4:$AY$138, MATCH('Staging Table'!$A52, LS_current!$B$4:$B$138, 0), MATCH(CP$4&amp;CP$5, LS_current!$D$2:$AY$2&amp;LS_current!$D$3:$AY$3, 0)),SUM(VLOOKUP($A52, LS_current!$B$4:$AY$138, LS_current!U$148, FALSE), VLOOKUP($A52, LS_current!$B$4:$AY$138,LS_current!AS$148, FALSE))/2)</f>
        <v>0</v>
      </c>
      <c r="CQ52" s="192">
        <f t="array" ref="CQ52">IF($BT52=0, INDEX(LS_current!$D$4:$AY$138, MATCH('Staging Table'!$A52, LS_current!$B$4:$B$138, 0), MATCH(CQ$4&amp;CQ$5, LS_current!$D$2:$AY$2&amp;LS_current!$D$3:$AY$3, 0)),SUM(VLOOKUP($A52, LS_current!$B$4:$AY$138, LS_current!V$148, FALSE), VLOOKUP($A52, LS_current!$B$4:$AY$138,LS_current!AT$148, FALSE))/2)</f>
        <v>0</v>
      </c>
      <c r="CR52" s="192">
        <f t="array" ref="CR52">IF($BT52=0, INDEX(LS_current!$D$4:$AY$138, MATCH('Staging Table'!$A52, LS_current!$B$4:$B$138, 0), MATCH(CR$4&amp;CR$5, LS_current!$D$2:$AY$2&amp;LS_current!$D$3:$AY$3, 0)),SUM(VLOOKUP($A52, LS_current!$B$4:$AY$138, LS_current!W$148, FALSE), VLOOKUP($A52, LS_current!$B$4:$AY$138,LS_current!AU$148, FALSE))/2)</f>
        <v>0</v>
      </c>
      <c r="CS52" s="192">
        <f t="array" ref="CS52">IF($BT52=0, INDEX(LS_current!$D$4:$AY$138, MATCH('Staging Table'!$A52, LS_current!$B$4:$B$138, 0), MATCH(CS$4&amp;CS$5, LS_current!$D$2:$AY$2&amp;LS_current!$D$3:$AY$3, 0)),SUM(VLOOKUP($A52, LS_current!$B$4:$AY$138, LS_current!X$148, FALSE), VLOOKUP($A52, LS_current!$B$4:$AY$138,LS_current!AV$148, FALSE))/2)</f>
        <v>0</v>
      </c>
      <c r="CT52" s="192">
        <f t="array" ref="CT52">IF($BT52=0, INDEX(LS_current!$D$4:$AY$138, MATCH('Staging Table'!$A52, LS_current!$B$4:$B$138, 0), MATCH(CT$4&amp;CT$5, LS_current!$D$2:$AY$2&amp;LS_current!$D$3:$AY$3, 0)),SUM(VLOOKUP($A52, LS_current!$B$4:$AY$138, LS_current!Y$148, FALSE), VLOOKUP($A52, LS_current!$B$4:$AY$138,LS_current!AW$148, FALSE))/2)</f>
        <v>0</v>
      </c>
      <c r="CU52" s="192">
        <f t="array" ref="CU52">IF($BT52=0, INDEX(LS_current!$D$4:$AY$138, MATCH('Staging Table'!$A52, LS_current!$B$4:$B$138, 0), MATCH(CU$4&amp;CU$5, LS_current!$D$2:$AY$2&amp;LS_current!$D$3:$AY$3, 0)),SUM(VLOOKUP($A52, LS_current!$B$4:$AY$138, LS_current!Z$148, FALSE), VLOOKUP($A52, LS_current!$B$4:$AY$138,LS_current!AX$148, FALSE))/2)</f>
        <v>0</v>
      </c>
      <c r="CV52" s="192">
        <f t="array" ref="CV52">IF($BT52=0, INDEX(LS_current!$D$4:$AY$138, MATCH('Staging Table'!$A52, LS_current!$B$4:$B$138, 0), MATCH(CV$4&amp;CV$5, LS_current!$D$2:$AY$2&amp;LS_current!$D$3:$AY$3, 0)),SUM(VLOOKUP($A52, LS_current!$B$4:$AY$138, LS_current!AA$148, FALSE), VLOOKUP($A52, LS_current!$B$4:$AY$138,LS_current!AY$148, FALSE))/2)</f>
        <v>0</v>
      </c>
      <c r="CW52" s="194">
        <f t="array" ref="CW52">INDEX(Demand_current!$D$4:$AY$138, MATCH($A52, Demand_current!$B$4:$B$138, 0), MATCH(CW$4&amp;CW$5,Demand_current!$D$2:$AY$2&amp;Demand_current!$D$3:$AY$3, 0))/1000</f>
        <v>0</v>
      </c>
      <c r="CX52" s="194">
        <f t="array" ref="CX52">INDEX(Demand_current!$D$4:$AY$138, MATCH($A52, Demand_current!$B$4:$B$138, 0), MATCH(CX$4&amp;CX$5,Demand_current!$D$2:$AY$2&amp;Demand_current!$D$3:$AY$3, 0))/1000</f>
        <v>0</v>
      </c>
      <c r="CY52" s="194">
        <f t="array" ref="CY52">INDEX(Demand_current!$D$4:$AY$138, MATCH($A52, Demand_current!$B$4:$B$138, 0), MATCH(CY$4&amp;CY$5,Demand_current!$D$2:$AY$2&amp;Demand_current!$D$3:$AY$3, 0))/1000</f>
        <v>0</v>
      </c>
      <c r="CZ52" s="194">
        <f t="array" ref="CZ52">INDEX(Demand_current!$D$4:$AY$138, MATCH($A52, Demand_current!$B$4:$B$138, 0), MATCH(CZ$4&amp;CZ$5,Demand_current!$D$2:$AY$2&amp;Demand_current!$D$3:$AY$3, 0))/1000</f>
        <v>0</v>
      </c>
      <c r="DA52" s="194">
        <f t="array" ref="DA52">INDEX(Demand_current!$D$4:$AY$138, MATCH($A52, Demand_current!$B$4:$B$138, 0), MATCH(DA$4&amp;DA$5,Demand_current!$D$2:$AY$2&amp;Demand_current!$D$3:$AY$3, 0))/1000</f>
        <v>0</v>
      </c>
      <c r="DB52" s="194">
        <f t="array" ref="DB52">INDEX(Demand_current!$D$4:$AY$138, MATCH($A52, Demand_current!$B$4:$B$138, 0), MATCH(DB$4&amp;DB$5,Demand_current!$D$2:$AY$2&amp;Demand_current!$D$3:$AY$3, 0))/1000</f>
        <v>0</v>
      </c>
      <c r="DC52" s="194">
        <f t="array" ref="DC52">INDEX(Demand_current!$D$4:$AY$138, MATCH($A52, Demand_current!$B$4:$B$138, 0), MATCH(DC$4&amp;DC$5,Demand_current!$D$2:$AY$2&amp;Demand_current!$D$3:$AY$3, 0))/1000</f>
        <v>0</v>
      </c>
      <c r="DD52" s="194">
        <f t="array" ref="DD52">INDEX(Demand_current!$D$4:$AY$138, MATCH($A52, Demand_current!$B$4:$B$138, 0), MATCH(DD$4&amp;DD$5,Demand_current!$D$2:$AY$2&amp;Demand_current!$D$3:$AY$3, 0))/1000</f>
        <v>0</v>
      </c>
      <c r="DE52" s="194">
        <f t="array" ref="DE52">INDEX(Demand_current!$D$4:$AY$138, MATCH($A52, Demand_current!$B$4:$B$138, 0), MATCH(DE$4&amp;DE$5,Demand_current!$D$2:$AY$2&amp;Demand_current!$D$3:$AY$3, 0))/1000</f>
        <v>0</v>
      </c>
      <c r="DF52" s="194">
        <f t="array" ref="DF52">INDEX(Demand_current!$D$4:$AY$138, MATCH($A52, Demand_current!$B$4:$B$138, 0), MATCH(DF$4&amp;DF$5,Demand_current!$D$2:$AY$2&amp;Demand_current!$D$3:$AY$3, 0))/1000</f>
        <v>0</v>
      </c>
      <c r="DG52" s="194">
        <f t="array" ref="DG52">INDEX(Demand_current!$D$4:$AY$138, MATCH($A52, Demand_current!$B$4:$B$138, 0), MATCH(DG$4&amp;DG$5,Demand_current!$D$2:$AY$2&amp;Demand_current!$D$3:$AY$3, 0))/1000</f>
        <v>0</v>
      </c>
      <c r="DH52" s="194">
        <f t="array" ref="DH52">INDEX(Demand_current!$D$4:$AY$138, MATCH($A52, Demand_current!$B$4:$B$138, 0), MATCH(DH$4&amp;DH$5,Demand_current!$D$2:$AY$2&amp;Demand_current!$D$3:$AY$3, 0))/1000</f>
        <v>0</v>
      </c>
      <c r="DI52" s="192">
        <f>$BS52*(VLOOKUP(DI$4, Rates_current!$G$6:$Q$29, 10, FALSE)+VLOOKUP(DI$4, Rates_current!$G$6:$Q$29, 11, FALSE))</f>
        <v>29452.961583726781</v>
      </c>
      <c r="DJ52" s="192">
        <f>$BS52*(VLOOKUP(DJ$4, Rates_current!$G$6:$Q$29, 10, FALSE)+VLOOKUP(DJ$4, Rates_current!$G$6:$Q$29, 11, FALSE))</f>
        <v>37288.518286532017</v>
      </c>
      <c r="DK52" s="192">
        <f>$BS52*(VLOOKUP(DK$4, Rates_current!$G$6:$Q$29, 10, FALSE)+VLOOKUP(DK$4, Rates_current!$G$6:$Q$29, 11, FALSE))</f>
        <v>36498.009782419751</v>
      </c>
      <c r="DL52" s="192">
        <f>$BS52*(VLOOKUP(DL$4, Rates_current!$G$6:$Q$29, 10, FALSE)+VLOOKUP(DL$4, Rates_current!$G$6:$Q$29, 11, FALSE))</f>
        <v>30145.804008183073</v>
      </c>
      <c r="DM52" s="192">
        <f>$BS52*(VLOOKUP(DM$4, Rates_current!$G$6:$Q$29, 10, FALSE)+VLOOKUP(DM$4, Rates_current!$G$6:$Q$29, 11, FALSE))</f>
        <v>26128.029042138864</v>
      </c>
      <c r="DN52" s="192">
        <f>$BS52*(VLOOKUP(DN$4, Rates_current!$G$6:$Q$29, 10, FALSE)+VLOOKUP(DN$4, Rates_current!$G$6:$Q$29, 11, FALSE))</f>
        <v>31191.59040180533</v>
      </c>
      <c r="DO52" s="192">
        <f>$BS52*(VLOOKUP(DO$4, Rates_current!$G$6:$Q$29, 10, FALSE)+VLOOKUP(DO$4, Rates_current!$G$6:$Q$29, 11, FALSE))</f>
        <v>24216.117444901585</v>
      </c>
      <c r="DP52" s="192">
        <f>$BS52*(VLOOKUP(DP$4, Rates_current!$G$6:$Q$29, 10, FALSE)+VLOOKUP(DP$4, Rates_current!$G$6:$Q$29, 11, FALSE))</f>
        <v>33551.608925934983</v>
      </c>
      <c r="DQ52" s="192">
        <f>$BS52*(VLOOKUP(DQ$4, Rates_current!$G$6:$Q$29, 10, FALSE)+VLOOKUP(DQ$4, Rates_current!$G$6:$Q$29, 11, FALSE))</f>
        <v>35850.596679576513</v>
      </c>
      <c r="DR52" s="192">
        <f>$BS52*(VLOOKUP(DR$4, Rates_current!$G$6:$Q$29, 10, FALSE)+VLOOKUP(DR$4, Rates_current!$G$6:$Q$29, 11, FALSE))</f>
        <v>34038.518174924793</v>
      </c>
      <c r="DS52" s="192">
        <f>$BS52*(VLOOKUP(DS$4, Rates_current!$G$6:$Q$29, 10, FALSE)+VLOOKUP(DS$4, Rates_current!$G$6:$Q$29, 11, FALSE))</f>
        <v>32895.601881014773</v>
      </c>
      <c r="DT52" s="192">
        <f>$BS52*(VLOOKUP(DT$4, Rates_current!$G$6:$Q$29, 10, FALSE)+VLOOKUP(DT$4, Rates_current!$G$6:$Q$29, 11, FALSE))</f>
        <v>30398.965368653327</v>
      </c>
      <c r="DU52" s="418">
        <f>IF(D52=0,IF(C52=0,MAX(0,DW52 - (VLOOKUP($A52,TOCA_current!$A$2:$AI$137,MATCH("RHWM 2022",TOCA_current!$A$2:$AI$2,0),FALSE)*$BS$2)), 0),0)</f>
        <v>0</v>
      </c>
      <c r="DV52" s="419">
        <f>MIN(VLOOKUP($A52,TOCA_current!$A$2:$AI$137,MATCH("TRL - NLSL - Existing Resource "&amp;$BS$1,TOCA_current!$A$2:$AI$2,0),FALSE)*$BS$2, VLOOKUP($A52,TOCA_current!$A$2:$AI$137,MATCH("RHWM 2022",TOCA_current!$A$2:$AI$2,0),FALSE)*$BS$2)</f>
        <v>381655.68</v>
      </c>
      <c r="DW52" s="419">
        <f>SUM(BY52:CV52)+(BS52*RT1SC!$C$4*$BS$2)</f>
        <v>381656.34110318404</v>
      </c>
      <c r="DX52" s="419">
        <f>VLOOKUP($A52,TOCA_current!$A$2:$AI$137,MATCH("Above RHWM Not Served with LS "&amp;$BS$1,TOCA_current!$A$2:$AI$2,0),FALSE)*$BS$2</f>
        <v>53619.960000000006</v>
      </c>
      <c r="DY52" s="419">
        <f t="shared" si="13"/>
        <v>0.66110318404389545</v>
      </c>
      <c r="DZ52" s="419">
        <f>(VLOOKUP($A52,TOCA_current!$A$2:$AI$137,MATCH("RHWM 2022",TOCA_current!$A$2:$AI$2,0),FALSE)*$BS$2) - $DV52</f>
        <v>0</v>
      </c>
      <c r="EA52" s="419">
        <f t="shared" si="14"/>
        <v>0</v>
      </c>
      <c r="EB52" s="419">
        <f t="shared" si="15"/>
        <v>0</v>
      </c>
      <c r="EC52" s="419">
        <f t="shared" si="16"/>
        <v>0</v>
      </c>
      <c r="ED52" s="419">
        <f t="shared" si="17"/>
        <v>0</v>
      </c>
    </row>
    <row r="53" spans="1:134">
      <c r="A53" s="135">
        <v>10121</v>
      </c>
      <c r="B53" s="136" t="s">
        <v>54</v>
      </c>
      <c r="C53" s="244">
        <f>VLOOKUP(A53, TOCA_current!$A$3:$D$137, 4, FALSE)</f>
        <v>1</v>
      </c>
      <c r="D53" s="203">
        <v>0</v>
      </c>
      <c r="E53" s="119">
        <f>VLOOKUP($A53,TOCA_previous!$A$2:$AI$137,MATCH(E$4,TOCA_previous!$A$2:$AI$2,0),FALSE)</f>
        <v>5.5415000000000004E-3</v>
      </c>
      <c r="F53" s="120">
        <f>VLOOKUP($A53,TOCA_previous!$A$2:$AI$137,MATCH(F$4,TOCA_previous!$A$2:$AI$2,0),FALSE)</f>
        <v>5.5415000000000004E-3</v>
      </c>
      <c r="G53" s="120">
        <f t="shared" si="5"/>
        <v>0</v>
      </c>
      <c r="H53" s="120">
        <f>VLOOKUP($A53,TOCA_previous!$A$2:$AI$137,MATCH(H$4,TOCA_previous!$A$2:$AI$2,0),FALSE)</f>
        <v>0.06</v>
      </c>
      <c r="I53" s="120">
        <f t="shared" si="6"/>
        <v>0.06</v>
      </c>
      <c r="J53" s="120">
        <f t="shared" si="7"/>
        <v>5.5415000000000004E-3</v>
      </c>
      <c r="K53" s="191">
        <f>VLOOKUP(A53, IRD!$A$5:$C$139, 3, FALSE)</f>
        <v>0</v>
      </c>
      <c r="L53" s="192">
        <f t="array" ref="L53">IF($G53=0, INDEX(LS_previous!$D$4:$AY$138, MATCH('Staging Table'!$A53, LS_previous!$B$4:$B$138, 0), MATCH(L$4&amp;L$5, LS_previous!$D$2:$AY$2&amp;LS_previous!$D$3:$AY$3, 0)),SUM(VLOOKUP($A53, LS_previous!$B$4:$AY$138, LS_previous!D$149, FALSE), VLOOKUP('Staging Table'!$A53, LS_previous!$B$4:$AY$138,LS_previous!AB$149, FALSE))/2)</f>
        <v>0</v>
      </c>
      <c r="M53" s="192">
        <f t="array" ref="M53">IF($G53=0, INDEX(LS_previous!$D$4:$AY$138, MATCH('Staging Table'!$A53, LS_previous!$B$4:$B$138, 0), MATCH(M$4&amp;M$5, LS_previous!$D$2:$AY$2&amp;LS_previous!$D$3:$AY$3, 0)),SUM(VLOOKUP($A53, LS_previous!$B$4:$AY$138, LS_previous!E$149, FALSE), VLOOKUP('Staging Table'!$A53, LS_previous!$B$4:$AY$138,LS_previous!AC$149, FALSE))/2)</f>
        <v>0</v>
      </c>
      <c r="N53" s="192">
        <f t="array" ref="N53">IF($G53=0, INDEX(LS_previous!$D$4:$AY$138, MATCH('Staging Table'!$A53, LS_previous!$B$4:$B$138, 0), MATCH(N$4&amp;N$5, LS_previous!$D$2:$AY$2&amp;LS_previous!$D$3:$AY$3, 0)),SUM(VLOOKUP($A53, LS_previous!$B$4:$AY$138, LS_previous!F$149, FALSE), VLOOKUP('Staging Table'!$A53, LS_previous!$B$4:$AY$138,LS_previous!AD$149, FALSE))/2)</f>
        <v>0</v>
      </c>
      <c r="O53" s="192">
        <f t="array" ref="O53">IF($G53=0, INDEX(LS_previous!$D$4:$AY$138, MATCH('Staging Table'!$A53, LS_previous!$B$4:$B$138, 0), MATCH(O$4&amp;O$5, LS_previous!$D$2:$AY$2&amp;LS_previous!$D$3:$AY$3, 0)),SUM(VLOOKUP($A53, LS_previous!$B$4:$AY$138, LS_previous!G$149, FALSE), VLOOKUP('Staging Table'!$A53, LS_previous!$B$4:$AY$138,LS_previous!AE$149, FALSE))/2)</f>
        <v>0</v>
      </c>
      <c r="P53" s="192">
        <f t="array" ref="P53">IF($G53=0, INDEX(LS_previous!$D$4:$AY$138, MATCH('Staging Table'!$A53, LS_previous!$B$4:$B$138, 0), MATCH(P$4&amp;P$5, LS_previous!$D$2:$AY$2&amp;LS_previous!$D$3:$AY$3, 0)),SUM(VLOOKUP($A53, LS_previous!$B$4:$AY$138, LS_previous!H$149, FALSE), VLOOKUP('Staging Table'!$A53, LS_previous!$B$4:$AY$138,LS_previous!AF$149, FALSE))/2)</f>
        <v>0</v>
      </c>
      <c r="Q53" s="192">
        <f t="array" ref="Q53">IF($G53=0, INDEX(LS_previous!$D$4:$AY$138, MATCH('Staging Table'!$A53, LS_previous!$B$4:$B$138, 0), MATCH(Q$4&amp;Q$5, LS_previous!$D$2:$AY$2&amp;LS_previous!$D$3:$AY$3, 0)),SUM(VLOOKUP($A53, LS_previous!$B$4:$AY$138, LS_previous!I$149, FALSE), VLOOKUP('Staging Table'!$A53, LS_previous!$B$4:$AY$138,LS_previous!AG$149, FALSE))/2)</f>
        <v>0</v>
      </c>
      <c r="R53" s="192">
        <f t="array" ref="R53">IF($G53=0, INDEX(LS_previous!$D$4:$AY$138, MATCH('Staging Table'!$A53, LS_previous!$B$4:$B$138, 0), MATCH(R$4&amp;R$5, LS_previous!$D$2:$AY$2&amp;LS_previous!$D$3:$AY$3, 0)),SUM(VLOOKUP($A53, LS_previous!$B$4:$AY$138, LS_previous!J$149, FALSE), VLOOKUP('Staging Table'!$A53, LS_previous!$B$4:$AY$138,LS_previous!AH$149, FALSE))/2)</f>
        <v>0</v>
      </c>
      <c r="S53" s="192">
        <f t="array" ref="S53">IF($G53=0, INDEX(LS_previous!$D$4:$AY$138, MATCH('Staging Table'!$A53, LS_previous!$B$4:$B$138, 0), MATCH(S$4&amp;S$5, LS_previous!$D$2:$AY$2&amp;LS_previous!$D$3:$AY$3, 0)),SUM(VLOOKUP($A53, LS_previous!$B$4:$AY$138, LS_previous!K$149, FALSE), VLOOKUP('Staging Table'!$A53, LS_previous!$B$4:$AY$138,LS_previous!AI$149, FALSE))/2)</f>
        <v>0</v>
      </c>
      <c r="T53" s="192">
        <f t="array" ref="T53">IF($G53=0, INDEX(LS_previous!$D$4:$AY$138, MATCH('Staging Table'!$A53, LS_previous!$B$4:$B$138, 0), MATCH(T$4&amp;T$5, LS_previous!$D$2:$AY$2&amp;LS_previous!$D$3:$AY$3, 0)),SUM(VLOOKUP($A53, LS_previous!$B$4:$AY$138, LS_previous!L$149, FALSE), VLOOKUP('Staging Table'!$A53, LS_previous!$B$4:$AY$138,LS_previous!AJ$149, FALSE))/2)</f>
        <v>0</v>
      </c>
      <c r="U53" s="192">
        <f t="array" ref="U53">IF($G53=0, INDEX(LS_previous!$D$4:$AY$138, MATCH('Staging Table'!$A53, LS_previous!$B$4:$B$138, 0), MATCH(U$4&amp;U$5, LS_previous!$D$2:$AY$2&amp;LS_previous!$D$3:$AY$3, 0)),SUM(VLOOKUP($A53, LS_previous!$B$4:$AY$138, LS_previous!M$149, FALSE), VLOOKUP('Staging Table'!$A53, LS_previous!$B$4:$AY$138,LS_previous!AK$149, FALSE))/2)</f>
        <v>0</v>
      </c>
      <c r="V53" s="192">
        <f t="array" ref="V53">IF($G53=0, INDEX(LS_previous!$D$4:$AY$138, MATCH('Staging Table'!$A53, LS_previous!$B$4:$B$138, 0), MATCH(V$4&amp;V$5, LS_previous!$D$2:$AY$2&amp;LS_previous!$D$3:$AY$3, 0)),SUM(VLOOKUP($A53, LS_previous!$B$4:$AY$138, LS_previous!N$149, FALSE), VLOOKUP('Staging Table'!$A53, LS_previous!$B$4:$AY$138,LS_previous!AL$149, FALSE))/2)</f>
        <v>0</v>
      </c>
      <c r="W53" s="192">
        <f t="array" ref="W53">IF($G53=0, INDEX(LS_previous!$D$4:$AY$138, MATCH('Staging Table'!$A53, LS_previous!$B$4:$B$138, 0), MATCH(W$4&amp;W$5, LS_previous!$D$2:$AY$2&amp;LS_previous!$D$3:$AY$3, 0)),SUM(VLOOKUP($A53, LS_previous!$B$4:$AY$138, LS_previous!O$149, FALSE), VLOOKUP('Staging Table'!$A53, LS_previous!$B$4:$AY$138,LS_previous!AM$149, FALSE))/2)</f>
        <v>0</v>
      </c>
      <c r="X53" s="192">
        <f t="array" ref="X53">IF($G53=0, INDEX(LS_previous!$D$4:$AY$138, MATCH('Staging Table'!$A53, LS_previous!$B$4:$B$138, 0), MATCH(X$4&amp;X$5, LS_previous!$D$2:$AY$2&amp;LS_previous!$D$3:$AY$3, 0)),SUM(VLOOKUP($A53, LS_previous!$B$4:$AY$138, LS_previous!P$149, FALSE), VLOOKUP('Staging Table'!$A53, LS_previous!$B$4:$AY$138,LS_previous!AN$149, FALSE))/2)</f>
        <v>0</v>
      </c>
      <c r="Y53" s="192">
        <f t="array" ref="Y53">IF($G53=0, INDEX(LS_previous!$D$4:$AY$138, MATCH('Staging Table'!$A53, LS_previous!$B$4:$B$138, 0), MATCH(Y$4&amp;Y$5, LS_previous!$D$2:$AY$2&amp;LS_previous!$D$3:$AY$3, 0)),SUM(VLOOKUP($A53, LS_previous!$B$4:$AY$138, LS_previous!Q$149, FALSE), VLOOKUP('Staging Table'!$A53, LS_previous!$B$4:$AY$138,LS_previous!AO$149, FALSE))/2)</f>
        <v>0</v>
      </c>
      <c r="Z53" s="192">
        <f t="array" ref="Z53">IF($G53=0, INDEX(LS_previous!$D$4:$AY$138, MATCH('Staging Table'!$A53, LS_previous!$B$4:$B$138, 0), MATCH(Z$4&amp;Z$5, LS_previous!$D$2:$AY$2&amp;LS_previous!$D$3:$AY$3, 0)),SUM(VLOOKUP($A53, LS_previous!$B$4:$AY$138, LS_previous!R$149, FALSE), VLOOKUP('Staging Table'!$A53, LS_previous!$B$4:$AY$138,LS_previous!AP$149, FALSE))/2)</f>
        <v>0</v>
      </c>
      <c r="AA53" s="192">
        <f t="array" ref="AA53">IF($G53=0, INDEX(LS_previous!$D$4:$AY$138, MATCH('Staging Table'!$A53, LS_previous!$B$4:$B$138, 0), MATCH(AA$4&amp;AA$5, LS_previous!$D$2:$AY$2&amp;LS_previous!$D$3:$AY$3, 0)),SUM(VLOOKUP($A53, LS_previous!$B$4:$AY$138, LS_previous!S$149, FALSE), VLOOKUP('Staging Table'!$A53, LS_previous!$B$4:$AY$138,LS_previous!AQ$149, FALSE))/2)</f>
        <v>0</v>
      </c>
      <c r="AB53" s="192">
        <f t="array" ref="AB53">IF($G53=0, INDEX(LS_previous!$D$4:$AY$138, MATCH('Staging Table'!$A53, LS_previous!$B$4:$B$138, 0), MATCH(AB$4&amp;AB$5, LS_previous!$D$2:$AY$2&amp;LS_previous!$D$3:$AY$3, 0)),SUM(VLOOKUP($A53, LS_previous!$B$4:$AY$138, LS_previous!T$149, FALSE), VLOOKUP('Staging Table'!$A53, LS_previous!$B$4:$AY$138,LS_previous!AR$149, FALSE))/2)</f>
        <v>0</v>
      </c>
      <c r="AC53" s="192">
        <f t="array" ref="AC53">IF($G53=0, INDEX(LS_previous!$D$4:$AY$138, MATCH('Staging Table'!$A53, LS_previous!$B$4:$B$138, 0), MATCH(AC$4&amp;AC$5, LS_previous!$D$2:$AY$2&amp;LS_previous!$D$3:$AY$3, 0)),SUM(VLOOKUP($A53, LS_previous!$B$4:$AY$138, LS_previous!U$149, FALSE), VLOOKUP('Staging Table'!$A53, LS_previous!$B$4:$AY$138,LS_previous!AS$149, FALSE))/2)</f>
        <v>0</v>
      </c>
      <c r="AD53" s="192">
        <f t="array" ref="AD53">IF($G53=0, INDEX(LS_previous!$D$4:$AY$138, MATCH('Staging Table'!$A53, LS_previous!$B$4:$B$138, 0), MATCH(AD$4&amp;AD$5, LS_previous!$D$2:$AY$2&amp;LS_previous!$D$3:$AY$3, 0)),SUM(VLOOKUP($A53, LS_previous!$B$4:$AY$138, LS_previous!V$149, FALSE), VLOOKUP('Staging Table'!$A53, LS_previous!$B$4:$AY$138,LS_previous!AT$149, FALSE))/2)</f>
        <v>0</v>
      </c>
      <c r="AE53" s="192">
        <f t="array" ref="AE53">IF($G53=0, INDEX(LS_previous!$D$4:$AY$138, MATCH('Staging Table'!$A53, LS_previous!$B$4:$B$138, 0), MATCH(AE$4&amp;AE$5, LS_previous!$D$2:$AY$2&amp;LS_previous!$D$3:$AY$3, 0)),SUM(VLOOKUP($A53, LS_previous!$B$4:$AY$138, LS_previous!W$149, FALSE), VLOOKUP('Staging Table'!$A53, LS_previous!$B$4:$AY$138,LS_previous!AU$149, FALSE))/2)</f>
        <v>0</v>
      </c>
      <c r="AF53" s="192">
        <f t="array" ref="AF53">IF($G53=0, INDEX(LS_previous!$D$4:$AY$138, MATCH('Staging Table'!$A53, LS_previous!$B$4:$B$138, 0), MATCH(AF$4&amp;AF$5, LS_previous!$D$2:$AY$2&amp;LS_previous!$D$3:$AY$3, 0)),SUM(VLOOKUP($A53, LS_previous!$B$4:$AY$138, LS_previous!X$149, FALSE), VLOOKUP('Staging Table'!$A53, LS_previous!$B$4:$AY$138,LS_previous!AV$149, FALSE))/2)</f>
        <v>0</v>
      </c>
      <c r="AG53" s="192">
        <f t="array" ref="AG53">IF($G53=0, INDEX(LS_previous!$D$4:$AY$138, MATCH('Staging Table'!$A53, LS_previous!$B$4:$B$138, 0), MATCH(AG$4&amp;AG$5, LS_previous!$D$2:$AY$2&amp;LS_previous!$D$3:$AY$3, 0)),SUM(VLOOKUP($A53, LS_previous!$B$4:$AY$138, LS_previous!Y$149, FALSE), VLOOKUP('Staging Table'!$A53, LS_previous!$B$4:$AY$138,LS_previous!AW$149, FALSE))/2)</f>
        <v>0</v>
      </c>
      <c r="AH53" s="192">
        <f t="array" ref="AH53">IF($G53=0, INDEX(LS_previous!$D$4:$AY$138, MATCH('Staging Table'!$A53, LS_previous!$B$4:$B$138, 0), MATCH(AH$4&amp;AH$5, LS_previous!$D$2:$AY$2&amp;LS_previous!$D$3:$AY$3, 0)),SUM(VLOOKUP($A53, LS_previous!$B$4:$AY$138, LS_previous!Z$149, FALSE), VLOOKUP('Staging Table'!$A53, LS_previous!$B$4:$AY$138,LS_previous!AX$149, FALSE))/2)</f>
        <v>0</v>
      </c>
      <c r="AI53" s="192">
        <f t="array" ref="AI53">IF($G53=0, INDEX(LS_previous!$D$4:$AY$138, MATCH('Staging Table'!$A53, LS_previous!$B$4:$B$138, 0), MATCH(AI$4&amp;AI$5, LS_previous!$D$2:$AY$2&amp;LS_previous!$D$3:$AY$3, 0)),SUM(VLOOKUP($A53, LS_previous!$B$4:$AY$138, LS_previous!AA$149, FALSE), VLOOKUP('Staging Table'!$A53, LS_previous!$B$4:$AY$138,LS_previous!AY$149, FALSE))/2)</f>
        <v>0</v>
      </c>
      <c r="AJ53" s="314">
        <f t="array" ref="AJ53">INDEX(Demand_previous!$D$4:$AY$138, MATCH('Staging Table'!$A53, Demand_previous!$B$4:$B$138, 0), MATCH(AJ$4&amp;AJ$5,Demand_previous!$D$2:$AY$2&amp;Demand_previous!$D$3:$AY$3, 0))/1000</f>
        <v>0</v>
      </c>
      <c r="AK53" s="314">
        <f t="array" ref="AK53">INDEX(Demand_previous!$D$4:$AY$138, MATCH('Staging Table'!$A53, Demand_previous!$B$4:$B$138, 0), MATCH(AK$4&amp;AK$5,Demand_previous!$D$2:$AY$2&amp;Demand_previous!$D$3:$AY$3, 0))/1000</f>
        <v>0</v>
      </c>
      <c r="AL53" s="314">
        <f t="array" ref="AL53">INDEX(Demand_previous!$D$4:$AY$138, MATCH('Staging Table'!$A53, Demand_previous!$B$4:$B$138, 0), MATCH(AL$4&amp;AL$5,Demand_previous!$D$2:$AY$2&amp;Demand_previous!$D$3:$AY$3, 0))/1000</f>
        <v>0</v>
      </c>
      <c r="AM53" s="314">
        <f t="array" ref="AM53">INDEX(Demand_previous!$D$4:$AY$138, MATCH('Staging Table'!$A53, Demand_previous!$B$4:$B$138, 0), MATCH(AM$4&amp;AM$5,Demand_previous!$D$2:$AY$2&amp;Demand_previous!$D$3:$AY$3, 0))/1000</f>
        <v>0</v>
      </c>
      <c r="AN53" s="314">
        <f t="array" ref="AN53">INDEX(Demand_previous!$D$4:$AY$138, MATCH('Staging Table'!$A53, Demand_previous!$B$4:$B$138, 0), MATCH(AN$4&amp;AN$5,Demand_previous!$D$2:$AY$2&amp;Demand_previous!$D$3:$AY$3, 0))/1000</f>
        <v>0</v>
      </c>
      <c r="AO53" s="314">
        <f t="array" ref="AO53">INDEX(Demand_previous!$D$4:$AY$138, MATCH('Staging Table'!$A53, Demand_previous!$B$4:$B$138, 0), MATCH(AO$4&amp;AO$5,Demand_previous!$D$2:$AY$2&amp;Demand_previous!$D$3:$AY$3, 0))/1000</f>
        <v>0</v>
      </c>
      <c r="AP53" s="314">
        <f t="array" ref="AP53">INDEX(Demand_previous!$D$4:$AY$138, MATCH('Staging Table'!$A53, Demand_previous!$B$4:$B$138, 0), MATCH(AP$4&amp;AP$5,Demand_previous!$D$2:$AY$2&amp;Demand_previous!$D$3:$AY$3, 0))/1000</f>
        <v>0</v>
      </c>
      <c r="AQ53" s="314">
        <f t="array" ref="AQ53">INDEX(Demand_previous!$D$4:$AY$138, MATCH('Staging Table'!$A53, Demand_previous!$B$4:$B$138, 0), MATCH(AQ$4&amp;AQ$5,Demand_previous!$D$2:$AY$2&amp;Demand_previous!$D$3:$AY$3, 0))/1000</f>
        <v>0</v>
      </c>
      <c r="AR53" s="314">
        <f t="array" ref="AR53">INDEX(Demand_previous!$D$4:$AY$138, MATCH('Staging Table'!$A53, Demand_previous!$B$4:$B$138, 0), MATCH(AR$4&amp;AR$5,Demand_previous!$D$2:$AY$2&amp;Demand_previous!$D$3:$AY$3, 0))/1000</f>
        <v>0</v>
      </c>
      <c r="AS53" s="314">
        <f t="array" ref="AS53">INDEX(Demand_previous!$D$4:$AY$138, MATCH('Staging Table'!$A53, Demand_previous!$B$4:$B$138, 0), MATCH(AS$4&amp;AS$5,Demand_previous!$D$2:$AY$2&amp;Demand_previous!$D$3:$AY$3, 0))/1000</f>
        <v>0</v>
      </c>
      <c r="AT53" s="314">
        <f t="array" ref="AT53">INDEX(Demand_previous!$D$4:$AY$138, MATCH('Staging Table'!$A53, Demand_previous!$B$4:$B$138, 0), MATCH(AT$4&amp;AT$5,Demand_previous!$D$2:$AY$2&amp;Demand_previous!$D$3:$AY$3, 0))/1000</f>
        <v>0</v>
      </c>
      <c r="AU53" s="314">
        <f t="array" ref="AU53">INDEX(Demand_previous!$D$4:$AY$138, MATCH('Staging Table'!$A53, Demand_previous!$B$4:$B$138, 0), MATCH(AU$4&amp;AU$5,Demand_previous!$D$2:$AY$2&amp;Demand_previous!$D$3:$AY$3, 0))/1000</f>
        <v>0</v>
      </c>
      <c r="AV53" s="192">
        <f>$F53*(VLOOKUP(AV$4, Rates_previous!$G$6:$Q$29, 10, FALSE)+VLOOKUP(AV$4, Rates_previous!$G$6:$Q$29, 11, FALSE))</f>
        <v>25586.863241634001</v>
      </c>
      <c r="AW53" s="192">
        <f>$F53*(VLOOKUP(AW$4, Rates_previous!$G$6:$Q$29, 10, FALSE)+VLOOKUP(AW$4, Rates_previous!$G$6:$Q$29, 11, FALSE))</f>
        <v>32503.298293918502</v>
      </c>
      <c r="AX53" s="192">
        <f>$F53*(VLOOKUP(AX$4, Rates_previous!$G$6:$Q$29, 10, FALSE)+VLOOKUP(AX$4, Rates_previous!$G$6:$Q$29, 11, FALSE))</f>
        <v>32110.776986134006</v>
      </c>
      <c r="AY53" s="192">
        <f>$F53*(VLOOKUP(AY$4, Rates_previous!$G$6:$Q$29, 10, FALSE)+VLOOKUP(AY$4, Rates_previous!$G$6:$Q$29, 11, FALSE))</f>
        <v>26766.288394134004</v>
      </c>
      <c r="AZ53" s="192">
        <f>$F53*(VLOOKUP(AZ$4, Rates_previous!$G$6:$Q$29, 10, FALSE)+VLOOKUP(AZ$4, Rates_previous!$G$6:$Q$29, 11, FALSE))</f>
        <v>24247.480497200002</v>
      </c>
      <c r="BA53" s="192">
        <f>$F53*(VLOOKUP(BA$4, Rates_previous!$G$6:$Q$29, 10, FALSE)+VLOOKUP(BA$4, Rates_previous!$G$6:$Q$29, 11, FALSE))</f>
        <v>26970.901304885501</v>
      </c>
      <c r="BB53" s="192">
        <f>$F53*(VLOOKUP(BB$4, Rates_previous!$G$6:$Q$29, 10, FALSE)+VLOOKUP(BB$4, Rates_previous!$G$6:$Q$29, 11, FALSE))</f>
        <v>21959.736946920002</v>
      </c>
      <c r="BC53" s="192">
        <f>$F53*(VLOOKUP(BC$4, Rates_previous!$G$6:$Q$29, 10, FALSE)+VLOOKUP(BC$4, Rates_previous!$G$6:$Q$29, 11, FALSE))</f>
        <v>29615.979832384004</v>
      </c>
      <c r="BD53" s="192">
        <f>$F53*(VLOOKUP(BD$4, Rates_previous!$G$6:$Q$29, 10, FALSE)+VLOOKUP(BD$4, Rates_previous!$G$6:$Q$29, 11, FALSE))</f>
        <v>37787.976041170004</v>
      </c>
      <c r="BE53" s="192">
        <f>$F53*(VLOOKUP(BE$4, Rates_previous!$G$6:$Q$29, 10, FALSE)+VLOOKUP(BE$4, Rates_previous!$G$6:$Q$29, 11, FALSE))</f>
        <v>29626.971397634006</v>
      </c>
      <c r="BF53" s="192">
        <f>$F53*(VLOOKUP(BF$4, Rates_previous!$G$6:$Q$29, 10, FALSE)+VLOOKUP(BF$4, Rates_previous!$G$6:$Q$29, 11, FALSE))</f>
        <v>28850.770721884004</v>
      </c>
      <c r="BG53" s="192">
        <f>$F53*(VLOOKUP(BG$4, Rates_previous!$G$6:$Q$29, 10, FALSE)+VLOOKUP(BG$4, Rates_previous!$G$6:$Q$29, 11, FALSE))</f>
        <v>25901.854758420006</v>
      </c>
      <c r="BH53" s="314">
        <f>IF($D53=0,IF(C53=0, MAX(BJ53 - (VLOOKUP($A53,TOCA_previous!$A$2:$AI$137,MATCH("RHWM 2020",TOCA_previous!$A$2:$AI$2,0),FALSE)*$F$2*TOCA_previous!C50),0),0), 0)</f>
        <v>0</v>
      </c>
      <c r="BI53" s="204">
        <f>MIN(VLOOKUP($A53,TOCA_previous!$A$2:$AI$137,MATCH("TRL - NLSL - Existing Resource "&amp;$F$1,TOCA_previous!$A$2:$AI$2,0),FALSE)*$F$2,(VLOOKUP($A53,TOCA_previous!$A$2:$AI$137,MATCH("RHWM 2020",TOCA_previous!$A$2:$AI$2,0),FALSE)*$F$2))</f>
        <v>341925.984</v>
      </c>
      <c r="BJ53" s="418">
        <f>SUM(L53:AI53)+(F53*RT1SC!$C$3*$F$2)</f>
        <v>341928.91125043196</v>
      </c>
      <c r="BK53" s="417">
        <f>VLOOKUP($A53,TOCA_previous!$A$2:$AI$137,MATCH("Above RHWM Not Served with LS "&amp;$F$1,TOCA_previous!$A$2:$AI$2,0),FALSE)*$F$2</f>
        <v>0</v>
      </c>
      <c r="BL53" s="418">
        <f t="shared" si="8"/>
        <v>2.9272504319669679</v>
      </c>
      <c r="BM53" s="417">
        <f>(VLOOKUP($A53,TOCA_previous!$A$2:$AI$137,MATCH("RHWM 2020",TOCA_previous!$A$2:$AI$2,0),FALSE)*$F$2) - $BI53</f>
        <v>15222.67200000002</v>
      </c>
      <c r="BN53" s="418">
        <f t="shared" si="9"/>
        <v>-2.9272504319669679</v>
      </c>
      <c r="BO53" s="417">
        <f t="shared" si="10"/>
        <v>0</v>
      </c>
      <c r="BP53" s="418">
        <f t="shared" si="11"/>
        <v>0</v>
      </c>
      <c r="BQ53" s="417">
        <f t="shared" si="18"/>
        <v>-2.9272504319669679</v>
      </c>
      <c r="BR53" s="120">
        <f>VLOOKUP($A53,TOCA_current!$A$2:$AI$137,MATCH(BR$4,TOCA_current!$A$2:$AI$2,0),FALSE)</f>
        <v>5.7758000000000002E-3</v>
      </c>
      <c r="BS53" s="120">
        <f>VLOOKUP($A53,TOCA_current!$A$2:$AI$137,MATCH(BS$4,TOCA_current!$A$2:$AI$2,0),FALSE)</f>
        <v>5.7758000000000002E-3</v>
      </c>
      <c r="BT53" s="201">
        <f t="shared" si="12"/>
        <v>0</v>
      </c>
      <c r="BU53" s="120">
        <f>VLOOKUP($A53,TOCA_current!A49:BG184,MATCH(BU$4,TOCA_current!$A$2:$BG$2,0),FALSE)</f>
        <v>0.06</v>
      </c>
      <c r="BV53" s="120">
        <f t="shared" si="19"/>
        <v>0.06</v>
      </c>
      <c r="BW53" s="120">
        <f t="shared" si="20"/>
        <v>5.7758000000000002E-3</v>
      </c>
      <c r="BX53" s="191">
        <f>VLOOKUP($A53,IRD!$A$4:$G$139, 7, FALSE)</f>
        <v>0</v>
      </c>
      <c r="BY53" s="192">
        <f t="array" ref="BY53">IF($BT53=0, INDEX(LS_current!$D$4:$AY$138, MATCH('Staging Table'!$A53, LS_current!$B$4:$B$138, 0), MATCH(BY$4&amp;BY$5, LS_current!$D$2:$AY$2&amp;LS_current!$D$3:$AY$3, 0)),SUM(VLOOKUP($A53, LS_current!$B$4:$AY$138, LS_current!D$148, FALSE), VLOOKUP($A53, LS_current!$B$4:$AY$138,LS_current!AB$148, FALSE))/2)</f>
        <v>0</v>
      </c>
      <c r="BZ53" s="192">
        <f t="array" ref="BZ53">IF($BT53=0, INDEX(LS_current!$D$4:$AY$138, MATCH('Staging Table'!$A53, LS_current!$B$4:$B$138, 0), MATCH(BZ$4&amp;BZ$5, LS_current!$D$2:$AY$2&amp;LS_current!$D$3:$AY$3, 0)),SUM(VLOOKUP($A53, LS_current!$B$4:$AY$138, LS_current!E$148, FALSE), VLOOKUP($A53, LS_current!$B$4:$AY$138,LS_current!AC$148, FALSE))/2)</f>
        <v>0</v>
      </c>
      <c r="CA53" s="192">
        <f t="array" ref="CA53">IF($BT53=0, INDEX(LS_current!$D$4:$AY$138, MATCH('Staging Table'!$A53, LS_current!$B$4:$B$138, 0), MATCH(CA$4&amp;CA$5, LS_current!$D$2:$AY$2&amp;LS_current!$D$3:$AY$3, 0)),SUM(VLOOKUP($A53, LS_current!$B$4:$AY$138, LS_current!F$148, FALSE), VLOOKUP($A53, LS_current!$B$4:$AY$138,LS_current!AD$148, FALSE))/2)</f>
        <v>0</v>
      </c>
      <c r="CB53" s="192">
        <f t="array" ref="CB53">IF($BT53=0, INDEX(LS_current!$D$4:$AY$138, MATCH('Staging Table'!$A53, LS_current!$B$4:$B$138, 0), MATCH(CB$4&amp;CB$5, LS_current!$D$2:$AY$2&amp;LS_current!$D$3:$AY$3, 0)),SUM(VLOOKUP($A53, LS_current!$B$4:$AY$138, LS_current!G$148, FALSE), VLOOKUP($A53, LS_current!$B$4:$AY$138,LS_current!AE$148, FALSE))/2)</f>
        <v>0</v>
      </c>
      <c r="CC53" s="192">
        <f t="array" ref="CC53">IF($BT53=0, INDEX(LS_current!$D$4:$AY$138, MATCH('Staging Table'!$A53, LS_current!$B$4:$B$138, 0), MATCH(CC$4&amp;CC$5, LS_current!$D$2:$AY$2&amp;LS_current!$D$3:$AY$3, 0)),SUM(VLOOKUP($A53, LS_current!$B$4:$AY$138, LS_current!H$148, FALSE), VLOOKUP($A53, LS_current!$B$4:$AY$138,LS_current!AF$148, FALSE))/2)</f>
        <v>0</v>
      </c>
      <c r="CD53" s="192">
        <f t="array" ref="CD53">IF($BT53=0, INDEX(LS_current!$D$4:$AY$138, MATCH('Staging Table'!$A53, LS_current!$B$4:$B$138, 0), MATCH(CD$4&amp;CD$5, LS_current!$D$2:$AY$2&amp;LS_current!$D$3:$AY$3, 0)),SUM(VLOOKUP($A53, LS_current!$B$4:$AY$138, LS_current!I$148, FALSE), VLOOKUP($A53, LS_current!$B$4:$AY$138,LS_current!AG$148, FALSE))/2)</f>
        <v>0</v>
      </c>
      <c r="CE53" s="192">
        <f t="array" ref="CE53">IF($BT53=0, INDEX(LS_current!$D$4:$AY$138, MATCH('Staging Table'!$A53, LS_current!$B$4:$B$138, 0), MATCH(CE$4&amp;CE$5, LS_current!$D$2:$AY$2&amp;LS_current!$D$3:$AY$3, 0)),SUM(VLOOKUP($A53, LS_current!$B$4:$AY$138, LS_current!J$148, FALSE), VLOOKUP($A53, LS_current!$B$4:$AY$138,LS_current!AH$148, FALSE))/2)</f>
        <v>0</v>
      </c>
      <c r="CF53" s="192">
        <f t="array" ref="CF53">IF($BT53=0, INDEX(LS_current!$D$4:$AY$138, MATCH('Staging Table'!$A53, LS_current!$B$4:$B$138, 0), MATCH(CF$4&amp;CF$5, LS_current!$D$2:$AY$2&amp;LS_current!$D$3:$AY$3, 0)),SUM(VLOOKUP($A53, LS_current!$B$4:$AY$138, LS_current!K$148, FALSE), VLOOKUP($A53, LS_current!$B$4:$AY$138,LS_current!AI$148, FALSE))/2)</f>
        <v>0</v>
      </c>
      <c r="CG53" s="192">
        <f t="array" ref="CG53">IF($BT53=0, INDEX(LS_current!$D$4:$AY$138, MATCH('Staging Table'!$A53, LS_current!$B$4:$B$138, 0), MATCH(CG$4&amp;CG$5, LS_current!$D$2:$AY$2&amp;LS_current!$D$3:$AY$3, 0)),SUM(VLOOKUP($A53, LS_current!$B$4:$AY$138, LS_current!L$148, FALSE), VLOOKUP($A53, LS_current!$B$4:$AY$138,LS_current!AJ$148, FALSE))/2)</f>
        <v>0</v>
      </c>
      <c r="CH53" s="192">
        <f t="array" ref="CH53">IF($BT53=0, INDEX(LS_current!$D$4:$AY$138, MATCH('Staging Table'!$A53, LS_current!$B$4:$B$138, 0), MATCH(CH$4&amp;CH$5, LS_current!$D$2:$AY$2&amp;LS_current!$D$3:$AY$3, 0)),SUM(VLOOKUP($A53, LS_current!$B$4:$AY$138, LS_current!M$148, FALSE), VLOOKUP($A53, LS_current!$B$4:$AY$138,LS_current!AK$148, FALSE))/2)</f>
        <v>0</v>
      </c>
      <c r="CI53" s="192">
        <f t="array" ref="CI53">IF($BT53=0, INDEX(LS_current!$D$4:$AY$138, MATCH('Staging Table'!$A53, LS_current!$B$4:$B$138, 0), MATCH(CI$4&amp;CI$5, LS_current!$D$2:$AY$2&amp;LS_current!$D$3:$AY$3, 0)),SUM(VLOOKUP($A53, LS_current!$B$4:$AY$138, LS_current!N$148, FALSE), VLOOKUP($A53, LS_current!$B$4:$AY$138,LS_current!AL$148, FALSE))/2)</f>
        <v>0</v>
      </c>
      <c r="CJ53" s="192">
        <f t="array" ref="CJ53">IF($BT53=0, INDEX(LS_current!$D$4:$AY$138, MATCH('Staging Table'!$A53, LS_current!$B$4:$B$138, 0), MATCH(CJ$4&amp;CJ$5, LS_current!$D$2:$AY$2&amp;LS_current!$D$3:$AY$3, 0)),SUM(VLOOKUP($A53, LS_current!$B$4:$AY$138, LS_current!O$148, FALSE), VLOOKUP($A53, LS_current!$B$4:$AY$138,LS_current!AM$148, FALSE))/2)</f>
        <v>0</v>
      </c>
      <c r="CK53" s="192">
        <f t="array" ref="CK53">IF($BT53=0, INDEX(LS_current!$D$4:$AY$138, MATCH('Staging Table'!$A53, LS_current!$B$4:$B$138, 0), MATCH(CK$4&amp;CK$5, LS_current!$D$2:$AY$2&amp;LS_current!$D$3:$AY$3, 0)),SUM(VLOOKUP($A53, LS_current!$B$4:$AY$138, LS_current!P$148, FALSE), VLOOKUP($A53, LS_current!$B$4:$AY$138,LS_current!AN$148, FALSE))/2)</f>
        <v>0</v>
      </c>
      <c r="CL53" s="192">
        <f t="array" ref="CL53">IF($BT53=0, INDEX(LS_current!$D$4:$AY$138, MATCH('Staging Table'!$A53, LS_current!$B$4:$B$138, 0), MATCH(CL$4&amp;CL$5, LS_current!$D$2:$AY$2&amp;LS_current!$D$3:$AY$3, 0)),SUM(VLOOKUP($A53, LS_current!$B$4:$AY$138, LS_current!Q$148, FALSE), VLOOKUP($A53, LS_current!$B$4:$AY$138,LS_current!AO$148, FALSE))/2)</f>
        <v>0</v>
      </c>
      <c r="CM53" s="192">
        <f t="array" ref="CM53">IF($BT53=0, INDEX(LS_current!$D$4:$AY$138, MATCH('Staging Table'!$A53, LS_current!$B$4:$B$138, 0), MATCH(CM$4&amp;CM$5, LS_current!$D$2:$AY$2&amp;LS_current!$D$3:$AY$3, 0)),SUM(VLOOKUP($A53, LS_current!$B$4:$AY$138, LS_current!R$148, FALSE), VLOOKUP($A53, LS_current!$B$4:$AY$138,LS_current!AP$148, FALSE))/2)</f>
        <v>0</v>
      </c>
      <c r="CN53" s="192">
        <f t="array" ref="CN53">IF($BT53=0, INDEX(LS_current!$D$4:$AY$138, MATCH('Staging Table'!$A53, LS_current!$B$4:$B$138, 0), MATCH(CN$4&amp;CN$5, LS_current!$D$2:$AY$2&amp;LS_current!$D$3:$AY$3, 0)),SUM(VLOOKUP($A53, LS_current!$B$4:$AY$138, LS_current!S$148, FALSE), VLOOKUP($A53, LS_current!$B$4:$AY$138,LS_current!AQ$148, FALSE))/2)</f>
        <v>0</v>
      </c>
      <c r="CO53" s="192">
        <f t="array" ref="CO53">IF($BT53=0, INDEX(LS_current!$D$4:$AY$138, MATCH('Staging Table'!$A53, LS_current!$B$4:$B$138, 0), MATCH(CO$4&amp;CO$5, LS_current!$D$2:$AY$2&amp;LS_current!$D$3:$AY$3, 0)),SUM(VLOOKUP($A53, LS_current!$B$4:$AY$138, LS_current!T$148, FALSE), VLOOKUP($A53, LS_current!$B$4:$AY$138,LS_current!AR$148, FALSE))/2)</f>
        <v>0</v>
      </c>
      <c r="CP53" s="192">
        <f t="array" ref="CP53">IF($BT53=0, INDEX(LS_current!$D$4:$AY$138, MATCH('Staging Table'!$A53, LS_current!$B$4:$B$138, 0), MATCH(CP$4&amp;CP$5, LS_current!$D$2:$AY$2&amp;LS_current!$D$3:$AY$3, 0)),SUM(VLOOKUP($A53, LS_current!$B$4:$AY$138, LS_current!U$148, FALSE), VLOOKUP($A53, LS_current!$B$4:$AY$138,LS_current!AS$148, FALSE))/2)</f>
        <v>0</v>
      </c>
      <c r="CQ53" s="192">
        <f t="array" ref="CQ53">IF($BT53=0, INDEX(LS_current!$D$4:$AY$138, MATCH('Staging Table'!$A53, LS_current!$B$4:$B$138, 0), MATCH(CQ$4&amp;CQ$5, LS_current!$D$2:$AY$2&amp;LS_current!$D$3:$AY$3, 0)),SUM(VLOOKUP($A53, LS_current!$B$4:$AY$138, LS_current!V$148, FALSE), VLOOKUP($A53, LS_current!$B$4:$AY$138,LS_current!AT$148, FALSE))/2)</f>
        <v>0</v>
      </c>
      <c r="CR53" s="192">
        <f t="array" ref="CR53">IF($BT53=0, INDEX(LS_current!$D$4:$AY$138, MATCH('Staging Table'!$A53, LS_current!$B$4:$B$138, 0), MATCH(CR$4&amp;CR$5, LS_current!$D$2:$AY$2&amp;LS_current!$D$3:$AY$3, 0)),SUM(VLOOKUP($A53, LS_current!$B$4:$AY$138, LS_current!W$148, FALSE), VLOOKUP($A53, LS_current!$B$4:$AY$138,LS_current!AU$148, FALSE))/2)</f>
        <v>0</v>
      </c>
      <c r="CS53" s="192">
        <f t="array" ref="CS53">IF($BT53=0, INDEX(LS_current!$D$4:$AY$138, MATCH('Staging Table'!$A53, LS_current!$B$4:$B$138, 0), MATCH(CS$4&amp;CS$5, LS_current!$D$2:$AY$2&amp;LS_current!$D$3:$AY$3, 0)),SUM(VLOOKUP($A53, LS_current!$B$4:$AY$138, LS_current!X$148, FALSE), VLOOKUP($A53, LS_current!$B$4:$AY$138,LS_current!AV$148, FALSE))/2)</f>
        <v>0</v>
      </c>
      <c r="CT53" s="192">
        <f t="array" ref="CT53">IF($BT53=0, INDEX(LS_current!$D$4:$AY$138, MATCH('Staging Table'!$A53, LS_current!$B$4:$B$138, 0), MATCH(CT$4&amp;CT$5, LS_current!$D$2:$AY$2&amp;LS_current!$D$3:$AY$3, 0)),SUM(VLOOKUP($A53, LS_current!$B$4:$AY$138, LS_current!Y$148, FALSE), VLOOKUP($A53, LS_current!$B$4:$AY$138,LS_current!AW$148, FALSE))/2)</f>
        <v>0</v>
      </c>
      <c r="CU53" s="192">
        <f t="array" ref="CU53">IF($BT53=0, INDEX(LS_current!$D$4:$AY$138, MATCH('Staging Table'!$A53, LS_current!$B$4:$B$138, 0), MATCH(CU$4&amp;CU$5, LS_current!$D$2:$AY$2&amp;LS_current!$D$3:$AY$3, 0)),SUM(VLOOKUP($A53, LS_current!$B$4:$AY$138, LS_current!Z$148, FALSE), VLOOKUP($A53, LS_current!$B$4:$AY$138,LS_current!AX$148, FALSE))/2)</f>
        <v>0</v>
      </c>
      <c r="CV53" s="192">
        <f t="array" ref="CV53">IF($BT53=0, INDEX(LS_current!$D$4:$AY$138, MATCH('Staging Table'!$A53, LS_current!$B$4:$B$138, 0), MATCH(CV$4&amp;CV$5, LS_current!$D$2:$AY$2&amp;LS_current!$D$3:$AY$3, 0)),SUM(VLOOKUP($A53, LS_current!$B$4:$AY$138, LS_current!AA$148, FALSE), VLOOKUP($A53, LS_current!$B$4:$AY$138,LS_current!AY$148, FALSE))/2)</f>
        <v>0</v>
      </c>
      <c r="CW53" s="194">
        <f t="array" ref="CW53">INDEX(Demand_current!$D$4:$AY$138, MATCH($A53, Demand_current!$B$4:$B$138, 0), MATCH(CW$4&amp;CW$5,Demand_current!$D$2:$AY$2&amp;Demand_current!$D$3:$AY$3, 0))/1000</f>
        <v>0</v>
      </c>
      <c r="CX53" s="194">
        <f t="array" ref="CX53">INDEX(Demand_current!$D$4:$AY$138, MATCH($A53, Demand_current!$B$4:$B$138, 0), MATCH(CX$4&amp;CX$5,Demand_current!$D$2:$AY$2&amp;Demand_current!$D$3:$AY$3, 0))/1000</f>
        <v>0</v>
      </c>
      <c r="CY53" s="194">
        <f t="array" ref="CY53">INDEX(Demand_current!$D$4:$AY$138, MATCH($A53, Demand_current!$B$4:$B$138, 0), MATCH(CY$4&amp;CY$5,Demand_current!$D$2:$AY$2&amp;Demand_current!$D$3:$AY$3, 0))/1000</f>
        <v>0</v>
      </c>
      <c r="CZ53" s="194">
        <f t="array" ref="CZ53">INDEX(Demand_current!$D$4:$AY$138, MATCH($A53, Demand_current!$B$4:$B$138, 0), MATCH(CZ$4&amp;CZ$5,Demand_current!$D$2:$AY$2&amp;Demand_current!$D$3:$AY$3, 0))/1000</f>
        <v>0</v>
      </c>
      <c r="DA53" s="194">
        <f t="array" ref="DA53">INDEX(Demand_current!$D$4:$AY$138, MATCH($A53, Demand_current!$B$4:$B$138, 0), MATCH(DA$4&amp;DA$5,Demand_current!$D$2:$AY$2&amp;Demand_current!$D$3:$AY$3, 0))/1000</f>
        <v>0</v>
      </c>
      <c r="DB53" s="194">
        <f t="array" ref="DB53">INDEX(Demand_current!$D$4:$AY$138, MATCH($A53, Demand_current!$B$4:$B$138, 0), MATCH(DB$4&amp;DB$5,Demand_current!$D$2:$AY$2&amp;Demand_current!$D$3:$AY$3, 0))/1000</f>
        <v>0</v>
      </c>
      <c r="DC53" s="194">
        <f t="array" ref="DC53">INDEX(Demand_current!$D$4:$AY$138, MATCH($A53, Demand_current!$B$4:$B$138, 0), MATCH(DC$4&amp;DC$5,Demand_current!$D$2:$AY$2&amp;Demand_current!$D$3:$AY$3, 0))/1000</f>
        <v>0</v>
      </c>
      <c r="DD53" s="194">
        <f t="array" ref="DD53">INDEX(Demand_current!$D$4:$AY$138, MATCH($A53, Demand_current!$B$4:$B$138, 0), MATCH(DD$4&amp;DD$5,Demand_current!$D$2:$AY$2&amp;Demand_current!$D$3:$AY$3, 0))/1000</f>
        <v>0</v>
      </c>
      <c r="DE53" s="194">
        <f t="array" ref="DE53">INDEX(Demand_current!$D$4:$AY$138, MATCH($A53, Demand_current!$B$4:$B$138, 0), MATCH(DE$4&amp;DE$5,Demand_current!$D$2:$AY$2&amp;Demand_current!$D$3:$AY$3, 0))/1000</f>
        <v>0</v>
      </c>
      <c r="DF53" s="194">
        <f t="array" ref="DF53">INDEX(Demand_current!$D$4:$AY$138, MATCH($A53, Demand_current!$B$4:$B$138, 0), MATCH(DF$4&amp;DF$5,Demand_current!$D$2:$AY$2&amp;Demand_current!$D$3:$AY$3, 0))/1000</f>
        <v>0</v>
      </c>
      <c r="DG53" s="194">
        <f t="array" ref="DG53">INDEX(Demand_current!$D$4:$AY$138, MATCH($A53, Demand_current!$B$4:$B$138, 0), MATCH(DG$4&amp;DG$5,Demand_current!$D$2:$AY$2&amp;Demand_current!$D$3:$AY$3, 0))/1000</f>
        <v>0</v>
      </c>
      <c r="DH53" s="194">
        <f t="array" ref="DH53">INDEX(Demand_current!$D$4:$AY$138, MATCH($A53, Demand_current!$B$4:$B$138, 0), MATCH(DH$4&amp;DH$5,Demand_current!$D$2:$AY$2&amp;Demand_current!$D$3:$AY$3, 0))/1000</f>
        <v>0</v>
      </c>
      <c r="DI53" s="192">
        <f>$BS53*(VLOOKUP(DI$4, Rates_current!$G$6:$Q$29, 10, FALSE)+VLOOKUP(DI$4, Rates_current!$G$6:$Q$29, 11, FALSE))</f>
        <v>26302.556669442936</v>
      </c>
      <c r="DJ53" s="192">
        <f>$BS53*(VLOOKUP(DJ$4, Rates_current!$G$6:$Q$29, 10, FALSE)+VLOOKUP(DJ$4, Rates_current!$G$6:$Q$29, 11, FALSE))</f>
        <v>33299.991328986274</v>
      </c>
      <c r="DK53" s="192">
        <f>$BS53*(VLOOKUP(DK$4, Rates_current!$G$6:$Q$29, 10, FALSE)+VLOOKUP(DK$4, Rates_current!$G$6:$Q$29, 11, FALSE))</f>
        <v>32594.038731724286</v>
      </c>
      <c r="DL53" s="192">
        <f>$BS53*(VLOOKUP(DL$4, Rates_current!$G$6:$Q$29, 10, FALSE)+VLOOKUP(DL$4, Rates_current!$G$6:$Q$29, 11, FALSE))</f>
        <v>26921.28993606033</v>
      </c>
      <c r="DM53" s="192">
        <f>$BS53*(VLOOKUP(DM$4, Rates_current!$G$6:$Q$29, 10, FALSE)+VLOOKUP(DM$4, Rates_current!$G$6:$Q$29, 11, FALSE))</f>
        <v>23333.272023870624</v>
      </c>
      <c r="DN53" s="192">
        <f>$BS53*(VLOOKUP(DN$4, Rates_current!$G$6:$Q$29, 10, FALSE)+VLOOKUP(DN$4, Rates_current!$G$6:$Q$29, 11, FALSE))</f>
        <v>27855.214893120665</v>
      </c>
      <c r="DO53" s="192">
        <f>$BS53*(VLOOKUP(DO$4, Rates_current!$G$6:$Q$29, 10, FALSE)+VLOOKUP(DO$4, Rates_current!$G$6:$Q$29, 11, FALSE))</f>
        <v>21625.866030407349</v>
      </c>
      <c r="DP53" s="192">
        <f>$BS53*(VLOOKUP(DP$4, Rates_current!$G$6:$Q$29, 10, FALSE)+VLOOKUP(DP$4, Rates_current!$G$6:$Q$29, 11, FALSE))</f>
        <v>29962.796529534182</v>
      </c>
      <c r="DQ53" s="192">
        <f>$BS53*(VLOOKUP(DQ$4, Rates_current!$G$6:$Q$29, 10, FALSE)+VLOOKUP(DQ$4, Rates_current!$G$6:$Q$29, 11, FALSE))</f>
        <v>32015.875487336572</v>
      </c>
      <c r="DR53" s="192">
        <f>$BS53*(VLOOKUP(DR$4, Rates_current!$G$6:$Q$29, 10, FALSE)+VLOOKUP(DR$4, Rates_current!$G$6:$Q$29, 11, FALSE))</f>
        <v>30397.624045199245</v>
      </c>
      <c r="DS53" s="192">
        <f>$BS53*(VLOOKUP(DS$4, Rates_current!$G$6:$Q$29, 10, FALSE)+VLOOKUP(DS$4, Rates_current!$G$6:$Q$29, 11, FALSE))</f>
        <v>29376.958585002958</v>
      </c>
      <c r="DT53" s="192">
        <f>$BS53*(VLOOKUP(DT$4, Rates_current!$G$6:$Q$29, 10, FALSE)+VLOOKUP(DT$4, Rates_current!$G$6:$Q$29, 11, FALSE))</f>
        <v>27147.372159111244</v>
      </c>
      <c r="DU53" s="418">
        <f>IF(D53=0,IF(C53=0,MAX(0,DW53 - (VLOOKUP($A53,TOCA_current!$A$2:$AI$137,MATCH("RHWM 2022",TOCA_current!$A$2:$AI$2,0),FALSE)*$BS$2)), 0),0)</f>
        <v>0</v>
      </c>
      <c r="DV53" s="419">
        <f>MIN(VLOOKUP($A53,TOCA_current!$A$2:$AI$137,MATCH("TRL - NLSL - Existing Resource "&amp;$BS$1,TOCA_current!$A$2:$AI$2,0),FALSE)*$BS$2, VLOOKUP($A53,TOCA_current!$A$2:$AI$137,MATCH("RHWM 2022",TOCA_current!$A$2:$AI$2,0),FALSE)*$BS$2)</f>
        <v>340834.08</v>
      </c>
      <c r="DW53" s="419">
        <f>SUM(BY53:CV53)+(BS53*RT1SC!$C$4*$BS$2)</f>
        <v>340832.87385487201</v>
      </c>
      <c r="DX53" s="419">
        <f>VLOOKUP($A53,TOCA_current!$A$2:$AI$137,MATCH("Above RHWM Not Served with LS "&amp;$BS$1,TOCA_current!$A$2:$AI$2,0),FALSE)*$BS$2</f>
        <v>0</v>
      </c>
      <c r="DY53" s="419">
        <f t="shared" si="13"/>
        <v>-1.2061451280023903</v>
      </c>
      <c r="DZ53" s="419">
        <f>(VLOOKUP($A53,TOCA_current!$A$2:$AI$137,MATCH("RHWM 2022",TOCA_current!$A$2:$AI$2,0),FALSE)*$BS$2) - $DV53</f>
        <v>727.07999999995809</v>
      </c>
      <c r="EA53" s="419">
        <f t="shared" si="14"/>
        <v>0</v>
      </c>
      <c r="EB53" s="419">
        <f t="shared" si="15"/>
        <v>1.2061451280023903</v>
      </c>
      <c r="EC53" s="419">
        <f t="shared" si="16"/>
        <v>0</v>
      </c>
      <c r="ED53" s="419">
        <f t="shared" si="17"/>
        <v>1.2061451280023903</v>
      </c>
    </row>
    <row r="54" spans="1:134">
      <c r="A54" s="135">
        <v>10123</v>
      </c>
      <c r="B54" s="136" t="s">
        <v>55</v>
      </c>
      <c r="C54" s="244">
        <f>VLOOKUP(A54, TOCA_current!$A$3:$D$137, 4, FALSE)</f>
        <v>0</v>
      </c>
      <c r="D54" s="203">
        <v>1</v>
      </c>
      <c r="E54" s="119">
        <f>VLOOKUP($A54,TOCA_previous!$A$2:$AI$137,MATCH(E$4,TOCA_previous!$A$2:$AI$2,0),FALSE)</f>
        <v>6.4409099999999997E-2</v>
      </c>
      <c r="F54" s="120">
        <f>VLOOKUP($A54,TOCA_previous!$A$2:$AI$137,MATCH(F$4,TOCA_previous!$A$2:$AI$2,0),FALSE)</f>
        <v>2.4525099999999994E-2</v>
      </c>
      <c r="G54" s="120">
        <f t="shared" si="5"/>
        <v>3.9884000000000003E-2</v>
      </c>
      <c r="H54" s="120">
        <f>VLOOKUP($A54,TOCA_previous!$A$2:$AI$137,MATCH(H$4,TOCA_previous!$A$2:$AI$2,0),FALSE)</f>
        <v>0</v>
      </c>
      <c r="I54" s="120">
        <f t="shared" si="6"/>
        <v>0</v>
      </c>
      <c r="J54" s="120">
        <f t="shared" si="7"/>
        <v>0</v>
      </c>
      <c r="K54" s="191">
        <f>VLOOKUP(A54, IRD!$A$5:$C$139, 3, FALSE)</f>
        <v>0</v>
      </c>
      <c r="L54" s="192">
        <f t="array" ref="L54">IF($G54=0, INDEX(LS_previous!$D$4:$AY$138, MATCH('Staging Table'!$A54, LS_previous!$B$4:$B$138, 0), MATCH(L$4&amp;L$5, LS_previous!$D$2:$AY$2&amp;LS_previous!$D$3:$AY$3, 0)),SUM(VLOOKUP($A54, LS_previous!$B$4:$AY$138, LS_previous!D$149, FALSE), VLOOKUP('Staging Table'!$A54, LS_previous!$B$4:$AY$138,LS_previous!AB$149, FALSE))/2)</f>
        <v>-1042.7439831321899</v>
      </c>
      <c r="M54" s="192">
        <f t="array" ref="M54">IF($G54=0, INDEX(LS_previous!$D$4:$AY$138, MATCH('Staging Table'!$A54, LS_previous!$B$4:$B$138, 0), MATCH(M$4&amp;M$5, LS_previous!$D$2:$AY$2&amp;LS_previous!$D$3:$AY$3, 0)),SUM(VLOOKUP($A54, LS_previous!$B$4:$AY$138, LS_previous!E$149, FALSE), VLOOKUP('Staging Table'!$A54, LS_previous!$B$4:$AY$138,LS_previous!AC$149, FALSE))/2)</f>
        <v>14088.800029710073</v>
      </c>
      <c r="N54" s="192">
        <f t="array" ref="N54">IF($G54=0, INDEX(LS_previous!$D$4:$AY$138, MATCH('Staging Table'!$A54, LS_previous!$B$4:$B$138, 0), MATCH(N$4&amp;N$5, LS_previous!$D$2:$AY$2&amp;LS_previous!$D$3:$AY$3, 0)),SUM(VLOOKUP($A54, LS_previous!$B$4:$AY$138, LS_previous!F$149, FALSE), VLOOKUP('Staging Table'!$A54, LS_previous!$B$4:$AY$138,LS_previous!AD$149, FALSE))/2)</f>
        <v>-21034.617447314689</v>
      </c>
      <c r="O54" s="192">
        <f t="array" ref="O54">IF($G54=0, INDEX(LS_previous!$D$4:$AY$138, MATCH('Staging Table'!$A54, LS_previous!$B$4:$B$138, 0), MATCH(O$4&amp;O$5, LS_previous!$D$2:$AY$2&amp;LS_previous!$D$3:$AY$3, 0)),SUM(VLOOKUP($A54, LS_previous!$B$4:$AY$138, LS_previous!G$149, FALSE), VLOOKUP('Staging Table'!$A54, LS_previous!$B$4:$AY$138,LS_previous!AE$149, FALSE))/2)</f>
        <v>6147.7866267942736</v>
      </c>
      <c r="P54" s="192">
        <f t="array" ref="P54">IF($G54=0, INDEX(LS_previous!$D$4:$AY$138, MATCH('Staging Table'!$A54, LS_previous!$B$4:$B$138, 0), MATCH(P$4&amp;P$5, LS_previous!$D$2:$AY$2&amp;LS_previous!$D$3:$AY$3, 0)),SUM(VLOOKUP($A54, LS_previous!$B$4:$AY$138, LS_previous!H$149, FALSE), VLOOKUP('Staging Table'!$A54, LS_previous!$B$4:$AY$138,LS_previous!AF$149, FALSE))/2)</f>
        <v>-12756.999041319126</v>
      </c>
      <c r="Q54" s="192">
        <f t="array" ref="Q54">IF($G54=0, INDEX(LS_previous!$D$4:$AY$138, MATCH('Staging Table'!$A54, LS_previous!$B$4:$B$138, 0), MATCH(Q$4&amp;Q$5, LS_previous!$D$2:$AY$2&amp;LS_previous!$D$3:$AY$3, 0)),SUM(VLOOKUP($A54, LS_previous!$B$4:$AY$138, LS_previous!I$149, FALSE), VLOOKUP('Staging Table'!$A54, LS_previous!$B$4:$AY$138,LS_previous!AG$149, FALSE))/2)</f>
        <v>9442.7356645106047</v>
      </c>
      <c r="R54" s="192">
        <f t="array" ref="R54">IF($G54=0, INDEX(LS_previous!$D$4:$AY$138, MATCH('Staging Table'!$A54, LS_previous!$B$4:$B$138, 0), MATCH(R$4&amp;R$5, LS_previous!$D$2:$AY$2&amp;LS_previous!$D$3:$AY$3, 0)),SUM(VLOOKUP($A54, LS_previous!$B$4:$AY$138, LS_previous!J$149, FALSE), VLOOKUP('Staging Table'!$A54, LS_previous!$B$4:$AY$138,LS_previous!AH$149, FALSE))/2)</f>
        <v>914.8003016072762</v>
      </c>
      <c r="S54" s="192">
        <f t="array" ref="S54">IF($G54=0, INDEX(LS_previous!$D$4:$AY$138, MATCH('Staging Table'!$A54, LS_previous!$B$4:$B$138, 0), MATCH(S$4&amp;S$5, LS_previous!$D$2:$AY$2&amp;LS_previous!$D$3:$AY$3, 0)),SUM(VLOOKUP($A54, LS_previous!$B$4:$AY$138, LS_previous!K$149, FALSE), VLOOKUP('Staging Table'!$A54, LS_previous!$B$4:$AY$138,LS_previous!AI$149, FALSE))/2)</f>
        <v>19488.940466338237</v>
      </c>
      <c r="T54" s="192">
        <f t="array" ref="T54">IF($G54=0, INDEX(LS_previous!$D$4:$AY$138, MATCH('Staging Table'!$A54, LS_previous!$B$4:$B$138, 0), MATCH(T$4&amp;T$5, LS_previous!$D$2:$AY$2&amp;LS_previous!$D$3:$AY$3, 0)),SUM(VLOOKUP($A54, LS_previous!$B$4:$AY$138, LS_previous!L$149, FALSE), VLOOKUP('Staging Table'!$A54, LS_previous!$B$4:$AY$138,LS_previous!AJ$149, FALSE))/2)</f>
        <v>2316.1024634761925</v>
      </c>
      <c r="U54" s="192">
        <f t="array" ref="U54">IF($G54=0, INDEX(LS_previous!$D$4:$AY$138, MATCH('Staging Table'!$A54, LS_previous!$B$4:$B$138, 0), MATCH(U$4&amp;U$5, LS_previous!$D$2:$AY$2&amp;LS_previous!$D$3:$AY$3, 0)),SUM(VLOOKUP($A54, LS_previous!$B$4:$AY$138, LS_previous!M$149, FALSE), VLOOKUP('Staging Table'!$A54, LS_previous!$B$4:$AY$138,LS_previous!AK$149, FALSE))/2)</f>
        <v>12966.667237793346</v>
      </c>
      <c r="V54" s="192">
        <f t="array" ref="V54">IF($G54=0, INDEX(LS_previous!$D$4:$AY$138, MATCH('Staging Table'!$A54, LS_previous!$B$4:$B$138, 0), MATCH(V$4&amp;V$5, LS_previous!$D$2:$AY$2&amp;LS_previous!$D$3:$AY$3, 0)),SUM(VLOOKUP($A54, LS_previous!$B$4:$AY$138, LS_previous!N$149, FALSE), VLOOKUP('Staging Table'!$A54, LS_previous!$B$4:$AY$138,LS_previous!AL$149, FALSE))/2)</f>
        <v>-3602.8372319963019</v>
      </c>
      <c r="W54" s="192">
        <f t="array" ref="W54">IF($G54=0, INDEX(LS_previous!$D$4:$AY$138, MATCH('Staging Table'!$A54, LS_previous!$B$4:$B$138, 0), MATCH(W$4&amp;W$5, LS_previous!$D$2:$AY$2&amp;LS_previous!$D$3:$AY$3, 0)),SUM(VLOOKUP($A54, LS_previous!$B$4:$AY$138, LS_previous!O$149, FALSE), VLOOKUP('Staging Table'!$A54, LS_previous!$B$4:$AY$138,LS_previous!AM$149, FALSE))/2)</f>
        <v>11706.204781305343</v>
      </c>
      <c r="X54" s="192">
        <f t="array" ref="X54">IF($G54=0, INDEX(LS_previous!$D$4:$AY$138, MATCH('Staging Table'!$A54, LS_previous!$B$4:$B$138, 0), MATCH(X$4&amp;X$5, LS_previous!$D$2:$AY$2&amp;LS_previous!$D$3:$AY$3, 0)),SUM(VLOOKUP($A54, LS_previous!$B$4:$AY$138, LS_previous!P$149, FALSE), VLOOKUP('Staging Table'!$A54, LS_previous!$B$4:$AY$138,LS_previous!AN$149, FALSE))/2)</f>
        <v>11178.81635729572</v>
      </c>
      <c r="Y54" s="192">
        <f t="array" ref="Y54">IF($G54=0, INDEX(LS_previous!$D$4:$AY$138, MATCH('Staging Table'!$A54, LS_previous!$B$4:$B$138, 0), MATCH(Y$4&amp;Y$5, LS_previous!$D$2:$AY$2&amp;LS_previous!$D$3:$AY$3, 0)),SUM(VLOOKUP($A54, LS_previous!$B$4:$AY$138, LS_previous!Q$149, FALSE), VLOOKUP('Staging Table'!$A54, LS_previous!$B$4:$AY$138,LS_previous!AO$149, FALSE))/2)</f>
        <v>17443.740997785484</v>
      </c>
      <c r="Z54" s="192">
        <f t="array" ref="Z54">IF($G54=0, INDEX(LS_previous!$D$4:$AY$138, MATCH('Staging Table'!$A54, LS_previous!$B$4:$B$138, 0), MATCH(Z$4&amp;Z$5, LS_previous!$D$2:$AY$2&amp;LS_previous!$D$3:$AY$3, 0)),SUM(VLOOKUP($A54, LS_previous!$B$4:$AY$138, LS_previous!R$149, FALSE), VLOOKUP('Staging Table'!$A54, LS_previous!$B$4:$AY$138,LS_previous!AP$149, FALSE))/2)</f>
        <v>-20620.286922096795</v>
      </c>
      <c r="AA54" s="192">
        <f t="array" ref="AA54">IF($G54=0, INDEX(LS_previous!$D$4:$AY$138, MATCH('Staging Table'!$A54, LS_previous!$B$4:$B$138, 0), MATCH(AA$4&amp;AA$5, LS_previous!$D$2:$AY$2&amp;LS_previous!$D$3:$AY$3, 0)),SUM(VLOOKUP($A54, LS_previous!$B$4:$AY$138, LS_previous!S$149, FALSE), VLOOKUP('Staging Table'!$A54, LS_previous!$B$4:$AY$138,LS_previous!AQ$149, FALSE))/2)</f>
        <v>11328.255017282758</v>
      </c>
      <c r="AB54" s="192">
        <f t="array" ref="AB54">IF($G54=0, INDEX(LS_previous!$D$4:$AY$138, MATCH('Staging Table'!$A54, LS_previous!$B$4:$B$138, 0), MATCH(AB$4&amp;AB$5, LS_previous!$D$2:$AY$2&amp;LS_previous!$D$3:$AY$3, 0)),SUM(VLOOKUP($A54, LS_previous!$B$4:$AY$138, LS_previous!T$149, FALSE), VLOOKUP('Staging Table'!$A54, LS_previous!$B$4:$AY$138,LS_previous!AR$149, FALSE))/2)</f>
        <v>-43317.418920488177</v>
      </c>
      <c r="AC54" s="192">
        <f t="array" ref="AC54">IF($G54=0, INDEX(LS_previous!$D$4:$AY$138, MATCH('Staging Table'!$A54, LS_previous!$B$4:$B$138, 0), MATCH(AC$4&amp;AC$5, LS_previous!$D$2:$AY$2&amp;LS_previous!$D$3:$AY$3, 0)),SUM(VLOOKUP($A54, LS_previous!$B$4:$AY$138, LS_previous!U$149, FALSE), VLOOKUP('Staging Table'!$A54, LS_previous!$B$4:$AY$138,LS_previous!AS$149, FALSE))/2)</f>
        <v>-9571.4820113144415</v>
      </c>
      <c r="AD54" s="192">
        <f t="array" ref="AD54">IF($G54=0, INDEX(LS_previous!$D$4:$AY$138, MATCH('Staging Table'!$A54, LS_previous!$B$4:$B$138, 0), MATCH(AD$4&amp;AD$5, LS_previous!$D$2:$AY$2&amp;LS_previous!$D$3:$AY$3, 0)),SUM(VLOOKUP($A54, LS_previous!$B$4:$AY$138, LS_previous!V$149, FALSE), VLOOKUP('Staging Table'!$A54, LS_previous!$B$4:$AY$138,LS_previous!AT$149, FALSE))/2)</f>
        <v>-22471.020591998284</v>
      </c>
      <c r="AE54" s="192">
        <f t="array" ref="AE54">IF($G54=0, INDEX(LS_previous!$D$4:$AY$138, MATCH('Staging Table'!$A54, LS_previous!$B$4:$B$138, 0), MATCH(AE$4&amp;AE$5, LS_previous!$D$2:$AY$2&amp;LS_previous!$D$3:$AY$3, 0)),SUM(VLOOKUP($A54, LS_previous!$B$4:$AY$138, LS_previous!W$149, FALSE), VLOOKUP('Staging Table'!$A54, LS_previous!$B$4:$AY$138,LS_previous!AU$149, FALSE))/2)</f>
        <v>14745.504436130203</v>
      </c>
      <c r="AF54" s="192">
        <f t="array" ref="AF54">IF($G54=0, INDEX(LS_previous!$D$4:$AY$138, MATCH('Staging Table'!$A54, LS_previous!$B$4:$B$138, 0), MATCH(AF$4&amp;AF$5, LS_previous!$D$2:$AY$2&amp;LS_previous!$D$3:$AY$3, 0)),SUM(VLOOKUP($A54, LS_previous!$B$4:$AY$138, LS_previous!X$149, FALSE), VLOOKUP('Staging Table'!$A54, LS_previous!$B$4:$AY$138,LS_previous!AV$149, FALSE))/2)</f>
        <v>-19514.251426698283</v>
      </c>
      <c r="AG54" s="192">
        <f t="array" ref="AG54">IF($G54=0, INDEX(LS_previous!$D$4:$AY$138, MATCH('Staging Table'!$A54, LS_previous!$B$4:$B$138, 0), MATCH(AG$4&amp;AG$5, LS_previous!$D$2:$AY$2&amp;LS_previous!$D$3:$AY$3, 0)),SUM(VLOOKUP($A54, LS_previous!$B$4:$AY$138, LS_previous!Y$149, FALSE), VLOOKUP('Staging Table'!$A54, LS_previous!$B$4:$AY$138,LS_previous!AW$149, FALSE))/2)</f>
        <v>15468.471348130199</v>
      </c>
      <c r="AH54" s="192">
        <f t="array" ref="AH54">IF($G54=0, INDEX(LS_previous!$D$4:$AY$138, MATCH('Staging Table'!$A54, LS_previous!$B$4:$B$138, 0), MATCH(AH$4&amp;AH$5, LS_previous!$D$2:$AY$2&amp;LS_previous!$D$3:$AY$3, 0)),SUM(VLOOKUP($A54, LS_previous!$B$4:$AY$138, LS_previous!Z$149, FALSE), VLOOKUP('Staging Table'!$A54, LS_previous!$B$4:$AY$138,LS_previous!AX$149, FALSE))/2)</f>
        <v>-6699.214230205791</v>
      </c>
      <c r="AI54" s="192">
        <f t="array" ref="AI54">IF($G54=0, INDEX(LS_previous!$D$4:$AY$138, MATCH('Staging Table'!$A54, LS_previous!$B$4:$B$138, 0), MATCH(AI$4&amp;AI$5, LS_previous!$D$2:$AY$2&amp;LS_previous!$D$3:$AY$3, 0)),SUM(VLOOKUP($A54, LS_previous!$B$4:$AY$138, LS_previous!AA$149, FALSE), VLOOKUP('Staging Table'!$A54, LS_previous!$B$4:$AY$138,LS_previous!AY$149, FALSE))/2)</f>
        <v>13396.11891859537</v>
      </c>
      <c r="AJ54" s="314">
        <f t="array" ref="AJ54">INDEX(Demand_previous!$D$4:$AY$138, MATCH('Staging Table'!$A54, Demand_previous!$B$4:$B$138, 0), MATCH(AJ$4&amp;AJ$5,Demand_previous!$D$2:$AY$2&amp;Demand_previous!$D$3:$AY$3, 0))/1000</f>
        <v>0</v>
      </c>
      <c r="AK54" s="314">
        <f t="array" ref="AK54">INDEX(Demand_previous!$D$4:$AY$138, MATCH('Staging Table'!$A54, Demand_previous!$B$4:$B$138, 0), MATCH(AK$4&amp;AK$5,Demand_previous!$D$2:$AY$2&amp;Demand_previous!$D$3:$AY$3, 0))/1000</f>
        <v>0</v>
      </c>
      <c r="AL54" s="314">
        <f t="array" ref="AL54">INDEX(Demand_previous!$D$4:$AY$138, MATCH('Staging Table'!$A54, Demand_previous!$B$4:$B$138, 0), MATCH(AL$4&amp;AL$5,Demand_previous!$D$2:$AY$2&amp;Demand_previous!$D$3:$AY$3, 0))/1000</f>
        <v>0</v>
      </c>
      <c r="AM54" s="314">
        <f t="array" ref="AM54">INDEX(Demand_previous!$D$4:$AY$138, MATCH('Staging Table'!$A54, Demand_previous!$B$4:$B$138, 0), MATCH(AM$4&amp;AM$5,Demand_previous!$D$2:$AY$2&amp;Demand_previous!$D$3:$AY$3, 0))/1000</f>
        <v>0</v>
      </c>
      <c r="AN54" s="314">
        <f t="array" ref="AN54">INDEX(Demand_previous!$D$4:$AY$138, MATCH('Staging Table'!$A54, Demand_previous!$B$4:$B$138, 0), MATCH(AN$4&amp;AN$5,Demand_previous!$D$2:$AY$2&amp;Demand_previous!$D$3:$AY$3, 0))/1000</f>
        <v>0</v>
      </c>
      <c r="AO54" s="314">
        <f t="array" ref="AO54">INDEX(Demand_previous!$D$4:$AY$138, MATCH('Staging Table'!$A54, Demand_previous!$B$4:$B$138, 0), MATCH(AO$4&amp;AO$5,Demand_previous!$D$2:$AY$2&amp;Demand_previous!$D$3:$AY$3, 0))/1000</f>
        <v>0</v>
      </c>
      <c r="AP54" s="314">
        <f t="array" ref="AP54">INDEX(Demand_previous!$D$4:$AY$138, MATCH('Staging Table'!$A54, Demand_previous!$B$4:$B$138, 0), MATCH(AP$4&amp;AP$5,Demand_previous!$D$2:$AY$2&amp;Demand_previous!$D$3:$AY$3, 0))/1000</f>
        <v>0</v>
      </c>
      <c r="AQ54" s="314">
        <f t="array" ref="AQ54">INDEX(Demand_previous!$D$4:$AY$138, MATCH('Staging Table'!$A54, Demand_previous!$B$4:$B$138, 0), MATCH(AQ$4&amp;AQ$5,Demand_previous!$D$2:$AY$2&amp;Demand_previous!$D$3:$AY$3, 0))/1000</f>
        <v>0</v>
      </c>
      <c r="AR54" s="314">
        <f t="array" ref="AR54">INDEX(Demand_previous!$D$4:$AY$138, MATCH('Staging Table'!$A54, Demand_previous!$B$4:$B$138, 0), MATCH(AR$4&amp;AR$5,Demand_previous!$D$2:$AY$2&amp;Demand_previous!$D$3:$AY$3, 0))/1000</f>
        <v>0</v>
      </c>
      <c r="AS54" s="314">
        <f t="array" ref="AS54">INDEX(Demand_previous!$D$4:$AY$138, MATCH('Staging Table'!$A54, Demand_previous!$B$4:$B$138, 0), MATCH(AS$4&amp;AS$5,Demand_previous!$D$2:$AY$2&amp;Demand_previous!$D$3:$AY$3, 0))/1000</f>
        <v>0</v>
      </c>
      <c r="AT54" s="314">
        <f t="array" ref="AT54">INDEX(Demand_previous!$D$4:$AY$138, MATCH('Staging Table'!$A54, Demand_previous!$B$4:$B$138, 0), MATCH(AT$4&amp;AT$5,Demand_previous!$D$2:$AY$2&amp;Demand_previous!$D$3:$AY$3, 0))/1000</f>
        <v>0</v>
      </c>
      <c r="AU54" s="314">
        <f t="array" ref="AU54">INDEX(Demand_previous!$D$4:$AY$138, MATCH('Staging Table'!$A54, Demand_previous!$B$4:$B$138, 0), MATCH(AU$4&amp;AU$5,Demand_previous!$D$2:$AY$2&amp;Demand_previous!$D$3:$AY$3, 0))/1000</f>
        <v>0</v>
      </c>
      <c r="AV54" s="192">
        <f>$F54*(VLOOKUP(AV$4, Rates_previous!$G$6:$Q$29, 10, FALSE)+VLOOKUP(AV$4, Rates_previous!$G$6:$Q$29, 11, FALSE))</f>
        <v>113240.16596361955</v>
      </c>
      <c r="AW54" s="192">
        <f>$F54*(VLOOKUP(AW$4, Rates_previous!$G$6:$Q$29, 10, FALSE)+VLOOKUP(AW$4, Rates_previous!$G$6:$Q$29, 11, FALSE))</f>
        <v>143850.33672979887</v>
      </c>
      <c r="AX54" s="192">
        <f>$F54*(VLOOKUP(AX$4, Rates_previous!$G$6:$Q$29, 10, FALSE)+VLOOKUP(AX$4, Rates_previous!$G$6:$Q$29, 11, FALSE))</f>
        <v>142113.14926691959</v>
      </c>
      <c r="AY54" s="192">
        <f>$F54*(VLOOKUP(AY$4, Rates_previous!$G$6:$Q$29, 10, FALSE)+VLOOKUP(AY$4, Rates_previous!$G$6:$Q$29, 11, FALSE))</f>
        <v>118459.96562211958</v>
      </c>
      <c r="AZ54" s="192">
        <f>$F54*(VLOOKUP(AZ$4, Rates_previous!$G$6:$Q$29, 10, FALSE)+VLOOKUP(AZ$4, Rates_previous!$G$6:$Q$29, 11, FALSE))</f>
        <v>107312.43958167997</v>
      </c>
      <c r="BA54" s="192">
        <f>$F54*(VLOOKUP(BA$4, Rates_previous!$G$6:$Q$29, 10, FALSE)+VLOOKUP(BA$4, Rates_previous!$G$6:$Q$29, 11, FALSE))</f>
        <v>119365.52406251867</v>
      </c>
      <c r="BB54" s="192">
        <f>$F54*(VLOOKUP(BB$4, Rates_previous!$G$6:$Q$29, 10, FALSE)+VLOOKUP(BB$4, Rates_previous!$G$6:$Q$29, 11, FALSE))</f>
        <v>97187.538499847971</v>
      </c>
      <c r="BC54" s="192">
        <f>$F54*(VLOOKUP(BC$4, Rates_previous!$G$6:$Q$29, 10, FALSE)+VLOOKUP(BC$4, Rates_previous!$G$6:$Q$29, 11, FALSE))</f>
        <v>131071.88793416959</v>
      </c>
      <c r="BD54" s="192">
        <f>$F54*(VLOOKUP(BD$4, Rates_previous!$G$6:$Q$29, 10, FALSE)+VLOOKUP(BD$4, Rates_previous!$G$6:$Q$29, 11, FALSE))</f>
        <v>167238.81461829797</v>
      </c>
      <c r="BE54" s="192">
        <f>$F54*(VLOOKUP(BE$4, Rates_previous!$G$6:$Q$29, 10, FALSE)+VLOOKUP(BE$4, Rates_previous!$G$6:$Q$29, 11, FALSE))</f>
        <v>131120.53347001958</v>
      </c>
      <c r="BF54" s="192">
        <f>$F54*(VLOOKUP(BF$4, Rates_previous!$G$6:$Q$29, 10, FALSE)+VLOOKUP(BF$4, Rates_previous!$G$6:$Q$29, 11, FALSE))</f>
        <v>127685.29045046958</v>
      </c>
      <c r="BG54" s="192">
        <f>$F54*(VLOOKUP(BG$4, Rates_previous!$G$6:$Q$29, 10, FALSE)+VLOOKUP(BG$4, Rates_previous!$G$6:$Q$29, 11, FALSE))</f>
        <v>114634.22866294798</v>
      </c>
      <c r="BH54" s="314">
        <f>IF($D54=0,IF(C54=0, MAX(BJ54 - (VLOOKUP($A54,TOCA_previous!$A$2:$AI$137,MATCH("RHWM 2020",TOCA_previous!$A$2:$AI$2,0),FALSE)*$F$2*TOCA_previous!C51),0),0), 0)</f>
        <v>0</v>
      </c>
      <c r="BI54" s="204">
        <f>MIN(VLOOKUP($A54,TOCA_previous!$A$2:$AI$137,MATCH("TRL - NLSL - Existing Resource "&amp;$F$1,TOCA_previous!$A$2:$AI$2,0),FALSE)*$F$2,(VLOOKUP($A54,TOCA_previous!$A$2:$AI$137,MATCH("RHWM 2020",TOCA_previous!$A$2:$AI$2,0),FALSE)*$F$2))</f>
        <v>3974259.3119999999</v>
      </c>
      <c r="BJ54" s="418">
        <f>SUM(L54:AI54)+(F54*RT1SC!$C$3*$F$2)</f>
        <v>1513282.0045027314</v>
      </c>
      <c r="BK54" s="417">
        <f>VLOOKUP($A54,TOCA_previous!$A$2:$AI$137,MATCH("Above RHWM Not Served with LS "&amp;$F$1,TOCA_previous!$A$2:$AI$2,0),FALSE)*$F$2</f>
        <v>0</v>
      </c>
      <c r="BL54" s="418">
        <f t="shared" si="8"/>
        <v>-2460977.3074972685</v>
      </c>
      <c r="BM54" s="417">
        <f>(VLOOKUP($A54,TOCA_previous!$A$2:$AI$137,MATCH("RHWM 2020",TOCA_previous!$A$2:$AI$2,0),FALSE)*$F$2) - $BI54</f>
        <v>824369.61600000039</v>
      </c>
      <c r="BN54" s="418">
        <f t="shared" si="9"/>
        <v>0</v>
      </c>
      <c r="BO54" s="417">
        <f t="shared" si="10"/>
        <v>2460977.3074972685</v>
      </c>
      <c r="BP54" s="418">
        <f t="shared" si="11"/>
        <v>0</v>
      </c>
      <c r="BQ54" s="417">
        <f t="shared" si="18"/>
        <v>0</v>
      </c>
      <c r="BR54" s="120">
        <f>VLOOKUP($A54,TOCA_current!$A$2:$AI$137,MATCH(BR$4,TOCA_current!$A$2:$AI$2,0),FALSE)</f>
        <v>6.7348199999999997E-2</v>
      </c>
      <c r="BS54" s="120">
        <f>VLOOKUP($A54,TOCA_current!$A$2:$AI$137,MATCH(BS$4,TOCA_current!$A$2:$AI$2,0),FALSE)</f>
        <v>2.7464199999999994E-2</v>
      </c>
      <c r="BT54" s="201">
        <f t="shared" si="12"/>
        <v>3.9884000000000003E-2</v>
      </c>
      <c r="BU54" s="120">
        <f>VLOOKUP($A54,TOCA_current!A50:BG185,MATCH(BU$4,TOCA_current!$A$2:$BG$2,0),FALSE)</f>
        <v>0</v>
      </c>
      <c r="BV54" s="120">
        <f t="shared" si="19"/>
        <v>0</v>
      </c>
      <c r="BW54" s="120">
        <f t="shared" si="20"/>
        <v>0</v>
      </c>
      <c r="BX54" s="191">
        <f>VLOOKUP($A54,IRD!$A$4:$G$139, 7, FALSE)</f>
        <v>0</v>
      </c>
      <c r="BY54" s="192">
        <f t="array" ref="BY54">IF($BT54=0, INDEX(LS_current!$D$4:$AY$138, MATCH('Staging Table'!$A54, LS_current!$B$4:$B$138, 0), MATCH(BY$4&amp;BY$5, LS_current!$D$2:$AY$2&amp;LS_current!$D$3:$AY$3, 0)),SUM(VLOOKUP($A54, LS_current!$B$4:$AY$138, LS_current!D$148, FALSE), VLOOKUP($A54, LS_current!$B$4:$AY$138,LS_current!AB$148, FALSE))/2)</f>
        <v>-5318.5352582600462</v>
      </c>
      <c r="BZ54" s="192">
        <f t="array" ref="BZ54">IF($BT54=0, INDEX(LS_current!$D$4:$AY$138, MATCH('Staging Table'!$A54, LS_current!$B$4:$B$138, 0), MATCH(BZ$4&amp;BZ$5, LS_current!$D$2:$AY$2&amp;LS_current!$D$3:$AY$3, 0)),SUM(VLOOKUP($A54, LS_current!$B$4:$AY$138, LS_current!E$148, FALSE), VLOOKUP($A54, LS_current!$B$4:$AY$138,LS_current!AC$148, FALSE))/2)</f>
        <v>15359.477138428425</v>
      </c>
      <c r="CA54" s="192">
        <f t="array" ref="CA54">IF($BT54=0, INDEX(LS_current!$D$4:$AY$138, MATCH('Staging Table'!$A54, LS_current!$B$4:$B$138, 0), MATCH(CA$4&amp;CA$5, LS_current!$D$2:$AY$2&amp;LS_current!$D$3:$AY$3, 0)),SUM(VLOOKUP($A54, LS_current!$B$4:$AY$138, LS_current!F$148, FALSE), VLOOKUP($A54, LS_current!$B$4:$AY$138,LS_current!AD$148, FALSE))/2)</f>
        <v>-21090.268256836454</v>
      </c>
      <c r="CB54" s="192">
        <f t="array" ref="CB54">IF($BT54=0, INDEX(LS_current!$D$4:$AY$138, MATCH('Staging Table'!$A54, LS_current!$B$4:$B$138, 0), MATCH(CB$4&amp;CB$5, LS_current!$D$2:$AY$2&amp;LS_current!$D$3:$AY$3, 0)),SUM(VLOOKUP($A54, LS_current!$B$4:$AY$138, LS_current!G$148, FALSE), VLOOKUP($A54, LS_current!$B$4:$AY$138,LS_current!AE$148, FALSE))/2)</f>
        <v>932.3874571859742</v>
      </c>
      <c r="CC54" s="192">
        <f t="array" ref="CC54">IF($BT54=0, INDEX(LS_current!$D$4:$AY$138, MATCH('Staging Table'!$A54, LS_current!$B$4:$B$138, 0), MATCH(CC$4&amp;CC$5, LS_current!$D$2:$AY$2&amp;LS_current!$D$3:$AY$3, 0)),SUM(VLOOKUP($A54, LS_current!$B$4:$AY$138, LS_current!H$148, FALSE), VLOOKUP($A54, LS_current!$B$4:$AY$138,LS_current!AF$148, FALSE))/2)</f>
        <v>-5497.3601626126474</v>
      </c>
      <c r="CD54" s="192">
        <f t="array" ref="CD54">IF($BT54=0, INDEX(LS_current!$D$4:$AY$138, MATCH('Staging Table'!$A54, LS_current!$B$4:$B$138, 0), MATCH(CD$4&amp;CD$5, LS_current!$D$2:$AY$2&amp;LS_current!$D$3:$AY$3, 0)),SUM(VLOOKUP($A54, LS_current!$B$4:$AY$138, LS_current!I$148, FALSE), VLOOKUP($A54, LS_current!$B$4:$AY$138,LS_current!AG$148, FALSE))/2)</f>
        <v>-756.50411958152836</v>
      </c>
      <c r="CE54" s="192">
        <f t="array" ref="CE54">IF($BT54=0, INDEX(LS_current!$D$4:$AY$138, MATCH('Staging Table'!$A54, LS_current!$B$4:$B$138, 0), MATCH(CE$4&amp;CE$5, LS_current!$D$2:$AY$2&amp;LS_current!$D$3:$AY$3, 0)),SUM(VLOOKUP($A54, LS_current!$B$4:$AY$138, LS_current!J$148, FALSE), VLOOKUP($A54, LS_current!$B$4:$AY$138,LS_current!AH$148, FALSE))/2)</f>
        <v>6874.7853656972002</v>
      </c>
      <c r="CF54" s="192">
        <f t="array" ref="CF54">IF($BT54=0, INDEX(LS_current!$D$4:$AY$138, MATCH('Staging Table'!$A54, LS_current!$B$4:$B$138, 0), MATCH(CF$4&amp;CF$5, LS_current!$D$2:$AY$2&amp;LS_current!$D$3:$AY$3, 0)),SUM(VLOOKUP($A54, LS_current!$B$4:$AY$138, LS_current!K$148, FALSE), VLOOKUP($A54, LS_current!$B$4:$AY$138,LS_current!AI$148, FALSE))/2)</f>
        <v>13820.194567968345</v>
      </c>
      <c r="CG54" s="192">
        <f t="array" ref="CG54">IF($BT54=0, INDEX(LS_current!$D$4:$AY$138, MATCH('Staging Table'!$A54, LS_current!$B$4:$B$138, 0), MATCH(CG$4&amp;CG$5, LS_current!$D$2:$AY$2&amp;LS_current!$D$3:$AY$3, 0)),SUM(VLOOKUP($A54, LS_current!$B$4:$AY$138, LS_current!L$148, FALSE), VLOOKUP($A54, LS_current!$B$4:$AY$138,LS_current!AJ$148, FALSE))/2)</f>
        <v>9260.350011557668</v>
      </c>
      <c r="CH54" s="192">
        <f t="array" ref="CH54">IF($BT54=0, INDEX(LS_current!$D$4:$AY$138, MATCH('Staging Table'!$A54, LS_current!$B$4:$B$138, 0), MATCH(CH$4&amp;CH$5, LS_current!$D$2:$AY$2&amp;LS_current!$D$3:$AY$3, 0)),SUM(VLOOKUP($A54, LS_current!$B$4:$AY$138, LS_current!M$148, FALSE), VLOOKUP($A54, LS_current!$B$4:$AY$138,LS_current!AK$148, FALSE))/2)</f>
        <v>8897.4693731314255</v>
      </c>
      <c r="CI54" s="192">
        <f t="array" ref="CI54">IF($BT54=0, INDEX(LS_current!$D$4:$AY$138, MATCH('Staging Table'!$A54, LS_current!$B$4:$B$138, 0), MATCH(CI$4&amp;CI$5, LS_current!$D$2:$AY$2&amp;LS_current!$D$3:$AY$3, 0)),SUM(VLOOKUP($A54, LS_current!$B$4:$AY$138, LS_current!N$148, FALSE), VLOOKUP($A54, LS_current!$B$4:$AY$138,LS_current!AL$148, FALSE))/2)</f>
        <v>-2328.6604685696657</v>
      </c>
      <c r="CJ54" s="192">
        <f t="array" ref="CJ54">IF($BT54=0, INDEX(LS_current!$D$4:$AY$138, MATCH('Staging Table'!$A54, LS_current!$B$4:$B$138, 0), MATCH(CJ$4&amp;CJ$5, LS_current!$D$2:$AY$2&amp;LS_current!$D$3:$AY$3, 0)),SUM(VLOOKUP($A54, LS_current!$B$4:$AY$138, LS_current!O$148, FALSE), VLOOKUP($A54, LS_current!$B$4:$AY$138,LS_current!AM$148, FALSE))/2)</f>
        <v>6244.7350727178418</v>
      </c>
      <c r="CK54" s="192">
        <f t="array" ref="CK54">IF($BT54=0, INDEX(LS_current!$D$4:$AY$138, MATCH('Staging Table'!$A54, LS_current!$B$4:$B$138, 0), MATCH(CK$4&amp;CK$5, LS_current!$D$2:$AY$2&amp;LS_current!$D$3:$AY$3, 0)),SUM(VLOOKUP($A54, LS_current!$B$4:$AY$138, LS_current!P$148, FALSE), VLOOKUP($A54, LS_current!$B$4:$AY$138,LS_current!AN$148, FALSE))/2)</f>
        <v>12576.4062117223</v>
      </c>
      <c r="CL54" s="192">
        <f t="array" ref="CL54">IF($BT54=0, INDEX(LS_current!$D$4:$AY$138, MATCH('Staging Table'!$A54, LS_current!$B$4:$B$138, 0), MATCH(CL$4&amp;CL$5, LS_current!$D$2:$AY$2&amp;LS_current!$D$3:$AY$3, 0)),SUM(VLOOKUP($A54, LS_current!$B$4:$AY$138, LS_current!Q$148, FALSE), VLOOKUP($A54, LS_current!$B$4:$AY$138,LS_current!AO$148, FALSE))/2)</f>
        <v>19379.05073013642</v>
      </c>
      <c r="CM54" s="192">
        <f t="array" ref="CM54">IF($BT54=0, INDEX(LS_current!$D$4:$AY$138, MATCH('Staging Table'!$A54, LS_current!$B$4:$B$138, 0), MATCH(CM$4&amp;CM$5, LS_current!$D$2:$AY$2&amp;LS_current!$D$3:$AY$3, 0)),SUM(VLOOKUP($A54, LS_current!$B$4:$AY$138, LS_current!R$148, FALSE), VLOOKUP($A54, LS_current!$B$4:$AY$138,LS_current!AP$148, FALSE))/2)</f>
        <v>-25419.689013065799</v>
      </c>
      <c r="CN54" s="192">
        <f t="array" ref="CN54">IF($BT54=0, INDEX(LS_current!$D$4:$AY$138, MATCH('Staging Table'!$A54, LS_current!$B$4:$B$138, 0), MATCH(CN$4&amp;CN$5, LS_current!$D$2:$AY$2&amp;LS_current!$D$3:$AY$3, 0)),SUM(VLOOKUP($A54, LS_current!$B$4:$AY$138, LS_current!S$148, FALSE), VLOOKUP($A54, LS_current!$B$4:$AY$138,LS_current!AQ$148, FALSE))/2)</f>
        <v>13515.537426352552</v>
      </c>
      <c r="CO54" s="192">
        <f t="array" ref="CO54">IF($BT54=0, INDEX(LS_current!$D$4:$AY$138, MATCH('Staging Table'!$A54, LS_current!$B$4:$B$138, 0), MATCH(CO$4&amp;CO$5, LS_current!$D$2:$AY$2&amp;LS_current!$D$3:$AY$3, 0)),SUM(VLOOKUP($A54, LS_current!$B$4:$AY$138, LS_current!T$148, FALSE), VLOOKUP($A54, LS_current!$B$4:$AY$138,LS_current!AR$148, FALSE))/2)</f>
        <v>-37760.901945755075</v>
      </c>
      <c r="CP54" s="192">
        <f t="array" ref="CP54">IF($BT54=0, INDEX(LS_current!$D$4:$AY$138, MATCH('Staging Table'!$A54, LS_current!$B$4:$B$138, 0), MATCH(CP$4&amp;CP$5, LS_current!$D$2:$AY$2&amp;LS_current!$D$3:$AY$3, 0)),SUM(VLOOKUP($A54, LS_current!$B$4:$AY$138, LS_current!U$148, FALSE), VLOOKUP($A54, LS_current!$B$4:$AY$138,LS_current!AS$148, FALSE))/2)</f>
        <v>10311.994452807478</v>
      </c>
      <c r="CQ54" s="192">
        <f t="array" ref="CQ54">IF($BT54=0, INDEX(LS_current!$D$4:$AY$138, MATCH('Staging Table'!$A54, LS_current!$B$4:$B$138, 0), MATCH(CQ$4&amp;CQ$5, LS_current!$D$2:$AY$2&amp;LS_current!$D$3:$AY$3, 0)),SUM(VLOOKUP($A54, LS_current!$B$4:$AY$138, LS_current!V$148, FALSE), VLOOKUP($A54, LS_current!$B$4:$AY$138,LS_current!AT$148, FALSE))/2)</f>
        <v>-26383.91005208905</v>
      </c>
      <c r="CR54" s="192">
        <f t="array" ref="CR54">IF($BT54=0, INDEX(LS_current!$D$4:$AY$138, MATCH('Staging Table'!$A54, LS_current!$B$4:$B$138, 0), MATCH(CR$4&amp;CR$5, LS_current!$D$2:$AY$2&amp;LS_current!$D$3:$AY$3, 0)),SUM(VLOOKUP($A54, LS_current!$B$4:$AY$138, LS_current!W$148, FALSE), VLOOKUP($A54, LS_current!$B$4:$AY$138,LS_current!AU$148, FALSE))/2)</f>
        <v>14004.689532277906</v>
      </c>
      <c r="CS54" s="192">
        <f t="array" ref="CS54">IF($BT54=0, INDEX(LS_current!$D$4:$AY$138, MATCH('Staging Table'!$A54, LS_current!$B$4:$B$138, 0), MATCH(CS$4&amp;CS$5, LS_current!$D$2:$AY$2&amp;LS_current!$D$3:$AY$3, 0)),SUM(VLOOKUP($A54, LS_current!$B$4:$AY$138, LS_current!X$148, FALSE), VLOOKUP($A54, LS_current!$B$4:$AY$138,LS_current!AV$148, FALSE))/2)</f>
        <v>-17970.567542227996</v>
      </c>
      <c r="CT54" s="192">
        <f t="array" ref="CT54">IF($BT54=0, INDEX(LS_current!$D$4:$AY$138, MATCH('Staging Table'!$A54, LS_current!$B$4:$B$138, 0), MATCH(CT$4&amp;CT$5, LS_current!$D$2:$AY$2&amp;LS_current!$D$3:$AY$3, 0)),SUM(VLOOKUP($A54, LS_current!$B$4:$AY$138, LS_current!Y$148, FALSE), VLOOKUP($A54, LS_current!$B$4:$AY$138,LS_current!AW$148, FALSE))/2)</f>
        <v>10750.047695390454</v>
      </c>
      <c r="CU54" s="192">
        <f t="array" ref="CU54">IF($BT54=0, INDEX(LS_current!$D$4:$AY$138, MATCH('Staging Table'!$A54, LS_current!$B$4:$B$138, 0), MATCH(CU$4&amp;CU$5, LS_current!$D$2:$AY$2&amp;LS_current!$D$3:$AY$3, 0)),SUM(VLOOKUP($A54, LS_current!$B$4:$AY$138, LS_current!Z$148, FALSE), VLOOKUP($A54, LS_current!$B$4:$AY$138,LS_current!AX$148, FALSE))/2)</f>
        <v>-11005.231767877987</v>
      </c>
      <c r="CV54" s="192">
        <f t="array" ref="CV54">IF($BT54=0, INDEX(LS_current!$D$4:$AY$138, MATCH('Staging Table'!$A54, LS_current!$B$4:$B$138, 0), MATCH(CV$4&amp;CV$5, LS_current!$D$2:$AY$2&amp;LS_current!$D$3:$AY$3, 0)),SUM(VLOOKUP($A54, LS_current!$B$4:$AY$138, LS_current!AA$148, FALSE), VLOOKUP($A54, LS_current!$B$4:$AY$138,LS_current!AY$148, FALSE))/2)</f>
        <v>11608.28606377402</v>
      </c>
      <c r="CW54" s="194">
        <f t="array" ref="CW54">INDEX(Demand_current!$D$4:$AY$138, MATCH($A54, Demand_current!$B$4:$B$138, 0), MATCH(CW$4&amp;CW$5,Demand_current!$D$2:$AY$2&amp;Demand_current!$D$3:$AY$3, 0))/1000</f>
        <v>0</v>
      </c>
      <c r="CX54" s="194">
        <f t="array" ref="CX54">INDEX(Demand_current!$D$4:$AY$138, MATCH($A54, Demand_current!$B$4:$B$138, 0), MATCH(CX$4&amp;CX$5,Demand_current!$D$2:$AY$2&amp;Demand_current!$D$3:$AY$3, 0))/1000</f>
        <v>0</v>
      </c>
      <c r="CY54" s="194">
        <f t="array" ref="CY54">INDEX(Demand_current!$D$4:$AY$138, MATCH($A54, Demand_current!$B$4:$B$138, 0), MATCH(CY$4&amp;CY$5,Demand_current!$D$2:$AY$2&amp;Demand_current!$D$3:$AY$3, 0))/1000</f>
        <v>0</v>
      </c>
      <c r="CZ54" s="194">
        <f t="array" ref="CZ54">INDEX(Demand_current!$D$4:$AY$138, MATCH($A54, Demand_current!$B$4:$B$138, 0), MATCH(CZ$4&amp;CZ$5,Demand_current!$D$2:$AY$2&amp;Demand_current!$D$3:$AY$3, 0))/1000</f>
        <v>0</v>
      </c>
      <c r="DA54" s="194">
        <f t="array" ref="DA54">INDEX(Demand_current!$D$4:$AY$138, MATCH($A54, Demand_current!$B$4:$B$138, 0), MATCH(DA$4&amp;DA$5,Demand_current!$D$2:$AY$2&amp;Demand_current!$D$3:$AY$3, 0))/1000</f>
        <v>0</v>
      </c>
      <c r="DB54" s="194">
        <f t="array" ref="DB54">INDEX(Demand_current!$D$4:$AY$138, MATCH($A54, Demand_current!$B$4:$B$138, 0), MATCH(DB$4&amp;DB$5,Demand_current!$D$2:$AY$2&amp;Demand_current!$D$3:$AY$3, 0))/1000</f>
        <v>0</v>
      </c>
      <c r="DC54" s="194">
        <f t="array" ref="DC54">INDEX(Demand_current!$D$4:$AY$138, MATCH($A54, Demand_current!$B$4:$B$138, 0), MATCH(DC$4&amp;DC$5,Demand_current!$D$2:$AY$2&amp;Demand_current!$D$3:$AY$3, 0))/1000</f>
        <v>0</v>
      </c>
      <c r="DD54" s="194">
        <f t="array" ref="DD54">INDEX(Demand_current!$D$4:$AY$138, MATCH($A54, Demand_current!$B$4:$B$138, 0), MATCH(DD$4&amp;DD$5,Demand_current!$D$2:$AY$2&amp;Demand_current!$D$3:$AY$3, 0))/1000</f>
        <v>0</v>
      </c>
      <c r="DE54" s="194">
        <f t="array" ref="DE54">INDEX(Demand_current!$D$4:$AY$138, MATCH($A54, Demand_current!$B$4:$B$138, 0), MATCH(DE$4&amp;DE$5,Demand_current!$D$2:$AY$2&amp;Demand_current!$D$3:$AY$3, 0))/1000</f>
        <v>0</v>
      </c>
      <c r="DF54" s="194">
        <f t="array" ref="DF54">INDEX(Demand_current!$D$4:$AY$138, MATCH($A54, Demand_current!$B$4:$B$138, 0), MATCH(DF$4&amp;DF$5,Demand_current!$D$2:$AY$2&amp;Demand_current!$D$3:$AY$3, 0))/1000</f>
        <v>0</v>
      </c>
      <c r="DG54" s="194">
        <f t="array" ref="DG54">INDEX(Demand_current!$D$4:$AY$138, MATCH($A54, Demand_current!$B$4:$B$138, 0), MATCH(DG$4&amp;DG$5,Demand_current!$D$2:$AY$2&amp;Demand_current!$D$3:$AY$3, 0))/1000</f>
        <v>0</v>
      </c>
      <c r="DH54" s="194">
        <f t="array" ref="DH54">INDEX(Demand_current!$D$4:$AY$138, MATCH($A54, Demand_current!$B$4:$B$138, 0), MATCH(DH$4&amp;DH$5,Demand_current!$D$2:$AY$2&amp;Demand_current!$D$3:$AY$3, 0))/1000</f>
        <v>0</v>
      </c>
      <c r="DI54" s="192">
        <f>$BS54*(VLOOKUP(DI$4, Rates_current!$G$6:$Q$29, 10, FALSE)+VLOOKUP(DI$4, Rates_current!$G$6:$Q$29, 11, FALSE))</f>
        <v>125069.89107671916</v>
      </c>
      <c r="DJ54" s="192">
        <f>$BS54*(VLOOKUP(DJ$4, Rates_current!$G$6:$Q$29, 10, FALSE)+VLOOKUP(DJ$4, Rates_current!$G$6:$Q$29, 11, FALSE))</f>
        <v>158343.02120183257</v>
      </c>
      <c r="DK54" s="192">
        <f>$BS54*(VLOOKUP(DK$4, Rates_current!$G$6:$Q$29, 10, FALSE)+VLOOKUP(DK$4, Rates_current!$G$6:$Q$29, 11, FALSE))</f>
        <v>154986.18347862147</v>
      </c>
      <c r="DL54" s="192">
        <f>$BS54*(VLOOKUP(DL$4, Rates_current!$G$6:$Q$29, 10, FALSE)+VLOOKUP(DL$4, Rates_current!$G$6:$Q$29, 11, FALSE))</f>
        <v>128011.99679039232</v>
      </c>
      <c r="DM54" s="192">
        <f>$BS54*(VLOOKUP(DM$4, Rates_current!$G$6:$Q$29, 10, FALSE)+VLOOKUP(DM$4, Rates_current!$G$6:$Q$29, 11, FALSE))</f>
        <v>110950.8032684628</v>
      </c>
      <c r="DN54" s="192">
        <f>$BS54*(VLOOKUP(DN$4, Rates_current!$G$6:$Q$29, 10, FALSE)+VLOOKUP(DN$4, Rates_current!$G$6:$Q$29, 11, FALSE))</f>
        <v>132452.85378088654</v>
      </c>
      <c r="DO54" s="192">
        <f>$BS54*(VLOOKUP(DO$4, Rates_current!$G$6:$Q$29, 10, FALSE)+VLOOKUP(DO$4, Rates_current!$G$6:$Q$29, 11, FALSE))</f>
        <v>102832.00765821416</v>
      </c>
      <c r="DP54" s="192">
        <f>$BS54*(VLOOKUP(DP$4, Rates_current!$G$6:$Q$29, 10, FALSE)+VLOOKUP(DP$4, Rates_current!$G$6:$Q$29, 11, FALSE))</f>
        <v>142474.50334956759</v>
      </c>
      <c r="DQ54" s="192">
        <f>$BS54*(VLOOKUP(DQ$4, Rates_current!$G$6:$Q$29, 10, FALSE)+VLOOKUP(DQ$4, Rates_current!$G$6:$Q$29, 11, FALSE))</f>
        <v>152236.99012419212</v>
      </c>
      <c r="DR54" s="192">
        <f>$BS54*(VLOOKUP(DR$4, Rates_current!$G$6:$Q$29, 10, FALSE)+VLOOKUP(DR$4, Rates_current!$G$6:$Q$29, 11, FALSE))</f>
        <v>144542.12858862165</v>
      </c>
      <c r="DS54" s="192">
        <f>$BS54*(VLOOKUP(DS$4, Rates_current!$G$6:$Q$29, 10, FALSE)+VLOOKUP(DS$4, Rates_current!$G$6:$Q$29, 11, FALSE))</f>
        <v>139688.81643585963</v>
      </c>
      <c r="DT54" s="192">
        <f>$BS54*(VLOOKUP(DT$4, Rates_current!$G$6:$Q$29, 10, FALSE)+VLOOKUP(DT$4, Rates_current!$G$6:$Q$29, 11, FALSE))</f>
        <v>129087.02836875634</v>
      </c>
      <c r="DU54" s="418">
        <f>IF(D54=0,IF(C54=0,MAX(0,DW54 - (VLOOKUP($A54,TOCA_current!$A$2:$AI$137,MATCH("RHWM 2022",TOCA_current!$A$2:$AI$2,0),FALSE)*$BS$2)), 0),0)</f>
        <v>0</v>
      </c>
      <c r="DV54" s="419">
        <f>MIN(VLOOKUP($A54,TOCA_current!$A$2:$AI$137,MATCH("TRL - NLSL - Existing Resource "&amp;$BS$1,TOCA_current!$A$2:$AI$2,0),FALSE)*$BS$2, VLOOKUP($A54,TOCA_current!$A$2:$AI$137,MATCH("RHWM 2022",TOCA_current!$A$2:$AI$2,0),FALSE)*$BS$2)</f>
        <v>3974254.3200000003</v>
      </c>
      <c r="DW54" s="419">
        <f>SUM(BY54:CV54)+(BS54*RT1SC!$C$4*$BS$2)</f>
        <v>1620680.0895389994</v>
      </c>
      <c r="DX54" s="419">
        <f>VLOOKUP($A54,TOCA_current!$A$2:$AI$137,MATCH("Above RHWM Not Served with LS "&amp;$BS$1,TOCA_current!$A$2:$AI$2,0),FALSE)*$BS$2</f>
        <v>0</v>
      </c>
      <c r="DY54" s="419">
        <f t="shared" si="13"/>
        <v>-2353574.2304610009</v>
      </c>
      <c r="DZ54" s="419">
        <f>(VLOOKUP($A54,TOCA_current!$A$2:$AI$137,MATCH("RHWM 2022",TOCA_current!$A$2:$AI$2,0),FALSE)*$BS$2) - $DV54</f>
        <v>614951.99999999907</v>
      </c>
      <c r="EA54" s="419">
        <f t="shared" si="14"/>
        <v>0</v>
      </c>
      <c r="EB54" s="419">
        <f t="shared" si="15"/>
        <v>2353574.2304610009</v>
      </c>
      <c r="EC54" s="419">
        <f t="shared" si="16"/>
        <v>0</v>
      </c>
      <c r="ED54" s="419">
        <f t="shared" si="17"/>
        <v>0</v>
      </c>
    </row>
    <row r="55" spans="1:134">
      <c r="A55" s="135">
        <v>10136</v>
      </c>
      <c r="B55" s="136" t="s">
        <v>56</v>
      </c>
      <c r="C55" s="244">
        <f>VLOOKUP(A55, TOCA_current!$A$3:$D$137, 4, FALSE)</f>
        <v>1</v>
      </c>
      <c r="D55" s="203">
        <v>0</v>
      </c>
      <c r="E55" s="119">
        <f>VLOOKUP($A55,TOCA_previous!$A$2:$AI$137,MATCH(E$4,TOCA_previous!$A$2:$AI$2,0),FALSE)</f>
        <v>2.5791E-3</v>
      </c>
      <c r="F55" s="120">
        <f>VLOOKUP($A55,TOCA_previous!$A$2:$AI$137,MATCH(F$4,TOCA_previous!$A$2:$AI$2,0),FALSE)</f>
        <v>2.5791E-3</v>
      </c>
      <c r="G55" s="120">
        <f t="shared" si="5"/>
        <v>0</v>
      </c>
      <c r="H55" s="120">
        <f>VLOOKUP($A55,TOCA_previous!$A$2:$AI$137,MATCH(H$4,TOCA_previous!$A$2:$AI$2,0),FALSE)</f>
        <v>7.0000000000000007E-2</v>
      </c>
      <c r="I55" s="120">
        <f t="shared" si="6"/>
        <v>7.0000000000000007E-2</v>
      </c>
      <c r="J55" s="120">
        <f t="shared" si="7"/>
        <v>2.5791E-3</v>
      </c>
      <c r="K55" s="191">
        <f>VLOOKUP(A55, IRD!$A$5:$C$139, 3, FALSE)</f>
        <v>0</v>
      </c>
      <c r="L55" s="192">
        <f t="array" ref="L55">IF($G55=0, INDEX(LS_previous!$D$4:$AY$138, MATCH('Staging Table'!$A55, LS_previous!$B$4:$B$138, 0), MATCH(L$4&amp;L$5, LS_previous!$D$2:$AY$2&amp;LS_previous!$D$3:$AY$3, 0)),SUM(VLOOKUP($A55, LS_previous!$B$4:$AY$138, LS_previous!D$149, FALSE), VLOOKUP('Staging Table'!$A55, LS_previous!$B$4:$AY$138,LS_previous!AB$149, FALSE))/2)</f>
        <v>0</v>
      </c>
      <c r="M55" s="192">
        <f t="array" ref="M55">IF($G55=0, INDEX(LS_previous!$D$4:$AY$138, MATCH('Staging Table'!$A55, LS_previous!$B$4:$B$138, 0), MATCH(M$4&amp;M$5, LS_previous!$D$2:$AY$2&amp;LS_previous!$D$3:$AY$3, 0)),SUM(VLOOKUP($A55, LS_previous!$B$4:$AY$138, LS_previous!E$149, FALSE), VLOOKUP('Staging Table'!$A55, LS_previous!$B$4:$AY$138,LS_previous!AC$149, FALSE))/2)</f>
        <v>0</v>
      </c>
      <c r="N55" s="192">
        <f t="array" ref="N55">IF($G55=0, INDEX(LS_previous!$D$4:$AY$138, MATCH('Staging Table'!$A55, LS_previous!$B$4:$B$138, 0), MATCH(N$4&amp;N$5, LS_previous!$D$2:$AY$2&amp;LS_previous!$D$3:$AY$3, 0)),SUM(VLOOKUP($A55, LS_previous!$B$4:$AY$138, LS_previous!F$149, FALSE), VLOOKUP('Staging Table'!$A55, LS_previous!$B$4:$AY$138,LS_previous!AD$149, FALSE))/2)</f>
        <v>0</v>
      </c>
      <c r="O55" s="192">
        <f t="array" ref="O55">IF($G55=0, INDEX(LS_previous!$D$4:$AY$138, MATCH('Staging Table'!$A55, LS_previous!$B$4:$B$138, 0), MATCH(O$4&amp;O$5, LS_previous!$D$2:$AY$2&amp;LS_previous!$D$3:$AY$3, 0)),SUM(VLOOKUP($A55, LS_previous!$B$4:$AY$138, LS_previous!G$149, FALSE), VLOOKUP('Staging Table'!$A55, LS_previous!$B$4:$AY$138,LS_previous!AE$149, FALSE))/2)</f>
        <v>0</v>
      </c>
      <c r="P55" s="192">
        <f t="array" ref="P55">IF($G55=0, INDEX(LS_previous!$D$4:$AY$138, MATCH('Staging Table'!$A55, LS_previous!$B$4:$B$138, 0), MATCH(P$4&amp;P$5, LS_previous!$D$2:$AY$2&amp;LS_previous!$D$3:$AY$3, 0)),SUM(VLOOKUP($A55, LS_previous!$B$4:$AY$138, LS_previous!H$149, FALSE), VLOOKUP('Staging Table'!$A55, LS_previous!$B$4:$AY$138,LS_previous!AF$149, FALSE))/2)</f>
        <v>0</v>
      </c>
      <c r="Q55" s="192">
        <f t="array" ref="Q55">IF($G55=0, INDEX(LS_previous!$D$4:$AY$138, MATCH('Staging Table'!$A55, LS_previous!$B$4:$B$138, 0), MATCH(Q$4&amp;Q$5, LS_previous!$D$2:$AY$2&amp;LS_previous!$D$3:$AY$3, 0)),SUM(VLOOKUP($A55, LS_previous!$B$4:$AY$138, LS_previous!I$149, FALSE), VLOOKUP('Staging Table'!$A55, LS_previous!$B$4:$AY$138,LS_previous!AG$149, FALSE))/2)</f>
        <v>0</v>
      </c>
      <c r="R55" s="192">
        <f t="array" ref="R55">IF($G55=0, INDEX(LS_previous!$D$4:$AY$138, MATCH('Staging Table'!$A55, LS_previous!$B$4:$B$138, 0), MATCH(R$4&amp;R$5, LS_previous!$D$2:$AY$2&amp;LS_previous!$D$3:$AY$3, 0)),SUM(VLOOKUP($A55, LS_previous!$B$4:$AY$138, LS_previous!J$149, FALSE), VLOOKUP('Staging Table'!$A55, LS_previous!$B$4:$AY$138,LS_previous!AH$149, FALSE))/2)</f>
        <v>0</v>
      </c>
      <c r="S55" s="192">
        <f t="array" ref="S55">IF($G55=0, INDEX(LS_previous!$D$4:$AY$138, MATCH('Staging Table'!$A55, LS_previous!$B$4:$B$138, 0), MATCH(S$4&amp;S$5, LS_previous!$D$2:$AY$2&amp;LS_previous!$D$3:$AY$3, 0)),SUM(VLOOKUP($A55, LS_previous!$B$4:$AY$138, LS_previous!K$149, FALSE), VLOOKUP('Staging Table'!$A55, LS_previous!$B$4:$AY$138,LS_previous!AI$149, FALSE))/2)</f>
        <v>0</v>
      </c>
      <c r="T55" s="192">
        <f t="array" ref="T55">IF($G55=0, INDEX(LS_previous!$D$4:$AY$138, MATCH('Staging Table'!$A55, LS_previous!$B$4:$B$138, 0), MATCH(T$4&amp;T$5, LS_previous!$D$2:$AY$2&amp;LS_previous!$D$3:$AY$3, 0)),SUM(VLOOKUP($A55, LS_previous!$B$4:$AY$138, LS_previous!L$149, FALSE), VLOOKUP('Staging Table'!$A55, LS_previous!$B$4:$AY$138,LS_previous!AJ$149, FALSE))/2)</f>
        <v>0</v>
      </c>
      <c r="U55" s="192">
        <f t="array" ref="U55">IF($G55=0, INDEX(LS_previous!$D$4:$AY$138, MATCH('Staging Table'!$A55, LS_previous!$B$4:$B$138, 0), MATCH(U$4&amp;U$5, LS_previous!$D$2:$AY$2&amp;LS_previous!$D$3:$AY$3, 0)),SUM(VLOOKUP($A55, LS_previous!$B$4:$AY$138, LS_previous!M$149, FALSE), VLOOKUP('Staging Table'!$A55, LS_previous!$B$4:$AY$138,LS_previous!AK$149, FALSE))/2)</f>
        <v>0</v>
      </c>
      <c r="V55" s="192">
        <f t="array" ref="V55">IF($G55=0, INDEX(LS_previous!$D$4:$AY$138, MATCH('Staging Table'!$A55, LS_previous!$B$4:$B$138, 0), MATCH(V$4&amp;V$5, LS_previous!$D$2:$AY$2&amp;LS_previous!$D$3:$AY$3, 0)),SUM(VLOOKUP($A55, LS_previous!$B$4:$AY$138, LS_previous!N$149, FALSE), VLOOKUP('Staging Table'!$A55, LS_previous!$B$4:$AY$138,LS_previous!AL$149, FALSE))/2)</f>
        <v>0</v>
      </c>
      <c r="W55" s="192">
        <f t="array" ref="W55">IF($G55=0, INDEX(LS_previous!$D$4:$AY$138, MATCH('Staging Table'!$A55, LS_previous!$B$4:$B$138, 0), MATCH(W$4&amp;W$5, LS_previous!$D$2:$AY$2&amp;LS_previous!$D$3:$AY$3, 0)),SUM(VLOOKUP($A55, LS_previous!$B$4:$AY$138, LS_previous!O$149, FALSE), VLOOKUP('Staging Table'!$A55, LS_previous!$B$4:$AY$138,LS_previous!AM$149, FALSE))/2)</f>
        <v>0</v>
      </c>
      <c r="X55" s="192">
        <f t="array" ref="X55">IF($G55=0, INDEX(LS_previous!$D$4:$AY$138, MATCH('Staging Table'!$A55, LS_previous!$B$4:$B$138, 0), MATCH(X$4&amp;X$5, LS_previous!$D$2:$AY$2&amp;LS_previous!$D$3:$AY$3, 0)),SUM(VLOOKUP($A55, LS_previous!$B$4:$AY$138, LS_previous!P$149, FALSE), VLOOKUP('Staging Table'!$A55, LS_previous!$B$4:$AY$138,LS_previous!AN$149, FALSE))/2)</f>
        <v>0</v>
      </c>
      <c r="Y55" s="192">
        <f t="array" ref="Y55">IF($G55=0, INDEX(LS_previous!$D$4:$AY$138, MATCH('Staging Table'!$A55, LS_previous!$B$4:$B$138, 0), MATCH(Y$4&amp;Y$5, LS_previous!$D$2:$AY$2&amp;LS_previous!$D$3:$AY$3, 0)),SUM(VLOOKUP($A55, LS_previous!$B$4:$AY$138, LS_previous!Q$149, FALSE), VLOOKUP('Staging Table'!$A55, LS_previous!$B$4:$AY$138,LS_previous!AO$149, FALSE))/2)</f>
        <v>0</v>
      </c>
      <c r="Z55" s="192">
        <f t="array" ref="Z55">IF($G55=0, INDEX(LS_previous!$D$4:$AY$138, MATCH('Staging Table'!$A55, LS_previous!$B$4:$B$138, 0), MATCH(Z$4&amp;Z$5, LS_previous!$D$2:$AY$2&amp;LS_previous!$D$3:$AY$3, 0)),SUM(VLOOKUP($A55, LS_previous!$B$4:$AY$138, LS_previous!R$149, FALSE), VLOOKUP('Staging Table'!$A55, LS_previous!$B$4:$AY$138,LS_previous!AP$149, FALSE))/2)</f>
        <v>0</v>
      </c>
      <c r="AA55" s="192">
        <f t="array" ref="AA55">IF($G55=0, INDEX(LS_previous!$D$4:$AY$138, MATCH('Staging Table'!$A55, LS_previous!$B$4:$B$138, 0), MATCH(AA$4&amp;AA$5, LS_previous!$D$2:$AY$2&amp;LS_previous!$D$3:$AY$3, 0)),SUM(VLOOKUP($A55, LS_previous!$B$4:$AY$138, LS_previous!S$149, FALSE), VLOOKUP('Staging Table'!$A55, LS_previous!$B$4:$AY$138,LS_previous!AQ$149, FALSE))/2)</f>
        <v>0</v>
      </c>
      <c r="AB55" s="192">
        <f t="array" ref="AB55">IF($G55=0, INDEX(LS_previous!$D$4:$AY$138, MATCH('Staging Table'!$A55, LS_previous!$B$4:$B$138, 0), MATCH(AB$4&amp;AB$5, LS_previous!$D$2:$AY$2&amp;LS_previous!$D$3:$AY$3, 0)),SUM(VLOOKUP($A55, LS_previous!$B$4:$AY$138, LS_previous!T$149, FALSE), VLOOKUP('Staging Table'!$A55, LS_previous!$B$4:$AY$138,LS_previous!AR$149, FALSE))/2)</f>
        <v>0</v>
      </c>
      <c r="AC55" s="192">
        <f t="array" ref="AC55">IF($G55=0, INDEX(LS_previous!$D$4:$AY$138, MATCH('Staging Table'!$A55, LS_previous!$B$4:$B$138, 0), MATCH(AC$4&amp;AC$5, LS_previous!$D$2:$AY$2&amp;LS_previous!$D$3:$AY$3, 0)),SUM(VLOOKUP($A55, LS_previous!$B$4:$AY$138, LS_previous!U$149, FALSE), VLOOKUP('Staging Table'!$A55, LS_previous!$B$4:$AY$138,LS_previous!AS$149, FALSE))/2)</f>
        <v>0</v>
      </c>
      <c r="AD55" s="192">
        <f t="array" ref="AD55">IF($G55=0, INDEX(LS_previous!$D$4:$AY$138, MATCH('Staging Table'!$A55, LS_previous!$B$4:$B$138, 0), MATCH(AD$4&amp;AD$5, LS_previous!$D$2:$AY$2&amp;LS_previous!$D$3:$AY$3, 0)),SUM(VLOOKUP($A55, LS_previous!$B$4:$AY$138, LS_previous!V$149, FALSE), VLOOKUP('Staging Table'!$A55, LS_previous!$B$4:$AY$138,LS_previous!AT$149, FALSE))/2)</f>
        <v>0</v>
      </c>
      <c r="AE55" s="192">
        <f t="array" ref="AE55">IF($G55=0, INDEX(LS_previous!$D$4:$AY$138, MATCH('Staging Table'!$A55, LS_previous!$B$4:$B$138, 0), MATCH(AE$4&amp;AE$5, LS_previous!$D$2:$AY$2&amp;LS_previous!$D$3:$AY$3, 0)),SUM(VLOOKUP($A55, LS_previous!$B$4:$AY$138, LS_previous!W$149, FALSE), VLOOKUP('Staging Table'!$A55, LS_previous!$B$4:$AY$138,LS_previous!AU$149, FALSE))/2)</f>
        <v>0</v>
      </c>
      <c r="AF55" s="192">
        <f t="array" ref="AF55">IF($G55=0, INDEX(LS_previous!$D$4:$AY$138, MATCH('Staging Table'!$A55, LS_previous!$B$4:$B$138, 0), MATCH(AF$4&amp;AF$5, LS_previous!$D$2:$AY$2&amp;LS_previous!$D$3:$AY$3, 0)),SUM(VLOOKUP($A55, LS_previous!$B$4:$AY$138, LS_previous!X$149, FALSE), VLOOKUP('Staging Table'!$A55, LS_previous!$B$4:$AY$138,LS_previous!AV$149, FALSE))/2)</f>
        <v>0</v>
      </c>
      <c r="AG55" s="192">
        <f t="array" ref="AG55">IF($G55=0, INDEX(LS_previous!$D$4:$AY$138, MATCH('Staging Table'!$A55, LS_previous!$B$4:$B$138, 0), MATCH(AG$4&amp;AG$5, LS_previous!$D$2:$AY$2&amp;LS_previous!$D$3:$AY$3, 0)),SUM(VLOOKUP($A55, LS_previous!$B$4:$AY$138, LS_previous!Y$149, FALSE), VLOOKUP('Staging Table'!$A55, LS_previous!$B$4:$AY$138,LS_previous!AW$149, FALSE))/2)</f>
        <v>0</v>
      </c>
      <c r="AH55" s="192">
        <f t="array" ref="AH55">IF($G55=0, INDEX(LS_previous!$D$4:$AY$138, MATCH('Staging Table'!$A55, LS_previous!$B$4:$B$138, 0), MATCH(AH$4&amp;AH$5, LS_previous!$D$2:$AY$2&amp;LS_previous!$D$3:$AY$3, 0)),SUM(VLOOKUP($A55, LS_previous!$B$4:$AY$138, LS_previous!Z$149, FALSE), VLOOKUP('Staging Table'!$A55, LS_previous!$B$4:$AY$138,LS_previous!AX$149, FALSE))/2)</f>
        <v>0</v>
      </c>
      <c r="AI55" s="192">
        <f t="array" ref="AI55">IF($G55=0, INDEX(LS_previous!$D$4:$AY$138, MATCH('Staging Table'!$A55, LS_previous!$B$4:$B$138, 0), MATCH(AI$4&amp;AI$5, LS_previous!$D$2:$AY$2&amp;LS_previous!$D$3:$AY$3, 0)),SUM(VLOOKUP($A55, LS_previous!$B$4:$AY$138, LS_previous!AA$149, FALSE), VLOOKUP('Staging Table'!$A55, LS_previous!$B$4:$AY$138,LS_previous!AY$149, FALSE))/2)</f>
        <v>0</v>
      </c>
      <c r="AJ55" s="314">
        <f t="array" ref="AJ55">INDEX(Demand_previous!$D$4:$AY$138, MATCH('Staging Table'!$A55, Demand_previous!$B$4:$B$138, 0), MATCH(AJ$4&amp;AJ$5,Demand_previous!$D$2:$AY$2&amp;Demand_previous!$D$3:$AY$3, 0))/1000</f>
        <v>0</v>
      </c>
      <c r="AK55" s="314">
        <f t="array" ref="AK55">INDEX(Demand_previous!$D$4:$AY$138, MATCH('Staging Table'!$A55, Demand_previous!$B$4:$B$138, 0), MATCH(AK$4&amp;AK$5,Demand_previous!$D$2:$AY$2&amp;Demand_previous!$D$3:$AY$3, 0))/1000</f>
        <v>0</v>
      </c>
      <c r="AL55" s="314">
        <f t="array" ref="AL55">INDEX(Demand_previous!$D$4:$AY$138, MATCH('Staging Table'!$A55, Demand_previous!$B$4:$B$138, 0), MATCH(AL$4&amp;AL$5,Demand_previous!$D$2:$AY$2&amp;Demand_previous!$D$3:$AY$3, 0))/1000</f>
        <v>0</v>
      </c>
      <c r="AM55" s="314">
        <f t="array" ref="AM55">INDEX(Demand_previous!$D$4:$AY$138, MATCH('Staging Table'!$A55, Demand_previous!$B$4:$B$138, 0), MATCH(AM$4&amp;AM$5,Demand_previous!$D$2:$AY$2&amp;Demand_previous!$D$3:$AY$3, 0))/1000</f>
        <v>0</v>
      </c>
      <c r="AN55" s="314">
        <f t="array" ref="AN55">INDEX(Demand_previous!$D$4:$AY$138, MATCH('Staging Table'!$A55, Demand_previous!$B$4:$B$138, 0), MATCH(AN$4&amp;AN$5,Demand_previous!$D$2:$AY$2&amp;Demand_previous!$D$3:$AY$3, 0))/1000</f>
        <v>0</v>
      </c>
      <c r="AO55" s="314">
        <f t="array" ref="AO55">INDEX(Demand_previous!$D$4:$AY$138, MATCH('Staging Table'!$A55, Demand_previous!$B$4:$B$138, 0), MATCH(AO$4&amp;AO$5,Demand_previous!$D$2:$AY$2&amp;Demand_previous!$D$3:$AY$3, 0))/1000</f>
        <v>0</v>
      </c>
      <c r="AP55" s="314">
        <f t="array" ref="AP55">INDEX(Demand_previous!$D$4:$AY$138, MATCH('Staging Table'!$A55, Demand_previous!$B$4:$B$138, 0), MATCH(AP$4&amp;AP$5,Demand_previous!$D$2:$AY$2&amp;Demand_previous!$D$3:$AY$3, 0))/1000</f>
        <v>0</v>
      </c>
      <c r="AQ55" s="314">
        <f t="array" ref="AQ55">INDEX(Demand_previous!$D$4:$AY$138, MATCH('Staging Table'!$A55, Demand_previous!$B$4:$B$138, 0), MATCH(AQ$4&amp;AQ$5,Demand_previous!$D$2:$AY$2&amp;Demand_previous!$D$3:$AY$3, 0))/1000</f>
        <v>0</v>
      </c>
      <c r="AR55" s="314">
        <f t="array" ref="AR55">INDEX(Demand_previous!$D$4:$AY$138, MATCH('Staging Table'!$A55, Demand_previous!$B$4:$B$138, 0), MATCH(AR$4&amp;AR$5,Demand_previous!$D$2:$AY$2&amp;Demand_previous!$D$3:$AY$3, 0))/1000</f>
        <v>0</v>
      </c>
      <c r="AS55" s="314">
        <f t="array" ref="AS55">INDEX(Demand_previous!$D$4:$AY$138, MATCH('Staging Table'!$A55, Demand_previous!$B$4:$B$138, 0), MATCH(AS$4&amp;AS$5,Demand_previous!$D$2:$AY$2&amp;Demand_previous!$D$3:$AY$3, 0))/1000</f>
        <v>0</v>
      </c>
      <c r="AT55" s="314">
        <f t="array" ref="AT55">INDEX(Demand_previous!$D$4:$AY$138, MATCH('Staging Table'!$A55, Demand_previous!$B$4:$B$138, 0), MATCH(AT$4&amp;AT$5,Demand_previous!$D$2:$AY$2&amp;Demand_previous!$D$3:$AY$3, 0))/1000</f>
        <v>0</v>
      </c>
      <c r="AU55" s="314">
        <f t="array" ref="AU55">INDEX(Demand_previous!$D$4:$AY$138, MATCH('Staging Table'!$A55, Demand_previous!$B$4:$B$138, 0), MATCH(AU$4&amp;AU$5,Demand_previous!$D$2:$AY$2&amp;Demand_previous!$D$3:$AY$3, 0))/1000</f>
        <v>0</v>
      </c>
      <c r="AV55" s="192">
        <f>$F55*(VLOOKUP(AV$4, Rates_previous!$G$6:$Q$29, 10, FALSE)+VLOOKUP(AV$4, Rates_previous!$G$6:$Q$29, 11, FALSE))</f>
        <v>11908.522780203599</v>
      </c>
      <c r="AW55" s="192">
        <f>$F55*(VLOOKUP(AW$4, Rates_previous!$G$6:$Q$29, 10, FALSE)+VLOOKUP(AW$4, Rates_previous!$G$6:$Q$29, 11, FALSE))</f>
        <v>15127.538866704899</v>
      </c>
      <c r="AX55" s="192">
        <f>$F55*(VLOOKUP(AX$4, Rates_previous!$G$6:$Q$29, 10, FALSE)+VLOOKUP(AX$4, Rates_previous!$G$6:$Q$29, 11, FALSE))</f>
        <v>14944.853365503601</v>
      </c>
      <c r="AY55" s="192">
        <f>$F55*(VLOOKUP(AY$4, Rates_previous!$G$6:$Q$29, 10, FALSE)+VLOOKUP(AY$4, Rates_previous!$G$6:$Q$29, 11, FALSE))</f>
        <v>12457.445528703602</v>
      </c>
      <c r="AZ55" s="192">
        <f>$F55*(VLOOKUP(AZ$4, Rates_previous!$G$6:$Q$29, 10, FALSE)+VLOOKUP(AZ$4, Rates_previous!$G$6:$Q$29, 11, FALSE))</f>
        <v>11285.153288879999</v>
      </c>
      <c r="BA55" s="192">
        <f>$F55*(VLOOKUP(BA$4, Rates_previous!$G$6:$Q$29, 10, FALSE)+VLOOKUP(BA$4, Rates_previous!$G$6:$Q$29, 11, FALSE))</f>
        <v>12552.6755491167</v>
      </c>
      <c r="BB55" s="192">
        <f>$F55*(VLOOKUP(BB$4, Rates_previous!$G$6:$Q$29, 10, FALSE)+VLOOKUP(BB$4, Rates_previous!$G$6:$Q$29, 11, FALSE))</f>
        <v>10220.401977768001</v>
      </c>
      <c r="BC55" s="192">
        <f>$F55*(VLOOKUP(BC$4, Rates_previous!$G$6:$Q$29, 10, FALSE)+VLOOKUP(BC$4, Rates_previous!$G$6:$Q$29, 11, FALSE))</f>
        <v>13783.736097753601</v>
      </c>
      <c r="BD55" s="192">
        <f>$F55*(VLOOKUP(BD$4, Rates_previous!$G$6:$Q$29, 10, FALSE)+VLOOKUP(BD$4, Rates_previous!$G$6:$Q$29, 11, FALSE))</f>
        <v>17587.109809218</v>
      </c>
      <c r="BE55" s="192">
        <f>$F55*(VLOOKUP(BE$4, Rates_previous!$G$6:$Q$29, 10, FALSE)+VLOOKUP(BE$4, Rates_previous!$G$6:$Q$29, 11, FALSE))</f>
        <v>13788.851742603601</v>
      </c>
      <c r="BF55" s="192">
        <f>$F55*(VLOOKUP(BF$4, Rates_previous!$G$6:$Q$29, 10, FALSE)+VLOOKUP(BF$4, Rates_previous!$G$6:$Q$29, 11, FALSE))</f>
        <v>13427.5959160536</v>
      </c>
      <c r="BG55" s="192">
        <f>$F55*(VLOOKUP(BG$4, Rates_previous!$G$6:$Q$29, 10, FALSE)+VLOOKUP(BG$4, Rates_previous!$G$6:$Q$29, 11, FALSE))</f>
        <v>12055.124714868001</v>
      </c>
      <c r="BH55" s="314">
        <f>IF($D55=0,IF(C55=0, MAX(BJ55 - (VLOOKUP($A55,TOCA_previous!$A$2:$AI$137,MATCH("RHWM 2020",TOCA_previous!$A$2:$AI$2,0),FALSE)*$F$2*TOCA_previous!C52),0),0), 0)</f>
        <v>0</v>
      </c>
      <c r="BI55" s="204">
        <f>MIN(VLOOKUP($A55,TOCA_previous!$A$2:$AI$137,MATCH("TRL - NLSL - Existing Resource "&amp;$F$1,TOCA_previous!$A$2:$AI$2,0),FALSE)*$F$2,(VLOOKUP($A55,TOCA_previous!$A$2:$AI$137,MATCH("RHWM 2020",TOCA_previous!$A$2:$AI$2,0),FALSE)*$F$2))</f>
        <v>159139.728</v>
      </c>
      <c r="BJ55" s="418">
        <f>SUM(L55:AI55)+(F55*RT1SC!$C$3*$F$2)</f>
        <v>159139.01561057279</v>
      </c>
      <c r="BK55" s="417">
        <f>VLOOKUP($A55,TOCA_previous!$A$2:$AI$137,MATCH("Above RHWM Not Served with LS "&amp;$F$1,TOCA_previous!$A$2:$AI$2,0),FALSE)*$F$2</f>
        <v>0</v>
      </c>
      <c r="BL55" s="418">
        <f t="shared" si="8"/>
        <v>-0.71238942720810883</v>
      </c>
      <c r="BM55" s="417">
        <f>(VLOOKUP($A55,TOCA_previous!$A$2:$AI$137,MATCH("RHWM 2020",TOCA_previous!$A$2:$AI$2,0),FALSE)*$F$2) - $BI55</f>
        <v>2828.448000000004</v>
      </c>
      <c r="BN55" s="418">
        <f t="shared" si="9"/>
        <v>0</v>
      </c>
      <c r="BO55" s="417">
        <f t="shared" si="10"/>
        <v>0.71238942720810883</v>
      </c>
      <c r="BP55" s="418">
        <f t="shared" si="11"/>
        <v>0</v>
      </c>
      <c r="BQ55" s="417">
        <f t="shared" si="18"/>
        <v>0.71238942720810883</v>
      </c>
      <c r="BR55" s="120">
        <f>VLOOKUP($A55,TOCA_current!$A$2:$AI$137,MATCH(BR$4,TOCA_current!$A$2:$AI$2,0),FALSE)</f>
        <v>2.6250000000000002E-3</v>
      </c>
      <c r="BS55" s="120">
        <f>VLOOKUP($A55,TOCA_current!$A$2:$AI$137,MATCH(BS$4,TOCA_current!$A$2:$AI$2,0),FALSE)</f>
        <v>2.6250000000000002E-3</v>
      </c>
      <c r="BT55" s="201">
        <f t="shared" si="12"/>
        <v>0</v>
      </c>
      <c r="BU55" s="120">
        <f>VLOOKUP($A55,TOCA_current!A51:BG186,MATCH(BU$4,TOCA_current!$A$2:$BG$2,0),FALSE)</f>
        <v>7.2272238873494335E-2</v>
      </c>
      <c r="BV55" s="120">
        <f t="shared" si="19"/>
        <v>7.2272238873494335E-2</v>
      </c>
      <c r="BW55" s="120">
        <f t="shared" si="20"/>
        <v>2.6250000000000002E-3</v>
      </c>
      <c r="BX55" s="191">
        <f>VLOOKUP($A55,IRD!$A$4:$G$139, 7, FALSE)</f>
        <v>0</v>
      </c>
      <c r="BY55" s="192">
        <f t="array" ref="BY55">IF($BT55=0, INDEX(LS_current!$D$4:$AY$138, MATCH('Staging Table'!$A55, LS_current!$B$4:$B$138, 0), MATCH(BY$4&amp;BY$5, LS_current!$D$2:$AY$2&amp;LS_current!$D$3:$AY$3, 0)),SUM(VLOOKUP($A55, LS_current!$B$4:$AY$138, LS_current!D$148, FALSE), VLOOKUP($A55, LS_current!$B$4:$AY$138,LS_current!AB$148, FALSE))/2)</f>
        <v>0</v>
      </c>
      <c r="BZ55" s="192">
        <f t="array" ref="BZ55">IF($BT55=0, INDEX(LS_current!$D$4:$AY$138, MATCH('Staging Table'!$A55, LS_current!$B$4:$B$138, 0), MATCH(BZ$4&amp;BZ$5, LS_current!$D$2:$AY$2&amp;LS_current!$D$3:$AY$3, 0)),SUM(VLOOKUP($A55, LS_current!$B$4:$AY$138, LS_current!E$148, FALSE), VLOOKUP($A55, LS_current!$B$4:$AY$138,LS_current!AC$148, FALSE))/2)</f>
        <v>0</v>
      </c>
      <c r="CA55" s="192">
        <f t="array" ref="CA55">IF($BT55=0, INDEX(LS_current!$D$4:$AY$138, MATCH('Staging Table'!$A55, LS_current!$B$4:$B$138, 0), MATCH(CA$4&amp;CA$5, LS_current!$D$2:$AY$2&amp;LS_current!$D$3:$AY$3, 0)),SUM(VLOOKUP($A55, LS_current!$B$4:$AY$138, LS_current!F$148, FALSE), VLOOKUP($A55, LS_current!$B$4:$AY$138,LS_current!AD$148, FALSE))/2)</f>
        <v>0</v>
      </c>
      <c r="CB55" s="192">
        <f t="array" ref="CB55">IF($BT55=0, INDEX(LS_current!$D$4:$AY$138, MATCH('Staging Table'!$A55, LS_current!$B$4:$B$138, 0), MATCH(CB$4&amp;CB$5, LS_current!$D$2:$AY$2&amp;LS_current!$D$3:$AY$3, 0)),SUM(VLOOKUP($A55, LS_current!$B$4:$AY$138, LS_current!G$148, FALSE), VLOOKUP($A55, LS_current!$B$4:$AY$138,LS_current!AE$148, FALSE))/2)</f>
        <v>0</v>
      </c>
      <c r="CC55" s="192">
        <f t="array" ref="CC55">IF($BT55=0, INDEX(LS_current!$D$4:$AY$138, MATCH('Staging Table'!$A55, LS_current!$B$4:$B$138, 0), MATCH(CC$4&amp;CC$5, LS_current!$D$2:$AY$2&amp;LS_current!$D$3:$AY$3, 0)),SUM(VLOOKUP($A55, LS_current!$B$4:$AY$138, LS_current!H$148, FALSE), VLOOKUP($A55, LS_current!$B$4:$AY$138,LS_current!AF$148, FALSE))/2)</f>
        <v>0</v>
      </c>
      <c r="CD55" s="192">
        <f t="array" ref="CD55">IF($BT55=0, INDEX(LS_current!$D$4:$AY$138, MATCH('Staging Table'!$A55, LS_current!$B$4:$B$138, 0), MATCH(CD$4&amp;CD$5, LS_current!$D$2:$AY$2&amp;LS_current!$D$3:$AY$3, 0)),SUM(VLOOKUP($A55, LS_current!$B$4:$AY$138, LS_current!I$148, FALSE), VLOOKUP($A55, LS_current!$B$4:$AY$138,LS_current!AG$148, FALSE))/2)</f>
        <v>0</v>
      </c>
      <c r="CE55" s="192">
        <f t="array" ref="CE55">IF($BT55=0, INDEX(LS_current!$D$4:$AY$138, MATCH('Staging Table'!$A55, LS_current!$B$4:$B$138, 0), MATCH(CE$4&amp;CE$5, LS_current!$D$2:$AY$2&amp;LS_current!$D$3:$AY$3, 0)),SUM(VLOOKUP($A55, LS_current!$B$4:$AY$138, LS_current!J$148, FALSE), VLOOKUP($A55, LS_current!$B$4:$AY$138,LS_current!AH$148, FALSE))/2)</f>
        <v>0</v>
      </c>
      <c r="CF55" s="192">
        <f t="array" ref="CF55">IF($BT55=0, INDEX(LS_current!$D$4:$AY$138, MATCH('Staging Table'!$A55, LS_current!$B$4:$B$138, 0), MATCH(CF$4&amp;CF$5, LS_current!$D$2:$AY$2&amp;LS_current!$D$3:$AY$3, 0)),SUM(VLOOKUP($A55, LS_current!$B$4:$AY$138, LS_current!K$148, FALSE), VLOOKUP($A55, LS_current!$B$4:$AY$138,LS_current!AI$148, FALSE))/2)</f>
        <v>0</v>
      </c>
      <c r="CG55" s="192">
        <f t="array" ref="CG55">IF($BT55=0, INDEX(LS_current!$D$4:$AY$138, MATCH('Staging Table'!$A55, LS_current!$B$4:$B$138, 0), MATCH(CG$4&amp;CG$5, LS_current!$D$2:$AY$2&amp;LS_current!$D$3:$AY$3, 0)),SUM(VLOOKUP($A55, LS_current!$B$4:$AY$138, LS_current!L$148, FALSE), VLOOKUP($A55, LS_current!$B$4:$AY$138,LS_current!AJ$148, FALSE))/2)</f>
        <v>0</v>
      </c>
      <c r="CH55" s="192">
        <f t="array" ref="CH55">IF($BT55=0, INDEX(LS_current!$D$4:$AY$138, MATCH('Staging Table'!$A55, LS_current!$B$4:$B$138, 0), MATCH(CH$4&amp;CH$5, LS_current!$D$2:$AY$2&amp;LS_current!$D$3:$AY$3, 0)),SUM(VLOOKUP($A55, LS_current!$B$4:$AY$138, LS_current!M$148, FALSE), VLOOKUP($A55, LS_current!$B$4:$AY$138,LS_current!AK$148, FALSE))/2)</f>
        <v>0</v>
      </c>
      <c r="CI55" s="192">
        <f t="array" ref="CI55">IF($BT55=0, INDEX(LS_current!$D$4:$AY$138, MATCH('Staging Table'!$A55, LS_current!$B$4:$B$138, 0), MATCH(CI$4&amp;CI$5, LS_current!$D$2:$AY$2&amp;LS_current!$D$3:$AY$3, 0)),SUM(VLOOKUP($A55, LS_current!$B$4:$AY$138, LS_current!N$148, FALSE), VLOOKUP($A55, LS_current!$B$4:$AY$138,LS_current!AL$148, FALSE))/2)</f>
        <v>0</v>
      </c>
      <c r="CJ55" s="192">
        <f t="array" ref="CJ55">IF($BT55=0, INDEX(LS_current!$D$4:$AY$138, MATCH('Staging Table'!$A55, LS_current!$B$4:$B$138, 0), MATCH(CJ$4&amp;CJ$5, LS_current!$D$2:$AY$2&amp;LS_current!$D$3:$AY$3, 0)),SUM(VLOOKUP($A55, LS_current!$B$4:$AY$138, LS_current!O$148, FALSE), VLOOKUP($A55, LS_current!$B$4:$AY$138,LS_current!AM$148, FALSE))/2)</f>
        <v>0</v>
      </c>
      <c r="CK55" s="192">
        <f t="array" ref="CK55">IF($BT55=0, INDEX(LS_current!$D$4:$AY$138, MATCH('Staging Table'!$A55, LS_current!$B$4:$B$138, 0), MATCH(CK$4&amp;CK$5, LS_current!$D$2:$AY$2&amp;LS_current!$D$3:$AY$3, 0)),SUM(VLOOKUP($A55, LS_current!$B$4:$AY$138, LS_current!P$148, FALSE), VLOOKUP($A55, LS_current!$B$4:$AY$138,LS_current!AN$148, FALSE))/2)</f>
        <v>0</v>
      </c>
      <c r="CL55" s="192">
        <f t="array" ref="CL55">IF($BT55=0, INDEX(LS_current!$D$4:$AY$138, MATCH('Staging Table'!$A55, LS_current!$B$4:$B$138, 0), MATCH(CL$4&amp;CL$5, LS_current!$D$2:$AY$2&amp;LS_current!$D$3:$AY$3, 0)),SUM(VLOOKUP($A55, LS_current!$B$4:$AY$138, LS_current!Q$148, FALSE), VLOOKUP($A55, LS_current!$B$4:$AY$138,LS_current!AO$148, FALSE))/2)</f>
        <v>0</v>
      </c>
      <c r="CM55" s="192">
        <f t="array" ref="CM55">IF($BT55=0, INDEX(LS_current!$D$4:$AY$138, MATCH('Staging Table'!$A55, LS_current!$B$4:$B$138, 0), MATCH(CM$4&amp;CM$5, LS_current!$D$2:$AY$2&amp;LS_current!$D$3:$AY$3, 0)),SUM(VLOOKUP($A55, LS_current!$B$4:$AY$138, LS_current!R$148, FALSE), VLOOKUP($A55, LS_current!$B$4:$AY$138,LS_current!AP$148, FALSE))/2)</f>
        <v>0</v>
      </c>
      <c r="CN55" s="192">
        <f t="array" ref="CN55">IF($BT55=0, INDEX(LS_current!$D$4:$AY$138, MATCH('Staging Table'!$A55, LS_current!$B$4:$B$138, 0), MATCH(CN$4&amp;CN$5, LS_current!$D$2:$AY$2&amp;LS_current!$D$3:$AY$3, 0)),SUM(VLOOKUP($A55, LS_current!$B$4:$AY$138, LS_current!S$148, FALSE), VLOOKUP($A55, LS_current!$B$4:$AY$138,LS_current!AQ$148, FALSE))/2)</f>
        <v>0</v>
      </c>
      <c r="CO55" s="192">
        <f t="array" ref="CO55">IF($BT55=0, INDEX(LS_current!$D$4:$AY$138, MATCH('Staging Table'!$A55, LS_current!$B$4:$B$138, 0), MATCH(CO$4&amp;CO$5, LS_current!$D$2:$AY$2&amp;LS_current!$D$3:$AY$3, 0)),SUM(VLOOKUP($A55, LS_current!$B$4:$AY$138, LS_current!T$148, FALSE), VLOOKUP($A55, LS_current!$B$4:$AY$138,LS_current!AR$148, FALSE))/2)</f>
        <v>0</v>
      </c>
      <c r="CP55" s="192">
        <f t="array" ref="CP55">IF($BT55=0, INDEX(LS_current!$D$4:$AY$138, MATCH('Staging Table'!$A55, LS_current!$B$4:$B$138, 0), MATCH(CP$4&amp;CP$5, LS_current!$D$2:$AY$2&amp;LS_current!$D$3:$AY$3, 0)),SUM(VLOOKUP($A55, LS_current!$B$4:$AY$138, LS_current!U$148, FALSE), VLOOKUP($A55, LS_current!$B$4:$AY$138,LS_current!AS$148, FALSE))/2)</f>
        <v>0</v>
      </c>
      <c r="CQ55" s="192">
        <f t="array" ref="CQ55">IF($BT55=0, INDEX(LS_current!$D$4:$AY$138, MATCH('Staging Table'!$A55, LS_current!$B$4:$B$138, 0), MATCH(CQ$4&amp;CQ$5, LS_current!$D$2:$AY$2&amp;LS_current!$D$3:$AY$3, 0)),SUM(VLOOKUP($A55, LS_current!$B$4:$AY$138, LS_current!V$148, FALSE), VLOOKUP($A55, LS_current!$B$4:$AY$138,LS_current!AT$148, FALSE))/2)</f>
        <v>0</v>
      </c>
      <c r="CR55" s="192">
        <f t="array" ref="CR55">IF($BT55=0, INDEX(LS_current!$D$4:$AY$138, MATCH('Staging Table'!$A55, LS_current!$B$4:$B$138, 0), MATCH(CR$4&amp;CR$5, LS_current!$D$2:$AY$2&amp;LS_current!$D$3:$AY$3, 0)),SUM(VLOOKUP($A55, LS_current!$B$4:$AY$138, LS_current!W$148, FALSE), VLOOKUP($A55, LS_current!$B$4:$AY$138,LS_current!AU$148, FALSE))/2)</f>
        <v>0</v>
      </c>
      <c r="CS55" s="192">
        <f t="array" ref="CS55">IF($BT55=0, INDEX(LS_current!$D$4:$AY$138, MATCH('Staging Table'!$A55, LS_current!$B$4:$B$138, 0), MATCH(CS$4&amp;CS$5, LS_current!$D$2:$AY$2&amp;LS_current!$D$3:$AY$3, 0)),SUM(VLOOKUP($A55, LS_current!$B$4:$AY$138, LS_current!X$148, FALSE), VLOOKUP($A55, LS_current!$B$4:$AY$138,LS_current!AV$148, FALSE))/2)</f>
        <v>0</v>
      </c>
      <c r="CT55" s="192">
        <f t="array" ref="CT55">IF($BT55=0, INDEX(LS_current!$D$4:$AY$138, MATCH('Staging Table'!$A55, LS_current!$B$4:$B$138, 0), MATCH(CT$4&amp;CT$5, LS_current!$D$2:$AY$2&amp;LS_current!$D$3:$AY$3, 0)),SUM(VLOOKUP($A55, LS_current!$B$4:$AY$138, LS_current!Y$148, FALSE), VLOOKUP($A55, LS_current!$B$4:$AY$138,LS_current!AW$148, FALSE))/2)</f>
        <v>0</v>
      </c>
      <c r="CU55" s="192">
        <f t="array" ref="CU55">IF($BT55=0, INDEX(LS_current!$D$4:$AY$138, MATCH('Staging Table'!$A55, LS_current!$B$4:$B$138, 0), MATCH(CU$4&amp;CU$5, LS_current!$D$2:$AY$2&amp;LS_current!$D$3:$AY$3, 0)),SUM(VLOOKUP($A55, LS_current!$B$4:$AY$138, LS_current!Z$148, FALSE), VLOOKUP($A55, LS_current!$B$4:$AY$138,LS_current!AX$148, FALSE))/2)</f>
        <v>0</v>
      </c>
      <c r="CV55" s="192">
        <f t="array" ref="CV55">IF($BT55=0, INDEX(LS_current!$D$4:$AY$138, MATCH('Staging Table'!$A55, LS_current!$B$4:$B$138, 0), MATCH(CV$4&amp;CV$5, LS_current!$D$2:$AY$2&amp;LS_current!$D$3:$AY$3, 0)),SUM(VLOOKUP($A55, LS_current!$B$4:$AY$138, LS_current!AA$148, FALSE), VLOOKUP($A55, LS_current!$B$4:$AY$138,LS_current!AY$148, FALSE))/2)</f>
        <v>0</v>
      </c>
      <c r="CW55" s="194">
        <f t="array" ref="CW55">INDEX(Demand_current!$D$4:$AY$138, MATCH($A55, Demand_current!$B$4:$B$138, 0), MATCH(CW$4&amp;CW$5,Demand_current!$D$2:$AY$2&amp;Demand_current!$D$3:$AY$3, 0))/1000</f>
        <v>0</v>
      </c>
      <c r="CX55" s="194">
        <f t="array" ref="CX55">INDEX(Demand_current!$D$4:$AY$138, MATCH($A55, Demand_current!$B$4:$B$138, 0), MATCH(CX$4&amp;CX$5,Demand_current!$D$2:$AY$2&amp;Demand_current!$D$3:$AY$3, 0))/1000</f>
        <v>0</v>
      </c>
      <c r="CY55" s="194">
        <f t="array" ref="CY55">INDEX(Demand_current!$D$4:$AY$138, MATCH($A55, Demand_current!$B$4:$B$138, 0), MATCH(CY$4&amp;CY$5,Demand_current!$D$2:$AY$2&amp;Demand_current!$D$3:$AY$3, 0))/1000</f>
        <v>0</v>
      </c>
      <c r="CZ55" s="194">
        <f t="array" ref="CZ55">INDEX(Demand_current!$D$4:$AY$138, MATCH($A55, Demand_current!$B$4:$B$138, 0), MATCH(CZ$4&amp;CZ$5,Demand_current!$D$2:$AY$2&amp;Demand_current!$D$3:$AY$3, 0))/1000</f>
        <v>0</v>
      </c>
      <c r="DA55" s="194">
        <f t="array" ref="DA55">INDEX(Demand_current!$D$4:$AY$138, MATCH($A55, Demand_current!$B$4:$B$138, 0), MATCH(DA$4&amp;DA$5,Demand_current!$D$2:$AY$2&amp;Demand_current!$D$3:$AY$3, 0))/1000</f>
        <v>0</v>
      </c>
      <c r="DB55" s="194">
        <f t="array" ref="DB55">INDEX(Demand_current!$D$4:$AY$138, MATCH($A55, Demand_current!$B$4:$B$138, 0), MATCH(DB$4&amp;DB$5,Demand_current!$D$2:$AY$2&amp;Demand_current!$D$3:$AY$3, 0))/1000</f>
        <v>0</v>
      </c>
      <c r="DC55" s="194">
        <f t="array" ref="DC55">INDEX(Demand_current!$D$4:$AY$138, MATCH($A55, Demand_current!$B$4:$B$138, 0), MATCH(DC$4&amp;DC$5,Demand_current!$D$2:$AY$2&amp;Demand_current!$D$3:$AY$3, 0))/1000</f>
        <v>0</v>
      </c>
      <c r="DD55" s="194">
        <f t="array" ref="DD55">INDEX(Demand_current!$D$4:$AY$138, MATCH($A55, Demand_current!$B$4:$B$138, 0), MATCH(DD$4&amp;DD$5,Demand_current!$D$2:$AY$2&amp;Demand_current!$D$3:$AY$3, 0))/1000</f>
        <v>0</v>
      </c>
      <c r="DE55" s="194">
        <f t="array" ref="DE55">INDEX(Demand_current!$D$4:$AY$138, MATCH($A55, Demand_current!$B$4:$B$138, 0), MATCH(DE$4&amp;DE$5,Demand_current!$D$2:$AY$2&amp;Demand_current!$D$3:$AY$3, 0))/1000</f>
        <v>0</v>
      </c>
      <c r="DF55" s="194">
        <f t="array" ref="DF55">INDEX(Demand_current!$D$4:$AY$138, MATCH($A55, Demand_current!$B$4:$B$138, 0), MATCH(DF$4&amp;DF$5,Demand_current!$D$2:$AY$2&amp;Demand_current!$D$3:$AY$3, 0))/1000</f>
        <v>0</v>
      </c>
      <c r="DG55" s="194">
        <f t="array" ref="DG55">INDEX(Demand_current!$D$4:$AY$138, MATCH($A55, Demand_current!$B$4:$B$138, 0), MATCH(DG$4&amp;DG$5,Demand_current!$D$2:$AY$2&amp;Demand_current!$D$3:$AY$3, 0))/1000</f>
        <v>0</v>
      </c>
      <c r="DH55" s="194">
        <f t="array" ref="DH55">INDEX(Demand_current!$D$4:$AY$138, MATCH($A55, Demand_current!$B$4:$B$138, 0), MATCH(DH$4&amp;DH$5,Demand_current!$D$2:$AY$2&amp;Demand_current!$D$3:$AY$3, 0))/1000</f>
        <v>0</v>
      </c>
      <c r="DI55" s="192">
        <f>$BS55*(VLOOKUP(DI$4, Rates_current!$G$6:$Q$29, 10, FALSE)+VLOOKUP(DI$4, Rates_current!$G$6:$Q$29, 11, FALSE))</f>
        <v>11954.051604502876</v>
      </c>
      <c r="DJ55" s="192">
        <f>$BS55*(VLOOKUP(DJ$4, Rates_current!$G$6:$Q$29, 10, FALSE)+VLOOKUP(DJ$4, Rates_current!$G$6:$Q$29, 11, FALSE))</f>
        <v>15134.263173688316</v>
      </c>
      <c r="DK55" s="192">
        <f>$BS55*(VLOOKUP(DK$4, Rates_current!$G$6:$Q$29, 10, FALSE)+VLOOKUP(DK$4, Rates_current!$G$6:$Q$29, 11, FALSE))</f>
        <v>14813.420075275502</v>
      </c>
      <c r="DL55" s="192">
        <f>$BS55*(VLOOKUP(DL$4, Rates_current!$G$6:$Q$29, 10, FALSE)+VLOOKUP(DL$4, Rates_current!$G$6:$Q$29, 11, FALSE))</f>
        <v>12235.255043830875</v>
      </c>
      <c r="DM55" s="192">
        <f>$BS55*(VLOOKUP(DM$4, Rates_current!$G$6:$Q$29, 10, FALSE)+VLOOKUP(DM$4, Rates_current!$G$6:$Q$29, 11, FALSE))</f>
        <v>10604.563707652687</v>
      </c>
      <c r="DN55" s="192">
        <f>$BS55*(VLOOKUP(DN$4, Rates_current!$G$6:$Q$29, 10, FALSE)+VLOOKUP(DN$4, Rates_current!$G$6:$Q$29, 11, FALSE))</f>
        <v>12659.707589328189</v>
      </c>
      <c r="DO55" s="192">
        <f>$BS55*(VLOOKUP(DO$4, Rates_current!$G$6:$Q$29, 10, FALSE)+VLOOKUP(DO$4, Rates_current!$G$6:$Q$29, 11, FALSE))</f>
        <v>9828.5775701754374</v>
      </c>
      <c r="DP55" s="192">
        <f>$BS55*(VLOOKUP(DP$4, Rates_current!$G$6:$Q$29, 10, FALSE)+VLOOKUP(DP$4, Rates_current!$G$6:$Q$29, 11, FALSE))</f>
        <v>13617.566551824375</v>
      </c>
      <c r="DQ55" s="192">
        <f>$BS55*(VLOOKUP(DQ$4, Rates_current!$G$6:$Q$29, 10, FALSE)+VLOOKUP(DQ$4, Rates_current!$G$6:$Q$29, 11, FALSE))</f>
        <v>14550.655000910438</v>
      </c>
      <c r="DR55" s="192">
        <f>$BS55*(VLOOKUP(DR$4, Rates_current!$G$6:$Q$29, 10, FALSE)+VLOOKUP(DR$4, Rates_current!$G$6:$Q$29, 11, FALSE))</f>
        <v>13815.18804644344</v>
      </c>
      <c r="DS55" s="192">
        <f>$BS55*(VLOOKUP(DS$4, Rates_current!$G$6:$Q$29, 10, FALSE)+VLOOKUP(DS$4, Rates_current!$G$6:$Q$29, 11, FALSE))</f>
        <v>13351.313460582562</v>
      </c>
      <c r="DT55" s="192">
        <f>$BS55*(VLOOKUP(DT$4, Rates_current!$G$6:$Q$29, 10, FALSE)+VLOOKUP(DT$4, Rates_current!$G$6:$Q$29, 11, FALSE))</f>
        <v>12338.00545684875</v>
      </c>
      <c r="DU55" s="418">
        <f>IF(D55=0,IF(C55=0,MAX(0,DW55 - (VLOOKUP($A55,TOCA_current!$A$2:$AI$137,MATCH("RHWM 2022",TOCA_current!$A$2:$AI$2,0),FALSE)*$BS$2)), 0),0)</f>
        <v>0</v>
      </c>
      <c r="DV55" s="419">
        <f>MIN(VLOOKUP($A55,TOCA_current!$A$2:$AI$137,MATCH("TRL - NLSL - Existing Resource "&amp;$BS$1,TOCA_current!$A$2:$AI$2,0),FALSE)*$BS$2, VLOOKUP($A55,TOCA_current!$A$2:$AI$137,MATCH("RHWM 2022",TOCA_current!$A$2:$AI$2,0),FALSE)*$BS$2)</f>
        <v>154903.07999999999</v>
      </c>
      <c r="DW55" s="419">
        <f>SUM(BY55:CV55)+(BS55*RT1SC!$C$4*$BS$2)</f>
        <v>154902.57520500003</v>
      </c>
      <c r="DX55" s="419">
        <f>VLOOKUP($A55,TOCA_current!$A$2:$AI$137,MATCH("Above RHWM Not Served with LS "&amp;$BS$1,TOCA_current!$A$2:$AI$2,0),FALSE)*$BS$2</f>
        <v>5028.24</v>
      </c>
      <c r="DY55" s="419">
        <f t="shared" si="13"/>
        <v>-0.50479499995708466</v>
      </c>
      <c r="DZ55" s="419">
        <f>(VLOOKUP($A55,TOCA_current!$A$2:$AI$137,MATCH("RHWM 2022",TOCA_current!$A$2:$AI$2,0),FALSE)*$BS$2) - $DV55</f>
        <v>0</v>
      </c>
      <c r="EA55" s="419">
        <f t="shared" si="14"/>
        <v>0</v>
      </c>
      <c r="EB55" s="419">
        <f t="shared" si="15"/>
        <v>0</v>
      </c>
      <c r="EC55" s="419">
        <f t="shared" si="16"/>
        <v>0</v>
      </c>
      <c r="ED55" s="419">
        <f t="shared" si="17"/>
        <v>0</v>
      </c>
    </row>
    <row r="56" spans="1:134">
      <c r="A56" s="135">
        <v>10142</v>
      </c>
      <c r="B56" s="136" t="s">
        <v>57</v>
      </c>
      <c r="C56" s="244">
        <f>VLOOKUP(A56, TOCA_current!$A$3:$D$137, 4, FALSE)</f>
        <v>0</v>
      </c>
      <c r="D56" s="203">
        <v>0</v>
      </c>
      <c r="E56" s="119">
        <f>VLOOKUP($A56,TOCA_previous!$A$2:$AI$137,MATCH(E$4,TOCA_previous!$A$2:$AI$2,0),FALSE)</f>
        <v>3.8049999999999998E-4</v>
      </c>
      <c r="F56" s="120">
        <f>VLOOKUP($A56,TOCA_previous!$A$2:$AI$137,MATCH(F$4,TOCA_previous!$A$2:$AI$2,0),FALSE)</f>
        <v>3.8049999999999998E-4</v>
      </c>
      <c r="G56" s="120">
        <f t="shared" si="5"/>
        <v>0</v>
      </c>
      <c r="H56" s="120">
        <f>VLOOKUP($A56,TOCA_previous!$A$2:$AI$137,MATCH(H$4,TOCA_previous!$A$2:$AI$2,0),FALSE)</f>
        <v>3.2962962962962965E-2</v>
      </c>
      <c r="I56" s="120">
        <f t="shared" si="6"/>
        <v>0</v>
      </c>
      <c r="J56" s="120">
        <f t="shared" si="7"/>
        <v>0</v>
      </c>
      <c r="K56" s="191">
        <f>VLOOKUP(A56, IRD!$A$5:$C$139, 3, FALSE)</f>
        <v>5769.4840000000004</v>
      </c>
      <c r="L56" s="192">
        <f t="array" ref="L56">IF($G56=0, INDEX(LS_previous!$D$4:$AY$138, MATCH('Staging Table'!$A56, LS_previous!$B$4:$B$138, 0), MATCH(L$4&amp;L$5, LS_previous!$D$2:$AY$2&amp;LS_previous!$D$3:$AY$3, 0)),SUM(VLOOKUP($A56, LS_previous!$B$4:$AY$138, LS_previous!D$149, FALSE), VLOOKUP('Staging Table'!$A56, LS_previous!$B$4:$AY$138,LS_previous!AB$149, FALSE))/2)</f>
        <v>-88.930380133999961</v>
      </c>
      <c r="M56" s="192">
        <f t="array" ref="M56">IF($G56=0, INDEX(LS_previous!$D$4:$AY$138, MATCH('Staging Table'!$A56, LS_previous!$B$4:$B$138, 0), MATCH(M$4&amp;M$5, LS_previous!$D$2:$AY$2&amp;LS_previous!$D$3:$AY$3, 0)),SUM(VLOOKUP($A56, LS_previous!$B$4:$AY$138, LS_previous!E$149, FALSE), VLOOKUP('Staging Table'!$A56, LS_previous!$B$4:$AY$138,LS_previous!AC$149, FALSE))/2)</f>
        <v>104.83718705600006</v>
      </c>
      <c r="N56" s="192">
        <f t="array" ref="N56">IF($G56=0, INDEX(LS_previous!$D$4:$AY$138, MATCH('Staging Table'!$A56, LS_previous!$B$4:$B$138, 0), MATCH(N$4&amp;N$5, LS_previous!$D$2:$AY$2&amp;LS_previous!$D$3:$AY$3, 0)),SUM(VLOOKUP($A56, LS_previous!$B$4:$AY$138, LS_previous!F$149, FALSE), VLOOKUP('Staging Table'!$A56, LS_previous!$B$4:$AY$138,LS_previous!AD$149, FALSE))/2)</f>
        <v>-420.86434440399989</v>
      </c>
      <c r="O56" s="192">
        <f t="array" ref="O56">IF($G56=0, INDEX(LS_previous!$D$4:$AY$138, MATCH('Staging Table'!$A56, LS_previous!$B$4:$B$138, 0), MATCH(O$4&amp;O$5, LS_previous!$D$2:$AY$2&amp;LS_previous!$D$3:$AY$3, 0)),SUM(VLOOKUP($A56, LS_previous!$B$4:$AY$138, LS_previous!G$149, FALSE), VLOOKUP('Staging Table'!$A56, LS_previous!$B$4:$AY$138,LS_previous!AE$149, FALSE))/2)</f>
        <v>-107.99400303549999</v>
      </c>
      <c r="P56" s="192">
        <f t="array" ref="P56">IF($G56=0, INDEX(LS_previous!$D$4:$AY$138, MATCH('Staging Table'!$A56, LS_previous!$B$4:$B$138, 0), MATCH(P$4&amp;P$5, LS_previous!$D$2:$AY$2&amp;LS_previous!$D$3:$AY$3, 0)),SUM(VLOOKUP($A56, LS_previous!$B$4:$AY$138, LS_previous!H$149, FALSE), VLOOKUP('Staging Table'!$A56, LS_previous!$B$4:$AY$138,LS_previous!AF$149, FALSE))/2)</f>
        <v>-50.260763695999913</v>
      </c>
      <c r="Q56" s="192">
        <f t="array" ref="Q56">IF($G56=0, INDEX(LS_previous!$D$4:$AY$138, MATCH('Staging Table'!$A56, LS_previous!$B$4:$B$138, 0), MATCH(Q$4&amp;Q$5, LS_previous!$D$2:$AY$2&amp;LS_previous!$D$3:$AY$3, 0)),SUM(VLOOKUP($A56, LS_previous!$B$4:$AY$138, LS_previous!I$149, FALSE), VLOOKUP('Staging Table'!$A56, LS_previous!$B$4:$AY$138,LS_previous!AG$149, FALSE))/2)</f>
        <v>115.02038911800003</v>
      </c>
      <c r="R56" s="192">
        <f t="array" ref="R56">IF($G56=0, INDEX(LS_previous!$D$4:$AY$138, MATCH('Staging Table'!$A56, LS_previous!$B$4:$B$138, 0), MATCH(R$4&amp;R$5, LS_previous!$D$2:$AY$2&amp;LS_previous!$D$3:$AY$3, 0)),SUM(VLOOKUP($A56, LS_previous!$B$4:$AY$138, LS_previous!J$149, FALSE), VLOOKUP('Staging Table'!$A56, LS_previous!$B$4:$AY$138,LS_previous!AH$149, FALSE))/2)</f>
        <v>92.721554303999937</v>
      </c>
      <c r="S56" s="192">
        <f t="array" ref="S56">IF($G56=0, INDEX(LS_previous!$D$4:$AY$138, MATCH('Staging Table'!$A56, LS_previous!$B$4:$B$138, 0), MATCH(S$4&amp;S$5, LS_previous!$D$2:$AY$2&amp;LS_previous!$D$3:$AY$3, 0)),SUM(VLOOKUP($A56, LS_previous!$B$4:$AY$138, LS_previous!K$149, FALSE), VLOOKUP('Staging Table'!$A56, LS_previous!$B$4:$AY$138,LS_previous!AI$149, FALSE))/2)</f>
        <v>313.94453511800009</v>
      </c>
      <c r="T56" s="192">
        <f t="array" ref="T56">IF($G56=0, INDEX(LS_previous!$D$4:$AY$138, MATCH('Staging Table'!$A56, LS_previous!$B$4:$B$138, 0), MATCH(T$4&amp;T$5, LS_previous!$D$2:$AY$2&amp;LS_previous!$D$3:$AY$3, 0)),SUM(VLOOKUP($A56, LS_previous!$B$4:$AY$138, LS_previous!L$149, FALSE), VLOOKUP('Staging Table'!$A56, LS_previous!$B$4:$AY$138,LS_previous!AJ$149, FALSE))/2)</f>
        <v>-4.1842056819998561</v>
      </c>
      <c r="U56" s="192">
        <f t="array" ref="U56">IF($G56=0, INDEX(LS_previous!$D$4:$AY$138, MATCH('Staging Table'!$A56, LS_previous!$B$4:$B$138, 0), MATCH(U$4&amp;U$5, LS_previous!$D$2:$AY$2&amp;LS_previous!$D$3:$AY$3, 0)),SUM(VLOOKUP($A56, LS_previous!$B$4:$AY$138, LS_previous!M$149, FALSE), VLOOKUP('Staging Table'!$A56, LS_previous!$B$4:$AY$138,LS_previous!AK$149, FALSE))/2)</f>
        <v>108.21501328200009</v>
      </c>
      <c r="V56" s="192">
        <f t="array" ref="V56">IF($G56=0, INDEX(LS_previous!$D$4:$AY$138, MATCH('Staging Table'!$A56, LS_previous!$B$4:$B$138, 0), MATCH(V$4&amp;V$5, LS_previous!$D$2:$AY$2&amp;LS_previous!$D$3:$AY$3, 0)),SUM(VLOOKUP($A56, LS_previous!$B$4:$AY$138, LS_previous!N$149, FALSE), VLOOKUP('Staging Table'!$A56, LS_previous!$B$4:$AY$138,LS_previous!AL$149, FALSE))/2)</f>
        <v>-212.04494698799988</v>
      </c>
      <c r="W56" s="192">
        <f t="array" ref="W56">IF($G56=0, INDEX(LS_previous!$D$4:$AY$138, MATCH('Staging Table'!$A56, LS_previous!$B$4:$B$138, 0), MATCH(W$4&amp;W$5, LS_previous!$D$2:$AY$2&amp;LS_previous!$D$3:$AY$3, 0)),SUM(VLOOKUP($A56, LS_previous!$B$4:$AY$138, LS_previous!O$149, FALSE), VLOOKUP('Staging Table'!$A56, LS_previous!$B$4:$AY$138,LS_previous!AM$149, FALSE))/2)</f>
        <v>-39.576447040500057</v>
      </c>
      <c r="X56" s="192">
        <f t="array" ref="X56">IF($G56=0, INDEX(LS_previous!$D$4:$AY$138, MATCH('Staging Table'!$A56, LS_previous!$B$4:$B$138, 0), MATCH(X$4&amp;X$5, LS_previous!$D$2:$AY$2&amp;LS_previous!$D$3:$AY$3, 0)),SUM(VLOOKUP($A56, LS_previous!$B$4:$AY$138, LS_previous!P$149, FALSE), VLOOKUP('Staging Table'!$A56, LS_previous!$B$4:$AY$138,LS_previous!AN$149, FALSE))/2)</f>
        <v>170.44700490800017</v>
      </c>
      <c r="Y56" s="192">
        <f t="array" ref="Y56">IF($G56=0, INDEX(LS_previous!$D$4:$AY$138, MATCH('Staging Table'!$A56, LS_previous!$B$4:$B$138, 0), MATCH(Y$4&amp;Y$5, LS_previous!$D$2:$AY$2&amp;LS_previous!$D$3:$AY$3, 0)),SUM(VLOOKUP($A56, LS_previous!$B$4:$AY$138, LS_previous!Q$149, FALSE), VLOOKUP('Staging Table'!$A56, LS_previous!$B$4:$AY$138,LS_previous!AO$149, FALSE))/2)</f>
        <v>134.97878345200002</v>
      </c>
      <c r="Z56" s="192">
        <f t="array" ref="Z56">IF($G56=0, INDEX(LS_previous!$D$4:$AY$138, MATCH('Staging Table'!$A56, LS_previous!$B$4:$B$138, 0), MATCH(Z$4&amp;Z$5, LS_previous!$D$2:$AY$2&amp;LS_previous!$D$3:$AY$3, 0)),SUM(VLOOKUP($A56, LS_previous!$B$4:$AY$138, LS_previous!R$149, FALSE), VLOOKUP('Staging Table'!$A56, LS_previous!$B$4:$AY$138,LS_previous!AP$149, FALSE))/2)</f>
        <v>231.28885844999991</v>
      </c>
      <c r="AA56" s="192">
        <f t="array" ref="AA56">IF($G56=0, INDEX(LS_previous!$D$4:$AY$138, MATCH('Staging Table'!$A56, LS_previous!$B$4:$B$138, 0), MATCH(AA$4&amp;AA$5, LS_previous!$D$2:$AY$2&amp;LS_previous!$D$3:$AY$3, 0)),SUM(VLOOKUP($A56, LS_previous!$B$4:$AY$138, LS_previous!S$149, FALSE), VLOOKUP('Staging Table'!$A56, LS_previous!$B$4:$AY$138,LS_previous!AQ$149, FALSE))/2)</f>
        <v>335.97981822200006</v>
      </c>
      <c r="AB56" s="192">
        <f t="array" ref="AB56">IF($G56=0, INDEX(LS_previous!$D$4:$AY$138, MATCH('Staging Table'!$A56, LS_previous!$B$4:$B$138, 0), MATCH(AB$4&amp;AB$5, LS_previous!$D$2:$AY$2&amp;LS_previous!$D$3:$AY$3, 0)),SUM(VLOOKUP($A56, LS_previous!$B$4:$AY$138, LS_previous!T$149, FALSE), VLOOKUP('Staging Table'!$A56, LS_previous!$B$4:$AY$138,LS_previous!AR$149, FALSE))/2)</f>
        <v>495.33606315800034</v>
      </c>
      <c r="AC56" s="192">
        <f t="array" ref="AC56">IF($G56=0, INDEX(LS_previous!$D$4:$AY$138, MATCH('Staging Table'!$A56, LS_previous!$B$4:$B$138, 0), MATCH(AC$4&amp;AC$5, LS_previous!$D$2:$AY$2&amp;LS_previous!$D$3:$AY$3, 0)),SUM(VLOOKUP($A56, LS_previous!$B$4:$AY$138, LS_previous!U$149, FALSE), VLOOKUP('Staging Table'!$A56, LS_previous!$B$4:$AY$138,LS_previous!AS$149, FALSE))/2)</f>
        <v>367.25596045199995</v>
      </c>
      <c r="AD56" s="192">
        <f t="array" ref="AD56">IF($G56=0, INDEX(LS_previous!$D$4:$AY$138, MATCH('Staging Table'!$A56, LS_previous!$B$4:$B$138, 0), MATCH(AD$4&amp;AD$5, LS_previous!$D$2:$AY$2&amp;LS_previous!$D$3:$AY$3, 0)),SUM(VLOOKUP($A56, LS_previous!$B$4:$AY$138, LS_previous!V$149, FALSE), VLOOKUP('Staging Table'!$A56, LS_previous!$B$4:$AY$138,LS_previous!AT$149, FALSE))/2)</f>
        <v>774.81081065800026</v>
      </c>
      <c r="AE56" s="192">
        <f t="array" ref="AE56">IF($G56=0, INDEX(LS_previous!$D$4:$AY$138, MATCH('Staging Table'!$A56, LS_previous!$B$4:$B$138, 0), MATCH(AE$4&amp;AE$5, LS_previous!$D$2:$AY$2&amp;LS_previous!$D$3:$AY$3, 0)),SUM(VLOOKUP($A56, LS_previous!$B$4:$AY$138, LS_previous!W$149, FALSE), VLOOKUP('Staging Table'!$A56, LS_previous!$B$4:$AY$138,LS_previous!AU$149, FALSE))/2)</f>
        <v>888.08214426400002</v>
      </c>
      <c r="AF56" s="192">
        <f t="array" ref="AF56">IF($G56=0, INDEX(LS_previous!$D$4:$AY$138, MATCH('Staging Table'!$A56, LS_previous!$B$4:$B$138, 0), MATCH(AF$4&amp;AF$5, LS_previous!$D$2:$AY$2&amp;LS_previous!$D$3:$AY$3, 0)),SUM(VLOOKUP($A56, LS_previous!$B$4:$AY$138, LS_previous!X$149, FALSE), VLOOKUP('Staging Table'!$A56, LS_previous!$B$4:$AY$138,LS_previous!AV$149, FALSE))/2)</f>
        <v>718.70927590800011</v>
      </c>
      <c r="AG56" s="192">
        <f t="array" ref="AG56">IF($G56=0, INDEX(LS_previous!$D$4:$AY$138, MATCH('Staging Table'!$A56, LS_previous!$B$4:$B$138, 0), MATCH(AG$4&amp;AG$5, LS_previous!$D$2:$AY$2&amp;LS_previous!$D$3:$AY$3, 0)),SUM(VLOOKUP($A56, LS_previous!$B$4:$AY$138, LS_previous!Y$149, FALSE), VLOOKUP('Staging Table'!$A56, LS_previous!$B$4:$AY$138,LS_previous!AW$149, FALSE))/2)</f>
        <v>536.59350426399999</v>
      </c>
      <c r="AH56" s="192">
        <f t="array" ref="AH56">IF($G56=0, INDEX(LS_previous!$D$4:$AY$138, MATCH('Staging Table'!$A56, LS_previous!$B$4:$B$138, 0), MATCH(AH$4&amp;AH$5, LS_previous!$D$2:$AY$2&amp;LS_previous!$D$3:$AY$3, 0)),SUM(VLOOKUP($A56, LS_previous!$B$4:$AY$138, LS_previous!Z$149, FALSE), VLOOKUP('Staging Table'!$A56, LS_previous!$B$4:$AY$138,LS_previous!AX$149, FALSE))/2)</f>
        <v>205.42777920000003</v>
      </c>
      <c r="AI56" s="192">
        <f t="array" ref="AI56">IF($G56=0, INDEX(LS_previous!$D$4:$AY$138, MATCH('Staging Table'!$A56, LS_previous!$B$4:$B$138, 0), MATCH(AI$4&amp;AI$5, LS_previous!$D$2:$AY$2&amp;LS_previous!$D$3:$AY$3, 0)),SUM(VLOOKUP($A56, LS_previous!$B$4:$AY$138, LS_previous!AA$149, FALSE), VLOOKUP('Staging Table'!$A56, LS_previous!$B$4:$AY$138,LS_previous!AY$149, FALSE))/2)</f>
        <v>211.90153866000014</v>
      </c>
      <c r="AJ56" s="314">
        <f t="array" ref="AJ56">INDEX(Demand_previous!$D$4:$AY$138, MATCH('Staging Table'!$A56, Demand_previous!$B$4:$B$138, 0), MATCH(AJ$4&amp;AJ$5,Demand_previous!$D$2:$AY$2&amp;Demand_previous!$D$3:$AY$3, 0))/1000</f>
        <v>0.59151157407407418</v>
      </c>
      <c r="AK56" s="314">
        <f t="array" ref="AK56">INDEX(Demand_previous!$D$4:$AY$138, MATCH('Staging Table'!$A56, Demand_previous!$B$4:$B$138, 0), MATCH(AK$4&amp;AK$5,Demand_previous!$D$2:$AY$2&amp;Demand_previous!$D$3:$AY$3, 0))/1000</f>
        <v>6.2064999999999926E-2</v>
      </c>
      <c r="AL56" s="314">
        <f t="array" ref="AL56">INDEX(Demand_previous!$D$4:$AY$138, MATCH('Staging Table'!$A56, Demand_previous!$B$4:$B$138, 0), MATCH(AL$4&amp;AL$5,Demand_previous!$D$2:$AY$2&amp;Demand_previous!$D$3:$AY$3, 0))/1000</f>
        <v>0.56261999999999968</v>
      </c>
      <c r="AM56" s="314">
        <f t="array" ref="AM56">INDEX(Demand_previous!$D$4:$AY$138, MATCH('Staging Table'!$A56, Demand_previous!$B$4:$B$138, 0), MATCH(AM$4&amp;AM$5,Demand_previous!$D$2:$AY$2&amp;Demand_previous!$D$3:$AY$3, 0))/1000</f>
        <v>0.32557692307692343</v>
      </c>
      <c r="AN56" s="314">
        <f t="array" ref="AN56">INDEX(Demand_previous!$D$4:$AY$138, MATCH('Staging Table'!$A56, Demand_previous!$B$4:$B$138, 0), MATCH(AN$4&amp;AN$5,Demand_previous!$D$2:$AY$2&amp;Demand_previous!$D$3:$AY$3, 0))/1000</f>
        <v>0.15244250000000004</v>
      </c>
      <c r="AO56" s="314">
        <f t="array" ref="AO56">INDEX(Demand_previous!$D$4:$AY$138, MATCH('Staging Table'!$A56, Demand_previous!$B$4:$B$138, 0), MATCH(AO$4&amp;AO$5,Demand_previous!$D$2:$AY$2&amp;Demand_previous!$D$3:$AY$3, 0))/1000</f>
        <v>0</v>
      </c>
      <c r="AP56" s="314">
        <f t="array" ref="AP56">INDEX(Demand_previous!$D$4:$AY$138, MATCH('Staging Table'!$A56, Demand_previous!$B$4:$B$138, 0), MATCH(AP$4&amp;AP$5,Demand_previous!$D$2:$AY$2&amp;Demand_previous!$D$3:$AY$3, 0))/1000</f>
        <v>0.3144807692307694</v>
      </c>
      <c r="AQ56" s="314">
        <f t="array" ref="AQ56">INDEX(Demand_previous!$D$4:$AY$138, MATCH('Staging Table'!$A56, Demand_previous!$B$4:$B$138, 0), MATCH(AQ$4&amp;AQ$5,Demand_previous!$D$2:$AY$2&amp;Demand_previous!$D$3:$AY$3, 0))/1000</f>
        <v>0.22976000000000041</v>
      </c>
      <c r="AR56" s="314">
        <f t="array" ref="AR56">INDEX(Demand_previous!$D$4:$AY$138, MATCH('Staging Table'!$A56, Demand_previous!$B$4:$B$138, 0), MATCH(AR$4&amp;AR$5,Demand_previous!$D$2:$AY$2&amp;Demand_previous!$D$3:$AY$3, 0))/1000</f>
        <v>0.66334615384615359</v>
      </c>
      <c r="AS56" s="314">
        <f t="array" ref="AS56">INDEX(Demand_previous!$D$4:$AY$138, MATCH('Staging Table'!$A56, Demand_previous!$B$4:$B$138, 0), MATCH(AS$4&amp;AS$5,Demand_previous!$D$2:$AY$2&amp;Demand_previous!$D$3:$AY$3, 0))/1000</f>
        <v>1.2592259615384618</v>
      </c>
      <c r="AT56" s="314">
        <f t="array" ref="AT56">INDEX(Demand_previous!$D$4:$AY$138, MATCH('Staging Table'!$A56, Demand_previous!$B$4:$B$138, 0), MATCH(AT$4&amp;AT$5,Demand_previous!$D$2:$AY$2&amp;Demand_previous!$D$3:$AY$3, 0))/1000</f>
        <v>0.56503125000000076</v>
      </c>
      <c r="AU56" s="314">
        <f t="array" ref="AU56">INDEX(Demand_previous!$D$4:$AY$138, MATCH('Staging Table'!$A56, Demand_previous!$B$4:$B$138, 0), MATCH(AU$4&amp;AU$5,Demand_previous!$D$2:$AY$2&amp;Demand_previous!$D$3:$AY$3, 0))/1000</f>
        <v>0.51897250000000006</v>
      </c>
      <c r="AV56" s="192">
        <f>$F56*(VLOOKUP(AV$4, Rates_previous!$G$6:$Q$29, 10, FALSE)+VLOOKUP(AV$4, Rates_previous!$G$6:$Q$29, 11, FALSE))</f>
        <v>1756.8891930779998</v>
      </c>
      <c r="AW56" s="192">
        <f>$F56*(VLOOKUP(AW$4, Rates_previous!$G$6:$Q$29, 10, FALSE)+VLOOKUP(AW$4, Rates_previous!$G$6:$Q$29, 11, FALSE))</f>
        <v>2231.7973474394998</v>
      </c>
      <c r="AX56" s="192">
        <f>$F56*(VLOOKUP(AX$4, Rates_previous!$G$6:$Q$29, 10, FALSE)+VLOOKUP(AX$4, Rates_previous!$G$6:$Q$29, 11, FALSE))</f>
        <v>2204.8453745780002</v>
      </c>
      <c r="AY56" s="192">
        <f>$F56*(VLOOKUP(AY$4, Rates_previous!$G$6:$Q$29, 10, FALSE)+VLOOKUP(AY$4, Rates_previous!$G$6:$Q$29, 11, FALSE))</f>
        <v>1837.8729105780001</v>
      </c>
      <c r="AZ56" s="192">
        <f>$F56*(VLOOKUP(AZ$4, Rates_previous!$G$6:$Q$29, 10, FALSE)+VLOOKUP(AZ$4, Rates_previous!$G$6:$Q$29, 11, FALSE))</f>
        <v>1664.9221923999999</v>
      </c>
      <c r="BA56" s="192">
        <f>$F56*(VLOOKUP(BA$4, Rates_previous!$G$6:$Q$29, 10, FALSE)+VLOOKUP(BA$4, Rates_previous!$G$6:$Q$29, 11, FALSE))</f>
        <v>1851.9223940284999</v>
      </c>
      <c r="BB56" s="192">
        <f>$F56*(VLOOKUP(BB$4, Rates_previous!$G$6:$Q$29, 10, FALSE)+VLOOKUP(BB$4, Rates_previous!$G$6:$Q$29, 11, FALSE))</f>
        <v>1507.8372116399999</v>
      </c>
      <c r="BC56" s="192">
        <f>$F56*(VLOOKUP(BC$4, Rates_previous!$G$6:$Q$29, 10, FALSE)+VLOOKUP(BC$4, Rates_previous!$G$6:$Q$29, 11, FALSE))</f>
        <v>2033.543323328</v>
      </c>
      <c r="BD56" s="192">
        <f>$F56*(VLOOKUP(BD$4, Rates_previous!$G$6:$Q$29, 10, FALSE)+VLOOKUP(BD$4, Rates_previous!$G$6:$Q$29, 11, FALSE))</f>
        <v>2594.66297639</v>
      </c>
      <c r="BE56" s="192">
        <f>$F56*(VLOOKUP(BE$4, Rates_previous!$G$6:$Q$29, 10, FALSE)+VLOOKUP(BE$4, Rates_previous!$G$6:$Q$29, 11, FALSE))</f>
        <v>2034.2980450780001</v>
      </c>
      <c r="BF56" s="192">
        <f>$F56*(VLOOKUP(BF$4, Rates_previous!$G$6:$Q$29, 10, FALSE)+VLOOKUP(BF$4, Rates_previous!$G$6:$Q$29, 11, FALSE))</f>
        <v>1981.0012198280001</v>
      </c>
      <c r="BG56" s="192">
        <f>$F56*(VLOOKUP(BG$4, Rates_previous!$G$6:$Q$29, 10, FALSE)+VLOOKUP(BG$4, Rates_previous!$G$6:$Q$29, 11, FALSE))</f>
        <v>1778.51768214</v>
      </c>
      <c r="BH56" s="314">
        <f>IF($D56=0,IF(C56=0, MAX(BJ56 - (VLOOKUP($A56,TOCA_previous!$A$2:$AI$137,MATCH("RHWM 2020",TOCA_previous!$A$2:$AI$2,0),FALSE)*$F$2*TOCA_previous!C53),0),0), 0)</f>
        <v>4880.1738812379954</v>
      </c>
      <c r="BI56" s="204">
        <f>MIN(VLOOKUP($A56,TOCA_previous!$A$2:$AI$137,MATCH("TRL - NLSL - Existing Resource "&amp;$F$1,TOCA_previous!$A$2:$AI$2,0),FALSE)*$F$2,(VLOOKUP($A56,TOCA_previous!$A$2:$AI$137,MATCH("RHWM 2020",TOCA_previous!$A$2:$AI$2,0),FALSE)*$F$2))</f>
        <v>23479.632000000001</v>
      </c>
      <c r="BJ56" s="418">
        <f>SUM(L56:AI56)+(F56*RT1SC!$C$3*$F$2)</f>
        <v>28359.805881237997</v>
      </c>
      <c r="BK56" s="417">
        <f>VLOOKUP($A56,TOCA_previous!$A$2:$AI$137,MATCH("Above RHWM Not Served with LS "&amp;$F$1,TOCA_previous!$A$2:$AI$2,0),FALSE)*$F$2</f>
        <v>0</v>
      </c>
      <c r="BL56" s="418">
        <f t="shared" si="8"/>
        <v>4880.1738812379954</v>
      </c>
      <c r="BM56" s="417">
        <f>(VLOOKUP($A56,TOCA_previous!$A$2:$AI$137,MATCH("RHWM 2020",TOCA_previous!$A$2:$AI$2,0),FALSE)*$F$2) - $BI56</f>
        <v>0</v>
      </c>
      <c r="BN56" s="418">
        <f t="shared" si="9"/>
        <v>0</v>
      </c>
      <c r="BO56" s="417">
        <f t="shared" si="10"/>
        <v>0</v>
      </c>
      <c r="BP56" s="418">
        <f t="shared" si="11"/>
        <v>0</v>
      </c>
      <c r="BQ56" s="417">
        <f t="shared" si="18"/>
        <v>0</v>
      </c>
      <c r="BR56" s="120">
        <f>VLOOKUP($A56,TOCA_current!$A$2:$AI$137,MATCH(BR$4,TOCA_current!$A$2:$AI$2,0),FALSE)</f>
        <v>3.8049999999999998E-4</v>
      </c>
      <c r="BS56" s="120">
        <f>VLOOKUP($A56,TOCA_current!$A$2:$AI$137,MATCH(BS$4,TOCA_current!$A$2:$AI$2,0),FALSE)</f>
        <v>3.8049999999999998E-4</v>
      </c>
      <c r="BT56" s="201">
        <f t="shared" si="12"/>
        <v>0</v>
      </c>
      <c r="BU56" s="120">
        <f>VLOOKUP($A56,TOCA_current!A52:BG187,MATCH(BU$4,TOCA_current!$A$2:$BG$2,0),FALSE)</f>
        <v>3.5115099492781895E-2</v>
      </c>
      <c r="BV56" s="120">
        <f t="shared" si="19"/>
        <v>0</v>
      </c>
      <c r="BW56" s="120">
        <f t="shared" si="20"/>
        <v>0</v>
      </c>
      <c r="BX56" s="191">
        <f>VLOOKUP($A56,IRD!$A$4:$G$139, 7, FALSE)</f>
        <v>5769.4840000000004</v>
      </c>
      <c r="BY56" s="192">
        <f t="array" ref="BY56">IF($BT56=0, INDEX(LS_current!$D$4:$AY$138, MATCH('Staging Table'!$A56, LS_current!$B$4:$B$138, 0), MATCH(BY$4&amp;BY$5, LS_current!$D$2:$AY$2&amp;LS_current!$D$3:$AY$3, 0)),SUM(VLOOKUP($A56, LS_current!$B$4:$AY$138, LS_current!D$148, FALSE), VLOOKUP($A56, LS_current!$B$4:$AY$138,LS_current!AB$148, FALSE))/2)</f>
        <v>-55.341695655757576</v>
      </c>
      <c r="BZ56" s="192">
        <f t="array" ref="BZ56">IF($BT56=0, INDEX(LS_current!$D$4:$AY$138, MATCH('Staging Table'!$A56, LS_current!$B$4:$B$138, 0), MATCH(BZ$4&amp;BZ$5, LS_current!$D$2:$AY$2&amp;LS_current!$D$3:$AY$3, 0)),SUM(VLOOKUP($A56, LS_current!$B$4:$AY$138, LS_current!E$148, FALSE), VLOOKUP($A56, LS_current!$B$4:$AY$138,LS_current!AC$148, FALSE))/2)</f>
        <v>95.36945355543628</v>
      </c>
      <c r="CA56" s="192">
        <f t="array" ref="CA56">IF($BT56=0, INDEX(LS_current!$D$4:$AY$138, MATCH('Staging Table'!$A56, LS_current!$B$4:$B$138, 0), MATCH(CA$4&amp;CA$5, LS_current!$D$2:$AY$2&amp;LS_current!$D$3:$AY$3, 0)),SUM(VLOOKUP($A56, LS_current!$B$4:$AY$138, LS_current!F$148, FALSE), VLOOKUP($A56, LS_current!$B$4:$AY$138,LS_current!AD$148, FALSE))/2)</f>
        <v>-367.81413739636787</v>
      </c>
      <c r="CB56" s="192">
        <f t="array" ref="CB56">IF($BT56=0, INDEX(LS_current!$D$4:$AY$138, MATCH('Staging Table'!$A56, LS_current!$B$4:$B$138, 0), MATCH(CB$4&amp;CB$5, LS_current!$D$2:$AY$2&amp;LS_current!$D$3:$AY$3, 0)),SUM(VLOOKUP($A56, LS_current!$B$4:$AY$138, LS_current!G$148, FALSE), VLOOKUP($A56, LS_current!$B$4:$AY$138,LS_current!AE$148, FALSE))/2)</f>
        <v>-122.9943435896904</v>
      </c>
      <c r="CC56" s="192">
        <f t="array" ref="CC56">IF($BT56=0, INDEX(LS_current!$D$4:$AY$138, MATCH('Staging Table'!$A56, LS_current!$B$4:$B$138, 0), MATCH(CC$4&amp;CC$5, LS_current!$D$2:$AY$2&amp;LS_current!$D$3:$AY$3, 0)),SUM(VLOOKUP($A56, LS_current!$B$4:$AY$138, LS_current!H$148, FALSE), VLOOKUP($A56, LS_current!$B$4:$AY$138,LS_current!AF$148, FALSE))/2)</f>
        <v>92.268424074330824</v>
      </c>
      <c r="CD56" s="192">
        <f t="array" ref="CD56">IF($BT56=0, INDEX(LS_current!$D$4:$AY$138, MATCH('Staging Table'!$A56, LS_current!$B$4:$B$138, 0), MATCH(CD$4&amp;CD$5, LS_current!$D$2:$AY$2&amp;LS_current!$D$3:$AY$3, 0)),SUM(VLOOKUP($A56, LS_current!$B$4:$AY$138, LS_current!I$148, FALSE), VLOOKUP($A56, LS_current!$B$4:$AY$138,LS_current!AG$148, FALSE))/2)</f>
        <v>30.096065966687206</v>
      </c>
      <c r="CE56" s="192">
        <f t="array" ref="CE56">IF($BT56=0, INDEX(LS_current!$D$4:$AY$138, MATCH('Staging Table'!$A56, LS_current!$B$4:$B$138, 0), MATCH(CE$4&amp;CE$5, LS_current!$D$2:$AY$2&amp;LS_current!$D$3:$AY$3, 0)),SUM(VLOOKUP($A56, LS_current!$B$4:$AY$138, LS_current!J$148, FALSE), VLOOKUP($A56, LS_current!$B$4:$AY$138,LS_current!AH$148, FALSE))/2)</f>
        <v>238.83391456044887</v>
      </c>
      <c r="CF56" s="192">
        <f t="array" ref="CF56">IF($BT56=0, INDEX(LS_current!$D$4:$AY$138, MATCH('Staging Table'!$A56, LS_current!$B$4:$B$138, 0), MATCH(CF$4&amp;CF$5, LS_current!$D$2:$AY$2&amp;LS_current!$D$3:$AY$3, 0)),SUM(VLOOKUP($A56, LS_current!$B$4:$AY$138, LS_current!K$148, FALSE), VLOOKUP($A56, LS_current!$B$4:$AY$138,LS_current!AI$148, FALSE))/2)</f>
        <v>232.17573527663774</v>
      </c>
      <c r="CG56" s="192">
        <f t="array" ref="CG56">IF($BT56=0, INDEX(LS_current!$D$4:$AY$138, MATCH('Staging Table'!$A56, LS_current!$B$4:$B$138, 0), MATCH(CG$4&amp;CG$5, LS_current!$D$2:$AY$2&amp;LS_current!$D$3:$AY$3, 0)),SUM(VLOOKUP($A56, LS_current!$B$4:$AY$138, LS_current!L$148, FALSE), VLOOKUP($A56, LS_current!$B$4:$AY$138,LS_current!AJ$148, FALSE))/2)</f>
        <v>153.30740870722866</v>
      </c>
      <c r="CH56" s="192">
        <f t="array" ref="CH56">IF($BT56=0, INDEX(LS_current!$D$4:$AY$138, MATCH('Staging Table'!$A56, LS_current!$B$4:$B$138, 0), MATCH(CH$4&amp;CH$5, LS_current!$D$2:$AY$2&amp;LS_current!$D$3:$AY$3, 0)),SUM(VLOOKUP($A56, LS_current!$B$4:$AY$138, LS_current!M$148, FALSE), VLOOKUP($A56, LS_current!$B$4:$AY$138,LS_current!AK$148, FALSE))/2)</f>
        <v>78.488832907305778</v>
      </c>
      <c r="CI56" s="192">
        <f t="array" ref="CI56">IF($BT56=0, INDEX(LS_current!$D$4:$AY$138, MATCH('Staging Table'!$A56, LS_current!$B$4:$B$138, 0), MATCH(CI$4&amp;CI$5, LS_current!$D$2:$AY$2&amp;LS_current!$D$3:$AY$3, 0)),SUM(VLOOKUP($A56, LS_current!$B$4:$AY$138, LS_current!N$148, FALSE), VLOOKUP($A56, LS_current!$B$4:$AY$138,LS_current!AL$148, FALSE))/2)</f>
        <v>-161.53183512402563</v>
      </c>
      <c r="CJ56" s="192">
        <f t="array" ref="CJ56">IF($BT56=0, INDEX(LS_current!$D$4:$AY$138, MATCH('Staging Table'!$A56, LS_current!$B$4:$B$138, 0), MATCH(CJ$4&amp;CJ$5, LS_current!$D$2:$AY$2&amp;LS_current!$D$3:$AY$3, 0)),SUM(VLOOKUP($A56, LS_current!$B$4:$AY$138, LS_current!O$148, FALSE), VLOOKUP($A56, LS_current!$B$4:$AY$138,LS_current!AM$148, FALSE))/2)</f>
        <v>-73.221922110021978</v>
      </c>
      <c r="CK56" s="192">
        <f t="array" ref="CK56">IF($BT56=0, INDEX(LS_current!$D$4:$AY$138, MATCH('Staging Table'!$A56, LS_current!$B$4:$B$138, 0), MATCH(CK$4&amp;CK$5, LS_current!$D$2:$AY$2&amp;LS_current!$D$3:$AY$3, 0)),SUM(VLOOKUP($A56, LS_current!$B$4:$AY$138, LS_current!P$148, FALSE), VLOOKUP($A56, LS_current!$B$4:$AY$138,LS_current!AN$148, FALSE))/2)</f>
        <v>241.3231628293745</v>
      </c>
      <c r="CL56" s="192">
        <f t="array" ref="CL56">IF($BT56=0, INDEX(LS_current!$D$4:$AY$138, MATCH('Staging Table'!$A56, LS_current!$B$4:$B$138, 0), MATCH(CL$4&amp;CL$5, LS_current!$D$2:$AY$2&amp;LS_current!$D$3:$AY$3, 0)),SUM(VLOOKUP($A56, LS_current!$B$4:$AY$138, LS_current!Q$148, FALSE), VLOOKUP($A56, LS_current!$B$4:$AY$138,LS_current!AO$148, FALSE))/2)</f>
        <v>147.26411699852895</v>
      </c>
      <c r="CM56" s="192">
        <f t="array" ref="CM56">IF($BT56=0, INDEX(LS_current!$D$4:$AY$138, MATCH('Staging Table'!$A56, LS_current!$B$4:$B$138, 0), MATCH(CM$4&amp;CM$5, LS_current!$D$2:$AY$2&amp;LS_current!$D$3:$AY$3, 0)),SUM(VLOOKUP($A56, LS_current!$B$4:$AY$138, LS_current!R$148, FALSE), VLOOKUP($A56, LS_current!$B$4:$AY$138,LS_current!AP$148, FALSE))/2)</f>
        <v>220.77846899372526</v>
      </c>
      <c r="CN56" s="192">
        <f t="array" ref="CN56">IF($BT56=0, INDEX(LS_current!$D$4:$AY$138, MATCH('Staging Table'!$A56, LS_current!$B$4:$B$138, 0), MATCH(CN$4&amp;CN$5, LS_current!$D$2:$AY$2&amp;LS_current!$D$3:$AY$3, 0)),SUM(VLOOKUP($A56, LS_current!$B$4:$AY$138, LS_current!S$148, FALSE), VLOOKUP($A56, LS_current!$B$4:$AY$138,LS_current!AQ$148, FALSE))/2)</f>
        <v>406.13483654182721</v>
      </c>
      <c r="CO56" s="192">
        <f t="array" ref="CO56">IF($BT56=0, INDEX(LS_current!$D$4:$AY$138, MATCH('Staging Table'!$A56, LS_current!$B$4:$B$138, 0), MATCH(CO$4&amp;CO$5, LS_current!$D$2:$AY$2&amp;LS_current!$D$3:$AY$3, 0)),SUM(VLOOKUP($A56, LS_current!$B$4:$AY$138, LS_current!T$148, FALSE), VLOOKUP($A56, LS_current!$B$4:$AY$138,LS_current!AR$148, FALSE))/2)</f>
        <v>675.18902663355971</v>
      </c>
      <c r="CP56" s="192">
        <f t="array" ref="CP56">IF($BT56=0, INDEX(LS_current!$D$4:$AY$138, MATCH('Staging Table'!$A56, LS_current!$B$4:$B$138, 0), MATCH(CP$4&amp;CP$5, LS_current!$D$2:$AY$2&amp;LS_current!$D$3:$AY$3, 0)),SUM(VLOOKUP($A56, LS_current!$B$4:$AY$138, LS_current!U$148, FALSE), VLOOKUP($A56, LS_current!$B$4:$AY$138,LS_current!AS$148, FALSE))/2)</f>
        <v>672.91388656780362</v>
      </c>
      <c r="CQ56" s="192">
        <f t="array" ref="CQ56">IF($BT56=0, INDEX(LS_current!$D$4:$AY$138, MATCH('Staging Table'!$A56, LS_current!$B$4:$B$138, 0), MATCH(CQ$4&amp;CQ$5, LS_current!$D$2:$AY$2&amp;LS_current!$D$3:$AY$3, 0)),SUM(VLOOKUP($A56, LS_current!$B$4:$AY$138, LS_current!V$148, FALSE), VLOOKUP($A56, LS_current!$B$4:$AY$138,LS_current!AT$148, FALSE))/2)</f>
        <v>841.38839251360901</v>
      </c>
      <c r="CR56" s="192">
        <f t="array" ref="CR56">IF($BT56=0, INDEX(LS_current!$D$4:$AY$138, MATCH('Staging Table'!$A56, LS_current!$B$4:$B$138, 0), MATCH(CR$4&amp;CR$5, LS_current!$D$2:$AY$2&amp;LS_current!$D$3:$AY$3, 0)),SUM(VLOOKUP($A56, LS_current!$B$4:$AY$138, LS_current!W$148, FALSE), VLOOKUP($A56, LS_current!$B$4:$AY$138,LS_current!AU$148, FALSE))/2)</f>
        <v>853.25820684954249</v>
      </c>
      <c r="CS56" s="192">
        <f t="array" ref="CS56">IF($BT56=0, INDEX(LS_current!$D$4:$AY$138, MATCH('Staging Table'!$A56, LS_current!$B$4:$B$138, 0), MATCH(CS$4&amp;CS$5, LS_current!$D$2:$AY$2&amp;LS_current!$D$3:$AY$3, 0)),SUM(VLOOKUP($A56, LS_current!$B$4:$AY$138, LS_current!X$148, FALSE), VLOOKUP($A56, LS_current!$B$4:$AY$138,LS_current!AV$148, FALSE))/2)</f>
        <v>772.93189201924292</v>
      </c>
      <c r="CT56" s="192">
        <f t="array" ref="CT56">IF($BT56=0, INDEX(LS_current!$D$4:$AY$138, MATCH('Staging Table'!$A56, LS_current!$B$4:$B$138, 0), MATCH(CT$4&amp;CT$5, LS_current!$D$2:$AY$2&amp;LS_current!$D$3:$AY$3, 0)),SUM(VLOOKUP($A56, LS_current!$B$4:$AY$138, LS_current!Y$148, FALSE), VLOOKUP($A56, LS_current!$B$4:$AY$138,LS_current!AW$148, FALSE))/2)</f>
        <v>528.06743302774203</v>
      </c>
      <c r="CU56" s="192">
        <f t="array" ref="CU56">IF($BT56=0, INDEX(LS_current!$D$4:$AY$138, MATCH('Staging Table'!$A56, LS_current!$B$4:$B$138, 0), MATCH(CU$4&amp;CU$5, LS_current!$D$2:$AY$2&amp;LS_current!$D$3:$AY$3, 0)),SUM(VLOOKUP($A56, LS_current!$B$4:$AY$138, LS_current!Z$148, FALSE), VLOOKUP($A56, LS_current!$B$4:$AY$138,LS_current!AX$148, FALSE))/2)</f>
        <v>203.03085986651968</v>
      </c>
      <c r="CV56" s="192">
        <f t="array" ref="CV56">IF($BT56=0, INDEX(LS_current!$D$4:$AY$138, MATCH('Staging Table'!$A56, LS_current!$B$4:$B$138, 0), MATCH(CV$4&amp;CV$5, LS_current!$D$2:$AY$2&amp;LS_current!$D$3:$AY$3, 0)),SUM(VLOOKUP($A56, LS_current!$B$4:$AY$138, LS_current!AA$148, FALSE), VLOOKUP($A56, LS_current!$B$4:$AY$138,LS_current!AY$148, FALSE))/2)</f>
        <v>204.39287295978534</v>
      </c>
      <c r="CW56" s="194">
        <f t="array" ref="CW56">INDEX(Demand_current!$D$4:$AY$138, MATCH($A56, Demand_current!$B$4:$B$138, 0), MATCH(CW$4&amp;CW$5,Demand_current!$D$2:$AY$2&amp;Demand_current!$D$3:$AY$3, 0))/1000</f>
        <v>0.49749278846153855</v>
      </c>
      <c r="CX56" s="194">
        <f t="array" ref="CX56">INDEX(Demand_current!$D$4:$AY$138, MATCH($A56, Demand_current!$B$4:$B$138, 0), MATCH(CX$4&amp;CX$5,Demand_current!$D$2:$AY$2&amp;Demand_current!$D$3:$AY$3, 0))/1000</f>
        <v>6.2064999999999926E-2</v>
      </c>
      <c r="CY56" s="194">
        <f t="array" ref="CY56">INDEX(Demand_current!$D$4:$AY$138, MATCH($A56, Demand_current!$B$4:$B$138, 0), MATCH(CY$4&amp;CY$5,Demand_current!$D$2:$AY$2&amp;Demand_current!$D$3:$AY$3, 0))/1000</f>
        <v>0.68944230769230752</v>
      </c>
      <c r="CZ56" s="194">
        <f t="array" ref="CZ56">INDEX(Demand_current!$D$4:$AY$138, MATCH($A56, Demand_current!$B$4:$B$138, 0), MATCH(CZ$4&amp;CZ$5,Demand_current!$D$2:$AY$2&amp;Demand_current!$D$3:$AY$3, 0))/1000</f>
        <v>0.20560000000000023</v>
      </c>
      <c r="DA56" s="194">
        <f t="array" ref="DA56">INDEX(Demand_current!$D$4:$AY$138, MATCH($A56, Demand_current!$B$4:$B$138, 0), MATCH(DA$4&amp;DA$5,Demand_current!$D$2:$AY$2&amp;Demand_current!$D$3:$AY$3, 0))/1000</f>
        <v>4.346093750000013E-2</v>
      </c>
      <c r="DB56" s="194">
        <f t="array" ref="DB56">INDEX(Demand_current!$D$4:$AY$138, MATCH($A56, Demand_current!$B$4:$B$138, 0), MATCH(DB$4&amp;DB$5,Demand_current!$D$2:$AY$2&amp;Demand_current!$D$3:$AY$3, 0))/1000</f>
        <v>2.6166666666666453E-2</v>
      </c>
      <c r="DC56" s="194">
        <f t="array" ref="DC56">INDEX(Demand_current!$D$4:$AY$138, MATCH($A56, Demand_current!$B$4:$B$138, 0), MATCH(DC$4&amp;DC$5,Demand_current!$D$2:$AY$2&amp;Demand_current!$D$3:$AY$3, 0))/1000</f>
        <v>0.3144807692307694</v>
      </c>
      <c r="DD56" s="194">
        <f t="array" ref="DD56">INDEX(Demand_current!$D$4:$AY$138, MATCH($A56, Demand_current!$B$4:$B$138, 0), MATCH(DD$4&amp;DD$5,Demand_current!$D$2:$AY$2&amp;Demand_current!$D$3:$AY$3, 0))/1000</f>
        <v>0.22976000000000041</v>
      </c>
      <c r="DE56" s="194">
        <f t="array" ref="DE56">INDEX(Demand_current!$D$4:$AY$138, MATCH($A56, Demand_current!$B$4:$B$138, 0), MATCH(DE$4&amp;DE$5,Demand_current!$D$2:$AY$2&amp;Demand_current!$D$3:$AY$3, 0))/1000</f>
        <v>0.66334615384615359</v>
      </c>
      <c r="DF56" s="194">
        <f t="array" ref="DF56">INDEX(Demand_current!$D$4:$AY$138, MATCH($A56, Demand_current!$B$4:$B$138, 0), MATCH(DF$4&amp;DF$5,Demand_current!$D$2:$AY$2&amp;Demand_current!$D$3:$AY$3, 0))/1000</f>
        <v>1.0500750000000005</v>
      </c>
      <c r="DG56" s="194">
        <f t="array" ref="DG56">INDEX(Demand_current!$D$4:$AY$138, MATCH($A56, Demand_current!$B$4:$B$138, 0), MATCH(DG$4&amp;DG$5,Demand_current!$D$2:$AY$2&amp;Demand_current!$D$3:$AY$3, 0))/1000</f>
        <v>0.74988194444444489</v>
      </c>
      <c r="DH56" s="194">
        <f t="array" ref="DH56">INDEX(Demand_current!$D$4:$AY$138, MATCH($A56, Demand_current!$B$4:$B$138, 0), MATCH(DH$4&amp;DH$5,Demand_current!$D$2:$AY$2&amp;Demand_current!$D$3:$AY$3, 0))/1000</f>
        <v>0.51897250000000006</v>
      </c>
      <c r="DI56" s="192">
        <f>$BS56*(VLOOKUP(DI$4, Rates_current!$G$6:$Q$29, 10, FALSE)+VLOOKUP(DI$4, Rates_current!$G$6:$Q$29, 11, FALSE))</f>
        <v>1732.7682421003215</v>
      </c>
      <c r="DJ56" s="192">
        <f>$BS56*(VLOOKUP(DJ$4, Rates_current!$G$6:$Q$29, 10, FALSE)+VLOOKUP(DJ$4, Rates_current!$G$6:$Q$29, 11, FALSE))</f>
        <v>2193.7474809860582</v>
      </c>
      <c r="DK56" s="192">
        <f>$BS56*(VLOOKUP(DK$4, Rates_current!$G$6:$Q$29, 10, FALSE)+VLOOKUP(DK$4, Rates_current!$G$6:$Q$29, 11, FALSE))</f>
        <v>2147.2405099589823</v>
      </c>
      <c r="DL56" s="192">
        <f>$BS56*(VLOOKUP(DL$4, Rates_current!$G$6:$Q$29, 10, FALSE)+VLOOKUP(DL$4, Rates_current!$G$6:$Q$29, 11, FALSE))</f>
        <v>1773.5293501629135</v>
      </c>
      <c r="DM56" s="192">
        <f>$BS56*(VLOOKUP(DM$4, Rates_current!$G$6:$Q$29, 10, FALSE)+VLOOKUP(DM$4, Rates_current!$G$6:$Q$29, 11, FALSE))</f>
        <v>1537.1567583854655</v>
      </c>
      <c r="DN56" s="192">
        <f>$BS56*(VLOOKUP(DN$4, Rates_current!$G$6:$Q$29, 10, FALSE)+VLOOKUP(DN$4, Rates_current!$G$6:$Q$29, 11, FALSE))</f>
        <v>1835.0547572340477</v>
      </c>
      <c r="DO56" s="192">
        <f>$BS56*(VLOOKUP(DO$4, Rates_current!$G$6:$Q$29, 10, FALSE)+VLOOKUP(DO$4, Rates_current!$G$6:$Q$29, 11, FALSE))</f>
        <v>1424.6757201720966</v>
      </c>
      <c r="DP56" s="192">
        <f>$BS56*(VLOOKUP(DP$4, Rates_current!$G$6:$Q$29, 10, FALSE)+VLOOKUP(DP$4, Rates_current!$G$6:$Q$29, 11, FALSE))</f>
        <v>1973.8986944644473</v>
      </c>
      <c r="DQ56" s="192">
        <f>$BS56*(VLOOKUP(DQ$4, Rates_current!$G$6:$Q$29, 10, FALSE)+VLOOKUP(DQ$4, Rates_current!$G$6:$Q$29, 11, FALSE))</f>
        <v>2109.1520867986364</v>
      </c>
      <c r="DR56" s="192">
        <f>$BS56*(VLOOKUP(DR$4, Rates_current!$G$6:$Q$29, 10, FALSE)+VLOOKUP(DR$4, Rates_current!$G$6:$Q$29, 11, FALSE))</f>
        <v>2002.5444006368489</v>
      </c>
      <c r="DS56" s="192">
        <f>$BS56*(VLOOKUP(DS$4, Rates_current!$G$6:$Q$29, 10, FALSE)+VLOOKUP(DS$4, Rates_current!$G$6:$Q$29, 11, FALSE))</f>
        <v>1935.3046749530149</v>
      </c>
      <c r="DT56" s="192">
        <f>$BS56*(VLOOKUP(DT$4, Rates_current!$G$6:$Q$29, 10, FALSE)+VLOOKUP(DT$4, Rates_current!$G$6:$Q$29, 11, FALSE))</f>
        <v>1788.423267173695</v>
      </c>
      <c r="DU56" s="418">
        <f>IF(D56=0,IF(C56=0,MAX(0,DW56 - (VLOOKUP($A56,TOCA_current!$A$2:$AI$137,MATCH("RHWM 2022",TOCA_current!$A$2:$AI$2,0),FALSE)*$BS$2)), 0),0)</f>
        <v>5907.9261485934694</v>
      </c>
      <c r="DV56" s="419">
        <f>MIN(VLOOKUP($A56,TOCA_current!$A$2:$AI$137,MATCH("TRL - NLSL - Existing Resource "&amp;$BS$1,TOCA_current!$A$2:$AI$2,0),FALSE)*$BS$2, VLOOKUP($A56,TOCA_current!$A$2:$AI$137,MATCH("RHWM 2022",TOCA_current!$A$2:$AI$2,0),FALSE)*$BS$2)</f>
        <v>22451.88</v>
      </c>
      <c r="DW56" s="419">
        <f>SUM(BY56:CV56)+(BS56*RT1SC!$C$4*$BS$2)</f>
        <v>28359.80614859347</v>
      </c>
      <c r="DX56" s="419">
        <f>VLOOKUP($A56,TOCA_current!$A$2:$AI$137,MATCH("Above RHWM Not Served with LS "&amp;$BS$1,TOCA_current!$A$2:$AI$2,0),FALSE)*$BS$2</f>
        <v>0</v>
      </c>
      <c r="DY56" s="419">
        <f t="shared" si="13"/>
        <v>5907.9261485934694</v>
      </c>
      <c r="DZ56" s="419">
        <f>(VLOOKUP($A56,TOCA_current!$A$2:$AI$137,MATCH("RHWM 2022",TOCA_current!$A$2:$AI$2,0),FALSE)*$BS$2) - $DV56</f>
        <v>0</v>
      </c>
      <c r="EA56" s="419">
        <f t="shared" si="14"/>
        <v>0</v>
      </c>
      <c r="EB56" s="419">
        <f t="shared" si="15"/>
        <v>0</v>
      </c>
      <c r="EC56" s="419">
        <f t="shared" si="16"/>
        <v>0</v>
      </c>
      <c r="ED56" s="419">
        <f t="shared" si="17"/>
        <v>0</v>
      </c>
    </row>
    <row r="57" spans="1:134">
      <c r="A57" s="135">
        <v>10144</v>
      </c>
      <c r="B57" s="136" t="s">
        <v>58</v>
      </c>
      <c r="C57" s="244">
        <f>VLOOKUP(A57, TOCA_current!$A$3:$D$137, 4, FALSE)</f>
        <v>0</v>
      </c>
      <c r="D57" s="203">
        <v>0</v>
      </c>
      <c r="E57" s="119">
        <f>VLOOKUP($A57,TOCA_previous!$A$2:$AI$137,MATCH(E$4,TOCA_previous!$A$2:$AI$2,0),FALSE)</f>
        <v>4.7689999999999999E-4</v>
      </c>
      <c r="F57" s="120">
        <f>VLOOKUP($A57,TOCA_previous!$A$2:$AI$137,MATCH(F$4,TOCA_previous!$A$2:$AI$2,0),FALSE)</f>
        <v>4.7689999999999999E-4</v>
      </c>
      <c r="G57" s="120">
        <f t="shared" si="5"/>
        <v>0</v>
      </c>
      <c r="H57" s="120">
        <f>VLOOKUP($A57,TOCA_previous!$A$2:$AI$137,MATCH(H$4,TOCA_previous!$A$2:$AI$2,0),FALSE)</f>
        <v>0</v>
      </c>
      <c r="I57" s="120">
        <f t="shared" si="6"/>
        <v>0</v>
      </c>
      <c r="J57" s="120">
        <f t="shared" si="7"/>
        <v>0</v>
      </c>
      <c r="K57" s="191">
        <f>VLOOKUP(A57, IRD!$A$5:$C$139, 3, FALSE)</f>
        <v>0</v>
      </c>
      <c r="L57" s="192">
        <f t="array" ref="L57">IF($G57=0, INDEX(LS_previous!$D$4:$AY$138, MATCH('Staging Table'!$A57, LS_previous!$B$4:$B$138, 0), MATCH(L$4&amp;L$5, LS_previous!$D$2:$AY$2&amp;LS_previous!$D$3:$AY$3, 0)),SUM(VLOOKUP($A57, LS_previous!$B$4:$AY$138, LS_previous!D$149, FALSE), VLOOKUP('Staging Table'!$A57, LS_previous!$B$4:$AY$138,LS_previous!AB$149, FALSE))/2)</f>
        <v>-70.321283537199861</v>
      </c>
      <c r="M57" s="192">
        <f t="array" ref="M57">IF($G57=0, INDEX(LS_previous!$D$4:$AY$138, MATCH('Staging Table'!$A57, LS_previous!$B$4:$B$138, 0), MATCH(M$4&amp;M$5, LS_previous!$D$2:$AY$2&amp;LS_previous!$D$3:$AY$3, 0)),SUM(VLOOKUP($A57, LS_previous!$B$4:$AY$138, LS_previous!E$149, FALSE), VLOOKUP('Staging Table'!$A57, LS_previous!$B$4:$AY$138,LS_previous!AC$149, FALSE))/2)</f>
        <v>97.412712764800062</v>
      </c>
      <c r="N57" s="192">
        <f t="array" ref="N57">IF($G57=0, INDEX(LS_previous!$D$4:$AY$138, MATCH('Staging Table'!$A57, LS_previous!$B$4:$B$138, 0), MATCH(N$4&amp;N$5, LS_previous!$D$2:$AY$2&amp;LS_previous!$D$3:$AY$3, 0)),SUM(VLOOKUP($A57, LS_previous!$B$4:$AY$138, LS_previous!F$149, FALSE), VLOOKUP('Staging Table'!$A57, LS_previous!$B$4:$AY$138,LS_previous!AD$149, FALSE))/2)</f>
        <v>48.486425896800029</v>
      </c>
      <c r="O57" s="192">
        <f t="array" ref="O57">IF($G57=0, INDEX(LS_previous!$D$4:$AY$138, MATCH('Staging Table'!$A57, LS_previous!$B$4:$B$138, 0), MATCH(O$4&amp;O$5, LS_previous!$D$2:$AY$2&amp;LS_previous!$D$3:$AY$3, 0)),SUM(VLOOKUP($A57, LS_previous!$B$4:$AY$138, LS_previous!G$149, FALSE), VLOOKUP('Staging Table'!$A57, LS_previous!$B$4:$AY$138,LS_previous!AE$149, FALSE))/2)</f>
        <v>138.13346242410012</v>
      </c>
      <c r="P57" s="192">
        <f t="array" ref="P57">IF($G57=0, INDEX(LS_previous!$D$4:$AY$138, MATCH('Staging Table'!$A57, LS_previous!$B$4:$B$138, 0), MATCH(P$4&amp;P$5, LS_previous!$D$2:$AY$2&amp;LS_previous!$D$3:$AY$3, 0)),SUM(VLOOKUP($A57, LS_previous!$B$4:$AY$138, LS_previous!H$149, FALSE), VLOOKUP('Staging Table'!$A57, LS_previous!$B$4:$AY$138,LS_previous!AF$149, FALSE))/2)</f>
        <v>338.21601312320013</v>
      </c>
      <c r="Q57" s="192">
        <f t="array" ref="Q57">IF($G57=0, INDEX(LS_previous!$D$4:$AY$138, MATCH('Staging Table'!$A57, LS_previous!$B$4:$B$138, 0), MATCH(Q$4&amp;Q$5, LS_previous!$D$2:$AY$2&amp;LS_previous!$D$3:$AY$3, 0)),SUM(VLOOKUP($A57, LS_previous!$B$4:$AY$138, LS_previous!I$149, FALSE), VLOOKUP('Staging Table'!$A57, LS_previous!$B$4:$AY$138,LS_previous!AG$149, FALSE))/2)</f>
        <v>289.20915340439979</v>
      </c>
      <c r="R57" s="192">
        <f t="array" ref="R57">IF($G57=0, INDEX(LS_previous!$D$4:$AY$138, MATCH('Staging Table'!$A57, LS_previous!$B$4:$B$138, 0), MATCH(R$4&amp;R$5, LS_previous!$D$2:$AY$2&amp;LS_previous!$D$3:$AY$3, 0)),SUM(VLOOKUP($A57, LS_previous!$B$4:$AY$138, LS_previous!J$149, FALSE), VLOOKUP('Staging Table'!$A57, LS_previous!$B$4:$AY$138,LS_previous!AH$149, FALSE))/2)</f>
        <v>570.58157752319994</v>
      </c>
      <c r="S57" s="192">
        <f t="array" ref="S57">IF($G57=0, INDEX(LS_previous!$D$4:$AY$138, MATCH('Staging Table'!$A57, LS_previous!$B$4:$B$138, 0), MATCH(S$4&amp;S$5, LS_previous!$D$2:$AY$2&amp;LS_previous!$D$3:$AY$3, 0)),SUM(VLOOKUP($A57, LS_previous!$B$4:$AY$138, LS_previous!K$149, FALSE), VLOOKUP('Staging Table'!$A57, LS_previous!$B$4:$AY$138,LS_previous!AI$149, FALSE))/2)</f>
        <v>601.20884020439996</v>
      </c>
      <c r="T57" s="192">
        <f t="array" ref="T57">IF($G57=0, INDEX(LS_previous!$D$4:$AY$138, MATCH('Staging Table'!$A57, LS_previous!$B$4:$B$138, 0), MATCH(T$4&amp;T$5, LS_previous!$D$2:$AY$2&amp;LS_previous!$D$3:$AY$3, 0)),SUM(VLOOKUP($A57, LS_previous!$B$4:$AY$138, LS_previous!L$149, FALSE), VLOOKUP('Staging Table'!$A57, LS_previous!$B$4:$AY$138,LS_previous!AJ$149, FALSE))/2)</f>
        <v>486.1202315644</v>
      </c>
      <c r="U57" s="192">
        <f t="array" ref="U57">IF($G57=0, INDEX(LS_previous!$D$4:$AY$138, MATCH('Staging Table'!$A57, LS_previous!$B$4:$B$138, 0), MATCH(U$4&amp;U$5, LS_previous!$D$2:$AY$2&amp;LS_previous!$D$3:$AY$3, 0)),SUM(VLOOKUP($A57, LS_previous!$B$4:$AY$138, LS_previous!M$149, FALSE), VLOOKUP('Staging Table'!$A57, LS_previous!$B$4:$AY$138,LS_previous!AK$149, FALSE))/2)</f>
        <v>383.85811651559993</v>
      </c>
      <c r="V57" s="192">
        <f t="array" ref="V57">IF($G57=0, INDEX(LS_previous!$D$4:$AY$138, MATCH('Staging Table'!$A57, LS_previous!$B$4:$B$138, 0), MATCH(V$4&amp;V$5, LS_previous!$D$2:$AY$2&amp;LS_previous!$D$3:$AY$3, 0)),SUM(VLOOKUP($A57, LS_previous!$B$4:$AY$138, LS_previous!N$149, FALSE), VLOOKUP('Staging Table'!$A57, LS_previous!$B$4:$AY$138,LS_previous!AL$149, FALSE))/2)</f>
        <v>182.64120914960017</v>
      </c>
      <c r="W57" s="192">
        <f t="array" ref="W57">IF($G57=0, INDEX(LS_previous!$D$4:$AY$138, MATCH('Staging Table'!$A57, LS_previous!$B$4:$B$138, 0), MATCH(W$4&amp;W$5, LS_previous!$D$2:$AY$2&amp;LS_previous!$D$3:$AY$3, 0)),SUM(VLOOKUP($A57, LS_previous!$B$4:$AY$138, LS_previous!O$149, FALSE), VLOOKUP('Staging Table'!$A57, LS_previous!$B$4:$AY$138,LS_previous!AM$149, FALSE))/2)</f>
        <v>161.51027649510002</v>
      </c>
      <c r="X57" s="192">
        <f t="array" ref="X57">IF($G57=0, INDEX(LS_previous!$D$4:$AY$138, MATCH('Staging Table'!$A57, LS_previous!$B$4:$B$138, 0), MATCH(X$4&amp;X$5, LS_previous!$D$2:$AY$2&amp;LS_previous!$D$3:$AY$3, 0)),SUM(VLOOKUP($A57, LS_previous!$B$4:$AY$138, LS_previous!P$149, FALSE), VLOOKUP('Staging Table'!$A57, LS_previous!$B$4:$AY$138,LS_previous!AN$149, FALSE))/2)</f>
        <v>260.99343558639998</v>
      </c>
      <c r="Y57" s="192">
        <f t="array" ref="Y57">IF($G57=0, INDEX(LS_previous!$D$4:$AY$138, MATCH('Staging Table'!$A57, LS_previous!$B$4:$B$138, 0), MATCH(Y$4&amp;Y$5, LS_previous!$D$2:$AY$2&amp;LS_previous!$D$3:$AY$3, 0)),SUM(VLOOKUP($A57, LS_previous!$B$4:$AY$138, LS_previous!Q$149, FALSE), VLOOKUP('Staging Table'!$A57, LS_previous!$B$4:$AY$138,LS_previous!AO$149, FALSE))/2)</f>
        <v>184.77750730160005</v>
      </c>
      <c r="Z57" s="192">
        <f t="array" ref="Z57">IF($G57=0, INDEX(LS_previous!$D$4:$AY$138, MATCH('Staging Table'!$A57, LS_previous!$B$4:$B$138, 0), MATCH(Z$4&amp;Z$5, LS_previous!$D$2:$AY$2&amp;LS_previous!$D$3:$AY$3, 0)),SUM(VLOOKUP($A57, LS_previous!$B$4:$AY$138, LS_previous!R$149, FALSE), VLOOKUP('Staging Table'!$A57, LS_previous!$B$4:$AY$138,LS_previous!AP$149, FALSE))/2)</f>
        <v>-489.5567379900001</v>
      </c>
      <c r="AA57" s="192">
        <f t="array" ref="AA57">IF($G57=0, INDEX(LS_previous!$D$4:$AY$138, MATCH('Staging Table'!$A57, LS_previous!$B$4:$B$138, 0), MATCH(AA$4&amp;AA$5, LS_previous!$D$2:$AY$2&amp;LS_previous!$D$3:$AY$3, 0)),SUM(VLOOKUP($A57, LS_previous!$B$4:$AY$138, LS_previous!S$149, FALSE), VLOOKUP('Staging Table'!$A57, LS_previous!$B$4:$AY$138,LS_previous!AQ$149, FALSE))/2)</f>
        <v>-108.48152323239992</v>
      </c>
      <c r="AB57" s="192">
        <f t="array" ref="AB57">IF($G57=0, INDEX(LS_previous!$D$4:$AY$138, MATCH('Staging Table'!$A57, LS_previous!$B$4:$B$138, 0), MATCH(AB$4&amp;AB$5, LS_previous!$D$2:$AY$2&amp;LS_previous!$D$3:$AY$3, 0)),SUM(VLOOKUP($A57, LS_previous!$B$4:$AY$138, LS_previous!T$149, FALSE), VLOOKUP('Staging Table'!$A57, LS_previous!$B$4:$AY$138,LS_previous!AR$149, FALSE))/2)</f>
        <v>-991.15257156359985</v>
      </c>
      <c r="AC57" s="192">
        <f t="array" ref="AC57">IF($G57=0, INDEX(LS_previous!$D$4:$AY$138, MATCH('Staging Table'!$A57, LS_previous!$B$4:$B$138, 0), MATCH(AC$4&amp;AC$5, LS_previous!$D$2:$AY$2&amp;LS_previous!$D$3:$AY$3, 0)),SUM(VLOOKUP($A57, LS_previous!$B$4:$AY$138, LS_previous!U$149, FALSE), VLOOKUP('Staging Table'!$A57, LS_previous!$B$4:$AY$138,LS_previous!AS$149, FALSE))/2)</f>
        <v>-519.2054860984</v>
      </c>
      <c r="AD57" s="192">
        <f t="array" ref="AD57">IF($G57=0, INDEX(LS_previous!$D$4:$AY$138, MATCH('Staging Table'!$A57, LS_previous!$B$4:$B$138, 0), MATCH(AD$4&amp;AD$5, LS_previous!$D$2:$AY$2&amp;LS_previous!$D$3:$AY$3, 0)),SUM(VLOOKUP($A57, LS_previous!$B$4:$AY$138, LS_previous!V$149, FALSE), VLOOKUP('Staging Table'!$A57, LS_previous!$B$4:$AY$138,LS_previous!AT$149, FALSE))/2)</f>
        <v>-740.1333860635998</v>
      </c>
      <c r="AE57" s="192">
        <f t="array" ref="AE57">IF($G57=0, INDEX(LS_previous!$D$4:$AY$138, MATCH('Staging Table'!$A57, LS_previous!$B$4:$B$138, 0), MATCH(AE$4&amp;AE$5, LS_previous!$D$2:$AY$2&amp;LS_previous!$D$3:$AY$3, 0)),SUM(VLOOKUP($A57, LS_previous!$B$4:$AY$138, LS_previous!W$149, FALSE), VLOOKUP('Staging Table'!$A57, LS_previous!$B$4:$AY$138,LS_previous!AU$149, FALSE))/2)</f>
        <v>-121.15580630879992</v>
      </c>
      <c r="AF57" s="192">
        <f t="array" ref="AF57">IF($G57=0, INDEX(LS_previous!$D$4:$AY$138, MATCH('Staging Table'!$A57, LS_previous!$B$4:$B$138, 0), MATCH(AF$4&amp;AF$5, LS_previous!$D$2:$AY$2&amp;LS_previous!$D$3:$AY$3, 0)),SUM(VLOOKUP($A57, LS_previous!$B$4:$AY$138, LS_previous!X$149, FALSE), VLOOKUP('Staging Table'!$A57, LS_previous!$B$4:$AY$138,LS_previous!AV$149, FALSE))/2)</f>
        <v>-572.29305261359991</v>
      </c>
      <c r="AG57" s="192">
        <f t="array" ref="AG57">IF($G57=0, INDEX(LS_previous!$D$4:$AY$138, MATCH('Staging Table'!$A57, LS_previous!$B$4:$B$138, 0), MATCH(AG$4&amp;AG$5, LS_previous!$D$2:$AY$2&amp;LS_previous!$D$3:$AY$3, 0)),SUM(VLOOKUP($A57, LS_previous!$B$4:$AY$138, LS_previous!Y$149, FALSE), VLOOKUP('Staging Table'!$A57, LS_previous!$B$4:$AY$138,LS_previous!AW$149, FALSE))/2)</f>
        <v>-189.03151830879995</v>
      </c>
      <c r="AH57" s="192">
        <f t="array" ref="AH57">IF($G57=0, INDEX(LS_previous!$D$4:$AY$138, MATCH('Staging Table'!$A57, LS_previous!$B$4:$B$138, 0), MATCH(AH$4&amp;AH$5, LS_previous!$D$2:$AY$2&amp;LS_previous!$D$3:$AY$3, 0)),SUM(VLOOKUP($A57, LS_previous!$B$4:$AY$138, LS_previous!Z$149, FALSE), VLOOKUP('Staging Table'!$A57, LS_previous!$B$4:$AY$138,LS_previous!AX$149, FALSE))/2)</f>
        <v>-346.81359264000002</v>
      </c>
      <c r="AI57" s="192">
        <f t="array" ref="AI57">IF($G57=0, INDEX(LS_previous!$D$4:$AY$138, MATCH('Staging Table'!$A57, LS_previous!$B$4:$B$138, 0), MATCH(AI$4&amp;AI$5, LS_previous!$D$2:$AY$2&amp;LS_previous!$D$3:$AY$3, 0)),SUM(VLOOKUP($A57, LS_previous!$B$4:$AY$138, LS_previous!AA$149, FALSE), VLOOKUP('Staging Table'!$A57, LS_previous!$B$4:$AY$138,LS_previous!AY$149, FALSE))/2)</f>
        <v>-159.72306337199996</v>
      </c>
      <c r="AJ57" s="314">
        <f t="array" ref="AJ57">INDEX(Demand_previous!$D$4:$AY$138, MATCH('Staging Table'!$A57, Demand_previous!$B$4:$B$138, 0), MATCH(AJ$4&amp;AJ$5,Demand_previous!$D$2:$AY$2&amp;Demand_previous!$D$3:$AY$3, 0))/1000</f>
        <v>0.74296759259259293</v>
      </c>
      <c r="AK57" s="314">
        <f t="array" ref="AK57">INDEX(Demand_previous!$D$4:$AY$138, MATCH('Staging Table'!$A57, Demand_previous!$B$4:$B$138, 0), MATCH(AK$4&amp;AK$5,Demand_previous!$D$2:$AY$2&amp;Demand_previous!$D$3:$AY$3, 0))/1000</f>
        <v>0.69644249999999985</v>
      </c>
      <c r="AL57" s="314">
        <f t="array" ref="AL57">INDEX(Demand_previous!$D$4:$AY$138, MATCH('Staging Table'!$A57, Demand_previous!$B$4:$B$138, 0), MATCH(AL$4&amp;AL$5,Demand_previous!$D$2:$AY$2&amp;Demand_previous!$D$3:$AY$3, 0))/1000</f>
        <v>1.2231999999999994</v>
      </c>
      <c r="AM57" s="314">
        <f t="array" ref="AM57">INDEX(Demand_previous!$D$4:$AY$138, MATCH('Staging Table'!$A57, Demand_previous!$B$4:$B$138, 0), MATCH(AM$4&amp;AM$5,Demand_previous!$D$2:$AY$2&amp;Demand_previous!$D$3:$AY$3, 0))/1000</f>
        <v>1.5684374999999997</v>
      </c>
      <c r="AN57" s="314">
        <f t="array" ref="AN57">INDEX(Demand_previous!$D$4:$AY$138, MATCH('Staging Table'!$A57, Demand_previous!$B$4:$B$138, 0), MATCH(AN$4&amp;AN$5,Demand_previous!$D$2:$AY$2&amp;Demand_previous!$D$3:$AY$3, 0))/1000</f>
        <v>1.2993775000000001</v>
      </c>
      <c r="AO57" s="314">
        <f t="array" ref="AO57">INDEX(Demand_previous!$D$4:$AY$138, MATCH('Staging Table'!$A57, Demand_previous!$B$4:$B$138, 0), MATCH(AO$4&amp;AO$5,Demand_previous!$D$2:$AY$2&amp;Demand_previous!$D$3:$AY$3, 0))/1000</f>
        <v>1.2033341346153845</v>
      </c>
      <c r="AP57" s="314">
        <f t="array" ref="AP57">INDEX(Demand_previous!$D$4:$AY$138, MATCH('Staging Table'!$A57, Demand_previous!$B$4:$B$138, 0), MATCH(AP$4&amp;AP$5,Demand_previous!$D$2:$AY$2&amp;Demand_previous!$D$3:$AY$3, 0))/1000</f>
        <v>0.73598076923076894</v>
      </c>
      <c r="AQ57" s="314">
        <f t="array" ref="AQ57">INDEX(Demand_previous!$D$4:$AY$138, MATCH('Staging Table'!$A57, Demand_previous!$B$4:$B$138, 0), MATCH(AQ$4&amp;AQ$5,Demand_previous!$D$2:$AY$2&amp;Demand_previous!$D$3:$AY$3, 0))/1000</f>
        <v>0.46606499999999951</v>
      </c>
      <c r="AR57" s="314">
        <f t="array" ref="AR57">INDEX(Demand_previous!$D$4:$AY$138, MATCH('Staging Table'!$A57, Demand_previous!$B$4:$B$138, 0), MATCH(AR$4&amp;AR$5,Demand_previous!$D$2:$AY$2&amp;Demand_previous!$D$3:$AY$3, 0))/1000</f>
        <v>0.58208653846153835</v>
      </c>
      <c r="AS57" s="314">
        <f t="array" ref="AS57">INDEX(Demand_previous!$D$4:$AY$138, MATCH('Staging Table'!$A57, Demand_previous!$B$4:$B$138, 0), MATCH(AS$4&amp;AS$5,Demand_previous!$D$2:$AY$2&amp;Demand_previous!$D$3:$AY$3, 0))/1000</f>
        <v>0.63207692307692287</v>
      </c>
      <c r="AT57" s="314">
        <f t="array" ref="AT57">INDEX(Demand_previous!$D$4:$AY$138, MATCH('Staging Table'!$A57, Demand_previous!$B$4:$B$138, 0), MATCH(AT$4&amp;AT$5,Demand_previous!$D$2:$AY$2&amp;Demand_previous!$D$3:$AY$3, 0))/1000</f>
        <v>0.50564182692307647</v>
      </c>
      <c r="AU57" s="314">
        <f t="array" ref="AU57">INDEX(Demand_previous!$D$4:$AY$138, MATCH('Staging Table'!$A57, Demand_previous!$B$4:$B$138, 0), MATCH(AU$4&amp;AU$5,Demand_previous!$D$2:$AY$2&amp;Demand_previous!$D$3:$AY$3, 0))/1000</f>
        <v>0.50517000000000034</v>
      </c>
      <c r="AV57" s="192">
        <f>$F57*(VLOOKUP(AV$4, Rates_previous!$G$6:$Q$29, 10, FALSE)+VLOOKUP(AV$4, Rates_previous!$G$6:$Q$29, 11, FALSE))</f>
        <v>2201.9985707723999</v>
      </c>
      <c r="AW57" s="192">
        <f>$F57*(VLOOKUP(AW$4, Rates_previous!$G$6:$Q$29, 10, FALSE)+VLOOKUP(AW$4, Rates_previous!$G$6:$Q$29, 11, FALSE))</f>
        <v>2797.2251116790999</v>
      </c>
      <c r="AX57" s="192">
        <f>$F57*(VLOOKUP(AX$4, Rates_previous!$G$6:$Q$29, 10, FALSE)+VLOOKUP(AX$4, Rates_previous!$G$6:$Q$29, 11, FALSE))</f>
        <v>2763.4448334724002</v>
      </c>
      <c r="AY57" s="192">
        <f>$F57*(VLOOKUP(AY$4, Rates_previous!$G$6:$Q$29, 10, FALSE)+VLOOKUP(AY$4, Rates_previous!$G$6:$Q$29, 11, FALSE))</f>
        <v>2303.4995822724004</v>
      </c>
      <c r="AZ57" s="192">
        <f>$F57*(VLOOKUP(AZ$4, Rates_previous!$G$6:$Q$29, 10, FALSE)+VLOOKUP(AZ$4, Rates_previous!$G$6:$Q$29, 11, FALSE))</f>
        <v>2086.7316519199999</v>
      </c>
      <c r="BA57" s="192">
        <f>$F57*(VLOOKUP(BA$4, Rates_previous!$G$6:$Q$29, 10, FALSE)+VLOOKUP(BA$4, Rates_previous!$G$6:$Q$29, 11, FALSE))</f>
        <v>2321.1085143553</v>
      </c>
      <c r="BB57" s="192">
        <f>$F57*(VLOOKUP(BB$4, Rates_previous!$G$6:$Q$29, 10, FALSE)+VLOOKUP(BB$4, Rates_previous!$G$6:$Q$29, 11, FALSE))</f>
        <v>1889.8490571119999</v>
      </c>
      <c r="BC57" s="192">
        <f>$F57*(VLOOKUP(BC$4, Rates_previous!$G$6:$Q$29, 10, FALSE)+VLOOKUP(BC$4, Rates_previous!$G$6:$Q$29, 11, FALSE))</f>
        <v>2548.7432612224002</v>
      </c>
      <c r="BD57" s="192">
        <f>$F57*(VLOOKUP(BD$4, Rates_previous!$G$6:$Q$29, 10, FALSE)+VLOOKUP(BD$4, Rates_previous!$G$6:$Q$29, 11, FALSE))</f>
        <v>3252.0230576620002</v>
      </c>
      <c r="BE57" s="192">
        <f>$F57*(VLOOKUP(BE$4, Rates_previous!$G$6:$Q$29, 10, FALSE)+VLOOKUP(BE$4, Rates_previous!$G$6:$Q$29, 11, FALSE))</f>
        <v>2549.6891923724002</v>
      </c>
      <c r="BF57" s="192">
        <f>$F57*(VLOOKUP(BF$4, Rates_previous!$G$6:$Q$29, 10, FALSE)+VLOOKUP(BF$4, Rates_previous!$G$6:$Q$29, 11, FALSE))</f>
        <v>2482.8895709224003</v>
      </c>
      <c r="BG57" s="192">
        <f>$F57*(VLOOKUP(BG$4, Rates_previous!$G$6:$Q$29, 10, FALSE)+VLOOKUP(BG$4, Rates_previous!$G$6:$Q$29, 11, FALSE))</f>
        <v>2229.1066560120003</v>
      </c>
      <c r="BH57" s="314">
        <f>IF($D57=0,IF(C57=0, MAX(BJ57 - (VLOOKUP($A57,TOCA_previous!$A$2:$AI$137,MATCH("RHWM 2020",TOCA_previous!$A$2:$AI$2,0),FALSE)*$F$2*TOCA_previous!C54),0),0), 0)</f>
        <v>0</v>
      </c>
      <c r="BI57" s="204">
        <f>MIN(VLOOKUP($A57,TOCA_previous!$A$2:$AI$137,MATCH("TRL - NLSL - Existing Resource "&amp;$F$1,TOCA_previous!$A$2:$AI$2,0),FALSE)*$F$2,(VLOOKUP($A57,TOCA_previous!$A$2:$AI$137,MATCH("RHWM 2020",TOCA_previous!$A$2:$AI$2,0),FALSE)*$F$2))</f>
        <v>29426.400000000001</v>
      </c>
      <c r="BJ57" s="418">
        <f>SUM(L57:AI57)+(F57*RT1SC!$C$3*$F$2)</f>
        <v>28861.591104500396</v>
      </c>
      <c r="BK57" s="417">
        <f>VLOOKUP($A57,TOCA_previous!$A$2:$AI$137,MATCH("Above RHWM Not Served with LS "&amp;$F$1,TOCA_previous!$A$2:$AI$2,0),FALSE)*$F$2</f>
        <v>0</v>
      </c>
      <c r="BL57" s="418">
        <f t="shared" si="8"/>
        <v>-564.80889549960557</v>
      </c>
      <c r="BM57" s="417">
        <f>(VLOOKUP($A57,TOCA_previous!$A$2:$AI$137,MATCH("RHWM 2020",TOCA_previous!$A$2:$AI$2,0),FALSE)*$F$2) - $BI57</f>
        <v>0</v>
      </c>
      <c r="BN57" s="418">
        <f t="shared" si="9"/>
        <v>0</v>
      </c>
      <c r="BO57" s="417">
        <f t="shared" si="10"/>
        <v>564.80889549960557</v>
      </c>
      <c r="BP57" s="418">
        <f t="shared" si="11"/>
        <v>0</v>
      </c>
      <c r="BQ57" s="417">
        <f t="shared" si="18"/>
        <v>564.80889549960557</v>
      </c>
      <c r="BR57" s="120">
        <f>VLOOKUP($A57,TOCA_current!$A$2:$AI$137,MATCH(BR$4,TOCA_current!$A$2:$AI$2,0),FALSE)</f>
        <v>4.7699999999999999E-4</v>
      </c>
      <c r="BS57" s="120">
        <f>VLOOKUP($A57,TOCA_current!$A$2:$AI$137,MATCH(BS$4,TOCA_current!$A$2:$AI$2,0),FALSE)</f>
        <v>4.7699999999999999E-4</v>
      </c>
      <c r="BT57" s="201">
        <f t="shared" si="12"/>
        <v>0</v>
      </c>
      <c r="BU57" s="120">
        <f>VLOOKUP($A57,TOCA_current!A53:BG188,MATCH(BU$4,TOCA_current!$A$2:$BG$2,0),FALSE)</f>
        <v>0</v>
      </c>
      <c r="BV57" s="120">
        <f t="shared" si="19"/>
        <v>0</v>
      </c>
      <c r="BW57" s="120">
        <f t="shared" si="20"/>
        <v>0</v>
      </c>
      <c r="BX57" s="191">
        <f>VLOOKUP($A57,IRD!$A$4:$G$139, 7, FALSE)</f>
        <v>0</v>
      </c>
      <c r="BY57" s="192">
        <f t="array" ref="BY57">IF($BT57=0, INDEX(LS_current!$D$4:$AY$138, MATCH('Staging Table'!$A57, LS_current!$B$4:$B$138, 0), MATCH(BY$4&amp;BY$5, LS_current!$D$2:$AY$2&amp;LS_current!$D$3:$AY$3, 0)),SUM(VLOOKUP($A57, LS_current!$B$4:$AY$138, LS_current!D$148, FALSE), VLOOKUP($A57, LS_current!$B$4:$AY$138,LS_current!AB$148, FALSE))/2)</f>
        <v>-28.514956183433469</v>
      </c>
      <c r="BZ57" s="192">
        <f t="array" ref="BZ57">IF($BT57=0, INDEX(LS_current!$D$4:$AY$138, MATCH('Staging Table'!$A57, LS_current!$B$4:$B$138, 0), MATCH(BZ$4&amp;BZ$5, LS_current!$D$2:$AY$2&amp;LS_current!$D$3:$AY$3, 0)),SUM(VLOOKUP($A57, LS_current!$B$4:$AY$138, LS_current!E$148, FALSE), VLOOKUP($A57, LS_current!$B$4:$AY$138,LS_current!AC$148, FALSE))/2)</f>
        <v>85.383007479482444</v>
      </c>
      <c r="CA57" s="192">
        <f t="array" ref="CA57">IF($BT57=0, INDEX(LS_current!$D$4:$AY$138, MATCH('Staging Table'!$A57, LS_current!$B$4:$B$138, 0), MATCH(CA$4&amp;CA$5, LS_current!$D$2:$AY$2&amp;LS_current!$D$3:$AY$3, 0)),SUM(VLOOKUP($A57, LS_current!$B$4:$AY$138, LS_current!F$148, FALSE), VLOOKUP($A57, LS_current!$B$4:$AY$138,LS_current!AD$148, FALSE))/2)</f>
        <v>114.62315364502638</v>
      </c>
      <c r="CB57" s="192">
        <f t="array" ref="CB57">IF($BT57=0, INDEX(LS_current!$D$4:$AY$138, MATCH('Staging Table'!$A57, LS_current!$B$4:$B$138, 0), MATCH(CB$4&amp;CB$5, LS_current!$D$2:$AY$2&amp;LS_current!$D$3:$AY$3, 0)),SUM(VLOOKUP($A57, LS_current!$B$4:$AY$138, LS_current!G$148, FALSE), VLOOKUP($A57, LS_current!$B$4:$AY$138,LS_current!AE$148, FALSE))/2)</f>
        <v>119.1100239361831</v>
      </c>
      <c r="CC57" s="192">
        <f t="array" ref="CC57">IF($BT57=0, INDEX(LS_current!$D$4:$AY$138, MATCH('Staging Table'!$A57, LS_current!$B$4:$B$138, 0), MATCH(CC$4&amp;CC$5, LS_current!$D$2:$AY$2&amp;LS_current!$D$3:$AY$3, 0)),SUM(VLOOKUP($A57, LS_current!$B$4:$AY$138, LS_current!H$148, FALSE), VLOOKUP($A57, LS_current!$B$4:$AY$138,LS_current!AF$148, FALSE))/2)</f>
        <v>516.53270508135574</v>
      </c>
      <c r="CD57" s="192">
        <f t="array" ref="CD57">IF($BT57=0, INDEX(LS_current!$D$4:$AY$138, MATCH('Staging Table'!$A57, LS_current!$B$4:$B$138, 0), MATCH(CD$4&amp;CD$5, LS_current!$D$2:$AY$2&amp;LS_current!$D$3:$AY$3, 0)),SUM(VLOOKUP($A57, LS_current!$B$4:$AY$138, LS_current!I$148, FALSE), VLOOKUP($A57, LS_current!$B$4:$AY$138,LS_current!AG$148, FALSE))/2)</f>
        <v>182.52724695429629</v>
      </c>
      <c r="CE57" s="192">
        <f t="array" ref="CE57">IF($BT57=0, INDEX(LS_current!$D$4:$AY$138, MATCH('Staging Table'!$A57, LS_current!$B$4:$B$138, 0), MATCH(CE$4&amp;CE$5, LS_current!$D$2:$AY$2&amp;LS_current!$D$3:$AY$3, 0)),SUM(VLOOKUP($A57, LS_current!$B$4:$AY$138, LS_current!J$148, FALSE), VLOOKUP($A57, LS_current!$B$4:$AY$138,LS_current!AH$148, FALSE))/2)</f>
        <v>753.44647107840751</v>
      </c>
      <c r="CF57" s="192">
        <f t="array" ref="CF57">IF($BT57=0, INDEX(LS_current!$D$4:$AY$138, MATCH('Staging Table'!$A57, LS_current!$B$4:$B$138, 0), MATCH(CF$4&amp;CF$5, LS_current!$D$2:$AY$2&amp;LS_current!$D$3:$AY$3, 0)),SUM(VLOOKUP($A57, LS_current!$B$4:$AY$138, LS_current!K$148, FALSE), VLOOKUP($A57, LS_current!$B$4:$AY$138,LS_current!AI$148, FALSE))/2)</f>
        <v>498.52289809975343</v>
      </c>
      <c r="CG57" s="192">
        <f t="array" ref="CG57">IF($BT57=0, INDEX(LS_current!$D$4:$AY$138, MATCH('Staging Table'!$A57, LS_current!$B$4:$B$138, 0), MATCH(CG$4&amp;CG$5, LS_current!$D$2:$AY$2&amp;LS_current!$D$3:$AY$3, 0)),SUM(VLOOKUP($A57, LS_current!$B$4:$AY$138, LS_current!L$148, FALSE), VLOOKUP($A57, LS_current!$B$4:$AY$138,LS_current!AJ$148, FALSE))/2)</f>
        <v>683.27781196674914</v>
      </c>
      <c r="CH57" s="192">
        <f t="array" ref="CH57">IF($BT57=0, INDEX(LS_current!$D$4:$AY$138, MATCH('Staging Table'!$A57, LS_current!$B$4:$B$138, 0), MATCH(CH$4&amp;CH$5, LS_current!$D$2:$AY$2&amp;LS_current!$D$3:$AY$3, 0)),SUM(VLOOKUP($A57, LS_current!$B$4:$AY$138, LS_current!M$148, FALSE), VLOOKUP($A57, LS_current!$B$4:$AY$138,LS_current!AK$148, FALSE))/2)</f>
        <v>346.43146858550551</v>
      </c>
      <c r="CI57" s="192">
        <f t="array" ref="CI57">IF($BT57=0, INDEX(LS_current!$D$4:$AY$138, MATCH('Staging Table'!$A57, LS_current!$B$4:$B$138, 0), MATCH(CI$4&amp;CI$5, LS_current!$D$2:$AY$2&amp;LS_current!$D$3:$AY$3, 0)),SUM(VLOOKUP($A57, LS_current!$B$4:$AY$138, LS_current!N$148, FALSE), VLOOKUP($A57, LS_current!$B$4:$AY$138,LS_current!AL$148, FALSE))/2)</f>
        <v>245.65567712441475</v>
      </c>
      <c r="CJ57" s="192">
        <f t="array" ref="CJ57">IF($BT57=0, INDEX(LS_current!$D$4:$AY$138, MATCH('Staging Table'!$A57, LS_current!$B$4:$B$138, 0), MATCH(CJ$4&amp;CJ$5, LS_current!$D$2:$AY$2&amp;LS_current!$D$3:$AY$3, 0)),SUM(VLOOKUP($A57, LS_current!$B$4:$AY$138, LS_current!O$148, FALSE), VLOOKUP($A57, LS_current!$B$4:$AY$138,LS_current!AM$148, FALSE))/2)</f>
        <v>119.154600929092</v>
      </c>
      <c r="CK57" s="192">
        <f t="array" ref="CK57">IF($BT57=0, INDEX(LS_current!$D$4:$AY$138, MATCH('Staging Table'!$A57, LS_current!$B$4:$B$138, 0), MATCH(CK$4&amp;CK$5, LS_current!$D$2:$AY$2&amp;LS_current!$D$3:$AY$3, 0)),SUM(VLOOKUP($A57, LS_current!$B$4:$AY$138, LS_current!P$148, FALSE), VLOOKUP($A57, LS_current!$B$4:$AY$138,LS_current!AN$148, FALSE))/2)</f>
        <v>349.59539729201447</v>
      </c>
      <c r="CL57" s="192">
        <f t="array" ref="CL57">IF($BT57=0, INDEX(LS_current!$D$4:$AY$138, MATCH('Staging Table'!$A57, LS_current!$B$4:$B$138, 0), MATCH(CL$4&amp;CL$5, LS_current!$D$2:$AY$2&amp;LS_current!$D$3:$AY$3, 0)),SUM(VLOOKUP($A57, LS_current!$B$4:$AY$138, LS_current!Q$148, FALSE), VLOOKUP($A57, LS_current!$B$4:$AY$138,LS_current!AO$148, FALSE))/2)</f>
        <v>200.03164995610598</v>
      </c>
      <c r="CM57" s="192">
        <f t="array" ref="CM57">IF($BT57=0, INDEX(LS_current!$D$4:$AY$138, MATCH('Staging Table'!$A57, LS_current!$B$4:$B$138, 0), MATCH(CM$4&amp;CM$5, LS_current!$D$2:$AY$2&amp;LS_current!$D$3:$AY$3, 0)),SUM(VLOOKUP($A57, LS_current!$B$4:$AY$138, LS_current!R$148, FALSE), VLOOKUP($A57, LS_current!$B$4:$AY$138,LS_current!AP$148, FALSE))/2)</f>
        <v>-503.0795145597715</v>
      </c>
      <c r="CN57" s="192">
        <f t="array" ref="CN57">IF($BT57=0, INDEX(LS_current!$D$4:$AY$138, MATCH('Staging Table'!$A57, LS_current!$B$4:$B$138, 0), MATCH(CN$4&amp;CN$5, LS_current!$D$2:$AY$2&amp;LS_current!$D$3:$AY$3, 0)),SUM(VLOOKUP($A57, LS_current!$B$4:$AY$138, LS_current!S$148, FALSE), VLOOKUP($A57, LS_current!$B$4:$AY$138,LS_current!AQ$148, FALSE))/2)</f>
        <v>-20.721864571743481</v>
      </c>
      <c r="CO57" s="192">
        <f t="array" ref="CO57">IF($BT57=0, INDEX(LS_current!$D$4:$AY$138, MATCH('Staging Table'!$A57, LS_current!$B$4:$B$138, 0), MATCH(CO$4&amp;CO$5, LS_current!$D$2:$AY$2&amp;LS_current!$D$3:$AY$3, 0)),SUM(VLOOKUP($A57, LS_current!$B$4:$AY$138, LS_current!T$148, FALSE), VLOOKUP($A57, LS_current!$B$4:$AY$138,LS_current!AR$148, FALSE))/2)</f>
        <v>-766.12899946331709</v>
      </c>
      <c r="CP57" s="192">
        <f t="array" ref="CP57">IF($BT57=0, INDEX(LS_current!$D$4:$AY$138, MATCH('Staging Table'!$A57, LS_current!$B$4:$B$138, 0), MATCH(CP$4&amp;CP$5, LS_current!$D$2:$AY$2&amp;LS_current!$D$3:$AY$3, 0)),SUM(VLOOKUP($A57, LS_current!$B$4:$AY$138, LS_current!U$148, FALSE), VLOOKUP($A57, LS_current!$B$4:$AY$138,LS_current!AS$148, FALSE))/2)</f>
        <v>-136.26788070212251</v>
      </c>
      <c r="CQ57" s="192">
        <f t="array" ref="CQ57">IF($BT57=0, INDEX(LS_current!$D$4:$AY$138, MATCH('Staging Table'!$A57, LS_current!$B$4:$B$138, 0), MATCH(CQ$4&amp;CQ$5, LS_current!$D$2:$AY$2&amp;LS_current!$D$3:$AY$3, 0)),SUM(VLOOKUP($A57, LS_current!$B$4:$AY$138, LS_current!V$148, FALSE), VLOOKUP($A57, LS_current!$B$4:$AY$138,LS_current!AT$148, FALSE))/2)</f>
        <v>-657.03885090935228</v>
      </c>
      <c r="CR57" s="192">
        <f t="array" ref="CR57">IF($BT57=0, INDEX(LS_current!$D$4:$AY$138, MATCH('Staging Table'!$A57, LS_current!$B$4:$B$138, 0), MATCH(CR$4&amp;CR$5, LS_current!$D$2:$AY$2&amp;LS_current!$D$3:$AY$3, 0)),SUM(VLOOKUP($A57, LS_current!$B$4:$AY$138, LS_current!W$148, FALSE), VLOOKUP($A57, LS_current!$B$4:$AY$138,LS_current!AU$148, FALSE))/2)</f>
        <v>-164.9781769586549</v>
      </c>
      <c r="CS57" s="192">
        <f t="array" ref="CS57">IF($BT57=0, INDEX(LS_current!$D$4:$AY$138, MATCH('Staging Table'!$A57, LS_current!$B$4:$B$138, 0), MATCH(CS$4&amp;CS$5, LS_current!$D$2:$AY$2&amp;LS_current!$D$3:$AY$3, 0)),SUM(VLOOKUP($A57, LS_current!$B$4:$AY$138, LS_current!X$148, FALSE), VLOOKUP($A57, LS_current!$B$4:$AY$138,LS_current!AV$148, FALSE))/2)</f>
        <v>-504.67561631227636</v>
      </c>
      <c r="CT57" s="192">
        <f t="array" ref="CT57">IF($BT57=0, INDEX(LS_current!$D$4:$AY$138, MATCH('Staging Table'!$A57, LS_current!$B$4:$B$138, 0), MATCH(CT$4&amp;CT$5, LS_current!$D$2:$AY$2&amp;LS_current!$D$3:$AY$3, 0)),SUM(VLOOKUP($A57, LS_current!$B$4:$AY$138, LS_current!Y$148, FALSE), VLOOKUP($A57, LS_current!$B$4:$AY$138,LS_current!AW$148, FALSE))/2)</f>
        <v>-199.88377252501186</v>
      </c>
      <c r="CU57" s="192">
        <f t="array" ref="CU57">IF($BT57=0, INDEX(LS_current!$D$4:$AY$138, MATCH('Staging Table'!$A57, LS_current!$B$4:$B$138, 0), MATCH(CU$4&amp;CU$5, LS_current!$D$2:$AY$2&amp;LS_current!$D$3:$AY$3, 0)),SUM(VLOOKUP($A57, LS_current!$B$4:$AY$138, LS_current!Z$148, FALSE), VLOOKUP($A57, LS_current!$B$4:$AY$138,LS_current!AX$148, FALSE))/2)</f>
        <v>-350.11774203329855</v>
      </c>
      <c r="CV57" s="192">
        <f t="array" ref="CV57">IF($BT57=0, INDEX(LS_current!$D$4:$AY$138, MATCH('Staging Table'!$A57, LS_current!$B$4:$B$138, 0), MATCH(CV$4&amp;CV$5, LS_current!$D$2:$AY$2&amp;LS_current!$D$3:$AY$3, 0)),SUM(VLOOKUP($A57, LS_current!$B$4:$AY$138, LS_current!AA$148, FALSE), VLOOKUP($A57, LS_current!$B$4:$AY$138,LS_current!AY$148, FALSE))/2)</f>
        <v>-169.3041066969314</v>
      </c>
      <c r="CW57" s="194">
        <f t="array" ref="CW57">INDEX(Demand_current!$D$4:$AY$138, MATCH($A57, Demand_current!$B$4:$B$138, 0), MATCH(CW$4&amp;CW$5,Demand_current!$D$2:$AY$2&amp;Demand_current!$D$3:$AY$3, 0))/1000</f>
        <v>0.62146634615384633</v>
      </c>
      <c r="CX57" s="194">
        <f t="array" ref="CX57">INDEX(Demand_current!$D$4:$AY$138, MATCH($A57, Demand_current!$B$4:$B$138, 0), MATCH(CX$4&amp;CX$5,Demand_current!$D$2:$AY$2&amp;Demand_current!$D$3:$AY$3, 0))/1000</f>
        <v>0.69644249999999985</v>
      </c>
      <c r="CY57" s="194">
        <f t="array" ref="CY57">INDEX(Demand_current!$D$4:$AY$138, MATCH($A57, Demand_current!$B$4:$B$138, 0), MATCH(CY$4&amp;CY$5,Demand_current!$D$2:$AY$2&amp;Demand_current!$D$3:$AY$3, 0))/1000</f>
        <v>1.4207307692307687</v>
      </c>
      <c r="CZ57" s="194">
        <f t="array" ref="CZ57">INDEX(Demand_current!$D$4:$AY$138, MATCH($A57, Demand_current!$B$4:$B$138, 0), MATCH(CZ$4&amp;CZ$5,Demand_current!$D$2:$AY$2&amp;Demand_current!$D$3:$AY$3, 0))/1000</f>
        <v>1.3743749999999995</v>
      </c>
      <c r="DA57" s="194">
        <f t="array" ref="DA57">INDEX(Demand_current!$D$4:$AY$138, MATCH($A57, Demand_current!$B$4:$B$138, 0), MATCH(DA$4&amp;DA$5,Demand_current!$D$2:$AY$2&amp;Demand_current!$D$3:$AY$3, 0))/1000</f>
        <v>1.1116015625000004</v>
      </c>
      <c r="DB57" s="194">
        <f t="array" ref="DB57">INDEX(Demand_current!$D$4:$AY$138, MATCH($A57, Demand_current!$B$4:$B$138, 0), MATCH(DB$4&amp;DB$5,Demand_current!$D$2:$AY$2&amp;Demand_current!$D$3:$AY$3, 0))/1000</f>
        <v>1.3509884259259257</v>
      </c>
      <c r="DC57" s="194">
        <f t="array" ref="DC57">INDEX(Demand_current!$D$4:$AY$138, MATCH($A57, Demand_current!$B$4:$B$138, 0), MATCH(DC$4&amp;DC$5,Demand_current!$D$2:$AY$2&amp;Demand_current!$D$3:$AY$3, 0))/1000</f>
        <v>0.73598076923076894</v>
      </c>
      <c r="DD57" s="194">
        <f t="array" ref="DD57">INDEX(Demand_current!$D$4:$AY$138, MATCH($A57, Demand_current!$B$4:$B$138, 0), MATCH(DD$4&amp;DD$5,Demand_current!$D$2:$AY$2&amp;Demand_current!$D$3:$AY$3, 0))/1000</f>
        <v>0.46606499999999951</v>
      </c>
      <c r="DE57" s="194">
        <f t="array" ref="DE57">INDEX(Demand_current!$D$4:$AY$138, MATCH($A57, Demand_current!$B$4:$B$138, 0), MATCH(DE$4&amp;DE$5,Demand_current!$D$2:$AY$2&amp;Demand_current!$D$3:$AY$3, 0))/1000</f>
        <v>0.58208653846153835</v>
      </c>
      <c r="DF57" s="194">
        <f t="array" ref="DF57">INDEX(Demand_current!$D$4:$AY$138, MATCH($A57, Demand_current!$B$4:$B$138, 0), MATCH(DF$4&amp;DF$5,Demand_current!$D$2:$AY$2&amp;Demand_current!$D$3:$AY$3, 0))/1000</f>
        <v>0.53447999999999962</v>
      </c>
      <c r="DG57" s="194">
        <f t="array" ref="DG57">INDEX(Demand_current!$D$4:$AY$138, MATCH($A57, Demand_current!$B$4:$B$138, 0), MATCH(DG$4&amp;DG$5,Demand_current!$D$2:$AY$2&amp;Demand_current!$D$3:$AY$3, 0))/1000</f>
        <v>0.60617361111111068</v>
      </c>
      <c r="DH57" s="194">
        <f t="array" ref="DH57">INDEX(Demand_current!$D$4:$AY$138, MATCH($A57, Demand_current!$B$4:$B$138, 0), MATCH(DH$4&amp;DH$5,Demand_current!$D$2:$AY$2&amp;Demand_current!$D$3:$AY$3, 0))/1000</f>
        <v>0.50517000000000034</v>
      </c>
      <c r="DI57" s="192">
        <f>$BS57*(VLOOKUP(DI$4, Rates_current!$G$6:$Q$29, 10, FALSE)+VLOOKUP(DI$4, Rates_current!$G$6:$Q$29, 11, FALSE))</f>
        <v>2172.2219487039511</v>
      </c>
      <c r="DJ57" s="192">
        <f>$BS57*(VLOOKUP(DJ$4, Rates_current!$G$6:$Q$29, 10, FALSE)+VLOOKUP(DJ$4, Rates_current!$G$6:$Q$29, 11, FALSE))</f>
        <v>2750.1118224187908</v>
      </c>
      <c r="DK57" s="192">
        <f>$BS57*(VLOOKUP(DK$4, Rates_current!$G$6:$Q$29, 10, FALSE)+VLOOKUP(DK$4, Rates_current!$G$6:$Q$29, 11, FALSE))</f>
        <v>2691.8100479643485</v>
      </c>
      <c r="DL57" s="192">
        <f>$BS57*(VLOOKUP(DL$4, Rates_current!$G$6:$Q$29, 10, FALSE)+VLOOKUP(DL$4, Rates_current!$G$6:$Q$29, 11, FALSE))</f>
        <v>2223.3206308218391</v>
      </c>
      <c r="DM57" s="192">
        <f>$BS57*(VLOOKUP(DM$4, Rates_current!$G$6:$Q$29, 10, FALSE)+VLOOKUP(DM$4, Rates_current!$G$6:$Q$29, 11, FALSE))</f>
        <v>1927.0007194477453</v>
      </c>
      <c r="DN57" s="192">
        <f>$BS57*(VLOOKUP(DN$4, Rates_current!$G$6:$Q$29, 10, FALSE)+VLOOKUP(DN$4, Rates_current!$G$6:$Q$29, 11, FALSE))</f>
        <v>2300.4497219464934</v>
      </c>
      <c r="DO57" s="192">
        <f>$BS57*(VLOOKUP(DO$4, Rates_current!$G$6:$Q$29, 10, FALSE)+VLOOKUP(DO$4, Rates_current!$G$6:$Q$29, 11, FALSE))</f>
        <v>1785.9929527518796</v>
      </c>
      <c r="DP57" s="192">
        <f>$BS57*(VLOOKUP(DP$4, Rates_current!$G$6:$Q$29, 10, FALSE)+VLOOKUP(DP$4, Rates_current!$G$6:$Q$29, 11, FALSE))</f>
        <v>2474.5063791315147</v>
      </c>
      <c r="DQ57" s="192">
        <f>$BS57*(VLOOKUP(DQ$4, Rates_current!$G$6:$Q$29, 10, FALSE)+VLOOKUP(DQ$4, Rates_current!$G$6:$Q$29, 11, FALSE))</f>
        <v>2644.0618801654396</v>
      </c>
      <c r="DR57" s="192">
        <f>$BS57*(VLOOKUP(DR$4, Rates_current!$G$6:$Q$29, 10, FALSE)+VLOOKUP(DR$4, Rates_current!$G$6:$Q$29, 11, FALSE))</f>
        <v>2510.4170278680076</v>
      </c>
      <c r="DS57" s="192">
        <f>$BS57*(VLOOKUP(DS$4, Rates_current!$G$6:$Q$29, 10, FALSE)+VLOOKUP(DS$4, Rates_current!$G$6:$Q$29, 11, FALSE))</f>
        <v>2426.1243888372883</v>
      </c>
      <c r="DT57" s="192">
        <f>$BS57*(VLOOKUP(DT$4, Rates_current!$G$6:$Q$29, 10, FALSE)+VLOOKUP(DT$4, Rates_current!$G$6:$Q$29, 11, FALSE))</f>
        <v>2241.9918487302302</v>
      </c>
      <c r="DU57" s="418">
        <f>IF(D57=0,IF(C57=0,MAX(0,DW57 - (VLOOKUP($A57,TOCA_current!$A$2:$AI$137,MATCH("RHWM 2022",TOCA_current!$A$2:$AI$2,0),FALSE)*$BS$2)), 0),0)</f>
        <v>715.71143989247139</v>
      </c>
      <c r="DV57" s="419">
        <f>MIN(VLOOKUP($A57,TOCA_current!$A$2:$AI$137,MATCH("TRL - NLSL - Existing Resource "&amp;$BS$1,TOCA_current!$A$2:$AI$2,0),FALSE)*$BS$2, VLOOKUP($A57,TOCA_current!$A$2:$AI$137,MATCH("RHWM 2022",TOCA_current!$A$2:$AI$2,0),FALSE)*$BS$2)</f>
        <v>28145.88</v>
      </c>
      <c r="DW57" s="419">
        <f>SUM(BY57:CV57)+(BS57*RT1SC!$C$4*$BS$2)</f>
        <v>28861.591439892472</v>
      </c>
      <c r="DX57" s="419">
        <f>VLOOKUP($A57,TOCA_current!$A$2:$AI$137,MATCH("Above RHWM Not Served with LS "&amp;$BS$1,TOCA_current!$A$2:$AI$2,0),FALSE)*$BS$2</f>
        <v>0</v>
      </c>
      <c r="DY57" s="419">
        <f t="shared" si="13"/>
        <v>715.71143989247139</v>
      </c>
      <c r="DZ57" s="419">
        <f>(VLOOKUP($A57,TOCA_current!$A$2:$AI$137,MATCH("RHWM 2022",TOCA_current!$A$2:$AI$2,0),FALSE)*$BS$2) - $DV57</f>
        <v>0</v>
      </c>
      <c r="EA57" s="419">
        <f t="shared" si="14"/>
        <v>0</v>
      </c>
      <c r="EB57" s="419">
        <f t="shared" si="15"/>
        <v>0</v>
      </c>
      <c r="EC57" s="419">
        <f t="shared" si="16"/>
        <v>0</v>
      </c>
      <c r="ED57" s="419">
        <f t="shared" si="17"/>
        <v>0</v>
      </c>
    </row>
    <row r="58" spans="1:134">
      <c r="A58" s="135">
        <v>10156</v>
      </c>
      <c r="B58" s="136" t="s">
        <v>59</v>
      </c>
      <c r="C58" s="244">
        <f>VLOOKUP(A58, TOCA_current!$A$3:$D$137, 4, FALSE)</f>
        <v>0</v>
      </c>
      <c r="D58" s="203">
        <v>0</v>
      </c>
      <c r="E58" s="119">
        <f>VLOOKUP($A58,TOCA_previous!$A$2:$AI$137,MATCH(E$4,TOCA_previous!$A$2:$AI$2,0),FALSE)</f>
        <v>4.5649999999999996E-3</v>
      </c>
      <c r="F58" s="120">
        <f>VLOOKUP($A58,TOCA_previous!$A$2:$AI$137,MATCH(F$4,TOCA_previous!$A$2:$AI$2,0),FALSE)</f>
        <v>4.5649999999999996E-3</v>
      </c>
      <c r="G58" s="120">
        <f t="shared" si="5"/>
        <v>0</v>
      </c>
      <c r="H58" s="120">
        <f>VLOOKUP($A58,TOCA_previous!$A$2:$AI$137,MATCH(H$4,TOCA_previous!$A$2:$AI$2,0),FALSE)</f>
        <v>0</v>
      </c>
      <c r="I58" s="120">
        <f t="shared" si="6"/>
        <v>0</v>
      </c>
      <c r="J58" s="120">
        <f t="shared" si="7"/>
        <v>0</v>
      </c>
      <c r="K58" s="191">
        <f>VLOOKUP(A58, IRD!$A$5:$C$139, 3, FALSE)</f>
        <v>0</v>
      </c>
      <c r="L58" s="192">
        <f t="array" ref="L58">IF($G58=0, INDEX(LS_previous!$D$4:$AY$138, MATCH('Staging Table'!$A58, LS_previous!$B$4:$B$138, 0), MATCH(L$4&amp;L$5, LS_previous!$D$2:$AY$2&amp;LS_previous!$D$3:$AY$3, 0)),SUM(VLOOKUP($A58, LS_previous!$B$4:$AY$138, LS_previous!D$149, FALSE), VLOOKUP('Staging Table'!$A58, LS_previous!$B$4:$AY$138,LS_previous!AB$149, FALSE))/2)</f>
        <v>-331.29349621999791</v>
      </c>
      <c r="M58" s="192">
        <f t="array" ref="M58">IF($G58=0, INDEX(LS_previous!$D$4:$AY$138, MATCH('Staging Table'!$A58, LS_previous!$B$4:$B$138, 0), MATCH(M$4&amp;M$5, LS_previous!$D$2:$AY$2&amp;LS_previous!$D$3:$AY$3, 0)),SUM(VLOOKUP($A58, LS_previous!$B$4:$AY$138, LS_previous!E$149, FALSE), VLOOKUP('Staging Table'!$A58, LS_previous!$B$4:$AY$138,LS_previous!AC$149, FALSE))/2)</f>
        <v>1048.1334964800008</v>
      </c>
      <c r="N58" s="192">
        <f t="array" ref="N58">IF($G58=0, INDEX(LS_previous!$D$4:$AY$138, MATCH('Staging Table'!$A58, LS_previous!$B$4:$B$138, 0), MATCH(N$4&amp;N$5, LS_previous!$D$2:$AY$2&amp;LS_previous!$D$3:$AY$3, 0)),SUM(VLOOKUP($A58, LS_previous!$B$4:$AY$138, LS_previous!F$149, FALSE), VLOOKUP('Staging Table'!$A58, LS_previous!$B$4:$AY$138,LS_previous!AD$149, FALSE))/2)</f>
        <v>-767.81176531999881</v>
      </c>
      <c r="O58" s="192">
        <f t="array" ref="O58">IF($G58=0, INDEX(LS_previous!$D$4:$AY$138, MATCH('Staging Table'!$A58, LS_previous!$B$4:$B$138, 0), MATCH(O$4&amp;O$5, LS_previous!$D$2:$AY$2&amp;LS_previous!$D$3:$AY$3, 0)),SUM(VLOOKUP($A58, LS_previous!$B$4:$AY$138, LS_previous!G$149, FALSE), VLOOKUP('Staging Table'!$A58, LS_previous!$B$4:$AY$138,LS_previous!AE$149, FALSE))/2)</f>
        <v>1647.232029285</v>
      </c>
      <c r="P58" s="192">
        <f t="array" ref="P58">IF($G58=0, INDEX(LS_previous!$D$4:$AY$138, MATCH('Staging Table'!$A58, LS_previous!$B$4:$B$138, 0), MATCH(P$4&amp;P$5, LS_previous!$D$2:$AY$2&amp;LS_previous!$D$3:$AY$3, 0)),SUM(VLOOKUP($A58, LS_previous!$B$4:$AY$138, LS_previous!H$149, FALSE), VLOOKUP('Staging Table'!$A58, LS_previous!$B$4:$AY$138,LS_previous!AF$149, FALSE))/2)</f>
        <v>3328.0842923199998</v>
      </c>
      <c r="Q58" s="192">
        <f t="array" ref="Q58">IF($G58=0, INDEX(LS_previous!$D$4:$AY$138, MATCH('Staging Table'!$A58, LS_previous!$B$4:$B$138, 0), MATCH(Q$4&amp;Q$5, LS_previous!$D$2:$AY$2&amp;LS_previous!$D$3:$AY$3, 0)),SUM(VLOOKUP($A58, LS_previous!$B$4:$AY$138, LS_previous!I$149, FALSE), VLOOKUP('Staging Table'!$A58, LS_previous!$B$4:$AY$138,LS_previous!AG$149, FALSE))/2)</f>
        <v>4063.2618129399998</v>
      </c>
      <c r="R58" s="192">
        <f t="array" ref="R58">IF($G58=0, INDEX(LS_previous!$D$4:$AY$138, MATCH('Staging Table'!$A58, LS_previous!$B$4:$B$138, 0), MATCH(R$4&amp;R$5, LS_previous!$D$2:$AY$2&amp;LS_previous!$D$3:$AY$3, 0)),SUM(VLOOKUP($A58, LS_previous!$B$4:$AY$138, LS_previous!J$149, FALSE), VLOOKUP('Staging Table'!$A58, LS_previous!$B$4:$AY$138,LS_previous!AH$149, FALSE))/2)</f>
        <v>6083.5642323200009</v>
      </c>
      <c r="S58" s="192">
        <f t="array" ref="S58">IF($G58=0, INDEX(LS_previous!$D$4:$AY$138, MATCH('Staging Table'!$A58, LS_previous!$B$4:$B$138, 0), MATCH(S$4&amp;S$5, LS_previous!$D$2:$AY$2&amp;LS_previous!$D$3:$AY$3, 0)),SUM(VLOOKUP($A58, LS_previous!$B$4:$AY$138, LS_previous!K$149, FALSE), VLOOKUP('Staging Table'!$A58, LS_previous!$B$4:$AY$138,LS_previous!AI$149, FALSE))/2)</f>
        <v>5788.0899929400002</v>
      </c>
      <c r="T58" s="192">
        <f t="array" ref="T58">IF($G58=0, INDEX(LS_previous!$D$4:$AY$138, MATCH('Staging Table'!$A58, LS_previous!$B$4:$B$138, 0), MATCH(T$4&amp;T$5, LS_previous!$D$2:$AY$2&amp;LS_previous!$D$3:$AY$3, 0)),SUM(VLOOKUP($A58, LS_previous!$B$4:$AY$138, LS_previous!L$149, FALSE), VLOOKUP('Staging Table'!$A58, LS_previous!$B$4:$AY$138,LS_previous!AJ$149, FALSE))/2)</f>
        <v>4662.8621289400035</v>
      </c>
      <c r="U58" s="192">
        <f t="array" ref="U58">IF($G58=0, INDEX(LS_previous!$D$4:$AY$138, MATCH('Staging Table'!$A58, LS_previous!$B$4:$B$138, 0), MATCH(U$4&amp;U$5, LS_previous!$D$2:$AY$2&amp;LS_previous!$D$3:$AY$3, 0)),SUM(VLOOKUP($A58, LS_previous!$B$4:$AY$138, LS_previous!M$149, FALSE), VLOOKUP('Staging Table'!$A58, LS_previous!$B$4:$AY$138,LS_previous!AK$149, FALSE))/2)</f>
        <v>4216.5391790599997</v>
      </c>
      <c r="V58" s="192">
        <f t="array" ref="V58">IF($G58=0, INDEX(LS_previous!$D$4:$AY$138, MATCH('Staging Table'!$A58, LS_previous!$B$4:$B$138, 0), MATCH(V$4&amp;V$5, LS_previous!$D$2:$AY$2&amp;LS_previous!$D$3:$AY$3, 0)),SUM(VLOOKUP($A58, LS_previous!$B$4:$AY$138, LS_previous!N$149, FALSE), VLOOKUP('Staging Table'!$A58, LS_previous!$B$4:$AY$138,LS_previous!AL$149, FALSE))/2)</f>
        <v>1851.5392299600026</v>
      </c>
      <c r="W58" s="192">
        <f t="array" ref="W58">IF($G58=0, INDEX(LS_previous!$D$4:$AY$138, MATCH('Staging Table'!$A58, LS_previous!$B$4:$B$138, 0), MATCH(W$4&amp;W$5, LS_previous!$D$2:$AY$2&amp;LS_previous!$D$3:$AY$3, 0)),SUM(VLOOKUP($A58, LS_previous!$B$4:$AY$138, LS_previous!O$149, FALSE), VLOOKUP('Staging Table'!$A58, LS_previous!$B$4:$AY$138,LS_previous!AM$149, FALSE))/2)</f>
        <v>2485.9411176350004</v>
      </c>
      <c r="X58" s="192">
        <f t="array" ref="X58">IF($G58=0, INDEX(LS_previous!$D$4:$AY$138, MATCH('Staging Table'!$A58, LS_previous!$B$4:$B$138, 0), MATCH(X$4&amp;X$5, LS_previous!$D$2:$AY$2&amp;LS_previous!$D$3:$AY$3, 0)),SUM(VLOOKUP($A58, LS_previous!$B$4:$AY$138, LS_previous!P$149, FALSE), VLOOKUP('Staging Table'!$A58, LS_previous!$B$4:$AY$138,LS_previous!AN$149, FALSE))/2)</f>
        <v>2445.0846436400025</v>
      </c>
      <c r="Y58" s="192">
        <f t="array" ref="Y58">IF($G58=0, INDEX(LS_previous!$D$4:$AY$138, MATCH('Staging Table'!$A58, LS_previous!$B$4:$B$138, 0), MATCH(Y$4&amp;Y$5, LS_previous!$D$2:$AY$2&amp;LS_previous!$D$3:$AY$3, 0)),SUM(VLOOKUP($A58, LS_previous!$B$4:$AY$138, LS_previous!Q$149, FALSE), VLOOKUP('Staging Table'!$A58, LS_previous!$B$4:$AY$138,LS_previous!AO$149, FALSE))/2)</f>
        <v>2424.2275951600004</v>
      </c>
      <c r="Z58" s="192">
        <f t="array" ref="Z58">IF($G58=0, INDEX(LS_previous!$D$4:$AY$138, MATCH('Staging Table'!$A58, LS_previous!$B$4:$B$138, 0), MATCH(Z$4&amp;Z$5, LS_previous!$D$2:$AY$2&amp;LS_previous!$D$3:$AY$3, 0)),SUM(VLOOKUP($A58, LS_previous!$B$4:$AY$138, LS_previous!R$149, FALSE), VLOOKUP('Staging Table'!$A58, LS_previous!$B$4:$AY$138,LS_previous!AP$149, FALSE))/2)</f>
        <v>-4868.0296114999983</v>
      </c>
      <c r="AA58" s="192">
        <f t="array" ref="AA58">IF($G58=0, INDEX(LS_previous!$D$4:$AY$138, MATCH('Staging Table'!$A58, LS_previous!$B$4:$B$138, 0), MATCH(AA$4&amp;AA$5, LS_previous!$D$2:$AY$2&amp;LS_previous!$D$3:$AY$3, 0)),SUM(VLOOKUP($A58, LS_previous!$B$4:$AY$138, LS_previous!S$149, FALSE), VLOOKUP('Staging Table'!$A58, LS_previous!$B$4:$AY$138,LS_previous!AQ$149, FALSE))/2)</f>
        <v>-798.62187073999939</v>
      </c>
      <c r="AB58" s="192">
        <f t="array" ref="AB58">IF($G58=0, INDEX(LS_previous!$D$4:$AY$138, MATCH('Staging Table'!$A58, LS_previous!$B$4:$B$138, 0), MATCH(AB$4&amp;AB$5, LS_previous!$D$2:$AY$2&amp;LS_previous!$D$3:$AY$3, 0)),SUM(VLOOKUP($A58, LS_previous!$B$4:$AY$138, LS_previous!T$149, FALSE), VLOOKUP('Staging Table'!$A58, LS_previous!$B$4:$AY$138,LS_previous!AR$149, FALSE))/2)</f>
        <v>-9840.7046338599976</v>
      </c>
      <c r="AC58" s="192">
        <f t="array" ref="AC58">IF($G58=0, INDEX(LS_previous!$D$4:$AY$138, MATCH('Staging Table'!$A58, LS_previous!$B$4:$B$138, 0), MATCH(AC$4&amp;AC$5, LS_previous!$D$2:$AY$2&amp;LS_previous!$D$3:$AY$3, 0)),SUM(VLOOKUP($A58, LS_previous!$B$4:$AY$138, LS_previous!U$149, FALSE), VLOOKUP('Staging Table'!$A58, LS_previous!$B$4:$AY$138,LS_previous!AS$149, FALSE))/2)</f>
        <v>-4434.963994839999</v>
      </c>
      <c r="AD58" s="192">
        <f t="array" ref="AD58">IF($G58=0, INDEX(LS_previous!$D$4:$AY$138, MATCH('Staging Table'!$A58, LS_previous!$B$4:$B$138, 0), MATCH(AD$4&amp;AD$5, LS_previous!$D$2:$AY$2&amp;LS_previous!$D$3:$AY$3, 0)),SUM(VLOOKUP($A58, LS_previous!$B$4:$AY$138, LS_previous!V$149, FALSE), VLOOKUP('Staging Table'!$A58, LS_previous!$B$4:$AY$138,LS_previous!AT$149, FALSE))/2)</f>
        <v>-5913.7529588599973</v>
      </c>
      <c r="AE58" s="192">
        <f t="array" ref="AE58">IF($G58=0, INDEX(LS_previous!$D$4:$AY$138, MATCH('Staging Table'!$A58, LS_previous!$B$4:$B$138, 0), MATCH(AE$4&amp;AE$5, LS_previous!$D$2:$AY$2&amp;LS_previous!$D$3:$AY$3, 0)),SUM(VLOOKUP($A58, LS_previous!$B$4:$AY$138, LS_previous!W$149, FALSE), VLOOKUP('Staging Table'!$A58, LS_previous!$B$4:$AY$138,LS_previous!AU$149, FALSE))/2)</f>
        <v>-299.54320087999986</v>
      </c>
      <c r="AF58" s="192">
        <f t="array" ref="AF58">IF($G58=0, INDEX(LS_previous!$D$4:$AY$138, MATCH('Staging Table'!$A58, LS_previous!$B$4:$B$138, 0), MATCH(AF$4&amp;AF$5, LS_previous!$D$2:$AY$2&amp;LS_previous!$D$3:$AY$3, 0)),SUM(VLOOKUP($A58, LS_previous!$B$4:$AY$138, LS_previous!X$149, FALSE), VLOOKUP('Staging Table'!$A58, LS_previous!$B$4:$AY$138,LS_previous!AV$149, FALSE))/2)</f>
        <v>-5159.1959263599983</v>
      </c>
      <c r="AG58" s="192">
        <f t="array" ref="AG58">IF($G58=0, INDEX(LS_previous!$D$4:$AY$138, MATCH('Staging Table'!$A58, LS_previous!$B$4:$B$138, 0), MATCH(AG$4&amp;AG$5, LS_previous!$D$2:$AY$2&amp;LS_previous!$D$3:$AY$3, 0)),SUM(VLOOKUP($A58, LS_previous!$B$4:$AY$138, LS_previous!Y$149, FALSE), VLOOKUP('Staging Table'!$A58, LS_previous!$B$4:$AY$138,LS_previous!AW$149, FALSE))/2)</f>
        <v>-505.44340087999899</v>
      </c>
      <c r="AH58" s="192">
        <f t="array" ref="AH58">IF($G58=0, INDEX(LS_previous!$D$4:$AY$138, MATCH('Staging Table'!$A58, LS_previous!$B$4:$B$138, 0), MATCH(AH$4&amp;AH$5, LS_previous!$D$2:$AY$2&amp;LS_previous!$D$3:$AY$3, 0)),SUM(VLOOKUP($A58, LS_previous!$B$4:$AY$138, LS_previous!Z$149, FALSE), VLOOKUP('Staging Table'!$A58, LS_previous!$B$4:$AY$138,LS_previous!AX$149, FALSE))/2)</f>
        <v>-3352.244263999999</v>
      </c>
      <c r="AI58" s="192">
        <f t="array" ref="AI58">IF($G58=0, INDEX(LS_previous!$D$4:$AY$138, MATCH('Staging Table'!$A58, LS_previous!$B$4:$B$138, 0), MATCH(AI$4&amp;AI$5, LS_previous!$D$2:$AY$2&amp;LS_previous!$D$3:$AY$3, 0)),SUM(VLOOKUP($A58, LS_previous!$B$4:$AY$138, LS_previous!AA$149, FALSE), VLOOKUP('Staging Table'!$A58, LS_previous!$B$4:$AY$138,LS_previous!AY$149, FALSE))/2)</f>
        <v>-774.24576219999835</v>
      </c>
      <c r="AJ58" s="314">
        <f t="array" ref="AJ58">INDEX(Demand_previous!$D$4:$AY$138, MATCH('Staging Table'!$A58, Demand_previous!$B$4:$B$138, 0), MATCH(AJ$4&amp;AJ$5,Demand_previous!$D$2:$AY$2&amp;Demand_previous!$D$3:$AY$3, 0))/1000</f>
        <v>0.63469907407407433</v>
      </c>
      <c r="AK58" s="314">
        <f t="array" ref="AK58">INDEX(Demand_previous!$D$4:$AY$138, MATCH('Staging Table'!$A58, Demand_previous!$B$4:$B$138, 0), MATCH(AK$4&amp;AK$5,Demand_previous!$D$2:$AY$2&amp;Demand_previous!$D$3:$AY$3, 0))/1000</f>
        <v>0.78357250000000178</v>
      </c>
      <c r="AL58" s="314">
        <f t="array" ref="AL58">INDEX(Demand_previous!$D$4:$AY$138, MATCH('Staging Table'!$A58, Demand_previous!$B$4:$B$138, 0), MATCH(AL$4&amp;AL$5,Demand_previous!$D$2:$AY$2&amp;Demand_previous!$D$3:$AY$3, 0))/1000</f>
        <v>9.1334024999999972</v>
      </c>
      <c r="AM58" s="314">
        <f t="array" ref="AM58">INDEX(Demand_previous!$D$4:$AY$138, MATCH('Staging Table'!$A58, Demand_previous!$B$4:$B$138, 0), MATCH(AM$4&amp;AM$5,Demand_previous!$D$2:$AY$2&amp;Demand_previous!$D$3:$AY$3, 0))/1000</f>
        <v>8.9169278846153812</v>
      </c>
      <c r="AN58" s="314">
        <f t="array" ref="AN58">INDEX(Demand_previous!$D$4:$AY$138, MATCH('Staging Table'!$A58, Demand_previous!$B$4:$B$138, 0), MATCH(AN$4&amp;AN$5,Demand_previous!$D$2:$AY$2&amp;Demand_previous!$D$3:$AY$3, 0))/1000</f>
        <v>7.2035299999999918</v>
      </c>
      <c r="AO58" s="314">
        <f t="array" ref="AO58">INDEX(Demand_previous!$D$4:$AY$138, MATCH('Staging Table'!$A58, Demand_previous!$B$4:$B$138, 0), MATCH(AO$4&amp;AO$5,Demand_previous!$D$2:$AY$2&amp;Demand_previous!$D$3:$AY$3, 0))/1000</f>
        <v>0.38948076923076513</v>
      </c>
      <c r="AP58" s="314">
        <f t="array" ref="AP58">INDEX(Demand_previous!$D$4:$AY$138, MATCH('Staging Table'!$A58, Demand_previous!$B$4:$B$138, 0), MATCH(AP$4&amp;AP$5,Demand_previous!$D$2:$AY$2&amp;Demand_previous!$D$3:$AY$3, 0))/1000</f>
        <v>3.1268966346153846</v>
      </c>
      <c r="AQ58" s="314">
        <f t="array" ref="AQ58">INDEX(Demand_previous!$D$4:$AY$138, MATCH('Staging Table'!$A58, Demand_previous!$B$4:$B$138, 0), MATCH(AQ$4&amp;AQ$5,Demand_previous!$D$2:$AY$2&amp;Demand_previous!$D$3:$AY$3, 0))/1000</f>
        <v>0</v>
      </c>
      <c r="AR58" s="314">
        <f t="array" ref="AR58">INDEX(Demand_previous!$D$4:$AY$138, MATCH('Staging Table'!$A58, Demand_previous!$B$4:$B$138, 0), MATCH(AR$4&amp;AR$5,Demand_previous!$D$2:$AY$2&amp;Demand_previous!$D$3:$AY$3, 0))/1000</f>
        <v>7.5998725961538494</v>
      </c>
      <c r="AS58" s="314">
        <f t="array" ref="AS58">INDEX(Demand_previous!$D$4:$AY$138, MATCH('Staging Table'!$A58, Demand_previous!$B$4:$B$138, 0), MATCH(AS$4&amp;AS$5,Demand_previous!$D$2:$AY$2&amp;Demand_previous!$D$3:$AY$3, 0))/1000</f>
        <v>5.9776225961538456</v>
      </c>
      <c r="AT58" s="314">
        <f t="array" ref="AT58">INDEX(Demand_previous!$D$4:$AY$138, MATCH('Staging Table'!$A58, Demand_previous!$B$4:$B$138, 0), MATCH(AT$4&amp;AT$5,Demand_previous!$D$2:$AY$2&amp;Demand_previous!$D$3:$AY$3, 0))/1000</f>
        <v>6.1928629807692275</v>
      </c>
      <c r="AU58" s="314">
        <f t="array" ref="AU58">INDEX(Demand_previous!$D$4:$AY$138, MATCH('Staging Table'!$A58, Demand_previous!$B$4:$B$138, 0), MATCH(AU$4&amp;AU$5,Demand_previous!$D$2:$AY$2&amp;Demand_previous!$D$3:$AY$3, 0))/1000</f>
        <v>4.3705975000000041</v>
      </c>
      <c r="AV58" s="192">
        <f>$F58*(VLOOKUP(AV$4, Rates_previous!$G$6:$Q$29, 10, FALSE)+VLOOKUP(AV$4, Rates_previous!$G$6:$Q$29, 11, FALSE))</f>
        <v>21078.052999739997</v>
      </c>
      <c r="AW58" s="192">
        <f>$F58*(VLOOKUP(AW$4, Rates_previous!$G$6:$Q$29, 10, FALSE)+VLOOKUP(AW$4, Rates_previous!$G$6:$Q$29, 11, FALSE))</f>
        <v>26775.702736034997</v>
      </c>
      <c r="AX58" s="192">
        <f>$F58*(VLOOKUP(AX$4, Rates_previous!$G$6:$Q$29, 10, FALSE)+VLOOKUP(AX$4, Rates_previous!$G$6:$Q$29, 11, FALSE))</f>
        <v>26452.34989474</v>
      </c>
      <c r="AY58" s="192">
        <f>$F58*(VLOOKUP(AY$4, Rates_previous!$G$6:$Q$29, 10, FALSE)+VLOOKUP(AY$4, Rates_previous!$G$6:$Q$29, 11, FALSE))</f>
        <v>22049.644774740002</v>
      </c>
      <c r="AZ58" s="192">
        <f>$F58*(VLOOKUP(AZ$4, Rates_previous!$G$6:$Q$29, 10, FALSE)+VLOOKUP(AZ$4, Rates_previous!$G$6:$Q$29, 11, FALSE))</f>
        <v>19974.690691999996</v>
      </c>
      <c r="BA58" s="192">
        <f>$F58*(VLOOKUP(BA$4, Rates_previous!$G$6:$Q$29, 10, FALSE)+VLOOKUP(BA$4, Rates_previous!$G$6:$Q$29, 11, FALSE))</f>
        <v>22218.201652404998</v>
      </c>
      <c r="BB58" s="192">
        <f>$F58*(VLOOKUP(BB$4, Rates_previous!$G$6:$Q$29, 10, FALSE)+VLOOKUP(BB$4, Rates_previous!$G$6:$Q$29, 11, FALSE))</f>
        <v>18090.0837612</v>
      </c>
      <c r="BC58" s="192">
        <f>$F58*(VLOOKUP(BC$4, Rates_previous!$G$6:$Q$29, 10, FALSE)+VLOOKUP(BC$4, Rates_previous!$G$6:$Q$29, 11, FALSE))</f>
        <v>24397.17548224</v>
      </c>
      <c r="BD58" s="192">
        <f>$F58*(VLOOKUP(BD$4, Rates_previous!$G$6:$Q$29, 10, FALSE)+VLOOKUP(BD$4, Rates_previous!$G$6:$Q$29, 11, FALSE))</f>
        <v>31129.136628699998</v>
      </c>
      <c r="BE58" s="192">
        <f>$F58*(VLOOKUP(BE$4, Rates_previous!$G$6:$Q$29, 10, FALSE)+VLOOKUP(BE$4, Rates_previous!$G$6:$Q$29, 11, FALSE))</f>
        <v>24406.23015974</v>
      </c>
      <c r="BF58" s="192">
        <f>$F58*(VLOOKUP(BF$4, Rates_previous!$G$6:$Q$29, 10, FALSE)+VLOOKUP(BF$4, Rates_previous!$G$6:$Q$29, 11, FALSE))</f>
        <v>23766.80832724</v>
      </c>
      <c r="BG58" s="192">
        <f>$F58*(VLOOKUP(BG$4, Rates_previous!$G$6:$Q$29, 10, FALSE)+VLOOKUP(BG$4, Rates_previous!$G$6:$Q$29, 11, FALSE))</f>
        <v>21337.5380262</v>
      </c>
      <c r="BH58" s="314">
        <f>IF($D58=0,IF(C58=0, MAX(BJ58 - (VLOOKUP($A58,TOCA_previous!$A$2:$AI$137,MATCH("RHWM 2020",TOCA_previous!$A$2:$AI$2,0),FALSE)*$F$2*TOCA_previous!C55),0),0), 0)</f>
        <v>2997.8065725400229</v>
      </c>
      <c r="BI58" s="204">
        <f>MIN(VLOOKUP($A58,TOCA_previous!$A$2:$AI$137,MATCH("TRL - NLSL - Existing Resource "&amp;$F$1,TOCA_previous!$A$2:$AI$2,0),FALSE)*$F$2,(VLOOKUP($A58,TOCA_previous!$A$2:$AI$137,MATCH("RHWM 2020",TOCA_previous!$A$2:$AI$2,0),FALSE)*$F$2))</f>
        <v>281676.52799999999</v>
      </c>
      <c r="BJ58" s="418">
        <f>SUM(L58:AI58)+(F58*RT1SC!$C$3*$F$2)</f>
        <v>284674.33457254001</v>
      </c>
      <c r="BK58" s="417">
        <f>VLOOKUP($A58,TOCA_previous!$A$2:$AI$137,MATCH("Above RHWM Not Served with LS "&amp;$F$1,TOCA_previous!$A$2:$AI$2,0),FALSE)*$F$2</f>
        <v>0</v>
      </c>
      <c r="BL58" s="418">
        <f t="shared" si="8"/>
        <v>2997.8065725400229</v>
      </c>
      <c r="BM58" s="417">
        <f>(VLOOKUP($A58,TOCA_previous!$A$2:$AI$137,MATCH("RHWM 2020",TOCA_previous!$A$2:$AI$2,0),FALSE)*$F$2) - $BI58</f>
        <v>0</v>
      </c>
      <c r="BN58" s="418">
        <f t="shared" si="9"/>
        <v>0</v>
      </c>
      <c r="BO58" s="417">
        <f t="shared" si="10"/>
        <v>0</v>
      </c>
      <c r="BP58" s="418">
        <f t="shared" si="11"/>
        <v>0</v>
      </c>
      <c r="BQ58" s="417">
        <f t="shared" si="18"/>
        <v>0</v>
      </c>
      <c r="BR58" s="120">
        <f>VLOOKUP($A58,TOCA_current!$A$2:$AI$137,MATCH(BR$4,TOCA_current!$A$2:$AI$2,0),FALSE)</f>
        <v>4.5650999999999999E-3</v>
      </c>
      <c r="BS58" s="120">
        <f>VLOOKUP($A58,TOCA_current!$A$2:$AI$137,MATCH(BS$4,TOCA_current!$A$2:$AI$2,0),FALSE)</f>
        <v>4.5650999999999999E-3</v>
      </c>
      <c r="BT58" s="201">
        <f t="shared" si="12"/>
        <v>0</v>
      </c>
      <c r="BU58" s="120">
        <f>VLOOKUP($A58,TOCA_current!A54:BG189,MATCH(BU$4,TOCA_current!$A$2:$BG$2,0),FALSE)</f>
        <v>0</v>
      </c>
      <c r="BV58" s="120">
        <f t="shared" si="19"/>
        <v>0</v>
      </c>
      <c r="BW58" s="120">
        <f t="shared" si="20"/>
        <v>0</v>
      </c>
      <c r="BX58" s="191">
        <f>VLOOKUP($A58,IRD!$A$4:$G$139, 7, FALSE)</f>
        <v>0</v>
      </c>
      <c r="BY58" s="192">
        <f t="array" ref="BY58">IF($BT58=0, INDEX(LS_current!$D$4:$AY$138, MATCH('Staging Table'!$A58, LS_current!$B$4:$B$138, 0), MATCH(BY$4&amp;BY$5, LS_current!$D$2:$AY$2&amp;LS_current!$D$3:$AY$3, 0)),SUM(VLOOKUP($A58, LS_current!$B$4:$AY$138, LS_current!D$148, FALSE), VLOOKUP($A58, LS_current!$B$4:$AY$138,LS_current!AB$148, FALSE))/2)</f>
        <v>-581.31363663100819</v>
      </c>
      <c r="BZ58" s="192">
        <f t="array" ref="BZ58">IF($BT58=0, INDEX(LS_current!$D$4:$AY$138, MATCH('Staging Table'!$A58, LS_current!$B$4:$B$138, 0), MATCH(BZ$4&amp;BZ$5, LS_current!$D$2:$AY$2&amp;LS_current!$D$3:$AY$3, 0)),SUM(VLOOKUP($A58, LS_current!$B$4:$AY$138, LS_current!E$148, FALSE), VLOOKUP($A58, LS_current!$B$4:$AY$138,LS_current!AC$148, FALSE))/2)</f>
        <v>419.75026340583918</v>
      </c>
      <c r="CA58" s="192">
        <f t="array" ref="CA58">IF($BT58=0, INDEX(LS_current!$D$4:$AY$138, MATCH('Staging Table'!$A58, LS_current!$B$4:$B$138, 0), MATCH(CA$4&amp;CA$5, LS_current!$D$2:$AY$2&amp;LS_current!$D$3:$AY$3, 0)),SUM(VLOOKUP($A58, LS_current!$B$4:$AY$138, LS_current!F$148, FALSE), VLOOKUP($A58, LS_current!$B$4:$AY$138,LS_current!AD$148, FALSE))/2)</f>
        <v>-759.30249810291571</v>
      </c>
      <c r="CB58" s="192">
        <f t="array" ref="CB58">IF($BT58=0, INDEX(LS_current!$D$4:$AY$138, MATCH('Staging Table'!$A58, LS_current!$B$4:$B$138, 0), MATCH(CB$4&amp;CB$5, LS_current!$D$2:$AY$2&amp;LS_current!$D$3:$AY$3, 0)),SUM(VLOOKUP($A58, LS_current!$B$4:$AY$138, LS_current!G$148, FALSE), VLOOKUP($A58, LS_current!$B$4:$AY$138,LS_current!AE$148, FALSE))/2)</f>
        <v>963.39561650119504</v>
      </c>
      <c r="CC58" s="192">
        <f t="array" ref="CC58">IF($BT58=0, INDEX(LS_current!$D$4:$AY$138, MATCH('Staging Table'!$A58, LS_current!$B$4:$B$138, 0), MATCH(CC$4&amp;CC$5, LS_current!$D$2:$AY$2&amp;LS_current!$D$3:$AY$3, 0)),SUM(VLOOKUP($A58, LS_current!$B$4:$AY$138, LS_current!H$148, FALSE), VLOOKUP($A58, LS_current!$B$4:$AY$138,LS_current!AF$148, FALSE))/2)</f>
        <v>4385.0335743540782</v>
      </c>
      <c r="CD58" s="192">
        <f t="array" ref="CD58">IF($BT58=0, INDEX(LS_current!$D$4:$AY$138, MATCH('Staging Table'!$A58, LS_current!$B$4:$B$138, 0), MATCH(CD$4&amp;CD$5, LS_current!$D$2:$AY$2&amp;LS_current!$D$3:$AY$3, 0)),SUM(VLOOKUP($A58, LS_current!$B$4:$AY$138, LS_current!I$148, FALSE), VLOOKUP($A58, LS_current!$B$4:$AY$138,LS_current!AG$148, FALSE))/2)</f>
        <v>2529.5191930210876</v>
      </c>
      <c r="CE58" s="192">
        <f t="array" ref="CE58">IF($BT58=0, INDEX(LS_current!$D$4:$AY$138, MATCH('Staging Table'!$A58, LS_current!$B$4:$B$138, 0), MATCH(CE$4&amp;CE$5, LS_current!$D$2:$AY$2&amp;LS_current!$D$3:$AY$3, 0)),SUM(VLOOKUP($A58, LS_current!$B$4:$AY$138, LS_current!J$148, FALSE), VLOOKUP($A58, LS_current!$B$4:$AY$138,LS_current!AH$148, FALSE))/2)</f>
        <v>7208.6633964780704</v>
      </c>
      <c r="CF58" s="192">
        <f t="array" ref="CF58">IF($BT58=0, INDEX(LS_current!$D$4:$AY$138, MATCH('Staging Table'!$A58, LS_current!$B$4:$B$138, 0), MATCH(CF$4&amp;CF$5, LS_current!$D$2:$AY$2&amp;LS_current!$D$3:$AY$3, 0)),SUM(VLOOKUP($A58, LS_current!$B$4:$AY$138, LS_current!K$148, FALSE), VLOOKUP($A58, LS_current!$B$4:$AY$138,LS_current!AI$148, FALSE))/2)</f>
        <v>4267.142346153425</v>
      </c>
      <c r="CG58" s="192">
        <f t="array" ref="CG58">IF($BT58=0, INDEX(LS_current!$D$4:$AY$138, MATCH('Staging Table'!$A58, LS_current!$B$4:$B$138, 0), MATCH(CG$4&amp;CG$5, LS_current!$D$2:$AY$2&amp;LS_current!$D$3:$AY$3, 0)),SUM(VLOOKUP($A58, LS_current!$B$4:$AY$138, LS_current!L$148, FALSE), VLOOKUP($A58, LS_current!$B$4:$AY$138,LS_current!AJ$148, FALSE))/2)</f>
        <v>5949.6169255962432</v>
      </c>
      <c r="CH58" s="192">
        <f t="array" ref="CH58">IF($BT58=0, INDEX(LS_current!$D$4:$AY$138, MATCH('Staging Table'!$A58, LS_current!$B$4:$B$138, 0), MATCH(CH$4&amp;CH$5, LS_current!$D$2:$AY$2&amp;LS_current!$D$3:$AY$3, 0)),SUM(VLOOKUP($A58, LS_current!$B$4:$AY$138, LS_current!M$148, FALSE), VLOOKUP($A58, LS_current!$B$4:$AY$138,LS_current!AK$148, FALSE))/2)</f>
        <v>3407.861824192225</v>
      </c>
      <c r="CI58" s="192">
        <f t="array" ref="CI58">IF($BT58=0, INDEX(LS_current!$D$4:$AY$138, MATCH('Staging Table'!$A58, LS_current!$B$4:$B$138, 0), MATCH(CI$4&amp;CI$5, LS_current!$D$2:$AY$2&amp;LS_current!$D$3:$AY$3, 0)),SUM(VLOOKUP($A58, LS_current!$B$4:$AY$138, LS_current!N$148, FALSE), VLOOKUP($A58, LS_current!$B$4:$AY$138,LS_current!AL$148, FALSE))/2)</f>
        <v>1779.4596338378724</v>
      </c>
      <c r="CJ58" s="192">
        <f t="array" ref="CJ58">IF($BT58=0, INDEX(LS_current!$D$4:$AY$138, MATCH('Staging Table'!$A58, LS_current!$B$4:$B$138, 0), MATCH(CJ$4&amp;CJ$5, LS_current!$D$2:$AY$2&amp;LS_current!$D$3:$AY$3, 0)),SUM(VLOOKUP($A58, LS_current!$B$4:$AY$138, LS_current!O$148, FALSE), VLOOKUP($A58, LS_current!$B$4:$AY$138,LS_current!AM$148, FALSE))/2)</f>
        <v>1594.1387505270395</v>
      </c>
      <c r="CK58" s="192">
        <f t="array" ref="CK58">IF($BT58=0, INDEX(LS_current!$D$4:$AY$138, MATCH('Staging Table'!$A58, LS_current!$B$4:$B$138, 0), MATCH(CK$4&amp;CK$5, LS_current!$D$2:$AY$2&amp;LS_current!$D$3:$AY$3, 0)),SUM(VLOOKUP($A58, LS_current!$B$4:$AY$138, LS_current!P$148, FALSE), VLOOKUP($A58, LS_current!$B$4:$AY$138,LS_current!AN$148, FALSE))/2)</f>
        <v>2642.4775362217533</v>
      </c>
      <c r="CL58" s="192">
        <f t="array" ref="CL58">IF($BT58=0, INDEX(LS_current!$D$4:$AY$138, MATCH('Staging Table'!$A58, LS_current!$B$4:$B$138, 0), MATCH(CL$4&amp;CL$5, LS_current!$D$2:$AY$2&amp;LS_current!$D$3:$AY$3, 0)),SUM(VLOOKUP($A58, LS_current!$B$4:$AY$138, LS_current!Q$148, FALSE), VLOOKUP($A58, LS_current!$B$4:$AY$138,LS_current!AO$148, FALSE))/2)</f>
        <v>2094.4996197371465</v>
      </c>
      <c r="CM58" s="192">
        <f t="array" ref="CM58">IF($BT58=0, INDEX(LS_current!$D$4:$AY$138, MATCH('Staging Table'!$A58, LS_current!$B$4:$B$138, 0), MATCH(CM$4&amp;CM$5, LS_current!$D$2:$AY$2&amp;LS_current!$D$3:$AY$3, 0)),SUM(VLOOKUP($A58, LS_current!$B$4:$AY$138, LS_current!R$148, FALSE), VLOOKUP($A58, LS_current!$B$4:$AY$138,LS_current!AP$148, FALSE))/2)</f>
        <v>-5622.0762333685798</v>
      </c>
      <c r="CN58" s="192">
        <f t="array" ref="CN58">IF($BT58=0, INDEX(LS_current!$D$4:$AY$138, MATCH('Staging Table'!$A58, LS_current!$B$4:$B$138, 0), MATCH(CN$4&amp;CN$5, LS_current!$D$2:$AY$2&amp;LS_current!$D$3:$AY$3, 0)),SUM(VLOOKUP($A58, LS_current!$B$4:$AY$138, LS_current!S$148, FALSE), VLOOKUP($A58, LS_current!$B$4:$AY$138,LS_current!AQ$148, FALSE))/2)</f>
        <v>-496.85122024416432</v>
      </c>
      <c r="CO58" s="192">
        <f t="array" ref="CO58">IF($BT58=0, INDEX(LS_current!$D$4:$AY$138, MATCH('Staging Table'!$A58, LS_current!$B$4:$B$138, 0), MATCH(CO$4&amp;CO$5, LS_current!$D$2:$AY$2&amp;LS_current!$D$3:$AY$3, 0)),SUM(VLOOKUP($A58, LS_current!$B$4:$AY$138, LS_current!T$148, FALSE), VLOOKUP($A58, LS_current!$B$4:$AY$138,LS_current!AR$148, FALSE))/2)</f>
        <v>-8336.041040775659</v>
      </c>
      <c r="CP58" s="192">
        <f t="array" ref="CP58">IF($BT58=0, INDEX(LS_current!$D$4:$AY$138, MATCH('Staging Table'!$A58, LS_current!$B$4:$B$138, 0), MATCH(CP$4&amp;CP$5, LS_current!$D$2:$AY$2&amp;LS_current!$D$3:$AY$3, 0)),SUM(VLOOKUP($A58, LS_current!$B$4:$AY$138, LS_current!U$148, FALSE), VLOOKUP($A58, LS_current!$B$4:$AY$138,LS_current!AS$148, FALSE))/2)</f>
        <v>-1245.0072048076718</v>
      </c>
      <c r="CQ58" s="192">
        <f t="array" ref="CQ58">IF($BT58=0, INDEX(LS_current!$D$4:$AY$138, MATCH('Staging Table'!$A58, LS_current!$B$4:$B$138, 0), MATCH(CQ$4&amp;CQ$5, LS_current!$D$2:$AY$2&amp;LS_current!$D$3:$AY$3, 0)),SUM(VLOOKUP($A58, LS_current!$B$4:$AY$138, LS_current!V$148, FALSE), VLOOKUP($A58, LS_current!$B$4:$AY$138,LS_current!AT$148, FALSE))/2)</f>
        <v>-5742.9474844576198</v>
      </c>
      <c r="CR58" s="192">
        <f t="array" ref="CR58">IF($BT58=0, INDEX(LS_current!$D$4:$AY$138, MATCH('Staging Table'!$A58, LS_current!$B$4:$B$138, 0), MATCH(CR$4&amp;CR$5, LS_current!$D$2:$AY$2&amp;LS_current!$D$3:$AY$3, 0)),SUM(VLOOKUP($A58, LS_current!$B$4:$AY$138, LS_current!W$148, FALSE), VLOOKUP($A58, LS_current!$B$4:$AY$138,LS_current!AU$148, FALSE))/2)</f>
        <v>-1257.2506872829263</v>
      </c>
      <c r="CS58" s="192">
        <f t="array" ref="CS58">IF($BT58=0, INDEX(LS_current!$D$4:$AY$138, MATCH('Staging Table'!$A58, LS_current!$B$4:$B$138, 0), MATCH(CS$4&amp;CS$5, LS_current!$D$2:$AY$2&amp;LS_current!$D$3:$AY$3, 0)),SUM(VLOOKUP($A58, LS_current!$B$4:$AY$138, LS_current!X$148, FALSE), VLOOKUP($A58, LS_current!$B$4:$AY$138,LS_current!AV$148, FALSE))/2)</f>
        <v>-5186.8175625307613</v>
      </c>
      <c r="CT58" s="192">
        <f t="array" ref="CT58">IF($BT58=0, INDEX(LS_current!$D$4:$AY$138, MATCH('Staging Table'!$A58, LS_current!$B$4:$B$138, 0), MATCH(CT$4&amp;CT$5, LS_current!$D$2:$AY$2&amp;LS_current!$D$3:$AY$3, 0)),SUM(VLOOKUP($A58, LS_current!$B$4:$AY$138, LS_current!Y$148, FALSE), VLOOKUP($A58, LS_current!$B$4:$AY$138,LS_current!AW$148, FALSE))/2)</f>
        <v>-1097.4279437189343</v>
      </c>
      <c r="CU58" s="192">
        <f t="array" ref="CU58">IF($BT58=0, INDEX(LS_current!$D$4:$AY$138, MATCH('Staging Table'!$A58, LS_current!$B$4:$B$138, 0), MATCH(CU$4&amp;CU$5, LS_current!$D$2:$AY$2&amp;LS_current!$D$3:$AY$3, 0)),SUM(VLOOKUP($A58, LS_current!$B$4:$AY$138, LS_current!Z$148, FALSE), VLOOKUP($A58, LS_current!$B$4:$AY$138,LS_current!AX$148, FALSE))/2)</f>
        <v>-4008.9009651073629</v>
      </c>
      <c r="CV58" s="192">
        <f t="array" ref="CV58">IF($BT58=0, INDEX(LS_current!$D$4:$AY$138, MATCH('Staging Table'!$A58, LS_current!$B$4:$B$138, 0), MATCH(CV$4&amp;CV$5, LS_current!$D$2:$AY$2&amp;LS_current!$D$3:$AY$3, 0)),SUM(VLOOKUP($A58, LS_current!$B$4:$AY$138, LS_current!AA$148, FALSE), VLOOKUP($A58, LS_current!$B$4:$AY$138,LS_current!AY$148, FALSE))/2)</f>
        <v>-1366.580067677487</v>
      </c>
      <c r="CW58" s="194">
        <f t="array" ref="CW58">INDEX(Demand_current!$D$4:$AY$138, MATCH($A58, Demand_current!$B$4:$B$138, 0), MATCH(CW$4&amp;CW$5,Demand_current!$D$2:$AY$2&amp;Demand_current!$D$3:$AY$3, 0))/1000</f>
        <v>0</v>
      </c>
      <c r="CX58" s="194">
        <f t="array" ref="CX58">INDEX(Demand_current!$D$4:$AY$138, MATCH($A58, Demand_current!$B$4:$B$138, 0), MATCH(CX$4&amp;CX$5,Demand_current!$D$2:$AY$2&amp;Demand_current!$D$3:$AY$3, 0))/1000</f>
        <v>0.78357250000000178</v>
      </c>
      <c r="CY58" s="194">
        <f t="array" ref="CY58">INDEX(Demand_current!$D$4:$AY$138, MATCH($A58, Demand_current!$B$4:$B$138, 0), MATCH(CY$4&amp;CY$5,Demand_current!$D$2:$AY$2&amp;Demand_current!$D$3:$AY$3, 0))/1000</f>
        <v>11.032925480769224</v>
      </c>
      <c r="CZ58" s="194">
        <f t="array" ref="CZ58">INDEX(Demand_current!$D$4:$AY$138, MATCH($A58, Demand_current!$B$4:$B$138, 0), MATCH(CZ$4&amp;CZ$5,Demand_current!$D$2:$AY$2&amp;Demand_current!$D$3:$AY$3, 0))/1000</f>
        <v>6.9995249999999967</v>
      </c>
      <c r="DA58" s="194">
        <f t="array" ref="DA58">INDEX(Demand_current!$D$4:$AY$138, MATCH($A58, Demand_current!$B$4:$B$138, 0), MATCH(DA$4&amp;DA$5,Demand_current!$D$2:$AY$2&amp;Demand_current!$D$3:$AY$3, 0))/1000</f>
        <v>5.4050937499999971</v>
      </c>
      <c r="DB58" s="194">
        <f t="array" ref="DB58">INDEX(Demand_current!$D$4:$AY$138, MATCH($A58, Demand_current!$B$4:$B$138, 0), MATCH(DB$4&amp;DB$5,Demand_current!$D$2:$AY$2&amp;Demand_current!$D$3:$AY$3, 0))/1000</f>
        <v>1.8120555555555526</v>
      </c>
      <c r="DC58" s="194">
        <f t="array" ref="DC58">INDEX(Demand_current!$D$4:$AY$138, MATCH($A58, Demand_current!$B$4:$B$138, 0), MATCH(DC$4&amp;DC$5,Demand_current!$D$2:$AY$2&amp;Demand_current!$D$3:$AY$3, 0))/1000</f>
        <v>3.1268966346153846</v>
      </c>
      <c r="DD58" s="194">
        <f t="array" ref="DD58">INDEX(Demand_current!$D$4:$AY$138, MATCH($A58, Demand_current!$B$4:$B$138, 0), MATCH(DD$4&amp;DD$5,Demand_current!$D$2:$AY$2&amp;Demand_current!$D$3:$AY$3, 0))/1000</f>
        <v>0</v>
      </c>
      <c r="DE58" s="194">
        <f t="array" ref="DE58">INDEX(Demand_current!$D$4:$AY$138, MATCH($A58, Demand_current!$B$4:$B$138, 0), MATCH(DE$4&amp;DE$5,Demand_current!$D$2:$AY$2&amp;Demand_current!$D$3:$AY$3, 0))/1000</f>
        <v>7.5998725961538494</v>
      </c>
      <c r="DF58" s="194">
        <f t="array" ref="DF58">INDEX(Demand_current!$D$4:$AY$138, MATCH($A58, Demand_current!$B$4:$B$138, 0), MATCH(DF$4&amp;DF$5,Demand_current!$D$2:$AY$2&amp;Demand_current!$D$3:$AY$3, 0))/1000</f>
        <v>4.9308074999999993</v>
      </c>
      <c r="DG58" s="194">
        <f t="array" ref="DG58">INDEX(Demand_current!$D$4:$AY$138, MATCH($A58, Demand_current!$B$4:$B$138, 0), MATCH(DG$4&amp;DG$5,Demand_current!$D$2:$AY$2&amp;Demand_current!$D$3:$AY$3, 0))/1000</f>
        <v>7.1835717592592552</v>
      </c>
      <c r="DH58" s="194">
        <f t="array" ref="DH58">INDEX(Demand_current!$D$4:$AY$138, MATCH($A58, Demand_current!$B$4:$B$138, 0), MATCH(DH$4&amp;DH$5,Demand_current!$D$2:$AY$2&amp;Demand_current!$D$3:$AY$3, 0))/1000</f>
        <v>4.3705975000000041</v>
      </c>
      <c r="DI58" s="192">
        <f>$BS58*(VLOOKUP(DI$4, Rates_current!$G$6:$Q$29, 10, FALSE)+VLOOKUP(DI$4, Rates_current!$G$6:$Q$29, 11, FALSE))</f>
        <v>20789.120373225171</v>
      </c>
      <c r="DJ58" s="192">
        <f>$BS58*(VLOOKUP(DJ$4, Rates_current!$G$6:$Q$29, 10, FALSE)+VLOOKUP(DJ$4, Rates_current!$G$6:$Q$29, 11, FALSE))</f>
        <v>26319.780881601724</v>
      </c>
      <c r="DK58" s="192">
        <f>$BS58*(VLOOKUP(DK$4, Rates_current!$G$6:$Q$29, 10, FALSE)+VLOOKUP(DK$4, Rates_current!$G$6:$Q$29, 11, FALSE))</f>
        <v>25761.807232624837</v>
      </c>
      <c r="DL58" s="192">
        <f>$BS58*(VLOOKUP(DL$4, Rates_current!$G$6:$Q$29, 10, FALSE)+VLOOKUP(DL$4, Rates_current!$G$6:$Q$29, 11, FALSE))</f>
        <v>21278.157257368504</v>
      </c>
      <c r="DM58" s="192">
        <f>$BS58*(VLOOKUP(DM$4, Rates_current!$G$6:$Q$29, 10, FALSE)+VLOOKUP(DM$4, Rates_current!$G$6:$Q$29, 11, FALSE))</f>
        <v>18442.245250211534</v>
      </c>
      <c r="DN58" s="192">
        <f>$BS58*(VLOOKUP(DN$4, Rates_current!$G$6:$Q$29, 10, FALSE)+VLOOKUP(DN$4, Rates_current!$G$6:$Q$29, 11, FALSE))</f>
        <v>22016.316615635089</v>
      </c>
      <c r="DO58" s="192">
        <f>$BS58*(VLOOKUP(DO$4, Rates_current!$G$6:$Q$29, 10, FALSE)+VLOOKUP(DO$4, Rates_current!$G$6:$Q$29, 11, FALSE))</f>
        <v>17092.738844041101</v>
      </c>
      <c r="DP58" s="192">
        <f>$BS58*(VLOOKUP(DP$4, Rates_current!$G$6:$Q$29, 10, FALSE)+VLOOKUP(DP$4, Rates_current!$G$6:$Q$29, 11, FALSE))</f>
        <v>23682.115453612743</v>
      </c>
      <c r="DQ58" s="192">
        <f>$BS58*(VLOOKUP(DQ$4, Rates_current!$G$6:$Q$29, 10, FALSE)+VLOOKUP(DQ$4, Rates_current!$G$6:$Q$29, 11, FALSE))</f>
        <v>25304.836245583327</v>
      </c>
      <c r="DR58" s="192">
        <f>$BS58*(VLOOKUP(DR$4, Rates_current!$G$6:$Q$29, 10, FALSE)+VLOOKUP(DR$4, Rates_current!$G$6:$Q$29, 11, FALSE))</f>
        <v>24025.796171740549</v>
      </c>
      <c r="DS58" s="192">
        <f>$BS58*(VLOOKUP(DS$4, Rates_current!$G$6:$Q$29, 10, FALSE)+VLOOKUP(DS$4, Rates_current!$G$6:$Q$29, 11, FALSE))</f>
        <v>23219.078506249694</v>
      </c>
      <c r="DT58" s="192">
        <f>$BS58*(VLOOKUP(DT$4, Rates_current!$G$6:$Q$29, 10, FALSE)+VLOOKUP(DT$4, Rates_current!$G$6:$Q$29, 11, FALSE))</f>
        <v>21456.849032784849</v>
      </c>
      <c r="DU58" s="418">
        <f>IF(D58=0,IF(C58=0,MAX(0,DW58 - (VLOOKUP($A58,TOCA_current!$A$2:$AI$137,MATCH("RHWM 2022",TOCA_current!$A$2:$AI$2,0),FALSE)*$BS$2)), 0),0)</f>
        <v>1542.3777804048732</v>
      </c>
      <c r="DV58" s="419">
        <f>MIN(VLOOKUP($A58,TOCA_current!$A$2:$AI$137,MATCH("TRL - NLSL - Existing Resource "&amp;$BS$1,TOCA_current!$A$2:$AI$2,0),FALSE)*$BS$2, VLOOKUP($A58,TOCA_current!$A$2:$AI$137,MATCH("RHWM 2022",TOCA_current!$A$2:$AI$2,0),FALSE)*$BS$2)</f>
        <v>269387.52000000002</v>
      </c>
      <c r="DW58" s="419">
        <f>SUM(BY58:CV58)+(BS58*RT1SC!$C$4*$BS$2)</f>
        <v>270929.89778040489</v>
      </c>
      <c r="DX58" s="419">
        <f>VLOOKUP($A58,TOCA_current!$A$2:$AI$137,MATCH("Above RHWM Not Served with LS "&amp;$BS$1,TOCA_current!$A$2:$AI$2,0),FALSE)*$BS$2</f>
        <v>13744.439999999999</v>
      </c>
      <c r="DY58" s="419">
        <f t="shared" si="13"/>
        <v>1542.3777804048732</v>
      </c>
      <c r="DZ58" s="419">
        <f>(VLOOKUP($A58,TOCA_current!$A$2:$AI$137,MATCH("RHWM 2022",TOCA_current!$A$2:$AI$2,0),FALSE)*$BS$2) - $DV58</f>
        <v>0</v>
      </c>
      <c r="EA58" s="419">
        <f t="shared" si="14"/>
        <v>0</v>
      </c>
      <c r="EB58" s="419">
        <f t="shared" si="15"/>
        <v>0</v>
      </c>
      <c r="EC58" s="419">
        <f t="shared" si="16"/>
        <v>0</v>
      </c>
      <c r="ED58" s="419">
        <f t="shared" si="17"/>
        <v>0</v>
      </c>
    </row>
    <row r="59" spans="1:134">
      <c r="A59" s="135">
        <v>10157</v>
      </c>
      <c r="B59" s="136" t="s">
        <v>60</v>
      </c>
      <c r="C59" s="244">
        <f>VLOOKUP(A59, TOCA_current!$A$3:$D$137, 4, FALSE)</f>
        <v>0</v>
      </c>
      <c r="D59" s="203">
        <v>1</v>
      </c>
      <c r="E59" s="119">
        <f>VLOOKUP($A59,TOCA_previous!$A$2:$AI$137,MATCH(E$4,TOCA_previous!$A$2:$AI$2,0),FALSE)</f>
        <v>7.0742000000000001E-3</v>
      </c>
      <c r="F59" s="120">
        <f>VLOOKUP($A59,TOCA_previous!$A$2:$AI$137,MATCH(F$4,TOCA_previous!$A$2:$AI$2,0),FALSE)</f>
        <v>3.3762000000000002E-3</v>
      </c>
      <c r="G59" s="120">
        <f t="shared" si="5"/>
        <v>3.6979999999999999E-3</v>
      </c>
      <c r="H59" s="309">
        <f>75000*12</f>
        <v>900000</v>
      </c>
      <c r="I59" s="120">
        <f t="shared" si="6"/>
        <v>0</v>
      </c>
      <c r="J59" s="120">
        <f t="shared" si="7"/>
        <v>0</v>
      </c>
      <c r="K59" s="191">
        <f>VLOOKUP(A59, IRD!$A$5:$C$139, 3, FALSE)</f>
        <v>0</v>
      </c>
      <c r="L59" s="192">
        <f t="array" ref="L59">IF($G59=0, INDEX(LS_previous!$D$4:$AY$138, MATCH('Staging Table'!$A59, LS_previous!$B$4:$B$138, 0), MATCH(L$4&amp;L$5, LS_previous!$D$2:$AY$2&amp;LS_previous!$D$3:$AY$3, 0)),SUM(VLOOKUP($A59, LS_previous!$B$4:$AY$138, LS_previous!D$149, FALSE), VLOOKUP('Staging Table'!$A59, LS_previous!$B$4:$AY$138,LS_previous!AB$149, FALSE))/2)</f>
        <v>-978.60837024390275</v>
      </c>
      <c r="M59" s="192">
        <f t="array" ref="M59">IF($G59=0, INDEX(LS_previous!$D$4:$AY$138, MATCH('Staging Table'!$A59, LS_previous!$B$4:$B$138, 0), MATCH(M$4&amp;M$5, LS_previous!$D$2:$AY$2&amp;LS_previous!$D$3:$AY$3, 0)),SUM(VLOOKUP($A59, LS_previous!$B$4:$AY$138, LS_previous!E$149, FALSE), VLOOKUP('Staging Table'!$A59, LS_previous!$B$4:$AY$138,LS_previous!AC$149, FALSE))/2)</f>
        <v>1200.652273907182</v>
      </c>
      <c r="N59" s="192">
        <f t="array" ref="N59">IF($G59=0, INDEX(LS_previous!$D$4:$AY$138, MATCH('Staging Table'!$A59, LS_previous!$B$4:$B$138, 0), MATCH(N$4&amp;N$5, LS_previous!$D$2:$AY$2&amp;LS_previous!$D$3:$AY$3, 0)),SUM(VLOOKUP($A59, LS_previous!$B$4:$AY$138, LS_previous!F$149, FALSE), VLOOKUP('Staging Table'!$A59, LS_previous!$B$4:$AY$138,LS_previous!AD$149, FALSE))/2)</f>
        <v>-1897.0832028074765</v>
      </c>
      <c r="O59" s="192">
        <f t="array" ref="O59">IF($G59=0, INDEX(LS_previous!$D$4:$AY$138, MATCH('Staging Table'!$A59, LS_previous!$B$4:$B$138, 0), MATCH(O$4&amp;O$5, LS_previous!$D$2:$AY$2&amp;LS_previous!$D$3:$AY$3, 0)),SUM(VLOOKUP($A59, LS_previous!$B$4:$AY$138, LS_previous!G$149, FALSE), VLOOKUP('Staging Table'!$A59, LS_previous!$B$4:$AY$138,LS_previous!AE$149, FALSE))/2)</f>
        <v>1441.915534641209</v>
      </c>
      <c r="P59" s="192">
        <f t="array" ref="P59">IF($G59=0, INDEX(LS_previous!$D$4:$AY$138, MATCH('Staging Table'!$A59, LS_previous!$B$4:$B$138, 0), MATCH(P$4&amp;P$5, LS_previous!$D$2:$AY$2&amp;LS_previous!$D$3:$AY$3, 0)),SUM(VLOOKUP($A59, LS_previous!$B$4:$AY$138, LS_previous!H$149, FALSE), VLOOKUP('Staging Table'!$A59, LS_previous!$B$4:$AY$138,LS_previous!AF$149, FALSE))/2)</f>
        <v>857.56621981561238</v>
      </c>
      <c r="Q59" s="192">
        <f t="array" ref="Q59">IF($G59=0, INDEX(LS_previous!$D$4:$AY$138, MATCH('Staging Table'!$A59, LS_previous!$B$4:$B$138, 0), MATCH(Q$4&amp;Q$5, LS_previous!$D$2:$AY$2&amp;LS_previous!$D$3:$AY$3, 0)),SUM(VLOOKUP($A59, LS_previous!$B$4:$AY$138, LS_previous!I$149, FALSE), VLOOKUP('Staging Table'!$A59, LS_previous!$B$4:$AY$138,LS_previous!AG$149, FALSE))/2)</f>
        <v>3295.2499296469405</v>
      </c>
      <c r="R59" s="192">
        <f t="array" ref="R59">IF($G59=0, INDEX(LS_previous!$D$4:$AY$138, MATCH('Staging Table'!$A59, LS_previous!$B$4:$B$138, 0), MATCH(R$4&amp;R$5, LS_previous!$D$2:$AY$2&amp;LS_previous!$D$3:$AY$3, 0)),SUM(VLOOKUP($A59, LS_previous!$B$4:$AY$138, LS_previous!J$149, FALSE), VLOOKUP('Staging Table'!$A59, LS_previous!$B$4:$AY$138,LS_previous!AH$149, FALSE))/2)</f>
        <v>1729.5797332058664</v>
      </c>
      <c r="S59" s="192">
        <f t="array" ref="S59">IF($G59=0, INDEX(LS_previous!$D$4:$AY$138, MATCH('Staging Table'!$A59, LS_previous!$B$4:$B$138, 0), MATCH(S$4&amp;S$5, LS_previous!$D$2:$AY$2&amp;LS_previous!$D$3:$AY$3, 0)),SUM(VLOOKUP($A59, LS_previous!$B$4:$AY$138, LS_previous!K$149, FALSE), VLOOKUP('Staging Table'!$A59, LS_previous!$B$4:$AY$138,LS_previous!AI$149, FALSE))/2)</f>
        <v>3807.0469119200352</v>
      </c>
      <c r="T59" s="192">
        <f t="array" ref="T59">IF($G59=0, INDEX(LS_previous!$D$4:$AY$138, MATCH('Staging Table'!$A59, LS_previous!$B$4:$B$138, 0), MATCH(T$4&amp;T$5, LS_previous!$D$2:$AY$2&amp;LS_previous!$D$3:$AY$3, 0)),SUM(VLOOKUP($A59, LS_previous!$B$4:$AY$138, LS_previous!L$149, FALSE), VLOOKUP('Staging Table'!$A59, LS_previous!$B$4:$AY$138,LS_previous!AJ$149, FALSE))/2)</f>
        <v>1718.4600190304</v>
      </c>
      <c r="U59" s="192">
        <f t="array" ref="U59">IF($G59=0, INDEX(LS_previous!$D$4:$AY$138, MATCH('Staging Table'!$A59, LS_previous!$B$4:$B$138, 0), MATCH(U$4&amp;U$5, LS_previous!$D$2:$AY$2&amp;LS_previous!$D$3:$AY$3, 0)),SUM(VLOOKUP($A59, LS_previous!$B$4:$AY$138, LS_previous!M$149, FALSE), VLOOKUP('Staging Table'!$A59, LS_previous!$B$4:$AY$138,LS_previous!AK$149, FALSE))/2)</f>
        <v>2724.8047204753166</v>
      </c>
      <c r="V59" s="192">
        <f t="array" ref="V59">IF($G59=0, INDEX(LS_previous!$D$4:$AY$138, MATCH('Staging Table'!$A59, LS_previous!$B$4:$B$138, 0), MATCH(V$4&amp;V$5, LS_previous!$D$2:$AY$2&amp;LS_previous!$D$3:$AY$3, 0)),SUM(VLOOKUP($A59, LS_previous!$B$4:$AY$138, LS_previous!N$149, FALSE), VLOOKUP('Staging Table'!$A59, LS_previous!$B$4:$AY$138,LS_previous!AL$149, FALSE))/2)</f>
        <v>-118.70113480824602</v>
      </c>
      <c r="W59" s="192">
        <f t="array" ref="W59">IF($G59=0, INDEX(LS_previous!$D$4:$AY$138, MATCH('Staging Table'!$A59, LS_previous!$B$4:$B$138, 0), MATCH(W$4&amp;W$5, LS_previous!$D$2:$AY$2&amp;LS_previous!$D$3:$AY$3, 0)),SUM(VLOOKUP($A59, LS_previous!$B$4:$AY$138, LS_previous!O$149, FALSE), VLOOKUP('Staging Table'!$A59, LS_previous!$B$4:$AY$138,LS_previous!AM$149, FALSE))/2)</f>
        <v>1785.94816169658</v>
      </c>
      <c r="X59" s="192">
        <f t="array" ref="X59">IF($G59=0, INDEX(LS_previous!$D$4:$AY$138, MATCH('Staging Table'!$A59, LS_previous!$B$4:$B$138, 0), MATCH(X$4&amp;X$5, LS_previous!$D$2:$AY$2&amp;LS_previous!$D$3:$AY$3, 0)),SUM(VLOOKUP($A59, LS_previous!$B$4:$AY$138, LS_previous!P$149, FALSE), VLOOKUP('Staging Table'!$A59, LS_previous!$B$4:$AY$138,LS_previous!AN$149, FALSE))/2)</f>
        <v>1077.0235362896801</v>
      </c>
      <c r="Y59" s="192">
        <f t="array" ref="Y59">IF($G59=0, INDEX(LS_previous!$D$4:$AY$138, MATCH('Staging Table'!$A59, LS_previous!$B$4:$B$138, 0), MATCH(Y$4&amp;Y$5, LS_previous!$D$2:$AY$2&amp;LS_previous!$D$3:$AY$3, 0)),SUM(VLOOKUP($A59, LS_previous!$B$4:$AY$138, LS_previous!Q$149, FALSE), VLOOKUP('Staging Table'!$A59, LS_previous!$B$4:$AY$138,LS_previous!AO$149, FALSE))/2)</f>
        <v>1978.9935943116898</v>
      </c>
      <c r="Z59" s="192">
        <f t="array" ref="Z59">IF($G59=0, INDEX(LS_previous!$D$4:$AY$138, MATCH('Staging Table'!$A59, LS_previous!$B$4:$B$138, 0), MATCH(Z$4&amp;Z$5, LS_previous!$D$2:$AY$2&amp;LS_previous!$D$3:$AY$3, 0)),SUM(VLOOKUP($A59, LS_previous!$B$4:$AY$138, LS_previous!R$149, FALSE), VLOOKUP('Staging Table'!$A59, LS_previous!$B$4:$AY$138,LS_previous!AP$149, FALSE))/2)</f>
        <v>-3767.6487508011814</v>
      </c>
      <c r="AA59" s="192">
        <f t="array" ref="AA59">IF($G59=0, INDEX(LS_previous!$D$4:$AY$138, MATCH('Staging Table'!$A59, LS_previous!$B$4:$B$138, 0), MATCH(AA$4&amp;AA$5, LS_previous!$D$2:$AY$2&amp;LS_previous!$D$3:$AY$3, 0)),SUM(VLOOKUP($A59, LS_previous!$B$4:$AY$138, LS_previous!S$149, FALSE), VLOOKUP('Staging Table'!$A59, LS_previous!$B$4:$AY$138,LS_previous!AQ$149, FALSE))/2)</f>
        <v>494.72411373298473</v>
      </c>
      <c r="AB59" s="192">
        <f t="array" ref="AB59">IF($G59=0, INDEX(LS_previous!$D$4:$AY$138, MATCH('Staging Table'!$A59, LS_previous!$B$4:$B$138, 0), MATCH(AB$4&amp;AB$5, LS_previous!$D$2:$AY$2&amp;LS_previous!$D$3:$AY$3, 0)),SUM(VLOOKUP($A59, LS_previous!$B$4:$AY$138, LS_previous!T$149, FALSE), VLOOKUP('Staging Table'!$A59, LS_previous!$B$4:$AY$138,LS_previous!AR$149, FALSE))/2)</f>
        <v>-7008.4847934833797</v>
      </c>
      <c r="AC59" s="192">
        <f t="array" ref="AC59">IF($G59=0, INDEX(LS_previous!$D$4:$AY$138, MATCH('Staging Table'!$A59, LS_previous!$B$4:$B$138, 0), MATCH(AC$4&amp;AC$5, LS_previous!$D$2:$AY$2&amp;LS_previous!$D$3:$AY$3, 0)),SUM(VLOOKUP($A59, LS_previous!$B$4:$AY$138, LS_previous!U$149, FALSE), VLOOKUP('Staging Table'!$A59, LS_previous!$B$4:$AY$138,LS_previous!AS$149, FALSE))/2)</f>
        <v>-2283.4885370570855</v>
      </c>
      <c r="AD59" s="192">
        <f t="array" ref="AD59">IF($G59=0, INDEX(LS_previous!$D$4:$AY$138, MATCH('Staging Table'!$A59, LS_previous!$B$4:$B$138, 0), MATCH(AD$4&amp;AD$5, LS_previous!$D$2:$AY$2&amp;LS_previous!$D$3:$AY$3, 0)),SUM(VLOOKUP($A59, LS_previous!$B$4:$AY$138, LS_previous!V$149, FALSE), VLOOKUP('Staging Table'!$A59, LS_previous!$B$4:$AY$138,LS_previous!AT$149, FALSE))/2)</f>
        <v>-3584.8975369570917</v>
      </c>
      <c r="AE59" s="192">
        <f t="array" ref="AE59">IF($G59=0, INDEX(LS_previous!$D$4:$AY$138, MATCH('Staging Table'!$A59, LS_previous!$B$4:$B$138, 0), MATCH(AE$4&amp;AE$5, LS_previous!$D$2:$AY$2&amp;LS_previous!$D$3:$AY$3, 0)),SUM(VLOOKUP($A59, LS_previous!$B$4:$AY$138, LS_previous!W$149, FALSE), VLOOKUP('Staging Table'!$A59, LS_previous!$B$4:$AY$138,LS_previous!AU$149, FALSE))/2)</f>
        <v>1345.4755638203706</v>
      </c>
      <c r="AF59" s="192">
        <f t="array" ref="AF59">IF($G59=0, INDEX(LS_previous!$D$4:$AY$138, MATCH('Staging Table'!$A59, LS_previous!$B$4:$B$138, 0), MATCH(AF$4&amp;AF$5, LS_previous!$D$2:$AY$2&amp;LS_previous!$D$3:$AY$3, 0)),SUM(VLOOKUP($A59, LS_previous!$B$4:$AY$138, LS_previous!X$149, FALSE), VLOOKUP('Staging Table'!$A59, LS_previous!$B$4:$AY$138,LS_previous!AV$149, FALSE))/2)</f>
        <v>-3321.2279077707199</v>
      </c>
      <c r="AG59" s="192">
        <f t="array" ref="AG59">IF($G59=0, INDEX(LS_previous!$D$4:$AY$138, MATCH('Staging Table'!$A59, LS_previous!$B$4:$B$138, 0), MATCH(AG$4&amp;AG$5, LS_previous!$D$2:$AY$2&amp;LS_previous!$D$3:$AY$3, 0)),SUM(VLOOKUP($A59, LS_previous!$B$4:$AY$138, LS_previous!Y$149, FALSE), VLOOKUP('Staging Table'!$A59, LS_previous!$B$4:$AY$138,LS_previous!AW$149, FALSE))/2)</f>
        <v>1346.6720854077016</v>
      </c>
      <c r="AH59" s="192">
        <f t="array" ref="AH59">IF($G59=0, INDEX(LS_previous!$D$4:$AY$138, MATCH('Staging Table'!$A59, LS_previous!$B$4:$B$138, 0), MATCH(AH$4&amp;AH$5, LS_previous!$D$2:$AY$2&amp;LS_previous!$D$3:$AY$3, 0)),SUM(VLOOKUP($A59, LS_previous!$B$4:$AY$138, LS_previous!Z$149, FALSE), VLOOKUP('Staging Table'!$A59, LS_previous!$B$4:$AY$138,LS_previous!AX$149, FALSE))/2)</f>
        <v>-2362.5621411301013</v>
      </c>
      <c r="AI59" s="192">
        <f t="array" ref="AI59">IF($G59=0, INDEX(LS_previous!$D$4:$AY$138, MATCH('Staging Table'!$A59, LS_previous!$B$4:$B$138, 0), MATCH(AI$4&amp;AI$5, LS_previous!$D$2:$AY$2&amp;LS_previous!$D$3:$AY$3, 0)),SUM(VLOOKUP($A59, LS_previous!$B$4:$AY$138, LS_previous!AA$149, FALSE), VLOOKUP('Staging Table'!$A59, LS_previous!$B$4:$AY$138,LS_previous!AY$149, FALSE))/2)</f>
        <v>520.33628361592037</v>
      </c>
      <c r="AJ59" s="314">
        <f t="array" ref="AJ59">INDEX(Demand_previous!$D$4:$AY$138, MATCH('Staging Table'!$A59, Demand_previous!$B$4:$B$138, 0), MATCH(AJ$4&amp;AJ$5,Demand_previous!$D$2:$AY$2&amp;Demand_previous!$D$3:$AY$3, 0))/1000</f>
        <v>0</v>
      </c>
      <c r="AK59" s="314">
        <f t="array" ref="AK59">INDEX(Demand_previous!$D$4:$AY$138, MATCH('Staging Table'!$A59, Demand_previous!$B$4:$B$138, 0), MATCH(AK$4&amp;AK$5,Demand_previous!$D$2:$AY$2&amp;Demand_previous!$D$3:$AY$3, 0))/1000</f>
        <v>0</v>
      </c>
      <c r="AL59" s="314">
        <f t="array" ref="AL59">INDEX(Demand_previous!$D$4:$AY$138, MATCH('Staging Table'!$A59, Demand_previous!$B$4:$B$138, 0), MATCH(AL$4&amp;AL$5,Demand_previous!$D$2:$AY$2&amp;Demand_previous!$D$3:$AY$3, 0))/1000</f>
        <v>0</v>
      </c>
      <c r="AM59" s="314">
        <f t="array" ref="AM59">INDEX(Demand_previous!$D$4:$AY$138, MATCH('Staging Table'!$A59, Demand_previous!$B$4:$B$138, 0), MATCH(AM$4&amp;AM$5,Demand_previous!$D$2:$AY$2&amp;Demand_previous!$D$3:$AY$3, 0))/1000</f>
        <v>0</v>
      </c>
      <c r="AN59" s="314">
        <f t="array" ref="AN59">INDEX(Demand_previous!$D$4:$AY$138, MATCH('Staging Table'!$A59, Demand_previous!$B$4:$B$138, 0), MATCH(AN$4&amp;AN$5,Demand_previous!$D$2:$AY$2&amp;Demand_previous!$D$3:$AY$3, 0))/1000</f>
        <v>0</v>
      </c>
      <c r="AO59" s="314">
        <f t="array" ref="AO59">INDEX(Demand_previous!$D$4:$AY$138, MATCH('Staging Table'!$A59, Demand_previous!$B$4:$B$138, 0), MATCH(AO$4&amp;AO$5,Demand_previous!$D$2:$AY$2&amp;Demand_previous!$D$3:$AY$3, 0))/1000</f>
        <v>0</v>
      </c>
      <c r="AP59" s="314">
        <f t="array" ref="AP59">INDEX(Demand_previous!$D$4:$AY$138, MATCH('Staging Table'!$A59, Demand_previous!$B$4:$B$138, 0), MATCH(AP$4&amp;AP$5,Demand_previous!$D$2:$AY$2&amp;Demand_previous!$D$3:$AY$3, 0))/1000</f>
        <v>0</v>
      </c>
      <c r="AQ59" s="314">
        <f t="array" ref="AQ59">INDEX(Demand_previous!$D$4:$AY$138, MATCH('Staging Table'!$A59, Demand_previous!$B$4:$B$138, 0), MATCH(AQ$4&amp;AQ$5,Demand_previous!$D$2:$AY$2&amp;Demand_previous!$D$3:$AY$3, 0))/1000</f>
        <v>0</v>
      </c>
      <c r="AR59" s="314">
        <f t="array" ref="AR59">INDEX(Demand_previous!$D$4:$AY$138, MATCH('Staging Table'!$A59, Demand_previous!$B$4:$B$138, 0), MATCH(AR$4&amp;AR$5,Demand_previous!$D$2:$AY$2&amp;Demand_previous!$D$3:$AY$3, 0))/1000</f>
        <v>0</v>
      </c>
      <c r="AS59" s="314">
        <f t="array" ref="AS59">INDEX(Demand_previous!$D$4:$AY$138, MATCH('Staging Table'!$A59, Demand_previous!$B$4:$B$138, 0), MATCH(AS$4&amp;AS$5,Demand_previous!$D$2:$AY$2&amp;Demand_previous!$D$3:$AY$3, 0))/1000</f>
        <v>0</v>
      </c>
      <c r="AT59" s="314">
        <f t="array" ref="AT59">INDEX(Demand_previous!$D$4:$AY$138, MATCH('Staging Table'!$A59, Demand_previous!$B$4:$B$138, 0), MATCH(AT$4&amp;AT$5,Demand_previous!$D$2:$AY$2&amp;Demand_previous!$D$3:$AY$3, 0))/1000</f>
        <v>0</v>
      </c>
      <c r="AU59" s="314">
        <f t="array" ref="AU59">INDEX(Demand_previous!$D$4:$AY$138, MATCH('Staging Table'!$A59, Demand_previous!$B$4:$B$138, 0), MATCH(AU$4&amp;AU$5,Demand_previous!$D$2:$AY$2&amp;Demand_previous!$D$3:$AY$3, 0))/1000</f>
        <v>0</v>
      </c>
      <c r="AV59" s="192">
        <f>$F59*(VLOOKUP(AV$4, Rates_previous!$G$6:$Q$29, 10, FALSE)+VLOOKUP(AV$4, Rates_previous!$G$6:$Q$29, 11, FALSE))</f>
        <v>15588.986317135199</v>
      </c>
      <c r="AW59" s="192">
        <f>$F59*(VLOOKUP(AW$4, Rates_previous!$G$6:$Q$29, 10, FALSE)+VLOOKUP(AW$4, Rates_previous!$G$6:$Q$29, 11, FALSE))</f>
        <v>19802.875701511803</v>
      </c>
      <c r="AX59" s="192">
        <f>$F59*(VLOOKUP(AX$4, Rates_previous!$G$6:$Q$29, 10, FALSE)+VLOOKUP(AX$4, Rates_previous!$G$6:$Q$29, 11, FALSE))</f>
        <v>19563.729181735202</v>
      </c>
      <c r="AY59" s="192">
        <f>$F59*(VLOOKUP(AY$4, Rates_previous!$G$6:$Q$29, 10, FALSE)+VLOOKUP(AY$4, Rates_previous!$G$6:$Q$29, 11, FALSE))</f>
        <v>16307.559844135203</v>
      </c>
      <c r="AZ59" s="192">
        <f>$F59*(VLOOKUP(AZ$4, Rates_previous!$G$6:$Q$29, 10, FALSE)+VLOOKUP(AZ$4, Rates_previous!$G$6:$Q$29, 11, FALSE))</f>
        <v>14772.95744016</v>
      </c>
      <c r="BA59" s="192">
        <f>$F59*(VLOOKUP(BA$4, Rates_previous!$G$6:$Q$29, 10, FALSE)+VLOOKUP(BA$4, Rates_previous!$G$6:$Q$29, 11, FALSE))</f>
        <v>16432.221778499399</v>
      </c>
      <c r="BB59" s="192">
        <f>$F59*(VLOOKUP(BB$4, Rates_previous!$G$6:$Q$29, 10, FALSE)+VLOOKUP(BB$4, Rates_previous!$G$6:$Q$29, 11, FALSE))</f>
        <v>13379.132704176001</v>
      </c>
      <c r="BC59" s="192">
        <f>$F59*(VLOOKUP(BC$4, Rates_previous!$G$6:$Q$29, 10, FALSE)+VLOOKUP(BC$4, Rates_previous!$G$6:$Q$29, 11, FALSE))</f>
        <v>18043.755501235202</v>
      </c>
      <c r="BD59" s="192">
        <f>$F59*(VLOOKUP(BD$4, Rates_previous!$G$6:$Q$29, 10, FALSE)+VLOOKUP(BD$4, Rates_previous!$G$6:$Q$29, 11, FALSE))</f>
        <v>23022.604838076004</v>
      </c>
      <c r="BE59" s="192">
        <f>$F59*(VLOOKUP(BE$4, Rates_previous!$G$6:$Q$29, 10, FALSE)+VLOOKUP(BE$4, Rates_previous!$G$6:$Q$29, 11, FALSE))</f>
        <v>18050.452193935202</v>
      </c>
      <c r="BF59" s="192">
        <f>$F59*(VLOOKUP(BF$4, Rates_previous!$G$6:$Q$29, 10, FALSE)+VLOOKUP(BF$4, Rates_previous!$G$6:$Q$29, 11, FALSE))</f>
        <v>17577.546171835202</v>
      </c>
      <c r="BG59" s="192">
        <f>$F59*(VLOOKUP(BG$4, Rates_previous!$G$6:$Q$29, 10, FALSE)+VLOOKUP(BG$4, Rates_previous!$G$6:$Q$29, 11, FALSE))</f>
        <v>15780.897236376002</v>
      </c>
      <c r="BH59" s="314">
        <f>IF($D59=0,IF(C59=0, MAX(BJ59 - (VLOOKUP($A59,TOCA_previous!$A$2:$AI$137,MATCH("RHWM 2020",TOCA_previous!$A$2:$AI$2,0),FALSE)*$F$2*TOCA_previous!C56),0),0), 0)</f>
        <v>0</v>
      </c>
      <c r="BI59" s="204">
        <f>MIN(VLOOKUP($A59,TOCA_previous!$A$2:$AI$137,MATCH("TRL - NLSL - Existing Resource "&amp;$F$1,TOCA_previous!$A$2:$AI$2,0),FALSE)*$F$2,(VLOOKUP($A59,TOCA_previous!$A$2:$AI$137,MATCH("RHWM 2020",TOCA_previous!$A$2:$AI$2,0),FALSE)*$F$2))</f>
        <v>436503.31199999998</v>
      </c>
      <c r="BJ59" s="418">
        <f>SUM(L59:AI59)+(F59*RT1SC!$C$3*$F$2)</f>
        <v>208324.47303454793</v>
      </c>
      <c r="BK59" s="417">
        <f>VLOOKUP($A59,TOCA_previous!$A$2:$AI$137,MATCH("Above RHWM Not Served with LS "&amp;$F$1,TOCA_previous!$A$2:$AI$2,0),FALSE)*$F$2</f>
        <v>21854.592000000001</v>
      </c>
      <c r="BL59" s="418">
        <f t="shared" si="8"/>
        <v>-228178.83896545204</v>
      </c>
      <c r="BM59" s="417">
        <f>(VLOOKUP($A59,TOCA_previous!$A$2:$AI$137,MATCH("RHWM 2020",TOCA_previous!$A$2:$AI$2,0),FALSE)*$F$2) - $BI59</f>
        <v>0</v>
      </c>
      <c r="BN59" s="418">
        <f t="shared" si="9"/>
        <v>0</v>
      </c>
      <c r="BO59" s="417">
        <f t="shared" si="10"/>
        <v>206324.24696545204</v>
      </c>
      <c r="BP59" s="418">
        <f t="shared" si="11"/>
        <v>0</v>
      </c>
      <c r="BQ59" s="417">
        <f t="shared" si="18"/>
        <v>0</v>
      </c>
      <c r="BR59" s="120">
        <f>VLOOKUP($A59,TOCA_current!$A$2:$AI$137,MATCH(BR$4,TOCA_current!$A$2:$AI$2,0),FALSE)</f>
        <v>7.0743000000000004E-3</v>
      </c>
      <c r="BS59" s="120">
        <f>VLOOKUP($A59,TOCA_current!$A$2:$AI$137,MATCH(BS$4,TOCA_current!$A$2:$AI$2,0),FALSE)</f>
        <v>3.3763000000000005E-3</v>
      </c>
      <c r="BT59" s="201">
        <f t="shared" si="12"/>
        <v>3.6979999999999999E-3</v>
      </c>
      <c r="BU59" s="309">
        <f>75000*12</f>
        <v>900000</v>
      </c>
      <c r="BV59" s="120">
        <f t="shared" si="19"/>
        <v>0</v>
      </c>
      <c r="BW59" s="120">
        <f t="shared" si="20"/>
        <v>0</v>
      </c>
      <c r="BX59" s="191">
        <f>VLOOKUP($A59,IRD!$A$4:$G$139, 7, FALSE)</f>
        <v>0</v>
      </c>
      <c r="BY59" s="192">
        <f t="array" ref="BY59">IF($BT59=0, INDEX(LS_current!$D$4:$AY$138, MATCH('Staging Table'!$A59, LS_current!$B$4:$B$138, 0), MATCH(BY$4&amp;BY$5, LS_current!$D$2:$AY$2&amp;LS_current!$D$3:$AY$3, 0)),SUM(VLOOKUP($A59, LS_current!$B$4:$AY$138, LS_current!D$148, FALSE), VLOOKUP($A59, LS_current!$B$4:$AY$138,LS_current!AB$148, FALSE))/2)</f>
        <v>-1394.9643553793958</v>
      </c>
      <c r="BZ59" s="192">
        <f t="array" ref="BZ59">IF($BT59=0, INDEX(LS_current!$D$4:$AY$138, MATCH('Staging Table'!$A59, LS_current!$B$4:$B$138, 0), MATCH(BZ$4&amp;BZ$5, LS_current!$D$2:$AY$2&amp;LS_current!$D$3:$AY$3, 0)),SUM(VLOOKUP($A59, LS_current!$B$4:$AY$138, LS_current!E$148, FALSE), VLOOKUP($A59, LS_current!$B$4:$AY$138,LS_current!AC$148, FALSE))/2)</f>
        <v>1161.558617668406</v>
      </c>
      <c r="CA59" s="192">
        <f t="array" ref="CA59">IF($BT59=0, INDEX(LS_current!$D$4:$AY$138, MATCH('Staging Table'!$A59, LS_current!$B$4:$B$138, 0), MATCH(CA$4&amp;CA$5, LS_current!$D$2:$AY$2&amp;LS_current!$D$3:$AY$3, 0)),SUM(VLOOKUP($A59, LS_current!$B$4:$AY$138, LS_current!F$148, FALSE), VLOOKUP($A59, LS_current!$B$4:$AY$138,LS_current!AD$148, FALSE))/2)</f>
        <v>-1665.5317264424384</v>
      </c>
      <c r="CB59" s="192">
        <f t="array" ref="CB59">IF($BT59=0, INDEX(LS_current!$D$4:$AY$138, MATCH('Staging Table'!$A59, LS_current!$B$4:$B$138, 0), MATCH(CB$4&amp;CB$5, LS_current!$D$2:$AY$2&amp;LS_current!$D$3:$AY$3, 0)),SUM(VLOOKUP($A59, LS_current!$B$4:$AY$138, LS_current!G$148, FALSE), VLOOKUP($A59, LS_current!$B$4:$AY$138,LS_current!AE$148, FALSE))/2)</f>
        <v>728.73597321441684</v>
      </c>
      <c r="CC59" s="192">
        <f t="array" ref="CC59">IF($BT59=0, INDEX(LS_current!$D$4:$AY$138, MATCH('Staging Table'!$A59, LS_current!$B$4:$B$138, 0), MATCH(CC$4&amp;CC$5, LS_current!$D$2:$AY$2&amp;LS_current!$D$3:$AY$3, 0)),SUM(VLOOKUP($A59, LS_current!$B$4:$AY$138, LS_current!H$148, FALSE), VLOOKUP($A59, LS_current!$B$4:$AY$138,LS_current!AF$148, FALSE))/2)</f>
        <v>1814.9882046863795</v>
      </c>
      <c r="CD59" s="192">
        <f t="array" ref="CD59">IF($BT59=0, INDEX(LS_current!$D$4:$AY$138, MATCH('Staging Table'!$A59, LS_current!$B$4:$B$138, 0), MATCH(CD$4&amp;CD$5, LS_current!$D$2:$AY$2&amp;LS_current!$D$3:$AY$3, 0)),SUM(VLOOKUP($A59, LS_current!$B$4:$AY$138, LS_current!I$148, FALSE), VLOOKUP($A59, LS_current!$B$4:$AY$138,LS_current!AG$148, FALSE))/2)</f>
        <v>1844.863740469732</v>
      </c>
      <c r="CE59" s="192">
        <f t="array" ref="CE59">IF($BT59=0, INDEX(LS_current!$D$4:$AY$138, MATCH('Staging Table'!$A59, LS_current!$B$4:$B$138, 0), MATCH(CE$4&amp;CE$5, LS_current!$D$2:$AY$2&amp;LS_current!$D$3:$AY$3, 0)),SUM(VLOOKUP($A59, LS_current!$B$4:$AY$138, LS_current!J$148, FALSE), VLOOKUP($A59, LS_current!$B$4:$AY$138,LS_current!AH$148, FALSE))/2)</f>
        <v>2294.7193564789586</v>
      </c>
      <c r="CF59" s="192">
        <f t="array" ref="CF59">IF($BT59=0, INDEX(LS_current!$D$4:$AY$138, MATCH('Staging Table'!$A59, LS_current!$B$4:$B$138, 0), MATCH(CF$4&amp;CF$5, LS_current!$D$2:$AY$2&amp;LS_current!$D$3:$AY$3, 0)),SUM(VLOOKUP($A59, LS_current!$B$4:$AY$138, LS_current!K$148, FALSE), VLOOKUP($A59, LS_current!$B$4:$AY$138,LS_current!AI$148, FALSE))/2)</f>
        <v>2888.0603276923521</v>
      </c>
      <c r="CG59" s="192">
        <f t="array" ref="CG59">IF($BT59=0, INDEX(LS_current!$D$4:$AY$138, MATCH('Staging Table'!$A59, LS_current!$B$4:$B$138, 0), MATCH(CG$4&amp;CG$5, LS_current!$D$2:$AY$2&amp;LS_current!$D$3:$AY$3, 0)),SUM(VLOOKUP($A59, LS_current!$B$4:$AY$138, LS_current!L$148, FALSE), VLOOKUP($A59, LS_current!$B$4:$AY$138,LS_current!AJ$148, FALSE))/2)</f>
        <v>2437.1922839894441</v>
      </c>
      <c r="CH59" s="192">
        <f t="array" ref="CH59">IF($BT59=0, INDEX(LS_current!$D$4:$AY$138, MATCH('Staging Table'!$A59, LS_current!$B$4:$B$138, 0), MATCH(CH$4&amp;CH$5, LS_current!$D$2:$AY$2&amp;LS_current!$D$3:$AY$3, 0)),SUM(VLOOKUP($A59, LS_current!$B$4:$AY$138, LS_current!M$148, FALSE), VLOOKUP($A59, LS_current!$B$4:$AY$138,LS_current!AK$148, FALSE))/2)</f>
        <v>2053.6806274632372</v>
      </c>
      <c r="CI59" s="192">
        <f t="array" ref="CI59">IF($BT59=0, INDEX(LS_current!$D$4:$AY$138, MATCH('Staging Table'!$A59, LS_current!$B$4:$B$138, 0), MATCH(CI$4&amp;CI$5, LS_current!$D$2:$AY$2&amp;LS_current!$D$3:$AY$3, 0)),SUM(VLOOKUP($A59, LS_current!$B$4:$AY$138, LS_current!N$148, FALSE), VLOOKUP($A59, LS_current!$B$4:$AY$138,LS_current!AL$148, FALSE))/2)</f>
        <v>78.168333537852959</v>
      </c>
      <c r="CJ59" s="192">
        <f t="array" ref="CJ59">IF($BT59=0, INDEX(LS_current!$D$4:$AY$138, MATCH('Staging Table'!$A59, LS_current!$B$4:$B$138, 0), MATCH(CJ$4&amp;CJ$5, LS_current!$D$2:$AY$2&amp;LS_current!$D$3:$AY$3, 0)),SUM(VLOOKUP($A59, LS_current!$B$4:$AY$138, LS_current!O$148, FALSE), VLOOKUP($A59, LS_current!$B$4:$AY$138,LS_current!AM$148, FALSE))/2)</f>
        <v>972.41108744643725</v>
      </c>
      <c r="CK59" s="192">
        <f t="array" ref="CK59">IF($BT59=0, INDEX(LS_current!$D$4:$AY$138, MATCH('Staging Table'!$A59, LS_current!$B$4:$B$138, 0), MATCH(CK$4&amp;CK$5, LS_current!$D$2:$AY$2&amp;LS_current!$D$3:$AY$3, 0)),SUM(VLOOKUP($A59, LS_current!$B$4:$AY$138, LS_current!P$148, FALSE), VLOOKUP($A59, LS_current!$B$4:$AY$138,LS_current!AN$148, FALSE))/2)</f>
        <v>1127.1164456590132</v>
      </c>
      <c r="CL59" s="192">
        <f t="array" ref="CL59">IF($BT59=0, INDEX(LS_current!$D$4:$AY$138, MATCH('Staging Table'!$A59, LS_current!$B$4:$B$138, 0), MATCH(CL$4&amp;CL$5, LS_current!$D$2:$AY$2&amp;LS_current!$D$3:$AY$3, 0)),SUM(VLOOKUP($A59, LS_current!$B$4:$AY$138, LS_current!Q$148, FALSE), VLOOKUP($A59, LS_current!$B$4:$AY$138,LS_current!AO$148, FALSE))/2)</f>
        <v>1970.9936549856257</v>
      </c>
      <c r="CM59" s="192">
        <f t="array" ref="CM59">IF($BT59=0, INDEX(LS_current!$D$4:$AY$138, MATCH('Staging Table'!$A59, LS_current!$B$4:$B$138, 0), MATCH(CM$4&amp;CM$5, LS_current!$D$2:$AY$2&amp;LS_current!$D$3:$AY$3, 0)),SUM(VLOOKUP($A59, LS_current!$B$4:$AY$138, LS_current!R$148, FALSE), VLOOKUP($A59, LS_current!$B$4:$AY$138,LS_current!AP$148, FALSE))/2)</f>
        <v>-4043.5459322450797</v>
      </c>
      <c r="CN59" s="192">
        <f t="array" ref="CN59">IF($BT59=0, INDEX(LS_current!$D$4:$AY$138, MATCH('Staging Table'!$A59, LS_current!$B$4:$B$138, 0), MATCH(CN$4&amp;CN$5, LS_current!$D$2:$AY$2&amp;LS_current!$D$3:$AY$3, 0)),SUM(VLOOKUP($A59, LS_current!$B$4:$AY$138, LS_current!S$148, FALSE), VLOOKUP($A59, LS_current!$B$4:$AY$138,LS_current!AQ$148, FALSE))/2)</f>
        <v>674.32660496658445</v>
      </c>
      <c r="CO59" s="192">
        <f t="array" ref="CO59">IF($BT59=0, INDEX(LS_current!$D$4:$AY$138, MATCH('Staging Table'!$A59, LS_current!$B$4:$B$138, 0), MATCH(CO$4&amp;CO$5, LS_current!$D$2:$AY$2&amp;LS_current!$D$3:$AY$3, 0)),SUM(VLOOKUP($A59, LS_current!$B$4:$AY$138, LS_current!T$148, FALSE), VLOOKUP($A59, LS_current!$B$4:$AY$138,LS_current!AR$148, FALSE))/2)</f>
        <v>-5748.7178232709994</v>
      </c>
      <c r="CP59" s="192">
        <f t="array" ref="CP59">IF($BT59=0, INDEX(LS_current!$D$4:$AY$138, MATCH('Staging Table'!$A59, LS_current!$B$4:$B$138, 0), MATCH(CP$4&amp;CP$5, LS_current!$D$2:$AY$2&amp;LS_current!$D$3:$AY$3, 0)),SUM(VLOOKUP($A59, LS_current!$B$4:$AY$138, LS_current!U$148, FALSE), VLOOKUP($A59, LS_current!$B$4:$AY$138,LS_current!AS$148, FALSE))/2)</f>
        <v>183.16642489823471</v>
      </c>
      <c r="CQ59" s="192">
        <f t="array" ref="CQ59">IF($BT59=0, INDEX(LS_current!$D$4:$AY$138, MATCH('Staging Table'!$A59, LS_current!$B$4:$B$138, 0), MATCH(CQ$4&amp;CQ$5, LS_current!$D$2:$AY$2&amp;LS_current!$D$3:$AY$3, 0)),SUM(VLOOKUP($A59, LS_current!$B$4:$AY$138, LS_current!V$148, FALSE), VLOOKUP($A59, LS_current!$B$4:$AY$138,LS_current!AT$148, FALSE))/2)</f>
        <v>-3694.2119061201865</v>
      </c>
      <c r="CR59" s="192">
        <f t="array" ref="CR59">IF($BT59=0, INDEX(LS_current!$D$4:$AY$138, MATCH('Staging Table'!$A59, LS_current!$B$4:$B$138, 0), MATCH(CR$4&amp;CR$5, LS_current!$D$2:$AY$2&amp;LS_current!$D$3:$AY$3, 0)),SUM(VLOOKUP($A59, LS_current!$B$4:$AY$138, LS_current!W$148, FALSE), VLOOKUP($A59, LS_current!$B$4:$AY$138,LS_current!AU$148, FALSE))/2)</f>
        <v>1066.9947516762741</v>
      </c>
      <c r="CS59" s="192">
        <f t="array" ref="CS59">IF($BT59=0, INDEX(LS_current!$D$4:$AY$138, MATCH('Staging Table'!$A59, LS_current!$B$4:$B$138, 0), MATCH(CS$4&amp;CS$5, LS_current!$D$2:$AY$2&amp;LS_current!$D$3:$AY$3, 0)),SUM(VLOOKUP($A59, LS_current!$B$4:$AY$138, LS_current!X$148, FALSE), VLOOKUP($A59, LS_current!$B$4:$AY$138,LS_current!AV$148, FALSE))/2)</f>
        <v>-2888.2540368369009</v>
      </c>
      <c r="CT59" s="192">
        <f t="array" ref="CT59">IF($BT59=0, INDEX(LS_current!$D$4:$AY$138, MATCH('Staging Table'!$A59, LS_current!$B$4:$B$138, 0), MATCH(CT$4&amp;CT$5, LS_current!$D$2:$AY$2&amp;LS_current!$D$3:$AY$3, 0)),SUM(VLOOKUP($A59, LS_current!$B$4:$AY$138, LS_current!Y$148, FALSE), VLOOKUP($A59, LS_current!$B$4:$AY$138,LS_current!AW$148, FALSE))/2)</f>
        <v>658.43982831582025</v>
      </c>
      <c r="CU59" s="192">
        <f t="array" ref="CU59">IF($BT59=0, INDEX(LS_current!$D$4:$AY$138, MATCH('Staging Table'!$A59, LS_current!$B$4:$B$138, 0), MATCH(CU$4&amp;CU$5, LS_current!$D$2:$AY$2&amp;LS_current!$D$3:$AY$3, 0)),SUM(VLOOKUP($A59, LS_current!$B$4:$AY$138, LS_current!Z$148, FALSE), VLOOKUP($A59, LS_current!$B$4:$AY$138,LS_current!AX$148, FALSE))/2)</f>
        <v>-2711.7938857624649</v>
      </c>
      <c r="CV59" s="192">
        <f t="array" ref="CV59">IF($BT59=0, INDEX(LS_current!$D$4:$AY$138, MATCH('Staging Table'!$A59, LS_current!$B$4:$B$138, 0), MATCH(CV$4&amp;CV$5, LS_current!$D$2:$AY$2&amp;LS_current!$D$3:$AY$3, 0)),SUM(VLOOKUP($A59, LS_current!$B$4:$AY$138, LS_current!AA$148, FALSE), VLOOKUP($A59, LS_current!$B$4:$AY$138,LS_current!AY$148, FALSE))/2)</f>
        <v>191.4103680792773</v>
      </c>
      <c r="CW59" s="194">
        <f t="array" ref="CW59">INDEX(Demand_current!$D$4:$AY$138, MATCH($A59, Demand_current!$B$4:$B$138, 0), MATCH(CW$4&amp;CW$5,Demand_current!$D$2:$AY$2&amp;Demand_current!$D$3:$AY$3, 0))/1000</f>
        <v>0</v>
      </c>
      <c r="CX59" s="194">
        <f t="array" ref="CX59">INDEX(Demand_current!$D$4:$AY$138, MATCH($A59, Demand_current!$B$4:$B$138, 0), MATCH(CX$4&amp;CX$5,Demand_current!$D$2:$AY$2&amp;Demand_current!$D$3:$AY$3, 0))/1000</f>
        <v>0</v>
      </c>
      <c r="CY59" s="194">
        <f t="array" ref="CY59">INDEX(Demand_current!$D$4:$AY$138, MATCH($A59, Demand_current!$B$4:$B$138, 0), MATCH(CY$4&amp;CY$5,Demand_current!$D$2:$AY$2&amp;Demand_current!$D$3:$AY$3, 0))/1000</f>
        <v>0</v>
      </c>
      <c r="CZ59" s="194">
        <f t="array" ref="CZ59">INDEX(Demand_current!$D$4:$AY$138, MATCH($A59, Demand_current!$B$4:$B$138, 0), MATCH(CZ$4&amp;CZ$5,Demand_current!$D$2:$AY$2&amp;Demand_current!$D$3:$AY$3, 0))/1000</f>
        <v>0</v>
      </c>
      <c r="DA59" s="194">
        <f t="array" ref="DA59">INDEX(Demand_current!$D$4:$AY$138, MATCH($A59, Demand_current!$B$4:$B$138, 0), MATCH(DA$4&amp;DA$5,Demand_current!$D$2:$AY$2&amp;Demand_current!$D$3:$AY$3, 0))/1000</f>
        <v>0</v>
      </c>
      <c r="DB59" s="194">
        <f t="array" ref="DB59">INDEX(Demand_current!$D$4:$AY$138, MATCH($A59, Demand_current!$B$4:$B$138, 0), MATCH(DB$4&amp;DB$5,Demand_current!$D$2:$AY$2&amp;Demand_current!$D$3:$AY$3, 0))/1000</f>
        <v>0</v>
      </c>
      <c r="DC59" s="194">
        <f t="array" ref="DC59">INDEX(Demand_current!$D$4:$AY$138, MATCH($A59, Demand_current!$B$4:$B$138, 0), MATCH(DC$4&amp;DC$5,Demand_current!$D$2:$AY$2&amp;Demand_current!$D$3:$AY$3, 0))/1000</f>
        <v>0</v>
      </c>
      <c r="DD59" s="194">
        <f t="array" ref="DD59">INDEX(Demand_current!$D$4:$AY$138, MATCH($A59, Demand_current!$B$4:$B$138, 0), MATCH(DD$4&amp;DD$5,Demand_current!$D$2:$AY$2&amp;Demand_current!$D$3:$AY$3, 0))/1000</f>
        <v>0</v>
      </c>
      <c r="DE59" s="194">
        <f t="array" ref="DE59">INDEX(Demand_current!$D$4:$AY$138, MATCH($A59, Demand_current!$B$4:$B$138, 0), MATCH(DE$4&amp;DE$5,Demand_current!$D$2:$AY$2&amp;Demand_current!$D$3:$AY$3, 0))/1000</f>
        <v>0</v>
      </c>
      <c r="DF59" s="194">
        <f t="array" ref="DF59">INDEX(Demand_current!$D$4:$AY$138, MATCH($A59, Demand_current!$B$4:$B$138, 0), MATCH(DF$4&amp;DF$5,Demand_current!$D$2:$AY$2&amp;Demand_current!$D$3:$AY$3, 0))/1000</f>
        <v>0</v>
      </c>
      <c r="DG59" s="194">
        <f t="array" ref="DG59">INDEX(Demand_current!$D$4:$AY$138, MATCH($A59, Demand_current!$B$4:$B$138, 0), MATCH(DG$4&amp;DG$5,Demand_current!$D$2:$AY$2&amp;Demand_current!$D$3:$AY$3, 0))/1000</f>
        <v>0</v>
      </c>
      <c r="DH59" s="194">
        <f t="array" ref="DH59">INDEX(Demand_current!$D$4:$AY$138, MATCH($A59, Demand_current!$B$4:$B$138, 0), MATCH(DH$4&amp;DH$5,Demand_current!$D$2:$AY$2&amp;Demand_current!$D$3:$AY$3, 0))/1000</f>
        <v>0</v>
      </c>
      <c r="DI59" s="192">
        <f>$BS59*(VLOOKUP(DI$4, Rates_current!$G$6:$Q$29, 10, FALSE)+VLOOKUP(DI$4, Rates_current!$G$6:$Q$29, 11, FALSE))</f>
        <v>15375.415021822118</v>
      </c>
      <c r="DJ59" s="192">
        <f>$BS59*(VLOOKUP(DJ$4, Rates_current!$G$6:$Q$29, 10, FALSE)+VLOOKUP(DJ$4, Rates_current!$G$6:$Q$29, 11, FALSE))</f>
        <v>19465.833429837661</v>
      </c>
      <c r="DK59" s="192">
        <f>$BS59*(VLOOKUP(DK$4, Rates_current!$G$6:$Q$29, 10, FALSE)+VLOOKUP(DK$4, Rates_current!$G$6:$Q$29, 11, FALSE))</f>
        <v>19053.161981010548</v>
      </c>
      <c r="DL59" s="192">
        <f>$BS59*(VLOOKUP(DL$4, Rates_current!$G$6:$Q$29, 10, FALSE)+VLOOKUP(DL$4, Rates_current!$G$6:$Q$29, 11, FALSE))</f>
        <v>15737.101563613785</v>
      </c>
      <c r="DM59" s="192">
        <f>$BS59*(VLOOKUP(DM$4, Rates_current!$G$6:$Q$29, 10, FALSE)+VLOOKUP(DM$4, Rates_current!$G$6:$Q$29, 11, FALSE))</f>
        <v>13639.690836627722</v>
      </c>
      <c r="DN59" s="192">
        <f>$BS59*(VLOOKUP(DN$4, Rates_current!$G$6:$Q$29, 10, FALSE)+VLOOKUP(DN$4, Rates_current!$G$6:$Q$29, 11, FALSE))</f>
        <v>16283.036470037625</v>
      </c>
      <c r="DO59" s="192">
        <f>$BS59*(VLOOKUP(DO$4, Rates_current!$G$6:$Q$29, 10, FALSE)+VLOOKUP(DO$4, Rates_current!$G$6:$Q$29, 11, FALSE))</f>
        <v>12641.610076260318</v>
      </c>
      <c r="DP59" s="192">
        <f>$BS59*(VLOOKUP(DP$4, Rates_current!$G$6:$Q$29, 10, FALSE)+VLOOKUP(DP$4, Rates_current!$G$6:$Q$29, 11, FALSE))</f>
        <v>17515.043790066531</v>
      </c>
      <c r="DQ59" s="192">
        <f>$BS59*(VLOOKUP(DQ$4, Rates_current!$G$6:$Q$29, 10, FALSE)+VLOOKUP(DQ$4, Rates_current!$G$6:$Q$29, 11, FALSE))</f>
        <v>18715.191039837682</v>
      </c>
      <c r="DR59" s="192">
        <f>$BS59*(VLOOKUP(DR$4, Rates_current!$G$6:$Q$29, 10, FALSE)+VLOOKUP(DR$4, Rates_current!$G$6:$Q$29, 11, FALSE))</f>
        <v>17769.226438555044</v>
      </c>
      <c r="DS59" s="192">
        <f>$BS59*(VLOOKUP(DS$4, Rates_current!$G$6:$Q$29, 10, FALSE)+VLOOKUP(DS$4, Rates_current!$G$6:$Q$29, 11, FALSE))</f>
        <v>17172.586528367585</v>
      </c>
      <c r="DT59" s="192">
        <f>$BS59*(VLOOKUP(DT$4, Rates_current!$G$6:$Q$29, 10, FALSE)+VLOOKUP(DT$4, Rates_current!$G$6:$Q$29, 11, FALSE))</f>
        <v>15869.26012341274</v>
      </c>
      <c r="DU59" s="418">
        <f>IF(D59=0,IF(C59=0,MAX(0,DW59 - (VLOOKUP($A59,TOCA_current!$A$2:$AI$137,MATCH("RHWM 2022",TOCA_current!$A$2:$AI$2,0),FALSE)*$BS$2)), 0),0)</f>
        <v>0</v>
      </c>
      <c r="DV59" s="419">
        <f>MIN(VLOOKUP($A59,TOCA_current!$A$2:$AI$137,MATCH("TRL - NLSL - Existing Resource "&amp;$BS$1,TOCA_current!$A$2:$AI$2,0),FALSE)*$BS$2, VLOOKUP($A59,TOCA_current!$A$2:$AI$137,MATCH("RHWM 2022",TOCA_current!$A$2:$AI$2,0),FALSE)*$BS$2)</f>
        <v>417457.8</v>
      </c>
      <c r="DW59" s="419">
        <f>SUM(BY59:CV59)+(BS59*RT1SC!$C$4*$BS$2)</f>
        <v>199236.9744564626</v>
      </c>
      <c r="DX59" s="419">
        <f>VLOOKUP($A59,TOCA_current!$A$2:$AI$137,MATCH("Above RHWM Not Served with LS "&amp;$BS$1,TOCA_current!$A$2:$AI$2,0),FALSE)*$BS$2</f>
        <v>21488.28</v>
      </c>
      <c r="DY59" s="419">
        <f t="shared" si="13"/>
        <v>-218220.82554353739</v>
      </c>
      <c r="DZ59" s="419">
        <f>(VLOOKUP($A59,TOCA_current!$A$2:$AI$137,MATCH("RHWM 2022",TOCA_current!$A$2:$AI$2,0),FALSE)*$BS$2) - $DV59</f>
        <v>0</v>
      </c>
      <c r="EA59" s="419">
        <f t="shared" si="14"/>
        <v>0</v>
      </c>
      <c r="EB59" s="419">
        <f t="shared" si="15"/>
        <v>196732.54554353739</v>
      </c>
      <c r="EC59" s="419">
        <f t="shared" si="16"/>
        <v>0</v>
      </c>
      <c r="ED59" s="419">
        <f t="shared" si="17"/>
        <v>0</v>
      </c>
    </row>
    <row r="60" spans="1:134">
      <c r="A60" s="135">
        <v>10158</v>
      </c>
      <c r="B60" s="136" t="s">
        <v>61</v>
      </c>
      <c r="C60" s="244">
        <f>VLOOKUP(A60, TOCA_current!$A$3:$D$137, 4, FALSE)</f>
        <v>0</v>
      </c>
      <c r="D60" s="203">
        <v>0</v>
      </c>
      <c r="E60" s="119">
        <f>VLOOKUP($A60,TOCA_previous!$A$2:$AI$137,MATCH(E$4,TOCA_previous!$A$2:$AI$2,0),FALSE)</f>
        <v>3.4390000000000001E-4</v>
      </c>
      <c r="F60" s="120">
        <f>VLOOKUP($A60,TOCA_previous!$A$2:$AI$137,MATCH(F$4,TOCA_previous!$A$2:$AI$2,0),FALSE)</f>
        <v>3.4390000000000001E-4</v>
      </c>
      <c r="G60" s="120">
        <f t="shared" si="5"/>
        <v>0</v>
      </c>
      <c r="H60" s="120">
        <f>VLOOKUP($A60,TOCA_previous!$A$2:$AI$137,MATCH(H$4,TOCA_previous!$A$2:$AI$2,0),FALSE)</f>
        <v>0</v>
      </c>
      <c r="I60" s="120">
        <f t="shared" si="6"/>
        <v>0</v>
      </c>
      <c r="J60" s="120">
        <f t="shared" si="7"/>
        <v>0</v>
      </c>
      <c r="K60" s="191">
        <f>VLOOKUP(A60, IRD!$A$5:$C$139, 3, FALSE)</f>
        <v>0</v>
      </c>
      <c r="L60" s="192">
        <f t="array" ref="L60">IF($G60=0, INDEX(LS_previous!$D$4:$AY$138, MATCH('Staging Table'!$A60, LS_previous!$B$4:$B$138, 0), MATCH(L$4&amp;L$5, LS_previous!$D$2:$AY$2&amp;LS_previous!$D$3:$AY$3, 0)),SUM(VLOOKUP($A60, LS_previous!$B$4:$AY$138, LS_previous!D$149, FALSE), VLOOKUP('Staging Table'!$A60, LS_previous!$B$4:$AY$138,LS_previous!AB$149, FALSE))/2)</f>
        <v>-251.20958693319994</v>
      </c>
      <c r="M60" s="192">
        <f t="array" ref="M60">IF($G60=0, INDEX(LS_previous!$D$4:$AY$138, MATCH('Staging Table'!$A60, LS_previous!$B$4:$B$138, 0), MATCH(M$4&amp;M$5, LS_previous!$D$2:$AY$2&amp;LS_previous!$D$3:$AY$3, 0)),SUM(VLOOKUP($A60, LS_previous!$B$4:$AY$138, LS_previous!E$149, FALSE), VLOOKUP('Staging Table'!$A60, LS_previous!$B$4:$AY$138,LS_previous!AC$149, FALSE))/2)</f>
        <v>50.571203228799959</v>
      </c>
      <c r="N60" s="192">
        <f t="array" ref="N60">IF($G60=0, INDEX(LS_previous!$D$4:$AY$138, MATCH('Staging Table'!$A60, LS_previous!$B$4:$B$138, 0), MATCH(N$4&amp;N$5, LS_previous!$D$2:$AY$2&amp;LS_previous!$D$3:$AY$3, 0)),SUM(VLOOKUP($A60, LS_previous!$B$4:$AY$138, LS_previous!F$149, FALSE), VLOOKUP('Staging Table'!$A60, LS_previous!$B$4:$AY$138,LS_previous!AD$149, FALSE))/2)</f>
        <v>-311.85369287919991</v>
      </c>
      <c r="O60" s="192">
        <f t="array" ref="O60">IF($G60=0, INDEX(LS_previous!$D$4:$AY$138, MATCH('Staging Table'!$A60, LS_previous!$B$4:$B$138, 0), MATCH(O$4&amp;O$5, LS_previous!$D$2:$AY$2&amp;LS_previous!$D$3:$AY$3, 0)),SUM(VLOOKUP($A60, LS_previous!$B$4:$AY$138, LS_previous!G$149, FALSE), VLOOKUP('Staging Table'!$A60, LS_previous!$B$4:$AY$138,LS_previous!AE$149, FALSE))/2)</f>
        <v>26.406201987099848</v>
      </c>
      <c r="P60" s="192">
        <f t="array" ref="P60">IF($G60=0, INDEX(LS_previous!$D$4:$AY$138, MATCH('Staging Table'!$A60, LS_previous!$B$4:$B$138, 0), MATCH(P$4&amp;P$5, LS_previous!$D$2:$AY$2&amp;LS_previous!$D$3:$AY$3, 0)),SUM(VLOOKUP($A60, LS_previous!$B$4:$AY$138, LS_previous!H$149, FALSE), VLOOKUP('Staging Table'!$A60, LS_previous!$B$4:$AY$138,LS_previous!AF$149, FALSE))/2)</f>
        <v>106.26475049919986</v>
      </c>
      <c r="Q60" s="192">
        <f t="array" ref="Q60">IF($G60=0, INDEX(LS_previous!$D$4:$AY$138, MATCH('Staging Table'!$A60, LS_previous!$B$4:$B$138, 0), MATCH(Q$4&amp;Q$5, LS_previous!$D$2:$AY$2&amp;LS_previous!$D$3:$AY$3, 0)),SUM(VLOOKUP($A60, LS_previous!$B$4:$AY$138, LS_previous!I$149, FALSE), VLOOKUP('Staging Table'!$A60, LS_previous!$B$4:$AY$138,LS_previous!AG$149, FALSE))/2)</f>
        <v>308.44124209639983</v>
      </c>
      <c r="R60" s="192">
        <f t="array" ref="R60">IF($G60=0, INDEX(LS_previous!$D$4:$AY$138, MATCH('Staging Table'!$A60, LS_previous!$B$4:$B$138, 0), MATCH(R$4&amp;R$5, LS_previous!$D$2:$AY$2&amp;LS_previous!$D$3:$AY$3, 0)),SUM(VLOOKUP($A60, LS_previous!$B$4:$AY$138, LS_previous!J$149, FALSE), VLOOKUP('Staging Table'!$A60, LS_previous!$B$4:$AY$138,LS_previous!AH$149, FALSE))/2)</f>
        <v>279.1168068991999</v>
      </c>
      <c r="S60" s="192">
        <f t="array" ref="S60">IF($G60=0, INDEX(LS_previous!$D$4:$AY$138, MATCH('Staging Table'!$A60, LS_previous!$B$4:$B$138, 0), MATCH(S$4&amp;S$5, LS_previous!$D$2:$AY$2&amp;LS_previous!$D$3:$AY$3, 0)),SUM(VLOOKUP($A60, LS_previous!$B$4:$AY$138, LS_previous!K$149, FALSE), VLOOKUP('Staging Table'!$A60, LS_previous!$B$4:$AY$138,LS_previous!AI$149, FALSE))/2)</f>
        <v>512.57085289639997</v>
      </c>
      <c r="T60" s="192">
        <f t="array" ref="T60">IF($G60=0, INDEX(LS_previous!$D$4:$AY$138, MATCH('Staging Table'!$A60, LS_previous!$B$4:$B$138, 0), MATCH(T$4&amp;T$5, LS_previous!$D$2:$AY$2&amp;LS_previous!$D$3:$AY$3, 0)),SUM(VLOOKUP($A60, LS_previous!$B$4:$AY$138, LS_previous!L$149, FALSE), VLOOKUP('Staging Table'!$A60, LS_previous!$B$4:$AY$138,LS_previous!AJ$149, FALSE))/2)</f>
        <v>62.347649056399973</v>
      </c>
      <c r="U60" s="192">
        <f t="array" ref="U60">IF($G60=0, INDEX(LS_previous!$D$4:$AY$138, MATCH('Staging Table'!$A60, LS_previous!$B$4:$B$138, 0), MATCH(U$4&amp;U$5, LS_previous!$D$2:$AY$2&amp;LS_previous!$D$3:$AY$3, 0)),SUM(VLOOKUP($A60, LS_previous!$B$4:$AY$138, LS_previous!M$149, FALSE), VLOOKUP('Staging Table'!$A60, LS_previous!$B$4:$AY$138,LS_previous!AK$149, FALSE))/2)</f>
        <v>233.38173342360005</v>
      </c>
      <c r="V60" s="192">
        <f t="array" ref="V60">IF($G60=0, INDEX(LS_previous!$D$4:$AY$138, MATCH('Staging Table'!$A60, LS_previous!$B$4:$B$138, 0), MATCH(V$4&amp;V$5, LS_previous!$D$2:$AY$2&amp;LS_previous!$D$3:$AY$3, 0)),SUM(VLOOKUP($A60, LS_previous!$B$4:$AY$138, LS_previous!N$149, FALSE), VLOOKUP('Staging Table'!$A60, LS_previous!$B$4:$AY$138,LS_previous!AL$149, FALSE))/2)</f>
        <v>3.9431866776001243</v>
      </c>
      <c r="W60" s="192">
        <f t="array" ref="W60">IF($G60=0, INDEX(LS_previous!$D$4:$AY$138, MATCH('Staging Table'!$A60, LS_previous!$B$4:$B$138, 0), MATCH(W$4&amp;W$5, LS_previous!$D$2:$AY$2&amp;LS_previous!$D$3:$AY$3, 0)),SUM(VLOOKUP($A60, LS_previous!$B$4:$AY$138, LS_previous!O$149, FALSE), VLOOKUP('Staging Table'!$A60, LS_previous!$B$4:$AY$138,LS_previous!AM$149, FALSE))/2)</f>
        <v>203.46039858810002</v>
      </c>
      <c r="X60" s="192">
        <f t="array" ref="X60">IF($G60=0, INDEX(LS_previous!$D$4:$AY$138, MATCH('Staging Table'!$A60, LS_previous!$B$4:$B$138, 0), MATCH(X$4&amp;X$5, LS_previous!$D$2:$AY$2&amp;LS_previous!$D$3:$AY$3, 0)),SUM(VLOOKUP($A60, LS_previous!$B$4:$AY$138, LS_previous!P$149, FALSE), VLOOKUP('Staging Table'!$A60, LS_previous!$B$4:$AY$138,LS_previous!AN$149, FALSE))/2)</f>
        <v>9.1612065384000516</v>
      </c>
      <c r="Y60" s="192">
        <f t="array" ref="Y60">IF($G60=0, INDEX(LS_previous!$D$4:$AY$138, MATCH('Staging Table'!$A60, LS_previous!$B$4:$B$138, 0), MATCH(Y$4&amp;Y$5, LS_previous!$D$2:$AY$2&amp;LS_previous!$D$3:$AY$3, 0)),SUM(VLOOKUP($A60, LS_previous!$B$4:$AY$138, LS_previous!Q$149, FALSE), VLOOKUP('Staging Table'!$A60, LS_previous!$B$4:$AY$138,LS_previous!AO$149, FALSE))/2)</f>
        <v>147.58227418959996</v>
      </c>
      <c r="Z60" s="192">
        <f t="array" ref="Z60">IF($G60=0, INDEX(LS_previous!$D$4:$AY$138, MATCH('Staging Table'!$A60, LS_previous!$B$4:$B$138, 0), MATCH(Z$4&amp;Z$5, LS_previous!$D$2:$AY$2&amp;LS_previous!$D$3:$AY$3, 0)),SUM(VLOOKUP($A60, LS_previous!$B$4:$AY$138, LS_previous!R$149, FALSE), VLOOKUP('Staging Table'!$A60, LS_previous!$B$4:$AY$138,LS_previous!AP$149, FALSE))/2)</f>
        <v>-408.88915369000017</v>
      </c>
      <c r="AA60" s="192">
        <f t="array" ref="AA60">IF($G60=0, INDEX(LS_previous!$D$4:$AY$138, MATCH('Staging Table'!$A60, LS_previous!$B$4:$B$138, 0), MATCH(AA$4&amp;AA$5, LS_previous!$D$2:$AY$2&amp;LS_previous!$D$3:$AY$3, 0)),SUM(VLOOKUP($A60, LS_previous!$B$4:$AY$138, LS_previous!S$149, FALSE), VLOOKUP('Staging Table'!$A60, LS_previous!$B$4:$AY$138,LS_previous!AQ$149, FALSE))/2)</f>
        <v>-6.0442139643998871</v>
      </c>
      <c r="AB60" s="192">
        <f t="array" ref="AB60">IF($G60=0, INDEX(LS_previous!$D$4:$AY$138, MATCH('Staging Table'!$A60, LS_previous!$B$4:$B$138, 0), MATCH(AB$4&amp;AB$5, LS_previous!$D$2:$AY$2&amp;LS_previous!$D$3:$AY$3, 0)),SUM(VLOOKUP($A60, LS_previous!$B$4:$AY$138, LS_previous!T$149, FALSE), VLOOKUP('Staging Table'!$A60, LS_previous!$B$4:$AY$138,LS_previous!AR$149, FALSE))/2)</f>
        <v>-726.78667511160018</v>
      </c>
      <c r="AC60" s="192">
        <f t="array" ref="AC60">IF($G60=0, INDEX(LS_previous!$D$4:$AY$138, MATCH('Staging Table'!$A60, LS_previous!$B$4:$B$138, 0), MATCH(AC$4&amp;AC$5, LS_previous!$D$2:$AY$2&amp;LS_previous!$D$3:$AY$3, 0)),SUM(VLOOKUP($A60, LS_previous!$B$4:$AY$138, LS_previous!U$149, FALSE), VLOOKUP('Staging Table'!$A60, LS_previous!$B$4:$AY$138,LS_previous!AS$149, FALSE))/2)</f>
        <v>-300.43868121040009</v>
      </c>
      <c r="AD60" s="192">
        <f t="array" ref="AD60">IF($G60=0, INDEX(LS_previous!$D$4:$AY$138, MATCH('Staging Table'!$A60, LS_previous!$B$4:$B$138, 0), MATCH(AD$4&amp;AD$5, LS_previous!$D$2:$AY$2&amp;LS_previous!$D$3:$AY$3, 0)),SUM(VLOOKUP($A60, LS_previous!$B$4:$AY$138, LS_previous!V$149, FALSE), VLOOKUP('Staging Table'!$A60, LS_previous!$B$4:$AY$138,LS_previous!AT$149, FALSE))/2)</f>
        <v>-471.43872461160004</v>
      </c>
      <c r="AE60" s="192">
        <f t="array" ref="AE60">IF($G60=0, INDEX(LS_previous!$D$4:$AY$138, MATCH('Staging Table'!$A60, LS_previous!$B$4:$B$138, 0), MATCH(AE$4&amp;AE$5, LS_previous!$D$2:$AY$2&amp;LS_previous!$D$3:$AY$3, 0)),SUM(VLOOKUP($A60, LS_previous!$B$4:$AY$138, LS_previous!W$149, FALSE), VLOOKUP('Staging Table'!$A60, LS_previous!$B$4:$AY$138,LS_previous!AU$149, FALSE))/2)</f>
        <v>19.696231307200037</v>
      </c>
      <c r="AF60" s="192">
        <f t="array" ref="AF60">IF($G60=0, INDEX(LS_previous!$D$4:$AY$138, MATCH('Staging Table'!$A60, LS_previous!$B$4:$B$138, 0), MATCH(AF$4&amp;AF$5, LS_previous!$D$2:$AY$2&amp;LS_previous!$D$3:$AY$3, 0)),SUM(VLOOKUP($A60, LS_previous!$B$4:$AY$138, LS_previous!X$149, FALSE), VLOOKUP('Staging Table'!$A60, LS_previous!$B$4:$AY$138,LS_previous!AV$149, FALSE))/2)</f>
        <v>-371.50460766160006</v>
      </c>
      <c r="AG60" s="192">
        <f t="array" ref="AG60">IF($G60=0, INDEX(LS_previous!$D$4:$AY$138, MATCH('Staging Table'!$A60, LS_previous!$B$4:$B$138, 0), MATCH(AG$4&amp;AG$5, LS_previous!$D$2:$AY$2&amp;LS_previous!$D$3:$AY$3, 0)),SUM(VLOOKUP($A60, LS_previous!$B$4:$AY$138, LS_previous!Y$149, FALSE), VLOOKUP('Staging Table'!$A60, LS_previous!$B$4:$AY$138,LS_previous!AW$149, FALSE))/2)</f>
        <v>-30.897640692799996</v>
      </c>
      <c r="AH60" s="192">
        <f t="array" ref="AH60">IF($G60=0, INDEX(LS_previous!$D$4:$AY$138, MATCH('Staging Table'!$A60, LS_previous!$B$4:$B$138, 0), MATCH(AH$4&amp;AH$5, LS_previous!$D$2:$AY$2&amp;LS_previous!$D$3:$AY$3, 0)),SUM(VLOOKUP($A60, LS_previous!$B$4:$AY$138, LS_previous!Z$149, FALSE), VLOOKUP('Staging Table'!$A60, LS_previous!$B$4:$AY$138,LS_previous!AX$149, FALSE))/2)</f>
        <v>-354.06030783999995</v>
      </c>
      <c r="AI60" s="192">
        <f t="array" ref="AI60">IF($G60=0, INDEX(LS_previous!$D$4:$AY$138, MATCH('Staging Table'!$A60, LS_previous!$B$4:$B$138, 0), MATCH(AI$4&amp;AI$5, LS_previous!$D$2:$AY$2&amp;LS_previous!$D$3:$AY$3, 0)),SUM(VLOOKUP($A60, LS_previous!$B$4:$AY$138, LS_previous!AA$149, FALSE), VLOOKUP('Staging Table'!$A60, LS_previous!$B$4:$AY$138,LS_previous!AY$149, FALSE))/2)</f>
        <v>-83.046137331999944</v>
      </c>
      <c r="AJ60" s="314">
        <f t="array" ref="AJ60">INDEX(Demand_previous!$D$4:$AY$138, MATCH('Staging Table'!$A60, Demand_previous!$B$4:$B$138, 0), MATCH(AJ$4&amp;AJ$5,Demand_previous!$D$2:$AY$2&amp;Demand_previous!$D$3:$AY$3, 0))/1000</f>
        <v>0.32409259259259271</v>
      </c>
      <c r="AK60" s="314">
        <f t="array" ref="AK60">INDEX(Demand_previous!$D$4:$AY$138, MATCH('Staging Table'!$A60, Demand_previous!$B$4:$B$138, 0), MATCH(AK$4&amp;AK$5,Demand_previous!$D$2:$AY$2&amp;Demand_previous!$D$3:$AY$3, 0))/1000</f>
        <v>0</v>
      </c>
      <c r="AL60" s="314">
        <f t="array" ref="AL60">INDEX(Demand_previous!$D$4:$AY$138, MATCH('Staging Table'!$A60, Demand_previous!$B$4:$B$138, 0), MATCH(AL$4&amp;AL$5,Demand_previous!$D$2:$AY$2&amp;Demand_previous!$D$3:$AY$3, 0))/1000</f>
        <v>0.58156500000000055</v>
      </c>
      <c r="AM60" s="314">
        <f t="array" ref="AM60">INDEX(Demand_previous!$D$4:$AY$138, MATCH('Staging Table'!$A60, Demand_previous!$B$4:$B$138, 0), MATCH(AM$4&amp;AM$5,Demand_previous!$D$2:$AY$2&amp;Demand_previous!$D$3:$AY$3, 0))/1000</f>
        <v>0.76358413461538432</v>
      </c>
      <c r="AN60" s="314">
        <f t="array" ref="AN60">INDEX(Demand_previous!$D$4:$AY$138, MATCH('Staging Table'!$A60, Demand_previous!$B$4:$B$138, 0), MATCH(AN$4&amp;AN$5,Demand_previous!$D$2:$AY$2&amp;Demand_previous!$D$3:$AY$3, 0))/1000</f>
        <v>0.44470749999999992</v>
      </c>
      <c r="AO60" s="314">
        <f t="array" ref="AO60">INDEX(Demand_previous!$D$4:$AY$138, MATCH('Staging Table'!$A60, Demand_previous!$B$4:$B$138, 0), MATCH(AO$4&amp;AO$5,Demand_previous!$D$2:$AY$2&amp;Demand_previous!$D$3:$AY$3, 0))/1000</f>
        <v>0.4762740384615386</v>
      </c>
      <c r="AP60" s="314">
        <f t="array" ref="AP60">INDEX(Demand_previous!$D$4:$AY$138, MATCH('Staging Table'!$A60, Demand_previous!$B$4:$B$138, 0), MATCH(AP$4&amp;AP$5,Demand_previous!$D$2:$AY$2&amp;Demand_previous!$D$3:$AY$3, 0))/1000</f>
        <v>0.4405745192307694</v>
      </c>
      <c r="AQ60" s="314">
        <f t="array" ref="AQ60">INDEX(Demand_previous!$D$4:$AY$138, MATCH('Staging Table'!$A60, Demand_previous!$B$4:$B$138, 0), MATCH(AQ$4&amp;AQ$5,Demand_previous!$D$2:$AY$2&amp;Demand_previous!$D$3:$AY$3, 0))/1000</f>
        <v>0.2055350000000003</v>
      </c>
      <c r="AR60" s="314">
        <f t="array" ref="AR60">INDEX(Demand_previous!$D$4:$AY$138, MATCH('Staging Table'!$A60, Demand_previous!$B$4:$B$138, 0), MATCH(AR$4&amp;AR$5,Demand_previous!$D$2:$AY$2&amp;Demand_previous!$D$3:$AY$3, 0))/1000</f>
        <v>0.13250961538461542</v>
      </c>
      <c r="AS60" s="314">
        <f t="array" ref="AS60">INDEX(Demand_previous!$D$4:$AY$138, MATCH('Staging Table'!$A60, Demand_previous!$B$4:$B$138, 0), MATCH(AS$4&amp;AS$5,Demand_previous!$D$2:$AY$2&amp;Demand_previous!$D$3:$AY$3, 0))/1000</f>
        <v>0.37881490384615391</v>
      </c>
      <c r="AT60" s="314">
        <f t="array" ref="AT60">INDEX(Demand_previous!$D$4:$AY$138, MATCH('Staging Table'!$A60, Demand_previous!$B$4:$B$138, 0), MATCH(AT$4&amp;AT$5,Demand_previous!$D$2:$AY$2&amp;Demand_previous!$D$3:$AY$3, 0))/1000</f>
        <v>0.24463221153846126</v>
      </c>
      <c r="AU60" s="314">
        <f t="array" ref="AU60">INDEX(Demand_previous!$D$4:$AY$138, MATCH('Staging Table'!$A60, Demand_previous!$B$4:$B$138, 0), MATCH(AU$4&amp;AU$5,Demand_previous!$D$2:$AY$2&amp;Demand_previous!$D$3:$AY$3, 0))/1000</f>
        <v>0</v>
      </c>
      <c r="AV60" s="192">
        <f>$F60*(VLOOKUP(AV$4, Rates_previous!$G$6:$Q$29, 10, FALSE)+VLOOKUP(AV$4, Rates_previous!$G$6:$Q$29, 11, FALSE))</f>
        <v>1587.8953837043998</v>
      </c>
      <c r="AW60" s="192">
        <f>$F60*(VLOOKUP(AW$4, Rates_previous!$G$6:$Q$29, 10, FALSE)+VLOOKUP(AW$4, Rates_previous!$G$6:$Q$29, 11, FALSE))</f>
        <v>2017.1224908921001</v>
      </c>
      <c r="AX60" s="192">
        <f>$F60*(VLOOKUP(AX$4, Rates_previous!$G$6:$Q$29, 10, FALSE)+VLOOKUP(AX$4, Rates_previous!$G$6:$Q$29, 11, FALSE))</f>
        <v>1992.7630074044002</v>
      </c>
      <c r="AY60" s="192">
        <f>$F60*(VLOOKUP(AY$4, Rates_previous!$G$6:$Q$29, 10, FALSE)+VLOOKUP(AY$4, Rates_previous!$G$6:$Q$29, 11, FALSE))</f>
        <v>1661.0893402044003</v>
      </c>
      <c r="AZ60" s="192">
        <f>$F60*(VLOOKUP(AZ$4, Rates_previous!$G$6:$Q$29, 10, FALSE)+VLOOKUP(AZ$4, Rates_previous!$G$6:$Q$29, 11, FALSE))</f>
        <v>1504.77461752</v>
      </c>
      <c r="BA60" s="192">
        <f>$F60*(VLOOKUP(BA$4, Rates_previous!$G$6:$Q$29, 10, FALSE)+VLOOKUP(BA$4, Rates_previous!$G$6:$Q$29, 11, FALSE))</f>
        <v>1673.7874147343</v>
      </c>
      <c r="BB60" s="192">
        <f>$F60*(VLOOKUP(BB$4, Rates_previous!$G$6:$Q$29, 10, FALSE)+VLOOKUP(BB$4, Rates_previous!$G$6:$Q$29, 11, FALSE))</f>
        <v>1362.799519272</v>
      </c>
      <c r="BC60" s="192">
        <f>$F60*(VLOOKUP(BC$4, Rates_previous!$G$6:$Q$29, 10, FALSE)+VLOOKUP(BC$4, Rates_previous!$G$6:$Q$29, 11, FALSE))</f>
        <v>1837.9383676544003</v>
      </c>
      <c r="BD60" s="192">
        <f>$F60*(VLOOKUP(BD$4, Rates_previous!$G$6:$Q$29, 10, FALSE)+VLOOKUP(BD$4, Rates_previous!$G$6:$Q$29, 11, FALSE))</f>
        <v>2345.0843563220001</v>
      </c>
      <c r="BE60" s="192">
        <f>$F60*(VLOOKUP(BE$4, Rates_previous!$G$6:$Q$29, 10, FALSE)+VLOOKUP(BE$4, Rates_previous!$G$6:$Q$29, 11, FALSE))</f>
        <v>1838.6204933044003</v>
      </c>
      <c r="BF60" s="192">
        <f>$F60*(VLOOKUP(BF$4, Rates_previous!$G$6:$Q$29, 10, FALSE)+VLOOKUP(BF$4, Rates_previous!$G$6:$Q$29, 11, FALSE))</f>
        <v>1790.4502483544002</v>
      </c>
      <c r="BG60" s="192">
        <f>$F60*(VLOOKUP(BG$4, Rates_previous!$G$6:$Q$29, 10, FALSE)+VLOOKUP(BG$4, Rates_previous!$G$6:$Q$29, 11, FALSE))</f>
        <v>1607.4434451720001</v>
      </c>
      <c r="BH60" s="314">
        <f>IF($D60=0,IF(C60=0, MAX(BJ60 - (VLOOKUP($A60,TOCA_previous!$A$2:$AI$137,MATCH("RHWM 2020",TOCA_previous!$A$2:$AI$2,0),FALSE)*$F$2*TOCA_previous!C57),0),0), 0)</f>
        <v>0</v>
      </c>
      <c r="BI60" s="204">
        <f>MIN(VLOOKUP($A60,TOCA_previous!$A$2:$AI$137,MATCH("TRL - NLSL - Existing Resource "&amp;$F$1,TOCA_previous!$A$2:$AI$2,0),FALSE)*$F$2,(VLOOKUP($A60,TOCA_previous!$A$2:$AI$137,MATCH("RHWM 2020",TOCA_previous!$A$2:$AI$2,0),FALSE)*$F$2))</f>
        <v>21222.144</v>
      </c>
      <c r="BJ60" s="418">
        <f>SUM(L60:AI60)+(F60*RT1SC!$C$3*$F$2)</f>
        <v>19866.543796472397</v>
      </c>
      <c r="BK60" s="417">
        <f>VLOOKUP($A60,TOCA_previous!$A$2:$AI$137,MATCH("Above RHWM Not Served with LS "&amp;$F$1,TOCA_previous!$A$2:$AI$2,0),FALSE)*$F$2</f>
        <v>0</v>
      </c>
      <c r="BL60" s="418">
        <f t="shared" si="8"/>
        <v>-1355.6002035276033</v>
      </c>
      <c r="BM60" s="417">
        <f>(VLOOKUP($A60,TOCA_previous!$A$2:$AI$137,MATCH("RHWM 2020",TOCA_previous!$A$2:$AI$2,0),FALSE)*$F$2) - $BI60</f>
        <v>3171.0240000000013</v>
      </c>
      <c r="BN60" s="418">
        <f t="shared" si="9"/>
        <v>0</v>
      </c>
      <c r="BO60" s="417">
        <f t="shared" si="10"/>
        <v>1355.6002035276033</v>
      </c>
      <c r="BP60" s="418">
        <f t="shared" si="11"/>
        <v>0</v>
      </c>
      <c r="BQ60" s="417">
        <f t="shared" si="18"/>
        <v>1355.6002035276033</v>
      </c>
      <c r="BR60" s="120">
        <f>VLOOKUP($A60,TOCA_current!$A$2:$AI$137,MATCH(BR$4,TOCA_current!$A$2:$AI$2,0),FALSE)</f>
        <v>3.523E-4</v>
      </c>
      <c r="BS60" s="120">
        <f>VLOOKUP($A60,TOCA_current!$A$2:$AI$137,MATCH(BS$4,TOCA_current!$A$2:$AI$2,0),FALSE)</f>
        <v>3.523E-4</v>
      </c>
      <c r="BT60" s="201">
        <f t="shared" si="12"/>
        <v>0</v>
      </c>
      <c r="BU60" s="120">
        <f>VLOOKUP($A60,TOCA_current!A56:BG191,MATCH(BU$4,TOCA_current!$A$2:$BG$2,0),FALSE)</f>
        <v>0</v>
      </c>
      <c r="BV60" s="120">
        <f t="shared" si="19"/>
        <v>0</v>
      </c>
      <c r="BW60" s="120">
        <f t="shared" si="20"/>
        <v>0</v>
      </c>
      <c r="BX60" s="191">
        <f>VLOOKUP($A60,IRD!$A$4:$G$139, 7, FALSE)</f>
        <v>0</v>
      </c>
      <c r="BY60" s="192">
        <f t="array" ref="BY60">IF($BT60=0, INDEX(LS_current!$D$4:$AY$138, MATCH('Staging Table'!$A60, LS_current!$B$4:$B$138, 0), MATCH(BY$4&amp;BY$5, LS_current!$D$2:$AY$2&amp;LS_current!$D$3:$AY$3, 0)),SUM(VLOOKUP($A60, LS_current!$B$4:$AY$138, LS_current!D$148, FALSE), VLOOKUP($A60, LS_current!$B$4:$AY$138,LS_current!AB$148, FALSE))/2)</f>
        <v>-245.38641019585657</v>
      </c>
      <c r="BZ60" s="192">
        <f t="array" ref="BZ60">IF($BT60=0, INDEX(LS_current!$D$4:$AY$138, MATCH('Staging Table'!$A60, LS_current!$B$4:$B$138, 0), MATCH(BZ$4&amp;BZ$5, LS_current!$D$2:$AY$2&amp;LS_current!$D$3:$AY$3, 0)),SUM(VLOOKUP($A60, LS_current!$B$4:$AY$138, LS_current!E$148, FALSE), VLOOKUP($A60, LS_current!$B$4:$AY$138,LS_current!AC$148, FALSE))/2)</f>
        <v>28.295836761051646</v>
      </c>
      <c r="CA60" s="192">
        <f t="array" ref="CA60">IF($BT60=0, INDEX(LS_current!$D$4:$AY$138, MATCH('Staging Table'!$A60, LS_current!$B$4:$B$138, 0), MATCH(CA$4&amp;CA$5, LS_current!$D$2:$AY$2&amp;LS_current!$D$3:$AY$3, 0)),SUM(VLOOKUP($A60, LS_current!$B$4:$AY$138, LS_current!F$148, FALSE), VLOOKUP($A60, LS_current!$B$4:$AY$138,LS_current!AD$148, FALSE))/2)</f>
        <v>-293.62508358670277</v>
      </c>
      <c r="CB60" s="192">
        <f t="array" ref="CB60">IF($BT60=0, INDEX(LS_current!$D$4:$AY$138, MATCH('Staging Table'!$A60, LS_current!$B$4:$B$138, 0), MATCH(CB$4&amp;CB$5, LS_current!$D$2:$AY$2&amp;LS_current!$D$3:$AY$3, 0)),SUM(VLOOKUP($A60, LS_current!$B$4:$AY$138, LS_current!G$148, FALSE), VLOOKUP($A60, LS_current!$B$4:$AY$138,LS_current!AE$148, FALSE))/2)</f>
        <v>-5.8621701620182876</v>
      </c>
      <c r="CC60" s="192">
        <f t="array" ref="CC60">IF($BT60=0, INDEX(LS_current!$D$4:$AY$138, MATCH('Staging Table'!$A60, LS_current!$B$4:$B$138, 0), MATCH(CC$4&amp;CC$5, LS_current!$D$2:$AY$2&amp;LS_current!$D$3:$AY$3, 0)),SUM(VLOOKUP($A60, LS_current!$B$4:$AY$138, LS_current!H$148, FALSE), VLOOKUP($A60, LS_current!$B$4:$AY$138,LS_current!AF$148, FALSE))/2)</f>
        <v>208.00363522046428</v>
      </c>
      <c r="CD60" s="192">
        <f t="array" ref="CD60">IF($BT60=0, INDEX(LS_current!$D$4:$AY$138, MATCH('Staging Table'!$A60, LS_current!$B$4:$B$138, 0), MATCH(CD$4&amp;CD$5, LS_current!$D$2:$AY$2&amp;LS_current!$D$3:$AY$3, 0)),SUM(VLOOKUP($A60, LS_current!$B$4:$AY$138, LS_current!I$148, FALSE), VLOOKUP($A60, LS_current!$B$4:$AY$138,LS_current!AG$148, FALSE))/2)</f>
        <v>211.36331048637021</v>
      </c>
      <c r="CE60" s="192">
        <f t="array" ref="CE60">IF($BT60=0, INDEX(LS_current!$D$4:$AY$138, MATCH('Staging Table'!$A60, LS_current!$B$4:$B$138, 0), MATCH(CE$4&amp;CE$5, LS_current!$D$2:$AY$2&amp;LS_current!$D$3:$AY$3, 0)),SUM(VLOOKUP($A60, LS_current!$B$4:$AY$138, LS_current!J$148, FALSE), VLOOKUP($A60, LS_current!$B$4:$AY$138,LS_current!AH$148, FALSE))/2)</f>
        <v>388.90146281115938</v>
      </c>
      <c r="CF60" s="192">
        <f t="array" ref="CF60">IF($BT60=0, INDEX(LS_current!$D$4:$AY$138, MATCH('Staging Table'!$A60, LS_current!$B$4:$B$138, 0), MATCH(CF$4&amp;CF$5, LS_current!$D$2:$AY$2&amp;LS_current!$D$3:$AY$3, 0)),SUM(VLOOKUP($A60, LS_current!$B$4:$AY$138, LS_current!K$148, FALSE), VLOOKUP($A60, LS_current!$B$4:$AY$138,LS_current!AI$148, FALSE))/2)</f>
        <v>421.7877840682246</v>
      </c>
      <c r="CG60" s="192">
        <f t="array" ref="CG60">IF($BT60=0, INDEX(LS_current!$D$4:$AY$138, MATCH('Staging Table'!$A60, LS_current!$B$4:$B$138, 0), MATCH(CG$4&amp;CG$5, LS_current!$D$2:$AY$2&amp;LS_current!$D$3:$AY$3, 0)),SUM(VLOOKUP($A60, LS_current!$B$4:$AY$138, LS_current!L$148, FALSE), VLOOKUP($A60, LS_current!$B$4:$AY$138,LS_current!AJ$148, FALSE))/2)</f>
        <v>184.9780701381253</v>
      </c>
      <c r="CH60" s="192">
        <f t="array" ref="CH60">IF($BT60=0, INDEX(LS_current!$D$4:$AY$138, MATCH('Staging Table'!$A60, LS_current!$B$4:$B$138, 0), MATCH(CH$4&amp;CH$5, LS_current!$D$2:$AY$2&amp;LS_current!$D$3:$AY$3, 0)),SUM(VLOOKUP($A60, LS_current!$B$4:$AY$138, LS_current!M$148, FALSE), VLOOKUP($A60, LS_current!$B$4:$AY$138,LS_current!AK$148, FALSE))/2)</f>
        <v>192.29248445004953</v>
      </c>
      <c r="CI60" s="192">
        <f t="array" ref="CI60">IF($BT60=0, INDEX(LS_current!$D$4:$AY$138, MATCH('Staging Table'!$A60, LS_current!$B$4:$B$138, 0), MATCH(CI$4&amp;CI$5, LS_current!$D$2:$AY$2&amp;LS_current!$D$3:$AY$3, 0)),SUM(VLOOKUP($A60, LS_current!$B$4:$AY$138, LS_current!N$148, FALSE), VLOOKUP($A60, LS_current!$B$4:$AY$138,LS_current!AL$148, FALSE))/2)</f>
        <v>24.718031762958617</v>
      </c>
      <c r="CJ60" s="192">
        <f t="array" ref="CJ60">IF($BT60=0, INDEX(LS_current!$D$4:$AY$138, MATCH('Staging Table'!$A60, LS_current!$B$4:$B$138, 0), MATCH(CJ$4&amp;CJ$5, LS_current!$D$2:$AY$2&amp;LS_current!$D$3:$AY$3, 0)),SUM(VLOOKUP($A60, LS_current!$B$4:$AY$138, LS_current!O$148, FALSE), VLOOKUP($A60, LS_current!$B$4:$AY$138,LS_current!AM$148, FALSE))/2)</f>
        <v>157.41964110549088</v>
      </c>
      <c r="CK60" s="192">
        <f t="array" ref="CK60">IF($BT60=0, INDEX(LS_current!$D$4:$AY$138, MATCH('Staging Table'!$A60, LS_current!$B$4:$B$138, 0), MATCH(CK$4&amp;CK$5, LS_current!$D$2:$AY$2&amp;LS_current!$D$3:$AY$3, 0)),SUM(VLOOKUP($A60, LS_current!$B$4:$AY$138, LS_current!P$148, FALSE), VLOOKUP($A60, LS_current!$B$4:$AY$138,LS_current!AN$148, FALSE))/2)</f>
        <v>53.838407266198715</v>
      </c>
      <c r="CL60" s="192">
        <f t="array" ref="CL60">IF($BT60=0, INDEX(LS_current!$D$4:$AY$138, MATCH('Staging Table'!$A60, LS_current!$B$4:$B$138, 0), MATCH(CL$4&amp;CL$5, LS_current!$D$2:$AY$2&amp;LS_current!$D$3:$AY$3, 0)),SUM(VLOOKUP($A60, LS_current!$B$4:$AY$138, LS_current!Q$148, FALSE), VLOOKUP($A60, LS_current!$B$4:$AY$138,LS_current!AO$148, FALSE))/2)</f>
        <v>146.61587731558933</v>
      </c>
      <c r="CM60" s="192">
        <f t="array" ref="CM60">IF($BT60=0, INDEX(LS_current!$D$4:$AY$138, MATCH('Staging Table'!$A60, LS_current!$B$4:$B$138, 0), MATCH(CM$4&amp;CM$5, LS_current!$D$2:$AY$2&amp;LS_current!$D$3:$AY$3, 0)),SUM(VLOOKUP($A60, LS_current!$B$4:$AY$138, LS_current!R$148, FALSE), VLOOKUP($A60, LS_current!$B$4:$AY$138,LS_current!AP$148, FALSE))/2)</f>
        <v>-447.75251819582297</v>
      </c>
      <c r="CN60" s="192">
        <f t="array" ref="CN60">IF($BT60=0, INDEX(LS_current!$D$4:$AY$138, MATCH('Staging Table'!$A60, LS_current!$B$4:$B$138, 0), MATCH(CN$4&amp;CN$5, LS_current!$D$2:$AY$2&amp;LS_current!$D$3:$AY$3, 0)),SUM(VLOOKUP($A60, LS_current!$B$4:$AY$138, LS_current!S$148, FALSE), VLOOKUP($A60, LS_current!$B$4:$AY$138,LS_current!AQ$148, FALSE))/2)</f>
        <v>43.150395830974389</v>
      </c>
      <c r="CO60" s="192">
        <f t="array" ref="CO60">IF($BT60=0, INDEX(LS_current!$D$4:$AY$138, MATCH('Staging Table'!$A60, LS_current!$B$4:$B$138, 0), MATCH(CO$4&amp;CO$5, LS_current!$D$2:$AY$2&amp;LS_current!$D$3:$AY$3, 0)),SUM(VLOOKUP($A60, LS_current!$B$4:$AY$138, LS_current!T$148, FALSE), VLOOKUP($A60, LS_current!$B$4:$AY$138,LS_current!AR$148, FALSE))/2)</f>
        <v>-597.43826522206848</v>
      </c>
      <c r="CP60" s="192">
        <f t="array" ref="CP60">IF($BT60=0, INDEX(LS_current!$D$4:$AY$138, MATCH('Staging Table'!$A60, LS_current!$B$4:$B$138, 0), MATCH(CP$4&amp;CP$5, LS_current!$D$2:$AY$2&amp;LS_current!$D$3:$AY$3, 0)),SUM(VLOOKUP($A60, LS_current!$B$4:$AY$138, LS_current!U$148, FALSE), VLOOKUP($A60, LS_current!$B$4:$AY$138,LS_current!AS$148, FALSE))/2)</f>
        <v>-37.539213566787794</v>
      </c>
      <c r="CQ60" s="192">
        <f t="array" ref="CQ60">IF($BT60=0, INDEX(LS_current!$D$4:$AY$138, MATCH('Staging Table'!$A60, LS_current!$B$4:$B$138, 0), MATCH(CQ$4&amp;CQ$5, LS_current!$D$2:$AY$2&amp;LS_current!$D$3:$AY$3, 0)),SUM(VLOOKUP($A60, LS_current!$B$4:$AY$138, LS_current!V$148, FALSE), VLOOKUP($A60, LS_current!$B$4:$AY$138,LS_current!AT$148, FALSE))/2)</f>
        <v>-440.71003894206478</v>
      </c>
      <c r="CR60" s="192">
        <f t="array" ref="CR60">IF($BT60=0, INDEX(LS_current!$D$4:$AY$138, MATCH('Staging Table'!$A60, LS_current!$B$4:$B$138, 0), MATCH(CR$4&amp;CR$5, LS_current!$D$2:$AY$2&amp;LS_current!$D$3:$AY$3, 0)),SUM(VLOOKUP($A60, LS_current!$B$4:$AY$138, LS_current!W$148, FALSE), VLOOKUP($A60, LS_current!$B$4:$AY$138,LS_current!AU$148, FALSE))/2)</f>
        <v>-26.541770110134507</v>
      </c>
      <c r="CS60" s="192">
        <f t="array" ref="CS60">IF($BT60=0, INDEX(LS_current!$D$4:$AY$138, MATCH('Staging Table'!$A60, LS_current!$B$4:$B$138, 0), MATCH(CS$4&amp;CS$5, LS_current!$D$2:$AY$2&amp;LS_current!$D$3:$AY$3, 0)),SUM(VLOOKUP($A60, LS_current!$B$4:$AY$138, LS_current!X$148, FALSE), VLOOKUP($A60, LS_current!$B$4:$AY$138,LS_current!AV$148, FALSE))/2)</f>
        <v>-351.26979984657225</v>
      </c>
      <c r="CT60" s="192">
        <f t="array" ref="CT60">IF($BT60=0, INDEX(LS_current!$D$4:$AY$138, MATCH('Staging Table'!$A60, LS_current!$B$4:$B$138, 0), MATCH(CT$4&amp;CT$5, LS_current!$D$2:$AY$2&amp;LS_current!$D$3:$AY$3, 0)),SUM(VLOOKUP($A60, LS_current!$B$4:$AY$138, LS_current!Y$148, FALSE), VLOOKUP($A60, LS_current!$B$4:$AY$138,LS_current!AW$148, FALSE))/2)</f>
        <v>-52.555621929898734</v>
      </c>
      <c r="CU60" s="192">
        <f t="array" ref="CU60">IF($BT60=0, INDEX(LS_current!$D$4:$AY$138, MATCH('Staging Table'!$A60, LS_current!$B$4:$B$138, 0), MATCH(CU$4&amp;CU$5, LS_current!$D$2:$AY$2&amp;LS_current!$D$3:$AY$3, 0)),SUM(VLOOKUP($A60, LS_current!$B$4:$AY$138, LS_current!Z$148, FALSE), VLOOKUP($A60, LS_current!$B$4:$AY$138,LS_current!AX$148, FALSE))/2)</f>
        <v>-381.42402330887012</v>
      </c>
      <c r="CV60" s="192">
        <f t="array" ref="CV60">IF($BT60=0, INDEX(LS_current!$D$4:$AY$138, MATCH('Staging Table'!$A60, LS_current!$B$4:$B$138, 0), MATCH(CV$4&amp;CV$5, LS_current!$D$2:$AY$2&amp;LS_current!$D$3:$AY$3, 0)),SUM(VLOOKUP($A60, LS_current!$B$4:$AY$138, LS_current!AA$148, FALSE), VLOOKUP($A60, LS_current!$B$4:$AY$138,LS_current!AY$148, FALSE))/2)</f>
        <v>-104.11681381410676</v>
      </c>
      <c r="CW60" s="194">
        <f t="array" ref="CW60">INDEX(Demand_current!$D$4:$AY$138, MATCH($A60, Demand_current!$B$4:$B$138, 0), MATCH(CW$4&amp;CW$5,Demand_current!$D$2:$AY$2&amp;Demand_current!$D$3:$AY$3, 0))/1000</f>
        <v>0.25432692307692328</v>
      </c>
      <c r="CX60" s="194">
        <f t="array" ref="CX60">INDEX(Demand_current!$D$4:$AY$138, MATCH($A60, Demand_current!$B$4:$B$138, 0), MATCH(CX$4&amp;CX$5,Demand_current!$D$2:$AY$2&amp;Demand_current!$D$3:$AY$3, 0))/1000</f>
        <v>0</v>
      </c>
      <c r="CY60" s="194">
        <f t="array" ref="CY60">INDEX(Demand_current!$D$4:$AY$138, MATCH($A60, Demand_current!$B$4:$B$138, 0), MATCH(CY$4&amp;CY$5,Demand_current!$D$2:$AY$2&amp;Demand_current!$D$3:$AY$3, 0))/1000</f>
        <v>0.71077403846153886</v>
      </c>
      <c r="CZ60" s="194">
        <f t="array" ref="CZ60">INDEX(Demand_current!$D$4:$AY$138, MATCH($A60, Demand_current!$B$4:$B$138, 0), MATCH(CZ$4&amp;CZ$5,Demand_current!$D$2:$AY$2&amp;Demand_current!$D$3:$AY$3, 0))/1000</f>
        <v>0.63636749999999942</v>
      </c>
      <c r="DA60" s="194">
        <f t="array" ref="DA60">INDEX(Demand_current!$D$4:$AY$138, MATCH($A60, Demand_current!$B$4:$B$138, 0), MATCH(DA$4&amp;DA$5,Demand_current!$D$2:$AY$2&amp;Demand_current!$D$3:$AY$3, 0))/1000</f>
        <v>0.33932031250000005</v>
      </c>
      <c r="DB60" s="194">
        <f t="array" ref="DB60">INDEX(Demand_current!$D$4:$AY$138, MATCH($A60, Demand_current!$B$4:$B$138, 0), MATCH(DB$4&amp;DB$5,Demand_current!$D$2:$AY$2&amp;Demand_current!$D$3:$AY$3, 0))/1000</f>
        <v>0.5713750000000003</v>
      </c>
      <c r="DC60" s="194">
        <f t="array" ref="DC60">INDEX(Demand_current!$D$4:$AY$138, MATCH($A60, Demand_current!$B$4:$B$138, 0), MATCH(DC$4&amp;DC$5,Demand_current!$D$2:$AY$2&amp;Demand_current!$D$3:$AY$3, 0))/1000</f>
        <v>0.4405745192307694</v>
      </c>
      <c r="DD60" s="194">
        <f t="array" ref="DD60">INDEX(Demand_current!$D$4:$AY$138, MATCH($A60, Demand_current!$B$4:$B$138, 0), MATCH(DD$4&amp;DD$5,Demand_current!$D$2:$AY$2&amp;Demand_current!$D$3:$AY$3, 0))/1000</f>
        <v>0.2055350000000003</v>
      </c>
      <c r="DE60" s="194">
        <f t="array" ref="DE60">INDEX(Demand_current!$D$4:$AY$138, MATCH($A60, Demand_current!$B$4:$B$138, 0), MATCH(DE$4&amp;DE$5,Demand_current!$D$2:$AY$2&amp;Demand_current!$D$3:$AY$3, 0))/1000</f>
        <v>0.13250961538461542</v>
      </c>
      <c r="DF60" s="194">
        <f t="array" ref="DF60">INDEX(Demand_current!$D$4:$AY$138, MATCH($A60, Demand_current!$B$4:$B$138, 0), MATCH(DF$4&amp;DF$5,Demand_current!$D$2:$AY$2&amp;Demand_current!$D$3:$AY$3, 0))/1000</f>
        <v>0.30244749999999998</v>
      </c>
      <c r="DG60" s="194">
        <f t="array" ref="DG60">INDEX(Demand_current!$D$4:$AY$138, MATCH($A60, Demand_current!$B$4:$B$138, 0), MATCH(DG$4&amp;DG$5,Demand_current!$D$2:$AY$2&amp;Demand_current!$D$3:$AY$3, 0))/1000</f>
        <v>0.32079398148148142</v>
      </c>
      <c r="DH60" s="194">
        <f t="array" ref="DH60">INDEX(Demand_current!$D$4:$AY$138, MATCH($A60, Demand_current!$B$4:$B$138, 0), MATCH(DH$4&amp;DH$5,Demand_current!$D$2:$AY$2&amp;Demand_current!$D$3:$AY$3, 0))/1000</f>
        <v>0</v>
      </c>
      <c r="DI60" s="192">
        <f>$BS60*(VLOOKUP(DI$4, Rates_current!$G$6:$Q$29, 10, FALSE)+VLOOKUP(DI$4, Rates_current!$G$6:$Q$29, 11, FALSE))</f>
        <v>1604.3475734348049</v>
      </c>
      <c r="DJ60" s="192">
        <f>$BS60*(VLOOKUP(DJ$4, Rates_current!$G$6:$Q$29, 10, FALSE)+VLOOKUP(DJ$4, Rates_current!$G$6:$Q$29, 11, FALSE))</f>
        <v>2031.1622537487212</v>
      </c>
      <c r="DK60" s="192">
        <f>$BS60*(VLOOKUP(DK$4, Rates_current!$G$6:$Q$29, 10, FALSE)+VLOOKUP(DK$4, Rates_current!$G$6:$Q$29, 11, FALSE))</f>
        <v>1988.1020542931653</v>
      </c>
      <c r="DL60" s="192">
        <f>$BS60*(VLOOKUP(DL$4, Rates_current!$G$6:$Q$29, 10, FALSE)+VLOOKUP(DL$4, Rates_current!$G$6:$Q$29, 11, FALSE))</f>
        <v>1642.0877531206161</v>
      </c>
      <c r="DM60" s="192">
        <f>$BS60*(VLOOKUP(DM$4, Rates_current!$G$6:$Q$29, 10, FALSE)+VLOOKUP(DM$4, Rates_current!$G$6:$Q$29, 11, FALSE))</f>
        <v>1423.2334454118254</v>
      </c>
      <c r="DN60" s="192">
        <f>$BS60*(VLOOKUP(DN$4, Rates_current!$G$6:$Q$29, 10, FALSE)+VLOOKUP(DN$4, Rates_current!$G$6:$Q$29, 11, FALSE))</f>
        <v>1699.0533271315508</v>
      </c>
      <c r="DO60" s="192">
        <f>$BS60*(VLOOKUP(DO$4, Rates_current!$G$6:$Q$29, 10, FALSE)+VLOOKUP(DO$4, Rates_current!$G$6:$Q$29, 11, FALSE))</f>
        <v>1319.0887154182121</v>
      </c>
      <c r="DP60" s="192">
        <f>$BS60*(VLOOKUP(DP$4, Rates_current!$G$6:$Q$29, 10, FALSE)+VLOOKUP(DP$4, Rates_current!$G$6:$Q$29, 11, FALSE))</f>
        <v>1827.6071223648485</v>
      </c>
      <c r="DQ60" s="192">
        <f>$BS60*(VLOOKUP(DQ$4, Rates_current!$G$6:$Q$29, 10, FALSE)+VLOOKUP(DQ$4, Rates_current!$G$6:$Q$29, 11, FALSE))</f>
        <v>1952.8364787888561</v>
      </c>
      <c r="DR60" s="192">
        <f>$BS60*(VLOOKUP(DR$4, Rates_current!$G$6:$Q$29, 10, FALSE)+VLOOKUP(DR$4, Rates_current!$G$6:$Q$29, 11, FALSE))</f>
        <v>1854.1298090521993</v>
      </c>
      <c r="DS60" s="192">
        <f>$BS60*(VLOOKUP(DS$4, Rates_current!$G$6:$Q$29, 10, FALSE)+VLOOKUP(DS$4, Rates_current!$G$6:$Q$29, 11, FALSE))</f>
        <v>1791.8734217764709</v>
      </c>
      <c r="DT60" s="192">
        <f>$BS60*(VLOOKUP(DT$4, Rates_current!$G$6:$Q$29, 10, FALSE)+VLOOKUP(DT$4, Rates_current!$G$6:$Q$29, 11, FALSE))</f>
        <v>1655.8778371229771</v>
      </c>
      <c r="DU60" s="418">
        <f>IF(D60=0,IF(C60=0,MAX(0,DW60 - (VLOOKUP($A60,TOCA_current!$A$2:$AI$137,MATCH("RHWM 2022",TOCA_current!$A$2:$AI$2,0),FALSE)*$BS$2)), 0),0)</f>
        <v>0</v>
      </c>
      <c r="DV60" s="419">
        <f>MIN(VLOOKUP($A60,TOCA_current!$A$2:$AI$137,MATCH("TRL - NLSL - Existing Resource "&amp;$BS$1,TOCA_current!$A$2:$AI$2,0),FALSE)*$BS$2, VLOOKUP($A60,TOCA_current!$A$2:$AI$137,MATCH("RHWM 2022",TOCA_current!$A$2:$AI$2,0),FALSE)*$BS$2)</f>
        <v>20787.480000000003</v>
      </c>
      <c r="DW60" s="419">
        <f>SUM(BY60:CV60)+(BS60*RT1SC!$C$4*$BS$2)</f>
        <v>19866.544063467754</v>
      </c>
      <c r="DX60" s="419">
        <f>VLOOKUP($A60,TOCA_current!$A$2:$AI$137,MATCH("Above RHWM Not Served with LS "&amp;$BS$1,TOCA_current!$A$2:$AI$2,0),FALSE)*$BS$2</f>
        <v>0</v>
      </c>
      <c r="DY60" s="419">
        <f t="shared" si="13"/>
        <v>-920.93593653224889</v>
      </c>
      <c r="DZ60" s="419">
        <f>(VLOOKUP($A60,TOCA_current!$A$2:$AI$137,MATCH("RHWM 2022",TOCA_current!$A$2:$AI$2,0),FALSE)*$BS$2) - $DV60</f>
        <v>2540.3999999999942</v>
      </c>
      <c r="EA60" s="419">
        <f t="shared" si="14"/>
        <v>0</v>
      </c>
      <c r="EB60" s="419">
        <f t="shared" si="15"/>
        <v>920.93593653224889</v>
      </c>
      <c r="EC60" s="419">
        <f t="shared" si="16"/>
        <v>0</v>
      </c>
      <c r="ED60" s="419">
        <f t="shared" si="17"/>
        <v>920.93593653224889</v>
      </c>
    </row>
    <row r="61" spans="1:134">
      <c r="A61" s="135">
        <v>10170</v>
      </c>
      <c r="B61" s="136" t="s">
        <v>62</v>
      </c>
      <c r="C61" s="244">
        <f>VLOOKUP(A61, TOCA_current!$A$3:$D$137, 4, FALSE)</f>
        <v>0</v>
      </c>
      <c r="D61" s="203">
        <v>1</v>
      </c>
      <c r="E61" s="119">
        <f>VLOOKUP($A61,TOCA_previous!$A$2:$AI$137,MATCH(E$4,TOCA_previous!$A$2:$AI$2,0),FALSE)</f>
        <v>3.22244E-2</v>
      </c>
      <c r="F61" s="120">
        <f>VLOOKUP($A61,TOCA_previous!$A$2:$AI$137,MATCH(F$4,TOCA_previous!$A$2:$AI$2,0),FALSE)</f>
        <v>1.4290799999999999E-2</v>
      </c>
      <c r="G61" s="120">
        <f t="shared" si="5"/>
        <v>1.7933600000000001E-2</v>
      </c>
      <c r="H61" s="120">
        <f>VLOOKUP($A61,TOCA_previous!$A$2:$AI$137,MATCH(H$4,TOCA_previous!$A$2:$AI$2,0),FALSE)</f>
        <v>0</v>
      </c>
      <c r="I61" s="120">
        <f t="shared" si="6"/>
        <v>0</v>
      </c>
      <c r="J61" s="120">
        <f t="shared" si="7"/>
        <v>0</v>
      </c>
      <c r="K61" s="191">
        <f>VLOOKUP(A61, IRD!$A$5:$C$139, 3, FALSE)</f>
        <v>0</v>
      </c>
      <c r="L61" s="192">
        <f t="array" ref="L61">IF($G61=0, INDEX(LS_previous!$D$4:$AY$138, MATCH('Staging Table'!$A61, LS_previous!$B$4:$B$138, 0), MATCH(L$4&amp;L$5, LS_previous!$D$2:$AY$2&amp;LS_previous!$D$3:$AY$3, 0)),SUM(VLOOKUP($A61, LS_previous!$B$4:$AY$138, LS_previous!D$149, FALSE), VLOOKUP('Staging Table'!$A61, LS_previous!$B$4:$AY$138,LS_previous!AB$149, FALSE))/2)</f>
        <v>-1600.1313236511523</v>
      </c>
      <c r="M61" s="192">
        <f t="array" ref="M61">IF($G61=0, INDEX(LS_previous!$D$4:$AY$138, MATCH('Staging Table'!$A61, LS_previous!$B$4:$B$138, 0), MATCH(M$4&amp;M$5, LS_previous!$D$2:$AY$2&amp;LS_previous!$D$3:$AY$3, 0)),SUM(VLOOKUP($A61, LS_previous!$B$4:$AY$138, LS_previous!E$149, FALSE), VLOOKUP('Staging Table'!$A61, LS_previous!$B$4:$AY$138,LS_previous!AC$149, FALSE))/2)</f>
        <v>6987.4588358144429</v>
      </c>
      <c r="N61" s="192">
        <f t="array" ref="N61">IF($G61=0, INDEX(LS_previous!$D$4:$AY$138, MATCH('Staging Table'!$A61, LS_previous!$B$4:$B$138, 0), MATCH(N$4&amp;N$5, LS_previous!$D$2:$AY$2&amp;LS_previous!$D$3:$AY$3, 0)),SUM(VLOOKUP($A61, LS_previous!$B$4:$AY$138, LS_previous!F$149, FALSE), VLOOKUP('Staging Table'!$A61, LS_previous!$B$4:$AY$138,LS_previous!AD$149, FALSE))/2)</f>
        <v>-15832.201008495809</v>
      </c>
      <c r="O61" s="192">
        <f t="array" ref="O61">IF($G61=0, INDEX(LS_previous!$D$4:$AY$138, MATCH('Staging Table'!$A61, LS_previous!$B$4:$B$138, 0), MATCH(O$4&amp;O$5, LS_previous!$D$2:$AY$2&amp;LS_previous!$D$3:$AY$3, 0)),SUM(VLOOKUP($A61, LS_previous!$B$4:$AY$138, LS_previous!G$149, FALSE), VLOOKUP('Staging Table'!$A61, LS_previous!$B$4:$AY$138,LS_previous!AE$149, FALSE))/2)</f>
        <v>-322.81050956895706</v>
      </c>
      <c r="P61" s="192">
        <f t="array" ref="P61">IF($G61=0, INDEX(LS_previous!$D$4:$AY$138, MATCH('Staging Table'!$A61, LS_previous!$B$4:$B$138, 0), MATCH(P$4&amp;P$5, LS_previous!$D$2:$AY$2&amp;LS_previous!$D$3:$AY$3, 0)),SUM(VLOOKUP($A61, LS_previous!$B$4:$AY$138, LS_previous!H$149, FALSE), VLOOKUP('Staging Table'!$A61, LS_previous!$B$4:$AY$138,LS_previous!AF$149, FALSE))/2)</f>
        <v>-3637.4687932352535</v>
      </c>
      <c r="Q61" s="192">
        <f t="array" ref="Q61">IF($G61=0, INDEX(LS_previous!$D$4:$AY$138, MATCH('Staging Table'!$A61, LS_previous!$B$4:$B$138, 0), MATCH(Q$4&amp;Q$5, LS_previous!$D$2:$AY$2&amp;LS_previous!$D$3:$AY$3, 0)),SUM(VLOOKUP($A61, LS_previous!$B$4:$AY$138, LS_previous!I$149, FALSE), VLOOKUP('Staging Table'!$A61, LS_previous!$B$4:$AY$138,LS_previous!AG$149, FALSE))/2)</f>
        <v>8042.4710946529649</v>
      </c>
      <c r="R61" s="192">
        <f t="array" ref="R61">IF($G61=0, INDEX(LS_previous!$D$4:$AY$138, MATCH('Staging Table'!$A61, LS_previous!$B$4:$B$138, 0), MATCH(R$4&amp;R$5, LS_previous!$D$2:$AY$2&amp;LS_previous!$D$3:$AY$3, 0)),SUM(VLOOKUP($A61, LS_previous!$B$4:$AY$138, LS_previous!J$149, FALSE), VLOOKUP('Staging Table'!$A61, LS_previous!$B$4:$AY$138,LS_previous!AH$149, FALSE))/2)</f>
        <v>7373.7004525607372</v>
      </c>
      <c r="S61" s="192">
        <f t="array" ref="S61">IF($G61=0, INDEX(LS_previous!$D$4:$AY$138, MATCH('Staging Table'!$A61, LS_previous!$B$4:$B$138, 0), MATCH(S$4&amp;S$5, LS_previous!$D$2:$AY$2&amp;LS_previous!$D$3:$AY$3, 0)),SUM(VLOOKUP($A61, LS_previous!$B$4:$AY$138, LS_previous!K$149, FALSE), VLOOKUP('Staging Table'!$A61, LS_previous!$B$4:$AY$138,LS_previous!AI$149, FALSE))/2)</f>
        <v>16261.255377224734</v>
      </c>
      <c r="T61" s="192">
        <f t="array" ref="T61">IF($G61=0, INDEX(LS_previous!$D$4:$AY$138, MATCH('Staging Table'!$A61, LS_previous!$B$4:$B$138, 0), MATCH(T$4&amp;T$5, LS_previous!$D$2:$AY$2&amp;LS_previous!$D$3:$AY$3, 0)),SUM(VLOOKUP($A61, LS_previous!$B$4:$AY$138, LS_previous!L$149, FALSE), VLOOKUP('Staging Table'!$A61, LS_previous!$B$4:$AY$138,LS_previous!AJ$149, FALSE))/2)</f>
        <v>8359.0700010885412</v>
      </c>
      <c r="U61" s="192">
        <f t="array" ref="U61">IF($G61=0, INDEX(LS_previous!$D$4:$AY$138, MATCH('Staging Table'!$A61, LS_previous!$B$4:$B$138, 0), MATCH(U$4&amp;U$5, LS_previous!$D$2:$AY$2&amp;LS_previous!$D$3:$AY$3, 0)),SUM(VLOOKUP($A61, LS_previous!$B$4:$AY$138, LS_previous!M$149, FALSE), VLOOKUP('Staging Table'!$A61, LS_previous!$B$4:$AY$138,LS_previous!AK$149, FALSE))/2)</f>
        <v>12395.011335203826</v>
      </c>
      <c r="V61" s="192">
        <f t="array" ref="V61">IF($G61=0, INDEX(LS_previous!$D$4:$AY$138, MATCH('Staging Table'!$A61, LS_previous!$B$4:$B$138, 0), MATCH(V$4&amp;V$5, LS_previous!$D$2:$AY$2&amp;LS_previous!$D$3:$AY$3, 0)),SUM(VLOOKUP($A61, LS_previous!$B$4:$AY$138, LS_previous!N$149, FALSE), VLOOKUP('Staging Table'!$A61, LS_previous!$B$4:$AY$138,LS_previous!AL$149, FALSE))/2)</f>
        <v>2034.7124771265953</v>
      </c>
      <c r="W61" s="192">
        <f t="array" ref="W61">IF($G61=0, INDEX(LS_previous!$D$4:$AY$138, MATCH('Staging Table'!$A61, LS_previous!$B$4:$B$138, 0), MATCH(W$4&amp;W$5, LS_previous!$D$2:$AY$2&amp;LS_previous!$D$3:$AY$3, 0)),SUM(VLOOKUP($A61, LS_previous!$B$4:$AY$138, LS_previous!O$149, FALSE), VLOOKUP('Staging Table'!$A61, LS_previous!$B$4:$AY$138,LS_previous!AM$149, FALSE))/2)</f>
        <v>9522.2340399707027</v>
      </c>
      <c r="X61" s="192">
        <f t="array" ref="X61">IF($G61=0, INDEX(LS_previous!$D$4:$AY$138, MATCH('Staging Table'!$A61, LS_previous!$B$4:$B$138, 0), MATCH(X$4&amp;X$5, LS_previous!$D$2:$AY$2&amp;LS_previous!$D$3:$AY$3, 0)),SUM(VLOOKUP($A61, LS_previous!$B$4:$AY$138, LS_previous!P$149, FALSE), VLOOKUP('Staging Table'!$A61, LS_previous!$B$4:$AY$138,LS_previous!AN$149, FALSE))/2)</f>
        <v>5623.4972652698852</v>
      </c>
      <c r="Y61" s="192">
        <f t="array" ref="Y61">IF($G61=0, INDEX(LS_previous!$D$4:$AY$138, MATCH('Staging Table'!$A61, LS_previous!$B$4:$B$138, 0), MATCH(Y$4&amp;Y$5, LS_previous!$D$2:$AY$2&amp;LS_previous!$D$3:$AY$3, 0)),SUM(VLOOKUP($A61, LS_previous!$B$4:$AY$138, LS_previous!Q$149, FALSE), VLOOKUP('Staging Table'!$A61, LS_previous!$B$4:$AY$138,LS_previous!AO$149, FALSE))/2)</f>
        <v>9198.0567568952993</v>
      </c>
      <c r="Z61" s="192">
        <f t="array" ref="Z61">IF($G61=0, INDEX(LS_previous!$D$4:$AY$138, MATCH('Staging Table'!$A61, LS_previous!$B$4:$B$138, 0), MATCH(Z$4&amp;Z$5, LS_previous!$D$2:$AY$2&amp;LS_previous!$D$3:$AY$3, 0)),SUM(VLOOKUP($A61, LS_previous!$B$4:$AY$138, LS_previous!R$149, FALSE), VLOOKUP('Staging Table'!$A61, LS_previous!$B$4:$AY$138,LS_previous!AP$149, FALSE))/2)</f>
        <v>-18472.836799963661</v>
      </c>
      <c r="AA61" s="192">
        <f t="array" ref="AA61">IF($G61=0, INDEX(LS_previous!$D$4:$AY$138, MATCH('Staging Table'!$A61, LS_previous!$B$4:$B$138, 0), MATCH(AA$4&amp;AA$5, LS_previous!$D$2:$AY$2&amp;LS_previous!$D$3:$AY$3, 0)),SUM(VLOOKUP($A61, LS_previous!$B$4:$AY$138, LS_previous!S$149, FALSE), VLOOKUP('Staging Table'!$A61, LS_previous!$B$4:$AY$138,LS_previous!AQ$149, FALSE))/2)</f>
        <v>58.268026431753242</v>
      </c>
      <c r="AB61" s="192">
        <f t="array" ref="AB61">IF($G61=0, INDEX(LS_previous!$D$4:$AY$138, MATCH('Staging Table'!$A61, LS_previous!$B$4:$B$138, 0), MATCH(AB$4&amp;AB$5, LS_previous!$D$2:$AY$2&amp;LS_previous!$D$3:$AY$3, 0)),SUM(VLOOKUP($A61, LS_previous!$B$4:$AY$138, LS_previous!T$149, FALSE), VLOOKUP('Staging Table'!$A61, LS_previous!$B$4:$AY$138,LS_previous!AR$149, FALSE))/2)</f>
        <v>-29921.024803553501</v>
      </c>
      <c r="AC61" s="192">
        <f t="array" ref="AC61">IF($G61=0, INDEX(LS_previous!$D$4:$AY$138, MATCH('Staging Table'!$A61, LS_previous!$B$4:$B$138, 0), MATCH(AC$4&amp;AC$5, LS_previous!$D$2:$AY$2&amp;LS_previous!$D$3:$AY$3, 0)),SUM(VLOOKUP($A61, LS_previous!$B$4:$AY$138, LS_previous!U$149, FALSE), VLOOKUP('Staging Table'!$A61, LS_previous!$B$4:$AY$138,LS_previous!AS$149, FALSE))/2)</f>
        <v>-9749.0661129265973</v>
      </c>
      <c r="AD61" s="192">
        <f t="array" ref="AD61">IF($G61=0, INDEX(LS_previous!$D$4:$AY$138, MATCH('Staging Table'!$A61, LS_previous!$B$4:$B$138, 0), MATCH(AD$4&amp;AD$5, LS_previous!$D$2:$AY$2&amp;LS_previous!$D$3:$AY$3, 0)),SUM(VLOOKUP($A61, LS_previous!$B$4:$AY$138, LS_previous!V$149, FALSE), VLOOKUP('Staging Table'!$A61, LS_previous!$B$4:$AY$138,LS_previous!AT$149, FALSE))/2)</f>
        <v>-12822.276714039079</v>
      </c>
      <c r="AE61" s="192">
        <f t="array" ref="AE61">IF($G61=0, INDEX(LS_previous!$D$4:$AY$138, MATCH('Staging Table'!$A61, LS_previous!$B$4:$B$138, 0), MATCH(AE$4&amp;AE$5, LS_previous!$D$2:$AY$2&amp;LS_previous!$D$3:$AY$3, 0)),SUM(VLOOKUP($A61, LS_previous!$B$4:$AY$138, LS_previous!W$149, FALSE), VLOOKUP('Staging Table'!$A61, LS_previous!$B$4:$AY$138,LS_previous!AU$149, FALSE))/2)</f>
        <v>7701.203809002358</v>
      </c>
      <c r="AF61" s="192">
        <f t="array" ref="AF61">IF($G61=0, INDEX(LS_previous!$D$4:$AY$138, MATCH('Staging Table'!$A61, LS_previous!$B$4:$B$138, 0), MATCH(AF$4&amp;AF$5, LS_previous!$D$2:$AY$2&amp;LS_previous!$D$3:$AY$3, 0)),SUM(VLOOKUP($A61, LS_previous!$B$4:$AY$138, LS_previous!X$149, FALSE), VLOOKUP('Staging Table'!$A61, LS_previous!$B$4:$AY$138,LS_previous!AV$149, FALSE))/2)</f>
        <v>-10206.83674503526</v>
      </c>
      <c r="AG61" s="192">
        <f t="array" ref="AG61">IF($G61=0, INDEX(LS_previous!$D$4:$AY$138, MATCH('Staging Table'!$A61, LS_previous!$B$4:$B$138, 0), MATCH(AG$4&amp;AG$5, LS_previous!$D$2:$AY$2&amp;LS_previous!$D$3:$AY$3, 0)),SUM(VLOOKUP($A61, LS_previous!$B$4:$AY$138, LS_previous!Y$149, FALSE), VLOOKUP('Staging Table'!$A61, LS_previous!$B$4:$AY$138,LS_previous!AW$149, FALSE))/2)</f>
        <v>8880.9550145962385</v>
      </c>
      <c r="AH61" s="192">
        <f t="array" ref="AH61">IF($G61=0, INDEX(LS_previous!$D$4:$AY$138, MATCH('Staging Table'!$A61, LS_previous!$B$4:$B$138, 0), MATCH(AH$4&amp;AH$5, LS_previous!$D$2:$AY$2&amp;LS_previous!$D$3:$AY$3, 0)),SUM(VLOOKUP($A61, LS_previous!$B$4:$AY$138, LS_previous!Z$149, FALSE), VLOOKUP('Staging Table'!$A61, LS_previous!$B$4:$AY$138,LS_previous!AX$149, FALSE))/2)</f>
        <v>-5646.1103847342456</v>
      </c>
      <c r="AI61" s="192">
        <f t="array" ref="AI61">IF($G61=0, INDEX(LS_previous!$D$4:$AY$138, MATCH('Staging Table'!$A61, LS_previous!$B$4:$B$138, 0), MATCH(AI$4&amp;AI$5, LS_previous!$D$2:$AY$2&amp;LS_previous!$D$3:$AY$3, 0)),SUM(VLOOKUP($A61, LS_previous!$B$4:$AY$138, LS_previous!AA$149, FALSE), VLOOKUP('Staging Table'!$A61, LS_previous!$B$4:$AY$138,LS_previous!AY$149, FALSE))/2)</f>
        <v>5773.4437460426088</v>
      </c>
      <c r="AJ61" s="314">
        <f t="array" ref="AJ61">INDEX(Demand_previous!$D$4:$AY$138, MATCH('Staging Table'!$A61, Demand_previous!$B$4:$B$138, 0), MATCH(AJ$4&amp;AJ$5,Demand_previous!$D$2:$AY$2&amp;Demand_previous!$D$3:$AY$3, 0))/1000</f>
        <v>0</v>
      </c>
      <c r="AK61" s="314">
        <f t="array" ref="AK61">INDEX(Demand_previous!$D$4:$AY$138, MATCH('Staging Table'!$A61, Demand_previous!$B$4:$B$138, 0), MATCH(AK$4&amp;AK$5,Demand_previous!$D$2:$AY$2&amp;Demand_previous!$D$3:$AY$3, 0))/1000</f>
        <v>0</v>
      </c>
      <c r="AL61" s="314">
        <f t="array" ref="AL61">INDEX(Demand_previous!$D$4:$AY$138, MATCH('Staging Table'!$A61, Demand_previous!$B$4:$B$138, 0), MATCH(AL$4&amp;AL$5,Demand_previous!$D$2:$AY$2&amp;Demand_previous!$D$3:$AY$3, 0))/1000</f>
        <v>0</v>
      </c>
      <c r="AM61" s="314">
        <f t="array" ref="AM61">INDEX(Demand_previous!$D$4:$AY$138, MATCH('Staging Table'!$A61, Demand_previous!$B$4:$B$138, 0), MATCH(AM$4&amp;AM$5,Demand_previous!$D$2:$AY$2&amp;Demand_previous!$D$3:$AY$3, 0))/1000</f>
        <v>0</v>
      </c>
      <c r="AN61" s="314">
        <f t="array" ref="AN61">INDEX(Demand_previous!$D$4:$AY$138, MATCH('Staging Table'!$A61, Demand_previous!$B$4:$B$138, 0), MATCH(AN$4&amp;AN$5,Demand_previous!$D$2:$AY$2&amp;Demand_previous!$D$3:$AY$3, 0))/1000</f>
        <v>0</v>
      </c>
      <c r="AO61" s="314">
        <f t="array" ref="AO61">INDEX(Demand_previous!$D$4:$AY$138, MATCH('Staging Table'!$A61, Demand_previous!$B$4:$B$138, 0), MATCH(AO$4&amp;AO$5,Demand_previous!$D$2:$AY$2&amp;Demand_previous!$D$3:$AY$3, 0))/1000</f>
        <v>0</v>
      </c>
      <c r="AP61" s="314">
        <f t="array" ref="AP61">INDEX(Demand_previous!$D$4:$AY$138, MATCH('Staging Table'!$A61, Demand_previous!$B$4:$B$138, 0), MATCH(AP$4&amp;AP$5,Demand_previous!$D$2:$AY$2&amp;Demand_previous!$D$3:$AY$3, 0))/1000</f>
        <v>0</v>
      </c>
      <c r="AQ61" s="314">
        <f t="array" ref="AQ61">INDEX(Demand_previous!$D$4:$AY$138, MATCH('Staging Table'!$A61, Demand_previous!$B$4:$B$138, 0), MATCH(AQ$4&amp;AQ$5,Demand_previous!$D$2:$AY$2&amp;Demand_previous!$D$3:$AY$3, 0))/1000</f>
        <v>0</v>
      </c>
      <c r="AR61" s="314">
        <f t="array" ref="AR61">INDEX(Demand_previous!$D$4:$AY$138, MATCH('Staging Table'!$A61, Demand_previous!$B$4:$B$138, 0), MATCH(AR$4&amp;AR$5,Demand_previous!$D$2:$AY$2&amp;Demand_previous!$D$3:$AY$3, 0))/1000</f>
        <v>0</v>
      </c>
      <c r="AS61" s="314">
        <f t="array" ref="AS61">INDEX(Demand_previous!$D$4:$AY$138, MATCH('Staging Table'!$A61, Demand_previous!$B$4:$B$138, 0), MATCH(AS$4&amp;AS$5,Demand_previous!$D$2:$AY$2&amp;Demand_previous!$D$3:$AY$3, 0))/1000</f>
        <v>0</v>
      </c>
      <c r="AT61" s="314">
        <f t="array" ref="AT61">INDEX(Demand_previous!$D$4:$AY$138, MATCH('Staging Table'!$A61, Demand_previous!$B$4:$B$138, 0), MATCH(AT$4&amp;AT$5,Demand_previous!$D$2:$AY$2&amp;Demand_previous!$D$3:$AY$3, 0))/1000</f>
        <v>0</v>
      </c>
      <c r="AU61" s="314">
        <f t="array" ref="AU61">INDEX(Demand_previous!$D$4:$AY$138, MATCH('Staging Table'!$A61, Demand_previous!$B$4:$B$138, 0), MATCH(AU$4&amp;AU$5,Demand_previous!$D$2:$AY$2&amp;Demand_previous!$D$3:$AY$3, 0))/1000</f>
        <v>0</v>
      </c>
      <c r="AV61" s="192">
        <f>$F61*(VLOOKUP(AV$4, Rates_previous!$G$6:$Q$29, 10, FALSE)+VLOOKUP(AV$4, Rates_previous!$G$6:$Q$29, 11, FALSE))</f>
        <v>65985.156584596785</v>
      </c>
      <c r="AW61" s="192">
        <f>$F61*(VLOOKUP(AW$4, Rates_previous!$G$6:$Q$29, 10, FALSE)+VLOOKUP(AW$4, Rates_previous!$G$6:$Q$29, 11, FALSE))</f>
        <v>83821.733331901196</v>
      </c>
      <c r="AX61" s="192">
        <f>$F61*(VLOOKUP(AX$4, Rates_previous!$G$6:$Q$29, 10, FALSE)+VLOOKUP(AX$4, Rates_previous!$G$6:$Q$29, 11, FALSE))</f>
        <v>82809.472480996803</v>
      </c>
      <c r="AY61" s="192">
        <f>$F61*(VLOOKUP(AY$4, Rates_previous!$G$6:$Q$29, 10, FALSE)+VLOOKUP(AY$4, Rates_previous!$G$6:$Q$29, 11, FALSE))</f>
        <v>69026.739002596805</v>
      </c>
      <c r="AZ61" s="192">
        <f>$F61*(VLOOKUP(AZ$4, Rates_previous!$G$6:$Q$29, 10, FALSE)+VLOOKUP(AZ$4, Rates_previous!$G$6:$Q$29, 11, FALSE))</f>
        <v>62531.064565439992</v>
      </c>
      <c r="BA61" s="192">
        <f>$F61*(VLOOKUP(BA$4, Rates_previous!$G$6:$Q$29, 10, FALSE)+VLOOKUP(BA$4, Rates_previous!$G$6:$Q$29, 11, FALSE))</f>
        <v>69554.408800479592</v>
      </c>
      <c r="BB61" s="192">
        <f>$F61*(VLOOKUP(BB$4, Rates_previous!$G$6:$Q$29, 10, FALSE)+VLOOKUP(BB$4, Rates_previous!$G$6:$Q$29, 11, FALSE))</f>
        <v>56631.274701983995</v>
      </c>
      <c r="BC61" s="192">
        <f>$F61*(VLOOKUP(BC$4, Rates_previous!$G$6:$Q$29, 10, FALSE)+VLOOKUP(BC$4, Rates_previous!$G$6:$Q$29, 11, FALSE))</f>
        <v>76375.718593996804</v>
      </c>
      <c r="BD61" s="192">
        <f>$F61*(VLOOKUP(BD$4, Rates_previous!$G$6:$Q$29, 10, FALSE)+VLOOKUP(BD$4, Rates_previous!$G$6:$Q$29, 11, FALSE))</f>
        <v>97450.222504584002</v>
      </c>
      <c r="BE61" s="192">
        <f>$F61*(VLOOKUP(BE$4, Rates_previous!$G$6:$Q$29, 10, FALSE)+VLOOKUP(BE$4, Rates_previous!$G$6:$Q$29, 11, FALSE))</f>
        <v>76404.064395796799</v>
      </c>
      <c r="BF61" s="192">
        <f>$F61*(VLOOKUP(BF$4, Rates_previous!$G$6:$Q$29, 10, FALSE)+VLOOKUP(BF$4, Rates_previous!$G$6:$Q$29, 11, FALSE))</f>
        <v>74402.344894396796</v>
      </c>
      <c r="BG61" s="192">
        <f>$F61*(VLOOKUP(BG$4, Rates_previous!$G$6:$Q$29, 10, FALSE)+VLOOKUP(BG$4, Rates_previous!$G$6:$Q$29, 11, FALSE))</f>
        <v>66797.478296784</v>
      </c>
      <c r="BH61" s="314">
        <f>IF($D61=0,IF(C61=0, MAX(BJ61 - (VLOOKUP($A61,TOCA_previous!$A$2:$AI$137,MATCH("RHWM 2020",TOCA_previous!$A$2:$AI$2,0),FALSE)*$F$2*TOCA_previous!C58),0),0), 0)</f>
        <v>0</v>
      </c>
      <c r="BI61" s="204">
        <f>MIN(VLOOKUP($A61,TOCA_previous!$A$2:$AI$137,MATCH("TRL - NLSL - Existing Resource "&amp;$F$1,TOCA_previous!$A$2:$AI$2,0),FALSE)*$F$2,(VLOOKUP($A61,TOCA_previous!$A$2:$AI$137,MATCH("RHWM 2020",TOCA_previous!$A$2:$AI$2,0),FALSE)*$F$2))</f>
        <v>1988355.024</v>
      </c>
      <c r="BJ61" s="418">
        <f>SUM(L61:AI61)+(F61*RT1SC!$C$3*$F$2)</f>
        <v>881790.28628772357</v>
      </c>
      <c r="BK61" s="417">
        <f>VLOOKUP($A61,TOCA_previous!$A$2:$AI$137,MATCH("Above RHWM Not Served with LS "&amp;$F$1,TOCA_previous!$A$2:$AI$2,0),FALSE)*$F$2</f>
        <v>0</v>
      </c>
      <c r="BL61" s="418">
        <f t="shared" si="8"/>
        <v>-1106564.7377122764</v>
      </c>
      <c r="BM61" s="417">
        <f>(VLOOKUP($A61,TOCA_previous!$A$2:$AI$137,MATCH("RHWM 2020",TOCA_previous!$A$2:$AI$2,0),FALSE)*$F$2) - $BI61</f>
        <v>205607.08800000022</v>
      </c>
      <c r="BN61" s="418">
        <f t="shared" si="9"/>
        <v>0</v>
      </c>
      <c r="BO61" s="417">
        <f t="shared" si="10"/>
        <v>1106564.7377122764</v>
      </c>
      <c r="BP61" s="418">
        <f t="shared" si="11"/>
        <v>0</v>
      </c>
      <c r="BQ61" s="417">
        <f t="shared" si="18"/>
        <v>0</v>
      </c>
      <c r="BR61" s="120">
        <f>VLOOKUP($A61,TOCA_current!$A$2:$AI$137,MATCH(BR$4,TOCA_current!$A$2:$AI$2,0),FALSE)</f>
        <v>3.36949E-2</v>
      </c>
      <c r="BS61" s="120">
        <f>VLOOKUP($A61,TOCA_current!$A$2:$AI$137,MATCH(BS$4,TOCA_current!$A$2:$AI$2,0),FALSE)</f>
        <v>1.5761299999999999E-2</v>
      </c>
      <c r="BT61" s="201">
        <f t="shared" si="12"/>
        <v>1.7933600000000001E-2</v>
      </c>
      <c r="BU61" s="120">
        <f>VLOOKUP($A61,TOCA_current!A57:BG192,MATCH(BU$4,TOCA_current!$A$2:$BG$2,0),FALSE)</f>
        <v>0</v>
      </c>
      <c r="BV61" s="120">
        <f t="shared" si="19"/>
        <v>0</v>
      </c>
      <c r="BW61" s="120">
        <f t="shared" si="20"/>
        <v>0</v>
      </c>
      <c r="BX61" s="191">
        <f>VLOOKUP($A61,IRD!$A$4:$G$139, 7, FALSE)</f>
        <v>0</v>
      </c>
      <c r="BY61" s="192">
        <f t="array" ref="BY61">IF($BT61=0, INDEX(LS_current!$D$4:$AY$138, MATCH('Staging Table'!$A61, LS_current!$B$4:$B$138, 0), MATCH(BY$4&amp;BY$5, LS_current!$D$2:$AY$2&amp;LS_current!$D$3:$AY$3, 0)),SUM(VLOOKUP($A61, LS_current!$B$4:$AY$138, LS_current!D$148, FALSE), VLOOKUP($A61, LS_current!$B$4:$AY$138,LS_current!AB$148, FALSE))/2)</f>
        <v>-3932.0569479812257</v>
      </c>
      <c r="BZ61" s="192">
        <f t="array" ref="BZ61">IF($BT61=0, INDEX(LS_current!$D$4:$AY$138, MATCH('Staging Table'!$A61, LS_current!$B$4:$B$138, 0), MATCH(BZ$4&amp;BZ$5, LS_current!$D$2:$AY$2&amp;LS_current!$D$3:$AY$3, 0)),SUM(VLOOKUP($A61, LS_current!$B$4:$AY$138, LS_current!E$148, FALSE), VLOOKUP($A61, LS_current!$B$4:$AY$138,LS_current!AC$148, FALSE))/2)</f>
        <v>7511.4797761843147</v>
      </c>
      <c r="CA61" s="192">
        <f t="array" ref="CA61">IF($BT61=0, INDEX(LS_current!$D$4:$AY$138, MATCH('Staging Table'!$A61, LS_current!$B$4:$B$138, 0), MATCH(CA$4&amp;CA$5, LS_current!$D$2:$AY$2&amp;LS_current!$D$3:$AY$3, 0)),SUM(VLOOKUP($A61, LS_current!$B$4:$AY$138, LS_current!F$148, FALSE), VLOOKUP($A61, LS_current!$B$4:$AY$138,LS_current!AD$148, FALSE))/2)</f>
        <v>-16114.290445145067</v>
      </c>
      <c r="CB61" s="192">
        <f t="array" ref="CB61">IF($BT61=0, INDEX(LS_current!$D$4:$AY$138, MATCH('Staging Table'!$A61, LS_current!$B$4:$B$138, 0), MATCH(CB$4&amp;CB$5, LS_current!$D$2:$AY$2&amp;LS_current!$D$3:$AY$3, 0)),SUM(VLOOKUP($A61, LS_current!$B$4:$AY$138, LS_current!G$148, FALSE), VLOOKUP($A61, LS_current!$B$4:$AY$138,LS_current!AE$148, FALSE))/2)</f>
        <v>-3240.2027499394244</v>
      </c>
      <c r="CC61" s="192">
        <f t="array" ref="CC61">IF($BT61=0, INDEX(LS_current!$D$4:$AY$138, MATCH('Staging Table'!$A61, LS_current!$B$4:$B$138, 0), MATCH(CC$4&amp;CC$5, LS_current!$D$2:$AY$2&amp;LS_current!$D$3:$AY$3, 0)),SUM(VLOOKUP($A61, LS_current!$B$4:$AY$138, LS_current!H$148, FALSE), VLOOKUP($A61, LS_current!$B$4:$AY$138,LS_current!AF$148, FALSE))/2)</f>
        <v>675.63244899829442</v>
      </c>
      <c r="CD61" s="192">
        <f t="array" ref="CD61">IF($BT61=0, INDEX(LS_current!$D$4:$AY$138, MATCH('Staging Table'!$A61, LS_current!$B$4:$B$138, 0), MATCH(CD$4&amp;CD$5, LS_current!$D$2:$AY$2&amp;LS_current!$D$3:$AY$3, 0)),SUM(VLOOKUP($A61, LS_current!$B$4:$AY$138, LS_current!I$148, FALSE), VLOOKUP($A61, LS_current!$B$4:$AY$138,LS_current!AG$148, FALSE))/2)</f>
        <v>2474.534095312134</v>
      </c>
      <c r="CE61" s="192">
        <f t="array" ref="CE61">IF($BT61=0, INDEX(LS_current!$D$4:$AY$138, MATCH('Staging Table'!$A61, LS_current!$B$4:$B$138, 0), MATCH(CE$4&amp;CE$5, LS_current!$D$2:$AY$2&amp;LS_current!$D$3:$AY$3, 0)),SUM(VLOOKUP($A61, LS_current!$B$4:$AY$138, LS_current!J$148, FALSE), VLOOKUP($A61, LS_current!$B$4:$AY$138,LS_current!AH$148, FALSE))/2)</f>
        <v>10768.008000584901</v>
      </c>
      <c r="CF61" s="192">
        <f t="array" ref="CF61">IF($BT61=0, INDEX(LS_current!$D$4:$AY$138, MATCH('Staging Table'!$A61, LS_current!$B$4:$B$138, 0), MATCH(CF$4&amp;CF$5, LS_current!$D$2:$AY$2&amp;LS_current!$D$3:$AY$3, 0)),SUM(VLOOKUP($A61, LS_current!$B$4:$AY$138, LS_current!K$148, FALSE), VLOOKUP($A61, LS_current!$B$4:$AY$138,LS_current!AI$148, FALSE))/2)</f>
        <v>13552.245043110468</v>
      </c>
      <c r="CG61" s="192">
        <f t="array" ref="CG61">IF($BT61=0, INDEX(LS_current!$D$4:$AY$138, MATCH('Staging Table'!$A61, LS_current!$B$4:$B$138, 0), MATCH(CG$4&amp;CG$5, LS_current!$D$2:$AY$2&amp;LS_current!$D$3:$AY$3, 0)),SUM(VLOOKUP($A61, LS_current!$B$4:$AY$138, LS_current!L$148, FALSE), VLOOKUP($A61, LS_current!$B$4:$AY$138,LS_current!AJ$148, FALSE))/2)</f>
        <v>12505.033753902462</v>
      </c>
      <c r="CH61" s="192">
        <f t="array" ref="CH61">IF($BT61=0, INDEX(LS_current!$D$4:$AY$138, MATCH('Staging Table'!$A61, LS_current!$B$4:$B$138, 0), MATCH(CH$4&amp;CH$5, LS_current!$D$2:$AY$2&amp;LS_current!$D$3:$AY$3, 0)),SUM(VLOOKUP($A61, LS_current!$B$4:$AY$138, LS_current!M$148, FALSE), VLOOKUP($A61, LS_current!$B$4:$AY$138,LS_current!AK$148, FALSE))/2)</f>
        <v>10438.275540842276</v>
      </c>
      <c r="CI61" s="192">
        <f t="array" ref="CI61">IF($BT61=0, INDEX(LS_current!$D$4:$AY$138, MATCH('Staging Table'!$A61, LS_current!$B$4:$B$138, 0), MATCH(CI$4&amp;CI$5, LS_current!$D$2:$AY$2&amp;LS_current!$D$3:$AY$3, 0)),SUM(VLOOKUP($A61, LS_current!$B$4:$AY$138, LS_current!N$148, FALSE), VLOOKUP($A61, LS_current!$B$4:$AY$138,LS_current!AL$148, FALSE))/2)</f>
        <v>3084.7927517246499</v>
      </c>
      <c r="CJ61" s="192">
        <f t="array" ref="CJ61">IF($BT61=0, INDEX(LS_current!$D$4:$AY$138, MATCH('Staging Table'!$A61, LS_current!$B$4:$B$138, 0), MATCH(CJ$4&amp;CJ$5, LS_current!$D$2:$AY$2&amp;LS_current!$D$3:$AY$3, 0)),SUM(VLOOKUP($A61, LS_current!$B$4:$AY$138, LS_current!O$148, FALSE), VLOOKUP($A61, LS_current!$B$4:$AY$138,LS_current!AM$148, FALSE))/2)</f>
        <v>6519.7283686339488</v>
      </c>
      <c r="CK61" s="192">
        <f t="array" ref="CK61">IF($BT61=0, INDEX(LS_current!$D$4:$AY$138, MATCH('Staging Table'!$A61, LS_current!$B$4:$B$138, 0), MATCH(CK$4&amp;CK$5, LS_current!$D$2:$AY$2&amp;LS_current!$D$3:$AY$3, 0)),SUM(VLOOKUP($A61, LS_current!$B$4:$AY$138, LS_current!P$148, FALSE), VLOOKUP($A61, LS_current!$B$4:$AY$138,LS_current!AN$148, FALSE))/2)</f>
        <v>6343.7287395778512</v>
      </c>
      <c r="CL61" s="192">
        <f t="array" ref="CL61">IF($BT61=0, INDEX(LS_current!$D$4:$AY$138, MATCH('Staging Table'!$A61, LS_current!$B$4:$B$138, 0), MATCH(CL$4&amp;CL$5, LS_current!$D$2:$AY$2&amp;LS_current!$D$3:$AY$3, 0)),SUM(VLOOKUP($A61, LS_current!$B$4:$AY$138, LS_current!Q$148, FALSE), VLOOKUP($A61, LS_current!$B$4:$AY$138,LS_current!AO$148, FALSE))/2)</f>
        <v>10064.043229333303</v>
      </c>
      <c r="CM61" s="192">
        <f t="array" ref="CM61">IF($BT61=0, INDEX(LS_current!$D$4:$AY$138, MATCH('Staging Table'!$A61, LS_current!$B$4:$B$138, 0), MATCH(CM$4&amp;CM$5, LS_current!$D$2:$AY$2&amp;LS_current!$D$3:$AY$3, 0)),SUM(VLOOKUP($A61, LS_current!$B$4:$AY$138, LS_current!R$148, FALSE), VLOOKUP($A61, LS_current!$B$4:$AY$138,LS_current!AP$148, FALSE))/2)</f>
        <v>-21534.605564441605</v>
      </c>
      <c r="CN61" s="192">
        <f t="array" ref="CN61">IF($BT61=0, INDEX(LS_current!$D$4:$AY$138, MATCH('Staging Table'!$A61, LS_current!$B$4:$B$138, 0), MATCH(CN$4&amp;CN$5, LS_current!$D$2:$AY$2&amp;LS_current!$D$3:$AY$3, 0)),SUM(VLOOKUP($A61, LS_current!$B$4:$AY$138, LS_current!S$148, FALSE), VLOOKUP($A61, LS_current!$B$4:$AY$138,LS_current!AQ$148, FALSE))/2)</f>
        <v>1050.0691525397287</v>
      </c>
      <c r="CO61" s="192">
        <f t="array" ref="CO61">IF($BT61=0, INDEX(LS_current!$D$4:$AY$138, MATCH('Staging Table'!$A61, LS_current!$B$4:$B$138, 0), MATCH(CO$4&amp;CO$5, LS_current!$D$2:$AY$2&amp;LS_current!$D$3:$AY$3, 0)),SUM(VLOOKUP($A61, LS_current!$B$4:$AY$138, LS_current!T$148, FALSE), VLOOKUP($A61, LS_current!$B$4:$AY$138,LS_current!AR$148, FALSE))/2)</f>
        <v>-26975.751500976985</v>
      </c>
      <c r="CP61" s="192">
        <f t="array" ref="CP61">IF($BT61=0, INDEX(LS_current!$D$4:$AY$138, MATCH('Staging Table'!$A61, LS_current!$B$4:$B$138, 0), MATCH(CP$4&amp;CP$5, LS_current!$D$2:$AY$2&amp;LS_current!$D$3:$AY$3, 0)),SUM(VLOOKUP($A61, LS_current!$B$4:$AY$138, LS_current!U$148, FALSE), VLOOKUP($A61, LS_current!$B$4:$AY$138,LS_current!AS$148, FALSE))/2)</f>
        <v>859.53753822455292</v>
      </c>
      <c r="CQ61" s="192">
        <f t="array" ref="CQ61">IF($BT61=0, INDEX(LS_current!$D$4:$AY$138, MATCH('Staging Table'!$A61, LS_current!$B$4:$B$138, 0), MATCH(CQ$4&amp;CQ$5, LS_current!$D$2:$AY$2&amp;LS_current!$D$3:$AY$3, 0)),SUM(VLOOKUP($A61, LS_current!$B$4:$AY$138, LS_current!V$148, FALSE), VLOOKUP($A61, LS_current!$B$4:$AY$138,LS_current!AT$148, FALSE))/2)</f>
        <v>-14821.781052713766</v>
      </c>
      <c r="CR61" s="192">
        <f t="array" ref="CR61">IF($BT61=0, INDEX(LS_current!$D$4:$AY$138, MATCH('Staging Table'!$A61, LS_current!$B$4:$B$138, 0), MATCH(CR$4&amp;CR$5, LS_current!$D$2:$AY$2&amp;LS_current!$D$3:$AY$3, 0)),SUM(VLOOKUP($A61, LS_current!$B$4:$AY$138, LS_current!W$148, FALSE), VLOOKUP($A61, LS_current!$B$4:$AY$138,LS_current!AU$148, FALSE))/2)</f>
        <v>7168.2705728121655</v>
      </c>
      <c r="CS61" s="192">
        <f t="array" ref="CS61">IF($BT61=0, INDEX(LS_current!$D$4:$AY$138, MATCH('Staging Table'!$A61, LS_current!$B$4:$B$138, 0), MATCH(CS$4&amp;CS$5, LS_current!$D$2:$AY$2&amp;LS_current!$D$3:$AY$3, 0)),SUM(VLOOKUP($A61, LS_current!$B$4:$AY$138, LS_current!X$148, FALSE), VLOOKUP($A61, LS_current!$B$4:$AY$138,LS_current!AV$148, FALSE))/2)</f>
        <v>-9210.2046113659126</v>
      </c>
      <c r="CT61" s="192">
        <f t="array" ref="CT61">IF($BT61=0, INDEX(LS_current!$D$4:$AY$138, MATCH('Staging Table'!$A61, LS_current!$B$4:$B$138, 0), MATCH(CT$4&amp;CT$5, LS_current!$D$2:$AY$2&amp;LS_current!$D$3:$AY$3, 0)),SUM(VLOOKUP($A61, LS_current!$B$4:$AY$138, LS_current!Y$148, FALSE), VLOOKUP($A61, LS_current!$B$4:$AY$138,LS_current!AW$148, FALSE))/2)</f>
        <v>6226.2569281340584</v>
      </c>
      <c r="CU61" s="192">
        <f t="array" ref="CU61">IF($BT61=0, INDEX(LS_current!$D$4:$AY$138, MATCH('Staging Table'!$A61, LS_current!$B$4:$B$138, 0), MATCH(CU$4&amp;CU$5, LS_current!$D$2:$AY$2&amp;LS_current!$D$3:$AY$3, 0)),SUM(VLOOKUP($A61, LS_current!$B$4:$AY$138, LS_current!Z$148, FALSE), VLOOKUP($A61, LS_current!$B$4:$AY$138,LS_current!AX$148, FALSE))/2)</f>
        <v>-8050.4291750605698</v>
      </c>
      <c r="CV61" s="192">
        <f t="array" ref="CV61">IF($BT61=0, INDEX(LS_current!$D$4:$AY$138, MATCH('Staging Table'!$A61, LS_current!$B$4:$B$138, 0), MATCH(CV$4&amp;CV$5, LS_current!$D$2:$AY$2&amp;LS_current!$D$3:$AY$3, 0)),SUM(VLOOKUP($A61, LS_current!$B$4:$AY$138, LS_current!AA$148, FALSE), VLOOKUP($A61, LS_current!$B$4:$AY$138,LS_current!AY$148, FALSE))/2)</f>
        <v>4637.8976629894642</v>
      </c>
      <c r="CW61" s="194">
        <f t="array" ref="CW61">INDEX(Demand_current!$D$4:$AY$138, MATCH($A61, Demand_current!$B$4:$B$138, 0), MATCH(CW$4&amp;CW$5,Demand_current!$D$2:$AY$2&amp;Demand_current!$D$3:$AY$3, 0))/1000</f>
        <v>0</v>
      </c>
      <c r="CX61" s="194">
        <f t="array" ref="CX61">INDEX(Demand_current!$D$4:$AY$138, MATCH($A61, Demand_current!$B$4:$B$138, 0), MATCH(CX$4&amp;CX$5,Demand_current!$D$2:$AY$2&amp;Demand_current!$D$3:$AY$3, 0))/1000</f>
        <v>0</v>
      </c>
      <c r="CY61" s="194">
        <f t="array" ref="CY61">INDEX(Demand_current!$D$4:$AY$138, MATCH($A61, Demand_current!$B$4:$B$138, 0), MATCH(CY$4&amp;CY$5,Demand_current!$D$2:$AY$2&amp;Demand_current!$D$3:$AY$3, 0))/1000</f>
        <v>0</v>
      </c>
      <c r="CZ61" s="194">
        <f t="array" ref="CZ61">INDEX(Demand_current!$D$4:$AY$138, MATCH($A61, Demand_current!$B$4:$B$138, 0), MATCH(CZ$4&amp;CZ$5,Demand_current!$D$2:$AY$2&amp;Demand_current!$D$3:$AY$3, 0))/1000</f>
        <v>0</v>
      </c>
      <c r="DA61" s="194">
        <f t="array" ref="DA61">INDEX(Demand_current!$D$4:$AY$138, MATCH($A61, Demand_current!$B$4:$B$138, 0), MATCH(DA$4&amp;DA$5,Demand_current!$D$2:$AY$2&amp;Demand_current!$D$3:$AY$3, 0))/1000</f>
        <v>0</v>
      </c>
      <c r="DB61" s="194">
        <f t="array" ref="DB61">INDEX(Demand_current!$D$4:$AY$138, MATCH($A61, Demand_current!$B$4:$B$138, 0), MATCH(DB$4&amp;DB$5,Demand_current!$D$2:$AY$2&amp;Demand_current!$D$3:$AY$3, 0))/1000</f>
        <v>0</v>
      </c>
      <c r="DC61" s="194">
        <f t="array" ref="DC61">INDEX(Demand_current!$D$4:$AY$138, MATCH($A61, Demand_current!$B$4:$B$138, 0), MATCH(DC$4&amp;DC$5,Demand_current!$D$2:$AY$2&amp;Demand_current!$D$3:$AY$3, 0))/1000</f>
        <v>0</v>
      </c>
      <c r="DD61" s="194">
        <f t="array" ref="DD61">INDEX(Demand_current!$D$4:$AY$138, MATCH($A61, Demand_current!$B$4:$B$138, 0), MATCH(DD$4&amp;DD$5,Demand_current!$D$2:$AY$2&amp;Demand_current!$D$3:$AY$3, 0))/1000</f>
        <v>0</v>
      </c>
      <c r="DE61" s="194">
        <f t="array" ref="DE61">INDEX(Demand_current!$D$4:$AY$138, MATCH($A61, Demand_current!$B$4:$B$138, 0), MATCH(DE$4&amp;DE$5,Demand_current!$D$2:$AY$2&amp;Demand_current!$D$3:$AY$3, 0))/1000</f>
        <v>0</v>
      </c>
      <c r="DF61" s="194">
        <f t="array" ref="DF61">INDEX(Demand_current!$D$4:$AY$138, MATCH($A61, Demand_current!$B$4:$B$138, 0), MATCH(DF$4&amp;DF$5,Demand_current!$D$2:$AY$2&amp;Demand_current!$D$3:$AY$3, 0))/1000</f>
        <v>0</v>
      </c>
      <c r="DG61" s="194">
        <f t="array" ref="DG61">INDEX(Demand_current!$D$4:$AY$138, MATCH($A61, Demand_current!$B$4:$B$138, 0), MATCH(DG$4&amp;DG$5,Demand_current!$D$2:$AY$2&amp;Demand_current!$D$3:$AY$3, 0))/1000</f>
        <v>0</v>
      </c>
      <c r="DH61" s="194">
        <f t="array" ref="DH61">INDEX(Demand_current!$D$4:$AY$138, MATCH($A61, Demand_current!$B$4:$B$138, 0), MATCH(DH$4&amp;DH$5,Demand_current!$D$2:$AY$2&amp;Demand_current!$D$3:$AY$3, 0))/1000</f>
        <v>0</v>
      </c>
      <c r="DI61" s="192">
        <f>$BS61*(VLOOKUP(DI$4, Rates_current!$G$6:$Q$29, 10, FALSE)+VLOOKUP(DI$4, Rates_current!$G$6:$Q$29, 11, FALSE))</f>
        <v>71775.76897297187</v>
      </c>
      <c r="DJ61" s="192">
        <f>$BS61*(VLOOKUP(DJ$4, Rates_current!$G$6:$Q$29, 10, FALSE)+VLOOKUP(DJ$4, Rates_current!$G$6:$Q$29, 11, FALSE))</f>
        <v>90870.728441696614</v>
      </c>
      <c r="DK61" s="192">
        <f>$BS61*(VLOOKUP(DK$4, Rates_current!$G$6:$Q$29, 10, FALSE)+VLOOKUP(DK$4, Rates_current!$G$6:$Q$29, 11, FALSE))</f>
        <v>88944.288698072283</v>
      </c>
      <c r="DL61" s="192">
        <f>$BS61*(VLOOKUP(DL$4, Rates_current!$G$6:$Q$29, 10, FALSE)+VLOOKUP(DL$4, Rates_current!$G$6:$Q$29, 11, FALSE))</f>
        <v>73464.200122792972</v>
      </c>
      <c r="DM61" s="192">
        <f>$BS61*(VLOOKUP(DM$4, Rates_current!$G$6:$Q$29, 10, FALSE)+VLOOKUP(DM$4, Rates_current!$G$6:$Q$29, 11, FALSE))</f>
        <v>63673.032367781438</v>
      </c>
      <c r="DN61" s="192">
        <f>$BS61*(VLOOKUP(DN$4, Rates_current!$G$6:$Q$29, 10, FALSE)+VLOOKUP(DN$4, Rates_current!$G$6:$Q$29, 11, FALSE))</f>
        <v>76012.742562925079</v>
      </c>
      <c r="DO61" s="192">
        <f>$BS61*(VLOOKUP(DO$4, Rates_current!$G$6:$Q$29, 10, FALSE)+VLOOKUP(DO$4, Rates_current!$G$6:$Q$29, 11, FALSE))</f>
        <v>59013.775107354712</v>
      </c>
      <c r="DP61" s="192">
        <f>$BS61*(VLOOKUP(DP$4, Rates_current!$G$6:$Q$29, 10, FALSE)+VLOOKUP(DP$4, Rates_current!$G$6:$Q$29, 11, FALSE))</f>
        <v>81764.01969267409</v>
      </c>
      <c r="DQ61" s="192">
        <f>$BS61*(VLOOKUP(DQ$4, Rates_current!$G$6:$Q$29, 10, FALSE)+VLOOKUP(DQ$4, Rates_current!$G$6:$Q$29, 11, FALSE))</f>
        <v>87366.567110799864</v>
      </c>
      <c r="DR61" s="192">
        <f>$BS61*(VLOOKUP(DR$4, Rates_current!$G$6:$Q$29, 10, FALSE)+VLOOKUP(DR$4, Rates_current!$G$6:$Q$29, 11, FALSE))</f>
        <v>82950.599373870078</v>
      </c>
      <c r="DS61" s="192">
        <f>$BS61*(VLOOKUP(DS$4, Rates_current!$G$6:$Q$29, 10, FALSE)+VLOOKUP(DS$4, Rates_current!$G$6:$Q$29, 11, FALSE))</f>
        <v>80165.354989059007</v>
      </c>
      <c r="DT61" s="192">
        <f>$BS61*(VLOOKUP(DT$4, Rates_current!$G$6:$Q$29, 10, FALSE)+VLOOKUP(DT$4, Rates_current!$G$6:$Q$29, 11, FALSE))</f>
        <v>74081.14491696388</v>
      </c>
      <c r="DU61" s="418">
        <f>IF(D61=0,IF(C61=0,MAX(0,DW61 - (VLOOKUP($A61,TOCA_current!$A$2:$AI$137,MATCH("RHWM 2022",TOCA_current!$A$2:$AI$2,0),FALSE)*$BS$2)), 0),0)</f>
        <v>0</v>
      </c>
      <c r="DV61" s="419">
        <f>MIN(VLOOKUP($A61,TOCA_current!$A$2:$AI$137,MATCH("TRL - NLSL - Existing Resource "&amp;$BS$1,TOCA_current!$A$2:$AI$2,0),FALSE)*$BS$2, VLOOKUP($A61,TOCA_current!$A$2:$AI$137,MATCH("RHWM 2022",TOCA_current!$A$2:$AI$2,0),FALSE)*$BS$2)</f>
        <v>1988353.56</v>
      </c>
      <c r="DW61" s="419">
        <f>SUM(BY61:CV61)+(BS61*RT1SC!$C$4*$BS$2)</f>
        <v>930082.48148997198</v>
      </c>
      <c r="DX61" s="419">
        <f>VLOOKUP($A61,TOCA_current!$A$2:$AI$137,MATCH("Above RHWM Not Served with LS "&amp;$BS$1,TOCA_current!$A$2:$AI$2,0),FALSE)*$BS$2</f>
        <v>0</v>
      </c>
      <c r="DY61" s="419">
        <f t="shared" si="13"/>
        <v>-1058271.0785100281</v>
      </c>
      <c r="DZ61" s="419">
        <f>(VLOOKUP($A61,TOCA_current!$A$2:$AI$137,MATCH("RHWM 2022",TOCA_current!$A$2:$AI$2,0),FALSE)*$BS$2) - $DV61</f>
        <v>109859.15999999968</v>
      </c>
      <c r="EA61" s="419">
        <f t="shared" si="14"/>
        <v>0</v>
      </c>
      <c r="EB61" s="419">
        <f t="shared" si="15"/>
        <v>1058271.0785100281</v>
      </c>
      <c r="EC61" s="419">
        <f t="shared" si="16"/>
        <v>0</v>
      </c>
      <c r="ED61" s="419">
        <f t="shared" si="17"/>
        <v>0</v>
      </c>
    </row>
    <row r="62" spans="1:134">
      <c r="A62" s="135">
        <v>10172</v>
      </c>
      <c r="B62" s="136" t="s">
        <v>63</v>
      </c>
      <c r="C62" s="244">
        <f>VLOOKUP(A62, TOCA_current!$A$3:$D$137, 4, FALSE)</f>
        <v>0</v>
      </c>
      <c r="D62" s="203">
        <v>0</v>
      </c>
      <c r="E62" s="119">
        <f>VLOOKUP($A62,TOCA_previous!$A$2:$AI$137,MATCH(E$4,TOCA_previous!$A$2:$AI$2,0),FALSE)</f>
        <v>7.6869999999999998E-4</v>
      </c>
      <c r="F62" s="120">
        <f>VLOOKUP($A62,TOCA_previous!$A$2:$AI$137,MATCH(F$4,TOCA_previous!$A$2:$AI$2,0),FALSE)</f>
        <v>7.6869999999999998E-4</v>
      </c>
      <c r="G62" s="120">
        <f t="shared" si="5"/>
        <v>0</v>
      </c>
      <c r="H62" s="120">
        <f>VLOOKUP($A62,TOCA_previous!$A$2:$AI$137,MATCH(H$4,TOCA_previous!$A$2:$AI$2,0),FALSE)</f>
        <v>0</v>
      </c>
      <c r="I62" s="120">
        <f t="shared" si="6"/>
        <v>0</v>
      </c>
      <c r="J62" s="120">
        <f t="shared" si="7"/>
        <v>0</v>
      </c>
      <c r="K62" s="191">
        <f>VLOOKUP(A62, IRD!$A$5:$C$139, 3, FALSE)</f>
        <v>0</v>
      </c>
      <c r="L62" s="192">
        <f t="array" ref="L62">IF($G62=0, INDEX(LS_previous!$D$4:$AY$138, MATCH('Staging Table'!$A62, LS_previous!$B$4:$B$138, 0), MATCH(L$4&amp;L$5, LS_previous!$D$2:$AY$2&amp;LS_previous!$D$3:$AY$3, 0)),SUM(VLOOKUP($A62, LS_previous!$B$4:$AY$138, LS_previous!D$149, FALSE), VLOOKUP('Staging Table'!$A62, LS_previous!$B$4:$AY$138,LS_previous!AB$149, FALSE))/2)</f>
        <v>-4.2905637556000329</v>
      </c>
      <c r="M62" s="192">
        <f t="array" ref="M62">IF($G62=0, INDEX(LS_previous!$D$4:$AY$138, MATCH('Staging Table'!$A62, LS_previous!$B$4:$B$138, 0), MATCH(M$4&amp;M$5, LS_previous!$D$2:$AY$2&amp;LS_previous!$D$3:$AY$3, 0)),SUM(VLOOKUP($A62, LS_previous!$B$4:$AY$138, LS_previous!E$149, FALSE), VLOOKUP('Staging Table'!$A62, LS_previous!$B$4:$AY$138,LS_previous!AC$149, FALSE))/2)</f>
        <v>152.27783519040008</v>
      </c>
      <c r="N62" s="192">
        <f t="array" ref="N62">IF($G62=0, INDEX(LS_previous!$D$4:$AY$138, MATCH('Staging Table'!$A62, LS_previous!$B$4:$B$138, 0), MATCH(N$4&amp;N$5, LS_previous!$D$2:$AY$2&amp;LS_previous!$D$3:$AY$3, 0)),SUM(VLOOKUP($A62, LS_previous!$B$4:$AY$138, LS_previous!F$149, FALSE), VLOOKUP('Staging Table'!$A62, LS_previous!$B$4:$AY$138,LS_previous!AD$149, FALSE))/2)</f>
        <v>-640.17641877359983</v>
      </c>
      <c r="O62" s="192">
        <f t="array" ref="O62">IF($G62=0, INDEX(LS_previous!$D$4:$AY$138, MATCH('Staging Table'!$A62, LS_previous!$B$4:$B$138, 0), MATCH(O$4&amp;O$5, LS_previous!$D$2:$AY$2&amp;LS_previous!$D$3:$AY$3, 0)),SUM(VLOOKUP($A62, LS_previous!$B$4:$AY$138, LS_previous!G$149, FALSE), VLOOKUP('Staging Table'!$A62, LS_previous!$B$4:$AY$138,LS_previous!AE$149, FALSE))/2)</f>
        <v>-193.06011204570018</v>
      </c>
      <c r="P62" s="192">
        <f t="array" ref="P62">IF($G62=0, INDEX(LS_previous!$D$4:$AY$138, MATCH('Staging Table'!$A62, LS_previous!$B$4:$B$138, 0), MATCH(P$4&amp;P$5, LS_previous!$D$2:$AY$2&amp;LS_previous!$D$3:$AY$3, 0)),SUM(VLOOKUP($A62, LS_previous!$B$4:$AY$138, LS_previous!H$149, FALSE), VLOOKUP('Staging Table'!$A62, LS_previous!$B$4:$AY$138,LS_previous!AF$149, FALSE))/2)</f>
        <v>-170.15964376639977</v>
      </c>
      <c r="Q62" s="192">
        <f t="array" ref="Q62">IF($G62=0, INDEX(LS_previous!$D$4:$AY$138, MATCH('Staging Table'!$A62, LS_previous!$B$4:$B$138, 0), MATCH(Q$4&amp;Q$5, LS_previous!$D$2:$AY$2&amp;LS_previous!$D$3:$AY$3, 0)),SUM(VLOOKUP($A62, LS_previous!$B$4:$AY$138, LS_previous!I$149, FALSE), VLOOKUP('Staging Table'!$A62, LS_previous!$B$4:$AY$138,LS_previous!AG$149, FALSE))/2)</f>
        <v>114.85347310119982</v>
      </c>
      <c r="R62" s="192">
        <f t="array" ref="R62">IF($G62=0, INDEX(LS_previous!$D$4:$AY$138, MATCH('Staging Table'!$A62, LS_previous!$B$4:$B$138, 0), MATCH(R$4&amp;R$5, LS_previous!$D$2:$AY$2&amp;LS_previous!$D$3:$AY$3, 0)),SUM(VLOOKUP($A62, LS_previous!$B$4:$AY$138, LS_previous!J$149, FALSE), VLOOKUP('Staging Table'!$A62, LS_previous!$B$4:$AY$138,LS_previous!AH$149, FALSE))/2)</f>
        <v>268.2631374335997</v>
      </c>
      <c r="S62" s="192">
        <f t="array" ref="S62">IF($G62=0, INDEX(LS_previous!$D$4:$AY$138, MATCH('Staging Table'!$A62, LS_previous!$B$4:$B$138, 0), MATCH(S$4&amp;S$5, LS_previous!$D$2:$AY$2&amp;LS_previous!$D$3:$AY$3, 0)),SUM(VLOOKUP($A62, LS_previous!$B$4:$AY$138, LS_previous!K$149, FALSE), VLOOKUP('Staging Table'!$A62, LS_previous!$B$4:$AY$138,LS_previous!AI$149, FALSE))/2)</f>
        <v>384.14086950120009</v>
      </c>
      <c r="T62" s="192">
        <f t="array" ref="T62">IF($G62=0, INDEX(LS_previous!$D$4:$AY$138, MATCH('Staging Table'!$A62, LS_previous!$B$4:$B$138, 0), MATCH(T$4&amp;T$5, LS_previous!$D$2:$AY$2&amp;LS_previous!$D$3:$AY$3, 0)),SUM(VLOOKUP($A62, LS_previous!$B$4:$AY$138, LS_previous!L$149, FALSE), VLOOKUP('Staging Table'!$A62, LS_previous!$B$4:$AY$138,LS_previous!AJ$149, FALSE))/2)</f>
        <v>162.46299078120046</v>
      </c>
      <c r="U62" s="192">
        <f t="array" ref="U62">IF($G62=0, INDEX(LS_previous!$D$4:$AY$138, MATCH('Staging Table'!$A62, LS_previous!$B$4:$B$138, 0), MATCH(U$4&amp;U$5, LS_previous!$D$2:$AY$2&amp;LS_previous!$D$3:$AY$3, 0)),SUM(VLOOKUP($A62, LS_previous!$B$4:$AY$138, LS_previous!M$149, FALSE), VLOOKUP('Staging Table'!$A62, LS_previous!$B$4:$AY$138,LS_previous!AK$149, FALSE))/2)</f>
        <v>240.25037505880005</v>
      </c>
      <c r="V62" s="192">
        <f t="array" ref="V62">IF($G62=0, INDEX(LS_previous!$D$4:$AY$138, MATCH('Staging Table'!$A62, LS_previous!$B$4:$B$138, 0), MATCH(V$4&amp;V$5, LS_previous!$D$2:$AY$2&amp;LS_previous!$D$3:$AY$3, 0)),SUM(VLOOKUP($A62, LS_previous!$B$4:$AY$138, LS_previous!N$149, FALSE), VLOOKUP('Staging Table'!$A62, LS_previous!$B$4:$AY$138,LS_previous!AL$149, FALSE))/2)</f>
        <v>-98.306266359199981</v>
      </c>
      <c r="W62" s="192">
        <f t="array" ref="W62">IF($G62=0, INDEX(LS_previous!$D$4:$AY$138, MATCH('Staging Table'!$A62, LS_previous!$B$4:$B$138, 0), MATCH(W$4&amp;W$5, LS_previous!$D$2:$AY$2&amp;LS_previous!$D$3:$AY$3, 0)),SUM(VLOOKUP($A62, LS_previous!$B$4:$AY$138, LS_previous!O$149, FALSE), VLOOKUP('Staging Table'!$A62, LS_previous!$B$4:$AY$138,LS_previous!AM$149, FALSE))/2)</f>
        <v>84.733993587299892</v>
      </c>
      <c r="X62" s="192">
        <f t="array" ref="X62">IF($G62=0, INDEX(LS_previous!$D$4:$AY$138, MATCH('Staging Table'!$A62, LS_previous!$B$4:$B$138, 0), MATCH(X$4&amp;X$5, LS_previous!$D$2:$AY$2&amp;LS_previous!$D$3:$AY$3, 0)),SUM(VLOOKUP($A62, LS_previous!$B$4:$AY$138, LS_previous!P$149, FALSE), VLOOKUP('Staging Table'!$A62, LS_previous!$B$4:$AY$138,LS_previous!AN$149, FALSE))/2)</f>
        <v>286.3384072872002</v>
      </c>
      <c r="Y62" s="192">
        <f t="array" ref="Y62">IF($G62=0, INDEX(LS_previous!$D$4:$AY$138, MATCH('Staging Table'!$A62, LS_previous!$B$4:$B$138, 0), MATCH(Y$4&amp;Y$5, LS_previous!$D$2:$AY$2&amp;LS_previous!$D$3:$AY$3, 0)),SUM(VLOOKUP($A62, LS_previous!$B$4:$AY$138, LS_previous!Q$149, FALSE), VLOOKUP('Staging Table'!$A62, LS_previous!$B$4:$AY$138,LS_previous!AO$149, FALSE))/2)</f>
        <v>249.21877513679988</v>
      </c>
      <c r="Z62" s="192">
        <f t="array" ref="Z62">IF($G62=0, INDEX(LS_previous!$D$4:$AY$138, MATCH('Staging Table'!$A62, LS_previous!$B$4:$B$138, 0), MATCH(Z$4&amp;Z$5, LS_previous!$D$2:$AY$2&amp;LS_previous!$D$3:$AY$3, 0)),SUM(VLOOKUP($A62, LS_previous!$B$4:$AY$138, LS_previous!R$149, FALSE), VLOOKUP('Staging Table'!$A62, LS_previous!$B$4:$AY$138,LS_previous!AP$149, FALSE))/2)</f>
        <v>-464.51955377000013</v>
      </c>
      <c r="AA62" s="192">
        <f t="array" ref="AA62">IF($G62=0, INDEX(LS_previous!$D$4:$AY$138, MATCH('Staging Table'!$A62, LS_previous!$B$4:$B$138, 0), MATCH(AA$4&amp;AA$5, LS_previous!$D$2:$AY$2&amp;LS_previous!$D$3:$AY$3, 0)),SUM(VLOOKUP($A62, LS_previous!$B$4:$AY$138, LS_previous!S$149, FALSE), VLOOKUP('Staging Table'!$A62, LS_previous!$B$4:$AY$138,LS_previous!AQ$149, FALSE))/2)</f>
        <v>-13.60695514519989</v>
      </c>
      <c r="AB62" s="192">
        <f t="array" ref="AB62">IF($G62=0, INDEX(LS_previous!$D$4:$AY$138, MATCH('Staging Table'!$A62, LS_previous!$B$4:$B$138, 0), MATCH(AB$4&amp;AB$5, LS_previous!$D$2:$AY$2&amp;LS_previous!$D$3:$AY$3, 0)),SUM(VLOOKUP($A62, LS_previous!$B$4:$AY$138, LS_previous!T$149, FALSE), VLOOKUP('Staging Table'!$A62, LS_previous!$B$4:$AY$138,LS_previous!AR$149, FALSE))/2)</f>
        <v>-1090.3100571627997</v>
      </c>
      <c r="AC62" s="192">
        <f t="array" ref="AC62">IF($G62=0, INDEX(LS_previous!$D$4:$AY$138, MATCH('Staging Table'!$A62, LS_previous!$B$4:$B$138, 0), MATCH(AC$4&amp;AC$5, LS_previous!$D$2:$AY$2&amp;LS_previous!$D$3:$AY$3, 0)),SUM(VLOOKUP($A62, LS_previous!$B$4:$AY$138, LS_previous!U$149, FALSE), VLOOKUP('Staging Table'!$A62, LS_previous!$B$4:$AY$138,LS_previous!AS$149, FALSE))/2)</f>
        <v>-474.45387306320004</v>
      </c>
      <c r="AD62" s="192">
        <f t="array" ref="AD62">IF($G62=0, INDEX(LS_previous!$D$4:$AY$138, MATCH('Staging Table'!$A62, LS_previous!$B$4:$B$138, 0), MATCH(AD$4&amp;AD$5, LS_previous!$D$2:$AY$2&amp;LS_previous!$D$3:$AY$3, 0)),SUM(VLOOKUP($A62, LS_previous!$B$4:$AY$138, LS_previous!V$149, FALSE), VLOOKUP('Staging Table'!$A62, LS_previous!$B$4:$AY$138,LS_previous!AT$149, FALSE))/2)</f>
        <v>-336.13779066279994</v>
      </c>
      <c r="AE62" s="192">
        <f t="array" ref="AE62">IF($G62=0, INDEX(LS_previous!$D$4:$AY$138, MATCH('Staging Table'!$A62, LS_previous!$B$4:$B$138, 0), MATCH(AE$4&amp;AE$5, LS_previous!$D$2:$AY$2&amp;LS_previous!$D$3:$AY$3, 0)),SUM(VLOOKUP($A62, LS_previous!$B$4:$AY$138, LS_previous!W$149, FALSE), VLOOKUP('Staging Table'!$A62, LS_previous!$B$4:$AY$138,LS_previous!AU$149, FALSE))/2)</f>
        <v>274.69756529760002</v>
      </c>
      <c r="AF62" s="192">
        <f t="array" ref="AF62">IF($G62=0, INDEX(LS_previous!$D$4:$AY$138, MATCH('Staging Table'!$A62, LS_previous!$B$4:$B$138, 0), MATCH(AF$4&amp;AF$5, LS_previous!$D$2:$AY$2&amp;LS_previous!$D$3:$AY$3, 0)),SUM(VLOOKUP($A62, LS_previous!$B$4:$AY$138, LS_previous!X$149, FALSE), VLOOKUP('Staging Table'!$A62, LS_previous!$B$4:$AY$138,LS_previous!AV$149, FALSE))/2)</f>
        <v>-200.71722131279967</v>
      </c>
      <c r="AG62" s="192">
        <f t="array" ref="AG62">IF($G62=0, INDEX(LS_previous!$D$4:$AY$138, MATCH('Staging Table'!$A62, LS_previous!$B$4:$B$138, 0), MATCH(AG$4&amp;AG$5, LS_previous!$D$2:$AY$2&amp;LS_previous!$D$3:$AY$3, 0)),SUM(VLOOKUP($A62, LS_previous!$B$4:$AY$138, LS_previous!Y$149, FALSE), VLOOKUP('Staging Table'!$A62, LS_previous!$B$4:$AY$138,LS_previous!AW$149, FALSE))/2)</f>
        <v>179.98718929760003</v>
      </c>
      <c r="AH62" s="192">
        <f t="array" ref="AH62">IF($G62=0, INDEX(LS_previous!$D$4:$AY$138, MATCH('Staging Table'!$A62, LS_previous!$B$4:$B$138, 0), MATCH(AH$4&amp;AH$5, LS_previous!$D$2:$AY$2&amp;LS_previous!$D$3:$AY$3, 0)),SUM(VLOOKUP($A62, LS_previous!$B$4:$AY$138, LS_previous!Z$149, FALSE), VLOOKUP('Staging Table'!$A62, LS_previous!$B$4:$AY$138,LS_previous!AX$149, FALSE))/2)</f>
        <v>-148.81851071999972</v>
      </c>
      <c r="AI62" s="192">
        <f t="array" ref="AI62">IF($G62=0, INDEX(LS_previous!$D$4:$AY$138, MATCH('Staging Table'!$A62, LS_previous!$B$4:$B$138, 0), MATCH(AI$4&amp;AI$5, LS_previous!$D$2:$AY$2&amp;LS_previous!$D$3:$AY$3, 0)),SUM(VLOOKUP($A62, LS_previous!$B$4:$AY$138, LS_previous!AA$149, FALSE), VLOOKUP('Staging Table'!$A62, LS_previous!$B$4:$AY$138,LS_previous!AY$149, FALSE))/2)</f>
        <v>107.04511844400008</v>
      </c>
      <c r="AJ62" s="314">
        <f t="array" ref="AJ62">INDEX(Demand_previous!$D$4:$AY$138, MATCH('Staging Table'!$A62, Demand_previous!$B$4:$B$138, 0), MATCH(AJ$4&amp;AJ$5,Demand_previous!$D$2:$AY$2&amp;Demand_previous!$D$3:$AY$3, 0))/1000</f>
        <v>1.1376064814814817</v>
      </c>
      <c r="AK62" s="314">
        <f t="array" ref="AK62">INDEX(Demand_previous!$D$4:$AY$138, MATCH('Staging Table'!$A62, Demand_previous!$B$4:$B$138, 0), MATCH(AK$4&amp;AK$5,Demand_previous!$D$2:$AY$2&amp;Demand_previous!$D$3:$AY$3, 0))/1000</f>
        <v>1.33846</v>
      </c>
      <c r="AL62" s="314">
        <f t="array" ref="AL62">INDEX(Demand_previous!$D$4:$AY$138, MATCH('Staging Table'!$A62, Demand_previous!$B$4:$B$138, 0), MATCH(AL$4&amp;AL$5,Demand_previous!$D$2:$AY$2&amp;Demand_previous!$D$3:$AY$3, 0))/1000</f>
        <v>1.0570649999999999</v>
      </c>
      <c r="AM62" s="314">
        <f t="array" ref="AM62">INDEX(Demand_previous!$D$4:$AY$138, MATCH('Staging Table'!$A62, Demand_previous!$B$4:$B$138, 0), MATCH(AM$4&amp;AM$5,Demand_previous!$D$2:$AY$2&amp;Demand_previous!$D$3:$AY$3, 0))/1000</f>
        <v>1.4478798076923083</v>
      </c>
      <c r="AN62" s="314">
        <f t="array" ref="AN62">INDEX(Demand_previous!$D$4:$AY$138, MATCH('Staging Table'!$A62, Demand_previous!$B$4:$B$138, 0), MATCH(AN$4&amp;AN$5,Demand_previous!$D$2:$AY$2&amp;Demand_previous!$D$3:$AY$3, 0))/1000</f>
        <v>1.9046649999999998</v>
      </c>
      <c r="AO62" s="314">
        <f t="array" ref="AO62">INDEX(Demand_previous!$D$4:$AY$138, MATCH('Staging Table'!$A62, Demand_previous!$B$4:$B$138, 0), MATCH(AO$4&amp;AO$5,Demand_previous!$D$2:$AY$2&amp;Demand_previous!$D$3:$AY$3, 0))/1000</f>
        <v>1.1690096153846155</v>
      </c>
      <c r="AP62" s="314">
        <f t="array" ref="AP62">INDEX(Demand_previous!$D$4:$AY$138, MATCH('Staging Table'!$A62, Demand_previous!$B$4:$B$138, 0), MATCH(AP$4&amp;AP$5,Demand_previous!$D$2:$AY$2&amp;Demand_previous!$D$3:$AY$3, 0))/1000</f>
        <v>1.2609495192307696</v>
      </c>
      <c r="AQ62" s="314">
        <f t="array" ref="AQ62">INDEX(Demand_previous!$D$4:$AY$138, MATCH('Staging Table'!$A62, Demand_previous!$B$4:$B$138, 0), MATCH(AQ$4&amp;AQ$5,Demand_previous!$D$2:$AY$2&amp;Demand_previous!$D$3:$AY$3, 0))/1000</f>
        <v>1.2905024999999999</v>
      </c>
      <c r="AR62" s="314">
        <f t="array" ref="AR62">INDEX(Demand_previous!$D$4:$AY$138, MATCH('Staging Table'!$A62, Demand_previous!$B$4:$B$138, 0), MATCH(AR$4&amp;AR$5,Demand_previous!$D$2:$AY$2&amp;Demand_previous!$D$3:$AY$3, 0))/1000</f>
        <v>0.9931370192307698</v>
      </c>
      <c r="AS62" s="314">
        <f t="array" ref="AS62">INDEX(Demand_previous!$D$4:$AY$138, MATCH('Staging Table'!$A62, Demand_previous!$B$4:$B$138, 0), MATCH(AS$4&amp;AS$5,Demand_previous!$D$2:$AY$2&amp;Demand_previous!$D$3:$AY$3, 0))/1000</f>
        <v>1.1594062500000004</v>
      </c>
      <c r="AT62" s="314">
        <f t="array" ref="AT62">INDEX(Demand_previous!$D$4:$AY$138, MATCH('Staging Table'!$A62, Demand_previous!$B$4:$B$138, 0), MATCH(AT$4&amp;AT$5,Demand_previous!$D$2:$AY$2&amp;Demand_previous!$D$3:$AY$3, 0))/1000</f>
        <v>1.2108509615384608</v>
      </c>
      <c r="AU62" s="314">
        <f t="array" ref="AU62">INDEX(Demand_previous!$D$4:$AY$138, MATCH('Staging Table'!$A62, Demand_previous!$B$4:$B$138, 0), MATCH(AU$4&amp;AU$5,Demand_previous!$D$2:$AY$2&amp;Demand_previous!$D$3:$AY$3, 0))/1000</f>
        <v>0.69950749999999995</v>
      </c>
      <c r="AV62" s="192">
        <f>$F62*(VLOOKUP(AV$4, Rates_previous!$G$6:$Q$29, 10, FALSE)+VLOOKUP(AV$4, Rates_previous!$G$6:$Q$29, 11, FALSE))</f>
        <v>3549.3317285651997</v>
      </c>
      <c r="AW62" s="192">
        <f>$F62*(VLOOKUP(AW$4, Rates_previous!$G$6:$Q$29, 10, FALSE)+VLOOKUP(AW$4, Rates_previous!$G$6:$Q$29, 11, FALSE))</f>
        <v>4508.7585308193002</v>
      </c>
      <c r="AX62" s="192">
        <f>$F62*(VLOOKUP(AX$4, Rates_previous!$G$6:$Q$29, 10, FALSE)+VLOOKUP(AX$4, Rates_previous!$G$6:$Q$29, 11, FALSE))</f>
        <v>4454.3091706652003</v>
      </c>
      <c r="AY62" s="192">
        <f>$F62*(VLOOKUP(AY$4, Rates_previous!$G$6:$Q$29, 10, FALSE)+VLOOKUP(AY$4, Rates_previous!$G$6:$Q$29, 11, FALSE))</f>
        <v>3712.9379930652003</v>
      </c>
      <c r="AZ62" s="192">
        <f>$F62*(VLOOKUP(AZ$4, Rates_previous!$G$6:$Q$29, 10, FALSE)+VLOOKUP(AZ$4, Rates_previous!$G$6:$Q$29, 11, FALSE))</f>
        <v>3363.5366341599997</v>
      </c>
      <c r="BA62" s="192">
        <f>$F62*(VLOOKUP(BA$4, Rates_previous!$G$6:$Q$29, 10, FALSE)+VLOOKUP(BA$4, Rates_previous!$G$6:$Q$29, 11, FALSE))</f>
        <v>3741.3212727718997</v>
      </c>
      <c r="BB62" s="192">
        <f>$F62*(VLOOKUP(BB$4, Rates_previous!$G$6:$Q$29, 10, FALSE)+VLOOKUP(BB$4, Rates_previous!$G$6:$Q$29, 11, FALSE))</f>
        <v>3046.1878175759998</v>
      </c>
      <c r="BC62" s="192">
        <f>$F62*(VLOOKUP(BC$4, Rates_previous!$G$6:$Q$29, 10, FALSE)+VLOOKUP(BC$4, Rates_previous!$G$6:$Q$29, 11, FALSE))</f>
        <v>4108.2385089152003</v>
      </c>
      <c r="BD62" s="192">
        <f>$F62*(VLOOKUP(BD$4, Rates_previous!$G$6:$Q$29, 10, FALSE)+VLOOKUP(BD$4, Rates_previous!$G$6:$Q$29, 11, FALSE))</f>
        <v>5241.8329302259999</v>
      </c>
      <c r="BE62" s="192">
        <f>$F62*(VLOOKUP(BE$4, Rates_previous!$G$6:$Q$29, 10, FALSE)+VLOOKUP(BE$4, Rates_previous!$G$6:$Q$29, 11, FALSE))</f>
        <v>4109.7632253652</v>
      </c>
      <c r="BF62" s="192">
        <f>$F62*(VLOOKUP(BF$4, Rates_previous!$G$6:$Q$29, 10, FALSE)+VLOOKUP(BF$4, Rates_previous!$G$6:$Q$29, 11, FALSE))</f>
        <v>4002.0910320152002</v>
      </c>
      <c r="BG62" s="192">
        <f>$F62*(VLOOKUP(BG$4, Rates_previous!$G$6:$Q$29, 10, FALSE)+VLOOKUP(BG$4, Rates_previous!$G$6:$Q$29, 11, FALSE))</f>
        <v>3593.0263922760005</v>
      </c>
      <c r="BH62" s="314">
        <f>IF($D62=0,IF(C62=0, MAX(BJ62 - (VLOOKUP($A62,TOCA_previous!$A$2:$AI$137,MATCH("RHWM 2020",TOCA_previous!$A$2:$AI$2,0),FALSE)*$F$2*TOCA_previous!C59),0),0), 0)</f>
        <v>0</v>
      </c>
      <c r="BI62" s="204">
        <f>MIN(VLOOKUP($A62,TOCA_previous!$A$2:$AI$137,MATCH("TRL - NLSL - Existing Resource "&amp;$F$1,TOCA_previous!$A$2:$AI$2,0),FALSE)*$F$2,(VLOOKUP($A62,TOCA_previous!$A$2:$AI$137,MATCH("RHWM 2020",TOCA_previous!$A$2:$AI$2,0),FALSE)*$F$2))</f>
        <v>47433.600000000006</v>
      </c>
      <c r="BJ62" s="418">
        <f>SUM(L62:AI62)+(F62*RT1SC!$C$3*$F$2)</f>
        <v>46101.049780309193</v>
      </c>
      <c r="BK62" s="417">
        <f>VLOOKUP($A62,TOCA_previous!$A$2:$AI$137,MATCH("Above RHWM Not Served with LS "&amp;$F$1,TOCA_previous!$A$2:$AI$2,0),FALSE)*$F$2</f>
        <v>0</v>
      </c>
      <c r="BL62" s="418">
        <f t="shared" si="8"/>
        <v>-1332.5502196908128</v>
      </c>
      <c r="BM62" s="417">
        <f>(VLOOKUP($A62,TOCA_previous!$A$2:$AI$137,MATCH("RHWM 2020",TOCA_previous!$A$2:$AI$2,0),FALSE)*$F$2) - $BI62</f>
        <v>5885.2799999999988</v>
      </c>
      <c r="BN62" s="418">
        <f t="shared" si="9"/>
        <v>0</v>
      </c>
      <c r="BO62" s="417">
        <f t="shared" si="10"/>
        <v>1332.5502196908128</v>
      </c>
      <c r="BP62" s="418">
        <f t="shared" si="11"/>
        <v>0</v>
      </c>
      <c r="BQ62" s="417">
        <f t="shared" si="18"/>
        <v>1332.5502196908128</v>
      </c>
      <c r="BR62" s="120">
        <f>VLOOKUP($A62,TOCA_current!$A$2:$AI$137,MATCH(BR$4,TOCA_current!$A$2:$AI$2,0),FALSE)</f>
        <v>8.12E-4</v>
      </c>
      <c r="BS62" s="120">
        <f>VLOOKUP($A62,TOCA_current!$A$2:$AI$137,MATCH(BS$4,TOCA_current!$A$2:$AI$2,0),FALSE)</f>
        <v>8.12E-4</v>
      </c>
      <c r="BT62" s="201">
        <f t="shared" si="12"/>
        <v>0</v>
      </c>
      <c r="BU62" s="120">
        <f>VLOOKUP($A62,TOCA_current!A58:BG193,MATCH(BU$4,TOCA_current!$A$2:$BG$2,0),FALSE)</f>
        <v>0</v>
      </c>
      <c r="BV62" s="120">
        <f t="shared" si="19"/>
        <v>0</v>
      </c>
      <c r="BW62" s="120">
        <f t="shared" si="20"/>
        <v>0</v>
      </c>
      <c r="BX62" s="191">
        <f>VLOOKUP($A62,IRD!$A$4:$G$139, 7, FALSE)</f>
        <v>0</v>
      </c>
      <c r="BY62" s="192">
        <f t="array" ref="BY62">IF($BT62=0, INDEX(LS_current!$D$4:$AY$138, MATCH('Staging Table'!$A62, LS_current!$B$4:$B$138, 0), MATCH(BY$4&amp;BY$5, LS_current!$D$2:$AY$2&amp;LS_current!$D$3:$AY$3, 0)),SUM(VLOOKUP($A62, LS_current!$B$4:$AY$138, LS_current!D$148, FALSE), VLOOKUP($A62, LS_current!$B$4:$AY$138,LS_current!AB$148, FALSE))/2)</f>
        <v>-62.903694802826067</v>
      </c>
      <c r="BZ62" s="192">
        <f t="array" ref="BZ62">IF($BT62=0, INDEX(LS_current!$D$4:$AY$138, MATCH('Staging Table'!$A62, LS_current!$B$4:$B$138, 0), MATCH(BZ$4&amp;BZ$5, LS_current!$D$2:$AY$2&amp;LS_current!$D$3:$AY$3, 0)),SUM(VLOOKUP($A62, LS_current!$B$4:$AY$138, LS_current!E$148, FALSE), VLOOKUP($A62, LS_current!$B$4:$AY$138,LS_current!AC$148, FALSE))/2)</f>
        <v>62.436065143269843</v>
      </c>
      <c r="CA62" s="192">
        <f t="array" ref="CA62">IF($BT62=0, INDEX(LS_current!$D$4:$AY$138, MATCH('Staging Table'!$A62, LS_current!$B$4:$B$138, 0), MATCH(CA$4&amp;CA$5, LS_current!$D$2:$AY$2&amp;LS_current!$D$3:$AY$3, 0)),SUM(VLOOKUP($A62, LS_current!$B$4:$AY$138, LS_current!F$148, FALSE), VLOOKUP($A62, LS_current!$B$4:$AY$138,LS_current!AD$148, FALSE))/2)</f>
        <v>-686.1954784910663</v>
      </c>
      <c r="CB62" s="192">
        <f t="array" ref="CB62">IF($BT62=0, INDEX(LS_current!$D$4:$AY$138, MATCH('Staging Table'!$A62, LS_current!$B$4:$B$138, 0), MATCH(CB$4&amp;CB$5, LS_current!$D$2:$AY$2&amp;LS_current!$D$3:$AY$3, 0)),SUM(VLOOKUP($A62, LS_current!$B$4:$AY$138, LS_current!G$148, FALSE), VLOOKUP($A62, LS_current!$B$4:$AY$138,LS_current!AE$148, FALSE))/2)</f>
        <v>-319.81459656985203</v>
      </c>
      <c r="CC62" s="192">
        <f t="array" ref="CC62">IF($BT62=0, INDEX(LS_current!$D$4:$AY$138, MATCH('Staging Table'!$A62, LS_current!$B$4:$B$138, 0), MATCH(CC$4&amp;CC$5, LS_current!$D$2:$AY$2&amp;LS_current!$D$3:$AY$3, 0)),SUM(VLOOKUP($A62, LS_current!$B$4:$AY$138, LS_current!H$148, FALSE), VLOOKUP($A62, LS_current!$B$4:$AY$138,LS_current!AF$148, FALSE))/2)</f>
        <v>-21.810661370941943</v>
      </c>
      <c r="CD62" s="192">
        <f t="array" ref="CD62">IF($BT62=0, INDEX(LS_current!$D$4:$AY$138, MATCH('Staging Table'!$A62, LS_current!$B$4:$B$138, 0), MATCH(CD$4&amp;CD$5, LS_current!$D$2:$AY$2&amp;LS_current!$D$3:$AY$3, 0)),SUM(VLOOKUP($A62, LS_current!$B$4:$AY$138, LS_current!I$148, FALSE), VLOOKUP($A62, LS_current!$B$4:$AY$138,LS_current!AG$148, FALSE))/2)</f>
        <v>-161.47094858094624</v>
      </c>
      <c r="CE62" s="192">
        <f t="array" ref="CE62">IF($BT62=0, INDEX(LS_current!$D$4:$AY$138, MATCH('Staging Table'!$A62, LS_current!$B$4:$B$138, 0), MATCH(CE$4&amp;CE$5, LS_current!$D$2:$AY$2&amp;LS_current!$D$3:$AY$3, 0)),SUM(VLOOKUP($A62, LS_current!$B$4:$AY$138, LS_current!J$148, FALSE), VLOOKUP($A62, LS_current!$B$4:$AY$138,LS_current!AH$148, FALSE))/2)</f>
        <v>448.63126313556995</v>
      </c>
      <c r="CF62" s="192">
        <f t="array" ref="CF62">IF($BT62=0, INDEX(LS_current!$D$4:$AY$138, MATCH('Staging Table'!$A62, LS_current!$B$4:$B$138, 0), MATCH(CF$4&amp;CF$5, LS_current!$D$2:$AY$2&amp;LS_current!$D$3:$AY$3, 0)),SUM(VLOOKUP($A62, LS_current!$B$4:$AY$138, LS_current!K$148, FALSE), VLOOKUP($A62, LS_current!$B$4:$AY$138,LS_current!AI$148, FALSE))/2)</f>
        <v>131.93850997274581</v>
      </c>
      <c r="CG62" s="192">
        <f t="array" ref="CG62">IF($BT62=0, INDEX(LS_current!$D$4:$AY$138, MATCH('Staging Table'!$A62, LS_current!$B$4:$B$138, 0), MATCH(CG$4&amp;CG$5, LS_current!$D$2:$AY$2&amp;LS_current!$D$3:$AY$3, 0)),SUM(VLOOKUP($A62, LS_current!$B$4:$AY$138, LS_current!L$148, FALSE), VLOOKUP($A62, LS_current!$B$4:$AY$138,LS_current!AJ$148, FALSE))/2)</f>
        <v>379.02162120964454</v>
      </c>
      <c r="CH62" s="192">
        <f t="array" ref="CH62">IF($BT62=0, INDEX(LS_current!$D$4:$AY$138, MATCH('Staging Table'!$A62, LS_current!$B$4:$B$138, 0), MATCH(CH$4&amp;CH$5, LS_current!$D$2:$AY$2&amp;LS_current!$D$3:$AY$3, 0)),SUM(VLOOKUP($A62, LS_current!$B$4:$AY$138, LS_current!M$148, FALSE), VLOOKUP($A62, LS_current!$B$4:$AY$138,LS_current!AK$148, FALSE))/2)</f>
        <v>106.88333855645783</v>
      </c>
      <c r="CI62" s="192">
        <f t="array" ref="CI62">IF($BT62=0, INDEX(LS_current!$D$4:$AY$138, MATCH('Staging Table'!$A62, LS_current!$B$4:$B$138, 0), MATCH(CI$4&amp;CI$5, LS_current!$D$2:$AY$2&amp;LS_current!$D$3:$AY$3, 0)),SUM(VLOOKUP($A62, LS_current!$B$4:$AY$138, LS_current!N$148, FALSE), VLOOKUP($A62, LS_current!$B$4:$AY$138,LS_current!AL$148, FALSE))/2)</f>
        <v>-124.50547206493775</v>
      </c>
      <c r="CJ62" s="192">
        <f t="array" ref="CJ62">IF($BT62=0, INDEX(LS_current!$D$4:$AY$138, MATCH('Staging Table'!$A62, LS_current!$B$4:$B$138, 0), MATCH(CJ$4&amp;CJ$5, LS_current!$D$2:$AY$2&amp;LS_current!$D$3:$AY$3, 0)),SUM(VLOOKUP($A62, LS_current!$B$4:$AY$138, LS_current!O$148, FALSE), VLOOKUP($A62, LS_current!$B$4:$AY$138,LS_current!AM$148, FALSE))/2)</f>
        <v>-63.815075567247959</v>
      </c>
      <c r="CK62" s="192">
        <f t="array" ref="CK62">IF($BT62=0, INDEX(LS_current!$D$4:$AY$138, MATCH('Staging Table'!$A62, LS_current!$B$4:$B$138, 0), MATCH(CK$4&amp;CK$5, LS_current!$D$2:$AY$2&amp;LS_current!$D$3:$AY$3, 0)),SUM(VLOOKUP($A62, LS_current!$B$4:$AY$138, LS_current!P$148, FALSE), VLOOKUP($A62, LS_current!$B$4:$AY$138,LS_current!AN$148, FALSE))/2)</f>
        <v>329.61833040066222</v>
      </c>
      <c r="CL62" s="192">
        <f t="array" ref="CL62">IF($BT62=0, INDEX(LS_current!$D$4:$AY$138, MATCH('Staging Table'!$A62, LS_current!$B$4:$B$138, 0), MATCH(CL$4&amp;CL$5, LS_current!$D$2:$AY$2&amp;LS_current!$D$3:$AY$3, 0)),SUM(VLOOKUP($A62, LS_current!$B$4:$AY$138, LS_current!Q$148, FALSE), VLOOKUP($A62, LS_current!$B$4:$AY$138,LS_current!AO$148, FALSE))/2)</f>
        <v>211.82000789173594</v>
      </c>
      <c r="CM62" s="192">
        <f t="array" ref="CM62">IF($BT62=0, INDEX(LS_current!$D$4:$AY$138, MATCH('Staging Table'!$A62, LS_current!$B$4:$B$138, 0), MATCH(CM$4&amp;CM$5, LS_current!$D$2:$AY$2&amp;LS_current!$D$3:$AY$3, 0)),SUM(VLOOKUP($A62, LS_current!$B$4:$AY$138, LS_current!R$148, FALSE), VLOOKUP($A62, LS_current!$B$4:$AY$138,LS_current!AP$148, FALSE))/2)</f>
        <v>-637.11725539315421</v>
      </c>
      <c r="CN62" s="192">
        <f t="array" ref="CN62">IF($BT62=0, INDEX(LS_current!$D$4:$AY$138, MATCH('Staging Table'!$A62, LS_current!$B$4:$B$138, 0), MATCH(CN$4&amp;CN$5, LS_current!$D$2:$AY$2&amp;LS_current!$D$3:$AY$3, 0)),SUM(VLOOKUP($A62, LS_current!$B$4:$AY$138, LS_current!S$148, FALSE), VLOOKUP($A62, LS_current!$B$4:$AY$138,LS_current!AQ$148, FALSE))/2)</f>
        <v>54.862002028814004</v>
      </c>
      <c r="CO62" s="192">
        <f t="array" ref="CO62">IF($BT62=0, INDEX(LS_current!$D$4:$AY$138, MATCH('Staging Table'!$A62, LS_current!$B$4:$B$138, 0), MATCH(CO$4&amp;CO$5, LS_current!$D$2:$AY$2&amp;LS_current!$D$3:$AY$3, 0)),SUM(VLOOKUP($A62, LS_current!$B$4:$AY$138, LS_current!T$148, FALSE), VLOOKUP($A62, LS_current!$B$4:$AY$138,LS_current!AR$148, FALSE))/2)</f>
        <v>-898.12652529185198</v>
      </c>
      <c r="CP62" s="192">
        <f t="array" ref="CP62">IF($BT62=0, INDEX(LS_current!$D$4:$AY$138, MATCH('Staging Table'!$A62, LS_current!$B$4:$B$138, 0), MATCH(CP$4&amp;CP$5, LS_current!$D$2:$AY$2&amp;LS_current!$D$3:$AY$3, 0)),SUM(VLOOKUP($A62, LS_current!$B$4:$AY$138, LS_current!U$148, FALSE), VLOOKUP($A62, LS_current!$B$4:$AY$138,LS_current!AS$148, FALSE))/2)</f>
        <v>74.192911676889935</v>
      </c>
      <c r="CQ62" s="192">
        <f t="array" ref="CQ62">IF($BT62=0, INDEX(LS_current!$D$4:$AY$138, MATCH('Staging Table'!$A62, LS_current!$B$4:$B$138, 0), MATCH(CQ$4&amp;CQ$5, LS_current!$D$2:$AY$2&amp;LS_current!$D$3:$AY$3, 0)),SUM(VLOOKUP($A62, LS_current!$B$4:$AY$138, LS_current!V$148, FALSE), VLOOKUP($A62, LS_current!$B$4:$AY$138,LS_current!AT$148, FALSE))/2)</f>
        <v>-353.41651978699019</v>
      </c>
      <c r="CR62" s="192">
        <f t="array" ref="CR62">IF($BT62=0, INDEX(LS_current!$D$4:$AY$138, MATCH('Staging Table'!$A62, LS_current!$B$4:$B$138, 0), MATCH(CR$4&amp;CR$5, LS_current!$D$2:$AY$2&amp;LS_current!$D$3:$AY$3, 0)),SUM(VLOOKUP($A62, LS_current!$B$4:$AY$138, LS_current!W$148, FALSE), VLOOKUP($A62, LS_current!$B$4:$AY$138,LS_current!AU$148, FALSE))/2)</f>
        <v>128.24135075381992</v>
      </c>
      <c r="CS62" s="192">
        <f t="array" ref="CS62">IF($BT62=0, INDEX(LS_current!$D$4:$AY$138, MATCH('Staging Table'!$A62, LS_current!$B$4:$B$138, 0), MATCH(CS$4&amp;CS$5, LS_current!$D$2:$AY$2&amp;LS_current!$D$3:$AY$3, 0)),SUM(VLOOKUP($A62, LS_current!$B$4:$AY$138, LS_current!X$148, FALSE), VLOOKUP($A62, LS_current!$B$4:$AY$138,LS_current!AV$148, FALSE))/2)</f>
        <v>-239.48843279993389</v>
      </c>
      <c r="CT62" s="192">
        <f t="array" ref="CT62">IF($BT62=0, INDEX(LS_current!$D$4:$AY$138, MATCH('Staging Table'!$A62, LS_current!$B$4:$B$138, 0), MATCH(CT$4&amp;CT$5, LS_current!$D$2:$AY$2&amp;LS_current!$D$3:$AY$3, 0)),SUM(VLOOKUP($A62, LS_current!$B$4:$AY$138, LS_current!Y$148, FALSE), VLOOKUP($A62, LS_current!$B$4:$AY$138,LS_current!AW$148, FALSE))/2)</f>
        <v>90.843135659728205</v>
      </c>
      <c r="CU62" s="192">
        <f t="array" ref="CU62">IF($BT62=0, INDEX(LS_current!$D$4:$AY$138, MATCH('Staging Table'!$A62, LS_current!$B$4:$B$138, 0), MATCH(CU$4&amp;CU$5, LS_current!$D$2:$AY$2&amp;LS_current!$D$3:$AY$3, 0)),SUM(VLOOKUP($A62, LS_current!$B$4:$AY$138, LS_current!Z$148, FALSE), VLOOKUP($A62, LS_current!$B$4:$AY$138,LS_current!AX$148, FALSE))/2)</f>
        <v>-283.54721494976593</v>
      </c>
      <c r="CV62" s="192">
        <f t="array" ref="CV62">IF($BT62=0, INDEX(LS_current!$D$4:$AY$138, MATCH('Staging Table'!$A62, LS_current!$B$4:$B$138, 0), MATCH(CV$4&amp;CV$5, LS_current!$D$2:$AY$2&amp;LS_current!$D$3:$AY$3, 0)),SUM(VLOOKUP($A62, LS_current!$B$4:$AY$138, LS_current!AA$148, FALSE), VLOOKUP($A62, LS_current!$B$4:$AY$138,LS_current!AY$148, FALSE))/2)</f>
        <v>18.243860297886158</v>
      </c>
      <c r="CW62" s="194">
        <f t="array" ref="CW62">INDEX(Demand_current!$D$4:$AY$138, MATCH($A62, Demand_current!$B$4:$B$138, 0), MATCH(CW$4&amp;CW$5,Demand_current!$D$2:$AY$2&amp;Demand_current!$D$3:$AY$3, 0))/1000</f>
        <v>0.9320528846153846</v>
      </c>
      <c r="CX62" s="194">
        <f t="array" ref="CX62">INDEX(Demand_current!$D$4:$AY$138, MATCH($A62, Demand_current!$B$4:$B$138, 0), MATCH(CX$4&amp;CX$5,Demand_current!$D$2:$AY$2&amp;Demand_current!$D$3:$AY$3, 0))/1000</f>
        <v>1.33846</v>
      </c>
      <c r="CY62" s="194">
        <f t="array" ref="CY62">INDEX(Demand_current!$D$4:$AY$138, MATCH($A62, Demand_current!$B$4:$B$138, 0), MATCH(CY$4&amp;CY$5,Demand_current!$D$2:$AY$2&amp;Demand_current!$D$3:$AY$3, 0))/1000</f>
        <v>1.3066778846153844</v>
      </c>
      <c r="CZ62" s="194">
        <f t="array" ref="CZ62">INDEX(Demand_current!$D$4:$AY$138, MATCH($A62, Demand_current!$B$4:$B$138, 0), MATCH(CZ$4&amp;CZ$5,Demand_current!$D$2:$AY$2&amp;Demand_current!$D$3:$AY$3, 0))/1000</f>
        <v>1.1977150000000008</v>
      </c>
      <c r="DA62" s="194">
        <f t="array" ref="DA62">INDEX(Demand_current!$D$4:$AY$138, MATCH($A62, Demand_current!$B$4:$B$138, 0), MATCH(DA$4&amp;DA$5,Demand_current!$D$2:$AY$2&amp;Demand_current!$D$3:$AY$3, 0))/1000</f>
        <v>1.6666927083333329</v>
      </c>
      <c r="DB62" s="194">
        <f t="array" ref="DB62">INDEX(Demand_current!$D$4:$AY$138, MATCH($A62, Demand_current!$B$4:$B$138, 0), MATCH(DB$4&amp;DB$5,Demand_current!$D$2:$AY$2&amp;Demand_current!$D$3:$AY$3, 0))/1000</f>
        <v>1.3720462962962972</v>
      </c>
      <c r="DC62" s="194">
        <f t="array" ref="DC62">INDEX(Demand_current!$D$4:$AY$138, MATCH($A62, Demand_current!$B$4:$B$138, 0), MATCH(DC$4&amp;DC$5,Demand_current!$D$2:$AY$2&amp;Demand_current!$D$3:$AY$3, 0))/1000</f>
        <v>1.2609495192307696</v>
      </c>
      <c r="DD62" s="194">
        <f t="array" ref="DD62">INDEX(Demand_current!$D$4:$AY$138, MATCH($A62, Demand_current!$B$4:$B$138, 0), MATCH(DD$4&amp;DD$5,Demand_current!$D$2:$AY$2&amp;Demand_current!$D$3:$AY$3, 0))/1000</f>
        <v>1.2905024999999999</v>
      </c>
      <c r="DE62" s="194">
        <f t="array" ref="DE62">INDEX(Demand_current!$D$4:$AY$138, MATCH($A62, Demand_current!$B$4:$B$138, 0), MATCH(DE$4&amp;DE$5,Demand_current!$D$2:$AY$2&amp;Demand_current!$D$3:$AY$3, 0))/1000</f>
        <v>0.9931370192307698</v>
      </c>
      <c r="DF62" s="194">
        <f t="array" ref="DF62">INDEX(Demand_current!$D$4:$AY$138, MATCH($A62, Demand_current!$B$4:$B$138, 0), MATCH(DF$4&amp;DF$5,Demand_current!$D$2:$AY$2&amp;Demand_current!$D$3:$AY$3, 0))/1000</f>
        <v>0.91970250000000009</v>
      </c>
      <c r="DG62" s="194">
        <f t="array" ref="DG62">INDEX(Demand_current!$D$4:$AY$138, MATCH($A62, Demand_current!$B$4:$B$138, 0), MATCH(DG$4&amp;DG$5,Demand_current!$D$2:$AY$2&amp;Demand_current!$D$3:$AY$3, 0))/1000</f>
        <v>1.4371527777777773</v>
      </c>
      <c r="DH62" s="194">
        <f t="array" ref="DH62">INDEX(Demand_current!$D$4:$AY$138, MATCH($A62, Demand_current!$B$4:$B$138, 0), MATCH(DH$4&amp;DH$5,Demand_current!$D$2:$AY$2&amp;Demand_current!$D$3:$AY$3, 0))/1000</f>
        <v>0.69950749999999995</v>
      </c>
      <c r="DI62" s="192">
        <f>$BS62*(VLOOKUP(DI$4, Rates_current!$G$6:$Q$29, 10, FALSE)+VLOOKUP(DI$4, Rates_current!$G$6:$Q$29, 11, FALSE))</f>
        <v>3697.7866296595557</v>
      </c>
      <c r="DJ62" s="192">
        <f>$BS62*(VLOOKUP(DJ$4, Rates_current!$G$6:$Q$29, 10, FALSE)+VLOOKUP(DJ$4, Rates_current!$G$6:$Q$29, 11, FALSE))</f>
        <v>4681.5320750609189</v>
      </c>
      <c r="DK62" s="192">
        <f>$BS62*(VLOOKUP(DK$4, Rates_current!$G$6:$Q$29, 10, FALSE)+VLOOKUP(DK$4, Rates_current!$G$6:$Q$29, 11, FALSE))</f>
        <v>4582.2846099518883</v>
      </c>
      <c r="DL62" s="192">
        <f>$BS62*(VLOOKUP(DL$4, Rates_current!$G$6:$Q$29, 10, FALSE)+VLOOKUP(DL$4, Rates_current!$G$6:$Q$29, 11, FALSE))</f>
        <v>3784.7722268916841</v>
      </c>
      <c r="DM62" s="192">
        <f>$BS62*(VLOOKUP(DM$4, Rates_current!$G$6:$Q$29, 10, FALSE)+VLOOKUP(DM$4, Rates_current!$G$6:$Q$29, 11, FALSE))</f>
        <v>3280.3450402338976</v>
      </c>
      <c r="DN62" s="192">
        <f>$BS62*(VLOOKUP(DN$4, Rates_current!$G$6:$Q$29, 10, FALSE)+VLOOKUP(DN$4, Rates_current!$G$6:$Q$29, 11, FALSE))</f>
        <v>3916.0695476321862</v>
      </c>
      <c r="DO62" s="192">
        <f>$BS62*(VLOOKUP(DO$4, Rates_current!$G$6:$Q$29, 10, FALSE)+VLOOKUP(DO$4, Rates_current!$G$6:$Q$29, 11, FALSE))</f>
        <v>3040.306661707602</v>
      </c>
      <c r="DP62" s="192">
        <f>$BS62*(VLOOKUP(DP$4, Rates_current!$G$6:$Q$29, 10, FALSE)+VLOOKUP(DP$4, Rates_current!$G$6:$Q$29, 11, FALSE))</f>
        <v>4212.3672533643403</v>
      </c>
      <c r="DQ62" s="192">
        <f>$BS62*(VLOOKUP(DQ$4, Rates_current!$G$6:$Q$29, 10, FALSE)+VLOOKUP(DQ$4, Rates_current!$G$6:$Q$29, 11, FALSE))</f>
        <v>4501.0026136149618</v>
      </c>
      <c r="DR62" s="192">
        <f>$BS62*(VLOOKUP(DR$4, Rates_current!$G$6:$Q$29, 10, FALSE)+VLOOKUP(DR$4, Rates_current!$G$6:$Q$29, 11, FALSE))</f>
        <v>4273.4981690331706</v>
      </c>
      <c r="DS62" s="192">
        <f>$BS62*(VLOOKUP(DS$4, Rates_current!$G$6:$Q$29, 10, FALSE)+VLOOKUP(DS$4, Rates_current!$G$6:$Q$29, 11, FALSE))</f>
        <v>4130.0062971402058</v>
      </c>
      <c r="DT62" s="192">
        <f>$BS62*(VLOOKUP(DT$4, Rates_current!$G$6:$Q$29, 10, FALSE)+VLOOKUP(DT$4, Rates_current!$G$6:$Q$29, 11, FALSE))</f>
        <v>3816.5563546518802</v>
      </c>
      <c r="DU62" s="418">
        <f>IF(D62=0,IF(C62=0,MAX(0,DW62 - (VLOOKUP($A62,TOCA_current!$A$2:$AI$137,MATCH("RHWM 2022",TOCA_current!$A$2:$AI$2,0),FALSE)*$BS$2)), 0),0)</f>
        <v>0</v>
      </c>
      <c r="DV62" s="419">
        <f>MIN(VLOOKUP($A62,TOCA_current!$A$2:$AI$137,MATCH("TRL - NLSL - Existing Resource "&amp;$BS$1,TOCA_current!$A$2:$AI$2,0),FALSE)*$BS$2, VLOOKUP($A62,TOCA_current!$A$2:$AI$137,MATCH("RHWM 2022",TOCA_current!$A$2:$AI$2,0),FALSE)*$BS$2)</f>
        <v>47917.2</v>
      </c>
      <c r="DW62" s="419">
        <f>SUM(BY62:CV62)+(BS62*RT1SC!$C$4*$BS$2)</f>
        <v>46101.050451137708</v>
      </c>
      <c r="DX62" s="419">
        <f>VLOOKUP($A62,TOCA_current!$A$2:$AI$137,MATCH("Above RHWM Not Served with LS "&amp;$BS$1,TOCA_current!$A$2:$AI$2,0),FALSE)*$BS$2</f>
        <v>0</v>
      </c>
      <c r="DY62" s="419">
        <f t="shared" si="13"/>
        <v>-1816.1495488622895</v>
      </c>
      <c r="DZ62" s="419">
        <f>(VLOOKUP($A62,TOCA_current!$A$2:$AI$137,MATCH("RHWM 2022",TOCA_current!$A$2:$AI$2,0),FALSE)*$BS$2) - $DV62</f>
        <v>3074.760000000002</v>
      </c>
      <c r="EA62" s="419">
        <f t="shared" si="14"/>
        <v>0</v>
      </c>
      <c r="EB62" s="419">
        <f t="shared" si="15"/>
        <v>1816.1495488622895</v>
      </c>
      <c r="EC62" s="419">
        <f t="shared" si="16"/>
        <v>0</v>
      </c>
      <c r="ED62" s="419">
        <f t="shared" si="17"/>
        <v>1816.1495488622895</v>
      </c>
    </row>
    <row r="63" spans="1:134">
      <c r="A63" s="135">
        <v>10173</v>
      </c>
      <c r="B63" s="136" t="s">
        <v>64</v>
      </c>
      <c r="C63" s="244">
        <f>VLOOKUP(A63, TOCA_current!$A$3:$D$137, 4, FALSE)</f>
        <v>1</v>
      </c>
      <c r="D63" s="203">
        <v>0</v>
      </c>
      <c r="E63" s="119">
        <f>VLOOKUP($A63,TOCA_previous!$A$2:$AI$137,MATCH(E$4,TOCA_previous!$A$2:$AI$2,0),FALSE)</f>
        <v>4.6912999999999998E-3</v>
      </c>
      <c r="F63" s="120">
        <f>VLOOKUP($A63,TOCA_previous!$A$2:$AI$137,MATCH(F$4,TOCA_previous!$A$2:$AI$2,0),FALSE)</f>
        <v>4.6912999999999998E-3</v>
      </c>
      <c r="G63" s="120">
        <f t="shared" si="5"/>
        <v>0</v>
      </c>
      <c r="H63" s="120">
        <f>VLOOKUP($A63,TOCA_previous!$A$2:$AI$137,MATCH(H$4,TOCA_previous!$A$2:$AI$2,0),FALSE)</f>
        <v>7.7999635856041763E-2</v>
      </c>
      <c r="I63" s="120">
        <f t="shared" si="6"/>
        <v>7.7999635856041763E-2</v>
      </c>
      <c r="J63" s="120">
        <f t="shared" si="7"/>
        <v>4.6912999999999998E-3</v>
      </c>
      <c r="K63" s="191">
        <f>VLOOKUP(A63, IRD!$A$5:$C$139, 3, FALSE)</f>
        <v>44309.995999999999</v>
      </c>
      <c r="L63" s="192">
        <f t="array" ref="L63">IF($G63=0, INDEX(LS_previous!$D$4:$AY$138, MATCH('Staging Table'!$A63, LS_previous!$B$4:$B$138, 0), MATCH(L$4&amp;L$5, LS_previous!$D$2:$AY$2&amp;LS_previous!$D$3:$AY$3, 0)),SUM(VLOOKUP($A63, LS_previous!$B$4:$AY$138, LS_previous!D$149, FALSE), VLOOKUP('Staging Table'!$A63, LS_previous!$B$4:$AY$138,LS_previous!AB$149, FALSE))/2)</f>
        <v>0</v>
      </c>
      <c r="M63" s="192">
        <f t="array" ref="M63">IF($G63=0, INDEX(LS_previous!$D$4:$AY$138, MATCH('Staging Table'!$A63, LS_previous!$B$4:$B$138, 0), MATCH(M$4&amp;M$5, LS_previous!$D$2:$AY$2&amp;LS_previous!$D$3:$AY$3, 0)),SUM(VLOOKUP($A63, LS_previous!$B$4:$AY$138, LS_previous!E$149, FALSE), VLOOKUP('Staging Table'!$A63, LS_previous!$B$4:$AY$138,LS_previous!AC$149, FALSE))/2)</f>
        <v>0</v>
      </c>
      <c r="N63" s="192">
        <f t="array" ref="N63">IF($G63=0, INDEX(LS_previous!$D$4:$AY$138, MATCH('Staging Table'!$A63, LS_previous!$B$4:$B$138, 0), MATCH(N$4&amp;N$5, LS_previous!$D$2:$AY$2&amp;LS_previous!$D$3:$AY$3, 0)),SUM(VLOOKUP($A63, LS_previous!$B$4:$AY$138, LS_previous!F$149, FALSE), VLOOKUP('Staging Table'!$A63, LS_previous!$B$4:$AY$138,LS_previous!AD$149, FALSE))/2)</f>
        <v>0</v>
      </c>
      <c r="O63" s="192">
        <f t="array" ref="O63">IF($G63=0, INDEX(LS_previous!$D$4:$AY$138, MATCH('Staging Table'!$A63, LS_previous!$B$4:$B$138, 0), MATCH(O$4&amp;O$5, LS_previous!$D$2:$AY$2&amp;LS_previous!$D$3:$AY$3, 0)),SUM(VLOOKUP($A63, LS_previous!$B$4:$AY$138, LS_previous!G$149, FALSE), VLOOKUP('Staging Table'!$A63, LS_previous!$B$4:$AY$138,LS_previous!AE$149, FALSE))/2)</f>
        <v>0</v>
      </c>
      <c r="P63" s="192">
        <f t="array" ref="P63">IF($G63=0, INDEX(LS_previous!$D$4:$AY$138, MATCH('Staging Table'!$A63, LS_previous!$B$4:$B$138, 0), MATCH(P$4&amp;P$5, LS_previous!$D$2:$AY$2&amp;LS_previous!$D$3:$AY$3, 0)),SUM(VLOOKUP($A63, LS_previous!$B$4:$AY$138, LS_previous!H$149, FALSE), VLOOKUP('Staging Table'!$A63, LS_previous!$B$4:$AY$138,LS_previous!AF$149, FALSE))/2)</f>
        <v>0</v>
      </c>
      <c r="Q63" s="192">
        <f t="array" ref="Q63">IF($G63=0, INDEX(LS_previous!$D$4:$AY$138, MATCH('Staging Table'!$A63, LS_previous!$B$4:$B$138, 0), MATCH(Q$4&amp;Q$5, LS_previous!$D$2:$AY$2&amp;LS_previous!$D$3:$AY$3, 0)),SUM(VLOOKUP($A63, LS_previous!$B$4:$AY$138, LS_previous!I$149, FALSE), VLOOKUP('Staging Table'!$A63, LS_previous!$B$4:$AY$138,LS_previous!AG$149, FALSE))/2)</f>
        <v>0</v>
      </c>
      <c r="R63" s="192">
        <f t="array" ref="R63">IF($G63=0, INDEX(LS_previous!$D$4:$AY$138, MATCH('Staging Table'!$A63, LS_previous!$B$4:$B$138, 0), MATCH(R$4&amp;R$5, LS_previous!$D$2:$AY$2&amp;LS_previous!$D$3:$AY$3, 0)),SUM(VLOOKUP($A63, LS_previous!$B$4:$AY$138, LS_previous!J$149, FALSE), VLOOKUP('Staging Table'!$A63, LS_previous!$B$4:$AY$138,LS_previous!AH$149, FALSE))/2)</f>
        <v>0</v>
      </c>
      <c r="S63" s="192">
        <f t="array" ref="S63">IF($G63=0, INDEX(LS_previous!$D$4:$AY$138, MATCH('Staging Table'!$A63, LS_previous!$B$4:$B$138, 0), MATCH(S$4&amp;S$5, LS_previous!$D$2:$AY$2&amp;LS_previous!$D$3:$AY$3, 0)),SUM(VLOOKUP($A63, LS_previous!$B$4:$AY$138, LS_previous!K$149, FALSE), VLOOKUP('Staging Table'!$A63, LS_previous!$B$4:$AY$138,LS_previous!AI$149, FALSE))/2)</f>
        <v>0</v>
      </c>
      <c r="T63" s="192">
        <f t="array" ref="T63">IF($G63=0, INDEX(LS_previous!$D$4:$AY$138, MATCH('Staging Table'!$A63, LS_previous!$B$4:$B$138, 0), MATCH(T$4&amp;T$5, LS_previous!$D$2:$AY$2&amp;LS_previous!$D$3:$AY$3, 0)),SUM(VLOOKUP($A63, LS_previous!$B$4:$AY$138, LS_previous!L$149, FALSE), VLOOKUP('Staging Table'!$A63, LS_previous!$B$4:$AY$138,LS_previous!AJ$149, FALSE))/2)</f>
        <v>0</v>
      </c>
      <c r="U63" s="192">
        <f t="array" ref="U63">IF($G63=0, INDEX(LS_previous!$D$4:$AY$138, MATCH('Staging Table'!$A63, LS_previous!$B$4:$B$138, 0), MATCH(U$4&amp;U$5, LS_previous!$D$2:$AY$2&amp;LS_previous!$D$3:$AY$3, 0)),SUM(VLOOKUP($A63, LS_previous!$B$4:$AY$138, LS_previous!M$149, FALSE), VLOOKUP('Staging Table'!$A63, LS_previous!$B$4:$AY$138,LS_previous!AK$149, FALSE))/2)</f>
        <v>0</v>
      </c>
      <c r="V63" s="192">
        <f t="array" ref="V63">IF($G63=0, INDEX(LS_previous!$D$4:$AY$138, MATCH('Staging Table'!$A63, LS_previous!$B$4:$B$138, 0), MATCH(V$4&amp;V$5, LS_previous!$D$2:$AY$2&amp;LS_previous!$D$3:$AY$3, 0)),SUM(VLOOKUP($A63, LS_previous!$B$4:$AY$138, LS_previous!N$149, FALSE), VLOOKUP('Staging Table'!$A63, LS_previous!$B$4:$AY$138,LS_previous!AL$149, FALSE))/2)</f>
        <v>0</v>
      </c>
      <c r="W63" s="192">
        <f t="array" ref="W63">IF($G63=0, INDEX(LS_previous!$D$4:$AY$138, MATCH('Staging Table'!$A63, LS_previous!$B$4:$B$138, 0), MATCH(W$4&amp;W$5, LS_previous!$D$2:$AY$2&amp;LS_previous!$D$3:$AY$3, 0)),SUM(VLOOKUP($A63, LS_previous!$B$4:$AY$138, LS_previous!O$149, FALSE), VLOOKUP('Staging Table'!$A63, LS_previous!$B$4:$AY$138,LS_previous!AM$149, FALSE))/2)</f>
        <v>0</v>
      </c>
      <c r="X63" s="192">
        <f t="array" ref="X63">IF($G63=0, INDEX(LS_previous!$D$4:$AY$138, MATCH('Staging Table'!$A63, LS_previous!$B$4:$B$138, 0), MATCH(X$4&amp;X$5, LS_previous!$D$2:$AY$2&amp;LS_previous!$D$3:$AY$3, 0)),SUM(VLOOKUP($A63, LS_previous!$B$4:$AY$138, LS_previous!P$149, FALSE), VLOOKUP('Staging Table'!$A63, LS_previous!$B$4:$AY$138,LS_previous!AN$149, FALSE))/2)</f>
        <v>0</v>
      </c>
      <c r="Y63" s="192">
        <f t="array" ref="Y63">IF($G63=0, INDEX(LS_previous!$D$4:$AY$138, MATCH('Staging Table'!$A63, LS_previous!$B$4:$B$138, 0), MATCH(Y$4&amp;Y$5, LS_previous!$D$2:$AY$2&amp;LS_previous!$D$3:$AY$3, 0)),SUM(VLOOKUP($A63, LS_previous!$B$4:$AY$138, LS_previous!Q$149, FALSE), VLOOKUP('Staging Table'!$A63, LS_previous!$B$4:$AY$138,LS_previous!AO$149, FALSE))/2)</f>
        <v>0</v>
      </c>
      <c r="Z63" s="192">
        <f t="array" ref="Z63">IF($G63=0, INDEX(LS_previous!$D$4:$AY$138, MATCH('Staging Table'!$A63, LS_previous!$B$4:$B$138, 0), MATCH(Z$4&amp;Z$5, LS_previous!$D$2:$AY$2&amp;LS_previous!$D$3:$AY$3, 0)),SUM(VLOOKUP($A63, LS_previous!$B$4:$AY$138, LS_previous!R$149, FALSE), VLOOKUP('Staging Table'!$A63, LS_previous!$B$4:$AY$138,LS_previous!AP$149, FALSE))/2)</f>
        <v>0</v>
      </c>
      <c r="AA63" s="192">
        <f t="array" ref="AA63">IF($G63=0, INDEX(LS_previous!$D$4:$AY$138, MATCH('Staging Table'!$A63, LS_previous!$B$4:$B$138, 0), MATCH(AA$4&amp;AA$5, LS_previous!$D$2:$AY$2&amp;LS_previous!$D$3:$AY$3, 0)),SUM(VLOOKUP($A63, LS_previous!$B$4:$AY$138, LS_previous!S$149, FALSE), VLOOKUP('Staging Table'!$A63, LS_previous!$B$4:$AY$138,LS_previous!AQ$149, FALSE))/2)</f>
        <v>0</v>
      </c>
      <c r="AB63" s="192">
        <f t="array" ref="AB63">IF($G63=0, INDEX(LS_previous!$D$4:$AY$138, MATCH('Staging Table'!$A63, LS_previous!$B$4:$B$138, 0), MATCH(AB$4&amp;AB$5, LS_previous!$D$2:$AY$2&amp;LS_previous!$D$3:$AY$3, 0)),SUM(VLOOKUP($A63, LS_previous!$B$4:$AY$138, LS_previous!T$149, FALSE), VLOOKUP('Staging Table'!$A63, LS_previous!$B$4:$AY$138,LS_previous!AR$149, FALSE))/2)</f>
        <v>0</v>
      </c>
      <c r="AC63" s="192">
        <f t="array" ref="AC63">IF($G63=0, INDEX(LS_previous!$D$4:$AY$138, MATCH('Staging Table'!$A63, LS_previous!$B$4:$B$138, 0), MATCH(AC$4&amp;AC$5, LS_previous!$D$2:$AY$2&amp;LS_previous!$D$3:$AY$3, 0)),SUM(VLOOKUP($A63, LS_previous!$B$4:$AY$138, LS_previous!U$149, FALSE), VLOOKUP('Staging Table'!$A63, LS_previous!$B$4:$AY$138,LS_previous!AS$149, FALSE))/2)</f>
        <v>0</v>
      </c>
      <c r="AD63" s="192">
        <f t="array" ref="AD63">IF($G63=0, INDEX(LS_previous!$D$4:$AY$138, MATCH('Staging Table'!$A63, LS_previous!$B$4:$B$138, 0), MATCH(AD$4&amp;AD$5, LS_previous!$D$2:$AY$2&amp;LS_previous!$D$3:$AY$3, 0)),SUM(VLOOKUP($A63, LS_previous!$B$4:$AY$138, LS_previous!V$149, FALSE), VLOOKUP('Staging Table'!$A63, LS_previous!$B$4:$AY$138,LS_previous!AT$149, FALSE))/2)</f>
        <v>0</v>
      </c>
      <c r="AE63" s="192">
        <f t="array" ref="AE63">IF($G63=0, INDEX(LS_previous!$D$4:$AY$138, MATCH('Staging Table'!$A63, LS_previous!$B$4:$B$138, 0), MATCH(AE$4&amp;AE$5, LS_previous!$D$2:$AY$2&amp;LS_previous!$D$3:$AY$3, 0)),SUM(VLOOKUP($A63, LS_previous!$B$4:$AY$138, LS_previous!W$149, FALSE), VLOOKUP('Staging Table'!$A63, LS_previous!$B$4:$AY$138,LS_previous!AU$149, FALSE))/2)</f>
        <v>0</v>
      </c>
      <c r="AF63" s="192">
        <f t="array" ref="AF63">IF($G63=0, INDEX(LS_previous!$D$4:$AY$138, MATCH('Staging Table'!$A63, LS_previous!$B$4:$B$138, 0), MATCH(AF$4&amp;AF$5, LS_previous!$D$2:$AY$2&amp;LS_previous!$D$3:$AY$3, 0)),SUM(VLOOKUP($A63, LS_previous!$B$4:$AY$138, LS_previous!X$149, FALSE), VLOOKUP('Staging Table'!$A63, LS_previous!$B$4:$AY$138,LS_previous!AV$149, FALSE))/2)</f>
        <v>0</v>
      </c>
      <c r="AG63" s="192">
        <f t="array" ref="AG63">IF($G63=0, INDEX(LS_previous!$D$4:$AY$138, MATCH('Staging Table'!$A63, LS_previous!$B$4:$B$138, 0), MATCH(AG$4&amp;AG$5, LS_previous!$D$2:$AY$2&amp;LS_previous!$D$3:$AY$3, 0)),SUM(VLOOKUP($A63, LS_previous!$B$4:$AY$138, LS_previous!Y$149, FALSE), VLOOKUP('Staging Table'!$A63, LS_previous!$B$4:$AY$138,LS_previous!AW$149, FALSE))/2)</f>
        <v>0</v>
      </c>
      <c r="AH63" s="192">
        <f t="array" ref="AH63">IF($G63=0, INDEX(LS_previous!$D$4:$AY$138, MATCH('Staging Table'!$A63, LS_previous!$B$4:$B$138, 0), MATCH(AH$4&amp;AH$5, LS_previous!$D$2:$AY$2&amp;LS_previous!$D$3:$AY$3, 0)),SUM(VLOOKUP($A63, LS_previous!$B$4:$AY$138, LS_previous!Z$149, FALSE), VLOOKUP('Staging Table'!$A63, LS_previous!$B$4:$AY$138,LS_previous!AX$149, FALSE))/2)</f>
        <v>0</v>
      </c>
      <c r="AI63" s="192">
        <f t="array" ref="AI63">IF($G63=0, INDEX(LS_previous!$D$4:$AY$138, MATCH('Staging Table'!$A63, LS_previous!$B$4:$B$138, 0), MATCH(AI$4&amp;AI$5, LS_previous!$D$2:$AY$2&amp;LS_previous!$D$3:$AY$3, 0)),SUM(VLOOKUP($A63, LS_previous!$B$4:$AY$138, LS_previous!AA$149, FALSE), VLOOKUP('Staging Table'!$A63, LS_previous!$B$4:$AY$138,LS_previous!AY$149, FALSE))/2)</f>
        <v>0</v>
      </c>
      <c r="AJ63" s="314">
        <f t="array" ref="AJ63">INDEX(Demand_previous!$D$4:$AY$138, MATCH('Staging Table'!$A63, Demand_previous!$B$4:$B$138, 0), MATCH(AJ$4&amp;AJ$5,Demand_previous!$D$2:$AY$2&amp;Demand_previous!$D$3:$AY$3, 0))/1000</f>
        <v>0</v>
      </c>
      <c r="AK63" s="314">
        <f t="array" ref="AK63">INDEX(Demand_previous!$D$4:$AY$138, MATCH('Staging Table'!$A63, Demand_previous!$B$4:$B$138, 0), MATCH(AK$4&amp;AK$5,Demand_previous!$D$2:$AY$2&amp;Demand_previous!$D$3:$AY$3, 0))/1000</f>
        <v>0</v>
      </c>
      <c r="AL63" s="314">
        <f t="array" ref="AL63">INDEX(Demand_previous!$D$4:$AY$138, MATCH('Staging Table'!$A63, Demand_previous!$B$4:$B$138, 0), MATCH(AL$4&amp;AL$5,Demand_previous!$D$2:$AY$2&amp;Demand_previous!$D$3:$AY$3, 0))/1000</f>
        <v>0</v>
      </c>
      <c r="AM63" s="314">
        <f t="array" ref="AM63">INDEX(Demand_previous!$D$4:$AY$138, MATCH('Staging Table'!$A63, Demand_previous!$B$4:$B$138, 0), MATCH(AM$4&amp;AM$5,Demand_previous!$D$2:$AY$2&amp;Demand_previous!$D$3:$AY$3, 0))/1000</f>
        <v>0</v>
      </c>
      <c r="AN63" s="314">
        <f t="array" ref="AN63">INDEX(Demand_previous!$D$4:$AY$138, MATCH('Staging Table'!$A63, Demand_previous!$B$4:$B$138, 0), MATCH(AN$4&amp;AN$5,Demand_previous!$D$2:$AY$2&amp;Demand_previous!$D$3:$AY$3, 0))/1000</f>
        <v>0</v>
      </c>
      <c r="AO63" s="314">
        <f t="array" ref="AO63">INDEX(Demand_previous!$D$4:$AY$138, MATCH('Staging Table'!$A63, Demand_previous!$B$4:$B$138, 0), MATCH(AO$4&amp;AO$5,Demand_previous!$D$2:$AY$2&amp;Demand_previous!$D$3:$AY$3, 0))/1000</f>
        <v>0</v>
      </c>
      <c r="AP63" s="314">
        <f t="array" ref="AP63">INDEX(Demand_previous!$D$4:$AY$138, MATCH('Staging Table'!$A63, Demand_previous!$B$4:$B$138, 0), MATCH(AP$4&amp;AP$5,Demand_previous!$D$2:$AY$2&amp;Demand_previous!$D$3:$AY$3, 0))/1000</f>
        <v>0</v>
      </c>
      <c r="AQ63" s="314">
        <f t="array" ref="AQ63">INDEX(Demand_previous!$D$4:$AY$138, MATCH('Staging Table'!$A63, Demand_previous!$B$4:$B$138, 0), MATCH(AQ$4&amp;AQ$5,Demand_previous!$D$2:$AY$2&amp;Demand_previous!$D$3:$AY$3, 0))/1000</f>
        <v>0</v>
      </c>
      <c r="AR63" s="314">
        <f t="array" ref="AR63">INDEX(Demand_previous!$D$4:$AY$138, MATCH('Staging Table'!$A63, Demand_previous!$B$4:$B$138, 0), MATCH(AR$4&amp;AR$5,Demand_previous!$D$2:$AY$2&amp;Demand_previous!$D$3:$AY$3, 0))/1000</f>
        <v>0</v>
      </c>
      <c r="AS63" s="314">
        <f t="array" ref="AS63">INDEX(Demand_previous!$D$4:$AY$138, MATCH('Staging Table'!$A63, Demand_previous!$B$4:$B$138, 0), MATCH(AS$4&amp;AS$5,Demand_previous!$D$2:$AY$2&amp;Demand_previous!$D$3:$AY$3, 0))/1000</f>
        <v>0</v>
      </c>
      <c r="AT63" s="314">
        <f t="array" ref="AT63">INDEX(Demand_previous!$D$4:$AY$138, MATCH('Staging Table'!$A63, Demand_previous!$B$4:$B$138, 0), MATCH(AT$4&amp;AT$5,Demand_previous!$D$2:$AY$2&amp;Demand_previous!$D$3:$AY$3, 0))/1000</f>
        <v>0</v>
      </c>
      <c r="AU63" s="314">
        <f t="array" ref="AU63">INDEX(Demand_previous!$D$4:$AY$138, MATCH('Staging Table'!$A63, Demand_previous!$B$4:$B$138, 0), MATCH(AU$4&amp;AU$5,Demand_previous!$D$2:$AY$2&amp;Demand_previous!$D$3:$AY$3, 0))/1000</f>
        <v>0</v>
      </c>
      <c r="AV63" s="192">
        <f>$F63*(VLOOKUP(AV$4, Rates_previous!$G$6:$Q$29, 10, FALSE)+VLOOKUP(AV$4, Rates_previous!$G$6:$Q$29, 11, FALSE))</f>
        <v>21661.220161594796</v>
      </c>
      <c r="AW63" s="192">
        <f>$F63*(VLOOKUP(AW$4, Rates_previous!$G$6:$Q$29, 10, FALSE)+VLOOKUP(AW$4, Rates_previous!$G$6:$Q$29, 11, FALSE))</f>
        <v>27516.506954120698</v>
      </c>
      <c r="AX63" s="192">
        <f>$F63*(VLOOKUP(AX$4, Rates_previous!$G$6:$Q$29, 10, FALSE)+VLOOKUP(AX$4, Rates_previous!$G$6:$Q$29, 11, FALSE))</f>
        <v>27184.207899494802</v>
      </c>
      <c r="AY63" s="192">
        <f>$F63*(VLOOKUP(AY$4, Rates_previous!$G$6:$Q$29, 10, FALSE)+VLOOKUP(AY$4, Rates_previous!$G$6:$Q$29, 11, FALSE))</f>
        <v>22659.6929970948</v>
      </c>
      <c r="AZ63" s="192">
        <f>$F63*(VLOOKUP(AZ$4, Rates_previous!$G$6:$Q$29, 10, FALSE)+VLOOKUP(AZ$4, Rates_previous!$G$6:$Q$29, 11, FALSE))</f>
        <v>20527.331093839999</v>
      </c>
      <c r="BA63" s="192">
        <f>$F63*(VLOOKUP(BA$4, Rates_previous!$G$6:$Q$29, 10, FALSE)+VLOOKUP(BA$4, Rates_previous!$G$6:$Q$29, 11, FALSE))</f>
        <v>22832.913343248099</v>
      </c>
      <c r="BB63" s="192">
        <f>$F63*(VLOOKUP(BB$4, Rates_previous!$G$6:$Q$29, 10, FALSE)+VLOOKUP(BB$4, Rates_previous!$G$6:$Q$29, 11, FALSE))</f>
        <v>18590.582683223998</v>
      </c>
      <c r="BC63" s="192">
        <f>$F63*(VLOOKUP(BC$4, Rates_previous!$G$6:$Q$29, 10, FALSE)+VLOOKUP(BC$4, Rates_previous!$G$6:$Q$29, 11, FALSE))</f>
        <v>25072.172911244801</v>
      </c>
      <c r="BD63" s="192">
        <f>$F63*(VLOOKUP(BD$4, Rates_previous!$G$6:$Q$29, 10, FALSE)+VLOOKUP(BD$4, Rates_previous!$G$6:$Q$29, 11, FALSE))</f>
        <v>31990.387440574003</v>
      </c>
      <c r="BE63" s="192">
        <f>$F63*(VLOOKUP(BE$4, Rates_previous!$G$6:$Q$29, 10, FALSE)+VLOOKUP(BE$4, Rates_previous!$G$6:$Q$29, 11, FALSE))</f>
        <v>25081.478104794802</v>
      </c>
      <c r="BF63" s="192">
        <f>$F63*(VLOOKUP(BF$4, Rates_previous!$G$6:$Q$29, 10, FALSE)+VLOOKUP(BF$4, Rates_previous!$G$6:$Q$29, 11, FALSE))</f>
        <v>24424.365368144801</v>
      </c>
      <c r="BG63" s="192">
        <f>$F63*(VLOOKUP(BG$4, Rates_previous!$G$6:$Q$29, 10, FALSE)+VLOOKUP(BG$4, Rates_previous!$G$6:$Q$29, 11, FALSE))</f>
        <v>21927.884368524003</v>
      </c>
      <c r="BH63" s="314">
        <f>IF($D63=0,IF(C63=0, MAX(BJ63 - (VLOOKUP($A63,TOCA_previous!$A$2:$AI$137,MATCH("RHWM 2020",TOCA_previous!$A$2:$AI$2,0),FALSE)*$F$2*TOCA_previous!C60),0),0), 0)</f>
        <v>0</v>
      </c>
      <c r="BI63" s="204">
        <f>MIN(VLOOKUP($A63,TOCA_previous!$A$2:$AI$137,MATCH("TRL - NLSL - Existing Resource "&amp;$F$1,TOCA_previous!$A$2:$AI$2,0),FALSE)*$F$2,(VLOOKUP($A63,TOCA_previous!$A$2:$AI$137,MATCH("RHWM 2020",TOCA_previous!$A$2:$AI$2,0),FALSE)*$F$2))</f>
        <v>289467.93599999999</v>
      </c>
      <c r="BJ63" s="418">
        <f>SUM(L63:AI63)+(F63*RT1SC!$C$3*$F$2)</f>
        <v>289468.75419095036</v>
      </c>
      <c r="BK63" s="417">
        <f>VLOOKUP($A63,TOCA_previous!$A$2:$AI$137,MATCH("Above RHWM Not Served with LS "&amp;$F$1,TOCA_previous!$A$2:$AI$2,0),FALSE)*$F$2</f>
        <v>33080.544000000002</v>
      </c>
      <c r="BL63" s="418">
        <f t="shared" si="8"/>
        <v>0.81819095037644729</v>
      </c>
      <c r="BM63" s="417">
        <f>(VLOOKUP($A63,TOCA_previous!$A$2:$AI$137,MATCH("RHWM 2020",TOCA_previous!$A$2:$AI$2,0),FALSE)*$F$2) - $BI63</f>
        <v>0</v>
      </c>
      <c r="BN63" s="418">
        <f t="shared" si="9"/>
        <v>0</v>
      </c>
      <c r="BO63" s="417">
        <f t="shared" si="10"/>
        <v>0</v>
      </c>
      <c r="BP63" s="418">
        <f t="shared" si="11"/>
        <v>0</v>
      </c>
      <c r="BQ63" s="417">
        <f t="shared" si="18"/>
        <v>0</v>
      </c>
      <c r="BR63" s="120">
        <f>VLOOKUP($A63,TOCA_current!$A$2:$AI$137,MATCH(BR$4,TOCA_current!$A$2:$AI$2,0),FALSE)</f>
        <v>4.6914000000000001E-3</v>
      </c>
      <c r="BS63" s="120">
        <f>VLOOKUP($A63,TOCA_current!$A$2:$AI$137,MATCH(BS$4,TOCA_current!$A$2:$AI$2,0),FALSE)</f>
        <v>4.6914000000000001E-3</v>
      </c>
      <c r="BT63" s="201">
        <f t="shared" si="12"/>
        <v>0</v>
      </c>
      <c r="BU63" s="120">
        <f>VLOOKUP($A63,TOCA_current!A59:BG194,MATCH(BU$4,TOCA_current!$A$2:$BG$2,0),FALSE)</f>
        <v>8.4829288358700142E-2</v>
      </c>
      <c r="BV63" s="120">
        <f t="shared" si="19"/>
        <v>8.4829288358700142E-2</v>
      </c>
      <c r="BW63" s="120">
        <f t="shared" si="20"/>
        <v>4.6914000000000001E-3</v>
      </c>
      <c r="BX63" s="191">
        <f>VLOOKUP($A63,IRD!$A$4:$G$139, 7, FALSE)</f>
        <v>44309.995999999999</v>
      </c>
      <c r="BY63" s="192">
        <f t="array" ref="BY63">IF($BT63=0, INDEX(LS_current!$D$4:$AY$138, MATCH('Staging Table'!$A63, LS_current!$B$4:$B$138, 0), MATCH(BY$4&amp;BY$5, LS_current!$D$2:$AY$2&amp;LS_current!$D$3:$AY$3, 0)),SUM(VLOOKUP($A63, LS_current!$B$4:$AY$138, LS_current!D$148, FALSE), VLOOKUP($A63, LS_current!$B$4:$AY$138,LS_current!AB$148, FALSE))/2)</f>
        <v>0</v>
      </c>
      <c r="BZ63" s="192">
        <f t="array" ref="BZ63">IF($BT63=0, INDEX(LS_current!$D$4:$AY$138, MATCH('Staging Table'!$A63, LS_current!$B$4:$B$138, 0), MATCH(BZ$4&amp;BZ$5, LS_current!$D$2:$AY$2&amp;LS_current!$D$3:$AY$3, 0)),SUM(VLOOKUP($A63, LS_current!$B$4:$AY$138, LS_current!E$148, FALSE), VLOOKUP($A63, LS_current!$B$4:$AY$138,LS_current!AC$148, FALSE))/2)</f>
        <v>0</v>
      </c>
      <c r="CA63" s="192">
        <f t="array" ref="CA63">IF($BT63=0, INDEX(LS_current!$D$4:$AY$138, MATCH('Staging Table'!$A63, LS_current!$B$4:$B$138, 0), MATCH(CA$4&amp;CA$5, LS_current!$D$2:$AY$2&amp;LS_current!$D$3:$AY$3, 0)),SUM(VLOOKUP($A63, LS_current!$B$4:$AY$138, LS_current!F$148, FALSE), VLOOKUP($A63, LS_current!$B$4:$AY$138,LS_current!AD$148, FALSE))/2)</f>
        <v>0</v>
      </c>
      <c r="CB63" s="192">
        <f t="array" ref="CB63">IF($BT63=0, INDEX(LS_current!$D$4:$AY$138, MATCH('Staging Table'!$A63, LS_current!$B$4:$B$138, 0), MATCH(CB$4&amp;CB$5, LS_current!$D$2:$AY$2&amp;LS_current!$D$3:$AY$3, 0)),SUM(VLOOKUP($A63, LS_current!$B$4:$AY$138, LS_current!G$148, FALSE), VLOOKUP($A63, LS_current!$B$4:$AY$138,LS_current!AE$148, FALSE))/2)</f>
        <v>0</v>
      </c>
      <c r="CC63" s="192">
        <f t="array" ref="CC63">IF($BT63=0, INDEX(LS_current!$D$4:$AY$138, MATCH('Staging Table'!$A63, LS_current!$B$4:$B$138, 0), MATCH(CC$4&amp;CC$5, LS_current!$D$2:$AY$2&amp;LS_current!$D$3:$AY$3, 0)),SUM(VLOOKUP($A63, LS_current!$B$4:$AY$138, LS_current!H$148, FALSE), VLOOKUP($A63, LS_current!$B$4:$AY$138,LS_current!AF$148, FALSE))/2)</f>
        <v>0</v>
      </c>
      <c r="CD63" s="192">
        <f t="array" ref="CD63">IF($BT63=0, INDEX(LS_current!$D$4:$AY$138, MATCH('Staging Table'!$A63, LS_current!$B$4:$B$138, 0), MATCH(CD$4&amp;CD$5, LS_current!$D$2:$AY$2&amp;LS_current!$D$3:$AY$3, 0)),SUM(VLOOKUP($A63, LS_current!$B$4:$AY$138, LS_current!I$148, FALSE), VLOOKUP($A63, LS_current!$B$4:$AY$138,LS_current!AG$148, FALSE))/2)</f>
        <v>0</v>
      </c>
      <c r="CE63" s="192">
        <f t="array" ref="CE63">IF($BT63=0, INDEX(LS_current!$D$4:$AY$138, MATCH('Staging Table'!$A63, LS_current!$B$4:$B$138, 0), MATCH(CE$4&amp;CE$5, LS_current!$D$2:$AY$2&amp;LS_current!$D$3:$AY$3, 0)),SUM(VLOOKUP($A63, LS_current!$B$4:$AY$138, LS_current!J$148, FALSE), VLOOKUP($A63, LS_current!$B$4:$AY$138,LS_current!AH$148, FALSE))/2)</f>
        <v>0</v>
      </c>
      <c r="CF63" s="192">
        <f t="array" ref="CF63">IF($BT63=0, INDEX(LS_current!$D$4:$AY$138, MATCH('Staging Table'!$A63, LS_current!$B$4:$B$138, 0), MATCH(CF$4&amp;CF$5, LS_current!$D$2:$AY$2&amp;LS_current!$D$3:$AY$3, 0)),SUM(VLOOKUP($A63, LS_current!$B$4:$AY$138, LS_current!K$148, FALSE), VLOOKUP($A63, LS_current!$B$4:$AY$138,LS_current!AI$148, FALSE))/2)</f>
        <v>0</v>
      </c>
      <c r="CG63" s="192">
        <f t="array" ref="CG63">IF($BT63=0, INDEX(LS_current!$D$4:$AY$138, MATCH('Staging Table'!$A63, LS_current!$B$4:$B$138, 0), MATCH(CG$4&amp;CG$5, LS_current!$D$2:$AY$2&amp;LS_current!$D$3:$AY$3, 0)),SUM(VLOOKUP($A63, LS_current!$B$4:$AY$138, LS_current!L$148, FALSE), VLOOKUP($A63, LS_current!$B$4:$AY$138,LS_current!AJ$148, FALSE))/2)</f>
        <v>0</v>
      </c>
      <c r="CH63" s="192">
        <f t="array" ref="CH63">IF($BT63=0, INDEX(LS_current!$D$4:$AY$138, MATCH('Staging Table'!$A63, LS_current!$B$4:$B$138, 0), MATCH(CH$4&amp;CH$5, LS_current!$D$2:$AY$2&amp;LS_current!$D$3:$AY$3, 0)),SUM(VLOOKUP($A63, LS_current!$B$4:$AY$138, LS_current!M$148, FALSE), VLOOKUP($A63, LS_current!$B$4:$AY$138,LS_current!AK$148, FALSE))/2)</f>
        <v>0</v>
      </c>
      <c r="CI63" s="192">
        <f t="array" ref="CI63">IF($BT63=0, INDEX(LS_current!$D$4:$AY$138, MATCH('Staging Table'!$A63, LS_current!$B$4:$B$138, 0), MATCH(CI$4&amp;CI$5, LS_current!$D$2:$AY$2&amp;LS_current!$D$3:$AY$3, 0)),SUM(VLOOKUP($A63, LS_current!$B$4:$AY$138, LS_current!N$148, FALSE), VLOOKUP($A63, LS_current!$B$4:$AY$138,LS_current!AL$148, FALSE))/2)</f>
        <v>0</v>
      </c>
      <c r="CJ63" s="192">
        <f t="array" ref="CJ63">IF($BT63=0, INDEX(LS_current!$D$4:$AY$138, MATCH('Staging Table'!$A63, LS_current!$B$4:$B$138, 0), MATCH(CJ$4&amp;CJ$5, LS_current!$D$2:$AY$2&amp;LS_current!$D$3:$AY$3, 0)),SUM(VLOOKUP($A63, LS_current!$B$4:$AY$138, LS_current!O$148, FALSE), VLOOKUP($A63, LS_current!$B$4:$AY$138,LS_current!AM$148, FALSE))/2)</f>
        <v>0</v>
      </c>
      <c r="CK63" s="192">
        <f t="array" ref="CK63">IF($BT63=0, INDEX(LS_current!$D$4:$AY$138, MATCH('Staging Table'!$A63, LS_current!$B$4:$B$138, 0), MATCH(CK$4&amp;CK$5, LS_current!$D$2:$AY$2&amp;LS_current!$D$3:$AY$3, 0)),SUM(VLOOKUP($A63, LS_current!$B$4:$AY$138, LS_current!P$148, FALSE), VLOOKUP($A63, LS_current!$B$4:$AY$138,LS_current!AN$148, FALSE))/2)</f>
        <v>0</v>
      </c>
      <c r="CL63" s="192">
        <f t="array" ref="CL63">IF($BT63=0, INDEX(LS_current!$D$4:$AY$138, MATCH('Staging Table'!$A63, LS_current!$B$4:$B$138, 0), MATCH(CL$4&amp;CL$5, LS_current!$D$2:$AY$2&amp;LS_current!$D$3:$AY$3, 0)),SUM(VLOOKUP($A63, LS_current!$B$4:$AY$138, LS_current!Q$148, FALSE), VLOOKUP($A63, LS_current!$B$4:$AY$138,LS_current!AO$148, FALSE))/2)</f>
        <v>0</v>
      </c>
      <c r="CM63" s="192">
        <f t="array" ref="CM63">IF($BT63=0, INDEX(LS_current!$D$4:$AY$138, MATCH('Staging Table'!$A63, LS_current!$B$4:$B$138, 0), MATCH(CM$4&amp;CM$5, LS_current!$D$2:$AY$2&amp;LS_current!$D$3:$AY$3, 0)),SUM(VLOOKUP($A63, LS_current!$B$4:$AY$138, LS_current!R$148, FALSE), VLOOKUP($A63, LS_current!$B$4:$AY$138,LS_current!AP$148, FALSE))/2)</f>
        <v>0</v>
      </c>
      <c r="CN63" s="192">
        <f t="array" ref="CN63">IF($BT63=0, INDEX(LS_current!$D$4:$AY$138, MATCH('Staging Table'!$A63, LS_current!$B$4:$B$138, 0), MATCH(CN$4&amp;CN$5, LS_current!$D$2:$AY$2&amp;LS_current!$D$3:$AY$3, 0)),SUM(VLOOKUP($A63, LS_current!$B$4:$AY$138, LS_current!S$148, FALSE), VLOOKUP($A63, LS_current!$B$4:$AY$138,LS_current!AQ$148, FALSE))/2)</f>
        <v>0</v>
      </c>
      <c r="CO63" s="192">
        <f t="array" ref="CO63">IF($BT63=0, INDEX(LS_current!$D$4:$AY$138, MATCH('Staging Table'!$A63, LS_current!$B$4:$B$138, 0), MATCH(CO$4&amp;CO$5, LS_current!$D$2:$AY$2&amp;LS_current!$D$3:$AY$3, 0)),SUM(VLOOKUP($A63, LS_current!$B$4:$AY$138, LS_current!T$148, FALSE), VLOOKUP($A63, LS_current!$B$4:$AY$138,LS_current!AR$148, FALSE))/2)</f>
        <v>0</v>
      </c>
      <c r="CP63" s="192">
        <f t="array" ref="CP63">IF($BT63=0, INDEX(LS_current!$D$4:$AY$138, MATCH('Staging Table'!$A63, LS_current!$B$4:$B$138, 0), MATCH(CP$4&amp;CP$5, LS_current!$D$2:$AY$2&amp;LS_current!$D$3:$AY$3, 0)),SUM(VLOOKUP($A63, LS_current!$B$4:$AY$138, LS_current!U$148, FALSE), VLOOKUP($A63, LS_current!$B$4:$AY$138,LS_current!AS$148, FALSE))/2)</f>
        <v>0</v>
      </c>
      <c r="CQ63" s="192">
        <f t="array" ref="CQ63">IF($BT63=0, INDEX(LS_current!$D$4:$AY$138, MATCH('Staging Table'!$A63, LS_current!$B$4:$B$138, 0), MATCH(CQ$4&amp;CQ$5, LS_current!$D$2:$AY$2&amp;LS_current!$D$3:$AY$3, 0)),SUM(VLOOKUP($A63, LS_current!$B$4:$AY$138, LS_current!V$148, FALSE), VLOOKUP($A63, LS_current!$B$4:$AY$138,LS_current!AT$148, FALSE))/2)</f>
        <v>0</v>
      </c>
      <c r="CR63" s="192">
        <f t="array" ref="CR63">IF($BT63=0, INDEX(LS_current!$D$4:$AY$138, MATCH('Staging Table'!$A63, LS_current!$B$4:$B$138, 0), MATCH(CR$4&amp;CR$5, LS_current!$D$2:$AY$2&amp;LS_current!$D$3:$AY$3, 0)),SUM(VLOOKUP($A63, LS_current!$B$4:$AY$138, LS_current!W$148, FALSE), VLOOKUP($A63, LS_current!$B$4:$AY$138,LS_current!AU$148, FALSE))/2)</f>
        <v>0</v>
      </c>
      <c r="CS63" s="192">
        <f t="array" ref="CS63">IF($BT63=0, INDEX(LS_current!$D$4:$AY$138, MATCH('Staging Table'!$A63, LS_current!$B$4:$B$138, 0), MATCH(CS$4&amp;CS$5, LS_current!$D$2:$AY$2&amp;LS_current!$D$3:$AY$3, 0)),SUM(VLOOKUP($A63, LS_current!$B$4:$AY$138, LS_current!X$148, FALSE), VLOOKUP($A63, LS_current!$B$4:$AY$138,LS_current!AV$148, FALSE))/2)</f>
        <v>0</v>
      </c>
      <c r="CT63" s="192">
        <f t="array" ref="CT63">IF($BT63=0, INDEX(LS_current!$D$4:$AY$138, MATCH('Staging Table'!$A63, LS_current!$B$4:$B$138, 0), MATCH(CT$4&amp;CT$5, LS_current!$D$2:$AY$2&amp;LS_current!$D$3:$AY$3, 0)),SUM(VLOOKUP($A63, LS_current!$B$4:$AY$138, LS_current!Y$148, FALSE), VLOOKUP($A63, LS_current!$B$4:$AY$138,LS_current!AW$148, FALSE))/2)</f>
        <v>0</v>
      </c>
      <c r="CU63" s="192">
        <f t="array" ref="CU63">IF($BT63=0, INDEX(LS_current!$D$4:$AY$138, MATCH('Staging Table'!$A63, LS_current!$B$4:$B$138, 0), MATCH(CU$4&amp;CU$5, LS_current!$D$2:$AY$2&amp;LS_current!$D$3:$AY$3, 0)),SUM(VLOOKUP($A63, LS_current!$B$4:$AY$138, LS_current!Z$148, FALSE), VLOOKUP($A63, LS_current!$B$4:$AY$138,LS_current!AX$148, FALSE))/2)</f>
        <v>0</v>
      </c>
      <c r="CV63" s="192">
        <f t="array" ref="CV63">IF($BT63=0, INDEX(LS_current!$D$4:$AY$138, MATCH('Staging Table'!$A63, LS_current!$B$4:$B$138, 0), MATCH(CV$4&amp;CV$5, LS_current!$D$2:$AY$2&amp;LS_current!$D$3:$AY$3, 0)),SUM(VLOOKUP($A63, LS_current!$B$4:$AY$138, LS_current!AA$148, FALSE), VLOOKUP($A63, LS_current!$B$4:$AY$138,LS_current!AY$148, FALSE))/2)</f>
        <v>0</v>
      </c>
      <c r="CW63" s="194">
        <f t="array" ref="CW63">INDEX(Demand_current!$D$4:$AY$138, MATCH($A63, Demand_current!$B$4:$B$138, 0), MATCH(CW$4&amp;CW$5,Demand_current!$D$2:$AY$2&amp;Demand_current!$D$3:$AY$3, 0))/1000</f>
        <v>0</v>
      </c>
      <c r="CX63" s="194">
        <f t="array" ref="CX63">INDEX(Demand_current!$D$4:$AY$138, MATCH($A63, Demand_current!$B$4:$B$138, 0), MATCH(CX$4&amp;CX$5,Demand_current!$D$2:$AY$2&amp;Demand_current!$D$3:$AY$3, 0))/1000</f>
        <v>0</v>
      </c>
      <c r="CY63" s="194">
        <f t="array" ref="CY63">INDEX(Demand_current!$D$4:$AY$138, MATCH($A63, Demand_current!$B$4:$B$138, 0), MATCH(CY$4&amp;CY$5,Demand_current!$D$2:$AY$2&amp;Demand_current!$D$3:$AY$3, 0))/1000</f>
        <v>0</v>
      </c>
      <c r="CZ63" s="194">
        <f t="array" ref="CZ63">INDEX(Demand_current!$D$4:$AY$138, MATCH($A63, Demand_current!$B$4:$B$138, 0), MATCH(CZ$4&amp;CZ$5,Demand_current!$D$2:$AY$2&amp;Demand_current!$D$3:$AY$3, 0))/1000</f>
        <v>0</v>
      </c>
      <c r="DA63" s="194">
        <f t="array" ref="DA63">INDEX(Demand_current!$D$4:$AY$138, MATCH($A63, Demand_current!$B$4:$B$138, 0), MATCH(DA$4&amp;DA$5,Demand_current!$D$2:$AY$2&amp;Demand_current!$D$3:$AY$3, 0))/1000</f>
        <v>0</v>
      </c>
      <c r="DB63" s="194">
        <f t="array" ref="DB63">INDEX(Demand_current!$D$4:$AY$138, MATCH($A63, Demand_current!$B$4:$B$138, 0), MATCH(DB$4&amp;DB$5,Demand_current!$D$2:$AY$2&amp;Demand_current!$D$3:$AY$3, 0))/1000</f>
        <v>0</v>
      </c>
      <c r="DC63" s="194">
        <f t="array" ref="DC63">INDEX(Demand_current!$D$4:$AY$138, MATCH($A63, Demand_current!$B$4:$B$138, 0), MATCH(DC$4&amp;DC$5,Demand_current!$D$2:$AY$2&amp;Demand_current!$D$3:$AY$3, 0))/1000</f>
        <v>0</v>
      </c>
      <c r="DD63" s="194">
        <f t="array" ref="DD63">INDEX(Demand_current!$D$4:$AY$138, MATCH($A63, Demand_current!$B$4:$B$138, 0), MATCH(DD$4&amp;DD$5,Demand_current!$D$2:$AY$2&amp;Demand_current!$D$3:$AY$3, 0))/1000</f>
        <v>0</v>
      </c>
      <c r="DE63" s="194">
        <f t="array" ref="DE63">INDEX(Demand_current!$D$4:$AY$138, MATCH($A63, Demand_current!$B$4:$B$138, 0), MATCH(DE$4&amp;DE$5,Demand_current!$D$2:$AY$2&amp;Demand_current!$D$3:$AY$3, 0))/1000</f>
        <v>0</v>
      </c>
      <c r="DF63" s="194">
        <f t="array" ref="DF63">INDEX(Demand_current!$D$4:$AY$138, MATCH($A63, Demand_current!$B$4:$B$138, 0), MATCH(DF$4&amp;DF$5,Demand_current!$D$2:$AY$2&amp;Demand_current!$D$3:$AY$3, 0))/1000</f>
        <v>0</v>
      </c>
      <c r="DG63" s="194">
        <f t="array" ref="DG63">INDEX(Demand_current!$D$4:$AY$138, MATCH($A63, Demand_current!$B$4:$B$138, 0), MATCH(DG$4&amp;DG$5,Demand_current!$D$2:$AY$2&amp;Demand_current!$D$3:$AY$3, 0))/1000</f>
        <v>0</v>
      </c>
      <c r="DH63" s="194">
        <f t="array" ref="DH63">INDEX(Demand_current!$D$4:$AY$138, MATCH($A63, Demand_current!$B$4:$B$138, 0), MATCH(DH$4&amp;DH$5,Demand_current!$D$2:$AY$2&amp;Demand_current!$D$3:$AY$3, 0))/1000</f>
        <v>0</v>
      </c>
      <c r="DI63" s="192">
        <f>$BS63*(VLOOKUP(DI$4, Rates_current!$G$6:$Q$29, 10, FALSE)+VLOOKUP(DI$4, Rates_current!$G$6:$Q$29, 11, FALSE))</f>
        <v>21364.281027567537</v>
      </c>
      <c r="DJ63" s="192">
        <f>$BS63*(VLOOKUP(DJ$4, Rates_current!$G$6:$Q$29, 10, FALSE)+VLOOKUP(DJ$4, Rates_current!$G$6:$Q$29, 11, FALSE))</f>
        <v>27047.955144015756</v>
      </c>
      <c r="DK63" s="192">
        <f>$BS63*(VLOOKUP(DK$4, Rates_current!$G$6:$Q$29, 10, FALSE)+VLOOKUP(DK$4, Rates_current!$G$6:$Q$29, 11, FALSE))</f>
        <v>26474.544358532377</v>
      </c>
      <c r="DL63" s="192">
        <f>$BS63*(VLOOKUP(DL$4, Rates_current!$G$6:$Q$29, 10, FALSE)+VLOOKUP(DL$4, Rates_current!$G$6:$Q$29, 11, FALSE))</f>
        <v>21866.847814334538</v>
      </c>
      <c r="DM63" s="192">
        <f>$BS63*(VLOOKUP(DM$4, Rates_current!$G$6:$Q$29, 10, FALSE)+VLOOKUP(DM$4, Rates_current!$G$6:$Q$29, 11, FALSE))</f>
        <v>18952.476258316881</v>
      </c>
      <c r="DN63" s="192">
        <f>$BS63*(VLOOKUP(DN$4, Rates_current!$G$6:$Q$29, 10, FALSE)+VLOOKUP(DN$4, Rates_current!$G$6:$Q$29, 11, FALSE))</f>
        <v>22625.429403647337</v>
      </c>
      <c r="DO63" s="192">
        <f>$BS63*(VLOOKUP(DO$4, Rates_current!$G$6:$Q$29, 10, FALSE)+VLOOKUP(DO$4, Rates_current!$G$6:$Q$29, 11, FALSE))</f>
        <v>17565.633833417542</v>
      </c>
      <c r="DP63" s="192">
        <f>$BS63*(VLOOKUP(DP$4, Rates_current!$G$6:$Q$29, 10, FALSE)+VLOOKUP(DP$4, Rates_current!$G$6:$Q$29, 11, FALSE))</f>
        <v>24337.314941420522</v>
      </c>
      <c r="DQ63" s="192">
        <f>$BS63*(VLOOKUP(DQ$4, Rates_current!$G$6:$Q$29, 10, FALSE)+VLOOKUP(DQ$4, Rates_current!$G$6:$Q$29, 11, FALSE))</f>
        <v>26004.930617627135</v>
      </c>
      <c r="DR63" s="192">
        <f>$BS63*(VLOOKUP(DR$4, Rates_current!$G$6:$Q$29, 10, FALSE)+VLOOKUP(DR$4, Rates_current!$G$6:$Q$29, 11, FALSE))</f>
        <v>24690.504076603713</v>
      </c>
      <c r="DS63" s="192">
        <f>$BS63*(VLOOKUP(DS$4, Rates_current!$G$6:$Q$29, 10, FALSE)+VLOOKUP(DS$4, Rates_current!$G$6:$Q$29, 11, FALSE))</f>
        <v>23861.467416753156</v>
      </c>
      <c r="DT63" s="192">
        <f>$BS63*(VLOOKUP(DT$4, Rates_current!$G$6:$Q$29, 10, FALSE)+VLOOKUP(DT$4, Rates_current!$G$6:$Q$29, 11, FALSE))</f>
        <v>22050.483352480085</v>
      </c>
      <c r="DU63" s="418">
        <f>IF(D63=0,IF(C63=0,MAX(0,DW63 - (VLOOKUP($A63,TOCA_current!$A$2:$AI$137,MATCH("RHWM 2022",TOCA_current!$A$2:$AI$2,0),FALSE)*$BS$2)), 0),0)</f>
        <v>0</v>
      </c>
      <c r="DV63" s="419">
        <f>MIN(VLOOKUP($A63,TOCA_current!$A$2:$AI$137,MATCH("TRL - NLSL - Existing Resource "&amp;$BS$1,TOCA_current!$A$2:$AI$2,0),FALSE)*$BS$2, VLOOKUP($A63,TOCA_current!$A$2:$AI$137,MATCH("RHWM 2022",TOCA_current!$A$2:$AI$2,0),FALSE)*$BS$2)</f>
        <v>276842.28000000003</v>
      </c>
      <c r="DW63" s="419">
        <f>SUM(BY63:CV63)+(BS63*RT1SC!$C$4*$BS$2)</f>
        <v>276841.88240637601</v>
      </c>
      <c r="DX63" s="419">
        <f>VLOOKUP($A63,TOCA_current!$A$2:$AI$137,MATCH("Above RHWM Not Served with LS "&amp;$BS$1,TOCA_current!$A$2:$AI$2,0),FALSE)*$BS$2</f>
        <v>58648.200000000004</v>
      </c>
      <c r="DY63" s="419">
        <f t="shared" si="13"/>
        <v>-0.3975936240167357</v>
      </c>
      <c r="DZ63" s="419">
        <f>(VLOOKUP($A63,TOCA_current!$A$2:$AI$137,MATCH("RHWM 2022",TOCA_current!$A$2:$AI$2,0),FALSE)*$BS$2) - $DV63</f>
        <v>0</v>
      </c>
      <c r="EA63" s="419">
        <f t="shared" si="14"/>
        <v>0</v>
      </c>
      <c r="EB63" s="419">
        <f t="shared" si="15"/>
        <v>0</v>
      </c>
      <c r="EC63" s="419">
        <f t="shared" si="16"/>
        <v>0</v>
      </c>
      <c r="ED63" s="419">
        <f t="shared" si="17"/>
        <v>0</v>
      </c>
    </row>
    <row r="64" spans="1:134">
      <c r="A64" s="135">
        <v>10174</v>
      </c>
      <c r="B64" s="136" t="s">
        <v>65</v>
      </c>
      <c r="C64" s="244">
        <f>VLOOKUP(A64, TOCA_current!$A$3:$D$137, 4, FALSE)</f>
        <v>0</v>
      </c>
      <c r="D64" s="203">
        <v>0</v>
      </c>
      <c r="E64" s="119">
        <f>VLOOKUP($A64,TOCA_previous!$A$2:$AI$137,MATCH(E$4,TOCA_previous!$A$2:$AI$2,0),FALSE)</f>
        <v>7.08E-5</v>
      </c>
      <c r="F64" s="120">
        <f>VLOOKUP($A64,TOCA_previous!$A$2:$AI$137,MATCH(F$4,TOCA_previous!$A$2:$AI$2,0),FALSE)</f>
        <v>7.08E-5</v>
      </c>
      <c r="G64" s="120">
        <f t="shared" si="5"/>
        <v>0</v>
      </c>
      <c r="H64" s="120">
        <f>VLOOKUP($A64,TOCA_previous!$A$2:$AI$137,MATCH(H$4,TOCA_previous!$A$2:$AI$2,0),FALSE)</f>
        <v>0</v>
      </c>
      <c r="I64" s="120">
        <f t="shared" si="6"/>
        <v>0</v>
      </c>
      <c r="J64" s="120">
        <f t="shared" si="7"/>
        <v>0</v>
      </c>
      <c r="K64" s="191">
        <f>VLOOKUP(A64, IRD!$A$5:$C$139, 3, FALSE)</f>
        <v>0</v>
      </c>
      <c r="L64" s="192">
        <f t="array" ref="L64">IF($G64=0, INDEX(LS_previous!$D$4:$AY$138, MATCH('Staging Table'!$A64, LS_previous!$B$4:$B$138, 0), MATCH(L$4&amp;L$5, LS_previous!$D$2:$AY$2&amp;LS_previous!$D$3:$AY$3, 0)),SUM(VLOOKUP($A64, LS_previous!$B$4:$AY$138, LS_previous!D$149, FALSE), VLOOKUP('Staging Table'!$A64, LS_previous!$B$4:$AY$138,LS_previous!AB$149, FALSE))/2)</f>
        <v>-35.484829470400001</v>
      </c>
      <c r="M64" s="192">
        <f t="array" ref="M64">IF($G64=0, INDEX(LS_previous!$D$4:$AY$138, MATCH('Staging Table'!$A64, LS_previous!$B$4:$B$138, 0), MATCH(M$4&amp;M$5, LS_previous!$D$2:$AY$2&amp;LS_previous!$D$3:$AY$3, 0)),SUM(VLOOKUP($A64, LS_previous!$B$4:$AY$138, LS_previous!E$149, FALSE), VLOOKUP('Staging Table'!$A64, LS_previous!$B$4:$AY$138,LS_previous!AC$149, FALSE))/2)</f>
        <v>19.822771993600014</v>
      </c>
      <c r="N64" s="192">
        <f t="array" ref="N64">IF($G64=0, INDEX(LS_previous!$D$4:$AY$138, MATCH('Staging Table'!$A64, LS_previous!$B$4:$B$138, 0), MATCH(N$4&amp;N$5, LS_previous!$D$2:$AY$2&amp;LS_previous!$D$3:$AY$3, 0)),SUM(VLOOKUP($A64, LS_previous!$B$4:$AY$138, LS_previous!F$149, FALSE), VLOOKUP('Staging Table'!$A64, LS_previous!$B$4:$AY$138,LS_previous!AD$149, FALSE))/2)</f>
        <v>-59.854620982400036</v>
      </c>
      <c r="O64" s="192">
        <f t="array" ref="O64">IF($G64=0, INDEX(LS_previous!$D$4:$AY$138, MATCH('Staging Table'!$A64, LS_previous!$B$4:$B$138, 0), MATCH(O$4&amp;O$5, LS_previous!$D$2:$AY$2&amp;LS_previous!$D$3:$AY$3, 0)),SUM(VLOOKUP($A64, LS_previous!$B$4:$AY$138, LS_previous!G$149, FALSE), VLOOKUP('Staging Table'!$A64, LS_previous!$B$4:$AY$138,LS_previous!AE$149, FALSE))/2)</f>
        <v>-0.26805233880000401</v>
      </c>
      <c r="P64" s="192">
        <f t="array" ref="P64">IF($G64=0, INDEX(LS_previous!$D$4:$AY$138, MATCH('Staging Table'!$A64, LS_previous!$B$4:$B$138, 0), MATCH(P$4&amp;P$5, LS_previous!$D$2:$AY$2&amp;LS_previous!$D$3:$AY$3, 0)),SUM(VLOOKUP($A64, LS_previous!$B$4:$AY$138, LS_previous!H$149, FALSE), VLOOKUP('Staging Table'!$A64, LS_previous!$B$4:$AY$138,LS_previous!AF$149, FALSE))/2)</f>
        <v>45.557267622399962</v>
      </c>
      <c r="Q64" s="192">
        <f t="array" ref="Q64">IF($G64=0, INDEX(LS_previous!$D$4:$AY$138, MATCH('Staging Table'!$A64, LS_previous!$B$4:$B$138, 0), MATCH(Q$4&amp;Q$5, LS_previous!$D$2:$AY$2&amp;LS_previous!$D$3:$AY$3, 0)),SUM(VLOOKUP($A64, LS_previous!$B$4:$AY$138, LS_previous!I$149, FALSE), VLOOKUP('Staging Table'!$A64, LS_previous!$B$4:$AY$138,LS_previous!AG$149, FALSE))/2)</f>
        <v>75.097038500799982</v>
      </c>
      <c r="R64" s="192">
        <f t="array" ref="R64">IF($G64=0, INDEX(LS_previous!$D$4:$AY$138, MATCH('Staging Table'!$A64, LS_previous!$B$4:$B$138, 0), MATCH(R$4&amp;R$5, LS_previous!$D$2:$AY$2&amp;LS_previous!$D$3:$AY$3, 0)),SUM(VLOOKUP($A64, LS_previous!$B$4:$AY$138, LS_previous!J$149, FALSE), VLOOKUP('Staging Table'!$A64, LS_previous!$B$4:$AY$138,LS_previous!AH$149, FALSE))/2)</f>
        <v>71.800888422400021</v>
      </c>
      <c r="S64" s="192">
        <f t="array" ref="S64">IF($G64=0, INDEX(LS_previous!$D$4:$AY$138, MATCH('Staging Table'!$A64, LS_previous!$B$4:$B$138, 0), MATCH(S$4&amp;S$5, LS_previous!$D$2:$AY$2&amp;LS_previous!$D$3:$AY$3, 0)),SUM(VLOOKUP($A64, LS_previous!$B$4:$AY$138, LS_previous!K$149, FALSE), VLOOKUP('Staging Table'!$A64, LS_previous!$B$4:$AY$138,LS_previous!AI$149, FALSE))/2)</f>
        <v>119.6113361008</v>
      </c>
      <c r="T64" s="192">
        <f t="array" ref="T64">IF($G64=0, INDEX(LS_previous!$D$4:$AY$138, MATCH('Staging Table'!$A64, LS_previous!$B$4:$B$138, 0), MATCH(T$4&amp;T$5, LS_previous!$D$2:$AY$2&amp;LS_previous!$D$3:$AY$3, 0)),SUM(VLOOKUP($A64, LS_previous!$B$4:$AY$138, LS_previous!L$149, FALSE), VLOOKUP('Staging Table'!$A64, LS_previous!$B$4:$AY$138,LS_previous!AJ$149, FALSE))/2)</f>
        <v>40.994723620800016</v>
      </c>
      <c r="U64" s="192">
        <f t="array" ref="U64">IF($G64=0, INDEX(LS_previous!$D$4:$AY$138, MATCH('Staging Table'!$A64, LS_previous!$B$4:$B$138, 0), MATCH(U$4&amp;U$5, LS_previous!$D$2:$AY$2&amp;LS_previous!$D$3:$AY$3, 0)),SUM(VLOOKUP($A64, LS_previous!$B$4:$AY$138, LS_previous!M$149, FALSE), VLOOKUP('Staging Table'!$A64, LS_previous!$B$4:$AY$138,LS_previous!AK$149, FALSE))/2)</f>
        <v>61.149606939199998</v>
      </c>
      <c r="V64" s="192">
        <f t="array" ref="V64">IF($G64=0, INDEX(LS_previous!$D$4:$AY$138, MATCH('Staging Table'!$A64, LS_previous!$B$4:$B$138, 0), MATCH(V$4&amp;V$5, LS_previous!$D$2:$AY$2&amp;LS_previous!$D$3:$AY$3, 0)),SUM(VLOOKUP($A64, LS_previous!$B$4:$AY$138, LS_previous!N$149, FALSE), VLOOKUP('Staging Table'!$A64, LS_previous!$B$4:$AY$138,LS_previous!AL$149, FALSE))/2)</f>
        <v>-1.7912421727999686</v>
      </c>
      <c r="W64" s="192">
        <f t="array" ref="W64">IF($G64=0, INDEX(LS_previous!$D$4:$AY$138, MATCH('Staging Table'!$A64, LS_previous!$B$4:$B$138, 0), MATCH(W$4&amp;W$5, LS_previous!$D$2:$AY$2&amp;LS_previous!$D$3:$AY$3, 0)),SUM(VLOOKUP($A64, LS_previous!$B$4:$AY$138, LS_previous!O$149, FALSE), VLOOKUP('Staging Table'!$A64, LS_previous!$B$4:$AY$138,LS_previous!AM$149, FALSE))/2)</f>
        <v>32.531265833199996</v>
      </c>
      <c r="X64" s="192">
        <f t="array" ref="X64">IF($G64=0, INDEX(LS_previous!$D$4:$AY$138, MATCH('Staging Table'!$A64, LS_previous!$B$4:$B$138, 0), MATCH(X$4&amp;X$5, LS_previous!$D$2:$AY$2&amp;LS_previous!$D$3:$AY$3, 0)),SUM(VLOOKUP($A64, LS_previous!$B$4:$AY$138, LS_previous!P$149, FALSE), VLOOKUP('Staging Table'!$A64, LS_previous!$B$4:$AY$138,LS_previous!AN$149, FALSE))/2)</f>
        <v>4.5542001247999906</v>
      </c>
      <c r="Y64" s="192">
        <f t="array" ref="Y64">IF($G64=0, INDEX(LS_previous!$D$4:$AY$138, MATCH('Staging Table'!$A64, LS_previous!$B$4:$B$138, 0), MATCH(Y$4&amp;Y$5, LS_previous!$D$2:$AY$2&amp;LS_previous!$D$3:$AY$3, 0)),SUM(VLOOKUP($A64, LS_previous!$B$4:$AY$138, LS_previous!Q$149, FALSE), VLOOKUP('Staging Table'!$A64, LS_previous!$B$4:$AY$138,LS_previous!AO$149, FALSE))/2)</f>
        <v>24.8270834912</v>
      </c>
      <c r="Z64" s="192">
        <f t="array" ref="Z64">IF($G64=0, INDEX(LS_previous!$D$4:$AY$138, MATCH('Staging Table'!$A64, LS_previous!$B$4:$B$138, 0), MATCH(Z$4&amp;Z$5, LS_previous!$D$2:$AY$2&amp;LS_previous!$D$3:$AY$3, 0)),SUM(VLOOKUP($A64, LS_previous!$B$4:$AY$138, LS_previous!R$149, FALSE), VLOOKUP('Staging Table'!$A64, LS_previous!$B$4:$AY$138,LS_previous!AP$149, FALSE))/2)</f>
        <v>-84.710566679999999</v>
      </c>
      <c r="AA64" s="192">
        <f t="array" ref="AA64">IF($G64=0, INDEX(LS_previous!$D$4:$AY$138, MATCH('Staging Table'!$A64, LS_previous!$B$4:$B$138, 0), MATCH(AA$4&amp;AA$5, LS_previous!$D$2:$AY$2&amp;LS_previous!$D$3:$AY$3, 0)),SUM(VLOOKUP($A64, LS_previous!$B$4:$AY$138, LS_previous!S$149, FALSE), VLOOKUP('Staging Table'!$A64, LS_previous!$B$4:$AY$138,LS_previous!AQ$149, FALSE))/2)</f>
        <v>-8.5587901967999898</v>
      </c>
      <c r="AB64" s="192">
        <f t="array" ref="AB64">IF($G64=0, INDEX(LS_previous!$D$4:$AY$138, MATCH('Staging Table'!$A64, LS_previous!$B$4:$B$138, 0), MATCH(AB$4&amp;AB$5, LS_previous!$D$2:$AY$2&amp;LS_previous!$D$3:$AY$3, 0)),SUM(VLOOKUP($A64, LS_previous!$B$4:$AY$138, LS_previous!T$149, FALSE), VLOOKUP('Staging Table'!$A64, LS_previous!$B$4:$AY$138,LS_previous!AR$149, FALSE))/2)</f>
        <v>-122.66506367519997</v>
      </c>
      <c r="AC64" s="192">
        <f t="array" ref="AC64">IF($G64=0, INDEX(LS_previous!$D$4:$AY$138, MATCH('Staging Table'!$A64, LS_previous!$B$4:$B$138, 0), MATCH(AC$4&amp;AC$5, LS_previous!$D$2:$AY$2&amp;LS_previous!$D$3:$AY$3, 0)),SUM(VLOOKUP($A64, LS_previous!$B$4:$AY$138, LS_previous!U$149, FALSE), VLOOKUP('Staging Table'!$A64, LS_previous!$B$4:$AY$138,LS_previous!AS$149, FALSE))/2)</f>
        <v>-53.352365308800017</v>
      </c>
      <c r="AD64" s="192">
        <f t="array" ref="AD64">IF($G64=0, INDEX(LS_previous!$D$4:$AY$138, MATCH('Staging Table'!$A64, LS_previous!$B$4:$B$138, 0), MATCH(AD$4&amp;AD$5, LS_previous!$D$2:$AY$2&amp;LS_previous!$D$3:$AY$3, 0)),SUM(VLOOKUP($A64, LS_previous!$B$4:$AY$138, LS_previous!V$149, FALSE), VLOOKUP('Staging Table'!$A64, LS_previous!$B$4:$AY$138,LS_previous!AT$149, FALSE))/2)</f>
        <v>-65.354177675199992</v>
      </c>
      <c r="AE64" s="192">
        <f t="array" ref="AE64">IF($G64=0, INDEX(LS_previous!$D$4:$AY$138, MATCH('Staging Table'!$A64, LS_previous!$B$4:$B$138, 0), MATCH(AE$4&amp;AE$5, LS_previous!$D$2:$AY$2&amp;LS_previous!$D$3:$AY$3, 0)),SUM(VLOOKUP($A64, LS_previous!$B$4:$AY$138, LS_previous!W$149, FALSE), VLOOKUP('Staging Table'!$A64, LS_previous!$B$4:$AY$138,LS_previous!AU$149, FALSE))/2)</f>
        <v>18.055388998400005</v>
      </c>
      <c r="AF64" s="192">
        <f t="array" ref="AF64">IF($G64=0, INDEX(LS_previous!$D$4:$AY$138, MATCH('Staging Table'!$A64, LS_previous!$B$4:$B$138, 0), MATCH(AF$4&amp;AF$5, LS_previous!$D$2:$AY$2&amp;LS_previous!$D$3:$AY$3, 0)),SUM(VLOOKUP($A64, LS_previous!$B$4:$AY$138, LS_previous!X$149, FALSE), VLOOKUP('Staging Table'!$A64, LS_previous!$B$4:$AY$138,LS_previous!AV$149, FALSE))/2)</f>
        <v>-59.35960227519999</v>
      </c>
      <c r="AG64" s="192">
        <f t="array" ref="AG64">IF($G64=0, INDEX(LS_previous!$D$4:$AY$138, MATCH('Staging Table'!$A64, LS_previous!$B$4:$B$138, 0), MATCH(AG$4&amp;AG$5, LS_previous!$D$2:$AY$2&amp;LS_previous!$D$3:$AY$3, 0)),SUM(VLOOKUP($A64, LS_previous!$B$4:$AY$138, LS_previous!Y$149, FALSE), VLOOKUP('Staging Table'!$A64, LS_previous!$B$4:$AY$138,LS_previous!AW$149, FALSE))/2)</f>
        <v>-5.9151950016000114</v>
      </c>
      <c r="AH64" s="192">
        <f t="array" ref="AH64">IF($G64=0, INDEX(LS_previous!$D$4:$AY$138, MATCH('Staging Table'!$A64, LS_previous!$B$4:$B$138, 0), MATCH(AH$4&amp;AH$5, LS_previous!$D$2:$AY$2&amp;LS_previous!$D$3:$AY$3, 0)),SUM(VLOOKUP($A64, LS_previous!$B$4:$AY$138, LS_previous!Z$149, FALSE), VLOOKUP('Staging Table'!$A64, LS_previous!$B$4:$AY$138,LS_previous!AX$149, FALSE))/2)</f>
        <v>-56.817700480000013</v>
      </c>
      <c r="AI64" s="192">
        <f t="array" ref="AI64">IF($G64=0, INDEX(LS_previous!$D$4:$AY$138, MATCH('Staging Table'!$A64, LS_previous!$B$4:$B$138, 0), MATCH(AI$4&amp;AI$5, LS_previous!$D$2:$AY$2&amp;LS_previous!$D$3:$AY$3, 0)),SUM(VLOOKUP($A64, LS_previous!$B$4:$AY$138, LS_previous!AA$149, FALSE), VLOOKUP('Staging Table'!$A64, LS_previous!$B$4:$AY$138,LS_previous!AY$149, FALSE))/2)</f>
        <v>-13.06279070399998</v>
      </c>
      <c r="AJ64" s="314">
        <f t="array" ref="AJ64">INDEX(Demand_previous!$D$4:$AY$138, MATCH('Staging Table'!$A64, Demand_previous!$B$4:$B$138, 0), MATCH(AJ$4&amp;AJ$5,Demand_previous!$D$2:$AY$2&amp;Demand_previous!$D$3:$AY$3, 0))/1000</f>
        <v>0.10398842592592591</v>
      </c>
      <c r="AK64" s="314">
        <f t="array" ref="AK64">INDEX(Demand_previous!$D$4:$AY$138, MATCH('Staging Table'!$A64, Demand_previous!$B$4:$B$138, 0), MATCH(AK$4&amp;AK$5,Demand_previous!$D$2:$AY$2&amp;Demand_previous!$D$3:$AY$3, 0))/1000</f>
        <v>0</v>
      </c>
      <c r="AL64" s="314">
        <f t="array" ref="AL64">INDEX(Demand_previous!$D$4:$AY$138, MATCH('Staging Table'!$A64, Demand_previous!$B$4:$B$138, 0), MATCH(AL$4&amp;AL$5,Demand_previous!$D$2:$AY$2&amp;Demand_previous!$D$3:$AY$3, 0))/1000</f>
        <v>0.15118000000000004</v>
      </c>
      <c r="AM64" s="314">
        <f t="array" ref="AM64">INDEX(Demand_previous!$D$4:$AY$138, MATCH('Staging Table'!$A64, Demand_previous!$B$4:$B$138, 0), MATCH(AM$4&amp;AM$5,Demand_previous!$D$2:$AY$2&amp;Demand_previous!$D$3:$AY$3, 0))/1000</f>
        <v>0.20476923076923076</v>
      </c>
      <c r="AN64" s="314">
        <f t="array" ref="AN64">INDEX(Demand_previous!$D$4:$AY$138, MATCH('Staging Table'!$A64, Demand_previous!$B$4:$B$138, 0), MATCH(AN$4&amp;AN$5,Demand_previous!$D$2:$AY$2&amp;Demand_previous!$D$3:$AY$3, 0))/1000</f>
        <v>8.2887500000000086E-2</v>
      </c>
      <c r="AO64" s="314">
        <f t="array" ref="AO64">INDEX(Demand_previous!$D$4:$AY$138, MATCH('Staging Table'!$A64, Demand_previous!$B$4:$B$138, 0), MATCH(AO$4&amp;AO$5,Demand_previous!$D$2:$AY$2&amp;Demand_previous!$D$3:$AY$3, 0))/1000</f>
        <v>7.262980769230773E-2</v>
      </c>
      <c r="AP64" s="314">
        <f t="array" ref="AP64">INDEX(Demand_previous!$D$4:$AY$138, MATCH('Staging Table'!$A64, Demand_previous!$B$4:$B$138, 0), MATCH(AP$4&amp;AP$5,Demand_previous!$D$2:$AY$2&amp;Demand_previous!$D$3:$AY$3, 0))/1000</f>
        <v>4.166346153846151E-2</v>
      </c>
      <c r="AQ64" s="314">
        <f t="array" ref="AQ64">INDEX(Demand_previous!$D$4:$AY$138, MATCH('Staging Table'!$A64, Demand_previous!$B$4:$B$138, 0), MATCH(AQ$4&amp;AQ$5,Demand_previous!$D$2:$AY$2&amp;Demand_previous!$D$3:$AY$3, 0))/1000</f>
        <v>5.6924999999999948E-2</v>
      </c>
      <c r="AR64" s="314">
        <f t="array" ref="AR64">INDEX(Demand_previous!$D$4:$AY$138, MATCH('Staging Table'!$A64, Demand_previous!$B$4:$B$138, 0), MATCH(AR$4&amp;AR$5,Demand_previous!$D$2:$AY$2&amp;Demand_previous!$D$3:$AY$3, 0))/1000</f>
        <v>8.4663461538461535E-2</v>
      </c>
      <c r="AS64" s="314">
        <f t="array" ref="AS64">INDEX(Demand_previous!$D$4:$AY$138, MATCH('Staging Table'!$A64, Demand_previous!$B$4:$B$138, 0), MATCH(AS$4&amp;AS$5,Demand_previous!$D$2:$AY$2&amp;Demand_previous!$D$3:$AY$3, 0))/1000</f>
        <v>8.3740384615384675E-2</v>
      </c>
      <c r="AT64" s="314">
        <f t="array" ref="AT64">INDEX(Demand_previous!$D$4:$AY$138, MATCH('Staging Table'!$A64, Demand_previous!$B$4:$B$138, 0), MATCH(AT$4&amp;AT$5,Demand_previous!$D$2:$AY$2&amp;Demand_previous!$D$3:$AY$3, 0))/1000</f>
        <v>2.3485576923076901E-2</v>
      </c>
      <c r="AU64" s="314">
        <f t="array" ref="AU64">INDEX(Demand_previous!$D$4:$AY$138, MATCH('Staging Table'!$A64, Demand_previous!$B$4:$B$138, 0), MATCH(AU$4&amp;AU$5,Demand_previous!$D$2:$AY$2&amp;Demand_previous!$D$3:$AY$3, 0))/1000</f>
        <v>1.0215000000000057E-2</v>
      </c>
      <c r="AV64" s="192">
        <f>$F64*(VLOOKUP(AV$4, Rates_previous!$G$6:$Q$29, 10, FALSE)+VLOOKUP(AV$4, Rates_previous!$G$6:$Q$29, 11, FALSE))</f>
        <v>326.90605747679996</v>
      </c>
      <c r="AW64" s="192">
        <f>$F64*(VLOOKUP(AW$4, Rates_previous!$G$6:$Q$29, 10, FALSE)+VLOOKUP(AW$4, Rates_previous!$G$6:$Q$29, 11, FALSE))</f>
        <v>415.27267332119999</v>
      </c>
      <c r="AX64" s="192">
        <f>$F64*(VLOOKUP(AX$4, Rates_previous!$G$6:$Q$29, 10, FALSE)+VLOOKUP(AX$4, Rates_previous!$G$6:$Q$29, 11, FALSE))</f>
        <v>410.25769387680003</v>
      </c>
      <c r="AY64" s="192">
        <f>$F64*(VLOOKUP(AY$4, Rates_previous!$G$6:$Q$29, 10, FALSE)+VLOOKUP(AY$4, Rates_previous!$G$6:$Q$29, 11, FALSE))</f>
        <v>341.9747754768</v>
      </c>
      <c r="AZ64" s="192">
        <f>$F64*(VLOOKUP(AZ$4, Rates_previous!$G$6:$Q$29, 10, FALSE)+VLOOKUP(AZ$4, Rates_previous!$G$6:$Q$29, 11, FALSE))</f>
        <v>309.79366943999997</v>
      </c>
      <c r="BA64" s="192">
        <f>$F64*(VLOOKUP(BA$4, Rates_previous!$G$6:$Q$29, 10, FALSE)+VLOOKUP(BA$4, Rates_previous!$G$6:$Q$29, 11, FALSE))</f>
        <v>344.58897633959998</v>
      </c>
      <c r="BB64" s="192">
        <f>$F64*(VLOOKUP(BB$4, Rates_previous!$G$6:$Q$29, 10, FALSE)+VLOOKUP(BB$4, Rates_previous!$G$6:$Q$29, 11, FALSE))</f>
        <v>280.56471638400001</v>
      </c>
      <c r="BC64" s="192">
        <f>$F64*(VLOOKUP(BC$4, Rates_previous!$G$6:$Q$29, 10, FALSE)+VLOOKUP(BC$4, Rates_previous!$G$6:$Q$29, 11, FALSE))</f>
        <v>378.38335687680001</v>
      </c>
      <c r="BD64" s="192">
        <f>$F64*(VLOOKUP(BD$4, Rates_previous!$G$6:$Q$29, 10, FALSE)+VLOOKUP(BD$4, Rates_previous!$G$6:$Q$29, 11, FALSE))</f>
        <v>482.79142898400005</v>
      </c>
      <c r="BE64" s="192">
        <f>$F64*(VLOOKUP(BE$4, Rates_previous!$G$6:$Q$29, 10, FALSE)+VLOOKUP(BE$4, Rates_previous!$G$6:$Q$29, 11, FALSE))</f>
        <v>378.52378867680005</v>
      </c>
      <c r="BF64" s="192">
        <f>$F64*(VLOOKUP(BF$4, Rates_previous!$G$6:$Q$29, 10, FALSE)+VLOOKUP(BF$4, Rates_previous!$G$6:$Q$29, 11, FALSE))</f>
        <v>368.60679727680002</v>
      </c>
      <c r="BG64" s="192">
        <f>$F64*(VLOOKUP(BG$4, Rates_previous!$G$6:$Q$29, 10, FALSE)+VLOOKUP(BG$4, Rates_previous!$G$6:$Q$29, 11, FALSE))</f>
        <v>330.930491184</v>
      </c>
      <c r="BH64" s="314">
        <f>IF($D64=0,IF(C64=0, MAX(BJ64 - (VLOOKUP($A64,TOCA_previous!$A$2:$AI$137,MATCH("RHWM 2020",TOCA_previous!$A$2:$AI$2,0),FALSE)*$F$2*TOCA_previous!C61),0),0), 0)</f>
        <v>0</v>
      </c>
      <c r="BI64" s="204">
        <f>MIN(VLOOKUP($A64,TOCA_previous!$A$2:$AI$137,MATCH("TRL - NLSL - Existing Resource "&amp;$F$1,TOCA_previous!$A$2:$AI$2,0),FALSE)*$F$2,(VLOOKUP($A64,TOCA_previous!$A$2:$AI$137,MATCH("RHWM 2020",TOCA_previous!$A$2:$AI$2,0),FALSE)*$F$2))</f>
        <v>4365.6480000000001</v>
      </c>
      <c r="BJ64" s="418">
        <f>SUM(L64:AI64)+(F64*RT1SC!$C$3*$F$2)</f>
        <v>4315.4011639728005</v>
      </c>
      <c r="BK64" s="417">
        <f>VLOOKUP($A64,TOCA_previous!$A$2:$AI$137,MATCH("Above RHWM Not Served with LS "&amp;$F$1,TOCA_previous!$A$2:$AI$2,0),FALSE)*$F$2</f>
        <v>0</v>
      </c>
      <c r="BL64" s="418">
        <f t="shared" si="8"/>
        <v>-50.246836027199606</v>
      </c>
      <c r="BM64" s="417">
        <f>(VLOOKUP($A64,TOCA_previous!$A$2:$AI$137,MATCH("RHWM 2020",TOCA_previous!$A$2:$AI$2,0),FALSE)*$F$2) - $BI64</f>
        <v>70.271999999999935</v>
      </c>
      <c r="BN64" s="418">
        <f t="shared" si="9"/>
        <v>0</v>
      </c>
      <c r="BO64" s="417">
        <f t="shared" si="10"/>
        <v>50.246836027199606</v>
      </c>
      <c r="BP64" s="418">
        <f t="shared" si="11"/>
        <v>0</v>
      </c>
      <c r="BQ64" s="417">
        <f t="shared" si="18"/>
        <v>50.246836027199606</v>
      </c>
      <c r="BR64" s="120">
        <f>VLOOKUP($A64,TOCA_current!$A$2:$AI$137,MATCH(BR$4,TOCA_current!$A$2:$AI$2,0),FALSE)</f>
        <v>7.1799999999999997E-5</v>
      </c>
      <c r="BS64" s="120">
        <f>VLOOKUP($A64,TOCA_current!$A$2:$AI$137,MATCH(BS$4,TOCA_current!$A$2:$AI$2,0),FALSE)</f>
        <v>7.1799999999999997E-5</v>
      </c>
      <c r="BT64" s="201">
        <f t="shared" si="12"/>
        <v>0</v>
      </c>
      <c r="BU64" s="120">
        <f>VLOOKUP($A64,TOCA_current!A60:BG195,MATCH(BU$4,TOCA_current!$A$2:$BG$2,0),FALSE)</f>
        <v>0</v>
      </c>
      <c r="BV64" s="120">
        <f t="shared" si="19"/>
        <v>0</v>
      </c>
      <c r="BW64" s="120">
        <f t="shared" si="20"/>
        <v>0</v>
      </c>
      <c r="BX64" s="191">
        <f>VLOOKUP($A64,IRD!$A$4:$G$139, 7, FALSE)</f>
        <v>0</v>
      </c>
      <c r="BY64" s="192">
        <f t="array" ref="BY64">IF($BT64=0, INDEX(LS_current!$D$4:$AY$138, MATCH('Staging Table'!$A64, LS_current!$B$4:$B$138, 0), MATCH(BY$4&amp;BY$5, LS_current!$D$2:$AY$2&amp;LS_current!$D$3:$AY$3, 0)),SUM(VLOOKUP($A64, LS_current!$B$4:$AY$138, LS_current!D$148, FALSE), VLOOKUP($A64, LS_current!$B$4:$AY$138,LS_current!AB$148, FALSE))/2)</f>
        <v>-32.155740993648891</v>
      </c>
      <c r="BZ64" s="192">
        <f t="array" ref="BZ64">IF($BT64=0, INDEX(LS_current!$D$4:$AY$138, MATCH('Staging Table'!$A64, LS_current!$B$4:$B$138, 0), MATCH(BZ$4&amp;BZ$5, LS_current!$D$2:$AY$2&amp;LS_current!$D$3:$AY$3, 0)),SUM(VLOOKUP($A64, LS_current!$B$4:$AY$138, LS_current!E$148, FALSE), VLOOKUP($A64, LS_current!$B$4:$AY$138,LS_current!AC$148, FALSE))/2)</f>
        <v>16.427967582865506</v>
      </c>
      <c r="CA64" s="192">
        <f t="array" ref="CA64">IF($BT64=0, INDEX(LS_current!$D$4:$AY$138, MATCH('Staging Table'!$A64, LS_current!$B$4:$B$138, 0), MATCH(CA$4&amp;CA$5, LS_current!$D$2:$AY$2&amp;LS_current!$D$3:$AY$3, 0)),SUM(VLOOKUP($A64, LS_current!$B$4:$AY$138, LS_current!F$148, FALSE), VLOOKUP($A64, LS_current!$B$4:$AY$138,LS_current!AD$148, FALSE))/2)</f>
        <v>-53.521463245884917</v>
      </c>
      <c r="CB64" s="192">
        <f t="array" ref="CB64">IF($BT64=0, INDEX(LS_current!$D$4:$AY$138, MATCH('Staging Table'!$A64, LS_current!$B$4:$B$138, 0), MATCH(CB$4&amp;CB$5, LS_current!$D$2:$AY$2&amp;LS_current!$D$3:$AY$3, 0)),SUM(VLOOKUP($A64, LS_current!$B$4:$AY$138, LS_current!G$148, FALSE), VLOOKUP($A64, LS_current!$B$4:$AY$138,LS_current!AE$148, FALSE))/2)</f>
        <v>-5.2866685144277881</v>
      </c>
      <c r="CC64" s="192">
        <f t="array" ref="CC64">IF($BT64=0, INDEX(LS_current!$D$4:$AY$138, MATCH('Staging Table'!$A64, LS_current!$B$4:$B$138, 0), MATCH(CC$4&amp;CC$5, LS_current!$D$2:$AY$2&amp;LS_current!$D$3:$AY$3, 0)),SUM(VLOOKUP($A64, LS_current!$B$4:$AY$138, LS_current!H$148, FALSE), VLOOKUP($A64, LS_current!$B$4:$AY$138,LS_current!AF$148, FALSE))/2)</f>
        <v>68.853937578283677</v>
      </c>
      <c r="CD64" s="192">
        <f t="array" ref="CD64">IF($BT64=0, INDEX(LS_current!$D$4:$AY$138, MATCH('Staging Table'!$A64, LS_current!$B$4:$B$138, 0), MATCH(CD$4&amp;CD$5, LS_current!$D$2:$AY$2&amp;LS_current!$D$3:$AY$3, 0)),SUM(VLOOKUP($A64, LS_current!$B$4:$AY$138, LS_current!I$148, FALSE), VLOOKUP($A64, LS_current!$B$4:$AY$138,LS_current!AG$148, FALSE))/2)</f>
        <v>56.875753315133096</v>
      </c>
      <c r="CE64" s="192">
        <f t="array" ref="CE64">IF($BT64=0, INDEX(LS_current!$D$4:$AY$138, MATCH('Staging Table'!$A64, LS_current!$B$4:$B$138, 0), MATCH(CE$4&amp;CE$5, LS_current!$D$2:$AY$2&amp;LS_current!$D$3:$AY$3, 0)),SUM(VLOOKUP($A64, LS_current!$B$4:$AY$138, LS_current!J$148, FALSE), VLOOKUP($A64, LS_current!$B$4:$AY$138,LS_current!AH$148, FALSE))/2)</f>
        <v>96.336575730460538</v>
      </c>
      <c r="CF64" s="192">
        <f t="array" ref="CF64">IF($BT64=0, INDEX(LS_current!$D$4:$AY$138, MATCH('Staging Table'!$A64, LS_current!$B$4:$B$138, 0), MATCH(CF$4&amp;CF$5, LS_current!$D$2:$AY$2&amp;LS_current!$D$3:$AY$3, 0)),SUM(VLOOKUP($A64, LS_current!$B$4:$AY$138, LS_current!K$148, FALSE), VLOOKUP($A64, LS_current!$B$4:$AY$138,LS_current!AI$148, FALSE))/2)</f>
        <v>102.38706726113691</v>
      </c>
      <c r="CG64" s="192">
        <f t="array" ref="CG64">IF($BT64=0, INDEX(LS_current!$D$4:$AY$138, MATCH('Staging Table'!$A64, LS_current!$B$4:$B$138, 0), MATCH(CG$4&amp;CG$5, LS_current!$D$2:$AY$2&amp;LS_current!$D$3:$AY$3, 0)),SUM(VLOOKUP($A64, LS_current!$B$4:$AY$138, LS_current!L$148, FALSE), VLOOKUP($A64, LS_current!$B$4:$AY$138,LS_current!AJ$148, FALSE))/2)</f>
        <v>67.95264926459663</v>
      </c>
      <c r="CH64" s="192">
        <f t="array" ref="CH64">IF($BT64=0, INDEX(LS_current!$D$4:$AY$138, MATCH('Staging Table'!$A64, LS_current!$B$4:$B$138, 0), MATCH(CH$4&amp;CH$5, LS_current!$D$2:$AY$2&amp;LS_current!$D$3:$AY$3, 0)),SUM(VLOOKUP($A64, LS_current!$B$4:$AY$138, LS_current!M$148, FALSE), VLOOKUP($A64, LS_current!$B$4:$AY$138,LS_current!AK$148, FALSE))/2)</f>
        <v>53.925284369893703</v>
      </c>
      <c r="CI64" s="192">
        <f t="array" ref="CI64">IF($BT64=0, INDEX(LS_current!$D$4:$AY$138, MATCH('Staging Table'!$A64, LS_current!$B$4:$B$138, 0), MATCH(CI$4&amp;CI$5, LS_current!$D$2:$AY$2&amp;LS_current!$D$3:$AY$3, 0)),SUM(VLOOKUP($A64, LS_current!$B$4:$AY$138, LS_current!N$148, FALSE), VLOOKUP($A64, LS_current!$B$4:$AY$138,LS_current!AL$148, FALSE))/2)</f>
        <v>4.6459417558343432</v>
      </c>
      <c r="CJ64" s="192">
        <f t="array" ref="CJ64">IF($BT64=0, INDEX(LS_current!$D$4:$AY$138, MATCH('Staging Table'!$A64, LS_current!$B$4:$B$138, 0), MATCH(CJ$4&amp;CJ$5, LS_current!$D$2:$AY$2&amp;LS_current!$D$3:$AY$3, 0)),SUM(VLOOKUP($A64, LS_current!$B$4:$AY$138, LS_current!O$148, FALSE), VLOOKUP($A64, LS_current!$B$4:$AY$138,LS_current!AM$148, FALSE))/2)</f>
        <v>24.409913515112805</v>
      </c>
      <c r="CK64" s="192">
        <f t="array" ref="CK64">IF($BT64=0, INDEX(LS_current!$D$4:$AY$138, MATCH('Staging Table'!$A64, LS_current!$B$4:$B$138, 0), MATCH(CK$4&amp;CK$5, LS_current!$D$2:$AY$2&amp;LS_current!$D$3:$AY$3, 0)),SUM(VLOOKUP($A64, LS_current!$B$4:$AY$138, LS_current!P$148, FALSE), VLOOKUP($A64, LS_current!$B$4:$AY$138,LS_current!AN$148, FALSE))/2)</f>
        <v>15.434881185674328</v>
      </c>
      <c r="CL64" s="192">
        <f t="array" ref="CL64">IF($BT64=0, INDEX(LS_current!$D$4:$AY$138, MATCH('Staging Table'!$A64, LS_current!$B$4:$B$138, 0), MATCH(CL$4&amp;CL$5, LS_current!$D$2:$AY$2&amp;LS_current!$D$3:$AY$3, 0)),SUM(VLOOKUP($A64, LS_current!$B$4:$AY$138, LS_current!Q$148, FALSE), VLOOKUP($A64, LS_current!$B$4:$AY$138,LS_current!AO$148, FALSE))/2)</f>
        <v>25.676120894860404</v>
      </c>
      <c r="CM64" s="192">
        <f t="array" ref="CM64">IF($BT64=0, INDEX(LS_current!$D$4:$AY$138, MATCH('Staging Table'!$A64, LS_current!$B$4:$B$138, 0), MATCH(CM$4&amp;CM$5, LS_current!$D$2:$AY$2&amp;LS_current!$D$3:$AY$3, 0)),SUM(VLOOKUP($A64, LS_current!$B$4:$AY$138, LS_current!R$148, FALSE), VLOOKUP($A64, LS_current!$B$4:$AY$138,LS_current!AP$148, FALSE))/2)</f>
        <v>-90.161954602498071</v>
      </c>
      <c r="CN64" s="192">
        <f t="array" ref="CN64">IF($BT64=0, INDEX(LS_current!$D$4:$AY$138, MATCH('Staging Table'!$A64, LS_current!$B$4:$B$138, 0), MATCH(CN$4&amp;CN$5, LS_current!$D$2:$AY$2&amp;LS_current!$D$3:$AY$3, 0)),SUM(VLOOKUP($A64, LS_current!$B$4:$AY$138, LS_current!S$148, FALSE), VLOOKUP($A64, LS_current!$B$4:$AY$138,LS_current!AQ$148, FALSE))/2)</f>
        <v>2.8030866325971147</v>
      </c>
      <c r="CO64" s="192">
        <f t="array" ref="CO64">IF($BT64=0, INDEX(LS_current!$D$4:$AY$138, MATCH('Staging Table'!$A64, LS_current!$B$4:$B$138, 0), MATCH(CO$4&amp;CO$5, LS_current!$D$2:$AY$2&amp;LS_current!$D$3:$AY$3, 0)),SUM(VLOOKUP($A64, LS_current!$B$4:$AY$138, LS_current!T$148, FALSE), VLOOKUP($A64, LS_current!$B$4:$AY$138,LS_current!AR$148, FALSE))/2)</f>
        <v>-93.152583147727796</v>
      </c>
      <c r="CP64" s="192">
        <f t="array" ref="CP64">IF($BT64=0, INDEX(LS_current!$D$4:$AY$138, MATCH('Staging Table'!$A64, LS_current!$B$4:$B$138, 0), MATCH(CP$4&amp;CP$5, LS_current!$D$2:$AY$2&amp;LS_current!$D$3:$AY$3, 0)),SUM(VLOOKUP($A64, LS_current!$B$4:$AY$138, LS_current!U$148, FALSE), VLOOKUP($A64, LS_current!$B$4:$AY$138,LS_current!AS$148, FALSE))/2)</f>
        <v>1.931524456158499</v>
      </c>
      <c r="CQ64" s="192">
        <f t="array" ref="CQ64">IF($BT64=0, INDEX(LS_current!$D$4:$AY$138, MATCH('Staging Table'!$A64, LS_current!$B$4:$B$138, 0), MATCH(CQ$4&amp;CQ$5, LS_current!$D$2:$AY$2&amp;LS_current!$D$3:$AY$3, 0)),SUM(VLOOKUP($A64, LS_current!$B$4:$AY$138, LS_current!V$148, FALSE), VLOOKUP($A64, LS_current!$B$4:$AY$138,LS_current!AT$148, FALSE))/2)</f>
        <v>-56.471362463923498</v>
      </c>
      <c r="CR64" s="192">
        <f t="array" ref="CR64">IF($BT64=0, INDEX(LS_current!$D$4:$AY$138, MATCH('Staging Table'!$A64, LS_current!$B$4:$B$138, 0), MATCH(CR$4&amp;CR$5, LS_current!$D$2:$AY$2&amp;LS_current!$D$3:$AY$3, 0)),SUM(VLOOKUP($A64, LS_current!$B$4:$AY$138, LS_current!W$148, FALSE), VLOOKUP($A64, LS_current!$B$4:$AY$138,LS_current!AU$148, FALSE))/2)</f>
        <v>9.8180760888230054</v>
      </c>
      <c r="CS64" s="192">
        <f t="array" ref="CS64">IF($BT64=0, INDEX(LS_current!$D$4:$AY$138, MATCH('Staging Table'!$A64, LS_current!$B$4:$B$138, 0), MATCH(CS$4&amp;CS$5, LS_current!$D$2:$AY$2&amp;LS_current!$D$3:$AY$3, 0)),SUM(VLOOKUP($A64, LS_current!$B$4:$AY$138, LS_current!X$148, FALSE), VLOOKUP($A64, LS_current!$B$4:$AY$138,LS_current!AV$148, FALSE))/2)</f>
        <v>-52.695607235265072</v>
      </c>
      <c r="CT64" s="192">
        <f t="array" ref="CT64">IF($BT64=0, INDEX(LS_current!$D$4:$AY$138, MATCH('Staging Table'!$A64, LS_current!$B$4:$B$138, 0), MATCH(CT$4&amp;CT$5, LS_current!$D$2:$AY$2&amp;LS_current!$D$3:$AY$3, 0)),SUM(VLOOKUP($A64, LS_current!$B$4:$AY$138, LS_current!Y$148, FALSE), VLOOKUP($A64, LS_current!$B$4:$AY$138,LS_current!AW$148, FALSE))/2)</f>
        <v>-9.1626047532407853</v>
      </c>
      <c r="CU64" s="192">
        <f t="array" ref="CU64">IF($BT64=0, INDEX(LS_current!$D$4:$AY$138, MATCH('Staging Table'!$A64, LS_current!$B$4:$B$138, 0), MATCH(CU$4&amp;CU$5, LS_current!$D$2:$AY$2&amp;LS_current!$D$3:$AY$3, 0)),SUM(VLOOKUP($A64, LS_current!$B$4:$AY$138, LS_current!Z$148, FALSE), VLOOKUP($A64, LS_current!$B$4:$AY$138,LS_current!AX$148, FALSE))/2)</f>
        <v>-60.263382553439897</v>
      </c>
      <c r="CV64" s="192">
        <f t="array" ref="CV64">IF($BT64=0, INDEX(LS_current!$D$4:$AY$138, MATCH('Staging Table'!$A64, LS_current!$B$4:$B$138, 0), MATCH(CV$4&amp;CV$5, LS_current!$D$2:$AY$2&amp;LS_current!$D$3:$AY$3, 0)),SUM(VLOOKUP($A64, LS_current!$B$4:$AY$138, LS_current!AA$148, FALSE), VLOOKUP($A64, LS_current!$B$4:$AY$138,LS_current!AY$148, FALSE))/2)</f>
        <v>-16.160442894842078</v>
      </c>
      <c r="CW64" s="194">
        <f t="array" ref="CW64">INDEX(Demand_current!$D$4:$AY$138, MATCH($A64, Demand_current!$B$4:$B$138, 0), MATCH(CW$4&amp;CW$5,Demand_current!$D$2:$AY$2&amp;Demand_current!$D$3:$AY$3, 0))/1000</f>
        <v>8.8180288461538497E-2</v>
      </c>
      <c r="CX64" s="194">
        <f t="array" ref="CX64">INDEX(Demand_current!$D$4:$AY$138, MATCH($A64, Demand_current!$B$4:$B$138, 0), MATCH(CX$4&amp;CX$5,Demand_current!$D$2:$AY$2&amp;Demand_current!$D$3:$AY$3, 0))/1000</f>
        <v>0</v>
      </c>
      <c r="CY64" s="194">
        <f t="array" ref="CY64">INDEX(Demand_current!$D$4:$AY$138, MATCH($A64, Demand_current!$B$4:$B$138, 0), MATCH(CY$4&amp;CY$5,Demand_current!$D$2:$AY$2&amp;Demand_current!$D$3:$AY$3, 0))/1000</f>
        <v>0.18005769230769236</v>
      </c>
      <c r="CZ64" s="194">
        <f t="array" ref="CZ64">INDEX(Demand_current!$D$4:$AY$138, MATCH($A64, Demand_current!$B$4:$B$138, 0), MATCH(CZ$4&amp;CZ$5,Demand_current!$D$2:$AY$2&amp;Demand_current!$D$3:$AY$3, 0))/1000</f>
        <v>0.17719999999999997</v>
      </c>
      <c r="DA64" s="194">
        <f t="array" ref="DA64">INDEX(Demand_current!$D$4:$AY$138, MATCH($A64, Demand_current!$B$4:$B$138, 0), MATCH(DA$4&amp;DA$5,Demand_current!$D$2:$AY$2&amp;Demand_current!$D$3:$AY$3, 0))/1000</f>
        <v>5.8257812500000034E-2</v>
      </c>
      <c r="DB64" s="194">
        <f t="array" ref="DB64">INDEX(Demand_current!$D$4:$AY$138, MATCH($A64, Demand_current!$B$4:$B$138, 0), MATCH(DB$4&amp;DB$5,Demand_current!$D$2:$AY$2&amp;Demand_current!$D$3:$AY$3, 0))/1000</f>
        <v>9.1976851851851865E-2</v>
      </c>
      <c r="DC64" s="194">
        <f t="array" ref="DC64">INDEX(Demand_current!$D$4:$AY$138, MATCH($A64, Demand_current!$B$4:$B$138, 0), MATCH(DC$4&amp;DC$5,Demand_current!$D$2:$AY$2&amp;Demand_current!$D$3:$AY$3, 0))/1000</f>
        <v>4.166346153846151E-2</v>
      </c>
      <c r="DD64" s="194">
        <f t="array" ref="DD64">INDEX(Demand_current!$D$4:$AY$138, MATCH($A64, Demand_current!$B$4:$B$138, 0), MATCH(DD$4&amp;DD$5,Demand_current!$D$2:$AY$2&amp;Demand_current!$D$3:$AY$3, 0))/1000</f>
        <v>5.6924999999999948E-2</v>
      </c>
      <c r="DE64" s="194">
        <f t="array" ref="DE64">INDEX(Demand_current!$D$4:$AY$138, MATCH($A64, Demand_current!$B$4:$B$138, 0), MATCH(DE$4&amp;DE$5,Demand_current!$D$2:$AY$2&amp;Demand_current!$D$3:$AY$3, 0))/1000</f>
        <v>8.4663461538461535E-2</v>
      </c>
      <c r="DF64" s="194">
        <f t="array" ref="DF64">INDEX(Demand_current!$D$4:$AY$138, MATCH($A64, Demand_current!$B$4:$B$138, 0), MATCH(DF$4&amp;DF$5,Demand_current!$D$2:$AY$2&amp;Demand_current!$D$3:$AY$3, 0))/1000</f>
        <v>6.4970000000000069E-2</v>
      </c>
      <c r="DG64" s="194">
        <f t="array" ref="DG64">INDEX(Demand_current!$D$4:$AY$138, MATCH($A64, Demand_current!$B$4:$B$138, 0), MATCH(DG$4&amp;DG$5,Demand_current!$D$2:$AY$2&amp;Demand_current!$D$3:$AY$3, 0))/1000</f>
        <v>4.0689814814814818E-2</v>
      </c>
      <c r="DH64" s="194">
        <f t="array" ref="DH64">INDEX(Demand_current!$D$4:$AY$138, MATCH($A64, Demand_current!$B$4:$B$138, 0), MATCH(DH$4&amp;DH$5,Demand_current!$D$2:$AY$2&amp;Demand_current!$D$3:$AY$3, 0))/1000</f>
        <v>1.0215000000000057E-2</v>
      </c>
      <c r="DI64" s="192">
        <f>$BS64*(VLOOKUP(DI$4, Rates_current!$G$6:$Q$29, 10, FALSE)+VLOOKUP(DI$4, Rates_current!$G$6:$Q$29, 11, FALSE))</f>
        <v>326.97177341078338</v>
      </c>
      <c r="DJ64" s="192">
        <f>$BS64*(VLOOKUP(DJ$4, Rates_current!$G$6:$Q$29, 10, FALSE)+VLOOKUP(DJ$4, Rates_current!$G$6:$Q$29, 11, FALSE))</f>
        <v>413.95813176031271</v>
      </c>
      <c r="DK64" s="192">
        <f>$BS64*(VLOOKUP(DK$4, Rates_current!$G$6:$Q$29, 10, FALSE)+VLOOKUP(DK$4, Rates_current!$G$6:$Q$29, 11, FALSE))</f>
        <v>405.18230910658326</v>
      </c>
      <c r="DL64" s="192">
        <f>$BS64*(VLOOKUP(DL$4, Rates_current!$G$6:$Q$29, 10, FALSE)+VLOOKUP(DL$4, Rates_current!$G$6:$Q$29, 11, FALSE))</f>
        <v>334.66335700840256</v>
      </c>
      <c r="DM64" s="192">
        <f>$BS64*(VLOOKUP(DM$4, Rates_current!$G$6:$Q$29, 10, FALSE)+VLOOKUP(DM$4, Rates_current!$G$6:$Q$29, 11, FALSE))</f>
        <v>290.06006636550967</v>
      </c>
      <c r="DN64" s="192">
        <f>$BS64*(VLOOKUP(DN$4, Rates_current!$G$6:$Q$29, 10, FALSE)+VLOOKUP(DN$4, Rates_current!$G$6:$Q$29, 11, FALSE))</f>
        <v>346.27314472905289</v>
      </c>
      <c r="DO64" s="192">
        <f>$BS64*(VLOOKUP(DO$4, Rates_current!$G$6:$Q$29, 10, FALSE)+VLOOKUP(DO$4, Rates_current!$G$6:$Q$29, 11, FALSE))</f>
        <v>268.83499791946531</v>
      </c>
      <c r="DP64" s="192">
        <f>$BS64*(VLOOKUP(DP$4, Rates_current!$G$6:$Q$29, 10, FALSE)+VLOOKUP(DP$4, Rates_current!$G$6:$Q$29, 11, FALSE))</f>
        <v>372.47286796990096</v>
      </c>
      <c r="DQ64" s="192">
        <f>$BS64*(VLOOKUP(DQ$4, Rates_current!$G$6:$Q$29, 10, FALSE)+VLOOKUP(DQ$4, Rates_current!$G$6:$Q$29, 11, FALSE))</f>
        <v>397.99505869156928</v>
      </c>
      <c r="DR64" s="192">
        <f>$BS64*(VLOOKUP(DR$4, Rates_current!$G$6:$Q$29, 10, FALSE)+VLOOKUP(DR$4, Rates_current!$G$6:$Q$29, 11, FALSE))</f>
        <v>377.87828637510052</v>
      </c>
      <c r="DS64" s="192">
        <f>$BS64*(VLOOKUP(DS$4, Rates_current!$G$6:$Q$29, 10, FALSE)+VLOOKUP(DS$4, Rates_current!$G$6:$Q$29, 11, FALSE))</f>
        <v>365.19021198850584</v>
      </c>
      <c r="DT64" s="192">
        <f>$BS64*(VLOOKUP(DT$4, Rates_current!$G$6:$Q$29, 10, FALSE)+VLOOKUP(DT$4, Rates_current!$G$6:$Q$29, 11, FALSE))</f>
        <v>337.47382544828201</v>
      </c>
      <c r="DU64" s="418">
        <f>IF(D64=0,IF(C64=0,MAX(0,DW64 - (VLOOKUP($A64,TOCA_current!$A$2:$AI$137,MATCH("RHWM 2022",TOCA_current!$A$2:$AI$2,0),FALSE)*$BS$2)), 0),0)</f>
        <v>75.561216738531584</v>
      </c>
      <c r="DV64" s="419">
        <f>MIN(VLOOKUP($A64,TOCA_current!$A$2:$AI$137,MATCH("TRL - NLSL - Existing Resource "&amp;$BS$1,TOCA_current!$A$2:$AI$2,0),FALSE)*$BS$2, VLOOKUP($A64,TOCA_current!$A$2:$AI$137,MATCH("RHWM 2022",TOCA_current!$A$2:$AI$2,0),FALSE)*$BS$2)</f>
        <v>4239.84</v>
      </c>
      <c r="DW64" s="419">
        <f>SUM(BY64:CV64)+(BS64*RT1SC!$C$4*$BS$2)</f>
        <v>4315.4012167385317</v>
      </c>
      <c r="DX64" s="419">
        <f>VLOOKUP($A64,TOCA_current!$A$2:$AI$137,MATCH("Above RHWM Not Served with LS "&amp;$BS$1,TOCA_current!$A$2:$AI$2,0),FALSE)*$BS$2</f>
        <v>0</v>
      </c>
      <c r="DY64" s="419">
        <f t="shared" si="13"/>
        <v>75.561216738531584</v>
      </c>
      <c r="DZ64" s="419">
        <f>(VLOOKUP($A64,TOCA_current!$A$2:$AI$137,MATCH("RHWM 2022",TOCA_current!$A$2:$AI$2,0),FALSE)*$BS$2) - $DV64</f>
        <v>0</v>
      </c>
      <c r="EA64" s="419">
        <f t="shared" si="14"/>
        <v>0</v>
      </c>
      <c r="EB64" s="419">
        <f t="shared" si="15"/>
        <v>0</v>
      </c>
      <c r="EC64" s="419">
        <f t="shared" si="16"/>
        <v>0</v>
      </c>
      <c r="ED64" s="419">
        <f t="shared" si="17"/>
        <v>0</v>
      </c>
    </row>
    <row r="65" spans="1:134">
      <c r="A65" s="135">
        <v>10177</v>
      </c>
      <c r="B65" s="136" t="s">
        <v>66</v>
      </c>
      <c r="C65" s="244">
        <f>VLOOKUP(A65, TOCA_current!$A$3:$D$137, 4, FALSE)</f>
        <v>0</v>
      </c>
      <c r="D65" s="203">
        <v>0</v>
      </c>
      <c r="E65" s="119">
        <f>VLOOKUP($A65,TOCA_previous!$A$2:$AI$137,MATCH(E$4,TOCA_previous!$A$2:$AI$2,0),FALSE)</f>
        <v>1.3090000000000001E-3</v>
      </c>
      <c r="F65" s="120">
        <f>VLOOKUP($A65,TOCA_previous!$A$2:$AI$137,MATCH(F$4,TOCA_previous!$A$2:$AI$2,0),FALSE)</f>
        <v>1.3090000000000001E-3</v>
      </c>
      <c r="G65" s="120">
        <f t="shared" si="5"/>
        <v>0</v>
      </c>
      <c r="H65" s="120">
        <f>VLOOKUP($A65,TOCA_previous!$A$2:$AI$137,MATCH(H$4,TOCA_previous!$A$2:$AI$2,0),FALSE)</f>
        <v>7.0000000000000007E-2</v>
      </c>
      <c r="I65" s="120">
        <f t="shared" si="6"/>
        <v>0</v>
      </c>
      <c r="J65" s="120">
        <f t="shared" si="7"/>
        <v>0</v>
      </c>
      <c r="K65" s="191">
        <f>VLOOKUP(A65, IRD!$A$5:$C$139, 3, FALSE)</f>
        <v>0</v>
      </c>
      <c r="L65" s="192">
        <f t="array" ref="L65">IF($G65=0, INDEX(LS_previous!$D$4:$AY$138, MATCH('Staging Table'!$A65, LS_previous!$B$4:$B$138, 0), MATCH(L$4&amp;L$5, LS_previous!$D$2:$AY$2&amp;LS_previous!$D$3:$AY$3, 0)),SUM(VLOOKUP($A65, LS_previous!$B$4:$AY$138, LS_previous!D$149, FALSE), VLOOKUP('Staging Table'!$A65, LS_previous!$B$4:$AY$138,LS_previous!AB$149, FALSE))/2)</f>
        <v>-679.05959289200018</v>
      </c>
      <c r="M65" s="192">
        <f t="array" ref="M65">IF($G65=0, INDEX(LS_previous!$D$4:$AY$138, MATCH('Staging Table'!$A65, LS_previous!$B$4:$B$138, 0), MATCH(M$4&amp;M$5, LS_previous!$D$2:$AY$2&amp;LS_previous!$D$3:$AY$3, 0)),SUM(VLOOKUP($A65, LS_previous!$B$4:$AY$138, LS_previous!E$149, FALSE), VLOOKUP('Staging Table'!$A65, LS_previous!$B$4:$AY$138,LS_previous!AC$149, FALSE))/2)</f>
        <v>31.215383327999916</v>
      </c>
      <c r="N65" s="192">
        <f t="array" ref="N65">IF($G65=0, INDEX(LS_previous!$D$4:$AY$138, MATCH('Staging Table'!$A65, LS_previous!$B$4:$B$138, 0), MATCH(N$4&amp;N$5, LS_previous!$D$2:$AY$2&amp;LS_previous!$D$3:$AY$3, 0)),SUM(VLOOKUP($A65, LS_previous!$B$4:$AY$138, LS_previous!F$149, FALSE), VLOOKUP('Staging Table'!$A65, LS_previous!$B$4:$AY$138,LS_previous!AD$149, FALSE))/2)</f>
        <v>-1144.863094152</v>
      </c>
      <c r="O65" s="192">
        <f t="array" ref="O65">IF($G65=0, INDEX(LS_previous!$D$4:$AY$138, MATCH('Staging Table'!$A65, LS_previous!$B$4:$B$138, 0), MATCH(O$4&amp;O$5, LS_previous!$D$2:$AY$2&amp;LS_previous!$D$3:$AY$3, 0)),SUM(VLOOKUP($A65, LS_previous!$B$4:$AY$138, LS_previous!G$149, FALSE), VLOOKUP('Staging Table'!$A65, LS_previous!$B$4:$AY$138,LS_previous!AE$149, FALSE))/2)</f>
        <v>-156.28001569900016</v>
      </c>
      <c r="P65" s="192">
        <f t="array" ref="P65">IF($G65=0, INDEX(LS_previous!$D$4:$AY$138, MATCH('Staging Table'!$A65, LS_previous!$B$4:$B$138, 0), MATCH(P$4&amp;P$5, LS_previous!$D$2:$AY$2&amp;LS_previous!$D$3:$AY$3, 0)),SUM(VLOOKUP($A65, LS_previous!$B$4:$AY$138, LS_previous!H$149, FALSE), VLOOKUP('Staging Table'!$A65, LS_previous!$B$4:$AY$138,LS_previous!AF$149, FALSE))/2)</f>
        <v>322.47521635199882</v>
      </c>
      <c r="Q65" s="192">
        <f t="array" ref="Q65">IF($G65=0, INDEX(LS_previous!$D$4:$AY$138, MATCH('Staging Table'!$A65, LS_previous!$B$4:$B$138, 0), MATCH(Q$4&amp;Q$5, LS_previous!$D$2:$AY$2&amp;LS_previous!$D$3:$AY$3, 0)),SUM(VLOOKUP($A65, LS_previous!$B$4:$AY$138, LS_previous!I$149, FALSE), VLOOKUP('Staging Table'!$A65, LS_previous!$B$4:$AY$138,LS_previous!AG$149, FALSE))/2)</f>
        <v>865.57812708399933</v>
      </c>
      <c r="R65" s="192">
        <f t="array" ref="R65">IF($G65=0, INDEX(LS_previous!$D$4:$AY$138, MATCH('Staging Table'!$A65, LS_previous!$B$4:$B$138, 0), MATCH(R$4&amp;R$5, LS_previous!$D$2:$AY$2&amp;LS_previous!$D$3:$AY$3, 0)),SUM(VLOOKUP($A65, LS_previous!$B$4:$AY$138, LS_previous!J$149, FALSE), VLOOKUP('Staging Table'!$A65, LS_previous!$B$4:$AY$138,LS_previous!AH$149, FALSE))/2)</f>
        <v>1359.8329003519998</v>
      </c>
      <c r="S65" s="192">
        <f t="array" ref="S65">IF($G65=0, INDEX(LS_previous!$D$4:$AY$138, MATCH('Staging Table'!$A65, LS_previous!$B$4:$B$138, 0), MATCH(S$4&amp;S$5, LS_previous!$D$2:$AY$2&amp;LS_previous!$D$3:$AY$3, 0)),SUM(VLOOKUP($A65, LS_previous!$B$4:$AY$138, LS_previous!K$149, FALSE), VLOOKUP('Staging Table'!$A65, LS_previous!$B$4:$AY$138,LS_previous!AI$149, FALSE))/2)</f>
        <v>1595.113875084</v>
      </c>
      <c r="T65" s="192">
        <f t="array" ref="T65">IF($G65=0, INDEX(LS_previous!$D$4:$AY$138, MATCH('Staging Table'!$A65, LS_previous!$B$4:$B$138, 0), MATCH(T$4&amp;T$5, LS_previous!$D$2:$AY$2&amp;LS_previous!$D$3:$AY$3, 0)),SUM(VLOOKUP($A65, LS_previous!$B$4:$AY$138, LS_previous!L$149, FALSE), VLOOKUP('Staging Table'!$A65, LS_previous!$B$4:$AY$138,LS_previous!AJ$149, FALSE))/2)</f>
        <v>592.01536468399991</v>
      </c>
      <c r="U65" s="192">
        <f t="array" ref="U65">IF($G65=0, INDEX(LS_previous!$D$4:$AY$138, MATCH('Staging Table'!$A65, LS_previous!$B$4:$B$138, 0), MATCH(U$4&amp;U$5, LS_previous!$D$2:$AY$2&amp;LS_previous!$D$3:$AY$3, 0)),SUM(VLOOKUP($A65, LS_previous!$B$4:$AY$138, LS_previous!M$149, FALSE), VLOOKUP('Staging Table'!$A65, LS_previous!$B$4:$AY$138,LS_previous!AK$149, FALSE))/2)</f>
        <v>886.67324411599975</v>
      </c>
      <c r="V65" s="192">
        <f t="array" ref="V65">IF($G65=0, INDEX(LS_previous!$D$4:$AY$138, MATCH('Staging Table'!$A65, LS_previous!$B$4:$B$138, 0), MATCH(V$4&amp;V$5, LS_previous!$D$2:$AY$2&amp;LS_previous!$D$3:$AY$3, 0)),SUM(VLOOKUP($A65, LS_previous!$B$4:$AY$138, LS_previous!N$149, FALSE), VLOOKUP('Staging Table'!$A65, LS_previous!$B$4:$AY$138,LS_previous!AL$149, FALSE))/2)</f>
        <v>-34.070305143999576</v>
      </c>
      <c r="W65" s="192">
        <f t="array" ref="W65">IF($G65=0, INDEX(LS_previous!$D$4:$AY$138, MATCH('Staging Table'!$A65, LS_previous!$B$4:$B$138, 0), MATCH(W$4&amp;W$5, LS_previous!$D$2:$AY$2&amp;LS_previous!$D$3:$AY$3, 0)),SUM(VLOOKUP($A65, LS_previous!$B$4:$AY$138, LS_previous!O$149, FALSE), VLOOKUP('Staging Table'!$A65, LS_previous!$B$4:$AY$138,LS_previous!AM$149, FALSE))/2)</f>
        <v>508.8699036109997</v>
      </c>
      <c r="X65" s="192">
        <f t="array" ref="X65">IF($G65=0, INDEX(LS_previous!$D$4:$AY$138, MATCH('Staging Table'!$A65, LS_previous!$B$4:$B$138, 0), MATCH(X$4&amp;X$5, LS_previous!$D$2:$AY$2&amp;LS_previous!$D$3:$AY$3, 0)),SUM(VLOOKUP($A65, LS_previous!$B$4:$AY$138, LS_previous!P$149, FALSE), VLOOKUP('Staging Table'!$A65, LS_previous!$B$4:$AY$138,LS_previous!AN$149, FALSE))/2)</f>
        <v>199.09857010399992</v>
      </c>
      <c r="Y65" s="192">
        <f t="array" ref="Y65">IF($G65=0, INDEX(LS_previous!$D$4:$AY$138, MATCH('Staging Table'!$A65, LS_previous!$B$4:$B$138, 0), MATCH(Y$4&amp;Y$5, LS_previous!$D$2:$AY$2&amp;LS_previous!$D$3:$AY$3, 0)),SUM(VLOOKUP($A65, LS_previous!$B$4:$AY$138, LS_previous!Q$149, FALSE), VLOOKUP('Staging Table'!$A65, LS_previous!$B$4:$AY$138,LS_previous!AO$149, FALSE))/2)</f>
        <v>473.29539957599968</v>
      </c>
      <c r="Z65" s="192">
        <f t="array" ref="Z65">IF($G65=0, INDEX(LS_previous!$D$4:$AY$138, MATCH('Staging Table'!$A65, LS_previous!$B$4:$B$138, 0), MATCH(Z$4&amp;Z$5, LS_previous!$D$2:$AY$2&amp;LS_previous!$D$3:$AY$3, 0)),SUM(VLOOKUP($A65, LS_previous!$B$4:$AY$138, LS_previous!R$149, FALSE), VLOOKUP('Staging Table'!$A65, LS_previous!$B$4:$AY$138,LS_previous!AP$149, FALSE))/2)</f>
        <v>-1823.1480139</v>
      </c>
      <c r="AA65" s="192">
        <f t="array" ref="AA65">IF($G65=0, INDEX(LS_previous!$D$4:$AY$138, MATCH('Staging Table'!$A65, LS_previous!$B$4:$B$138, 0), MATCH(AA$4&amp;AA$5, LS_previous!$D$2:$AY$2&amp;LS_previous!$D$3:$AY$3, 0)),SUM(VLOOKUP($A65, LS_previous!$B$4:$AY$138, LS_previous!S$149, FALSE), VLOOKUP('Staging Table'!$A65, LS_previous!$B$4:$AY$138,LS_previous!AQ$149, FALSE))/2)</f>
        <v>-497.46757016399988</v>
      </c>
      <c r="AB65" s="192">
        <f t="array" ref="AB65">IF($G65=0, INDEX(LS_previous!$D$4:$AY$138, MATCH('Staging Table'!$A65, LS_previous!$B$4:$B$138, 0), MATCH(AB$4&amp;AB$5, LS_previous!$D$2:$AY$2&amp;LS_previous!$D$3:$AY$3, 0)),SUM(VLOOKUP($A65, LS_previous!$B$4:$AY$138, LS_previous!T$149, FALSE), VLOOKUP('Staging Table'!$A65, LS_previous!$B$4:$AY$138,LS_previous!AR$149, FALSE))/2)</f>
        <v>-3197.7051913960004</v>
      </c>
      <c r="AC65" s="192">
        <f t="array" ref="AC65">IF($G65=0, INDEX(LS_previous!$D$4:$AY$138, MATCH('Staging Table'!$A65, LS_previous!$B$4:$B$138, 0), MATCH(AC$4&amp;AC$5, LS_previous!$D$2:$AY$2&amp;LS_previous!$D$3:$AY$3, 0)),SUM(VLOOKUP($A65, LS_previous!$B$4:$AY$138, LS_previous!U$149, FALSE), VLOOKUP('Staging Table'!$A65, LS_previous!$B$4:$AY$138,LS_previous!AS$149, FALSE))/2)</f>
        <v>-1433.179974424</v>
      </c>
      <c r="AD65" s="192">
        <f t="array" ref="AD65">IF($G65=0, INDEX(LS_previous!$D$4:$AY$138, MATCH('Staging Table'!$A65, LS_previous!$B$4:$B$138, 0), MATCH(AD$4&amp;AD$5, LS_previous!$D$2:$AY$2&amp;LS_previous!$D$3:$AY$3, 0)),SUM(VLOOKUP($A65, LS_previous!$B$4:$AY$138, LS_previous!V$149, FALSE), VLOOKUP('Staging Table'!$A65, LS_previous!$B$4:$AY$138,LS_previous!AT$149, FALSE))/2)</f>
        <v>-1971.3530363960003</v>
      </c>
      <c r="AE65" s="192">
        <f t="array" ref="AE65">IF($G65=0, INDEX(LS_previous!$D$4:$AY$138, MATCH('Staging Table'!$A65, LS_previous!$B$4:$B$138, 0), MATCH(AE$4&amp;AE$5, LS_previous!$D$2:$AY$2&amp;LS_previous!$D$3:$AY$3, 0)),SUM(VLOOKUP($A65, LS_previous!$B$4:$AY$138, LS_previous!W$149, FALSE), VLOOKUP('Staging Table'!$A65, LS_previous!$B$4:$AY$138,LS_previous!AU$149, FALSE))/2)</f>
        <v>-234.78294916800041</v>
      </c>
      <c r="AF65" s="192">
        <f t="array" ref="AF65">IF($G65=0, INDEX(LS_previous!$D$4:$AY$138, MATCH('Staging Table'!$A65, LS_previous!$B$4:$B$138, 0), MATCH(AF$4&amp;AF$5, LS_previous!$D$2:$AY$2&amp;LS_previous!$D$3:$AY$3, 0)),SUM(VLOOKUP($A65, LS_previous!$B$4:$AY$138, LS_previous!X$149, FALSE), VLOOKUP('Staging Table'!$A65, LS_previous!$B$4:$AY$138,LS_previous!AV$149, FALSE))/2)</f>
        <v>-1851.105431896</v>
      </c>
      <c r="AG65" s="192">
        <f t="array" ref="AG65">IF($G65=0, INDEX(LS_previous!$D$4:$AY$138, MATCH('Staging Table'!$A65, LS_previous!$B$4:$B$138, 0), MATCH(AG$4&amp;AG$5, LS_previous!$D$2:$AY$2&amp;LS_previous!$D$3:$AY$3, 0)),SUM(VLOOKUP($A65, LS_previous!$B$4:$AY$138, LS_previous!Y$149, FALSE), VLOOKUP('Staging Table'!$A65, LS_previous!$B$4:$AY$138,LS_previous!AW$149, FALSE))/2)</f>
        <v>-383.20226916800016</v>
      </c>
      <c r="AH65" s="192">
        <f t="array" ref="AH65">IF($G65=0, INDEX(LS_previous!$D$4:$AY$138, MATCH('Staging Table'!$A65, LS_previous!$B$4:$B$138, 0), MATCH(AH$4&amp;AH$5, LS_previous!$D$2:$AY$2&amp;LS_previous!$D$3:$AY$3, 0)),SUM(VLOOKUP($A65, LS_previous!$B$4:$AY$138, LS_previous!Z$149, FALSE), VLOOKUP('Staging Table'!$A65, LS_previous!$B$4:$AY$138,LS_previous!AX$149, FALSE))/2)</f>
        <v>-1497.1257504000005</v>
      </c>
      <c r="AI65" s="192">
        <f t="array" ref="AI65">IF($G65=0, INDEX(LS_previous!$D$4:$AY$138, MATCH('Staging Table'!$A65, LS_previous!$B$4:$B$138, 0), MATCH(AI$4&amp;AI$5, LS_previous!$D$2:$AY$2&amp;LS_previous!$D$3:$AY$3, 0)),SUM(VLOOKUP($A65, LS_previous!$B$4:$AY$138, LS_previous!AA$149, FALSE), VLOOKUP('Staging Table'!$A65, LS_previous!$B$4:$AY$138,LS_previous!AY$149, FALSE))/2)</f>
        <v>-450.23200892</v>
      </c>
      <c r="AJ65" s="314">
        <f t="array" ref="AJ65">INDEX(Demand_previous!$D$4:$AY$138, MATCH('Staging Table'!$A65, Demand_previous!$B$4:$B$138, 0), MATCH(AJ$4&amp;AJ$5,Demand_previous!$D$2:$AY$2&amp;Demand_previous!$D$3:$AY$3, 0))/1000</f>
        <v>0</v>
      </c>
      <c r="AK65" s="314">
        <f t="array" ref="AK65">INDEX(Demand_previous!$D$4:$AY$138, MATCH('Staging Table'!$A65, Demand_previous!$B$4:$B$138, 0), MATCH(AK$4&amp;AK$5,Demand_previous!$D$2:$AY$2&amp;Demand_previous!$D$3:$AY$3, 0))/1000</f>
        <v>0</v>
      </c>
      <c r="AL65" s="314">
        <f t="array" ref="AL65">INDEX(Demand_previous!$D$4:$AY$138, MATCH('Staging Table'!$A65, Demand_previous!$B$4:$B$138, 0), MATCH(AL$4&amp;AL$5,Demand_previous!$D$2:$AY$2&amp;Demand_previous!$D$3:$AY$3, 0))/1000</f>
        <v>0.58486250000000295</v>
      </c>
      <c r="AM65" s="314">
        <f t="array" ref="AM65">INDEX(Demand_previous!$D$4:$AY$138, MATCH('Staging Table'!$A65, Demand_previous!$B$4:$B$138, 0), MATCH(AM$4&amp;AM$5,Demand_previous!$D$2:$AY$2&amp;Demand_previous!$D$3:$AY$3, 0))/1000</f>
        <v>0.91930769230769327</v>
      </c>
      <c r="AN65" s="314">
        <f t="array" ref="AN65">INDEX(Demand_previous!$D$4:$AY$138, MATCH('Staging Table'!$A65, Demand_previous!$B$4:$B$138, 0), MATCH(AN$4&amp;AN$5,Demand_previous!$D$2:$AY$2&amp;Demand_previous!$D$3:$AY$3, 0))/1000</f>
        <v>1.3889075000000022</v>
      </c>
      <c r="AO65" s="314">
        <f t="array" ref="AO65">INDEX(Demand_previous!$D$4:$AY$138, MATCH('Staging Table'!$A65, Demand_previous!$B$4:$B$138, 0), MATCH(AO$4&amp;AO$5,Demand_previous!$D$2:$AY$2&amp;Demand_previous!$D$3:$AY$3, 0))/1000</f>
        <v>0</v>
      </c>
      <c r="AP65" s="314">
        <f t="array" ref="AP65">INDEX(Demand_previous!$D$4:$AY$138, MATCH('Staging Table'!$A65, Demand_previous!$B$4:$B$138, 0), MATCH(AP$4&amp;AP$5,Demand_previous!$D$2:$AY$2&amp;Demand_previous!$D$3:$AY$3, 0))/1000</f>
        <v>0.69399759615384626</v>
      </c>
      <c r="AQ65" s="314">
        <f t="array" ref="AQ65">INDEX(Demand_previous!$D$4:$AY$138, MATCH('Staging Table'!$A65, Demand_previous!$B$4:$B$138, 0), MATCH(AQ$4&amp;AQ$5,Demand_previous!$D$2:$AY$2&amp;Demand_previous!$D$3:$AY$3, 0))/1000</f>
        <v>0.13155499999999964</v>
      </c>
      <c r="AR65" s="314">
        <f t="array" ref="AR65">INDEX(Demand_previous!$D$4:$AY$138, MATCH('Staging Table'!$A65, Demand_previous!$B$4:$B$138, 0), MATCH(AR$4&amp;AR$5,Demand_previous!$D$2:$AY$2&amp;Demand_previous!$D$3:$AY$3, 0))/1000</f>
        <v>0.64401923076922984</v>
      </c>
      <c r="AS65" s="314">
        <f t="array" ref="AS65">INDEX(Demand_previous!$D$4:$AY$138, MATCH('Staging Table'!$A65, Demand_previous!$B$4:$B$138, 0), MATCH(AS$4&amp;AS$5,Demand_previous!$D$2:$AY$2&amp;Demand_previous!$D$3:$AY$3, 0))/1000</f>
        <v>0.67122836538461605</v>
      </c>
      <c r="AT65" s="314">
        <f t="array" ref="AT65">INDEX(Demand_previous!$D$4:$AY$138, MATCH('Staging Table'!$A65, Demand_previous!$B$4:$B$138, 0), MATCH(AT$4&amp;AT$5,Demand_previous!$D$2:$AY$2&amp;Demand_previous!$D$3:$AY$3, 0))/1000</f>
        <v>1.1903269230769229</v>
      </c>
      <c r="AU65" s="314">
        <f t="array" ref="AU65">INDEX(Demand_previous!$D$4:$AY$138, MATCH('Staging Table'!$A65, Demand_previous!$B$4:$B$138, 0), MATCH(AU$4&amp;AU$5,Demand_previous!$D$2:$AY$2&amp;Demand_previous!$D$3:$AY$3, 0))/1000</f>
        <v>0</v>
      </c>
      <c r="AV65" s="192">
        <f>$F65*(VLOOKUP(AV$4, Rates_previous!$G$6:$Q$29, 10, FALSE)+VLOOKUP(AV$4, Rates_previous!$G$6:$Q$29, 11, FALSE))</f>
        <v>6044.0682095639995</v>
      </c>
      <c r="AW65" s="192">
        <f>$F65*(VLOOKUP(AW$4, Rates_previous!$G$6:$Q$29, 10, FALSE)+VLOOKUP(AW$4, Rates_previous!$G$6:$Q$29, 11, FALSE))</f>
        <v>7677.852109851</v>
      </c>
      <c r="AX65" s="192">
        <f>$F65*(VLOOKUP(AX$4, Rates_previous!$G$6:$Q$29, 10, FALSE)+VLOOKUP(AX$4, Rates_previous!$G$6:$Q$29, 11, FALSE))</f>
        <v>7585.1316565640009</v>
      </c>
      <c r="AY65" s="192">
        <f>$F65*(VLOOKUP(AY$4, Rates_previous!$G$6:$Q$29, 10, FALSE)+VLOOKUP(AY$4, Rates_previous!$G$6:$Q$29, 11, FALSE))</f>
        <v>6322.6692245640006</v>
      </c>
      <c r="AZ65" s="192">
        <f>$F65*(VLOOKUP(AZ$4, Rates_previous!$G$6:$Q$29, 10, FALSE)+VLOOKUP(AZ$4, Rates_previous!$G$6:$Q$29, 11, FALSE))</f>
        <v>5727.6823912</v>
      </c>
      <c r="BA65" s="192">
        <f>$F65*(VLOOKUP(BA$4, Rates_previous!$G$6:$Q$29, 10, FALSE)+VLOOKUP(BA$4, Rates_previous!$G$6:$Q$29, 11, FALSE))</f>
        <v>6371.002401533</v>
      </c>
      <c r="BB65" s="192">
        <f>$F65*(VLOOKUP(BB$4, Rates_previous!$G$6:$Q$29, 10, FALSE)+VLOOKUP(BB$4, Rates_previous!$G$6:$Q$29, 11, FALSE))</f>
        <v>5187.2770303200004</v>
      </c>
      <c r="BC65" s="192">
        <f>$F65*(VLOOKUP(BC$4, Rates_previous!$G$6:$Q$29, 10, FALSE)+VLOOKUP(BC$4, Rates_previous!$G$6:$Q$29, 11, FALSE))</f>
        <v>6995.8165840640013</v>
      </c>
      <c r="BD65" s="192">
        <f>$F65*(VLOOKUP(BD$4, Rates_previous!$G$6:$Q$29, 10, FALSE)+VLOOKUP(BD$4, Rates_previous!$G$6:$Q$29, 11, FALSE))</f>
        <v>8926.1861658200014</v>
      </c>
      <c r="BE65" s="192">
        <f>$F65*(VLOOKUP(BE$4, Rates_previous!$G$6:$Q$29, 10, FALSE)+VLOOKUP(BE$4, Rates_previous!$G$6:$Q$29, 11, FALSE))</f>
        <v>6998.4129855640012</v>
      </c>
      <c r="BF65" s="192">
        <f>$F65*(VLOOKUP(BF$4, Rates_previous!$G$6:$Q$29, 10, FALSE)+VLOOKUP(BF$4, Rates_previous!$G$6:$Q$29, 11, FALSE))</f>
        <v>6815.0607010640006</v>
      </c>
      <c r="BG65" s="192">
        <f>$F65*(VLOOKUP(BG$4, Rates_previous!$G$6:$Q$29, 10, FALSE)+VLOOKUP(BG$4, Rates_previous!$G$6:$Q$29, 11, FALSE))</f>
        <v>6118.4747593200009</v>
      </c>
      <c r="BH65" s="314">
        <f>IF($D65=0,IF(C65=0, MAX(BJ65 - (VLOOKUP($A65,TOCA_previous!$A$2:$AI$137,MATCH("RHWM 2020",TOCA_previous!$A$2:$AI$2,0),FALSE)*$F$2*TOCA_previous!C62),0),0), 0)</f>
        <v>0</v>
      </c>
      <c r="BI65" s="204">
        <f>MIN(VLOOKUP($A65,TOCA_previous!$A$2:$AI$137,MATCH("TRL - NLSL - Existing Resource "&amp;$F$1,TOCA_previous!$A$2:$AI$2,0),FALSE)*$F$2,(VLOOKUP($A65,TOCA_previous!$A$2:$AI$137,MATCH("RHWM 2020",TOCA_previous!$A$2:$AI$2,0),FALSE)*$F$2))</f>
        <v>80768.88</v>
      </c>
      <c r="BJ65" s="418">
        <f>SUM(L65:AI65)+(F65*RT1SC!$C$3*$F$2)</f>
        <v>72250.230031643994</v>
      </c>
      <c r="BK65" s="417">
        <f>VLOOKUP($A65,TOCA_previous!$A$2:$AI$137,MATCH("Above RHWM Not Served with LS "&amp;$F$1,TOCA_previous!$A$2:$AI$2,0),FALSE)*$F$2</f>
        <v>0</v>
      </c>
      <c r="BL65" s="418">
        <f t="shared" si="8"/>
        <v>-8518.6499683560105</v>
      </c>
      <c r="BM65" s="417">
        <f>(VLOOKUP($A65,TOCA_previous!$A$2:$AI$137,MATCH("RHWM 2020",TOCA_previous!$A$2:$AI$2,0),FALSE)*$F$2) - $BI65</f>
        <v>21151.871999999988</v>
      </c>
      <c r="BN65" s="418">
        <f t="shared" si="9"/>
        <v>0</v>
      </c>
      <c r="BO65" s="417">
        <f t="shared" si="10"/>
        <v>8518.6499683560105</v>
      </c>
      <c r="BP65" s="418">
        <f t="shared" si="11"/>
        <v>0</v>
      </c>
      <c r="BQ65" s="417">
        <f t="shared" si="18"/>
        <v>8518.6499683560105</v>
      </c>
      <c r="BR65" s="120">
        <f>VLOOKUP($A65,TOCA_current!$A$2:$AI$137,MATCH(BR$4,TOCA_current!$A$2:$AI$2,0),FALSE)</f>
        <v>1.3221999999999999E-3</v>
      </c>
      <c r="BS65" s="120">
        <f>VLOOKUP($A65,TOCA_current!$A$2:$AI$137,MATCH(BS$4,TOCA_current!$A$2:$AI$2,0),FALSE)</f>
        <v>1.3221999999999999E-3</v>
      </c>
      <c r="BT65" s="201">
        <f t="shared" si="12"/>
        <v>0</v>
      </c>
      <c r="BU65" s="120">
        <f>VLOOKUP($A65,TOCA_current!A61:BG196,MATCH(BU$4,TOCA_current!$A$2:$BG$2,0),FALSE)</f>
        <v>7.0000000000000007E-2</v>
      </c>
      <c r="BV65" s="120">
        <f t="shared" si="19"/>
        <v>0</v>
      </c>
      <c r="BW65" s="120">
        <f t="shared" si="20"/>
        <v>0</v>
      </c>
      <c r="BX65" s="191">
        <f>VLOOKUP($A65,IRD!$A$4:$G$139, 7, FALSE)</f>
        <v>0</v>
      </c>
      <c r="BY65" s="192">
        <f t="array" ref="BY65">IF($BT65=0, INDEX(LS_current!$D$4:$AY$138, MATCH('Staging Table'!$A65, LS_current!$B$4:$B$138, 0), MATCH(BY$4&amp;BY$5, LS_current!$D$2:$AY$2&amp;LS_current!$D$3:$AY$3, 0)),SUM(VLOOKUP($A65, LS_current!$B$4:$AY$138, LS_current!D$148, FALSE), VLOOKUP($A65, LS_current!$B$4:$AY$138,LS_current!AB$148, FALSE))/2)</f>
        <v>-602.06188776883801</v>
      </c>
      <c r="BZ65" s="192">
        <f t="array" ref="BZ65">IF($BT65=0, INDEX(LS_current!$D$4:$AY$138, MATCH('Staging Table'!$A65, LS_current!$B$4:$B$138, 0), MATCH(BZ$4&amp;BZ$5, LS_current!$D$2:$AY$2&amp;LS_current!$D$3:$AY$3, 0)),SUM(VLOOKUP($A65, LS_current!$B$4:$AY$138, LS_current!E$148, FALSE), VLOOKUP($A65, LS_current!$B$4:$AY$138,LS_current!AC$148, FALSE))/2)</f>
        <v>-22.912981364000643</v>
      </c>
      <c r="CA65" s="192">
        <f t="array" ref="CA65">IF($BT65=0, INDEX(LS_current!$D$4:$AY$138, MATCH('Staging Table'!$A65, LS_current!$B$4:$B$138, 0), MATCH(CA$4&amp;CA$5, LS_current!$D$2:$AY$2&amp;LS_current!$D$3:$AY$3, 0)),SUM(VLOOKUP($A65, LS_current!$B$4:$AY$138, LS_current!F$148, FALSE), VLOOKUP($A65, LS_current!$B$4:$AY$138,LS_current!AD$148, FALSE))/2)</f>
        <v>-1009.0601045084818</v>
      </c>
      <c r="CB65" s="192">
        <f t="array" ref="CB65">IF($BT65=0, INDEX(LS_current!$D$4:$AY$138, MATCH('Staging Table'!$A65, LS_current!$B$4:$B$138, 0), MATCH(CB$4&amp;CB$5, LS_current!$D$2:$AY$2&amp;LS_current!$D$3:$AY$3, 0)),SUM(VLOOKUP($A65, LS_current!$B$4:$AY$138, LS_current!G$148, FALSE), VLOOKUP($A65, LS_current!$B$4:$AY$138,LS_current!AE$148, FALSE))/2)</f>
        <v>-237.28718815844604</v>
      </c>
      <c r="CC65" s="192">
        <f t="array" ref="CC65">IF($BT65=0, INDEX(LS_current!$D$4:$AY$138, MATCH('Staging Table'!$A65, LS_current!$B$4:$B$138, 0), MATCH(CC$4&amp;CC$5, LS_current!$D$2:$AY$2&amp;LS_current!$D$3:$AY$3, 0)),SUM(VLOOKUP($A65, LS_current!$B$4:$AY$138, LS_current!H$148, FALSE), VLOOKUP($A65, LS_current!$B$4:$AY$138,LS_current!AF$148, FALSE))/2)</f>
        <v>770.25046888588713</v>
      </c>
      <c r="CD65" s="192">
        <f t="array" ref="CD65">IF($BT65=0, INDEX(LS_current!$D$4:$AY$138, MATCH('Staging Table'!$A65, LS_current!$B$4:$B$138, 0), MATCH(CD$4&amp;CD$5, LS_current!$D$2:$AY$2&amp;LS_current!$D$3:$AY$3, 0)),SUM(VLOOKUP($A65, LS_current!$B$4:$AY$138, LS_current!I$148, FALSE), VLOOKUP($A65, LS_current!$B$4:$AY$138,LS_current!AG$148, FALSE))/2)</f>
        <v>541.48537929343956</v>
      </c>
      <c r="CE65" s="192">
        <f t="array" ref="CE65">IF($BT65=0, INDEX(LS_current!$D$4:$AY$138, MATCH('Staging Table'!$A65, LS_current!$B$4:$B$138, 0), MATCH(CE$4&amp;CE$5, LS_current!$D$2:$AY$2&amp;LS_current!$D$3:$AY$3, 0)),SUM(VLOOKUP($A65, LS_current!$B$4:$AY$138, LS_current!J$148, FALSE), VLOOKUP($A65, LS_current!$B$4:$AY$138,LS_current!AH$148, FALSE))/2)</f>
        <v>1827.4892873372551</v>
      </c>
      <c r="CF65" s="192">
        <f t="array" ref="CF65">IF($BT65=0, INDEX(LS_current!$D$4:$AY$138, MATCH('Staging Table'!$A65, LS_current!$B$4:$B$138, 0), MATCH(CF$4&amp;CF$5, LS_current!$D$2:$AY$2&amp;LS_current!$D$3:$AY$3, 0)),SUM(VLOOKUP($A65, LS_current!$B$4:$AY$138, LS_current!K$148, FALSE), VLOOKUP($A65, LS_current!$B$4:$AY$138,LS_current!AI$148, FALSE))/2)</f>
        <v>1287.2870102043903</v>
      </c>
      <c r="CG65" s="192">
        <f t="array" ref="CG65">IF($BT65=0, INDEX(LS_current!$D$4:$AY$138, MATCH('Staging Table'!$A65, LS_current!$B$4:$B$138, 0), MATCH(CG$4&amp;CG$5, LS_current!$D$2:$AY$2&amp;LS_current!$D$3:$AY$3, 0)),SUM(VLOOKUP($A65, LS_current!$B$4:$AY$138, LS_current!L$148, FALSE), VLOOKUP($A65, LS_current!$B$4:$AY$138,LS_current!AJ$148, FALSE))/2)</f>
        <v>1102.8433211371821</v>
      </c>
      <c r="CH65" s="192">
        <f t="array" ref="CH65">IF($BT65=0, INDEX(LS_current!$D$4:$AY$138, MATCH('Staging Table'!$A65, LS_current!$B$4:$B$138, 0), MATCH(CH$4&amp;CH$5, LS_current!$D$2:$AY$2&amp;LS_current!$D$3:$AY$3, 0)),SUM(VLOOKUP($A65, LS_current!$B$4:$AY$138, LS_current!M$148, FALSE), VLOOKUP($A65, LS_current!$B$4:$AY$138,LS_current!AK$148, FALSE))/2)</f>
        <v>762.05943724057761</v>
      </c>
      <c r="CI65" s="192">
        <f t="array" ref="CI65">IF($BT65=0, INDEX(LS_current!$D$4:$AY$138, MATCH('Staging Table'!$A65, LS_current!$B$4:$B$138, 0), MATCH(CI$4&amp;CI$5, LS_current!$D$2:$AY$2&amp;LS_current!$D$3:$AY$3, 0)),SUM(VLOOKUP($A65, LS_current!$B$4:$AY$138, LS_current!N$148, FALSE), VLOOKUP($A65, LS_current!$B$4:$AY$138,LS_current!AL$148, FALSE))/2)</f>
        <v>100.60914191593565</v>
      </c>
      <c r="CJ65" s="192">
        <f t="array" ref="CJ65">IF($BT65=0, INDEX(LS_current!$D$4:$AY$138, MATCH('Staging Table'!$A65, LS_current!$B$4:$B$138, 0), MATCH(CJ$4&amp;CJ$5, LS_current!$D$2:$AY$2&amp;LS_current!$D$3:$AY$3, 0)),SUM(VLOOKUP($A65, LS_current!$B$4:$AY$138, LS_current!O$148, FALSE), VLOOKUP($A65, LS_current!$B$4:$AY$138,LS_current!AM$148, FALSE))/2)</f>
        <v>368.55842966131149</v>
      </c>
      <c r="CK65" s="192">
        <f t="array" ref="CK65">IF($BT65=0, INDEX(LS_current!$D$4:$AY$138, MATCH('Staging Table'!$A65, LS_current!$B$4:$B$138, 0), MATCH(CK$4&amp;CK$5, LS_current!$D$2:$AY$2&amp;LS_current!$D$3:$AY$3, 0)),SUM(VLOOKUP($A65, LS_current!$B$4:$AY$138, LS_current!P$148, FALSE), VLOOKUP($A65, LS_current!$B$4:$AY$138,LS_current!AN$148, FALSE))/2)</f>
        <v>412.47091509329493</v>
      </c>
      <c r="CL65" s="192">
        <f t="array" ref="CL65">IF($BT65=0, INDEX(LS_current!$D$4:$AY$138, MATCH('Staging Table'!$A65, LS_current!$B$4:$B$138, 0), MATCH(CL$4&amp;CL$5, LS_current!$D$2:$AY$2&amp;LS_current!$D$3:$AY$3, 0)),SUM(VLOOKUP($A65, LS_current!$B$4:$AY$138, LS_current!Q$148, FALSE), VLOOKUP($A65, LS_current!$B$4:$AY$138,LS_current!AO$148, FALSE))/2)</f>
        <v>496.59236555967118</v>
      </c>
      <c r="CM65" s="192">
        <f t="array" ref="CM65">IF($BT65=0, INDEX(LS_current!$D$4:$AY$138, MATCH('Staging Table'!$A65, LS_current!$B$4:$B$138, 0), MATCH(CM$4&amp;CM$5, LS_current!$D$2:$AY$2&amp;LS_current!$D$3:$AY$3, 0)),SUM(VLOOKUP($A65, LS_current!$B$4:$AY$138, LS_current!R$148, FALSE), VLOOKUP($A65, LS_current!$B$4:$AY$138,LS_current!AP$148, FALSE))/2)</f>
        <v>-1905.4493311340252</v>
      </c>
      <c r="CN65" s="192">
        <f t="array" ref="CN65">IF($BT65=0, INDEX(LS_current!$D$4:$AY$138, MATCH('Staging Table'!$A65, LS_current!$B$4:$B$138, 0), MATCH(CN$4&amp;CN$5, LS_current!$D$2:$AY$2&amp;LS_current!$D$3:$AY$3, 0)),SUM(VLOOKUP($A65, LS_current!$B$4:$AY$138, LS_current!S$148, FALSE), VLOOKUP($A65, LS_current!$B$4:$AY$138,LS_current!AQ$148, FALSE))/2)</f>
        <v>-278.45309546490398</v>
      </c>
      <c r="CO65" s="192">
        <f t="array" ref="CO65">IF($BT65=0, INDEX(LS_current!$D$4:$AY$138, MATCH('Staging Table'!$A65, LS_current!$B$4:$B$138, 0), MATCH(CO$4&amp;CO$5, LS_current!$D$2:$AY$2&amp;LS_current!$D$3:$AY$3, 0)),SUM(VLOOKUP($A65, LS_current!$B$4:$AY$138, LS_current!T$148, FALSE), VLOOKUP($A65, LS_current!$B$4:$AY$138,LS_current!AR$148, FALSE))/2)</f>
        <v>-2631.1518974641458</v>
      </c>
      <c r="CP65" s="192">
        <f t="array" ref="CP65">IF($BT65=0, INDEX(LS_current!$D$4:$AY$138, MATCH('Staging Table'!$A65, LS_current!$B$4:$B$138, 0), MATCH(CP$4&amp;CP$5, LS_current!$D$2:$AY$2&amp;LS_current!$D$3:$AY$3, 0)),SUM(VLOOKUP($A65, LS_current!$B$4:$AY$138, LS_current!U$148, FALSE), VLOOKUP($A65, LS_current!$B$4:$AY$138,LS_current!AS$148, FALSE))/2)</f>
        <v>-402.64273766110341</v>
      </c>
      <c r="CQ65" s="192">
        <f t="array" ref="CQ65">IF($BT65=0, INDEX(LS_current!$D$4:$AY$138, MATCH('Staging Table'!$A65, LS_current!$B$4:$B$138, 0), MATCH(CQ$4&amp;CQ$5, LS_current!$D$2:$AY$2&amp;LS_current!$D$3:$AY$3, 0)),SUM(VLOOKUP($A65, LS_current!$B$4:$AY$138, LS_current!V$148, FALSE), VLOOKUP($A65, LS_current!$B$4:$AY$138,LS_current!AT$148, FALSE))/2)</f>
        <v>-1788.5826357910805</v>
      </c>
      <c r="CR65" s="192">
        <f t="array" ref="CR65">IF($BT65=0, INDEX(LS_current!$D$4:$AY$138, MATCH('Staging Table'!$A65, LS_current!$B$4:$B$138, 0), MATCH(CR$4&amp;CR$5, LS_current!$D$2:$AY$2&amp;LS_current!$D$3:$AY$3, 0)),SUM(VLOOKUP($A65, LS_current!$B$4:$AY$138, LS_current!W$148, FALSE), VLOOKUP($A65, LS_current!$B$4:$AY$138,LS_current!AU$148, FALSE))/2)</f>
        <v>-377.78479659273307</v>
      </c>
      <c r="CS65" s="192">
        <f t="array" ref="CS65">IF($BT65=0, INDEX(LS_current!$D$4:$AY$138, MATCH('Staging Table'!$A65, LS_current!$B$4:$B$138, 0), MATCH(CS$4&amp;CS$5, LS_current!$D$2:$AY$2&amp;LS_current!$D$3:$AY$3, 0)),SUM(VLOOKUP($A65, LS_current!$B$4:$AY$138, LS_current!X$148, FALSE), VLOOKUP($A65, LS_current!$B$4:$AY$138,LS_current!AV$148, FALSE))/2)</f>
        <v>-1709.7816530148671</v>
      </c>
      <c r="CT65" s="192">
        <f t="array" ref="CT65">IF($BT65=0, INDEX(LS_current!$D$4:$AY$138, MATCH('Staging Table'!$A65, LS_current!$B$4:$B$138, 0), MATCH(CT$4&amp;CT$5, LS_current!$D$2:$AY$2&amp;LS_current!$D$3:$AY$3, 0)),SUM(VLOOKUP($A65, LS_current!$B$4:$AY$138, LS_current!Y$148, FALSE), VLOOKUP($A65, LS_current!$B$4:$AY$138,LS_current!AW$148, FALSE))/2)</f>
        <v>-434.45835939742278</v>
      </c>
      <c r="CU65" s="192">
        <f t="array" ref="CU65">IF($BT65=0, INDEX(LS_current!$D$4:$AY$138, MATCH('Staging Table'!$A65, LS_current!$B$4:$B$138, 0), MATCH(CU$4&amp;CU$5, LS_current!$D$2:$AY$2&amp;LS_current!$D$3:$AY$3, 0)),SUM(VLOOKUP($A65, LS_current!$B$4:$AY$138, LS_current!Z$148, FALSE), VLOOKUP($A65, LS_current!$B$4:$AY$138,LS_current!AX$148, FALSE))/2)</f>
        <v>-1544.9674987765775</v>
      </c>
      <c r="CV65" s="192">
        <f t="array" ref="CV65">IF($BT65=0, INDEX(LS_current!$D$4:$AY$138, MATCH('Staging Table'!$A65, LS_current!$B$4:$B$138, 0), MATCH(CV$4&amp;CV$5, LS_current!$D$2:$AY$2&amp;LS_current!$D$3:$AY$3, 0)),SUM(VLOOKUP($A65, LS_current!$B$4:$AY$138, LS_current!AA$148, FALSE), VLOOKUP($A65, LS_current!$B$4:$AY$138,LS_current!AY$148, FALSE))/2)</f>
        <v>-498.51009743120062</v>
      </c>
      <c r="CW65" s="194">
        <f t="array" ref="CW65">INDEX(Demand_current!$D$4:$AY$138, MATCH($A65, Demand_current!$B$4:$B$138, 0), MATCH(CW$4&amp;CW$5,Demand_current!$D$2:$AY$2&amp;Demand_current!$D$3:$AY$3, 0))/1000</f>
        <v>0</v>
      </c>
      <c r="CX65" s="194">
        <f t="array" ref="CX65">INDEX(Demand_current!$D$4:$AY$138, MATCH($A65, Demand_current!$B$4:$B$138, 0), MATCH(CX$4&amp;CX$5,Demand_current!$D$2:$AY$2&amp;Demand_current!$D$3:$AY$3, 0))/1000</f>
        <v>0</v>
      </c>
      <c r="CY65" s="194">
        <f t="array" ref="CY65">INDEX(Demand_current!$D$4:$AY$138, MATCH($A65, Demand_current!$B$4:$B$138, 0), MATCH(CY$4&amp;CY$5,Demand_current!$D$2:$AY$2&amp;Demand_current!$D$3:$AY$3, 0))/1000</f>
        <v>1.0687908653846168</v>
      </c>
      <c r="CZ65" s="194">
        <f t="array" ref="CZ65">INDEX(Demand_current!$D$4:$AY$138, MATCH($A65, Demand_current!$B$4:$B$138, 0), MATCH(CZ$4&amp;CZ$5,Demand_current!$D$2:$AY$2&amp;Demand_current!$D$3:$AY$3, 0))/1000</f>
        <v>0.40648000000000151</v>
      </c>
      <c r="DA65" s="194">
        <f t="array" ref="DA65">INDEX(Demand_current!$D$4:$AY$138, MATCH($A65, Demand_current!$B$4:$B$138, 0), MATCH(DA$4&amp;DA$5,Demand_current!$D$2:$AY$2&amp;Demand_current!$D$3:$AY$3, 0))/1000</f>
        <v>0.95082031250000121</v>
      </c>
      <c r="DB65" s="194">
        <f t="array" ref="DB65">INDEX(Demand_current!$D$4:$AY$138, MATCH($A65, Demand_current!$B$4:$B$138, 0), MATCH(DB$4&amp;DB$5,Demand_current!$D$2:$AY$2&amp;Demand_current!$D$3:$AY$3, 0))/1000</f>
        <v>0.14496064814814913</v>
      </c>
      <c r="DC65" s="194">
        <f t="array" ref="DC65">INDEX(Demand_current!$D$4:$AY$138, MATCH($A65, Demand_current!$B$4:$B$138, 0), MATCH(DC$4&amp;DC$5,Demand_current!$D$2:$AY$2&amp;Demand_current!$D$3:$AY$3, 0))/1000</f>
        <v>0.69399759615384626</v>
      </c>
      <c r="DD65" s="194">
        <f t="array" ref="DD65">INDEX(Demand_current!$D$4:$AY$138, MATCH($A65, Demand_current!$B$4:$B$138, 0), MATCH(DD$4&amp;DD$5,Demand_current!$D$2:$AY$2&amp;Demand_current!$D$3:$AY$3, 0))/1000</f>
        <v>0.13155499999999964</v>
      </c>
      <c r="DE65" s="194">
        <f t="array" ref="DE65">INDEX(Demand_current!$D$4:$AY$138, MATCH($A65, Demand_current!$B$4:$B$138, 0), MATCH(DE$4&amp;DE$5,Demand_current!$D$2:$AY$2&amp;Demand_current!$D$3:$AY$3, 0))/1000</f>
        <v>0.64401923076922984</v>
      </c>
      <c r="DF65" s="194">
        <f t="array" ref="DF65">INDEX(Demand_current!$D$4:$AY$138, MATCH($A65, Demand_current!$B$4:$B$138, 0), MATCH(DF$4&amp;DF$5,Demand_current!$D$2:$AY$2&amp;Demand_current!$D$3:$AY$3, 0))/1000</f>
        <v>0.39755750000000045</v>
      </c>
      <c r="DG65" s="194">
        <f t="array" ref="DG65">INDEX(Demand_current!$D$4:$AY$138, MATCH($A65, Demand_current!$B$4:$B$138, 0), MATCH(DG$4&amp;DG$5,Demand_current!$D$2:$AY$2&amp;Demand_current!$D$3:$AY$3, 0))/1000</f>
        <v>1.4413148148148138</v>
      </c>
      <c r="DH65" s="194">
        <f t="array" ref="DH65">INDEX(Demand_current!$D$4:$AY$138, MATCH($A65, Demand_current!$B$4:$B$138, 0), MATCH(DH$4&amp;DH$5,Demand_current!$D$2:$AY$2&amp;Demand_current!$D$3:$AY$3, 0))/1000</f>
        <v>0</v>
      </c>
      <c r="DI65" s="192">
        <f>$BS65*(VLOOKUP(DI$4, Rates_current!$G$6:$Q$29, 10, FALSE)+VLOOKUP(DI$4, Rates_current!$G$6:$Q$29, 11, FALSE))</f>
        <v>6021.1988691328379</v>
      </c>
      <c r="DJ65" s="192">
        <f>$BS65*(VLOOKUP(DJ$4, Rates_current!$G$6:$Q$29, 10, FALSE)+VLOOKUP(DJ$4, Rates_current!$G$6:$Q$29, 11, FALSE))</f>
        <v>7623.056292666929</v>
      </c>
      <c r="DK65" s="192">
        <f>$BS65*(VLOOKUP(DK$4, Rates_current!$G$6:$Q$29, 10, FALSE)+VLOOKUP(DK$4, Rates_current!$G$6:$Q$29, 11, FALSE))</f>
        <v>7461.4491518206733</v>
      </c>
      <c r="DL65" s="192">
        <f>$BS65*(VLOOKUP(DL$4, Rates_current!$G$6:$Q$29, 10, FALSE)+VLOOKUP(DL$4, Rates_current!$G$6:$Q$29, 11, FALSE))</f>
        <v>6162.8397024583546</v>
      </c>
      <c r="DM65" s="192">
        <f>$BS65*(VLOOKUP(DM$4, Rates_current!$G$6:$Q$29, 10, FALSE)+VLOOKUP(DM$4, Rates_current!$G$6:$Q$29, 11, FALSE))</f>
        <v>5341.4682416222404</v>
      </c>
      <c r="DN65" s="192">
        <f>$BS65*(VLOOKUP(DN$4, Rates_current!$G$6:$Q$29, 10, FALSE)+VLOOKUP(DN$4, Rates_current!$G$6:$Q$29, 11, FALSE))</f>
        <v>6376.6344284227544</v>
      </c>
      <c r="DO65" s="192">
        <f>$BS65*(VLOOKUP(DO$4, Rates_current!$G$6:$Q$29, 10, FALSE)+VLOOKUP(DO$4, Rates_current!$G$6:$Q$29, 11, FALSE))</f>
        <v>4950.6077193470337</v>
      </c>
      <c r="DP65" s="192">
        <f>$BS65*(VLOOKUP(DP$4, Rates_current!$G$6:$Q$29, 10, FALSE)+VLOOKUP(DP$4, Rates_current!$G$6:$Q$29, 11, FALSE))</f>
        <v>6859.1034265989283</v>
      </c>
      <c r="DQ65" s="192">
        <f>$BS65*(VLOOKUP(DQ$4, Rates_current!$G$6:$Q$29, 10, FALSE)+VLOOKUP(DQ$4, Rates_current!$G$6:$Q$29, 11, FALSE))</f>
        <v>7329.0956351252489</v>
      </c>
      <c r="DR65" s="192">
        <f>$BS65*(VLOOKUP(DR$4, Rates_current!$G$6:$Q$29, 10, FALSE)+VLOOKUP(DR$4, Rates_current!$G$6:$Q$29, 11, FALSE))</f>
        <v>6958.644432383815</v>
      </c>
      <c r="DS65" s="192">
        <f>$BS65*(VLOOKUP(DS$4, Rates_current!$G$6:$Q$29, 10, FALSE)+VLOOKUP(DS$4, Rates_current!$G$6:$Q$29, 11, FALSE))</f>
        <v>6724.9930124122902</v>
      </c>
      <c r="DT65" s="192">
        <f>$BS65*(VLOOKUP(DT$4, Rates_current!$G$6:$Q$29, 10, FALSE)+VLOOKUP(DT$4, Rates_current!$G$6:$Q$29, 11, FALSE))</f>
        <v>6214.5945962077776</v>
      </c>
      <c r="DU65" s="418">
        <f>IF(D65=0,IF(C65=0,MAX(0,DW65 - (VLOOKUP($A65,TOCA_current!$A$2:$AI$137,MATCH("RHWM 2022",TOCA_current!$A$2:$AI$2,0),FALSE)*$BS$2)), 0),0)</f>
        <v>0</v>
      </c>
      <c r="DV65" s="419">
        <f>MIN(VLOOKUP($A65,TOCA_current!$A$2:$AI$137,MATCH("TRL - NLSL - Existing Resource "&amp;$BS$1,TOCA_current!$A$2:$AI$2,0),FALSE)*$BS$2, VLOOKUP($A65,TOCA_current!$A$2:$AI$137,MATCH("RHWM 2022",TOCA_current!$A$2:$AI$2,0),FALSE)*$BS$2)</f>
        <v>78025.320000000007</v>
      </c>
      <c r="DW65" s="419">
        <f>SUM(BY65:CV65)+(BS65*RT1SC!$C$4*$BS$2)</f>
        <v>72250.230991249133</v>
      </c>
      <c r="DX65" s="419">
        <f>VLOOKUP($A65,TOCA_current!$A$2:$AI$137,MATCH("Above RHWM Not Served with LS "&amp;$BS$1,TOCA_current!$A$2:$AI$2,0),FALSE)*$BS$2</f>
        <v>0</v>
      </c>
      <c r="DY65" s="419">
        <f t="shared" si="13"/>
        <v>-5775.0890087508742</v>
      </c>
      <c r="DZ65" s="419">
        <f>(VLOOKUP($A65,TOCA_current!$A$2:$AI$137,MATCH("RHWM 2022",TOCA_current!$A$2:$AI$2,0),FALSE)*$BS$2) - $DV65</f>
        <v>19447.199999999997</v>
      </c>
      <c r="EA65" s="419">
        <f t="shared" si="14"/>
        <v>0</v>
      </c>
      <c r="EB65" s="419">
        <f t="shared" si="15"/>
        <v>5775.0890087508742</v>
      </c>
      <c r="EC65" s="419">
        <f t="shared" si="16"/>
        <v>0</v>
      </c>
      <c r="ED65" s="419">
        <f t="shared" si="17"/>
        <v>5775.0890087508742</v>
      </c>
    </row>
    <row r="66" spans="1:134">
      <c r="A66" s="135">
        <v>10179</v>
      </c>
      <c r="B66" s="136" t="s">
        <v>67</v>
      </c>
      <c r="C66" s="244">
        <f>VLOOKUP(A66, TOCA_current!$A$3:$D$137, 4, FALSE)</f>
        <v>0</v>
      </c>
      <c r="D66" s="203">
        <v>0</v>
      </c>
      <c r="E66" s="119">
        <f>VLOOKUP($A66,TOCA_previous!$A$2:$AI$137,MATCH(E$4,TOCA_previous!$A$2:$AI$2,0),FALSE)</f>
        <v>2.3622799999999999E-2</v>
      </c>
      <c r="F66" s="120">
        <f>VLOOKUP($A66,TOCA_previous!$A$2:$AI$137,MATCH(F$4,TOCA_previous!$A$2:$AI$2,0),FALSE)</f>
        <v>2.3622799999999999E-2</v>
      </c>
      <c r="G66" s="120">
        <f t="shared" si="5"/>
        <v>0</v>
      </c>
      <c r="H66" s="120">
        <f>VLOOKUP($A66,TOCA_previous!$A$2:$AI$137,MATCH(H$4,TOCA_previous!$A$2:$AI$2,0),FALSE)</f>
        <v>0</v>
      </c>
      <c r="I66" s="120">
        <f t="shared" si="6"/>
        <v>0</v>
      </c>
      <c r="J66" s="120">
        <f t="shared" si="7"/>
        <v>0</v>
      </c>
      <c r="K66" s="191">
        <f>VLOOKUP(A66, IRD!$A$5:$C$139, 3, FALSE)</f>
        <v>0</v>
      </c>
      <c r="L66" s="192">
        <f t="array" ref="L66">IF($G66=0, INDEX(LS_previous!$D$4:$AY$138, MATCH('Staging Table'!$A66, LS_previous!$B$4:$B$138, 0), MATCH(L$4&amp;L$5, LS_previous!$D$2:$AY$2&amp;LS_previous!$D$3:$AY$3, 0)),SUM(VLOOKUP($A66, LS_previous!$B$4:$AY$138, LS_previous!D$149, FALSE), VLOOKUP('Staging Table'!$A66, LS_previous!$B$4:$AY$138,LS_previous!AB$149, FALSE))/2)</f>
        <v>3250.5201523535943</v>
      </c>
      <c r="M66" s="192">
        <f t="array" ref="M66">IF($G66=0, INDEX(LS_previous!$D$4:$AY$138, MATCH('Staging Table'!$A66, LS_previous!$B$4:$B$138, 0), MATCH(M$4&amp;M$5, LS_previous!$D$2:$AY$2&amp;LS_previous!$D$3:$AY$3, 0)),SUM(VLOOKUP($A66, LS_previous!$B$4:$AY$138, LS_previous!E$149, FALSE), VLOOKUP('Staging Table'!$A66, LS_previous!$B$4:$AY$138,LS_previous!AC$149, FALSE))/2)</f>
        <v>6945.5491899776025</v>
      </c>
      <c r="N66" s="192">
        <f t="array" ref="N66">IF($G66=0, INDEX(LS_previous!$D$4:$AY$138, MATCH('Staging Table'!$A66, LS_previous!$B$4:$B$138, 0), MATCH(N$4&amp;N$5, LS_previous!$D$2:$AY$2&amp;LS_previous!$D$3:$AY$3, 0)),SUM(VLOOKUP($A66, LS_previous!$B$4:$AY$138, LS_previous!F$149, FALSE), VLOOKUP('Staging Table'!$A66, LS_previous!$B$4:$AY$138,LS_previous!AD$149, FALSE))/2)</f>
        <v>-10160.739640438405</v>
      </c>
      <c r="O66" s="192">
        <f t="array" ref="O66">IF($G66=0, INDEX(LS_previous!$D$4:$AY$138, MATCH('Staging Table'!$A66, LS_previous!$B$4:$B$138, 0), MATCH(O$4&amp;O$5, LS_previous!$D$2:$AY$2&amp;LS_previous!$D$3:$AY$3, 0)),SUM(VLOOKUP($A66, LS_previous!$B$4:$AY$138, LS_previous!G$149, FALSE), VLOOKUP('Staging Table'!$A66, LS_previous!$B$4:$AY$138,LS_previous!AE$149, FALSE))/2)</f>
        <v>1588.0203221892007</v>
      </c>
      <c r="P66" s="192">
        <f t="array" ref="P66">IF($G66=0, INDEX(LS_previous!$D$4:$AY$138, MATCH('Staging Table'!$A66, LS_previous!$B$4:$B$138, 0), MATCH(P$4&amp;P$5, LS_previous!$D$2:$AY$2&amp;LS_previous!$D$3:$AY$3, 0)),SUM(VLOOKUP($A66, LS_previous!$B$4:$AY$138, LS_previous!H$149, FALSE), VLOOKUP('Staging Table'!$A66, LS_previous!$B$4:$AY$138,LS_previous!AF$149, FALSE))/2)</f>
        <v>13569.644728678395</v>
      </c>
      <c r="Q66" s="192">
        <f t="array" ref="Q66">IF($G66=0, INDEX(LS_previous!$D$4:$AY$138, MATCH('Staging Table'!$A66, LS_previous!$B$4:$B$138, 0), MATCH(Q$4&amp;Q$5, LS_previous!$D$2:$AY$2&amp;LS_previous!$D$3:$AY$3, 0)),SUM(VLOOKUP($A66, LS_previous!$B$4:$AY$138, LS_previous!I$149, FALSE), VLOOKUP('Staging Table'!$A66, LS_previous!$B$4:$AY$138,LS_previous!AG$149, FALSE))/2)</f>
        <v>17109.5937612528</v>
      </c>
      <c r="R66" s="192">
        <f t="array" ref="R66">IF($G66=0, INDEX(LS_previous!$D$4:$AY$138, MATCH('Staging Table'!$A66, LS_previous!$B$4:$B$138, 0), MATCH(R$4&amp;R$5, LS_previous!$D$2:$AY$2&amp;LS_previous!$D$3:$AY$3, 0)),SUM(VLOOKUP($A66, LS_previous!$B$4:$AY$138, LS_previous!J$149, FALSE), VLOOKUP('Staging Table'!$A66, LS_previous!$B$4:$AY$138,LS_previous!AH$149, FALSE))/2)</f>
        <v>30259.163901478387</v>
      </c>
      <c r="S66" s="192">
        <f t="array" ref="S66">IF($G66=0, INDEX(LS_previous!$D$4:$AY$138, MATCH('Staging Table'!$A66, LS_previous!$B$4:$B$138, 0), MATCH(S$4&amp;S$5, LS_previous!$D$2:$AY$2&amp;LS_previous!$D$3:$AY$3, 0)),SUM(VLOOKUP($A66, LS_previous!$B$4:$AY$138, LS_previous!K$149, FALSE), VLOOKUP('Staging Table'!$A66, LS_previous!$B$4:$AY$138,LS_previous!AI$149, FALSE))/2)</f>
        <v>28942.802802852806</v>
      </c>
      <c r="T66" s="192">
        <f t="array" ref="T66">IF($G66=0, INDEX(LS_previous!$D$4:$AY$138, MATCH('Staging Table'!$A66, LS_previous!$B$4:$B$138, 0), MATCH(T$4&amp;T$5, LS_previous!$D$2:$AY$2&amp;LS_previous!$D$3:$AY$3, 0)),SUM(VLOOKUP($A66, LS_previous!$B$4:$AY$138, LS_previous!L$149, FALSE), VLOOKUP('Staging Table'!$A66, LS_previous!$B$4:$AY$138,LS_previous!AJ$149, FALSE))/2)</f>
        <v>19282.8892591728</v>
      </c>
      <c r="U66" s="192">
        <f t="array" ref="U66">IF($G66=0, INDEX(LS_previous!$D$4:$AY$138, MATCH('Staging Table'!$A66, LS_previous!$B$4:$B$138, 0), MATCH(U$4&amp;U$5, LS_previous!$D$2:$AY$2&amp;LS_previous!$D$3:$AY$3, 0)),SUM(VLOOKUP($A66, LS_previous!$B$4:$AY$138, LS_previous!M$149, FALSE), VLOOKUP('Staging Table'!$A66, LS_previous!$B$4:$AY$138,LS_previous!AK$149, FALSE))/2)</f>
        <v>18014.091197787209</v>
      </c>
      <c r="V66" s="192">
        <f t="array" ref="V66">IF($G66=0, INDEX(LS_previous!$D$4:$AY$138, MATCH('Staging Table'!$A66, LS_previous!$B$4:$B$138, 0), MATCH(V$4&amp;V$5, LS_previous!$D$2:$AY$2&amp;LS_previous!$D$3:$AY$3, 0)),SUM(VLOOKUP($A66, LS_previous!$B$4:$AY$138, LS_previous!N$149, FALSE), VLOOKUP('Staging Table'!$A66, LS_previous!$B$4:$AY$138,LS_previous!AL$149, FALSE))/2)</f>
        <v>11395.764203395214</v>
      </c>
      <c r="W66" s="192">
        <f t="array" ref="W66">IF($G66=0, INDEX(LS_previous!$D$4:$AY$138, MATCH('Staging Table'!$A66, LS_previous!$B$4:$B$138, 0), MATCH(W$4&amp;W$5, LS_previous!$D$2:$AY$2&amp;LS_previous!$D$3:$AY$3, 0)),SUM(VLOOKUP($A66, LS_previous!$B$4:$AY$138, LS_previous!O$149, FALSE), VLOOKUP('Staging Table'!$A66, LS_previous!$B$4:$AY$138,LS_previous!AM$149, FALSE))/2)</f>
        <v>12379.219352041197</v>
      </c>
      <c r="X66" s="192">
        <f t="array" ref="X66">IF($G66=0, INDEX(LS_previous!$D$4:$AY$138, MATCH('Staging Table'!$A66, LS_previous!$B$4:$B$138, 0), MATCH(X$4&amp;X$5, LS_previous!$D$2:$AY$2&amp;LS_previous!$D$3:$AY$3, 0)),SUM(VLOOKUP($A66, LS_previous!$B$4:$AY$138, LS_previous!P$149, FALSE), VLOOKUP('Staging Table'!$A66, LS_previous!$B$4:$AY$138,LS_previous!AN$149, FALSE))/2)</f>
        <v>14271.2653094368</v>
      </c>
      <c r="Y66" s="192">
        <f t="array" ref="Y66">IF($G66=0, INDEX(LS_previous!$D$4:$AY$138, MATCH('Staging Table'!$A66, LS_previous!$B$4:$B$138, 0), MATCH(Y$4&amp;Y$5, LS_previous!$D$2:$AY$2&amp;LS_previous!$D$3:$AY$3, 0)),SUM(VLOOKUP($A66, LS_previous!$B$4:$AY$138, LS_previous!Q$149, FALSE), VLOOKUP('Staging Table'!$A66, LS_previous!$B$4:$AY$138,LS_previous!AO$149, FALSE))/2)</f>
        <v>12430.115213219207</v>
      </c>
      <c r="Z66" s="192">
        <f t="array" ref="Z66">IF($G66=0, INDEX(LS_previous!$D$4:$AY$138, MATCH('Staging Table'!$A66, LS_previous!$B$4:$B$138, 0), MATCH(Z$4&amp;Z$5, LS_previous!$D$2:$AY$2&amp;LS_previous!$D$3:$AY$3, 0)),SUM(VLOOKUP($A66, LS_previous!$B$4:$AY$138, LS_previous!R$149, FALSE), VLOOKUP('Staging Table'!$A66, LS_previous!$B$4:$AY$138,LS_previous!AP$149, FALSE))/2)</f>
        <v>-20499.543945880003</v>
      </c>
      <c r="AA66" s="192">
        <f t="array" ref="AA66">IF($G66=0, INDEX(LS_previous!$D$4:$AY$138, MATCH('Staging Table'!$A66, LS_previous!$B$4:$B$138, 0), MATCH(AA$4&amp;AA$5, LS_previous!$D$2:$AY$2&amp;LS_previous!$D$3:$AY$3, 0)),SUM(VLOOKUP($A66, LS_previous!$B$4:$AY$138, LS_previous!S$149, FALSE), VLOOKUP('Staging Table'!$A66, LS_previous!$B$4:$AY$138,LS_previous!AQ$149, FALSE))/2)</f>
        <v>-4366.4279471888003</v>
      </c>
      <c r="AB66" s="192">
        <f t="array" ref="AB66">IF($G66=0, INDEX(LS_previous!$D$4:$AY$138, MATCH('Staging Table'!$A66, LS_previous!$B$4:$B$138, 0), MATCH(AB$4&amp;AB$5, LS_previous!$D$2:$AY$2&amp;LS_previous!$D$3:$AY$3, 0)),SUM(VLOOKUP($A66, LS_previous!$B$4:$AY$138, LS_previous!T$149, FALSE), VLOOKUP('Staging Table'!$A66, LS_previous!$B$4:$AY$138,LS_previous!AR$149, FALSE))/2)</f>
        <v>-41971.023426363201</v>
      </c>
      <c r="AC66" s="192">
        <f t="array" ref="AC66">IF($G66=0, INDEX(LS_previous!$D$4:$AY$138, MATCH('Staging Table'!$A66, LS_previous!$B$4:$B$138, 0), MATCH(AC$4&amp;AC$5, LS_previous!$D$2:$AY$2&amp;LS_previous!$D$3:$AY$3, 0)),SUM(VLOOKUP($A66, LS_previous!$B$4:$AY$138, LS_previous!U$149, FALSE), VLOOKUP('Staging Table'!$A66, LS_previous!$B$4:$AY$138,LS_previous!AS$149, FALSE))/2)</f>
        <v>-20058.5031075808</v>
      </c>
      <c r="AD66" s="192">
        <f t="array" ref="AD66">IF($G66=0, INDEX(LS_previous!$D$4:$AY$138, MATCH('Staging Table'!$A66, LS_previous!$B$4:$B$138, 0), MATCH(AD$4&amp;AD$5, LS_previous!$D$2:$AY$2&amp;LS_previous!$D$3:$AY$3, 0)),SUM(VLOOKUP($A66, LS_previous!$B$4:$AY$138, LS_previous!V$149, FALSE), VLOOKUP('Staging Table'!$A66, LS_previous!$B$4:$AY$138,LS_previous!AT$149, FALSE))/2)</f>
        <v>-18360.810700363189</v>
      </c>
      <c r="AE66" s="192">
        <f t="array" ref="AE66">IF($G66=0, INDEX(LS_previous!$D$4:$AY$138, MATCH('Staging Table'!$A66, LS_previous!$B$4:$B$138, 0), MATCH(AE$4&amp;AE$5, LS_previous!$D$2:$AY$2&amp;LS_previous!$D$3:$AY$3, 0)),SUM(VLOOKUP($A66, LS_previous!$B$4:$AY$138, LS_previous!W$149, FALSE), VLOOKUP('Staging Table'!$A66, LS_previous!$B$4:$AY$138,LS_previous!AU$149, FALSE))/2)</f>
        <v>3117.9289834943993</v>
      </c>
      <c r="AF66" s="192">
        <f t="array" ref="AF66">IF($G66=0, INDEX(LS_previous!$D$4:$AY$138, MATCH('Staging Table'!$A66, LS_previous!$B$4:$B$138, 0), MATCH(AF$4&amp;AF$5, LS_previous!$D$2:$AY$2&amp;LS_previous!$D$3:$AY$3, 0)),SUM(VLOOKUP($A66, LS_previous!$B$4:$AY$138, LS_previous!X$149, FALSE), VLOOKUP('Staging Table'!$A66, LS_previous!$B$4:$AY$138,LS_previous!AV$149, FALSE))/2)</f>
        <v>-13890.263748963203</v>
      </c>
      <c r="AG66" s="192">
        <f t="array" ref="AG66">IF($G66=0, INDEX(LS_previous!$D$4:$AY$138, MATCH('Staging Table'!$A66, LS_previous!$B$4:$B$138, 0), MATCH(AG$4&amp;AG$5, LS_previous!$D$2:$AY$2&amp;LS_previous!$D$3:$AY$3, 0)),SUM(VLOOKUP($A66, LS_previous!$B$4:$AY$138, LS_previous!Y$149, FALSE), VLOOKUP('Staging Table'!$A66, LS_previous!$B$4:$AY$138,LS_previous!AW$149, FALSE))/2)</f>
        <v>307.74743949439289</v>
      </c>
      <c r="AH66" s="192">
        <f t="array" ref="AH66">IF($G66=0, INDEX(LS_previous!$D$4:$AY$138, MATCH('Staging Table'!$A66, LS_previous!$B$4:$B$138, 0), MATCH(AH$4&amp;AH$5, LS_previous!$D$2:$AY$2&amp;LS_previous!$D$3:$AY$3, 0)),SUM(VLOOKUP($A66, LS_previous!$B$4:$AY$138, LS_previous!Z$149, FALSE), VLOOKUP('Staging Table'!$A66, LS_previous!$B$4:$AY$138,LS_previous!AX$149, FALSE))/2)</f>
        <v>-11529.737351679993</v>
      </c>
      <c r="AI66" s="192">
        <f t="array" ref="AI66">IF($G66=0, INDEX(LS_previous!$D$4:$AY$138, MATCH('Staging Table'!$A66, LS_previous!$B$4:$B$138, 0), MATCH(AI$4&amp;AI$5, LS_previous!$D$2:$AY$2&amp;LS_previous!$D$3:$AY$3, 0)),SUM(VLOOKUP($A66, LS_previous!$B$4:$AY$138, LS_previous!AA$149, FALSE), VLOOKUP('Staging Table'!$A66, LS_previous!$B$4:$AY$138,LS_previous!AY$149, FALSE))/2)</f>
        <v>-468.10621246399387</v>
      </c>
      <c r="AJ66" s="314">
        <f t="array" ref="AJ66">INDEX(Demand_previous!$D$4:$AY$138, MATCH('Staging Table'!$A66, Demand_previous!$B$4:$B$138, 0), MATCH(AJ$4&amp;AJ$5,Demand_previous!$D$2:$AY$2&amp;Demand_previous!$D$3:$AY$3, 0))/1000</f>
        <v>41.847152777777822</v>
      </c>
      <c r="AK66" s="314">
        <f t="array" ref="AK66">INDEX(Demand_previous!$D$4:$AY$138, MATCH('Staging Table'!$A66, Demand_previous!$B$4:$B$138, 0), MATCH(AK$4&amp;AK$5,Demand_previous!$D$2:$AY$2&amp;Demand_previous!$D$3:$AY$3, 0))/1000</f>
        <v>56.46755499999999</v>
      </c>
      <c r="AL66" s="314">
        <f t="array" ref="AL66">INDEX(Demand_previous!$D$4:$AY$138, MATCH('Staging Table'!$A66, Demand_previous!$B$4:$B$138, 0), MATCH(AL$4&amp;AL$5,Demand_previous!$D$2:$AY$2&amp;Demand_previous!$D$3:$AY$3, 0))/1000</f>
        <v>29.115832500000018</v>
      </c>
      <c r="AM66" s="314">
        <f t="array" ref="AM66">INDEX(Demand_previous!$D$4:$AY$138, MATCH('Staging Table'!$A66, Demand_previous!$B$4:$B$138, 0), MATCH(AM$4&amp;AM$5,Demand_previous!$D$2:$AY$2&amp;Demand_previous!$D$3:$AY$3, 0))/1000</f>
        <v>44.899156250000019</v>
      </c>
      <c r="AN66" s="314">
        <f t="array" ref="AN66">INDEX(Demand_previous!$D$4:$AY$138, MATCH('Staging Table'!$A66, Demand_previous!$B$4:$B$138, 0), MATCH(AN$4&amp;AN$5,Demand_previous!$D$2:$AY$2&amp;Demand_previous!$D$3:$AY$3, 0))/1000</f>
        <v>52.451692500000021</v>
      </c>
      <c r="AO66" s="314">
        <f t="array" ref="AO66">INDEX(Demand_previous!$D$4:$AY$138, MATCH('Staging Table'!$A66, Demand_previous!$B$4:$B$138, 0), MATCH(AO$4&amp;AO$5,Demand_previous!$D$2:$AY$2&amp;Demand_previous!$D$3:$AY$3, 0))/1000</f>
        <v>28.639213942307702</v>
      </c>
      <c r="AP66" s="314">
        <f t="array" ref="AP66">INDEX(Demand_previous!$D$4:$AY$138, MATCH('Staging Table'!$A66, Demand_previous!$B$4:$B$138, 0), MATCH(AP$4&amp;AP$5,Demand_previous!$D$2:$AY$2&amp;Demand_previous!$D$3:$AY$3, 0))/1000</f>
        <v>49.166579326923049</v>
      </c>
      <c r="AQ66" s="314">
        <f t="array" ref="AQ66">INDEX(Demand_previous!$D$4:$AY$138, MATCH('Staging Table'!$A66, Demand_previous!$B$4:$B$138, 0), MATCH(AQ$4&amp;AQ$5,Demand_previous!$D$2:$AY$2&amp;Demand_previous!$D$3:$AY$3, 0))/1000</f>
        <v>39.440039999999996</v>
      </c>
      <c r="AR66" s="314">
        <f t="array" ref="AR66">INDEX(Demand_previous!$D$4:$AY$138, MATCH('Staging Table'!$A66, Demand_previous!$B$4:$B$138, 0), MATCH(AR$4&amp;AR$5,Demand_previous!$D$2:$AY$2&amp;Demand_previous!$D$3:$AY$3, 0))/1000</f>
        <v>33.597319711538503</v>
      </c>
      <c r="AS66" s="314">
        <f t="array" ref="AS66">INDEX(Demand_previous!$D$4:$AY$138, MATCH('Staging Table'!$A66, Demand_previous!$B$4:$B$138, 0), MATCH(AS$4&amp;AS$5,Demand_previous!$D$2:$AY$2&amp;Demand_previous!$D$3:$AY$3, 0))/1000</f>
        <v>50.127584134615375</v>
      </c>
      <c r="AT66" s="314">
        <f t="array" ref="AT66">INDEX(Demand_previous!$D$4:$AY$138, MATCH('Staging Table'!$A66, Demand_previous!$B$4:$B$138, 0), MATCH(AT$4&amp;AT$5,Demand_previous!$D$2:$AY$2&amp;Demand_previous!$D$3:$AY$3, 0))/1000</f>
        <v>36.27776442307691</v>
      </c>
      <c r="AU66" s="314">
        <f t="array" ref="AU66">INDEX(Demand_previous!$D$4:$AY$138, MATCH('Staging Table'!$A66, Demand_previous!$B$4:$B$138, 0), MATCH(AU$4&amp;AU$5,Demand_previous!$D$2:$AY$2&amp;Demand_previous!$D$3:$AY$3, 0))/1000</f>
        <v>44.489969999999992</v>
      </c>
      <c r="AV66" s="192">
        <f>$F66*(VLOOKUP(AV$4, Rates_previous!$G$6:$Q$29, 10, FALSE)+VLOOKUP(AV$4, Rates_previous!$G$6:$Q$29, 11, FALSE))</f>
        <v>109073.96065766878</v>
      </c>
      <c r="AW66" s="192">
        <f>$F66*(VLOOKUP(AW$4, Rates_previous!$G$6:$Q$29, 10, FALSE)+VLOOKUP(AW$4, Rates_previous!$G$6:$Q$29, 11, FALSE))</f>
        <v>138557.9563182492</v>
      </c>
      <c r="AX66" s="192">
        <f>$F66*(VLOOKUP(AX$4, Rates_previous!$G$6:$Q$29, 10, FALSE)+VLOOKUP(AX$4, Rates_previous!$G$6:$Q$29, 11, FALSE))</f>
        <v>136884.6815100688</v>
      </c>
      <c r="AY66" s="192">
        <f>$F66*(VLOOKUP(AY$4, Rates_previous!$G$6:$Q$29, 10, FALSE)+VLOOKUP(AY$4, Rates_previous!$G$6:$Q$29, 11, FALSE))</f>
        <v>114101.71929566881</v>
      </c>
      <c r="AZ66" s="192">
        <f>$F66*(VLOOKUP(AZ$4, Rates_previous!$G$6:$Q$29, 10, FALSE)+VLOOKUP(AZ$4, Rates_previous!$G$6:$Q$29, 11, FALSE))</f>
        <v>103364.32054304</v>
      </c>
      <c r="BA66" s="192">
        <f>$F66*(VLOOKUP(BA$4, Rates_previous!$G$6:$Q$29, 10, FALSE)+VLOOKUP(BA$4, Rates_previous!$G$6:$Q$29, 11, FALSE))</f>
        <v>114973.9614445636</v>
      </c>
      <c r="BB66" s="192">
        <f>$F66*(VLOOKUP(BB$4, Rates_previous!$G$6:$Q$29, 10, FALSE)+VLOOKUP(BB$4, Rates_previous!$G$6:$Q$29, 11, FALSE))</f>
        <v>93611.923477343997</v>
      </c>
      <c r="BC66" s="192">
        <f>$F66*(VLOOKUP(BC$4, Rates_previous!$G$6:$Q$29, 10, FALSE)+VLOOKUP(BC$4, Rates_previous!$G$6:$Q$29, 11, FALSE))</f>
        <v>126249.63789306881</v>
      </c>
      <c r="BD66" s="192">
        <f>$F66*(VLOOKUP(BD$4, Rates_previous!$G$6:$Q$29, 10, FALSE)+VLOOKUP(BD$4, Rates_previous!$G$6:$Q$29, 11, FALSE))</f>
        <v>161085.951533944</v>
      </c>
      <c r="BE66" s="192">
        <f>$F66*(VLOOKUP(BE$4, Rates_previous!$G$6:$Q$29, 10, FALSE)+VLOOKUP(BE$4, Rates_previous!$G$6:$Q$29, 11, FALSE))</f>
        <v>126296.4937168688</v>
      </c>
      <c r="BF66" s="192">
        <f>$F66*(VLOOKUP(BF$4, Rates_previous!$G$6:$Q$29, 10, FALSE)+VLOOKUP(BF$4, Rates_previous!$G$6:$Q$29, 11, FALSE))</f>
        <v>122987.63630946881</v>
      </c>
      <c r="BG66" s="192">
        <f>$F66*(VLOOKUP(BG$4, Rates_previous!$G$6:$Q$29, 10, FALSE)+VLOOKUP(BG$4, Rates_previous!$G$6:$Q$29, 11, FALSE))</f>
        <v>110416.734564144</v>
      </c>
      <c r="BH66" s="314">
        <f>IF($D66=0,IF(C66=0, MAX(BJ66 - (VLOOKUP($A66,TOCA_previous!$A$2:$AI$137,MATCH("RHWM 2020",TOCA_previous!$A$2:$AI$2,0),FALSE)*$F$2*TOCA_previous!C63),0),0), 0)</f>
        <v>51556.015710404841</v>
      </c>
      <c r="BI66" s="204">
        <f>MIN(VLOOKUP($A66,TOCA_previous!$A$2:$AI$137,MATCH("TRL - NLSL - Existing Resource "&amp;$F$1,TOCA_previous!$A$2:$AI$2,0),FALSE)*$F$2,(VLOOKUP($A66,TOCA_previous!$A$2:$AI$137,MATCH("RHWM 2020",TOCA_previous!$A$2:$AI$2,0),FALSE)*$F$2))</f>
        <v>1457608.176</v>
      </c>
      <c r="BJ66" s="418">
        <f>SUM(L66:AI66)+(F66*RT1SC!$C$3*$F$2)</f>
        <v>1509164.1917104048</v>
      </c>
      <c r="BK66" s="417">
        <f>VLOOKUP($A66,TOCA_previous!$A$2:$AI$137,MATCH("Above RHWM Not Served with LS "&amp;$F$1,TOCA_previous!$A$2:$AI$2,0),FALSE)*$F$2</f>
        <v>56384.495999999999</v>
      </c>
      <c r="BL66" s="418">
        <f t="shared" si="8"/>
        <v>51556.015710404841</v>
      </c>
      <c r="BM66" s="417">
        <f>(VLOOKUP($A66,TOCA_previous!$A$2:$AI$137,MATCH("RHWM 2020",TOCA_previous!$A$2:$AI$2,0),FALSE)*$F$2) - $BI66</f>
        <v>0</v>
      </c>
      <c r="BN66" s="418">
        <f t="shared" si="9"/>
        <v>0</v>
      </c>
      <c r="BO66" s="417">
        <f t="shared" si="10"/>
        <v>0</v>
      </c>
      <c r="BP66" s="418">
        <f t="shared" si="11"/>
        <v>0</v>
      </c>
      <c r="BQ66" s="417">
        <f t="shared" si="18"/>
        <v>0</v>
      </c>
      <c r="BR66" s="120">
        <f>VLOOKUP($A66,TOCA_current!$A$2:$AI$137,MATCH(BR$4,TOCA_current!$A$2:$AI$2,0),FALSE)</f>
        <v>2.3622799999999999E-2</v>
      </c>
      <c r="BS66" s="120">
        <f>VLOOKUP($A66,TOCA_current!$A$2:$AI$137,MATCH(BS$4,TOCA_current!$A$2:$AI$2,0),FALSE)</f>
        <v>2.3622799999999999E-2</v>
      </c>
      <c r="BT66" s="201">
        <f t="shared" si="12"/>
        <v>0</v>
      </c>
      <c r="BU66" s="120">
        <f>VLOOKUP($A66,TOCA_current!A62:BG197,MATCH(BU$4,TOCA_current!$A$2:$BG$2,0),FALSE)</f>
        <v>0</v>
      </c>
      <c r="BV66" s="120">
        <f t="shared" si="19"/>
        <v>0</v>
      </c>
      <c r="BW66" s="120">
        <f t="shared" si="20"/>
        <v>0</v>
      </c>
      <c r="BX66" s="191">
        <f>VLOOKUP($A66,IRD!$A$4:$G$139, 7, FALSE)</f>
        <v>0</v>
      </c>
      <c r="BY66" s="192">
        <f t="array" ref="BY66">IF($BT66=0, INDEX(LS_current!$D$4:$AY$138, MATCH('Staging Table'!$A66, LS_current!$B$4:$B$138, 0), MATCH(BY$4&amp;BY$5, LS_current!$D$2:$AY$2&amp;LS_current!$D$3:$AY$3, 0)),SUM(VLOOKUP($A66, LS_current!$B$4:$AY$138, LS_current!D$148, FALSE), VLOOKUP($A66, LS_current!$B$4:$AY$138,LS_current!AB$148, FALSE))/2)</f>
        <v>-1591.870261069198</v>
      </c>
      <c r="BZ66" s="192">
        <f t="array" ref="BZ66">IF($BT66=0, INDEX(LS_current!$D$4:$AY$138, MATCH('Staging Table'!$A66, LS_current!$B$4:$B$138, 0), MATCH(BZ$4&amp;BZ$5, LS_current!$D$2:$AY$2&amp;LS_current!$D$3:$AY$3, 0)),SUM(VLOOKUP($A66, LS_current!$B$4:$AY$138, LS_current!E$148, FALSE), VLOOKUP($A66, LS_current!$B$4:$AY$138,LS_current!AC$148, FALSE))/2)</f>
        <v>711.85445426901424</v>
      </c>
      <c r="CA66" s="192">
        <f t="array" ref="CA66">IF($BT66=0, INDEX(LS_current!$D$4:$AY$138, MATCH('Staging Table'!$A66, LS_current!$B$4:$B$138, 0), MATCH(CA$4&amp;CA$5, LS_current!$D$2:$AY$2&amp;LS_current!$D$3:$AY$3, 0)),SUM(VLOOKUP($A66, LS_current!$B$4:$AY$138, LS_current!F$148, FALSE), VLOOKUP($A66, LS_current!$B$4:$AY$138,LS_current!AD$148, FALSE))/2)</f>
        <v>-13627.19317499848</v>
      </c>
      <c r="CB66" s="192">
        <f t="array" ref="CB66">IF($BT66=0, INDEX(LS_current!$D$4:$AY$138, MATCH('Staging Table'!$A66, LS_current!$B$4:$B$138, 0), MATCH(CB$4&amp;CB$5, LS_current!$D$2:$AY$2&amp;LS_current!$D$3:$AY$3, 0)),SUM(VLOOKUP($A66, LS_current!$B$4:$AY$138, LS_current!G$148, FALSE), VLOOKUP($A66, LS_current!$B$4:$AY$138,LS_current!AE$148, FALSE))/2)</f>
        <v>-4768.1544342983907</v>
      </c>
      <c r="CC66" s="192">
        <f t="array" ref="CC66">IF($BT66=0, INDEX(LS_current!$D$4:$AY$138, MATCH('Staging Table'!$A66, LS_current!$B$4:$B$138, 0), MATCH(CC$4&amp;CC$5, LS_current!$D$2:$AY$2&amp;LS_current!$D$3:$AY$3, 0)),SUM(VLOOKUP($A66, LS_current!$B$4:$AY$138, LS_current!H$148, FALSE), VLOOKUP($A66, LS_current!$B$4:$AY$138,LS_current!AF$148, FALSE))/2)</f>
        <v>15285.262139613929</v>
      </c>
      <c r="CD66" s="192">
        <f t="array" ref="CD66">IF($BT66=0, INDEX(LS_current!$D$4:$AY$138, MATCH('Staging Table'!$A66, LS_current!$B$4:$B$138, 0), MATCH(CD$4&amp;CD$5, LS_current!$D$2:$AY$2&amp;LS_current!$D$3:$AY$3, 0)),SUM(VLOOKUP($A66, LS_current!$B$4:$AY$138, LS_current!I$148, FALSE), VLOOKUP($A66, LS_current!$B$4:$AY$138,LS_current!AG$148, FALSE))/2)</f>
        <v>6396.6922397315648</v>
      </c>
      <c r="CE66" s="192">
        <f t="array" ref="CE66">IF($BT66=0, INDEX(LS_current!$D$4:$AY$138, MATCH('Staging Table'!$A66, LS_current!$B$4:$B$138, 0), MATCH(CE$4&amp;CE$5, LS_current!$D$2:$AY$2&amp;LS_current!$D$3:$AY$3, 0)),SUM(VLOOKUP($A66, LS_current!$B$4:$AY$138, LS_current!J$148, FALSE), VLOOKUP($A66, LS_current!$B$4:$AY$138,LS_current!AH$148, FALSE))/2)</f>
        <v>32673.045467486387</v>
      </c>
      <c r="CF66" s="192">
        <f t="array" ref="CF66">IF($BT66=0, INDEX(LS_current!$D$4:$AY$138, MATCH('Staging Table'!$A66, LS_current!$B$4:$B$138, 0), MATCH(CF$4&amp;CF$5, LS_current!$D$2:$AY$2&amp;LS_current!$D$3:$AY$3, 0)),SUM(VLOOKUP($A66, LS_current!$B$4:$AY$138, LS_current!K$148, FALSE), VLOOKUP($A66, LS_current!$B$4:$AY$138,LS_current!AI$148, FALSE))/2)</f>
        <v>17949.999447024857</v>
      </c>
      <c r="CG66" s="192">
        <f t="array" ref="CG66">IF($BT66=0, INDEX(LS_current!$D$4:$AY$138, MATCH('Staging Table'!$A66, LS_current!$B$4:$B$138, 0), MATCH(CG$4&amp;CG$5, LS_current!$D$2:$AY$2&amp;LS_current!$D$3:$AY$3, 0)),SUM(VLOOKUP($A66, LS_current!$B$4:$AY$138, LS_current!L$148, FALSE), VLOOKUP($A66, LS_current!$B$4:$AY$138,LS_current!AJ$148, FALSE))/2)</f>
        <v>22673.635593979299</v>
      </c>
      <c r="CH66" s="192">
        <f t="array" ref="CH66">IF($BT66=0, INDEX(LS_current!$D$4:$AY$138, MATCH('Staging Table'!$A66, LS_current!$B$4:$B$138, 0), MATCH(CH$4&amp;CH$5, LS_current!$D$2:$AY$2&amp;LS_current!$D$3:$AY$3, 0)),SUM(VLOOKUP($A66, LS_current!$B$4:$AY$138, LS_current!M$148, FALSE), VLOOKUP($A66, LS_current!$B$4:$AY$138,LS_current!AK$148, FALSE))/2)</f>
        <v>11352.735671491995</v>
      </c>
      <c r="CI66" s="192">
        <f t="array" ref="CI66">IF($BT66=0, INDEX(LS_current!$D$4:$AY$138, MATCH('Staging Table'!$A66, LS_current!$B$4:$B$138, 0), MATCH(CI$4&amp;CI$5, LS_current!$D$2:$AY$2&amp;LS_current!$D$3:$AY$3, 0)),SUM(VLOOKUP($A66, LS_current!$B$4:$AY$138, LS_current!N$148, FALSE), VLOOKUP($A66, LS_current!$B$4:$AY$138,LS_current!AL$148, FALSE))/2)</f>
        <v>7128.29473411871</v>
      </c>
      <c r="CJ66" s="192">
        <f t="array" ref="CJ66">IF($BT66=0, INDEX(LS_current!$D$4:$AY$138, MATCH('Staging Table'!$A66, LS_current!$B$4:$B$138, 0), MATCH(CJ$4&amp;CJ$5, LS_current!$D$2:$AY$2&amp;LS_current!$D$3:$AY$3, 0)),SUM(VLOOKUP($A66, LS_current!$B$4:$AY$138, LS_current!O$148, FALSE), VLOOKUP($A66, LS_current!$B$4:$AY$138,LS_current!AM$148, FALSE))/2)</f>
        <v>5137.1920025739018</v>
      </c>
      <c r="CK66" s="192">
        <f t="array" ref="CK66">IF($BT66=0, INDEX(LS_current!$D$4:$AY$138, MATCH('Staging Table'!$A66, LS_current!$B$4:$B$138, 0), MATCH(CK$4&amp;CK$5, LS_current!$D$2:$AY$2&amp;LS_current!$D$3:$AY$3, 0)),SUM(VLOOKUP($A66, LS_current!$B$4:$AY$138, LS_current!P$148, FALSE), VLOOKUP($A66, LS_current!$B$4:$AY$138,LS_current!AN$148, FALSE))/2)</f>
        <v>11641.110521907351</v>
      </c>
      <c r="CL66" s="192">
        <f t="array" ref="CL66">IF($BT66=0, INDEX(LS_current!$D$4:$AY$138, MATCH('Staging Table'!$A66, LS_current!$B$4:$B$138, 0), MATCH(CL$4&amp;CL$5, LS_current!$D$2:$AY$2&amp;LS_current!$D$3:$AY$3, 0)),SUM(VLOOKUP($A66, LS_current!$B$4:$AY$138, LS_current!Q$148, FALSE), VLOOKUP($A66, LS_current!$B$4:$AY$138,LS_current!AO$148, FALSE))/2)</f>
        <v>8055.2326305725364</v>
      </c>
      <c r="CM66" s="192">
        <f t="array" ref="CM66">IF($BT66=0, INDEX(LS_current!$D$4:$AY$138, MATCH('Staging Table'!$A66, LS_current!$B$4:$B$138, 0), MATCH(CM$4&amp;CM$5, LS_current!$D$2:$AY$2&amp;LS_current!$D$3:$AY$3, 0)),SUM(VLOOKUP($A66, LS_current!$B$4:$AY$138, LS_current!R$148, FALSE), VLOOKUP($A66, LS_current!$B$4:$AY$138,LS_current!AP$148, FALSE))/2)</f>
        <v>-27912.066490026358</v>
      </c>
      <c r="CN66" s="192">
        <f t="array" ref="CN66">IF($BT66=0, INDEX(LS_current!$D$4:$AY$138, MATCH('Staging Table'!$A66, LS_current!$B$4:$B$138, 0), MATCH(CN$4&amp;CN$5, LS_current!$D$2:$AY$2&amp;LS_current!$D$3:$AY$3, 0)),SUM(VLOOKUP($A66, LS_current!$B$4:$AY$138, LS_current!S$148, FALSE), VLOOKUP($A66, LS_current!$B$4:$AY$138,LS_current!AQ$148, FALSE))/2)</f>
        <v>-5824.5536587114912</v>
      </c>
      <c r="CO66" s="192">
        <f t="array" ref="CO66">IF($BT66=0, INDEX(LS_current!$D$4:$AY$138, MATCH('Staging Table'!$A66, LS_current!$B$4:$B$138, 0), MATCH(CO$4&amp;CO$5, LS_current!$D$2:$AY$2&amp;LS_current!$D$3:$AY$3, 0)),SUM(VLOOKUP($A66, LS_current!$B$4:$AY$138, LS_current!T$148, FALSE), VLOOKUP($A66, LS_current!$B$4:$AY$138,LS_current!AR$148, FALSE))/2)</f>
        <v>-37835.508615350191</v>
      </c>
      <c r="CP66" s="192">
        <f t="array" ref="CP66">IF($BT66=0, INDEX(LS_current!$D$4:$AY$138, MATCH('Staging Table'!$A66, LS_current!$B$4:$B$138, 0), MATCH(CP$4&amp;CP$5, LS_current!$D$2:$AY$2&amp;LS_current!$D$3:$AY$3, 0)),SUM(VLOOKUP($A66, LS_current!$B$4:$AY$138, LS_current!U$148, FALSE), VLOOKUP($A66, LS_current!$B$4:$AY$138,LS_current!AS$148, FALSE))/2)</f>
        <v>-6219.766558176314</v>
      </c>
      <c r="CQ66" s="192">
        <f t="array" ref="CQ66">IF($BT66=0, INDEX(LS_current!$D$4:$AY$138, MATCH('Staging Table'!$A66, LS_current!$B$4:$B$138, 0), MATCH(CQ$4&amp;CQ$5, LS_current!$D$2:$AY$2&amp;LS_current!$D$3:$AY$3, 0)),SUM(VLOOKUP($A66, LS_current!$B$4:$AY$138, LS_current!V$148, FALSE), VLOOKUP($A66, LS_current!$B$4:$AY$138,LS_current!AT$148, FALSE))/2)</f>
        <v>-20884.732454216879</v>
      </c>
      <c r="CR66" s="192">
        <f t="array" ref="CR66">IF($BT66=0, INDEX(LS_current!$D$4:$AY$138, MATCH('Staging Table'!$A66, LS_current!$B$4:$B$138, 0), MATCH(CR$4&amp;CR$5, LS_current!$D$2:$AY$2&amp;LS_current!$D$3:$AY$3, 0)),SUM(VLOOKUP($A66, LS_current!$B$4:$AY$138, LS_current!W$148, FALSE), VLOOKUP($A66, LS_current!$B$4:$AY$138,LS_current!AU$148, FALSE))/2)</f>
        <v>-4960.3695204589385</v>
      </c>
      <c r="CS66" s="192">
        <f t="array" ref="CS66">IF($BT66=0, INDEX(LS_current!$D$4:$AY$138, MATCH('Staging Table'!$A66, LS_current!$B$4:$B$138, 0), MATCH(CS$4&amp;CS$5, LS_current!$D$2:$AY$2&amp;LS_current!$D$3:$AY$3, 0)),SUM(VLOOKUP($A66, LS_current!$B$4:$AY$138, LS_current!X$148, FALSE), VLOOKUP($A66, LS_current!$B$4:$AY$138,LS_current!AV$148, FALSE))/2)</f>
        <v>-17927.433935894442</v>
      </c>
      <c r="CT66" s="192">
        <f t="array" ref="CT66">IF($BT66=0, INDEX(LS_current!$D$4:$AY$138, MATCH('Staging Table'!$A66, LS_current!$B$4:$B$138, 0), MATCH(CT$4&amp;CT$5, LS_current!$D$2:$AY$2&amp;LS_current!$D$3:$AY$3, 0)),SUM(VLOOKUP($A66, LS_current!$B$4:$AY$138, LS_current!Y$148, FALSE), VLOOKUP($A66, LS_current!$B$4:$AY$138,LS_current!AW$148, FALSE))/2)</f>
        <v>-5391.6775371149924</v>
      </c>
      <c r="CU66" s="192">
        <f t="array" ref="CU66">IF($BT66=0, INDEX(LS_current!$D$4:$AY$138, MATCH('Staging Table'!$A66, LS_current!$B$4:$B$138, 0), MATCH(CU$4&amp;CU$5, LS_current!$D$2:$AY$2&amp;LS_current!$D$3:$AY$3, 0)),SUM(VLOOKUP($A66, LS_current!$B$4:$AY$138, LS_current!Z$148, FALSE), VLOOKUP($A66, LS_current!$B$4:$AY$138,LS_current!AX$148, FALSE))/2)</f>
        <v>-18438.546671077995</v>
      </c>
      <c r="CV66" s="192">
        <f t="array" ref="CV66">IF($BT66=0, INDEX(LS_current!$D$4:$AY$138, MATCH('Staging Table'!$A66, LS_current!$B$4:$B$138, 0), MATCH(CV$4&amp;CV$5, LS_current!$D$2:$AY$2&amp;LS_current!$D$3:$AY$3, 0)),SUM(VLOOKUP($A66, LS_current!$B$4:$AY$138, LS_current!AA$148, FALSE), VLOOKUP($A66, LS_current!$B$4:$AY$138,LS_current!AY$148, FALSE))/2)</f>
        <v>-6342.2710169397687</v>
      </c>
      <c r="CW66" s="194">
        <f t="array" ref="CW66">INDEX(Demand_current!$D$4:$AY$138, MATCH($A66, Demand_current!$B$4:$B$138, 0), MATCH(CW$4&amp;CW$5,Demand_current!$D$2:$AY$2&amp;Demand_current!$D$3:$AY$3, 0))/1000</f>
        <v>34.634004807692335</v>
      </c>
      <c r="CX66" s="194">
        <f t="array" ref="CX66">INDEX(Demand_current!$D$4:$AY$138, MATCH($A66, Demand_current!$B$4:$B$138, 0), MATCH(CX$4&amp;CX$5,Demand_current!$D$2:$AY$2&amp;Demand_current!$D$3:$AY$3, 0))/1000</f>
        <v>56.46755499999999</v>
      </c>
      <c r="CY66" s="194">
        <f t="array" ref="CY66">INDEX(Demand_current!$D$4:$AY$138, MATCH($A66, Demand_current!$B$4:$B$138, 0), MATCH(CY$4&amp;CY$5,Demand_current!$D$2:$AY$2&amp;Demand_current!$D$3:$AY$3, 0))/1000</f>
        <v>39.217262019230766</v>
      </c>
      <c r="CZ66" s="194">
        <f t="array" ref="CZ66">INDEX(Demand_current!$D$4:$AY$138, MATCH($A66, Demand_current!$B$4:$B$138, 0), MATCH(CZ$4&amp;CZ$5,Demand_current!$D$2:$AY$2&amp;Demand_current!$D$3:$AY$3, 0))/1000</f>
        <v>34.476042499999991</v>
      </c>
      <c r="DA66" s="194">
        <f t="array" ref="DA66">INDEX(Demand_current!$D$4:$AY$138, MATCH($A66, Demand_current!$B$4:$B$138, 0), MATCH(DA$4&amp;DA$5,Demand_current!$D$2:$AY$2&amp;Demand_current!$D$3:$AY$3, 0))/1000</f>
        <v>43.006429687500017</v>
      </c>
      <c r="DB66" s="194">
        <f t="array" ref="DB66">INDEX(Demand_current!$D$4:$AY$138, MATCH($A66, Demand_current!$B$4:$B$138, 0), MATCH(DB$4&amp;DB$5,Demand_current!$D$2:$AY$2&amp;Demand_current!$D$3:$AY$3, 0))/1000</f>
        <v>36.76172453703704</v>
      </c>
      <c r="DC66" s="194">
        <f t="array" ref="DC66">INDEX(Demand_current!$D$4:$AY$138, MATCH($A66, Demand_current!$B$4:$B$138, 0), MATCH(DC$4&amp;DC$5,Demand_current!$D$2:$AY$2&amp;Demand_current!$D$3:$AY$3, 0))/1000</f>
        <v>49.166579326923049</v>
      </c>
      <c r="DD66" s="194">
        <f t="array" ref="DD66">INDEX(Demand_current!$D$4:$AY$138, MATCH($A66, Demand_current!$B$4:$B$138, 0), MATCH(DD$4&amp;DD$5,Demand_current!$D$2:$AY$2&amp;Demand_current!$D$3:$AY$3, 0))/1000</f>
        <v>39.440039999999996</v>
      </c>
      <c r="DE66" s="194">
        <f t="array" ref="DE66">INDEX(Demand_current!$D$4:$AY$138, MATCH($A66, Demand_current!$B$4:$B$138, 0), MATCH(DE$4&amp;DE$5,Demand_current!$D$2:$AY$2&amp;Demand_current!$D$3:$AY$3, 0))/1000</f>
        <v>33.597319711538475</v>
      </c>
      <c r="DF66" s="194">
        <f t="array" ref="DF66">INDEX(Demand_current!$D$4:$AY$138, MATCH($A66, Demand_current!$B$4:$B$138, 0), MATCH(DF$4&amp;DF$5,Demand_current!$D$2:$AY$2&amp;Demand_current!$D$3:$AY$3, 0))/1000</f>
        <v>42.915007500000002</v>
      </c>
      <c r="DG66" s="194">
        <f t="array" ref="DG66">INDEX(Demand_current!$D$4:$AY$138, MATCH($A66, Demand_current!$B$4:$B$138, 0), MATCH(DG$4&amp;DG$5,Demand_current!$D$2:$AY$2&amp;Demand_current!$D$3:$AY$3, 0))/1000</f>
        <v>43.144180555555543</v>
      </c>
      <c r="DH66" s="194">
        <f t="array" ref="DH66">INDEX(Demand_current!$D$4:$AY$138, MATCH($A66, Demand_current!$B$4:$B$138, 0), MATCH(DH$4&amp;DH$5,Demand_current!$D$2:$AY$2&amp;Demand_current!$D$3:$AY$3, 0))/1000</f>
        <v>44.489969999999992</v>
      </c>
      <c r="DI66" s="192">
        <f>$BS66*(VLOOKUP(DI$4, Rates_current!$G$6:$Q$29, 10, FALSE)+VLOOKUP(DI$4, Rates_current!$G$6:$Q$29, 11, FALSE))</f>
        <v>107576.4458068002</v>
      </c>
      <c r="DJ66" s="192">
        <f>$BS66*(VLOOKUP(DJ$4, Rates_current!$G$6:$Q$29, 10, FALSE)+VLOOKUP(DJ$4, Rates_current!$G$6:$Q$29, 11, FALSE))</f>
        <v>136195.68460929688</v>
      </c>
      <c r="DK66" s="192">
        <f>$BS66*(VLOOKUP(DK$4, Rates_current!$G$6:$Q$29, 10, FALSE)+VLOOKUP(DK$4, Rates_current!$G$6:$Q$29, 11, FALSE))</f>
        <v>133308.36562065451</v>
      </c>
      <c r="DL66" s="192">
        <f>$BS66*(VLOOKUP(DL$4, Rates_current!$G$6:$Q$29, 10, FALSE)+VLOOKUP(DL$4, Rates_current!$G$6:$Q$29, 11, FALSE))</f>
        <v>110107.04108548876</v>
      </c>
      <c r="DM66" s="192">
        <f>$BS66*(VLOOKUP(DM$4, Rates_current!$G$6:$Q$29, 10, FALSE)+VLOOKUP(DM$4, Rates_current!$G$6:$Q$29, 11, FALSE))</f>
        <v>95432.185734528714</v>
      </c>
      <c r="DN66" s="192">
        <f>$BS66*(VLOOKUP(DN$4, Rates_current!$G$6:$Q$29, 10, FALSE)+VLOOKUP(DN$4, Rates_current!$G$6:$Q$29, 11, FALSE))</f>
        <v>113926.75826330739</v>
      </c>
      <c r="DO66" s="192">
        <f>$BS66*(VLOOKUP(DO$4, Rates_current!$G$6:$Q$29, 10, FALSE)+VLOOKUP(DO$4, Rates_current!$G$6:$Q$29, 11, FALSE))</f>
        <v>88448.960847520124</v>
      </c>
      <c r="DP66" s="192">
        <f>$BS66*(VLOOKUP(DP$4, Rates_current!$G$6:$Q$29, 10, FALSE)+VLOOKUP(DP$4, Rates_current!$G$6:$Q$29, 11, FALSE))</f>
        <v>122546.68614873783</v>
      </c>
      <c r="DQ66" s="192">
        <f>$BS66*(VLOOKUP(DQ$4, Rates_current!$G$6:$Q$29, 10, FALSE)+VLOOKUP(DQ$4, Rates_current!$G$6:$Q$29, 11, FALSE))</f>
        <v>130943.70017352651</v>
      </c>
      <c r="DR66" s="192">
        <f>$BS66*(VLOOKUP(DR$4, Rates_current!$G$6:$Q$29, 10, FALSE)+VLOOKUP(DR$4, Rates_current!$G$6:$Q$29, 11, FALSE))</f>
        <v>124325.11397467583</v>
      </c>
      <c r="DS66" s="192">
        <f>$BS66*(VLOOKUP(DS$4, Rates_current!$G$6:$Q$29, 10, FALSE)+VLOOKUP(DS$4, Rates_current!$G$6:$Q$29, 11, FALSE))</f>
        <v>120150.63147300942</v>
      </c>
      <c r="DT66" s="192">
        <f>$BS66*(VLOOKUP(DT$4, Rates_current!$G$6:$Q$29, 10, FALSE)+VLOOKUP(DT$4, Rates_current!$G$6:$Q$29, 11, FALSE))</f>
        <v>111031.70868801777</v>
      </c>
      <c r="DU66" s="418">
        <f>IF(D66=0,IF(C66=0,MAX(0,DW66 - (VLOOKUP($A66,TOCA_current!$A$2:$AI$137,MATCH("RHWM 2022",TOCA_current!$A$2:$AI$2,0),FALSE)*$BS$2)), 0),0)</f>
        <v>0</v>
      </c>
      <c r="DV66" s="419">
        <f>MIN(VLOOKUP($A66,TOCA_current!$A$2:$AI$137,MATCH("TRL - NLSL - Existing Resource "&amp;$BS$1,TOCA_current!$A$2:$AI$2,0),FALSE)*$BS$2, VLOOKUP($A66,TOCA_current!$A$2:$AI$137,MATCH("RHWM 2022",TOCA_current!$A$2:$AI$2,0),FALSE)*$BS$2)</f>
        <v>1393996.32</v>
      </c>
      <c r="DW66" s="419">
        <f>SUM(BY66:CV66)+(BS66*RT1SC!$C$4*$BS$2)</f>
        <v>1361274.2643087881</v>
      </c>
      <c r="DX66" s="419">
        <f>VLOOKUP($A66,TOCA_current!$A$2:$AI$137,MATCH("Above RHWM Not Served with LS "&amp;$BS$1,TOCA_current!$A$2:$AI$2,0),FALSE)*$BS$2</f>
        <v>204274.44</v>
      </c>
      <c r="DY66" s="419">
        <f t="shared" si="13"/>
        <v>-32722.05569121195</v>
      </c>
      <c r="DZ66" s="419">
        <f>(VLOOKUP($A66,TOCA_current!$A$2:$AI$137,MATCH("RHWM 2022",TOCA_current!$A$2:$AI$2,0),FALSE)*$BS$2) - $DV66</f>
        <v>0</v>
      </c>
      <c r="EA66" s="419">
        <f t="shared" si="14"/>
        <v>0</v>
      </c>
      <c r="EB66" s="419">
        <f t="shared" si="15"/>
        <v>0</v>
      </c>
      <c r="EC66" s="419">
        <f t="shared" si="16"/>
        <v>0</v>
      </c>
      <c r="ED66" s="419">
        <f t="shared" si="17"/>
        <v>0</v>
      </c>
    </row>
    <row r="67" spans="1:134">
      <c r="A67" s="135">
        <v>10183</v>
      </c>
      <c r="B67" s="136" t="s">
        <v>68</v>
      </c>
      <c r="C67" s="244">
        <f>VLOOKUP(A67, TOCA_current!$A$3:$D$137, 4, FALSE)</f>
        <v>0</v>
      </c>
      <c r="D67" s="203">
        <v>1</v>
      </c>
      <c r="E67" s="119">
        <f>VLOOKUP($A67,TOCA_previous!$A$2:$AI$137,MATCH(E$4,TOCA_previous!$A$2:$AI$2,0),FALSE)</f>
        <v>1.66175E-2</v>
      </c>
      <c r="F67" s="120">
        <f>VLOOKUP($A67,TOCA_previous!$A$2:$AI$137,MATCH(F$4,TOCA_previous!$A$2:$AI$2,0),FALSE)</f>
        <v>8.827999999999999E-3</v>
      </c>
      <c r="G67" s="120">
        <f t="shared" si="5"/>
        <v>7.7895000000000013E-3</v>
      </c>
      <c r="H67" s="120">
        <f>VLOOKUP($A67,TOCA_previous!$A$2:$AI$137,MATCH(H$4,TOCA_previous!$A$2:$AI$2,0),FALSE)</f>
        <v>0</v>
      </c>
      <c r="I67" s="120">
        <f t="shared" si="6"/>
        <v>0</v>
      </c>
      <c r="J67" s="120">
        <f t="shared" si="7"/>
        <v>0</v>
      </c>
      <c r="K67" s="191">
        <f>VLOOKUP(A67, IRD!$A$5:$C$139, 3, FALSE)</f>
        <v>94407.247000000003</v>
      </c>
      <c r="L67" s="192">
        <f t="array" ref="L67">IF($G67=0, INDEX(LS_previous!$D$4:$AY$138, MATCH('Staging Table'!$A67, LS_previous!$B$4:$B$138, 0), MATCH(L$4&amp;L$5, LS_previous!$D$2:$AY$2&amp;LS_previous!$D$3:$AY$3, 0)),SUM(VLOOKUP($A67, LS_previous!$B$4:$AY$138, LS_previous!D$149, FALSE), VLOOKUP('Staging Table'!$A67, LS_previous!$B$4:$AY$138,LS_previous!AB$149, FALSE))/2)</f>
        <v>-2874.8290161414825</v>
      </c>
      <c r="M67" s="192">
        <f t="array" ref="M67">IF($G67=0, INDEX(LS_previous!$D$4:$AY$138, MATCH('Staging Table'!$A67, LS_previous!$B$4:$B$138, 0), MATCH(M$4&amp;M$5, LS_previous!$D$2:$AY$2&amp;LS_previous!$D$3:$AY$3, 0)),SUM(VLOOKUP($A67, LS_previous!$B$4:$AY$138, LS_previous!E$149, FALSE), VLOOKUP('Staging Table'!$A67, LS_previous!$B$4:$AY$138,LS_previous!AC$149, FALSE))/2)</f>
        <v>2911.2198711200235</v>
      </c>
      <c r="N67" s="192">
        <f t="array" ref="N67">IF($G67=0, INDEX(LS_previous!$D$4:$AY$138, MATCH('Staging Table'!$A67, LS_previous!$B$4:$B$138, 0), MATCH(N$4&amp;N$5, LS_previous!$D$2:$AY$2&amp;LS_previous!$D$3:$AY$3, 0)),SUM(VLOOKUP($A67, LS_previous!$B$4:$AY$138, LS_previous!F$149, FALSE), VLOOKUP('Staging Table'!$A67, LS_previous!$B$4:$AY$138,LS_previous!AD$149, FALSE))/2)</f>
        <v>-11466.346280296873</v>
      </c>
      <c r="O67" s="192">
        <f t="array" ref="O67">IF($G67=0, INDEX(LS_previous!$D$4:$AY$138, MATCH('Staging Table'!$A67, LS_previous!$B$4:$B$138, 0), MATCH(O$4&amp;O$5, LS_previous!$D$2:$AY$2&amp;LS_previous!$D$3:$AY$3, 0)),SUM(VLOOKUP($A67, LS_previous!$B$4:$AY$138, LS_previous!G$149, FALSE), VLOOKUP('Staging Table'!$A67, LS_previous!$B$4:$AY$138,LS_previous!AE$149, FALSE))/2)</f>
        <v>-1691.528202262798</v>
      </c>
      <c r="P67" s="192">
        <f t="array" ref="P67">IF($G67=0, INDEX(LS_previous!$D$4:$AY$138, MATCH('Staging Table'!$A67, LS_previous!$B$4:$B$138, 0), MATCH(P$4&amp;P$5, LS_previous!$D$2:$AY$2&amp;LS_previous!$D$3:$AY$3, 0)),SUM(VLOOKUP($A67, LS_previous!$B$4:$AY$138, LS_previous!H$149, FALSE), VLOOKUP('Staging Table'!$A67, LS_previous!$B$4:$AY$138,LS_previous!AF$149, FALSE))/2)</f>
        <v>-7006.433357572394</v>
      </c>
      <c r="Q67" s="192">
        <f t="array" ref="Q67">IF($G67=0, INDEX(LS_previous!$D$4:$AY$138, MATCH('Staging Table'!$A67, LS_previous!$B$4:$B$138, 0), MATCH(Q$4&amp;Q$5, LS_previous!$D$2:$AY$2&amp;LS_previous!$D$3:$AY$3, 0)),SUM(VLOOKUP($A67, LS_previous!$B$4:$AY$138, LS_previous!I$149, FALSE), VLOOKUP('Staging Table'!$A67, LS_previous!$B$4:$AY$138,LS_previous!AG$149, FALSE))/2)</f>
        <v>1001.5637084193804</v>
      </c>
      <c r="R67" s="192">
        <f t="array" ref="R67">IF($G67=0, INDEX(LS_previous!$D$4:$AY$138, MATCH('Staging Table'!$A67, LS_previous!$B$4:$B$138, 0), MATCH(R$4&amp;R$5, LS_previous!$D$2:$AY$2&amp;LS_previous!$D$3:$AY$3, 0)),SUM(VLOOKUP($A67, LS_previous!$B$4:$AY$138, LS_previous!J$149, FALSE), VLOOKUP('Staging Table'!$A67, LS_previous!$B$4:$AY$138,LS_previous!AH$149, FALSE))/2)</f>
        <v>-249.87785752718082</v>
      </c>
      <c r="S67" s="192">
        <f t="array" ref="S67">IF($G67=0, INDEX(LS_previous!$D$4:$AY$138, MATCH('Staging Table'!$A67, LS_previous!$B$4:$B$138, 0), MATCH(S$4&amp;S$5, LS_previous!$D$2:$AY$2&amp;LS_previous!$D$3:$AY$3, 0)),SUM(VLOOKUP($A67, LS_previous!$B$4:$AY$138, LS_previous!K$149, FALSE), VLOOKUP('Staging Table'!$A67, LS_previous!$B$4:$AY$138,LS_previous!AI$149, FALSE))/2)</f>
        <v>6023.0005172754718</v>
      </c>
      <c r="T67" s="192">
        <f t="array" ref="T67">IF($G67=0, INDEX(LS_previous!$D$4:$AY$138, MATCH('Staging Table'!$A67, LS_previous!$B$4:$B$138, 0), MATCH(T$4&amp;T$5, LS_previous!$D$2:$AY$2&amp;LS_previous!$D$3:$AY$3, 0)),SUM(VLOOKUP($A67, LS_previous!$B$4:$AY$138, LS_previous!L$149, FALSE), VLOOKUP('Staging Table'!$A67, LS_previous!$B$4:$AY$138,LS_previous!AJ$149, FALSE))/2)</f>
        <v>-2053.1043549935475</v>
      </c>
      <c r="U67" s="192">
        <f t="array" ref="U67">IF($G67=0, INDEX(LS_previous!$D$4:$AY$138, MATCH('Staging Table'!$A67, LS_previous!$B$4:$B$138, 0), MATCH(U$4&amp;U$5, LS_previous!$D$2:$AY$2&amp;LS_previous!$D$3:$AY$3, 0)),SUM(VLOOKUP($A67, LS_previous!$B$4:$AY$138, LS_previous!M$149, FALSE), VLOOKUP('Staging Table'!$A67, LS_previous!$B$4:$AY$138,LS_previous!AK$149, FALSE))/2)</f>
        <v>2247.5038716742984</v>
      </c>
      <c r="V67" s="192">
        <f t="array" ref="V67">IF($G67=0, INDEX(LS_previous!$D$4:$AY$138, MATCH('Staging Table'!$A67, LS_previous!$B$4:$B$138, 0), MATCH(V$4&amp;V$5, LS_previous!$D$2:$AY$2&amp;LS_previous!$D$3:$AY$3, 0)),SUM(VLOOKUP($A67, LS_previous!$B$4:$AY$138, LS_previous!N$149, FALSE), VLOOKUP('Staging Table'!$A67, LS_previous!$B$4:$AY$138,LS_previous!AL$149, FALSE))/2)</f>
        <v>-5898.8646200465737</v>
      </c>
      <c r="W67" s="192">
        <f t="array" ref="W67">IF($G67=0, INDEX(LS_previous!$D$4:$AY$138, MATCH('Staging Table'!$A67, LS_previous!$B$4:$B$138, 0), MATCH(W$4&amp;W$5, LS_previous!$D$2:$AY$2&amp;LS_previous!$D$3:$AY$3, 0)),SUM(VLOOKUP($A67, LS_previous!$B$4:$AY$138, LS_previous!O$149, FALSE), VLOOKUP('Staging Table'!$A67, LS_previous!$B$4:$AY$138,LS_previous!AM$149, FALSE))/2)</f>
        <v>466.53994457579938</v>
      </c>
      <c r="X67" s="192">
        <f t="array" ref="X67">IF($G67=0, INDEX(LS_previous!$D$4:$AY$138, MATCH('Staging Table'!$A67, LS_previous!$B$4:$B$138, 0), MATCH(X$4&amp;X$5, LS_previous!$D$2:$AY$2&amp;LS_previous!$D$3:$AY$3, 0)),SUM(VLOOKUP($A67, LS_previous!$B$4:$AY$138, LS_previous!P$149, FALSE), VLOOKUP('Staging Table'!$A67, LS_previous!$B$4:$AY$138,LS_previous!AN$149, FALSE))/2)</f>
        <v>-326.92691768763507</v>
      </c>
      <c r="Y67" s="192">
        <f t="array" ref="Y67">IF($G67=0, INDEX(LS_previous!$D$4:$AY$138, MATCH('Staging Table'!$A67, LS_previous!$B$4:$B$138, 0), MATCH(Y$4&amp;Y$5, LS_previous!$D$2:$AY$2&amp;LS_previous!$D$3:$AY$3, 0)),SUM(VLOOKUP($A67, LS_previous!$B$4:$AY$138, LS_previous!Q$149, FALSE), VLOOKUP('Staging Table'!$A67, LS_previous!$B$4:$AY$138,LS_previous!AO$149, FALSE))/2)</f>
        <v>2877.7401926128668</v>
      </c>
      <c r="Z67" s="192">
        <f t="array" ref="Z67">IF($G67=0, INDEX(LS_previous!$D$4:$AY$138, MATCH('Staging Table'!$A67, LS_previous!$B$4:$B$138, 0), MATCH(Z$4&amp;Z$5, LS_previous!$D$2:$AY$2&amp;LS_previous!$D$3:$AY$3, 0)),SUM(VLOOKUP($A67, LS_previous!$B$4:$AY$138, LS_previous!R$149, FALSE), VLOOKUP('Staging Table'!$A67, LS_previous!$B$4:$AY$138,LS_previous!AP$149, FALSE))/2)</f>
        <v>-7511.9912138533582</v>
      </c>
      <c r="AA67" s="192">
        <f t="array" ref="AA67">IF($G67=0, INDEX(LS_previous!$D$4:$AY$138, MATCH('Staging Table'!$A67, LS_previous!$B$4:$B$138, 0), MATCH(AA$4&amp;AA$5, LS_previous!$D$2:$AY$2&amp;LS_previous!$D$3:$AY$3, 0)),SUM(VLOOKUP($A67, LS_previous!$B$4:$AY$138, LS_previous!S$149, FALSE), VLOOKUP('Staging Table'!$A67, LS_previous!$B$4:$AY$138,LS_previous!AQ$149, FALSE))/2)</f>
        <v>3305.6123247661144</v>
      </c>
      <c r="AB67" s="192">
        <f t="array" ref="AB67">IF($G67=0, INDEX(LS_previous!$D$4:$AY$138, MATCH('Staging Table'!$A67, LS_previous!$B$4:$B$138, 0), MATCH(AB$4&amp;AB$5, LS_previous!$D$2:$AY$2&amp;LS_previous!$D$3:$AY$3, 0)),SUM(VLOOKUP($A67, LS_previous!$B$4:$AY$138, LS_previous!T$149, FALSE), VLOOKUP('Staging Table'!$A67, LS_previous!$B$4:$AY$138,LS_previous!AR$149, FALSE))/2)</f>
        <v>-10468.313528563365</v>
      </c>
      <c r="AC67" s="192">
        <f t="array" ref="AC67">IF($G67=0, INDEX(LS_previous!$D$4:$AY$138, MATCH('Staging Table'!$A67, LS_previous!$B$4:$B$138, 0), MATCH(AC$4&amp;AC$5, LS_previous!$D$2:$AY$2&amp;LS_previous!$D$3:$AY$3, 0)),SUM(VLOOKUP($A67, LS_previous!$B$4:$AY$138, LS_previous!U$149, FALSE), VLOOKUP('Staging Table'!$A67, LS_previous!$B$4:$AY$138,LS_previous!AS$149, FALSE))/2)</f>
        <v>-228.94045787323375</v>
      </c>
      <c r="AD67" s="192">
        <f t="array" ref="AD67">IF($G67=0, INDEX(LS_previous!$D$4:$AY$138, MATCH('Staging Table'!$A67, LS_previous!$B$4:$B$138, 0), MATCH(AD$4&amp;AD$5, LS_previous!$D$2:$AY$2&amp;LS_previous!$D$3:$AY$3, 0)),SUM(VLOOKUP($A67, LS_previous!$B$4:$AY$138, LS_previous!V$149, FALSE), VLOOKUP('Staging Table'!$A67, LS_previous!$B$4:$AY$138,LS_previous!AT$149, FALSE))/2)</f>
        <v>1575.8495299703609</v>
      </c>
      <c r="AE67" s="192">
        <f t="array" ref="AE67">IF($G67=0, INDEX(LS_previous!$D$4:$AY$138, MATCH('Staging Table'!$A67, LS_previous!$B$4:$B$138, 0), MATCH(AE$4&amp;AE$5, LS_previous!$D$2:$AY$2&amp;LS_previous!$D$3:$AY$3, 0)),SUM(VLOOKUP($A67, LS_previous!$B$4:$AY$138, LS_previous!W$149, FALSE), VLOOKUP('Staging Table'!$A67, LS_previous!$B$4:$AY$138,LS_previous!AU$149, FALSE))/2)</f>
        <v>12151.410749899704</v>
      </c>
      <c r="AF67" s="192">
        <f t="array" ref="AF67">IF($G67=0, INDEX(LS_previous!$D$4:$AY$138, MATCH('Staging Table'!$A67, LS_previous!$B$4:$B$138, 0), MATCH(AF$4&amp;AF$5, LS_previous!$D$2:$AY$2&amp;LS_previous!$D$3:$AY$3, 0)),SUM(VLOOKUP($A67, LS_previous!$B$4:$AY$138, LS_previous!X$149, FALSE), VLOOKUP('Staging Table'!$A67, LS_previous!$B$4:$AY$138,LS_previous!AV$149, FALSE))/2)</f>
        <v>1048.6571811131125</v>
      </c>
      <c r="AG67" s="192">
        <f t="array" ref="AG67">IF($G67=0, INDEX(LS_previous!$D$4:$AY$138, MATCH('Staging Table'!$A67, LS_previous!$B$4:$B$138, 0), MATCH(AG$4&amp;AG$5, LS_previous!$D$2:$AY$2&amp;LS_previous!$D$3:$AY$3, 0)),SUM(VLOOKUP($A67, LS_previous!$B$4:$AY$138, LS_previous!Y$149, FALSE), VLOOKUP('Staging Table'!$A67, LS_previous!$B$4:$AY$138,LS_previous!AW$149, FALSE))/2)</f>
        <v>11195.274335339183</v>
      </c>
      <c r="AH67" s="192">
        <f t="array" ref="AH67">IF($G67=0, INDEX(LS_previous!$D$4:$AY$138, MATCH('Staging Table'!$A67, LS_previous!$B$4:$B$138, 0), MATCH(AH$4&amp;AH$5, LS_previous!$D$2:$AY$2&amp;LS_previous!$D$3:$AY$3, 0)),SUM(VLOOKUP($A67, LS_previous!$B$4:$AY$138, LS_previous!Z$149, FALSE), VLOOKUP('Staging Table'!$A67, LS_previous!$B$4:$AY$138,LS_previous!AX$149, FALSE))/2)</f>
        <v>-737.93622340995898</v>
      </c>
      <c r="AI67" s="192">
        <f t="array" ref="AI67">IF($G67=0, INDEX(LS_previous!$D$4:$AY$138, MATCH('Staging Table'!$A67, LS_previous!$B$4:$B$138, 0), MATCH(AI$4&amp;AI$5, LS_previous!$D$2:$AY$2&amp;LS_previous!$D$3:$AY$3, 0)),SUM(VLOOKUP($A67, LS_previous!$B$4:$AY$138, LS_previous!AA$149, FALSE), VLOOKUP('Staging Table'!$A67, LS_previous!$B$4:$AY$138,LS_previous!AY$149, FALSE))/2)</f>
        <v>5712.2656700720327</v>
      </c>
      <c r="AJ67" s="314">
        <f t="array" ref="AJ67">INDEX(Demand_previous!$D$4:$AY$138, MATCH('Staging Table'!$A67, Demand_previous!$B$4:$B$138, 0), MATCH(AJ$4&amp;AJ$5,Demand_previous!$D$2:$AY$2&amp;Demand_previous!$D$3:$AY$3, 0))/1000</f>
        <v>0</v>
      </c>
      <c r="AK67" s="314">
        <f t="array" ref="AK67">INDEX(Demand_previous!$D$4:$AY$138, MATCH('Staging Table'!$A67, Demand_previous!$B$4:$B$138, 0), MATCH(AK$4&amp;AK$5,Demand_previous!$D$2:$AY$2&amp;Demand_previous!$D$3:$AY$3, 0))/1000</f>
        <v>0</v>
      </c>
      <c r="AL67" s="314">
        <f t="array" ref="AL67">INDEX(Demand_previous!$D$4:$AY$138, MATCH('Staging Table'!$A67, Demand_previous!$B$4:$B$138, 0), MATCH(AL$4&amp;AL$5,Demand_previous!$D$2:$AY$2&amp;Demand_previous!$D$3:$AY$3, 0))/1000</f>
        <v>0</v>
      </c>
      <c r="AM67" s="314">
        <f t="array" ref="AM67">INDEX(Demand_previous!$D$4:$AY$138, MATCH('Staging Table'!$A67, Demand_previous!$B$4:$B$138, 0), MATCH(AM$4&amp;AM$5,Demand_previous!$D$2:$AY$2&amp;Demand_previous!$D$3:$AY$3, 0))/1000</f>
        <v>0</v>
      </c>
      <c r="AN67" s="314">
        <f t="array" ref="AN67">INDEX(Demand_previous!$D$4:$AY$138, MATCH('Staging Table'!$A67, Demand_previous!$B$4:$B$138, 0), MATCH(AN$4&amp;AN$5,Demand_previous!$D$2:$AY$2&amp;Demand_previous!$D$3:$AY$3, 0))/1000</f>
        <v>0</v>
      </c>
      <c r="AO67" s="314">
        <f t="array" ref="AO67">INDEX(Demand_previous!$D$4:$AY$138, MATCH('Staging Table'!$A67, Demand_previous!$B$4:$B$138, 0), MATCH(AO$4&amp;AO$5,Demand_previous!$D$2:$AY$2&amp;Demand_previous!$D$3:$AY$3, 0))/1000</f>
        <v>0</v>
      </c>
      <c r="AP67" s="314">
        <f t="array" ref="AP67">INDEX(Demand_previous!$D$4:$AY$138, MATCH('Staging Table'!$A67, Demand_previous!$B$4:$B$138, 0), MATCH(AP$4&amp;AP$5,Demand_previous!$D$2:$AY$2&amp;Demand_previous!$D$3:$AY$3, 0))/1000</f>
        <v>0</v>
      </c>
      <c r="AQ67" s="314">
        <f t="array" ref="AQ67">INDEX(Demand_previous!$D$4:$AY$138, MATCH('Staging Table'!$A67, Demand_previous!$B$4:$B$138, 0), MATCH(AQ$4&amp;AQ$5,Demand_previous!$D$2:$AY$2&amp;Demand_previous!$D$3:$AY$3, 0))/1000</f>
        <v>0</v>
      </c>
      <c r="AR67" s="314">
        <f t="array" ref="AR67">INDEX(Demand_previous!$D$4:$AY$138, MATCH('Staging Table'!$A67, Demand_previous!$B$4:$B$138, 0), MATCH(AR$4&amp;AR$5,Demand_previous!$D$2:$AY$2&amp;Demand_previous!$D$3:$AY$3, 0))/1000</f>
        <v>0</v>
      </c>
      <c r="AS67" s="314">
        <f t="array" ref="AS67">INDEX(Demand_previous!$D$4:$AY$138, MATCH('Staging Table'!$A67, Demand_previous!$B$4:$B$138, 0), MATCH(AS$4&amp;AS$5,Demand_previous!$D$2:$AY$2&amp;Demand_previous!$D$3:$AY$3, 0))/1000</f>
        <v>0</v>
      </c>
      <c r="AT67" s="314">
        <f t="array" ref="AT67">INDEX(Demand_previous!$D$4:$AY$138, MATCH('Staging Table'!$A67, Demand_previous!$B$4:$B$138, 0), MATCH(AT$4&amp;AT$5,Demand_previous!$D$2:$AY$2&amp;Demand_previous!$D$3:$AY$3, 0))/1000</f>
        <v>0</v>
      </c>
      <c r="AU67" s="314">
        <f t="array" ref="AU67">INDEX(Demand_previous!$D$4:$AY$138, MATCH('Staging Table'!$A67, Demand_previous!$B$4:$B$138, 0), MATCH(AU$4&amp;AU$5,Demand_previous!$D$2:$AY$2&amp;Demand_previous!$D$3:$AY$3, 0))/1000</f>
        <v>0</v>
      </c>
      <c r="AV67" s="192">
        <f>$F67*(VLOOKUP(AV$4, Rates_previous!$G$6:$Q$29, 10, FALSE)+VLOOKUP(AV$4, Rates_previous!$G$6:$Q$29, 11, FALSE))</f>
        <v>40761.676206287993</v>
      </c>
      <c r="AW67" s="192">
        <f>$F67*(VLOOKUP(AW$4, Rates_previous!$G$6:$Q$29, 10, FALSE)+VLOOKUP(AW$4, Rates_previous!$G$6:$Q$29, 11, FALSE))</f>
        <v>51780.044633891994</v>
      </c>
      <c r="AX67" s="192">
        <f>$F67*(VLOOKUP(AX$4, Rates_previous!$G$6:$Q$29, 10, FALSE)+VLOOKUP(AX$4, Rates_previous!$G$6:$Q$29, 11, FALSE))</f>
        <v>51154.730530287998</v>
      </c>
      <c r="AY67" s="192">
        <f>$F67*(VLOOKUP(AY$4, Rates_previous!$G$6:$Q$29, 10, FALSE)+VLOOKUP(AY$4, Rates_previous!$G$6:$Q$29, 11, FALSE))</f>
        <v>42640.583586287998</v>
      </c>
      <c r="AZ67" s="192">
        <f>$F67*(VLOOKUP(AZ$4, Rates_previous!$G$6:$Q$29, 10, FALSE)+VLOOKUP(AZ$4, Rates_previous!$G$6:$Q$29, 11, FALSE))</f>
        <v>38627.945110399996</v>
      </c>
      <c r="BA67" s="192">
        <f>$F67*(VLOOKUP(BA$4, Rates_previous!$G$6:$Q$29, 10, FALSE)+VLOOKUP(BA$4, Rates_previous!$G$6:$Q$29, 11, FALSE))</f>
        <v>42966.546371835997</v>
      </c>
      <c r="BB67" s="192">
        <f>$F67*(VLOOKUP(BB$4, Rates_previous!$G$6:$Q$29, 10, FALSE)+VLOOKUP(BB$4, Rates_previous!$G$6:$Q$29, 11, FALSE))</f>
        <v>34983.408421439999</v>
      </c>
      <c r="BC67" s="192">
        <f>$F67*(VLOOKUP(BC$4, Rates_previous!$G$6:$Q$29, 10, FALSE)+VLOOKUP(BC$4, Rates_previous!$G$6:$Q$29, 11, FALSE))</f>
        <v>47180.342860288001</v>
      </c>
      <c r="BD67" s="192">
        <f>$F67*(VLOOKUP(BD$4, Rates_previous!$G$6:$Q$29, 10, FALSE)+VLOOKUP(BD$4, Rates_previous!$G$6:$Q$29, 11, FALSE))</f>
        <v>60198.908687439995</v>
      </c>
      <c r="BE67" s="192">
        <f>$F67*(VLOOKUP(BE$4, Rates_previous!$G$6:$Q$29, 10, FALSE)+VLOOKUP(BE$4, Rates_previous!$G$6:$Q$29, 11, FALSE))</f>
        <v>47197.853198288001</v>
      </c>
      <c r="BF67" s="192">
        <f>$F67*(VLOOKUP(BF$4, Rates_previous!$G$6:$Q$29, 10, FALSE)+VLOOKUP(BF$4, Rates_previous!$G$6:$Q$29, 11, FALSE))</f>
        <v>45961.310824287997</v>
      </c>
      <c r="BG67" s="192">
        <f>$F67*(VLOOKUP(BG$4, Rates_previous!$G$6:$Q$29, 10, FALSE)+VLOOKUP(BG$4, Rates_previous!$G$6:$Q$29, 11, FALSE))</f>
        <v>41263.479889440001</v>
      </c>
      <c r="BH67" s="314">
        <f>IF($D67=0,IF(C67=0, MAX(BJ67 - (VLOOKUP($A67,TOCA_previous!$A$2:$AI$137,MATCH("RHWM 2020",TOCA_previous!$A$2:$AI$2,0),FALSE)*$F$2*TOCA_previous!C64),0),0), 0)</f>
        <v>0</v>
      </c>
      <c r="BI67" s="204">
        <f>MIN(VLOOKUP($A67,TOCA_previous!$A$2:$AI$137,MATCH("TRL - NLSL - Existing Resource "&amp;$F$1,TOCA_previous!$A$2:$AI$2,0),FALSE)*$F$2,(VLOOKUP($A67,TOCA_previous!$A$2:$AI$137,MATCH("RHWM 2020",TOCA_previous!$A$2:$AI$2,0),FALSE)*$F$2))</f>
        <v>1025356.3200000001</v>
      </c>
      <c r="BJ67" s="418">
        <f>SUM(L67:AI67)+(F67*RT1SC!$C$3*$F$2)</f>
        <v>544718.39663243387</v>
      </c>
      <c r="BK67" s="417">
        <f>VLOOKUP($A67,TOCA_previous!$A$2:$AI$137,MATCH("Above RHWM Not Served with LS "&amp;$F$1,TOCA_previous!$A$2:$AI$2,0),FALSE)*$F$2</f>
        <v>53301.311999999998</v>
      </c>
      <c r="BL67" s="418">
        <f t="shared" si="8"/>
        <v>-480637.9233675662</v>
      </c>
      <c r="BM67" s="417">
        <f>(VLOOKUP($A67,TOCA_previous!$A$2:$AI$137,MATCH("RHWM 2020",TOCA_previous!$A$2:$AI$2,0),FALSE)*$F$2) - $BI67</f>
        <v>0</v>
      </c>
      <c r="BN67" s="418">
        <f t="shared" si="9"/>
        <v>0</v>
      </c>
      <c r="BO67" s="417">
        <f t="shared" si="10"/>
        <v>427336.61136756622</v>
      </c>
      <c r="BP67" s="418">
        <f t="shared" si="11"/>
        <v>0</v>
      </c>
      <c r="BQ67" s="417">
        <f t="shared" si="18"/>
        <v>0</v>
      </c>
      <c r="BR67" s="120">
        <f>VLOOKUP($A67,TOCA_current!$A$2:$AI$137,MATCH(BR$4,TOCA_current!$A$2:$AI$2,0),FALSE)</f>
        <v>1.66176E-2</v>
      </c>
      <c r="BS67" s="120">
        <f>VLOOKUP($A67,TOCA_current!$A$2:$AI$137,MATCH(BS$4,TOCA_current!$A$2:$AI$2,0),FALSE)</f>
        <v>8.8280999999999984E-3</v>
      </c>
      <c r="BT67" s="201">
        <f t="shared" si="12"/>
        <v>7.7895000000000013E-3</v>
      </c>
      <c r="BU67" s="120">
        <f>VLOOKUP($A67,TOCA_current!A63:BG198,MATCH(BU$4,TOCA_current!$A$2:$BG$2,0),FALSE)</f>
        <v>0</v>
      </c>
      <c r="BV67" s="120">
        <f t="shared" si="19"/>
        <v>0</v>
      </c>
      <c r="BW67" s="120">
        <f t="shared" si="20"/>
        <v>0</v>
      </c>
      <c r="BX67" s="191">
        <f>VLOOKUP($A67,IRD!$A$4:$G$139, 7, FALSE)</f>
        <v>94407.247000000003</v>
      </c>
      <c r="BY67" s="192">
        <f t="array" ref="BY67">IF($BT67=0, INDEX(LS_current!$D$4:$AY$138, MATCH('Staging Table'!$A67, LS_current!$B$4:$B$138, 0), MATCH(BY$4&amp;BY$5, LS_current!$D$2:$AY$2&amp;LS_current!$D$3:$AY$3, 0)),SUM(VLOOKUP($A67, LS_current!$B$4:$AY$138, LS_current!D$148, FALSE), VLOOKUP($A67, LS_current!$B$4:$AY$138,LS_current!AB$148, FALSE))/2)</f>
        <v>-3938.7543123685446</v>
      </c>
      <c r="BZ67" s="192">
        <f t="array" ref="BZ67">IF($BT67=0, INDEX(LS_current!$D$4:$AY$138, MATCH('Staging Table'!$A67, LS_current!$B$4:$B$138, 0), MATCH(BZ$4&amp;BZ$5, LS_current!$D$2:$AY$2&amp;LS_current!$D$3:$AY$3, 0)),SUM(VLOOKUP($A67, LS_current!$B$4:$AY$138, LS_current!E$148, FALSE), VLOOKUP($A67, LS_current!$B$4:$AY$138,LS_current!AC$148, FALSE))/2)</f>
        <v>2807.4753381208775</v>
      </c>
      <c r="CA67" s="192">
        <f t="array" ref="CA67">IF($BT67=0, INDEX(LS_current!$D$4:$AY$138, MATCH('Staging Table'!$A67, LS_current!$B$4:$B$138, 0), MATCH(CA$4&amp;CA$5, LS_current!$D$2:$AY$2&amp;LS_current!$D$3:$AY$3, 0)),SUM(VLOOKUP($A67, LS_current!$B$4:$AY$138, LS_current!F$148, FALSE), VLOOKUP($A67, LS_current!$B$4:$AY$138,LS_current!AD$148, FALSE))/2)</f>
        <v>-10713.265665623423</v>
      </c>
      <c r="CB67" s="192">
        <f t="array" ref="CB67">IF($BT67=0, INDEX(LS_current!$D$4:$AY$138, MATCH('Staging Table'!$A67, LS_current!$B$4:$B$138, 0), MATCH(CB$4&amp;CB$5, LS_current!$D$2:$AY$2&amp;LS_current!$D$3:$AY$3, 0)),SUM(VLOOKUP($A67, LS_current!$B$4:$AY$138, LS_current!G$148, FALSE), VLOOKUP($A67, LS_current!$B$4:$AY$138,LS_current!AE$148, FALSE))/2)</f>
        <v>-3197.1358696080651</v>
      </c>
      <c r="CC67" s="192">
        <f t="array" ref="CC67">IF($BT67=0, INDEX(LS_current!$D$4:$AY$138, MATCH('Staging Table'!$A67, LS_current!$B$4:$B$138, 0), MATCH(CC$4&amp;CC$5, LS_current!$D$2:$AY$2&amp;LS_current!$D$3:$AY$3, 0)),SUM(VLOOKUP($A67, LS_current!$B$4:$AY$138, LS_current!H$148, FALSE), VLOOKUP($A67, LS_current!$B$4:$AY$138,LS_current!AF$148, FALSE))/2)</f>
        <v>-4284.1274255218286</v>
      </c>
      <c r="CD67" s="192">
        <f t="array" ref="CD67">IF($BT67=0, INDEX(LS_current!$D$4:$AY$138, MATCH('Staging Table'!$A67, LS_current!$B$4:$B$138, 0), MATCH(CD$4&amp;CD$5, LS_current!$D$2:$AY$2&amp;LS_current!$D$3:$AY$3, 0)),SUM(VLOOKUP($A67, LS_current!$B$4:$AY$138, LS_current!I$148, FALSE), VLOOKUP($A67, LS_current!$B$4:$AY$138,LS_current!AG$148, FALSE))/2)</f>
        <v>-2295.8558761599761</v>
      </c>
      <c r="CE67" s="192">
        <f t="array" ref="CE67">IF($BT67=0, INDEX(LS_current!$D$4:$AY$138, MATCH('Staging Table'!$A67, LS_current!$B$4:$B$138, 0), MATCH(CE$4&amp;CE$5, LS_current!$D$2:$AY$2&amp;LS_current!$D$3:$AY$3, 0)),SUM(VLOOKUP($A67, LS_current!$B$4:$AY$138, LS_current!J$148, FALSE), VLOOKUP($A67, LS_current!$B$4:$AY$138,LS_current!AH$148, FALSE))/2)</f>
        <v>1518.7480760933959</v>
      </c>
      <c r="CF67" s="192">
        <f t="array" ref="CF67">IF($BT67=0, INDEX(LS_current!$D$4:$AY$138, MATCH('Staging Table'!$A67, LS_current!$B$4:$B$138, 0), MATCH(CF$4&amp;CF$5, LS_current!$D$2:$AY$2&amp;LS_current!$D$3:$AY$3, 0)),SUM(VLOOKUP($A67, LS_current!$B$4:$AY$138, LS_current!K$148, FALSE), VLOOKUP($A67, LS_current!$B$4:$AY$138,LS_current!AI$148, FALSE))/2)</f>
        <v>3697.5563049224256</v>
      </c>
      <c r="CG67" s="192">
        <f t="array" ref="CG67">IF($BT67=0, INDEX(LS_current!$D$4:$AY$138, MATCH('Staging Table'!$A67, LS_current!$B$4:$B$138, 0), MATCH(CG$4&amp;CG$5, LS_current!$D$2:$AY$2&amp;LS_current!$D$3:$AY$3, 0)),SUM(VLOOKUP($A67, LS_current!$B$4:$AY$138, LS_current!L$148, FALSE), VLOOKUP($A67, LS_current!$B$4:$AY$138,LS_current!AJ$148, FALSE))/2)</f>
        <v>121.1695794483112</v>
      </c>
      <c r="CH67" s="192">
        <f t="array" ref="CH67">IF($BT67=0, INDEX(LS_current!$D$4:$AY$138, MATCH('Staging Table'!$A67, LS_current!$B$4:$B$138, 0), MATCH(CH$4&amp;CH$5, LS_current!$D$2:$AY$2&amp;LS_current!$D$3:$AY$3, 0)),SUM(VLOOKUP($A67, LS_current!$B$4:$AY$138, LS_current!M$148, FALSE), VLOOKUP($A67, LS_current!$B$4:$AY$138,LS_current!AK$148, FALSE))/2)</f>
        <v>681.24683348970848</v>
      </c>
      <c r="CI67" s="192">
        <f t="array" ref="CI67">IF($BT67=0, INDEX(LS_current!$D$4:$AY$138, MATCH('Staging Table'!$A67, LS_current!$B$4:$B$138, 0), MATCH(CI$4&amp;CI$5, LS_current!$D$2:$AY$2&amp;LS_current!$D$3:$AY$3, 0)),SUM(VLOOKUP($A67, LS_current!$B$4:$AY$138, LS_current!N$148, FALSE), VLOOKUP($A67, LS_current!$B$4:$AY$138,LS_current!AL$148, FALSE))/2)</f>
        <v>-5247.7278245271991</v>
      </c>
      <c r="CJ67" s="192">
        <f t="array" ref="CJ67">IF($BT67=0, INDEX(LS_current!$D$4:$AY$138, MATCH('Staging Table'!$A67, LS_current!$B$4:$B$138, 0), MATCH(CJ$4&amp;CJ$5, LS_current!$D$2:$AY$2&amp;LS_current!$D$3:$AY$3, 0)),SUM(VLOOKUP($A67, LS_current!$B$4:$AY$138, LS_current!O$148, FALSE), VLOOKUP($A67, LS_current!$B$4:$AY$138,LS_current!AM$148, FALSE))/2)</f>
        <v>-1382.430407861917</v>
      </c>
      <c r="CK67" s="192">
        <f t="array" ref="CK67">IF($BT67=0, INDEX(LS_current!$D$4:$AY$138, MATCH('Staging Table'!$A67, LS_current!$B$4:$B$138, 0), MATCH(CK$4&amp;CK$5, LS_current!$D$2:$AY$2&amp;LS_current!$D$3:$AY$3, 0)),SUM(VLOOKUP($A67, LS_current!$B$4:$AY$138, LS_current!P$148, FALSE), VLOOKUP($A67, LS_current!$B$4:$AY$138,LS_current!AN$148, FALSE))/2)</f>
        <v>-3.515627879427484</v>
      </c>
      <c r="CL67" s="192">
        <f t="array" ref="CL67">IF($BT67=0, INDEX(LS_current!$D$4:$AY$138, MATCH('Staging Table'!$A67, LS_current!$B$4:$B$138, 0), MATCH(CL$4&amp;CL$5, LS_current!$D$2:$AY$2&amp;LS_current!$D$3:$AY$3, 0)),SUM(VLOOKUP($A67, LS_current!$B$4:$AY$138, LS_current!Q$148, FALSE), VLOOKUP($A67, LS_current!$B$4:$AY$138,LS_current!AO$148, FALSE))/2)</f>
        <v>2894.6903181883845</v>
      </c>
      <c r="CM67" s="192">
        <f t="array" ref="CM67">IF($BT67=0, INDEX(LS_current!$D$4:$AY$138, MATCH('Staging Table'!$A67, LS_current!$B$4:$B$138, 0), MATCH(CM$4&amp;CM$5, LS_current!$D$2:$AY$2&amp;LS_current!$D$3:$AY$3, 0)),SUM(VLOOKUP($A67, LS_current!$B$4:$AY$138, LS_current!R$148, FALSE), VLOOKUP($A67, LS_current!$B$4:$AY$138,LS_current!AP$148, FALSE))/2)</f>
        <v>-8287.7700880844659</v>
      </c>
      <c r="CN67" s="192">
        <f t="array" ref="CN67">IF($BT67=0, INDEX(LS_current!$D$4:$AY$138, MATCH('Staging Table'!$A67, LS_current!$B$4:$B$138, 0), MATCH(CN$4&amp;CN$5, LS_current!$D$2:$AY$2&amp;LS_current!$D$3:$AY$3, 0)),SUM(VLOOKUP($A67, LS_current!$B$4:$AY$138, LS_current!S$148, FALSE), VLOOKUP($A67, LS_current!$B$4:$AY$138,LS_current!AQ$148, FALSE))/2)</f>
        <v>3645.7462232492198</v>
      </c>
      <c r="CO67" s="192">
        <f t="array" ref="CO67">IF($BT67=0, INDEX(LS_current!$D$4:$AY$138, MATCH('Staging Table'!$A67, LS_current!$B$4:$B$138, 0), MATCH(CO$4&amp;CO$5, LS_current!$D$2:$AY$2&amp;LS_current!$D$3:$AY$3, 0)),SUM(VLOOKUP($A67, LS_current!$B$4:$AY$138, LS_current!T$148, FALSE), VLOOKUP($A67, LS_current!$B$4:$AY$138,LS_current!AR$148, FALSE))/2)</f>
        <v>-7506.5139018032369</v>
      </c>
      <c r="CP67" s="192">
        <f t="array" ref="CP67">IF($BT67=0, INDEX(LS_current!$D$4:$AY$138, MATCH('Staging Table'!$A67, LS_current!$B$4:$B$138, 0), MATCH(CP$4&amp;CP$5, LS_current!$D$2:$AY$2&amp;LS_current!$D$3:$AY$3, 0)),SUM(VLOOKUP($A67, LS_current!$B$4:$AY$138, LS_current!U$148, FALSE), VLOOKUP($A67, LS_current!$B$4:$AY$138,LS_current!AS$148, FALSE))/2)</f>
        <v>5977.8289964320829</v>
      </c>
      <c r="CQ67" s="192">
        <f t="array" ref="CQ67">IF($BT67=0, INDEX(LS_current!$D$4:$AY$138, MATCH('Staging Table'!$A67, LS_current!$B$4:$B$138, 0), MATCH(CQ$4&amp;CQ$5, LS_current!$D$2:$AY$2&amp;LS_current!$D$3:$AY$3, 0)),SUM(VLOOKUP($A67, LS_current!$B$4:$AY$138, LS_current!V$148, FALSE), VLOOKUP($A67, LS_current!$B$4:$AY$138,LS_current!AT$148, FALSE))/2)</f>
        <v>423.52317591012979</v>
      </c>
      <c r="CR67" s="192">
        <f t="array" ref="CR67">IF($BT67=0, INDEX(LS_current!$D$4:$AY$138, MATCH('Staging Table'!$A67, LS_current!$B$4:$B$138, 0), MATCH(CR$4&amp;CR$5, LS_current!$D$2:$AY$2&amp;LS_current!$D$3:$AY$3, 0)),SUM(VLOOKUP($A67, LS_current!$B$4:$AY$138, LS_current!W$148, FALSE), VLOOKUP($A67, LS_current!$B$4:$AY$138,LS_current!AU$148, FALSE))/2)</f>
        <v>11461.172263929169</v>
      </c>
      <c r="CS67" s="192">
        <f t="array" ref="CS67">IF($BT67=0, INDEX(LS_current!$D$4:$AY$138, MATCH('Staging Table'!$A67, LS_current!$B$4:$B$138, 0), MATCH(CS$4&amp;CS$5, LS_current!$D$2:$AY$2&amp;LS_current!$D$3:$AY$3, 0)),SUM(VLOOKUP($A67, LS_current!$B$4:$AY$138, LS_current!X$148, FALSE), VLOOKUP($A67, LS_current!$B$4:$AY$138,LS_current!AV$148, FALSE))/2)</f>
        <v>2127.5651664452107</v>
      </c>
      <c r="CT67" s="192">
        <f t="array" ref="CT67">IF($BT67=0, INDEX(LS_current!$D$4:$AY$138, MATCH('Staging Table'!$A67, LS_current!$B$4:$B$138, 0), MATCH(CT$4&amp;CT$5, LS_current!$D$2:$AY$2&amp;LS_current!$D$3:$AY$3, 0)),SUM(VLOOKUP($A67, LS_current!$B$4:$AY$138, LS_current!Y$148, FALSE), VLOOKUP($A67, LS_current!$B$4:$AY$138,LS_current!AW$148, FALSE))/2)</f>
        <v>8712.4321860103501</v>
      </c>
      <c r="CU67" s="192">
        <f t="array" ref="CU67">IF($BT67=0, INDEX(LS_current!$D$4:$AY$138, MATCH('Staging Table'!$A67, LS_current!$B$4:$B$138, 0), MATCH(CU$4&amp;CU$5, LS_current!$D$2:$AY$2&amp;LS_current!$D$3:$AY$3, 0)),SUM(VLOOKUP($A67, LS_current!$B$4:$AY$138, LS_current!Z$148, FALSE), VLOOKUP($A67, LS_current!$B$4:$AY$138,LS_current!AX$148, FALSE))/2)</f>
        <v>-1881.1205573072311</v>
      </c>
      <c r="CV67" s="192">
        <f t="array" ref="CV67">IF($BT67=0, INDEX(LS_current!$D$4:$AY$138, MATCH('Staging Table'!$A67, LS_current!$B$4:$B$138, 0), MATCH(CV$4&amp;CV$5, LS_current!$D$2:$AY$2&amp;LS_current!$D$3:$AY$3, 0)),SUM(VLOOKUP($A67, LS_current!$B$4:$AY$138, LS_current!AA$148, FALSE), VLOOKUP($A67, LS_current!$B$4:$AY$138,LS_current!AY$148, FALSE))/2)</f>
        <v>4668.0680279155367</v>
      </c>
      <c r="CW67" s="194">
        <f t="array" ref="CW67">INDEX(Demand_current!$D$4:$AY$138, MATCH($A67, Demand_current!$B$4:$B$138, 0), MATCH(CW$4&amp;CW$5,Demand_current!$D$2:$AY$2&amp;Demand_current!$D$3:$AY$3, 0))/1000</f>
        <v>0</v>
      </c>
      <c r="CX67" s="194">
        <f t="array" ref="CX67">INDEX(Demand_current!$D$4:$AY$138, MATCH($A67, Demand_current!$B$4:$B$138, 0), MATCH(CX$4&amp;CX$5,Demand_current!$D$2:$AY$2&amp;Demand_current!$D$3:$AY$3, 0))/1000</f>
        <v>0</v>
      </c>
      <c r="CY67" s="194">
        <f t="array" ref="CY67">INDEX(Demand_current!$D$4:$AY$138, MATCH($A67, Demand_current!$B$4:$B$138, 0), MATCH(CY$4&amp;CY$5,Demand_current!$D$2:$AY$2&amp;Demand_current!$D$3:$AY$3, 0))/1000</f>
        <v>0</v>
      </c>
      <c r="CZ67" s="194">
        <f t="array" ref="CZ67">INDEX(Demand_current!$D$4:$AY$138, MATCH($A67, Demand_current!$B$4:$B$138, 0), MATCH(CZ$4&amp;CZ$5,Demand_current!$D$2:$AY$2&amp;Demand_current!$D$3:$AY$3, 0))/1000</f>
        <v>0</v>
      </c>
      <c r="DA67" s="194">
        <f t="array" ref="DA67">INDEX(Demand_current!$D$4:$AY$138, MATCH($A67, Demand_current!$B$4:$B$138, 0), MATCH(DA$4&amp;DA$5,Demand_current!$D$2:$AY$2&amp;Demand_current!$D$3:$AY$3, 0))/1000</f>
        <v>0</v>
      </c>
      <c r="DB67" s="194">
        <f t="array" ref="DB67">INDEX(Demand_current!$D$4:$AY$138, MATCH($A67, Demand_current!$B$4:$B$138, 0), MATCH(DB$4&amp;DB$5,Demand_current!$D$2:$AY$2&amp;Demand_current!$D$3:$AY$3, 0))/1000</f>
        <v>0</v>
      </c>
      <c r="DC67" s="194">
        <f t="array" ref="DC67">INDEX(Demand_current!$D$4:$AY$138, MATCH($A67, Demand_current!$B$4:$B$138, 0), MATCH(DC$4&amp;DC$5,Demand_current!$D$2:$AY$2&amp;Demand_current!$D$3:$AY$3, 0))/1000</f>
        <v>0</v>
      </c>
      <c r="DD67" s="194">
        <f t="array" ref="DD67">INDEX(Demand_current!$D$4:$AY$138, MATCH($A67, Demand_current!$B$4:$B$138, 0), MATCH(DD$4&amp;DD$5,Demand_current!$D$2:$AY$2&amp;Demand_current!$D$3:$AY$3, 0))/1000</f>
        <v>0</v>
      </c>
      <c r="DE67" s="194">
        <f t="array" ref="DE67">INDEX(Demand_current!$D$4:$AY$138, MATCH($A67, Demand_current!$B$4:$B$138, 0), MATCH(DE$4&amp;DE$5,Demand_current!$D$2:$AY$2&amp;Demand_current!$D$3:$AY$3, 0))/1000</f>
        <v>0</v>
      </c>
      <c r="DF67" s="194">
        <f t="array" ref="DF67">INDEX(Demand_current!$D$4:$AY$138, MATCH($A67, Demand_current!$B$4:$B$138, 0), MATCH(DF$4&amp;DF$5,Demand_current!$D$2:$AY$2&amp;Demand_current!$D$3:$AY$3, 0))/1000</f>
        <v>0</v>
      </c>
      <c r="DG67" s="194">
        <f t="array" ref="DG67">INDEX(Demand_current!$D$4:$AY$138, MATCH($A67, Demand_current!$B$4:$B$138, 0), MATCH(DG$4&amp;DG$5,Demand_current!$D$2:$AY$2&amp;Demand_current!$D$3:$AY$3, 0))/1000</f>
        <v>0</v>
      </c>
      <c r="DH67" s="194">
        <f t="array" ref="DH67">INDEX(Demand_current!$D$4:$AY$138, MATCH($A67, Demand_current!$B$4:$B$138, 0), MATCH(DH$4&amp;DH$5,Demand_current!$D$2:$AY$2&amp;Demand_current!$D$3:$AY$3, 0))/1000</f>
        <v>0</v>
      </c>
      <c r="DI67" s="192">
        <f>$BS67*(VLOOKUP(DI$4, Rates_current!$G$6:$Q$29, 10, FALSE)+VLOOKUP(DI$4, Rates_current!$G$6:$Q$29, 11, FALSE))</f>
        <v>40202.500178937829</v>
      </c>
      <c r="DJ67" s="192">
        <f>$BS67*(VLOOKUP(DJ$4, Rates_current!$G$6:$Q$29, 10, FALSE)+VLOOKUP(DJ$4, Rates_current!$G$6:$Q$29, 11, FALSE))</f>
        <v>50897.824275671534</v>
      </c>
      <c r="DK67" s="192">
        <f>$BS67*(VLOOKUP(DK$4, Rates_current!$G$6:$Q$29, 10, FALSE)+VLOOKUP(DK$4, Rates_current!$G$6:$Q$29, 11, FALSE))</f>
        <v>49818.801434872243</v>
      </c>
      <c r="DL67" s="192">
        <f>$BS67*(VLOOKUP(DL$4, Rates_current!$G$6:$Q$29, 10, FALSE)+VLOOKUP(DL$4, Rates_current!$G$6:$Q$29, 11, FALSE))</f>
        <v>41148.211448549839</v>
      </c>
      <c r="DM67" s="192">
        <f>$BS67*(VLOOKUP(DM$4, Rates_current!$G$6:$Q$29, 10, FALSE)+VLOOKUP(DM$4, Rates_current!$G$6:$Q$29, 11, FALSE))</f>
        <v>35664.056711439494</v>
      </c>
      <c r="DN67" s="192">
        <f>$BS67*(VLOOKUP(DN$4, Rates_current!$G$6:$Q$29, 10, FALSE)+VLOOKUP(DN$4, Rates_current!$G$6:$Q$29, 11, FALSE))</f>
        <v>42575.681740704058</v>
      </c>
      <c r="DO67" s="192">
        <f>$BS67*(VLOOKUP(DO$4, Rates_current!$G$6:$Q$29, 10, FALSE)+VLOOKUP(DO$4, Rates_current!$G$6:$Q$29, 11, FALSE))</f>
        <v>33054.348818006009</v>
      </c>
      <c r="DP67" s="192">
        <f>$BS67*(VLOOKUP(DP$4, Rates_current!$G$6:$Q$29, 10, FALSE)+VLOOKUP(DP$4, Rates_current!$G$6:$Q$29, 11, FALSE))</f>
        <v>45797.043533775519</v>
      </c>
      <c r="DQ67" s="192">
        <f>$BS67*(VLOOKUP(DQ$4, Rates_current!$G$6:$Q$29, 10, FALSE)+VLOOKUP(DQ$4, Rates_current!$G$6:$Q$29, 11, FALSE))</f>
        <v>48935.099967061869</v>
      </c>
      <c r="DR67" s="192">
        <f>$BS67*(VLOOKUP(DR$4, Rates_current!$G$6:$Q$29, 10, FALSE)+VLOOKUP(DR$4, Rates_current!$G$6:$Q$29, 11, FALSE))</f>
        <v>46461.661559164684</v>
      </c>
      <c r="DS67" s="192">
        <f>$BS67*(VLOOKUP(DS$4, Rates_current!$G$6:$Q$29, 10, FALSE)+VLOOKUP(DS$4, Rates_current!$G$6:$Q$29, 11, FALSE))</f>
        <v>44901.61156623577</v>
      </c>
      <c r="DT67" s="192">
        <f>$BS67*(VLOOKUP(DT$4, Rates_current!$G$6:$Q$29, 10, FALSE)+VLOOKUP(DT$4, Rates_current!$G$6:$Q$29, 11, FALSE))</f>
        <v>41493.769894707213</v>
      </c>
      <c r="DU67" s="418">
        <f>IF(D67=0,IF(C67=0,MAX(0,DW67 - (VLOOKUP($A67,TOCA_current!$A$2:$AI$137,MATCH("RHWM 2022",TOCA_current!$A$2:$AI$2,0),FALSE)*$BS$2)), 0),0)</f>
        <v>0</v>
      </c>
      <c r="DV67" s="419">
        <f>MIN(VLOOKUP($A67,TOCA_current!$A$2:$AI$137,MATCH("TRL - NLSL - Existing Resource "&amp;$BS$1,TOCA_current!$A$2:$AI$2,0),FALSE)*$BS$2, VLOOKUP($A67,TOCA_current!$A$2:$AI$137,MATCH("RHWM 2022",TOCA_current!$A$2:$AI$2,0),FALSE)*$BS$2)</f>
        <v>980611.91999999993</v>
      </c>
      <c r="DW67" s="419">
        <f>SUM(BY67:CV67)+(BS67*RT1SC!$C$4*$BS$2)</f>
        <v>520949.6427114135</v>
      </c>
      <c r="DX67" s="419">
        <f>VLOOKUP($A67,TOCA_current!$A$2:$AI$137,MATCH("Above RHWM Not Served with LS "&amp;$BS$1,TOCA_current!$A$2:$AI$2,0),FALSE)*$BS$2</f>
        <v>101948.88</v>
      </c>
      <c r="DY67" s="419">
        <f t="shared" si="13"/>
        <v>-459662.27728858643</v>
      </c>
      <c r="DZ67" s="419">
        <f>(VLOOKUP($A67,TOCA_current!$A$2:$AI$137,MATCH("RHWM 2022",TOCA_current!$A$2:$AI$2,0),FALSE)*$BS$2) - $DV67</f>
        <v>0</v>
      </c>
      <c r="EA67" s="419">
        <f t="shared" si="14"/>
        <v>0</v>
      </c>
      <c r="EB67" s="419">
        <f t="shared" si="15"/>
        <v>357713.39728858642</v>
      </c>
      <c r="EC67" s="419">
        <f t="shared" si="16"/>
        <v>0</v>
      </c>
      <c r="ED67" s="419">
        <f t="shared" si="17"/>
        <v>0</v>
      </c>
    </row>
    <row r="68" spans="1:134">
      <c r="A68" s="135">
        <v>10186</v>
      </c>
      <c r="B68" s="136" t="s">
        <v>69</v>
      </c>
      <c r="C68" s="244">
        <f>VLOOKUP(A68, TOCA_current!$A$3:$D$137, 4, FALSE)</f>
        <v>0</v>
      </c>
      <c r="D68" s="203">
        <v>0</v>
      </c>
      <c r="E68" s="119">
        <f>VLOOKUP($A68,TOCA_previous!$A$2:$AI$137,MATCH(E$4,TOCA_previous!$A$2:$AI$2,0),FALSE)</f>
        <v>2.5351000000000002E-3</v>
      </c>
      <c r="F68" s="120">
        <f>VLOOKUP($A68,TOCA_previous!$A$2:$AI$137,MATCH(F$4,TOCA_previous!$A$2:$AI$2,0),FALSE)</f>
        <v>2.5351000000000002E-3</v>
      </c>
      <c r="G68" s="120">
        <f t="shared" si="5"/>
        <v>0</v>
      </c>
      <c r="H68" s="120">
        <f>VLOOKUP($A68,TOCA_previous!$A$2:$AI$137,MATCH(H$4,TOCA_previous!$A$2:$AI$2,0),FALSE)</f>
        <v>7.0000000000000007E-2</v>
      </c>
      <c r="I68" s="120">
        <f t="shared" si="6"/>
        <v>0</v>
      </c>
      <c r="J68" s="120">
        <f t="shared" si="7"/>
        <v>0</v>
      </c>
      <c r="K68" s="191">
        <f>VLOOKUP(A68, IRD!$A$5:$C$139, 3, FALSE)</f>
        <v>0</v>
      </c>
      <c r="L68" s="192">
        <f t="array" ref="L68">IF($G68=0, INDEX(LS_previous!$D$4:$AY$138, MATCH('Staging Table'!$A68, LS_previous!$B$4:$B$138, 0), MATCH(L$4&amp;L$5, LS_previous!$D$2:$AY$2&amp;LS_previous!$D$3:$AY$3, 0)),SUM(VLOOKUP($A68, LS_previous!$B$4:$AY$138, LS_previous!D$149, FALSE), VLOOKUP('Staging Table'!$A68, LS_previous!$B$4:$AY$138,LS_previous!AB$149, FALSE))/2)</f>
        <v>-291.35166511880016</v>
      </c>
      <c r="M68" s="192">
        <f t="array" ref="M68">IF($G68=0, INDEX(LS_previous!$D$4:$AY$138, MATCH('Staging Table'!$A68, LS_previous!$B$4:$B$138, 0), MATCH(M$4&amp;M$5, LS_previous!$D$2:$AY$2&amp;LS_previous!$D$3:$AY$3, 0)),SUM(VLOOKUP($A68, LS_previous!$B$4:$AY$138, LS_previous!E$149, FALSE), VLOOKUP('Staging Table'!$A68, LS_previous!$B$4:$AY$138,LS_previous!AC$149, FALSE))/2)</f>
        <v>735.07484153920041</v>
      </c>
      <c r="N68" s="192">
        <f t="array" ref="N68">IF($G68=0, INDEX(LS_previous!$D$4:$AY$138, MATCH('Staging Table'!$A68, LS_previous!$B$4:$B$138, 0), MATCH(N$4&amp;N$5, LS_previous!$D$2:$AY$2&amp;LS_previous!$D$3:$AY$3, 0)),SUM(VLOOKUP($A68, LS_previous!$B$4:$AY$138, LS_previous!F$149, FALSE), VLOOKUP('Staging Table'!$A68, LS_previous!$B$4:$AY$138,LS_previous!AD$149, FALSE))/2)</f>
        <v>-2096.9054202328007</v>
      </c>
      <c r="O68" s="192">
        <f t="array" ref="O68">IF($G68=0, INDEX(LS_previous!$D$4:$AY$138, MATCH('Staging Table'!$A68, LS_previous!$B$4:$B$138, 0), MATCH(O$4&amp;O$5, LS_previous!$D$2:$AY$2&amp;LS_previous!$D$3:$AY$3, 0)),SUM(VLOOKUP($A68, LS_previous!$B$4:$AY$138, LS_previous!G$149, FALSE), VLOOKUP('Staging Table'!$A68, LS_previous!$B$4:$AY$138,LS_previous!AE$149, FALSE))/2)</f>
        <v>-220.46338395610019</v>
      </c>
      <c r="P68" s="192">
        <f t="array" ref="P68">IF($G68=0, INDEX(LS_previous!$D$4:$AY$138, MATCH('Staging Table'!$A68, LS_previous!$B$4:$B$138, 0), MATCH(P$4&amp;P$5, LS_previous!$D$2:$AY$2&amp;LS_previous!$D$3:$AY$3, 0)),SUM(VLOOKUP($A68, LS_previous!$B$4:$AY$138, LS_previous!H$149, FALSE), VLOOKUP('Staging Table'!$A68, LS_previous!$B$4:$AY$138,LS_previous!AF$149, FALSE))/2)</f>
        <v>103.66549081279845</v>
      </c>
      <c r="Q68" s="192">
        <f t="array" ref="Q68">IF($G68=0, INDEX(LS_previous!$D$4:$AY$138, MATCH('Staging Table'!$A68, LS_previous!$B$4:$B$138, 0), MATCH(Q$4&amp;Q$5, LS_previous!$D$2:$AY$2&amp;LS_previous!$D$3:$AY$3, 0)),SUM(VLOOKUP($A68, LS_previous!$B$4:$AY$138, LS_previous!I$149, FALSE), VLOOKUP('Staging Table'!$A68, LS_previous!$B$4:$AY$138,LS_previous!AG$149, FALSE))/2)</f>
        <v>1597.3475523075986</v>
      </c>
      <c r="R68" s="192">
        <f t="array" ref="R68">IF($G68=0, INDEX(LS_previous!$D$4:$AY$138, MATCH('Staging Table'!$A68, LS_previous!$B$4:$B$138, 0), MATCH(R$4&amp;R$5, LS_previous!$D$2:$AY$2&amp;LS_previous!$D$3:$AY$3, 0)),SUM(VLOOKUP($A68, LS_previous!$B$4:$AY$138, LS_previous!J$149, FALSE), VLOOKUP('Staging Table'!$A68, LS_previous!$B$4:$AY$138,LS_previous!AH$149, FALSE))/2)</f>
        <v>1554.2794384127992</v>
      </c>
      <c r="S68" s="192">
        <f t="array" ref="S68">IF($G68=0, INDEX(LS_previous!$D$4:$AY$138, MATCH('Staging Table'!$A68, LS_previous!$B$4:$B$138, 0), MATCH(S$4&amp;S$5, LS_previous!$D$2:$AY$2&amp;LS_previous!$D$3:$AY$3, 0)),SUM(VLOOKUP($A68, LS_previous!$B$4:$AY$138, LS_previous!K$149, FALSE), VLOOKUP('Staging Table'!$A68, LS_previous!$B$4:$AY$138,LS_previous!AI$149, FALSE))/2)</f>
        <v>2359.6317295075987</v>
      </c>
      <c r="T68" s="192">
        <f t="array" ref="T68">IF($G68=0, INDEX(LS_previous!$D$4:$AY$138, MATCH('Staging Table'!$A68, LS_previous!$B$4:$B$138, 0), MATCH(T$4&amp;T$5, LS_previous!$D$2:$AY$2&amp;LS_previous!$D$3:$AY$3, 0)),SUM(VLOOKUP($A68, LS_previous!$B$4:$AY$138, LS_previous!L$149, FALSE), VLOOKUP('Staging Table'!$A68, LS_previous!$B$4:$AY$138,LS_previous!AJ$149, FALSE))/2)</f>
        <v>878.93523094760076</v>
      </c>
      <c r="U68" s="192">
        <f t="array" ref="U68">IF($G68=0, INDEX(LS_previous!$D$4:$AY$138, MATCH('Staging Table'!$A68, LS_previous!$B$4:$B$138, 0), MATCH(U$4&amp;U$5, LS_previous!$D$2:$AY$2&amp;LS_previous!$D$3:$AY$3, 0)),SUM(VLOOKUP($A68, LS_previous!$B$4:$AY$138, LS_previous!M$149, FALSE), VLOOKUP('Staging Table'!$A68, LS_previous!$B$4:$AY$138,LS_previous!AK$149, FALSE))/2)</f>
        <v>1280.0616193723995</v>
      </c>
      <c r="V68" s="192">
        <f t="array" ref="V68">IF($G68=0, INDEX(LS_previous!$D$4:$AY$138, MATCH('Staging Table'!$A68, LS_previous!$B$4:$B$138, 0), MATCH(V$4&amp;V$5, LS_previous!$D$2:$AY$2&amp;LS_previous!$D$3:$AY$3, 0)),SUM(VLOOKUP($A68, LS_previous!$B$4:$AY$138, LS_previous!N$149, FALSE), VLOOKUP('Staging Table'!$A68, LS_previous!$B$4:$AY$138,LS_previous!AL$149, FALSE))/2)</f>
        <v>176.05221705839995</v>
      </c>
      <c r="W68" s="192">
        <f t="array" ref="W68">IF($G68=0, INDEX(LS_previous!$D$4:$AY$138, MATCH('Staging Table'!$A68, LS_previous!$B$4:$B$138, 0), MATCH(W$4&amp;W$5, LS_previous!$D$2:$AY$2&amp;LS_previous!$D$3:$AY$3, 0)),SUM(VLOOKUP($A68, LS_previous!$B$4:$AY$138, LS_previous!O$149, FALSE), VLOOKUP('Staging Table'!$A68, LS_previous!$B$4:$AY$138,LS_previous!AM$149, FALSE))/2)</f>
        <v>1136.9665750529002</v>
      </c>
      <c r="X68" s="192">
        <f t="array" ref="X68">IF($G68=0, INDEX(LS_previous!$D$4:$AY$138, MATCH('Staging Table'!$A68, LS_previous!$B$4:$B$138, 0), MATCH(X$4&amp;X$5, LS_previous!$D$2:$AY$2&amp;LS_previous!$D$3:$AY$3, 0)),SUM(VLOOKUP($A68, LS_previous!$B$4:$AY$138, LS_previous!P$149, FALSE), VLOOKUP('Staging Table'!$A68, LS_previous!$B$4:$AY$138,LS_previous!AN$149, FALSE))/2)</f>
        <v>975.31331548559865</v>
      </c>
      <c r="Y68" s="192">
        <f t="array" ref="Y68">IF($G68=0, INDEX(LS_previous!$D$4:$AY$138, MATCH('Staging Table'!$A68, LS_previous!$B$4:$B$138, 0), MATCH(Y$4&amp;Y$5, LS_previous!$D$2:$AY$2&amp;LS_previous!$D$3:$AY$3, 0)),SUM(VLOOKUP($A68, LS_previous!$B$4:$AY$138, LS_previous!Q$149, FALSE), VLOOKUP('Staging Table'!$A68, LS_previous!$B$4:$AY$138,LS_previous!AO$149, FALSE))/2)</f>
        <v>1424.9909598663994</v>
      </c>
      <c r="Z68" s="192">
        <f t="array" ref="Z68">IF($G68=0, INDEX(LS_previous!$D$4:$AY$138, MATCH('Staging Table'!$A68, LS_previous!$B$4:$B$138, 0), MATCH(Z$4&amp;Z$5, LS_previous!$D$2:$AY$2&amp;LS_previous!$D$3:$AY$3, 0)),SUM(VLOOKUP($A68, LS_previous!$B$4:$AY$138, LS_previous!R$149, FALSE), VLOOKUP('Staging Table'!$A68, LS_previous!$B$4:$AY$138,LS_previous!AP$149, FALSE))/2)</f>
        <v>-2200.7026072100007</v>
      </c>
      <c r="AA68" s="192">
        <f t="array" ref="AA68">IF($G68=0, INDEX(LS_previous!$D$4:$AY$138, MATCH('Staging Table'!$A68, LS_previous!$B$4:$B$138, 0), MATCH(AA$4&amp;AA$5, LS_previous!$D$2:$AY$2&amp;LS_previous!$D$3:$AY$3, 0)),SUM(VLOOKUP($A68, LS_previous!$B$4:$AY$138, LS_previous!S$149, FALSE), VLOOKUP('Staging Table'!$A68, LS_previous!$B$4:$AY$138,LS_previous!AQ$149, FALSE))/2)</f>
        <v>-35.158991919600339</v>
      </c>
      <c r="AB68" s="192">
        <f t="array" ref="AB68">IF($G68=0, INDEX(LS_previous!$D$4:$AY$138, MATCH('Staging Table'!$A68, LS_previous!$B$4:$B$138, 0), MATCH(AB$4&amp;AB$5, LS_previous!$D$2:$AY$2&amp;LS_previous!$D$3:$AY$3, 0)),SUM(VLOOKUP($A68, LS_previous!$B$4:$AY$138, LS_previous!T$149, FALSE), VLOOKUP('Staging Table'!$A68, LS_previous!$B$4:$AY$138,LS_previous!AR$149, FALSE))/2)</f>
        <v>-4468.9064593644007</v>
      </c>
      <c r="AC68" s="192">
        <f t="array" ref="AC68">IF($G68=0, INDEX(LS_previous!$D$4:$AY$138, MATCH('Staging Table'!$A68, LS_previous!$B$4:$B$138, 0), MATCH(AC$4&amp;AC$5, LS_previous!$D$2:$AY$2&amp;LS_previous!$D$3:$AY$3, 0)),SUM(VLOOKUP($A68, LS_previous!$B$4:$AY$138, LS_previous!U$149, FALSE), VLOOKUP('Staging Table'!$A68, LS_previous!$B$4:$AY$138,LS_previous!AS$149, FALSE))/2)</f>
        <v>-1739.2404787336</v>
      </c>
      <c r="AD68" s="192">
        <f t="array" ref="AD68">IF($G68=0, INDEX(LS_previous!$D$4:$AY$138, MATCH('Staging Table'!$A68, LS_previous!$B$4:$B$138, 0), MATCH(AD$4&amp;AD$5, LS_previous!$D$2:$AY$2&amp;LS_previous!$D$3:$AY$3, 0)),SUM(VLOOKUP($A68, LS_previous!$B$4:$AY$138, LS_previous!V$149, FALSE), VLOOKUP('Staging Table'!$A68, LS_previous!$B$4:$AY$138,LS_previous!AT$149, FALSE))/2)</f>
        <v>-2251.608104864401</v>
      </c>
      <c r="AE68" s="192">
        <f t="array" ref="AE68">IF($G68=0, INDEX(LS_previous!$D$4:$AY$138, MATCH('Staging Table'!$A68, LS_previous!$B$4:$B$138, 0), MATCH(AE$4&amp;AE$5, LS_previous!$D$2:$AY$2&amp;LS_previous!$D$3:$AY$3, 0)),SUM(VLOOKUP($A68, LS_previous!$B$4:$AY$138, LS_previous!W$149, FALSE), VLOOKUP('Staging Table'!$A68, LS_previous!$B$4:$AY$138,LS_previous!AU$149, FALSE))/2)</f>
        <v>472.0721348847992</v>
      </c>
      <c r="AF68" s="192">
        <f t="array" ref="AF68">IF($G68=0, INDEX(LS_previous!$D$4:$AY$138, MATCH('Staging Table'!$A68, LS_previous!$B$4:$B$138, 0), MATCH(AF$4&amp;AF$5, LS_previous!$D$2:$AY$2&amp;LS_previous!$D$3:$AY$3, 0)),SUM(VLOOKUP($A68, LS_previous!$B$4:$AY$138, LS_previous!X$149, FALSE), VLOOKUP('Staging Table'!$A68, LS_previous!$B$4:$AY$138,LS_previous!AV$149, FALSE))/2)</f>
        <v>-2193.9493323144015</v>
      </c>
      <c r="AG68" s="192">
        <f t="array" ref="AG68">IF($G68=0, INDEX(LS_previous!$D$4:$AY$138, MATCH('Staging Table'!$A68, LS_previous!$B$4:$B$138, 0), MATCH(AG$4&amp;AG$5, LS_previous!$D$2:$AY$2&amp;LS_previous!$D$3:$AY$3, 0)),SUM(VLOOKUP($A68, LS_previous!$B$4:$AY$138, LS_previous!Y$149, FALSE), VLOOKUP('Staging Table'!$A68, LS_previous!$B$4:$AY$138,LS_previous!AW$149, FALSE))/2)</f>
        <v>16.435086884799603</v>
      </c>
      <c r="AH68" s="192">
        <f t="array" ref="AH68">IF($G68=0, INDEX(LS_previous!$D$4:$AY$138, MATCH('Staging Table'!$A68, LS_previous!$B$4:$B$138, 0), MATCH(AH$4&amp;AH$5, LS_previous!$D$2:$AY$2&amp;LS_previous!$D$3:$AY$3, 0)),SUM(VLOOKUP($A68, LS_previous!$B$4:$AY$138, LS_previous!Z$149, FALSE), VLOOKUP('Staging Table'!$A68, LS_previous!$B$4:$AY$138,LS_previous!AX$149, FALSE))/2)</f>
        <v>-1182.6508345600005</v>
      </c>
      <c r="AI68" s="192">
        <f t="array" ref="AI68">IF($G68=0, INDEX(LS_previous!$D$4:$AY$138, MATCH('Staging Table'!$A68, LS_previous!$B$4:$B$138, 0), MATCH(AI$4&amp;AI$5, LS_previous!$D$2:$AY$2&amp;LS_previous!$D$3:$AY$3, 0)),SUM(VLOOKUP($A68, LS_previous!$B$4:$AY$138, LS_previous!AA$149, FALSE), VLOOKUP('Staging Table'!$A68, LS_previous!$B$4:$AY$138,LS_previous!AY$149, FALSE))/2)</f>
        <v>270.74113681200015</v>
      </c>
      <c r="AJ68" s="314">
        <f t="array" ref="AJ68">INDEX(Demand_previous!$D$4:$AY$138, MATCH('Staging Table'!$A68, Demand_previous!$B$4:$B$138, 0), MATCH(AJ$4&amp;AJ$5,Demand_previous!$D$2:$AY$2&amp;Demand_previous!$D$3:$AY$3, 0))/1000</f>
        <v>2.572791666666665</v>
      </c>
      <c r="AK68" s="314">
        <f t="array" ref="AK68">INDEX(Demand_previous!$D$4:$AY$138, MATCH('Staging Table'!$A68, Demand_previous!$B$4:$B$138, 0), MATCH(AK$4&amp;AK$5,Demand_previous!$D$2:$AY$2&amp;Demand_previous!$D$3:$AY$3, 0))/1000</f>
        <v>0.38752750000000269</v>
      </c>
      <c r="AL68" s="314">
        <f t="array" ref="AL68">INDEX(Demand_previous!$D$4:$AY$138, MATCH('Staging Table'!$A68, Demand_previous!$B$4:$B$138, 0), MATCH(AL$4&amp;AL$5,Demand_previous!$D$2:$AY$2&amp;Demand_previous!$D$3:$AY$3, 0))/1000</f>
        <v>1.8712175000000015</v>
      </c>
      <c r="AM68" s="314">
        <f t="array" ref="AM68">INDEX(Demand_previous!$D$4:$AY$138, MATCH('Staging Table'!$A68, Demand_previous!$B$4:$B$138, 0), MATCH(AM$4&amp;AM$5,Demand_previous!$D$2:$AY$2&amp;Demand_previous!$D$3:$AY$3, 0))/1000</f>
        <v>4.4701826923076888</v>
      </c>
      <c r="AN68" s="314">
        <f t="array" ref="AN68">INDEX(Demand_previous!$D$4:$AY$138, MATCH('Staging Table'!$A68, Demand_previous!$B$4:$B$138, 0), MATCH(AN$4&amp;AN$5,Demand_previous!$D$2:$AY$2&amp;Demand_previous!$D$3:$AY$3, 0))/1000</f>
        <v>5.6446874999999999</v>
      </c>
      <c r="AO68" s="314">
        <f t="array" ref="AO68">INDEX(Demand_previous!$D$4:$AY$138, MATCH('Staging Table'!$A68, Demand_previous!$B$4:$B$138, 0), MATCH(AO$4&amp;AO$5,Demand_previous!$D$2:$AY$2&amp;Demand_previous!$D$3:$AY$3, 0))/1000</f>
        <v>3.0370264423076936</v>
      </c>
      <c r="AP68" s="314">
        <f t="array" ref="AP68">INDEX(Demand_previous!$D$4:$AY$138, MATCH('Staging Table'!$A68, Demand_previous!$B$4:$B$138, 0), MATCH(AP$4&amp;AP$5,Demand_previous!$D$2:$AY$2&amp;Demand_previous!$D$3:$AY$3, 0))/1000</f>
        <v>3.6597115384615404</v>
      </c>
      <c r="AQ68" s="314">
        <f t="array" ref="AQ68">INDEX(Demand_previous!$D$4:$AY$138, MATCH('Staging Table'!$A68, Demand_previous!$B$4:$B$138, 0), MATCH(AQ$4&amp;AQ$5,Demand_previous!$D$2:$AY$2&amp;Demand_previous!$D$3:$AY$3, 0))/1000</f>
        <v>1.7218875</v>
      </c>
      <c r="AR68" s="314">
        <f t="array" ref="AR68">INDEX(Demand_previous!$D$4:$AY$138, MATCH('Staging Table'!$A68, Demand_previous!$B$4:$B$138, 0), MATCH(AR$4&amp;AR$5,Demand_previous!$D$2:$AY$2&amp;Demand_previous!$D$3:$AY$3, 0))/1000</f>
        <v>1.9237572115384618</v>
      </c>
      <c r="AS68" s="314">
        <f t="array" ref="AS68">INDEX(Demand_previous!$D$4:$AY$138, MATCH('Staging Table'!$A68, Demand_previous!$B$4:$B$138, 0), MATCH(AS$4&amp;AS$5,Demand_previous!$D$2:$AY$2&amp;Demand_previous!$D$3:$AY$3, 0))/1000</f>
        <v>5.3315336538461553</v>
      </c>
      <c r="AT68" s="314">
        <f t="array" ref="AT68">INDEX(Demand_previous!$D$4:$AY$138, MATCH('Staging Table'!$A68, Demand_previous!$B$4:$B$138, 0), MATCH(AT$4&amp;AT$5,Demand_previous!$D$2:$AY$2&amp;Demand_previous!$D$3:$AY$3, 0))/1000</f>
        <v>2.1458894230769219</v>
      </c>
      <c r="AU68" s="314">
        <f t="array" ref="AU68">INDEX(Demand_previous!$D$4:$AY$138, MATCH('Staging Table'!$A68, Demand_previous!$B$4:$B$138, 0), MATCH(AU$4&amp;AU$5,Demand_previous!$D$2:$AY$2&amp;Demand_previous!$D$3:$AY$3, 0))/1000</f>
        <v>1.8372975000000009</v>
      </c>
      <c r="AV68" s="192">
        <f>$F68*(VLOOKUP(AV$4, Rates_previous!$G$6:$Q$29, 10, FALSE)+VLOOKUP(AV$4, Rates_previous!$G$6:$Q$29, 11, FALSE))</f>
        <v>11705.3608235796</v>
      </c>
      <c r="AW68" s="192">
        <f>$F68*(VLOOKUP(AW$4, Rates_previous!$G$6:$Q$29, 10, FALSE)+VLOOKUP(AW$4, Rates_previous!$G$6:$Q$29, 11, FALSE))</f>
        <v>14869.459804188902</v>
      </c>
      <c r="AX68" s="192">
        <f>$F68*(VLOOKUP(AX$4, Rates_previous!$G$6:$Q$29, 10, FALSE)+VLOOKUP(AX$4, Rates_previous!$G$6:$Q$29, 11, FALSE))</f>
        <v>14689.890956879603</v>
      </c>
      <c r="AY68" s="192">
        <f>$F68*(VLOOKUP(AY$4, Rates_previous!$G$6:$Q$29, 10, FALSE)+VLOOKUP(AY$4, Rates_previous!$G$6:$Q$29, 11, FALSE))</f>
        <v>12244.918832079602</v>
      </c>
      <c r="AZ68" s="192">
        <f>$F68*(VLOOKUP(AZ$4, Rates_previous!$G$6:$Q$29, 10, FALSE)+VLOOKUP(AZ$4, Rates_previous!$G$6:$Q$29, 11, FALSE))</f>
        <v>11092.62614968</v>
      </c>
      <c r="BA68" s="192">
        <f>$F68*(VLOOKUP(BA$4, Rates_previous!$G$6:$Q$29, 10, FALSE)+VLOOKUP(BA$4, Rates_previous!$G$6:$Q$29, 11, FALSE))</f>
        <v>12338.5242078887</v>
      </c>
      <c r="BB68" s="192">
        <f>$F68*(VLOOKUP(BB$4, Rates_previous!$G$6:$Q$29, 10, FALSE)+VLOOKUP(BB$4, Rates_previous!$G$6:$Q$29, 11, FALSE))</f>
        <v>10046.039724648001</v>
      </c>
      <c r="BC68" s="192">
        <f>$F68*(VLOOKUP(BC$4, Rates_previous!$G$6:$Q$29, 10, FALSE)+VLOOKUP(BC$4, Rates_previous!$G$6:$Q$29, 11, FALSE))</f>
        <v>13548.582599129602</v>
      </c>
      <c r="BD68" s="192">
        <f>$F68*(VLOOKUP(BD$4, Rates_previous!$G$6:$Q$29, 10, FALSE)+VLOOKUP(BD$4, Rates_previous!$G$6:$Q$29, 11, FALSE))</f>
        <v>17287.069938098004</v>
      </c>
      <c r="BE68" s="192">
        <f>$F68*(VLOOKUP(BE$4, Rates_previous!$G$6:$Q$29, 10, FALSE)+VLOOKUP(BE$4, Rates_previous!$G$6:$Q$29, 11, FALSE))</f>
        <v>13553.610969979602</v>
      </c>
      <c r="BF68" s="192">
        <f>$F68*(VLOOKUP(BF$4, Rates_previous!$G$6:$Q$29, 10, FALSE)+VLOOKUP(BF$4, Rates_previous!$G$6:$Q$29, 11, FALSE))</f>
        <v>13198.518245429603</v>
      </c>
      <c r="BG68" s="192">
        <f>$F68*(VLOOKUP(BG$4, Rates_previous!$G$6:$Q$29, 10, FALSE)+VLOOKUP(BG$4, Rates_previous!$G$6:$Q$29, 11, FALSE))</f>
        <v>11849.461697748002</v>
      </c>
      <c r="BH68" s="314">
        <f>IF($D68=0,IF(C68=0, MAX(BJ68 - (VLOOKUP($A68,TOCA_previous!$A$2:$AI$137,MATCH("RHWM 2020",TOCA_previous!$A$2:$AI$2,0),FALSE)*$F$2*TOCA_previous!C65),0),0), 0)</f>
        <v>0</v>
      </c>
      <c r="BI68" s="204">
        <f>MIN(VLOOKUP($A68,TOCA_previous!$A$2:$AI$137,MATCH("TRL - NLSL - Existing Resource "&amp;$F$1,TOCA_previous!$A$2:$AI$2,0),FALSE)*$F$2,(VLOOKUP($A68,TOCA_previous!$A$2:$AI$137,MATCH("RHWM 2020",TOCA_previous!$A$2:$AI$2,0),FALSE)*$F$2))</f>
        <v>156425.47200000001</v>
      </c>
      <c r="BJ68" s="418">
        <f>SUM(L68:AI68)+(F68*RT1SC!$C$3*$F$2)</f>
        <v>152724.69987129161</v>
      </c>
      <c r="BK68" s="417">
        <f>VLOOKUP($A68,TOCA_previous!$A$2:$AI$137,MATCH("Above RHWM Not Served with LS "&amp;$F$1,TOCA_previous!$A$2:$AI$2,0),FALSE)*$F$2</f>
        <v>0</v>
      </c>
      <c r="BL68" s="418">
        <f t="shared" si="8"/>
        <v>-3700.7721287083987</v>
      </c>
      <c r="BM68" s="417">
        <f>(VLOOKUP($A68,TOCA_previous!$A$2:$AI$137,MATCH("RHWM 2020",TOCA_previous!$A$2:$AI$2,0),FALSE)*$F$2) - $BI68</f>
        <v>29830.464000000007</v>
      </c>
      <c r="BN68" s="418">
        <f t="shared" si="9"/>
        <v>0</v>
      </c>
      <c r="BO68" s="417">
        <f t="shared" si="10"/>
        <v>3700.7721287083987</v>
      </c>
      <c r="BP68" s="418">
        <f t="shared" si="11"/>
        <v>0</v>
      </c>
      <c r="BQ68" s="417">
        <f t="shared" si="18"/>
        <v>3700.7721287083987</v>
      </c>
      <c r="BR68" s="120">
        <f>VLOOKUP($A68,TOCA_current!$A$2:$AI$137,MATCH(BR$4,TOCA_current!$A$2:$AI$2,0),FALSE)</f>
        <v>2.6946000000000001E-3</v>
      </c>
      <c r="BS68" s="120">
        <f>VLOOKUP($A68,TOCA_current!$A$2:$AI$137,MATCH(BS$4,TOCA_current!$A$2:$AI$2,0),FALSE)</f>
        <v>2.6946000000000001E-3</v>
      </c>
      <c r="BT68" s="201">
        <f t="shared" si="12"/>
        <v>0</v>
      </c>
      <c r="BU68" s="120">
        <f>VLOOKUP($A68,TOCA_current!A64:BG199,MATCH(BU$4,TOCA_current!$A$2:$BG$2,0),FALSE)</f>
        <v>7.0000000000000007E-2</v>
      </c>
      <c r="BV68" s="120">
        <f t="shared" si="19"/>
        <v>0</v>
      </c>
      <c r="BW68" s="120">
        <f t="shared" si="20"/>
        <v>0</v>
      </c>
      <c r="BX68" s="191">
        <f>VLOOKUP($A68,IRD!$A$4:$G$139, 7, FALSE)</f>
        <v>0</v>
      </c>
      <c r="BY68" s="192">
        <f t="array" ref="BY68">IF($BT68=0, INDEX(LS_current!$D$4:$AY$138, MATCH('Staging Table'!$A68, LS_current!$B$4:$B$138, 0), MATCH(BY$4&amp;BY$5, LS_current!$D$2:$AY$2&amp;LS_current!$D$3:$AY$3, 0)),SUM(VLOOKUP($A68, LS_current!$B$4:$AY$138, LS_current!D$148, FALSE), VLOOKUP($A68, LS_current!$B$4:$AY$138,LS_current!AB$148, FALSE))/2)</f>
        <v>-533.43144681735794</v>
      </c>
      <c r="BZ68" s="192">
        <f t="array" ref="BZ68">IF($BT68=0, INDEX(LS_current!$D$4:$AY$138, MATCH('Staging Table'!$A68, LS_current!$B$4:$B$138, 0), MATCH(BZ$4&amp;BZ$5, LS_current!$D$2:$AY$2&amp;LS_current!$D$3:$AY$3, 0)),SUM(VLOOKUP($A68, LS_current!$B$4:$AY$138, LS_current!E$148, FALSE), VLOOKUP($A68, LS_current!$B$4:$AY$138,LS_current!AC$148, FALSE))/2)</f>
        <v>411.5107026293781</v>
      </c>
      <c r="CA68" s="192">
        <f t="array" ref="CA68">IF($BT68=0, INDEX(LS_current!$D$4:$AY$138, MATCH('Staging Table'!$A68, LS_current!$B$4:$B$138, 0), MATCH(CA$4&amp;CA$5, LS_current!$D$2:$AY$2&amp;LS_current!$D$3:$AY$3, 0)),SUM(VLOOKUP($A68, LS_current!$B$4:$AY$138, LS_current!F$148, FALSE), VLOOKUP($A68, LS_current!$B$4:$AY$138,LS_current!AD$148, FALSE))/2)</f>
        <v>-2307.7580565788521</v>
      </c>
      <c r="CB68" s="192">
        <f t="array" ref="CB68">IF($BT68=0, INDEX(LS_current!$D$4:$AY$138, MATCH('Staging Table'!$A68, LS_current!$B$4:$B$138, 0), MATCH(CB$4&amp;CB$5, LS_current!$D$2:$AY$2&amp;LS_current!$D$3:$AY$3, 0)),SUM(VLOOKUP($A68, LS_current!$B$4:$AY$138, LS_current!G$148, FALSE), VLOOKUP($A68, LS_current!$B$4:$AY$138,LS_current!AE$148, FALSE))/2)</f>
        <v>-675.68829497182651</v>
      </c>
      <c r="CC68" s="192">
        <f t="array" ref="CC68">IF($BT68=0, INDEX(LS_current!$D$4:$AY$138, MATCH('Staging Table'!$A68, LS_current!$B$4:$B$138, 0), MATCH(CC$4&amp;CC$5, LS_current!$D$2:$AY$2&amp;LS_current!$D$3:$AY$3, 0)),SUM(VLOOKUP($A68, LS_current!$B$4:$AY$138, LS_current!H$148, FALSE), VLOOKUP($A68, LS_current!$B$4:$AY$138,LS_current!AF$148, FALSE))/2)</f>
        <v>539.06552644071235</v>
      </c>
      <c r="CD68" s="192">
        <f t="array" ref="CD68">IF($BT68=0, INDEX(LS_current!$D$4:$AY$138, MATCH('Staging Table'!$A68, LS_current!$B$4:$B$138, 0), MATCH(CD$4&amp;CD$5, LS_current!$D$2:$AY$2&amp;LS_current!$D$3:$AY$3, 0)),SUM(VLOOKUP($A68, LS_current!$B$4:$AY$138, LS_current!I$148, FALSE), VLOOKUP($A68, LS_current!$B$4:$AY$138,LS_current!AG$148, FALSE))/2)</f>
        <v>645.65114600219385</v>
      </c>
      <c r="CE68" s="192">
        <f t="array" ref="CE68">IF($BT68=0, INDEX(LS_current!$D$4:$AY$138, MATCH('Staging Table'!$A68, LS_current!$B$4:$B$138, 0), MATCH(CE$4&amp;CE$5, LS_current!$D$2:$AY$2&amp;LS_current!$D$3:$AY$3, 0)),SUM(VLOOKUP($A68, LS_current!$B$4:$AY$138, LS_current!J$148, FALSE), VLOOKUP($A68, LS_current!$B$4:$AY$138,LS_current!AH$148, FALSE))/2)</f>
        <v>2104.8332724693437</v>
      </c>
      <c r="CF68" s="192">
        <f t="array" ref="CF68">IF($BT68=0, INDEX(LS_current!$D$4:$AY$138, MATCH('Staging Table'!$A68, LS_current!$B$4:$B$138, 0), MATCH(CF$4&amp;CF$5, LS_current!$D$2:$AY$2&amp;LS_current!$D$3:$AY$3, 0)),SUM(VLOOKUP($A68, LS_current!$B$4:$AY$138, LS_current!K$148, FALSE), VLOOKUP($A68, LS_current!$B$4:$AY$138,LS_current!AI$148, FALSE))/2)</f>
        <v>1494.3326356804928</v>
      </c>
      <c r="CG68" s="192">
        <f t="array" ref="CG68">IF($BT68=0, INDEX(LS_current!$D$4:$AY$138, MATCH('Staging Table'!$A68, LS_current!$B$4:$B$138, 0), MATCH(CG$4&amp;CG$5, LS_current!$D$2:$AY$2&amp;LS_current!$D$3:$AY$3, 0)),SUM(VLOOKUP($A68, LS_current!$B$4:$AY$138, LS_current!L$148, FALSE), VLOOKUP($A68, LS_current!$B$4:$AY$138,LS_current!AJ$148, FALSE))/2)</f>
        <v>1553.9337981668823</v>
      </c>
      <c r="CH68" s="192">
        <f t="array" ref="CH68">IF($BT68=0, INDEX(LS_current!$D$4:$AY$138, MATCH('Staging Table'!$A68, LS_current!$B$4:$B$138, 0), MATCH(CH$4&amp;CH$5, LS_current!$D$2:$AY$2&amp;LS_current!$D$3:$AY$3, 0)),SUM(VLOOKUP($A68, LS_current!$B$4:$AY$138, LS_current!M$148, FALSE), VLOOKUP($A68, LS_current!$B$4:$AY$138,LS_current!AK$148, FALSE))/2)</f>
        <v>811.95306216038352</v>
      </c>
      <c r="CI68" s="192">
        <f t="array" ref="CI68">IF($BT68=0, INDEX(LS_current!$D$4:$AY$138, MATCH('Staging Table'!$A68, LS_current!$B$4:$B$138, 0), MATCH(CI$4&amp;CI$5, LS_current!$D$2:$AY$2&amp;LS_current!$D$3:$AY$3, 0)),SUM(VLOOKUP($A68, LS_current!$B$4:$AY$138, LS_current!N$148, FALSE), VLOOKUP($A68, LS_current!$B$4:$AY$138,LS_current!AL$148, FALSE))/2)</f>
        <v>40.184953416031931</v>
      </c>
      <c r="CJ68" s="192">
        <f t="array" ref="CJ68">IF($BT68=0, INDEX(LS_current!$D$4:$AY$138, MATCH('Staging Table'!$A68, LS_current!$B$4:$B$138, 0), MATCH(CJ$4&amp;CJ$5, LS_current!$D$2:$AY$2&amp;LS_current!$D$3:$AY$3, 0)),SUM(VLOOKUP($A68, LS_current!$B$4:$AY$138, LS_current!O$148, FALSE), VLOOKUP($A68, LS_current!$B$4:$AY$138,LS_current!AM$148, FALSE))/2)</f>
        <v>615.9873531730218</v>
      </c>
      <c r="CK68" s="192">
        <f t="array" ref="CK68">IF($BT68=0, INDEX(LS_current!$D$4:$AY$138, MATCH('Staging Table'!$A68, LS_current!$B$4:$B$138, 0), MATCH(CK$4&amp;CK$5, LS_current!$D$2:$AY$2&amp;LS_current!$D$3:$AY$3, 0)),SUM(VLOOKUP($A68, LS_current!$B$4:$AY$138, LS_current!P$148, FALSE), VLOOKUP($A68, LS_current!$B$4:$AY$138,LS_current!AN$148, FALSE))/2)</f>
        <v>1079.512685834512</v>
      </c>
      <c r="CL68" s="192">
        <f t="array" ref="CL68">IF($BT68=0, INDEX(LS_current!$D$4:$AY$138, MATCH('Staging Table'!$A68, LS_current!$B$4:$B$138, 0), MATCH(CL$4&amp;CL$5, LS_current!$D$2:$AY$2&amp;LS_current!$D$3:$AY$3, 0)),SUM(VLOOKUP($A68, LS_current!$B$4:$AY$138, LS_current!Q$148, FALSE), VLOOKUP($A68, LS_current!$B$4:$AY$138,LS_current!AO$148, FALSE))/2)</f>
        <v>1277.656030129398</v>
      </c>
      <c r="CM68" s="192">
        <f t="array" ref="CM68">IF($BT68=0, INDEX(LS_current!$D$4:$AY$138, MATCH('Staging Table'!$A68, LS_current!$B$4:$B$138, 0), MATCH(CM$4&amp;CM$5, LS_current!$D$2:$AY$2&amp;LS_current!$D$3:$AY$3, 0)),SUM(VLOOKUP($A68, LS_current!$B$4:$AY$138, LS_current!R$148, FALSE), VLOOKUP($A68, LS_current!$B$4:$AY$138,LS_current!AP$148, FALSE))/2)</f>
        <v>-2828.2942879093507</v>
      </c>
      <c r="CN68" s="192">
        <f t="array" ref="CN68">IF($BT68=0, INDEX(LS_current!$D$4:$AY$138, MATCH('Staging Table'!$A68, LS_current!$B$4:$B$138, 0), MATCH(CN$4&amp;CN$5, LS_current!$D$2:$AY$2&amp;LS_current!$D$3:$AY$3, 0)),SUM(VLOOKUP($A68, LS_current!$B$4:$AY$138, LS_current!S$148, FALSE), VLOOKUP($A68, LS_current!$B$4:$AY$138,LS_current!AQ$148, FALSE))/2)</f>
        <v>162.38868579660266</v>
      </c>
      <c r="CO68" s="192">
        <f t="array" ref="CO68">IF($BT68=0, INDEX(LS_current!$D$4:$AY$138, MATCH('Staging Table'!$A68, LS_current!$B$4:$B$138, 0), MATCH(CO$4&amp;CO$5, LS_current!$D$2:$AY$2&amp;LS_current!$D$3:$AY$3, 0)),SUM(VLOOKUP($A68, LS_current!$B$4:$AY$138, LS_current!T$148, FALSE), VLOOKUP($A68, LS_current!$B$4:$AY$138,LS_current!AR$148, FALSE))/2)</f>
        <v>-3901.1200271569278</v>
      </c>
      <c r="CP68" s="192">
        <f t="array" ref="CP68">IF($BT68=0, INDEX(LS_current!$D$4:$AY$138, MATCH('Staging Table'!$A68, LS_current!$B$4:$B$138, 0), MATCH(CP$4&amp;CP$5, LS_current!$D$2:$AY$2&amp;LS_current!$D$3:$AY$3, 0)),SUM(VLOOKUP($A68, LS_current!$B$4:$AY$138, LS_current!U$148, FALSE), VLOOKUP($A68, LS_current!$B$4:$AY$138,LS_current!AS$148, FALSE))/2)</f>
        <v>43.587802222349637</v>
      </c>
      <c r="CQ68" s="192">
        <f t="array" ref="CQ68">IF($BT68=0, INDEX(LS_current!$D$4:$AY$138, MATCH('Staging Table'!$A68, LS_current!$B$4:$B$138, 0), MATCH(CQ$4&amp;CQ$5, LS_current!$D$2:$AY$2&amp;LS_current!$D$3:$AY$3, 0)),SUM(VLOOKUP($A68, LS_current!$B$4:$AY$138, LS_current!V$148, FALSE), VLOOKUP($A68, LS_current!$B$4:$AY$138,LS_current!AT$148, FALSE))/2)</f>
        <v>-2367.1333049483055</v>
      </c>
      <c r="CR68" s="192">
        <f t="array" ref="CR68">IF($BT68=0, INDEX(LS_current!$D$4:$AY$138, MATCH('Staging Table'!$A68, LS_current!$B$4:$B$138, 0), MATCH(CR$4&amp;CR$5, LS_current!$D$2:$AY$2&amp;LS_current!$D$3:$AY$3, 0)),SUM(VLOOKUP($A68, LS_current!$B$4:$AY$138, LS_current!W$148, FALSE), VLOOKUP($A68, LS_current!$B$4:$AY$138,LS_current!AU$148, FALSE))/2)</f>
        <v>-40.279584555119982</v>
      </c>
      <c r="CS68" s="192">
        <f t="array" ref="CS68">IF($BT68=0, INDEX(LS_current!$D$4:$AY$138, MATCH('Staging Table'!$A68, LS_current!$B$4:$B$138, 0), MATCH(CS$4&amp;CS$5, LS_current!$D$2:$AY$2&amp;LS_current!$D$3:$AY$3, 0)),SUM(VLOOKUP($A68, LS_current!$B$4:$AY$138, LS_current!X$148, FALSE), VLOOKUP($A68, LS_current!$B$4:$AY$138,LS_current!AV$148, FALSE))/2)</f>
        <v>-2379.0173155451994</v>
      </c>
      <c r="CT68" s="192">
        <f t="array" ref="CT68">IF($BT68=0, INDEX(LS_current!$D$4:$AY$138, MATCH('Staging Table'!$A68, LS_current!$B$4:$B$138, 0), MATCH(CT$4&amp;CT$5, LS_current!$D$2:$AY$2&amp;LS_current!$D$3:$AY$3, 0)),SUM(VLOOKUP($A68, LS_current!$B$4:$AY$138, LS_current!Y$148, FALSE), VLOOKUP($A68, LS_current!$B$4:$AY$138,LS_current!AW$148, FALSE))/2)</f>
        <v>-305.2926847922372</v>
      </c>
      <c r="CU68" s="192">
        <f t="array" ref="CU68">IF($BT68=0, INDEX(LS_current!$D$4:$AY$138, MATCH('Staging Table'!$A68, LS_current!$B$4:$B$138, 0), MATCH(CU$4&amp;CU$5, LS_current!$D$2:$AY$2&amp;LS_current!$D$3:$AY$3, 0)),SUM(VLOOKUP($A68, LS_current!$B$4:$AY$138, LS_current!Z$148, FALSE), VLOOKUP($A68, LS_current!$B$4:$AY$138,LS_current!AX$148, FALSE))/2)</f>
        <v>-1677.0701842409362</v>
      </c>
      <c r="CV68" s="192">
        <f t="array" ref="CV68">IF($BT68=0, INDEX(LS_current!$D$4:$AY$138, MATCH('Staging Table'!$A68, LS_current!$B$4:$B$138, 0), MATCH(CV$4&amp;CV$5, LS_current!$D$2:$AY$2&amp;LS_current!$D$3:$AY$3, 0)),SUM(VLOOKUP($A68, LS_current!$B$4:$AY$138, LS_current!AA$148, FALSE), VLOOKUP($A68, LS_current!$B$4:$AY$138,LS_current!AY$148, FALSE))/2)</f>
        <v>-50.516674435118148</v>
      </c>
      <c r="CW68" s="194">
        <f t="array" ref="CW68">INDEX(Demand_current!$D$4:$AY$138, MATCH($A68, Demand_current!$B$4:$B$138, 0), MATCH(CW$4&amp;CW$5,Demand_current!$D$2:$AY$2&amp;Demand_current!$D$3:$AY$3, 0))/1000</f>
        <v>1.8133605769230754</v>
      </c>
      <c r="CX68" s="194">
        <f t="array" ref="CX68">INDEX(Demand_current!$D$4:$AY$138, MATCH($A68, Demand_current!$B$4:$B$138, 0), MATCH(CX$4&amp;CX$5,Demand_current!$D$2:$AY$2&amp;Demand_current!$D$3:$AY$3, 0))/1000</f>
        <v>0.38752750000000269</v>
      </c>
      <c r="CY68" s="194">
        <f t="array" ref="CY68">INDEX(Demand_current!$D$4:$AY$138, MATCH($A68, Demand_current!$B$4:$B$138, 0), MATCH(CY$4&amp;CY$5,Demand_current!$D$2:$AY$2&amp;Demand_current!$D$3:$AY$3, 0))/1000</f>
        <v>2.9049783653846162</v>
      </c>
      <c r="CZ68" s="194">
        <f t="array" ref="CZ68">INDEX(Demand_current!$D$4:$AY$138, MATCH($A68, Demand_current!$B$4:$B$138, 0), MATCH(CZ$4&amp;CZ$5,Demand_current!$D$2:$AY$2&amp;Demand_current!$D$3:$AY$3, 0))/1000</f>
        <v>3.4365499999999942</v>
      </c>
      <c r="DA68" s="194">
        <f t="array" ref="DA68">INDEX(Demand_current!$D$4:$AY$138, MATCH($A68, Demand_current!$B$4:$B$138, 0), MATCH(DA$4&amp;DA$5,Demand_current!$D$2:$AY$2&amp;Demand_current!$D$3:$AY$3, 0))/1000</f>
        <v>4.6628828125000013</v>
      </c>
      <c r="DB68" s="194">
        <f t="array" ref="DB68">INDEX(Demand_current!$D$4:$AY$138, MATCH($A68, Demand_current!$B$4:$B$138, 0), MATCH(DB$4&amp;DB$5,Demand_current!$D$2:$AY$2&amp;Demand_current!$D$3:$AY$3, 0))/1000</f>
        <v>3.8795439814814809</v>
      </c>
      <c r="DC68" s="194">
        <f t="array" ref="DC68">INDEX(Demand_current!$D$4:$AY$138, MATCH($A68, Demand_current!$B$4:$B$138, 0), MATCH(DC$4&amp;DC$5,Demand_current!$D$2:$AY$2&amp;Demand_current!$D$3:$AY$3, 0))/1000</f>
        <v>3.6597115384615404</v>
      </c>
      <c r="DD68" s="194">
        <f t="array" ref="DD68">INDEX(Demand_current!$D$4:$AY$138, MATCH($A68, Demand_current!$B$4:$B$138, 0), MATCH(DD$4&amp;DD$5,Demand_current!$D$2:$AY$2&amp;Demand_current!$D$3:$AY$3, 0))/1000</f>
        <v>1.7218875</v>
      </c>
      <c r="DE68" s="194">
        <f t="array" ref="DE68">INDEX(Demand_current!$D$4:$AY$138, MATCH($A68, Demand_current!$B$4:$B$138, 0), MATCH(DE$4&amp;DE$5,Demand_current!$D$2:$AY$2&amp;Demand_current!$D$3:$AY$3, 0))/1000</f>
        <v>1.9237572115384618</v>
      </c>
      <c r="DF68" s="194">
        <f t="array" ref="DF68">INDEX(Demand_current!$D$4:$AY$138, MATCH($A68, Demand_current!$B$4:$B$138, 0), MATCH(DF$4&amp;DF$5,Demand_current!$D$2:$AY$2&amp;Demand_current!$D$3:$AY$3, 0))/1000</f>
        <v>4.5261150000000017</v>
      </c>
      <c r="DG68" s="194">
        <f t="array" ref="DG68">INDEX(Demand_current!$D$4:$AY$138, MATCH($A68, Demand_current!$B$4:$B$138, 0), MATCH(DG$4&amp;DG$5,Demand_current!$D$2:$AY$2&amp;Demand_current!$D$3:$AY$3, 0))/1000</f>
        <v>2.8834861111111096</v>
      </c>
      <c r="DH68" s="194">
        <f t="array" ref="DH68">INDEX(Demand_current!$D$4:$AY$138, MATCH($A68, Demand_current!$B$4:$B$138, 0), MATCH(DH$4&amp;DH$5,Demand_current!$D$2:$AY$2&amp;Demand_current!$D$3:$AY$3, 0))/1000</f>
        <v>1.8372975000000009</v>
      </c>
      <c r="DI68" s="192">
        <f>$BS68*(VLOOKUP(DI$4, Rates_current!$G$6:$Q$29, 10, FALSE)+VLOOKUP(DI$4, Rates_current!$G$6:$Q$29, 11, FALSE))</f>
        <v>12271.00474418798</v>
      </c>
      <c r="DJ68" s="192">
        <f>$BS68*(VLOOKUP(DJ$4, Rates_current!$G$6:$Q$29, 10, FALSE)+VLOOKUP(DJ$4, Rates_current!$G$6:$Q$29, 11, FALSE))</f>
        <v>15535.53735155068</v>
      </c>
      <c r="DK68" s="192">
        <f>$BS68*(VLOOKUP(DK$4, Rates_current!$G$6:$Q$29, 10, FALSE)+VLOOKUP(DK$4, Rates_current!$G$6:$Q$29, 11, FALSE))</f>
        <v>15206.187327557092</v>
      </c>
      <c r="DL68" s="192">
        <f>$BS68*(VLOOKUP(DL$4, Rates_current!$G$6:$Q$29, 10, FALSE)+VLOOKUP(DL$4, Rates_current!$G$6:$Q$29, 11, FALSE))</f>
        <v>12559.664091850163</v>
      </c>
      <c r="DM68" s="192">
        <f>$BS68*(VLOOKUP(DM$4, Rates_current!$G$6:$Q$29, 10, FALSE)+VLOOKUP(DM$4, Rates_current!$G$6:$Q$29, 11, FALSE))</f>
        <v>10885.736139672736</v>
      </c>
      <c r="DN68" s="192">
        <f>$BS68*(VLOOKUP(DN$4, Rates_current!$G$6:$Q$29, 10, FALSE)+VLOOKUP(DN$4, Rates_current!$G$6:$Q$29, 11, FALSE))</f>
        <v>12995.370693410947</v>
      </c>
      <c r="DO68" s="192">
        <f>$BS68*(VLOOKUP(DO$4, Rates_current!$G$6:$Q$29, 10, FALSE)+VLOOKUP(DO$4, Rates_current!$G$6:$Q$29, 11, FALSE))</f>
        <v>10089.17528403609</v>
      </c>
      <c r="DP68" s="192">
        <f>$BS68*(VLOOKUP(DP$4, Rates_current!$G$6:$Q$29, 10, FALSE)+VLOOKUP(DP$4, Rates_current!$G$6:$Q$29, 11, FALSE))</f>
        <v>13978.626602112747</v>
      </c>
      <c r="DQ68" s="192">
        <f>$BS68*(VLOOKUP(DQ$4, Rates_current!$G$6:$Q$29, 10, FALSE)+VLOOKUP(DQ$4, Rates_current!$G$6:$Q$29, 11, FALSE))</f>
        <v>14936.455224934578</v>
      </c>
      <c r="DR68" s="192">
        <f>$BS68*(VLOOKUP(DR$4, Rates_current!$G$6:$Q$29, 10, FALSE)+VLOOKUP(DR$4, Rates_current!$G$6:$Q$29, 11, FALSE))</f>
        <v>14181.487889503425</v>
      </c>
      <c r="DS68" s="192">
        <f>$BS68*(VLOOKUP(DS$4, Rates_current!$G$6:$Q$29, 10, FALSE)+VLOOKUP(DS$4, Rates_current!$G$6:$Q$29, 11, FALSE))</f>
        <v>13705.314000337437</v>
      </c>
      <c r="DT68" s="192">
        <f>$BS68*(VLOOKUP(DT$4, Rates_current!$G$6:$Q$29, 10, FALSE)+VLOOKUP(DT$4, Rates_current!$G$6:$Q$29, 11, FALSE))</f>
        <v>12665.138858676055</v>
      </c>
      <c r="DU68" s="418">
        <f>IF(D68=0,IF(C68=0,MAX(0,DW68 - (VLOOKUP($A68,TOCA_current!$A$2:$AI$137,MATCH("RHWM 2022",TOCA_current!$A$2:$AI$2,0),FALSE)*$BS$2)), 0),0)</f>
        <v>0</v>
      </c>
      <c r="DV68" s="419">
        <f>MIN(VLOOKUP($A68,TOCA_current!$A$2:$AI$137,MATCH("TRL - NLSL - Existing Resource "&amp;$BS$1,TOCA_current!$A$2:$AI$2,0),FALSE)*$BS$2, VLOOKUP($A68,TOCA_current!$A$2:$AI$137,MATCH("RHWM 2022",TOCA_current!$A$2:$AI$2,0),FALSE)*$BS$2)</f>
        <v>159011.52000000002</v>
      </c>
      <c r="DW68" s="419">
        <f>SUM(BY68:CV68)+(BS68*RT1SC!$C$4*$BS$2)</f>
        <v>152724.7021340341</v>
      </c>
      <c r="DX68" s="419">
        <f>VLOOKUP($A68,TOCA_current!$A$2:$AI$137,MATCH("Above RHWM Not Served with LS "&amp;$BS$1,TOCA_current!$A$2:$AI$2,0),FALSE)*$BS$2</f>
        <v>0</v>
      </c>
      <c r="DY68" s="419">
        <f t="shared" si="13"/>
        <v>-6286.817865965917</v>
      </c>
      <c r="DZ68" s="419">
        <f>(VLOOKUP($A68,TOCA_current!$A$2:$AI$137,MATCH("RHWM 2022",TOCA_current!$A$2:$AI$2,0),FALSE)*$BS$2) - $DV68</f>
        <v>19114.319999999978</v>
      </c>
      <c r="EA68" s="419">
        <f t="shared" si="14"/>
        <v>0</v>
      </c>
      <c r="EB68" s="419">
        <f t="shared" si="15"/>
        <v>6286.817865965917</v>
      </c>
      <c r="EC68" s="419">
        <f t="shared" si="16"/>
        <v>0</v>
      </c>
      <c r="ED68" s="419">
        <f t="shared" si="17"/>
        <v>6286.817865965917</v>
      </c>
    </row>
    <row r="69" spans="1:134">
      <c r="A69" s="135">
        <v>10190</v>
      </c>
      <c r="B69" s="136" t="s">
        <v>70</v>
      </c>
      <c r="C69" s="244">
        <f>VLOOKUP(A69, TOCA_current!$A$3:$D$137, 4, FALSE)</f>
        <v>0</v>
      </c>
      <c r="D69" s="203">
        <v>0</v>
      </c>
      <c r="E69" s="119">
        <f>VLOOKUP($A69,TOCA_previous!$A$2:$AI$137,MATCH(E$4,TOCA_previous!$A$2:$AI$2,0),FALSE)</f>
        <v>7.3510000000000003E-4</v>
      </c>
      <c r="F69" s="120">
        <f>VLOOKUP($A69,TOCA_previous!$A$2:$AI$137,MATCH(F$4,TOCA_previous!$A$2:$AI$2,0),FALSE)</f>
        <v>7.3510000000000003E-4</v>
      </c>
      <c r="G69" s="120">
        <f t="shared" si="5"/>
        <v>0</v>
      </c>
      <c r="H69" s="120">
        <f>VLOOKUP($A69,TOCA_previous!$A$2:$AI$137,MATCH(H$4,TOCA_previous!$A$2:$AI$2,0),FALSE)</f>
        <v>0</v>
      </c>
      <c r="I69" s="120">
        <f t="shared" si="6"/>
        <v>0</v>
      </c>
      <c r="J69" s="120">
        <f t="shared" si="7"/>
        <v>0</v>
      </c>
      <c r="K69" s="191">
        <f>VLOOKUP(A69, IRD!$A$5:$C$139, 3, FALSE)</f>
        <v>0</v>
      </c>
      <c r="L69" s="192">
        <f t="array" ref="L69">IF($G69=0, INDEX(LS_previous!$D$4:$AY$138, MATCH('Staging Table'!$A69, LS_previous!$B$4:$B$138, 0), MATCH(L$4&amp;L$5, LS_previous!$D$2:$AY$2&amp;LS_previous!$D$3:$AY$3, 0)),SUM(VLOOKUP($A69, LS_previous!$B$4:$AY$138, LS_previous!D$149, FALSE), VLOOKUP('Staging Table'!$A69, LS_previous!$B$4:$AY$138,LS_previous!AB$149, FALSE))/2)</f>
        <v>48.882033281200165</v>
      </c>
      <c r="M69" s="192">
        <f t="array" ref="M69">IF($G69=0, INDEX(LS_previous!$D$4:$AY$138, MATCH('Staging Table'!$A69, LS_previous!$B$4:$B$138, 0), MATCH(M$4&amp;M$5, LS_previous!$D$2:$AY$2&amp;LS_previous!$D$3:$AY$3, 0)),SUM(VLOOKUP($A69, LS_previous!$B$4:$AY$138, LS_previous!E$149, FALSE), VLOOKUP('Staging Table'!$A69, LS_previous!$B$4:$AY$138,LS_previous!AC$149, FALSE))/2)</f>
        <v>348.41909593919991</v>
      </c>
      <c r="N69" s="192">
        <f t="array" ref="N69">IF($G69=0, INDEX(LS_previous!$D$4:$AY$138, MATCH('Staging Table'!$A69, LS_previous!$B$4:$B$138, 0), MATCH(N$4&amp;N$5, LS_previous!$D$2:$AY$2&amp;LS_previous!$D$3:$AY$3, 0)),SUM(VLOOKUP($A69, LS_previous!$B$4:$AY$138, LS_previous!F$149, FALSE), VLOOKUP('Staging Table'!$A69, LS_previous!$B$4:$AY$138,LS_previous!AD$149, FALSE))/2)</f>
        <v>377.74613016719968</v>
      </c>
      <c r="O69" s="192">
        <f t="array" ref="O69">IF($G69=0, INDEX(LS_previous!$D$4:$AY$138, MATCH('Staging Table'!$A69, LS_previous!$B$4:$B$138, 0), MATCH(O$4&amp;O$5, LS_previous!$D$2:$AY$2&amp;LS_previous!$D$3:$AY$3, 0)),SUM(VLOOKUP($A69, LS_previous!$B$4:$AY$138, LS_previous!G$149, FALSE), VLOOKUP('Staging Table'!$A69, LS_previous!$B$4:$AY$138,LS_previous!AE$149, FALSE))/2)</f>
        <v>646.83289584390013</v>
      </c>
      <c r="P69" s="192">
        <f t="array" ref="P69">IF($G69=0, INDEX(LS_previous!$D$4:$AY$138, MATCH('Staging Table'!$A69, LS_previous!$B$4:$B$138, 0), MATCH(P$4&amp;P$5, LS_previous!$D$2:$AY$2&amp;LS_previous!$D$3:$AY$3, 0)),SUM(VLOOKUP($A69, LS_previous!$B$4:$AY$138, LS_previous!H$149, FALSE), VLOOKUP('Staging Table'!$A69, LS_previous!$B$4:$AY$138,LS_previous!AF$149, FALSE))/2)</f>
        <v>1322.5965004127997</v>
      </c>
      <c r="Q69" s="192">
        <f t="array" ref="Q69">IF($G69=0, INDEX(LS_previous!$D$4:$AY$138, MATCH('Staging Table'!$A69, LS_previous!$B$4:$B$138, 0), MATCH(Q$4&amp;Q$5, LS_previous!$D$2:$AY$2&amp;LS_previous!$D$3:$AY$3, 0)),SUM(VLOOKUP($A69, LS_previous!$B$4:$AY$138, LS_previous!I$149, FALSE), VLOOKUP('Staging Table'!$A69, LS_previous!$B$4:$AY$138,LS_previous!AG$149, FALSE))/2)</f>
        <v>1340.4278955075999</v>
      </c>
      <c r="R69" s="192">
        <f t="array" ref="R69">IF($G69=0, INDEX(LS_previous!$D$4:$AY$138, MATCH('Staging Table'!$A69, LS_previous!$B$4:$B$138, 0), MATCH(R$4&amp;R$5, LS_previous!$D$2:$AY$2&amp;LS_previous!$D$3:$AY$3, 0)),SUM(VLOOKUP($A69, LS_previous!$B$4:$AY$138, LS_previous!J$149, FALSE), VLOOKUP('Staging Table'!$A69, LS_previous!$B$4:$AY$138,LS_previous!AH$149, FALSE))/2)</f>
        <v>1788.8726480127998</v>
      </c>
      <c r="S69" s="192">
        <f t="array" ref="S69">IF($G69=0, INDEX(LS_previous!$D$4:$AY$138, MATCH('Staging Table'!$A69, LS_previous!$B$4:$B$138, 0), MATCH(S$4&amp;S$5, LS_previous!$D$2:$AY$2&amp;LS_previous!$D$3:$AY$3, 0)),SUM(VLOOKUP($A69, LS_previous!$B$4:$AY$138, LS_previous!K$149, FALSE), VLOOKUP('Staging Table'!$A69, LS_previous!$B$4:$AY$138,LS_previous!AI$149, FALSE))/2)</f>
        <v>1650.1604727075999</v>
      </c>
      <c r="T69" s="192">
        <f t="array" ref="T69">IF($G69=0, INDEX(LS_previous!$D$4:$AY$138, MATCH('Staging Table'!$A69, LS_previous!$B$4:$B$138, 0), MATCH(T$4&amp;T$5, LS_previous!$D$2:$AY$2&amp;LS_previous!$D$3:$AY$3, 0)),SUM(VLOOKUP($A69, LS_previous!$B$4:$AY$138, LS_previous!L$149, FALSE), VLOOKUP('Staging Table'!$A69, LS_previous!$B$4:$AY$138,LS_previous!AJ$149, FALSE))/2)</f>
        <v>1386.5450541476002</v>
      </c>
      <c r="U69" s="192">
        <f t="array" ref="U69">IF($G69=0, INDEX(LS_previous!$D$4:$AY$138, MATCH('Staging Table'!$A69, LS_previous!$B$4:$B$138, 0), MATCH(U$4&amp;U$5, LS_previous!$D$2:$AY$2&amp;LS_previous!$D$3:$AY$3, 0)),SUM(VLOOKUP($A69, LS_previous!$B$4:$AY$138, LS_previous!M$149, FALSE), VLOOKUP('Staging Table'!$A69, LS_previous!$B$4:$AY$138,LS_previous!AK$149, FALSE))/2)</f>
        <v>1242.7770361724001</v>
      </c>
      <c r="V69" s="192">
        <f t="array" ref="V69">IF($G69=0, INDEX(LS_previous!$D$4:$AY$138, MATCH('Staging Table'!$A69, LS_previous!$B$4:$B$138, 0), MATCH(V$4&amp;V$5, LS_previous!$D$2:$AY$2&amp;LS_previous!$D$3:$AY$3, 0)),SUM(VLOOKUP($A69, LS_previous!$B$4:$AY$138, LS_previous!N$149, FALSE), VLOOKUP('Staging Table'!$A69, LS_previous!$B$4:$AY$138,LS_previous!AL$149, FALSE))/2)</f>
        <v>704.28108585840027</v>
      </c>
      <c r="W69" s="192">
        <f t="array" ref="W69">IF($G69=0, INDEX(LS_previous!$D$4:$AY$138, MATCH('Staging Table'!$A69, LS_previous!$B$4:$B$138, 0), MATCH(W$4&amp;W$5, LS_previous!$D$2:$AY$2&amp;LS_previous!$D$3:$AY$3, 0)),SUM(VLOOKUP($A69, LS_previous!$B$4:$AY$138, LS_previous!O$149, FALSE), VLOOKUP('Staging Table'!$A69, LS_previous!$B$4:$AY$138,LS_previous!AM$149, FALSE))/2)</f>
        <v>824.43739285290008</v>
      </c>
      <c r="X69" s="192">
        <f t="array" ref="X69">IF($G69=0, INDEX(LS_previous!$D$4:$AY$138, MATCH('Staging Table'!$A69, LS_previous!$B$4:$B$138, 0), MATCH(X$4&amp;X$5, LS_previous!$D$2:$AY$2&amp;LS_previous!$D$3:$AY$3, 0)),SUM(VLOOKUP($A69, LS_previous!$B$4:$AY$138, LS_previous!P$149, FALSE), VLOOKUP('Staging Table'!$A69, LS_previous!$B$4:$AY$138,LS_previous!AN$149, FALSE))/2)</f>
        <v>618.58285468560007</v>
      </c>
      <c r="Y69" s="192">
        <f t="array" ref="Y69">IF($G69=0, INDEX(LS_previous!$D$4:$AY$138, MATCH('Staging Table'!$A69, LS_previous!$B$4:$B$138, 0), MATCH(Y$4&amp;Y$5, LS_previous!$D$2:$AY$2&amp;LS_previous!$D$3:$AY$3, 0)),SUM(VLOOKUP($A69, LS_previous!$B$4:$AY$138, LS_previous!Q$149, FALSE), VLOOKUP('Staging Table'!$A69, LS_previous!$B$4:$AY$138,LS_previous!AO$149, FALSE))/2)</f>
        <v>680.46768466639992</v>
      </c>
      <c r="Z69" s="192">
        <f t="array" ref="Z69">IF($G69=0, INDEX(LS_previous!$D$4:$AY$138, MATCH('Staging Table'!$A69, LS_previous!$B$4:$B$138, 0), MATCH(Z$4&amp;Z$5, LS_previous!$D$2:$AY$2&amp;LS_previous!$D$3:$AY$3, 0)),SUM(VLOOKUP($A69, LS_previous!$B$4:$AY$138, LS_previous!R$149, FALSE), VLOOKUP('Staging Table'!$A69, LS_previous!$B$4:$AY$138,LS_previous!AP$149, FALSE))/2)</f>
        <v>-323.99382721000029</v>
      </c>
      <c r="AA69" s="192">
        <f t="array" ref="AA69">IF($G69=0, INDEX(LS_previous!$D$4:$AY$138, MATCH('Staging Table'!$A69, LS_previous!$B$4:$B$138, 0), MATCH(AA$4&amp;AA$5, LS_previous!$D$2:$AY$2&amp;LS_previous!$D$3:$AY$3, 0)),SUM(VLOOKUP($A69, LS_previous!$B$4:$AY$138, LS_previous!S$149, FALSE), VLOOKUP('Staging Table'!$A69, LS_previous!$B$4:$AY$138,LS_previous!AQ$149, FALSE))/2)</f>
        <v>175.12308088039981</v>
      </c>
      <c r="AB69" s="192">
        <f t="array" ref="AB69">IF($G69=0, INDEX(LS_previous!$D$4:$AY$138, MATCH('Staging Table'!$A69, LS_previous!$B$4:$B$138, 0), MATCH(AB$4&amp;AB$5, LS_previous!$D$2:$AY$2&amp;LS_previous!$D$3:$AY$3, 0)),SUM(VLOOKUP($A69, LS_previous!$B$4:$AY$138, LS_previous!T$149, FALSE), VLOOKUP('Staging Table'!$A69, LS_previous!$B$4:$AY$138,LS_previous!AR$149, FALSE))/2)</f>
        <v>-761.78262016440021</v>
      </c>
      <c r="AC69" s="192">
        <f t="array" ref="AC69">IF($G69=0, INDEX(LS_previous!$D$4:$AY$138, MATCH('Staging Table'!$A69, LS_previous!$B$4:$B$138, 0), MATCH(AC$4&amp;AC$5, LS_previous!$D$2:$AY$2&amp;LS_previous!$D$3:$AY$3, 0)),SUM(VLOOKUP($A69, LS_previous!$B$4:$AY$138, LS_previous!U$149, FALSE), VLOOKUP('Staging Table'!$A69, LS_previous!$B$4:$AY$138,LS_previous!AS$149, FALSE))/2)</f>
        <v>-202.17395393360016</v>
      </c>
      <c r="AD69" s="192">
        <f t="array" ref="AD69">IF($G69=0, INDEX(LS_previous!$D$4:$AY$138, MATCH('Staging Table'!$A69, LS_previous!$B$4:$B$138, 0), MATCH(AD$4&amp;AD$5, LS_previous!$D$2:$AY$2&amp;LS_previous!$D$3:$AY$3, 0)),SUM(VLOOKUP($A69, LS_previous!$B$4:$AY$138, LS_previous!V$149, FALSE), VLOOKUP('Staging Table'!$A69, LS_previous!$B$4:$AY$138,LS_previous!AT$149, FALSE))/2)</f>
        <v>164.27873433559989</v>
      </c>
      <c r="AE69" s="192">
        <f t="array" ref="AE69">IF($G69=0, INDEX(LS_previous!$D$4:$AY$138, MATCH('Staging Table'!$A69, LS_previous!$B$4:$B$138, 0), MATCH(AE$4&amp;AE$5, LS_previous!$D$2:$AY$2&amp;LS_previous!$D$3:$AY$3, 0)),SUM(VLOOKUP($A69, LS_previous!$B$4:$AY$138, LS_previous!W$149, FALSE), VLOOKUP('Staging Table'!$A69, LS_previous!$B$4:$AY$138,LS_previous!AU$149, FALSE))/2)</f>
        <v>679.64144848479987</v>
      </c>
      <c r="AF69" s="192">
        <f t="array" ref="AF69">IF($G69=0, INDEX(LS_previous!$D$4:$AY$138, MATCH('Staging Table'!$A69, LS_previous!$B$4:$B$138, 0), MATCH(AF$4&amp;AF$5, LS_previous!$D$2:$AY$2&amp;LS_previous!$D$3:$AY$3, 0)),SUM(VLOOKUP($A69, LS_previous!$B$4:$AY$138, LS_previous!X$149, FALSE), VLOOKUP('Staging Table'!$A69, LS_previous!$B$4:$AY$138,LS_previous!AV$149, FALSE))/2)</f>
        <v>258.3686068856</v>
      </c>
      <c r="AG69" s="192">
        <f t="array" ref="AG69">IF($G69=0, INDEX(LS_previous!$D$4:$AY$138, MATCH('Staging Table'!$A69, LS_previous!$B$4:$B$138, 0), MATCH(AG$4&amp;AG$5, LS_previous!$D$2:$AY$2&amp;LS_previous!$D$3:$AY$3, 0)),SUM(VLOOKUP($A69, LS_previous!$B$4:$AY$138, LS_previous!Y$149, FALSE), VLOOKUP('Staging Table'!$A69, LS_previous!$B$4:$AY$138,LS_previous!AW$149, FALSE))/2)</f>
        <v>581.24240048479987</v>
      </c>
      <c r="AH69" s="192">
        <f t="array" ref="AH69">IF($G69=0, INDEX(LS_previous!$D$4:$AY$138, MATCH('Staging Table'!$A69, LS_previous!$B$4:$B$138, 0), MATCH(AH$4&amp;AH$5, LS_previous!$D$2:$AY$2&amp;LS_previous!$D$3:$AY$3, 0)),SUM(VLOOKUP($A69, LS_previous!$B$4:$AY$138, LS_previous!Z$149, FALSE), VLOOKUP('Staging Table'!$A69, LS_previous!$B$4:$AY$138,LS_previous!AX$149, FALSE))/2)</f>
        <v>139.96424544000001</v>
      </c>
      <c r="AI69" s="192">
        <f t="array" ref="AI69">IF($G69=0, INDEX(LS_previous!$D$4:$AY$138, MATCH('Staging Table'!$A69, LS_previous!$B$4:$B$138, 0), MATCH(AI$4&amp;AI$5, LS_previous!$D$2:$AY$2&amp;LS_previous!$D$3:$AY$3, 0)),SUM(VLOOKUP($A69, LS_previous!$B$4:$AY$138, LS_previous!AA$149, FALSE), VLOOKUP('Staging Table'!$A69, LS_previous!$B$4:$AY$138,LS_previous!AY$149, FALSE))/2)</f>
        <v>361.12712081199993</v>
      </c>
      <c r="AJ69" s="314">
        <f t="array" ref="AJ69">INDEX(Demand_previous!$D$4:$AY$138, MATCH('Staging Table'!$A69, Demand_previous!$B$4:$B$138, 0), MATCH(AJ$4&amp;AJ$5,Demand_previous!$D$2:$AY$2&amp;Demand_previous!$D$3:$AY$3, 0))/1000</f>
        <v>0.67356018518518557</v>
      </c>
      <c r="AK69" s="314">
        <f t="array" ref="AK69">INDEX(Demand_previous!$D$4:$AY$138, MATCH('Staging Table'!$A69, Demand_previous!$B$4:$B$138, 0), MATCH(AK$4&amp;AK$5,Demand_previous!$D$2:$AY$2&amp;Demand_previous!$D$3:$AY$3, 0))/1000</f>
        <v>1.5455524999999992</v>
      </c>
      <c r="AL69" s="314">
        <f t="array" ref="AL69">INDEX(Demand_previous!$D$4:$AY$138, MATCH('Staging Table'!$A69, Demand_previous!$B$4:$B$138, 0), MATCH(AL$4&amp;AL$5,Demand_previous!$D$2:$AY$2&amp;Demand_previous!$D$3:$AY$3, 0))/1000</f>
        <v>2.5824449999999994</v>
      </c>
      <c r="AM69" s="314">
        <f t="array" ref="AM69">INDEX(Demand_previous!$D$4:$AY$138, MATCH('Staging Table'!$A69, Demand_previous!$B$4:$B$138, 0), MATCH(AM$4&amp;AM$5,Demand_previous!$D$2:$AY$2&amp;Demand_previous!$D$3:$AY$3, 0))/1000</f>
        <v>2.2817500000000011</v>
      </c>
      <c r="AN69" s="314">
        <f t="array" ref="AN69">INDEX(Demand_previous!$D$4:$AY$138, MATCH('Staging Table'!$A69, Demand_previous!$B$4:$B$138, 0), MATCH(AN$4&amp;AN$5,Demand_previous!$D$2:$AY$2&amp;Demand_previous!$D$3:$AY$3, 0))/1000</f>
        <v>1.6483500000000006</v>
      </c>
      <c r="AO69" s="314">
        <f t="array" ref="AO69">INDEX(Demand_previous!$D$4:$AY$138, MATCH('Staging Table'!$A69, Demand_previous!$B$4:$B$138, 0), MATCH(AO$4&amp;AO$5,Demand_previous!$D$2:$AY$2&amp;Demand_previous!$D$3:$AY$3, 0))/1000</f>
        <v>2.1206610576923079</v>
      </c>
      <c r="AP69" s="314">
        <f t="array" ref="AP69">INDEX(Demand_previous!$D$4:$AY$138, MATCH('Staging Table'!$A69, Demand_previous!$B$4:$B$138, 0), MATCH(AP$4&amp;AP$5,Demand_previous!$D$2:$AY$2&amp;Demand_previous!$D$3:$AY$3, 0))/1000</f>
        <v>1.3056899038461531</v>
      </c>
      <c r="AQ69" s="314">
        <f t="array" ref="AQ69">INDEX(Demand_previous!$D$4:$AY$138, MATCH('Staging Table'!$A69, Demand_previous!$B$4:$B$138, 0), MATCH(AQ$4&amp;AQ$5,Demand_previous!$D$2:$AY$2&amp;Demand_previous!$D$3:$AY$3, 0))/1000</f>
        <v>0.80450750000000038</v>
      </c>
      <c r="AR69" s="314">
        <f t="array" ref="AR69">INDEX(Demand_previous!$D$4:$AY$138, MATCH('Staging Table'!$A69, Demand_previous!$B$4:$B$138, 0), MATCH(AR$4&amp;AR$5,Demand_previous!$D$2:$AY$2&amp;Demand_previous!$D$3:$AY$3, 0))/1000</f>
        <v>0.7728605769230783</v>
      </c>
      <c r="AS69" s="314">
        <f t="array" ref="AS69">INDEX(Demand_previous!$D$4:$AY$138, MATCH('Staging Table'!$A69, Demand_previous!$B$4:$B$138, 0), MATCH(AS$4&amp;AS$5,Demand_previous!$D$2:$AY$2&amp;Demand_previous!$D$3:$AY$3, 0))/1000</f>
        <v>1.0927379807692308</v>
      </c>
      <c r="AT69" s="314">
        <f t="array" ref="AT69">INDEX(Demand_previous!$D$4:$AY$138, MATCH('Staging Table'!$A69, Demand_previous!$B$4:$B$138, 0), MATCH(AT$4&amp;AT$5,Demand_previous!$D$2:$AY$2&amp;Demand_previous!$D$3:$AY$3, 0))/1000</f>
        <v>1.0424447115384616</v>
      </c>
      <c r="AU69" s="314">
        <f t="array" ref="AU69">INDEX(Demand_previous!$D$4:$AY$138, MATCH('Staging Table'!$A69, Demand_previous!$B$4:$B$138, 0), MATCH(AU$4&amp;AU$5,Demand_previous!$D$2:$AY$2&amp;Demand_previous!$D$3:$AY$3, 0))/1000</f>
        <v>0.94999500000000048</v>
      </c>
      <c r="AV69" s="192">
        <f>$F69*(VLOOKUP(AV$4, Rates_previous!$G$6:$Q$29, 10, FALSE)+VLOOKUP(AV$4, Rates_previous!$G$6:$Q$29, 11, FALSE))</f>
        <v>3394.1898707795999</v>
      </c>
      <c r="AW69" s="192">
        <f>$F69*(VLOOKUP(AW$4, Rates_previous!$G$6:$Q$29, 10, FALSE)+VLOOKUP(AW$4, Rates_previous!$G$6:$Q$29, 11, FALSE))</f>
        <v>4311.6799739889002</v>
      </c>
      <c r="AX69" s="192">
        <f>$F69*(VLOOKUP(AX$4, Rates_previous!$G$6:$Q$29, 10, FALSE)+VLOOKUP(AX$4, Rates_previous!$G$6:$Q$29, 11, FALSE))</f>
        <v>4259.6106040796003</v>
      </c>
      <c r="AY69" s="192">
        <f>$F69*(VLOOKUP(AY$4, Rates_previous!$G$6:$Q$29, 10, FALSE)+VLOOKUP(AY$4, Rates_previous!$G$6:$Q$29, 11, FALSE))</f>
        <v>3550.6448792796004</v>
      </c>
      <c r="AZ69" s="192">
        <f>$F69*(VLOOKUP(AZ$4, Rates_previous!$G$6:$Q$29, 10, FALSE)+VLOOKUP(AZ$4, Rates_previous!$G$6:$Q$29, 11, FALSE))</f>
        <v>3216.5159096799998</v>
      </c>
      <c r="BA69" s="192">
        <f>$F69*(VLOOKUP(BA$4, Rates_previous!$G$6:$Q$29, 10, FALSE)+VLOOKUP(BA$4, Rates_previous!$G$6:$Q$29, 11, FALSE))</f>
        <v>3577.7875212887002</v>
      </c>
      <c r="BB69" s="192">
        <f>$F69*(VLOOKUP(BB$4, Rates_previous!$G$6:$Q$29, 10, FALSE)+VLOOKUP(BB$4, Rates_previous!$G$6:$Q$29, 11, FALSE))</f>
        <v>2913.0384606480002</v>
      </c>
      <c r="BC69" s="192">
        <f>$F69*(VLOOKUP(BC$4, Rates_previous!$G$6:$Q$29, 10, FALSE)+VLOOKUP(BC$4, Rates_previous!$G$6:$Q$29, 11, FALSE))</f>
        <v>3928.6667463296003</v>
      </c>
      <c r="BD69" s="192">
        <f>$F69*(VLOOKUP(BD$4, Rates_previous!$G$6:$Q$29, 10, FALSE)+VLOOKUP(BD$4, Rates_previous!$G$6:$Q$29, 11, FALSE))</f>
        <v>5012.7115740980007</v>
      </c>
      <c r="BE69" s="192">
        <f>$F69*(VLOOKUP(BE$4, Rates_previous!$G$6:$Q$29, 10, FALSE)+VLOOKUP(BE$4, Rates_previous!$G$6:$Q$29, 11, FALSE))</f>
        <v>3930.1248171796005</v>
      </c>
      <c r="BF69" s="192">
        <f>$F69*(VLOOKUP(BF$4, Rates_previous!$G$6:$Q$29, 10, FALSE)+VLOOKUP(BF$4, Rates_previous!$G$6:$Q$29, 11, FALSE))</f>
        <v>3827.1589926296006</v>
      </c>
      <c r="BG69" s="192">
        <f>$F69*(VLOOKUP(BG$4, Rates_previous!$G$6:$Q$29, 10, FALSE)+VLOOKUP(BG$4, Rates_previous!$G$6:$Q$29, 11, FALSE))</f>
        <v>3435.9746337480005</v>
      </c>
      <c r="BH69" s="314">
        <f>IF($D69=0,IF(C69=0, MAX(BJ69 - (VLOOKUP($A69,TOCA_previous!$A$2:$AI$137,MATCH("RHWM 2020",TOCA_previous!$A$2:$AI$2,0),FALSE)*$F$2*TOCA_previous!C66),0),0), 0)</f>
        <v>14050.3537024916</v>
      </c>
      <c r="BI69" s="204">
        <f>MIN(VLOOKUP($A69,TOCA_previous!$A$2:$AI$137,MATCH("TRL - NLSL - Existing Resource "&amp;$F$1,TOCA_previous!$A$2:$AI$2,0),FALSE)*$F$2,(VLOOKUP($A69,TOCA_previous!$A$2:$AI$137,MATCH("RHWM 2020",TOCA_previous!$A$2:$AI$2,0),FALSE)*$F$2))</f>
        <v>45360.576000000001</v>
      </c>
      <c r="BJ69" s="418">
        <f>SUM(L69:AI69)+(F69*RT1SC!$C$3*$F$2)</f>
        <v>59410.929702491601</v>
      </c>
      <c r="BK69" s="417">
        <f>VLOOKUP($A69,TOCA_previous!$A$2:$AI$137,MATCH("Above RHWM Not Served with LS "&amp;$F$1,TOCA_previous!$A$2:$AI$2,0),FALSE)*$F$2</f>
        <v>0</v>
      </c>
      <c r="BL69" s="418">
        <f t="shared" si="8"/>
        <v>14050.3537024916</v>
      </c>
      <c r="BM69" s="417">
        <f>(VLOOKUP($A69,TOCA_previous!$A$2:$AI$137,MATCH("RHWM 2020",TOCA_previous!$A$2:$AI$2,0),FALSE)*$F$2) - $BI69</f>
        <v>0</v>
      </c>
      <c r="BN69" s="418">
        <f t="shared" si="9"/>
        <v>0</v>
      </c>
      <c r="BO69" s="417">
        <f t="shared" si="10"/>
        <v>0</v>
      </c>
      <c r="BP69" s="418">
        <f t="shared" si="11"/>
        <v>0</v>
      </c>
      <c r="BQ69" s="417">
        <f t="shared" si="18"/>
        <v>0</v>
      </c>
      <c r="BR69" s="120">
        <f>VLOOKUP($A69,TOCA_current!$A$2:$AI$137,MATCH(BR$4,TOCA_current!$A$2:$AI$2,0),FALSE)</f>
        <v>7.3510000000000003E-4</v>
      </c>
      <c r="BS69" s="120">
        <f>VLOOKUP($A69,TOCA_current!$A$2:$AI$137,MATCH(BS$4,TOCA_current!$A$2:$AI$2,0),FALSE)</f>
        <v>7.3510000000000003E-4</v>
      </c>
      <c r="BT69" s="201">
        <f t="shared" si="12"/>
        <v>0</v>
      </c>
      <c r="BU69" s="120">
        <f>VLOOKUP($A69,TOCA_current!A65:BG200,MATCH(BU$4,TOCA_current!$A$2:$BG$2,0),FALSE)</f>
        <v>0</v>
      </c>
      <c r="BV69" s="120">
        <f t="shared" si="19"/>
        <v>0</v>
      </c>
      <c r="BW69" s="120">
        <f t="shared" si="20"/>
        <v>0</v>
      </c>
      <c r="BX69" s="191">
        <f>VLOOKUP($A69,IRD!$A$4:$G$139, 7, FALSE)</f>
        <v>0</v>
      </c>
      <c r="BY69" s="192">
        <f t="array" ref="BY69">IF($BT69=0, INDEX(LS_current!$D$4:$AY$138, MATCH('Staging Table'!$A69, LS_current!$B$4:$B$138, 0), MATCH(BY$4&amp;BY$5, LS_current!$D$2:$AY$2&amp;LS_current!$D$3:$AY$3, 0)),SUM(VLOOKUP($A69, LS_current!$B$4:$AY$138, LS_current!D$148, FALSE), VLOOKUP($A69, LS_current!$B$4:$AY$138,LS_current!AB$148, FALSE))/2)</f>
        <v>113.77307653995422</v>
      </c>
      <c r="BZ69" s="192">
        <f t="array" ref="BZ69">IF($BT69=0, INDEX(LS_current!$D$4:$AY$138, MATCH('Staging Table'!$A69, LS_current!$B$4:$B$138, 0), MATCH(BZ$4&amp;BZ$5, LS_current!$D$2:$AY$2&amp;LS_current!$D$3:$AY$3, 0)),SUM(VLOOKUP($A69, LS_current!$B$4:$AY$138, LS_current!E$148, FALSE), VLOOKUP($A69, LS_current!$B$4:$AY$138,LS_current!AC$148, FALSE))/2)</f>
        <v>330.12808175716464</v>
      </c>
      <c r="CA69" s="192">
        <f t="array" ref="CA69">IF($BT69=0, INDEX(LS_current!$D$4:$AY$138, MATCH('Staging Table'!$A69, LS_current!$B$4:$B$138, 0), MATCH(CA$4&amp;CA$5, LS_current!$D$2:$AY$2&amp;LS_current!$D$3:$AY$3, 0)),SUM(VLOOKUP($A69, LS_current!$B$4:$AY$138, LS_current!F$148, FALSE), VLOOKUP($A69, LS_current!$B$4:$AY$138,LS_current!AD$148, FALSE))/2)</f>
        <v>480.23550512465135</v>
      </c>
      <c r="CB69" s="192">
        <f t="array" ref="CB69">IF($BT69=0, INDEX(LS_current!$D$4:$AY$138, MATCH('Staging Table'!$A69, LS_current!$B$4:$B$138, 0), MATCH(CB$4&amp;CB$5, LS_current!$D$2:$AY$2&amp;LS_current!$D$3:$AY$3, 0)),SUM(VLOOKUP($A69, LS_current!$B$4:$AY$138, LS_current!G$148, FALSE), VLOOKUP($A69, LS_current!$B$4:$AY$138,LS_current!AE$148, FALSE))/2)</f>
        <v>617.85326288362307</v>
      </c>
      <c r="CC69" s="192">
        <f t="array" ref="CC69">IF($BT69=0, INDEX(LS_current!$D$4:$AY$138, MATCH('Staging Table'!$A69, LS_current!$B$4:$B$138, 0), MATCH(CC$4&amp;CC$5, LS_current!$D$2:$AY$2&amp;LS_current!$D$3:$AY$3, 0)),SUM(VLOOKUP($A69, LS_current!$B$4:$AY$138, LS_current!H$148, FALSE), VLOOKUP($A69, LS_current!$B$4:$AY$138,LS_current!AF$148, FALSE))/2)</f>
        <v>1597.9531520027344</v>
      </c>
      <c r="CD69" s="192">
        <f t="array" ref="CD69">IF($BT69=0, INDEX(LS_current!$D$4:$AY$138, MATCH('Staging Table'!$A69, LS_current!$B$4:$B$138, 0), MATCH(CD$4&amp;CD$5, LS_current!$D$2:$AY$2&amp;LS_current!$D$3:$AY$3, 0)),SUM(VLOOKUP($A69, LS_current!$B$4:$AY$138, LS_current!I$148, FALSE), VLOOKUP($A69, LS_current!$B$4:$AY$138,LS_current!AG$148, FALSE))/2)</f>
        <v>1176.3599061553527</v>
      </c>
      <c r="CE69" s="192">
        <f t="array" ref="CE69">IF($BT69=0, INDEX(LS_current!$D$4:$AY$138, MATCH('Staging Table'!$A69, LS_current!$B$4:$B$138, 0), MATCH(CE$4&amp;CE$5, LS_current!$D$2:$AY$2&amp;LS_current!$D$3:$AY$3, 0)),SUM(VLOOKUP($A69, LS_current!$B$4:$AY$138, LS_current!J$148, FALSE), VLOOKUP($A69, LS_current!$B$4:$AY$138,LS_current!AH$148, FALSE))/2)</f>
        <v>2071.1517440036423</v>
      </c>
      <c r="CF69" s="192">
        <f t="array" ref="CF69">IF($BT69=0, INDEX(LS_current!$D$4:$AY$138, MATCH('Staging Table'!$A69, LS_current!$B$4:$B$138, 0), MATCH(CF$4&amp;CF$5, LS_current!$D$2:$AY$2&amp;LS_current!$D$3:$AY$3, 0)),SUM(VLOOKUP($A69, LS_current!$B$4:$AY$138, LS_current!K$148, FALSE), VLOOKUP($A69, LS_current!$B$4:$AY$138,LS_current!AI$148, FALSE))/2)</f>
        <v>1492.1887387696618</v>
      </c>
      <c r="CG69" s="192">
        <f t="array" ref="CG69">IF($BT69=0, INDEX(LS_current!$D$4:$AY$138, MATCH('Staging Table'!$A69, LS_current!$B$4:$B$138, 0), MATCH(CG$4&amp;CG$5, LS_current!$D$2:$AY$2&amp;LS_current!$D$3:$AY$3, 0)),SUM(VLOOKUP($A69, LS_current!$B$4:$AY$138, LS_current!L$148, FALSE), VLOOKUP($A69, LS_current!$B$4:$AY$138,LS_current!AJ$148, FALSE))/2)</f>
        <v>1690.8080915655291</v>
      </c>
      <c r="CH69" s="192">
        <f t="array" ref="CH69">IF($BT69=0, INDEX(LS_current!$D$4:$AY$138, MATCH('Staging Table'!$A69, LS_current!$B$4:$B$138, 0), MATCH(CH$4&amp;CH$5, LS_current!$D$2:$AY$2&amp;LS_current!$D$3:$AY$3, 0)),SUM(VLOOKUP($A69, LS_current!$B$4:$AY$138, LS_current!M$148, FALSE), VLOOKUP($A69, LS_current!$B$4:$AY$138,LS_current!AK$148, FALSE))/2)</f>
        <v>1185.3480869123798</v>
      </c>
      <c r="CI69" s="192">
        <f t="array" ref="CI69">IF($BT69=0, INDEX(LS_current!$D$4:$AY$138, MATCH('Staging Table'!$A69, LS_current!$B$4:$B$138, 0), MATCH(CI$4&amp;CI$5, LS_current!$D$2:$AY$2&amp;LS_current!$D$3:$AY$3, 0)),SUM(VLOOKUP($A69, LS_current!$B$4:$AY$138, LS_current!N$148, FALSE), VLOOKUP($A69, LS_current!$B$4:$AY$138,LS_current!AL$148, FALSE))/2)</f>
        <v>801.8689663609166</v>
      </c>
      <c r="CJ69" s="192">
        <f t="array" ref="CJ69">IF($BT69=0, INDEX(LS_current!$D$4:$AY$138, MATCH('Staging Table'!$A69, LS_current!$B$4:$B$138, 0), MATCH(CJ$4&amp;CJ$5, LS_current!$D$2:$AY$2&amp;LS_current!$D$3:$AY$3, 0)),SUM(VLOOKUP($A69, LS_current!$B$4:$AY$138, LS_current!O$148, FALSE), VLOOKUP($A69, LS_current!$B$4:$AY$138,LS_current!AM$148, FALSE))/2)</f>
        <v>759.43663405235975</v>
      </c>
      <c r="CK69" s="192">
        <f t="array" ref="CK69">IF($BT69=0, INDEX(LS_current!$D$4:$AY$138, MATCH('Staging Table'!$A69, LS_current!$B$4:$B$138, 0), MATCH(CK$4&amp;CK$5, LS_current!$D$2:$AY$2&amp;LS_current!$D$3:$AY$3, 0)),SUM(VLOOKUP($A69, LS_current!$B$4:$AY$138, LS_current!P$148, FALSE), VLOOKUP($A69, LS_current!$B$4:$AY$138,LS_current!AN$148, FALSE))/2)</f>
        <v>755.51074874079654</v>
      </c>
      <c r="CL69" s="192">
        <f t="array" ref="CL69">IF($BT69=0, INDEX(LS_current!$D$4:$AY$138, MATCH('Staging Table'!$A69, LS_current!$B$4:$B$138, 0), MATCH(CL$4&amp;CL$5, LS_current!$D$2:$AY$2&amp;LS_current!$D$3:$AY$3, 0)),SUM(VLOOKUP($A69, LS_current!$B$4:$AY$138, LS_current!Q$148, FALSE), VLOOKUP($A69, LS_current!$B$4:$AY$138,LS_current!AO$148, FALSE))/2)</f>
        <v>704.20210960740769</v>
      </c>
      <c r="CM69" s="192">
        <f t="array" ref="CM69">IF($BT69=0, INDEX(LS_current!$D$4:$AY$138, MATCH('Staging Table'!$A69, LS_current!$B$4:$B$138, 0), MATCH(CM$4&amp;CM$5, LS_current!$D$2:$AY$2&amp;LS_current!$D$3:$AY$3, 0)),SUM(VLOOKUP($A69, LS_current!$B$4:$AY$138, LS_current!R$148, FALSE), VLOOKUP($A69, LS_current!$B$4:$AY$138,LS_current!AP$148, FALSE))/2)</f>
        <v>-344.2991814525958</v>
      </c>
      <c r="CN69" s="192">
        <f t="array" ref="CN69">IF($BT69=0, INDEX(LS_current!$D$4:$AY$138, MATCH('Staging Table'!$A69, LS_current!$B$4:$B$138, 0), MATCH(CN$4&amp;CN$5, LS_current!$D$2:$AY$2&amp;LS_current!$D$3:$AY$3, 0)),SUM(VLOOKUP($A69, LS_current!$B$4:$AY$138, LS_current!S$148, FALSE), VLOOKUP($A69, LS_current!$B$4:$AY$138,LS_current!AQ$148, FALSE))/2)</f>
        <v>310.65778250170069</v>
      </c>
      <c r="CO69" s="192">
        <f t="array" ref="CO69">IF($BT69=0, INDEX(LS_current!$D$4:$AY$138, MATCH('Staging Table'!$A69, LS_current!$B$4:$B$138, 0), MATCH(CO$4&amp;CO$5, LS_current!$D$2:$AY$2&amp;LS_current!$D$3:$AY$3, 0)),SUM(VLOOKUP($A69, LS_current!$B$4:$AY$138, LS_current!T$148, FALSE), VLOOKUP($A69, LS_current!$B$4:$AY$138,LS_current!AR$148, FALSE))/2)</f>
        <v>-414.31898428822751</v>
      </c>
      <c r="CP69" s="192">
        <f t="array" ref="CP69">IF($BT69=0, INDEX(LS_current!$D$4:$AY$138, MATCH('Staging Table'!$A69, LS_current!$B$4:$B$138, 0), MATCH(CP$4&amp;CP$5, LS_current!$D$2:$AY$2&amp;LS_current!$D$3:$AY$3, 0)),SUM(VLOOKUP($A69, LS_current!$B$4:$AY$138, LS_current!U$148, FALSE), VLOOKUP($A69, LS_current!$B$4:$AY$138,LS_current!AS$148, FALSE))/2)</f>
        <v>388.33627336660311</v>
      </c>
      <c r="CQ69" s="192">
        <f t="array" ref="CQ69">IF($BT69=0, INDEX(LS_current!$D$4:$AY$138, MATCH('Staging Table'!$A69, LS_current!$B$4:$B$138, 0), MATCH(CQ$4&amp;CQ$5, LS_current!$D$2:$AY$2&amp;LS_current!$D$3:$AY$3, 0)),SUM(VLOOKUP($A69, LS_current!$B$4:$AY$138, LS_current!V$148, FALSE), VLOOKUP($A69, LS_current!$B$4:$AY$138,LS_current!AT$148, FALSE))/2)</f>
        <v>292.90207315835414</v>
      </c>
      <c r="CR69" s="192">
        <f t="array" ref="CR69">IF($BT69=0, INDEX(LS_current!$D$4:$AY$138, MATCH('Staging Table'!$A69, LS_current!$B$4:$B$138, 0), MATCH(CR$4&amp;CR$5, LS_current!$D$2:$AY$2&amp;LS_current!$D$3:$AY$3, 0)),SUM(VLOOKUP($A69, LS_current!$B$4:$AY$138, LS_current!W$148, FALSE), VLOOKUP($A69, LS_current!$B$4:$AY$138,LS_current!AU$148, FALSE))/2)</f>
        <v>612.36398095952336</v>
      </c>
      <c r="CS69" s="192">
        <f t="array" ref="CS69">IF($BT69=0, INDEX(LS_current!$D$4:$AY$138, MATCH('Staging Table'!$A69, LS_current!$B$4:$B$138, 0), MATCH(CS$4&amp;CS$5, LS_current!$D$2:$AY$2&amp;LS_current!$D$3:$AY$3, 0)),SUM(VLOOKUP($A69, LS_current!$B$4:$AY$138, LS_current!X$148, FALSE), VLOOKUP($A69, LS_current!$B$4:$AY$138,LS_current!AV$148, FALSE))/2)</f>
        <v>363.12299611917297</v>
      </c>
      <c r="CT69" s="192">
        <f t="array" ref="CT69">IF($BT69=0, INDEX(LS_current!$D$4:$AY$138, MATCH('Staging Table'!$A69, LS_current!$B$4:$B$138, 0), MATCH(CT$4&amp;CT$5, LS_current!$D$2:$AY$2&amp;LS_current!$D$3:$AY$3, 0)),SUM(VLOOKUP($A69, LS_current!$B$4:$AY$138, LS_current!Y$148, FALSE), VLOOKUP($A69, LS_current!$B$4:$AY$138,LS_current!AW$148, FALSE))/2)</f>
        <v>564.77061345254447</v>
      </c>
      <c r="CU69" s="192">
        <f t="array" ref="CU69">IF($BT69=0, INDEX(LS_current!$D$4:$AY$138, MATCH('Staging Table'!$A69, LS_current!$B$4:$B$138, 0), MATCH(CU$4&amp;CU$5, LS_current!$D$2:$AY$2&amp;LS_current!$D$3:$AY$3, 0)),SUM(VLOOKUP($A69, LS_current!$B$4:$AY$138, LS_current!Z$148, FALSE), VLOOKUP($A69, LS_current!$B$4:$AY$138,LS_current!AX$148, FALSE))/2)</f>
        <v>135.33356107195414</v>
      </c>
      <c r="CV69" s="192">
        <f t="array" ref="CV69">IF($BT69=0, INDEX(LS_current!$D$4:$AY$138, MATCH('Staging Table'!$A69, LS_current!$B$4:$B$138, 0), MATCH(CV$4&amp;CV$5, LS_current!$D$2:$AY$2&amp;LS_current!$D$3:$AY$3, 0)),SUM(VLOOKUP($A69, LS_current!$B$4:$AY$138, LS_current!AA$148, FALSE), VLOOKUP($A69, LS_current!$B$4:$AY$138,LS_current!AY$148, FALSE))/2)</f>
        <v>346.62089175489655</v>
      </c>
      <c r="CW69" s="194">
        <f t="array" ref="CW69">INDEX(Demand_current!$D$4:$AY$138, MATCH($A69, Demand_current!$B$4:$B$138, 0), MATCH(CW$4&amp;CW$5,Demand_current!$D$2:$AY$2&amp;Demand_current!$D$3:$AY$3, 0))/1000</f>
        <v>0.47227403846153843</v>
      </c>
      <c r="CX69" s="194">
        <f t="array" ref="CX69">INDEX(Demand_current!$D$4:$AY$138, MATCH($A69, Demand_current!$B$4:$B$138, 0), MATCH(CX$4&amp;CX$5,Demand_current!$D$2:$AY$2&amp;Demand_current!$D$3:$AY$3, 0))/1000</f>
        <v>1.5455524999999992</v>
      </c>
      <c r="CY69" s="194">
        <f t="array" ref="CY69">INDEX(Demand_current!$D$4:$AY$138, MATCH($A69, Demand_current!$B$4:$B$138, 0), MATCH(CY$4&amp;CY$5,Demand_current!$D$2:$AY$2&amp;Demand_current!$D$3:$AY$3, 0))/1000</f>
        <v>2.9639663461538457</v>
      </c>
      <c r="CZ69" s="194">
        <f t="array" ref="CZ69">INDEX(Demand_current!$D$4:$AY$138, MATCH($A69, Demand_current!$B$4:$B$138, 0), MATCH(CZ$4&amp;CZ$5,Demand_current!$D$2:$AY$2&amp;Demand_current!$D$3:$AY$3, 0))/1000</f>
        <v>1.8951800000000003</v>
      </c>
      <c r="DA69" s="194">
        <f t="array" ref="DA69">INDEX(Demand_current!$D$4:$AY$138, MATCH($A69, Demand_current!$B$4:$B$138, 0), MATCH(DA$4&amp;DA$5,Demand_current!$D$2:$AY$2&amp;Demand_current!$D$3:$AY$3, 0))/1000</f>
        <v>1.2925312499999997</v>
      </c>
      <c r="DB69" s="194">
        <f t="array" ref="DB69">INDEX(Demand_current!$D$4:$AY$138, MATCH($A69, Demand_current!$B$4:$B$138, 0), MATCH(DB$4&amp;DB$5,Demand_current!$D$2:$AY$2&amp;Demand_current!$D$3:$AY$3, 0))/1000</f>
        <v>2.3858958333333335</v>
      </c>
      <c r="DC69" s="194">
        <f t="array" ref="DC69">INDEX(Demand_current!$D$4:$AY$138, MATCH($A69, Demand_current!$B$4:$B$138, 0), MATCH(DC$4&amp;DC$5,Demand_current!$D$2:$AY$2&amp;Demand_current!$D$3:$AY$3, 0))/1000</f>
        <v>1.3056899038461531</v>
      </c>
      <c r="DD69" s="194">
        <f t="array" ref="DD69">INDEX(Demand_current!$D$4:$AY$138, MATCH($A69, Demand_current!$B$4:$B$138, 0), MATCH(DD$4&amp;DD$5,Demand_current!$D$2:$AY$2&amp;Demand_current!$D$3:$AY$3, 0))/1000</f>
        <v>0.80450750000000038</v>
      </c>
      <c r="DE69" s="194">
        <f t="array" ref="DE69">INDEX(Demand_current!$D$4:$AY$138, MATCH($A69, Demand_current!$B$4:$B$138, 0), MATCH(DE$4&amp;DE$5,Demand_current!$D$2:$AY$2&amp;Demand_current!$D$3:$AY$3, 0))/1000</f>
        <v>0.7728605769230783</v>
      </c>
      <c r="DF69" s="194">
        <f t="array" ref="DF69">INDEX(Demand_current!$D$4:$AY$138, MATCH($A69, Demand_current!$B$4:$B$138, 0), MATCH(DF$4&amp;DF$5,Demand_current!$D$2:$AY$2&amp;Demand_current!$D$3:$AY$3, 0))/1000</f>
        <v>0.81680750000000035</v>
      </c>
      <c r="DG69" s="194">
        <f t="array" ref="DG69">INDEX(Demand_current!$D$4:$AY$138, MATCH($A69, Demand_current!$B$4:$B$138, 0), MATCH(DG$4&amp;DG$5,Demand_current!$D$2:$AY$2&amp;Demand_current!$D$3:$AY$3, 0))/1000</f>
        <v>1.298946759259259</v>
      </c>
      <c r="DH69" s="194">
        <f t="array" ref="DH69">INDEX(Demand_current!$D$4:$AY$138, MATCH($A69, Demand_current!$B$4:$B$138, 0), MATCH(DH$4&amp;DH$5,Demand_current!$D$2:$AY$2&amp;Demand_current!$D$3:$AY$3, 0))/1000</f>
        <v>0.94999500000000048</v>
      </c>
      <c r="DI69" s="192">
        <f>$BS69*(VLOOKUP(DI$4, Rates_current!$G$6:$Q$29, 10, FALSE)+VLOOKUP(DI$4, Rates_current!$G$6:$Q$29, 11, FALSE))</f>
        <v>3347.5898417028816</v>
      </c>
      <c r="DJ69" s="192">
        <f>$BS69*(VLOOKUP(DJ$4, Rates_current!$G$6:$Q$29, 10, FALSE)+VLOOKUP(DJ$4, Rates_current!$G$6:$Q$29, 11, FALSE))</f>
        <v>4238.1702319917258</v>
      </c>
      <c r="DK69" s="192">
        <f>$BS69*(VLOOKUP(DK$4, Rates_current!$G$6:$Q$29, 10, FALSE)+VLOOKUP(DK$4, Rates_current!$G$6:$Q$29, 11, FALSE))</f>
        <v>4148.321941841913</v>
      </c>
      <c r="DL69" s="192">
        <f>$BS69*(VLOOKUP(DL$4, Rates_current!$G$6:$Q$29, 10, FALSE)+VLOOKUP(DL$4, Rates_current!$G$6:$Q$29, 11, FALSE))</f>
        <v>3426.337517226696</v>
      </c>
      <c r="DM69" s="192">
        <f>$BS69*(VLOOKUP(DM$4, Rates_current!$G$6:$Q$29, 10, FALSE)+VLOOKUP(DM$4, Rates_current!$G$6:$Q$29, 11, FALSE))</f>
        <v>2969.6818215220915</v>
      </c>
      <c r="DN69" s="192">
        <f>$BS69*(VLOOKUP(DN$4, Rates_current!$G$6:$Q$29, 10, FALSE)+VLOOKUP(DN$4, Rates_current!$G$6:$Q$29, 11, FALSE))</f>
        <v>3545.2003995867244</v>
      </c>
      <c r="DO69" s="192">
        <f>$BS69*(VLOOKUP(DO$4, Rates_current!$G$6:$Q$29, 10, FALSE)+VLOOKUP(DO$4, Rates_current!$G$6:$Q$29, 11, FALSE))</f>
        <v>2752.3761416517959</v>
      </c>
      <c r="DP69" s="192">
        <f>$BS69*(VLOOKUP(DP$4, Rates_current!$G$6:$Q$29, 10, FALSE)+VLOOKUP(DP$4, Rates_current!$G$6:$Q$29, 11, FALSE))</f>
        <v>3813.4373989508945</v>
      </c>
      <c r="DQ69" s="192">
        <f>$BS69*(VLOOKUP(DQ$4, Rates_current!$G$6:$Q$29, 10, FALSE)+VLOOKUP(DQ$4, Rates_current!$G$6:$Q$29, 11, FALSE))</f>
        <v>4074.7377109216241</v>
      </c>
      <c r="DR69" s="192">
        <f>$BS69*(VLOOKUP(DR$4, Rates_current!$G$6:$Q$29, 10, FALSE)+VLOOKUP(DR$4, Rates_current!$G$6:$Q$29, 11, FALSE))</f>
        <v>3868.7789458821226</v>
      </c>
      <c r="DS69" s="192">
        <f>$BS69*(VLOOKUP(DS$4, Rates_current!$G$6:$Q$29, 10, FALSE)+VLOOKUP(DS$4, Rates_current!$G$6:$Q$29, 11, FALSE))</f>
        <v>3738.8763904282823</v>
      </c>
      <c r="DT69" s="192">
        <f>$BS69*(VLOOKUP(DT$4, Rates_current!$G$6:$Q$29, 10, FALSE)+VLOOKUP(DT$4, Rates_current!$G$6:$Q$29, 11, FALSE))</f>
        <v>3455.1115471731491</v>
      </c>
      <c r="DU69" s="418">
        <f>IF(D69=0,IF(C69=0,MAX(0,DW69 - (VLOOKUP($A69,TOCA_current!$A$2:$AI$137,MATCH("RHWM 2022",TOCA_current!$A$2:$AI$2,0),FALSE)*$BS$2)), 0),0)</f>
        <v>16031.410219004109</v>
      </c>
      <c r="DV69" s="419">
        <f>MIN(VLOOKUP($A69,TOCA_current!$A$2:$AI$137,MATCH("TRL - NLSL - Existing Resource "&amp;$BS$1,TOCA_current!$A$2:$AI$2,0),FALSE)*$BS$2, VLOOKUP($A69,TOCA_current!$A$2:$AI$137,MATCH("RHWM 2022",TOCA_current!$A$2:$AI$2,0),FALSE)*$BS$2)</f>
        <v>43379.519999999997</v>
      </c>
      <c r="DW69" s="419">
        <f>SUM(BY69:CV69)+(BS69*RT1SC!$C$4*$BS$2)</f>
        <v>59410.930219004105</v>
      </c>
      <c r="DX69" s="419">
        <f>VLOOKUP($A69,TOCA_current!$A$2:$AI$137,MATCH("Above RHWM Not Served with LS "&amp;$BS$1,TOCA_current!$A$2:$AI$2,0),FALSE)*$BS$2</f>
        <v>0</v>
      </c>
      <c r="DY69" s="419">
        <f t="shared" si="13"/>
        <v>16031.410219004109</v>
      </c>
      <c r="DZ69" s="419">
        <f>(VLOOKUP($A69,TOCA_current!$A$2:$AI$137,MATCH("RHWM 2022",TOCA_current!$A$2:$AI$2,0),FALSE)*$BS$2) - $DV69</f>
        <v>0</v>
      </c>
      <c r="EA69" s="419">
        <f t="shared" si="14"/>
        <v>0</v>
      </c>
      <c r="EB69" s="419">
        <f t="shared" si="15"/>
        <v>0</v>
      </c>
      <c r="EC69" s="419">
        <f t="shared" si="16"/>
        <v>0</v>
      </c>
      <c r="ED69" s="419">
        <f t="shared" si="17"/>
        <v>0</v>
      </c>
    </row>
    <row r="70" spans="1:134">
      <c r="A70" s="135">
        <v>10191</v>
      </c>
      <c r="B70" s="136" t="s">
        <v>71</v>
      </c>
      <c r="C70" s="244">
        <f>VLOOKUP(A70, TOCA_current!$A$3:$D$137, 4, FALSE)</f>
        <v>0</v>
      </c>
      <c r="D70" s="203">
        <v>1</v>
      </c>
      <c r="E70" s="119">
        <f>VLOOKUP($A70,TOCA_previous!$A$2:$AI$137,MATCH(E$4,TOCA_previous!$A$2:$AI$2,0),FALSE)</f>
        <v>1.8342500000000001E-2</v>
      </c>
      <c r="F70" s="120">
        <f>VLOOKUP($A70,TOCA_previous!$A$2:$AI$137,MATCH(F$4,TOCA_previous!$A$2:$AI$2,0),FALSE)</f>
        <v>8.6598000000000005E-3</v>
      </c>
      <c r="G70" s="120">
        <f t="shared" si="5"/>
        <v>9.6827000000000007E-3</v>
      </c>
      <c r="H70" s="120">
        <f>VLOOKUP($A70,TOCA_previous!$A$2:$AI$137,MATCH(H$4,TOCA_previous!$A$2:$AI$2,0),FALSE)</f>
        <v>0</v>
      </c>
      <c r="I70" s="120">
        <f t="shared" si="6"/>
        <v>0</v>
      </c>
      <c r="J70" s="120">
        <f t="shared" si="7"/>
        <v>0</v>
      </c>
      <c r="K70" s="191">
        <f>VLOOKUP(A70, IRD!$A$5:$C$139, 3, FALSE)</f>
        <v>0</v>
      </c>
      <c r="L70" s="192">
        <f t="array" ref="L70">IF($G70=0, INDEX(LS_previous!$D$4:$AY$138, MATCH('Staging Table'!$A70, LS_previous!$B$4:$B$138, 0), MATCH(L$4&amp;L$5, LS_previous!$D$2:$AY$2&amp;LS_previous!$D$3:$AY$3, 0)),SUM(VLOOKUP($A70, LS_previous!$B$4:$AY$138, LS_previous!D$149, FALSE), VLOOKUP('Staging Table'!$A70, LS_previous!$B$4:$AY$138,LS_previous!AB$149, FALSE))/2)</f>
        <v>-1895.7863473447687</v>
      </c>
      <c r="M70" s="192">
        <f t="array" ref="M70">IF($G70=0, INDEX(LS_previous!$D$4:$AY$138, MATCH('Staging Table'!$A70, LS_previous!$B$4:$B$138, 0), MATCH(M$4&amp;M$5, LS_previous!$D$2:$AY$2&amp;LS_previous!$D$3:$AY$3, 0)),SUM(VLOOKUP($A70, LS_previous!$B$4:$AY$138, LS_previous!E$149, FALSE), VLOOKUP('Staging Table'!$A70, LS_previous!$B$4:$AY$138,LS_previous!AC$149, FALSE))/2)</f>
        <v>3536.2737485287771</v>
      </c>
      <c r="N70" s="192">
        <f t="array" ref="N70">IF($G70=0, INDEX(LS_previous!$D$4:$AY$138, MATCH('Staging Table'!$A70, LS_previous!$B$4:$B$138, 0), MATCH(N$4&amp;N$5, LS_previous!$D$2:$AY$2&amp;LS_previous!$D$3:$AY$3, 0)),SUM(VLOOKUP($A70, LS_previous!$B$4:$AY$138, LS_previous!F$149, FALSE), VLOOKUP('Staging Table'!$A70, LS_previous!$B$4:$AY$138,LS_previous!AD$149, FALSE))/2)</f>
        <v>-4880.764771372551</v>
      </c>
      <c r="O70" s="192">
        <f t="array" ref="O70">IF($G70=0, INDEX(LS_previous!$D$4:$AY$138, MATCH('Staging Table'!$A70, LS_previous!$B$4:$B$138, 0), MATCH(O$4&amp;O$5, LS_previous!$D$2:$AY$2&amp;LS_previous!$D$3:$AY$3, 0)),SUM(VLOOKUP($A70, LS_previous!$B$4:$AY$138, LS_previous!G$149, FALSE), VLOOKUP('Staging Table'!$A70, LS_previous!$B$4:$AY$138,LS_previous!AE$149, FALSE))/2)</f>
        <v>3709.4427233601709</v>
      </c>
      <c r="P70" s="192">
        <f t="array" ref="P70">IF($G70=0, INDEX(LS_previous!$D$4:$AY$138, MATCH('Staging Table'!$A70, LS_previous!$B$4:$B$138, 0), MATCH(P$4&amp;P$5, LS_previous!$D$2:$AY$2&amp;LS_previous!$D$3:$AY$3, 0)),SUM(VLOOKUP($A70, LS_previous!$B$4:$AY$138, LS_previous!H$149, FALSE), VLOOKUP('Staging Table'!$A70, LS_previous!$B$4:$AY$138,LS_previous!AF$149, FALSE))/2)</f>
        <v>152.72112896536419</v>
      </c>
      <c r="Q70" s="192">
        <f t="array" ref="Q70">IF($G70=0, INDEX(LS_previous!$D$4:$AY$138, MATCH('Staging Table'!$A70, LS_previous!$B$4:$B$138, 0), MATCH(Q$4&amp;Q$5, LS_previous!$D$2:$AY$2&amp;LS_previous!$D$3:$AY$3, 0)),SUM(VLOOKUP($A70, LS_previous!$B$4:$AY$138, LS_previous!I$149, FALSE), VLOOKUP('Staging Table'!$A70, LS_previous!$B$4:$AY$138,LS_previous!AG$149, FALSE))/2)</f>
        <v>6781.2963291490887</v>
      </c>
      <c r="R70" s="192">
        <f t="array" ref="R70">IF($G70=0, INDEX(LS_previous!$D$4:$AY$138, MATCH('Staging Table'!$A70, LS_previous!$B$4:$B$138, 0), MATCH(R$4&amp;R$5, LS_previous!$D$2:$AY$2&amp;LS_previous!$D$3:$AY$3, 0)),SUM(VLOOKUP($A70, LS_previous!$B$4:$AY$138, LS_previous!J$149, FALSE), VLOOKUP('Staging Table'!$A70, LS_previous!$B$4:$AY$138,LS_previous!AH$149, FALSE))/2)</f>
        <v>5032.6997224246825</v>
      </c>
      <c r="S70" s="192">
        <f t="array" ref="S70">IF($G70=0, INDEX(LS_previous!$D$4:$AY$138, MATCH('Staging Table'!$A70, LS_previous!$B$4:$B$138, 0), MATCH(S$4&amp;S$5, LS_previous!$D$2:$AY$2&amp;LS_previous!$D$3:$AY$3, 0)),SUM(VLOOKUP($A70, LS_previous!$B$4:$AY$138, LS_previous!K$149, FALSE), VLOOKUP('Staging Table'!$A70, LS_previous!$B$4:$AY$138,LS_previous!AI$149, FALSE))/2)</f>
        <v>10275.426830089775</v>
      </c>
      <c r="T70" s="192">
        <f t="array" ref="T70">IF($G70=0, INDEX(LS_previous!$D$4:$AY$138, MATCH('Staging Table'!$A70, LS_previous!$B$4:$B$138, 0), MATCH(T$4&amp;T$5, LS_previous!$D$2:$AY$2&amp;LS_previous!$D$3:$AY$3, 0)),SUM(VLOOKUP($A70, LS_previous!$B$4:$AY$138, LS_previous!L$149, FALSE), VLOOKUP('Staging Table'!$A70, LS_previous!$B$4:$AY$138,LS_previous!AJ$149, FALSE))/2)</f>
        <v>4420.1398611841014</v>
      </c>
      <c r="U70" s="192">
        <f t="array" ref="U70">IF($G70=0, INDEX(LS_previous!$D$4:$AY$138, MATCH('Staging Table'!$A70, LS_previous!$B$4:$B$138, 0), MATCH(U$4&amp;U$5, LS_previous!$D$2:$AY$2&amp;LS_previous!$D$3:$AY$3, 0)),SUM(VLOOKUP($A70, LS_previous!$B$4:$AY$138, LS_previous!M$149, FALSE), VLOOKUP('Staging Table'!$A70, LS_previous!$B$4:$AY$138,LS_previous!AK$149, FALSE))/2)</f>
        <v>7008.1198889927082</v>
      </c>
      <c r="V70" s="192">
        <f t="array" ref="V70">IF($G70=0, INDEX(LS_previous!$D$4:$AY$138, MATCH('Staging Table'!$A70, LS_previous!$B$4:$B$138, 0), MATCH(V$4&amp;V$5, LS_previous!$D$2:$AY$2&amp;LS_previous!$D$3:$AY$3, 0)),SUM(VLOOKUP($A70, LS_previous!$B$4:$AY$138, LS_previous!N$149, FALSE), VLOOKUP('Staging Table'!$A70, LS_previous!$B$4:$AY$138,LS_previous!AL$149, FALSE))/2)</f>
        <v>611.75372634020459</v>
      </c>
      <c r="W70" s="192">
        <f t="array" ref="W70">IF($G70=0, INDEX(LS_previous!$D$4:$AY$138, MATCH('Staging Table'!$A70, LS_previous!$B$4:$B$138, 0), MATCH(W$4&amp;W$5, LS_previous!$D$2:$AY$2&amp;LS_previous!$D$3:$AY$3, 0)),SUM(VLOOKUP($A70, LS_previous!$B$4:$AY$138, LS_previous!O$149, FALSE), VLOOKUP('Staging Table'!$A70, LS_previous!$B$4:$AY$138,LS_previous!AM$149, FALSE))/2)</f>
        <v>5280.3945016602365</v>
      </c>
      <c r="X70" s="192">
        <f t="array" ref="X70">IF($G70=0, INDEX(LS_previous!$D$4:$AY$138, MATCH('Staging Table'!$A70, LS_previous!$B$4:$B$138, 0), MATCH(X$4&amp;X$5, LS_previous!$D$2:$AY$2&amp;LS_previous!$D$3:$AY$3, 0)),SUM(VLOOKUP($A70, LS_previous!$B$4:$AY$138, LS_previous!P$149, FALSE), VLOOKUP('Staging Table'!$A70, LS_previous!$B$4:$AY$138,LS_previous!AN$149, FALSE))/2)</f>
        <v>3387.7398751644814</v>
      </c>
      <c r="Y70" s="192">
        <f t="array" ref="Y70">IF($G70=0, INDEX(LS_previous!$D$4:$AY$138, MATCH('Staging Table'!$A70, LS_previous!$B$4:$B$138, 0), MATCH(Y$4&amp;Y$5, LS_previous!$D$2:$AY$2&amp;LS_previous!$D$3:$AY$3, 0)),SUM(VLOOKUP($A70, LS_previous!$B$4:$AY$138, LS_previous!Q$149, FALSE), VLOOKUP('Staging Table'!$A70, LS_previous!$B$4:$AY$138,LS_previous!AO$149, FALSE))/2)</f>
        <v>5541.0427950971207</v>
      </c>
      <c r="Z70" s="192">
        <f t="array" ref="Z70">IF($G70=0, INDEX(LS_previous!$D$4:$AY$138, MATCH('Staging Table'!$A70, LS_previous!$B$4:$B$138, 0), MATCH(Z$4&amp;Z$5, LS_previous!$D$2:$AY$2&amp;LS_previous!$D$3:$AY$3, 0)),SUM(VLOOKUP($A70, LS_previous!$B$4:$AY$138, LS_previous!R$149, FALSE), VLOOKUP('Staging Table'!$A70, LS_previous!$B$4:$AY$138,LS_previous!AP$149, FALSE))/2)</f>
        <v>-8539.2321316541784</v>
      </c>
      <c r="AA70" s="192">
        <f t="array" ref="AA70">IF($G70=0, INDEX(LS_previous!$D$4:$AY$138, MATCH('Staging Table'!$A70, LS_previous!$B$4:$B$138, 0), MATCH(AA$4&amp;AA$5, LS_previous!$D$2:$AY$2&amp;LS_previous!$D$3:$AY$3, 0)),SUM(VLOOKUP($A70, LS_previous!$B$4:$AY$138, LS_previous!S$149, FALSE), VLOOKUP('Staging Table'!$A70, LS_previous!$B$4:$AY$138,LS_previous!AQ$149, FALSE))/2)</f>
        <v>2261.5584616454071</v>
      </c>
      <c r="AB70" s="192">
        <f t="array" ref="AB70">IF($G70=0, INDEX(LS_previous!$D$4:$AY$138, MATCH('Staging Table'!$A70, LS_previous!$B$4:$B$138, 0), MATCH(AB$4&amp;AB$5, LS_previous!$D$2:$AY$2&amp;LS_previous!$D$3:$AY$3, 0)),SUM(VLOOKUP($A70, LS_previous!$B$4:$AY$138, LS_previous!T$149, FALSE), VLOOKUP('Staging Table'!$A70, LS_previous!$B$4:$AY$138,LS_previous!AR$149, FALSE))/2)</f>
        <v>-16787.99688661136</v>
      </c>
      <c r="AC70" s="192">
        <f t="array" ref="AC70">IF($G70=0, INDEX(LS_previous!$D$4:$AY$138, MATCH('Staging Table'!$A70, LS_previous!$B$4:$B$138, 0), MATCH(AC$4&amp;AC$5, LS_previous!$D$2:$AY$2&amp;LS_previous!$D$3:$AY$3, 0)),SUM(VLOOKUP($A70, LS_previous!$B$4:$AY$138, LS_previous!U$149, FALSE), VLOOKUP('Staging Table'!$A70, LS_previous!$B$4:$AY$138,LS_previous!AS$149, FALSE))/2)</f>
        <v>-4969.2284243006088</v>
      </c>
      <c r="AD70" s="192">
        <f t="array" ref="AD70">IF($G70=0, INDEX(LS_previous!$D$4:$AY$138, MATCH('Staging Table'!$A70, LS_previous!$B$4:$B$138, 0), MATCH(AD$4&amp;AD$5, LS_previous!$D$2:$AY$2&amp;LS_previous!$D$3:$AY$3, 0)),SUM(VLOOKUP($A70, LS_previous!$B$4:$AY$138, LS_previous!V$149, FALSE), VLOOKUP('Staging Table'!$A70, LS_previous!$B$4:$AY$138,LS_previous!AT$149, FALSE))/2)</f>
        <v>-11014.771214623986</v>
      </c>
      <c r="AE70" s="192">
        <f t="array" ref="AE70">IF($G70=0, INDEX(LS_previous!$D$4:$AY$138, MATCH('Staging Table'!$A70, LS_previous!$B$4:$B$138, 0), MATCH(AE$4&amp;AE$5, LS_previous!$D$2:$AY$2&amp;LS_previous!$D$3:$AY$3, 0)),SUM(VLOOKUP($A70, LS_previous!$B$4:$AY$138, LS_previous!W$149, FALSE), VLOOKUP('Staging Table'!$A70, LS_previous!$B$4:$AY$138,LS_previous!AU$149, FALSE))/2)</f>
        <v>2044.7643678272407</v>
      </c>
      <c r="AF70" s="192">
        <f t="array" ref="AF70">IF($G70=0, INDEX(LS_previous!$D$4:$AY$138, MATCH('Staging Table'!$A70, LS_previous!$B$4:$B$138, 0), MATCH(AF$4&amp;AF$5, LS_previous!$D$2:$AY$2&amp;LS_previous!$D$3:$AY$3, 0)),SUM(VLOOKUP($A70, LS_previous!$B$4:$AY$138, LS_previous!X$149, FALSE), VLOOKUP('Staging Table'!$A70, LS_previous!$B$4:$AY$138,LS_previous!AV$149, FALSE))/2)</f>
        <v>-10336.669913515145</v>
      </c>
      <c r="AG70" s="192">
        <f t="array" ref="AG70">IF($G70=0, INDEX(LS_previous!$D$4:$AY$138, MATCH('Staging Table'!$A70, LS_previous!$B$4:$B$138, 0), MATCH(AG$4&amp;AG$5, LS_previous!$D$2:$AY$2&amp;LS_previous!$D$3:$AY$3, 0)),SUM(VLOOKUP($A70, LS_previous!$B$4:$AY$138, LS_previous!Y$149, FALSE), VLOOKUP('Staging Table'!$A70, LS_previous!$B$4:$AY$138,LS_previous!AW$149, FALSE))/2)</f>
        <v>2047.8450355207488</v>
      </c>
      <c r="AH70" s="192">
        <f t="array" ref="AH70">IF($G70=0, INDEX(LS_previous!$D$4:$AY$138, MATCH('Staging Table'!$A70, LS_previous!$B$4:$B$138, 0), MATCH(AH$4&amp;AH$5, LS_previous!$D$2:$AY$2&amp;LS_previous!$D$3:$AY$3, 0)),SUM(VLOOKUP($A70, LS_previous!$B$4:$AY$138, LS_previous!Z$149, FALSE), VLOOKUP('Staging Table'!$A70, LS_previous!$B$4:$AY$138,LS_previous!AX$149, FALSE))/2)</f>
        <v>-5481.7853581053187</v>
      </c>
      <c r="AI70" s="192">
        <f t="array" ref="AI70">IF($G70=0, INDEX(LS_previous!$D$4:$AY$138, MATCH('Staging Table'!$A70, LS_previous!$B$4:$B$138, 0), MATCH(AI$4&amp;AI$5, LS_previous!$D$2:$AY$2&amp;LS_previous!$D$3:$AY$3, 0)),SUM(VLOOKUP($A70, LS_previous!$B$4:$AY$138, LS_previous!AA$149, FALSE), VLOOKUP('Staging Table'!$A70, LS_previous!$B$4:$AY$138,LS_previous!AY$149, FALSE))/2)</f>
        <v>1813.5230583957473</v>
      </c>
      <c r="AJ70" s="314">
        <f t="array" ref="AJ70">INDEX(Demand_previous!$D$4:$AY$138, MATCH('Staging Table'!$A70, Demand_previous!$B$4:$B$138, 0), MATCH(AJ$4&amp;AJ$5,Demand_previous!$D$2:$AY$2&amp;Demand_previous!$D$3:$AY$3, 0))/1000</f>
        <v>0</v>
      </c>
      <c r="AK70" s="314">
        <f t="array" ref="AK70">INDEX(Demand_previous!$D$4:$AY$138, MATCH('Staging Table'!$A70, Demand_previous!$B$4:$B$138, 0), MATCH(AK$4&amp;AK$5,Demand_previous!$D$2:$AY$2&amp;Demand_previous!$D$3:$AY$3, 0))/1000</f>
        <v>0</v>
      </c>
      <c r="AL70" s="314">
        <f t="array" ref="AL70">INDEX(Demand_previous!$D$4:$AY$138, MATCH('Staging Table'!$A70, Demand_previous!$B$4:$B$138, 0), MATCH(AL$4&amp;AL$5,Demand_previous!$D$2:$AY$2&amp;Demand_previous!$D$3:$AY$3, 0))/1000</f>
        <v>0</v>
      </c>
      <c r="AM70" s="314">
        <f t="array" ref="AM70">INDEX(Demand_previous!$D$4:$AY$138, MATCH('Staging Table'!$A70, Demand_previous!$B$4:$B$138, 0), MATCH(AM$4&amp;AM$5,Demand_previous!$D$2:$AY$2&amp;Demand_previous!$D$3:$AY$3, 0))/1000</f>
        <v>0</v>
      </c>
      <c r="AN70" s="314">
        <f t="array" ref="AN70">INDEX(Demand_previous!$D$4:$AY$138, MATCH('Staging Table'!$A70, Demand_previous!$B$4:$B$138, 0), MATCH(AN$4&amp;AN$5,Demand_previous!$D$2:$AY$2&amp;Demand_previous!$D$3:$AY$3, 0))/1000</f>
        <v>0</v>
      </c>
      <c r="AO70" s="314">
        <f t="array" ref="AO70">INDEX(Demand_previous!$D$4:$AY$138, MATCH('Staging Table'!$A70, Demand_previous!$B$4:$B$138, 0), MATCH(AO$4&amp;AO$5,Demand_previous!$D$2:$AY$2&amp;Demand_previous!$D$3:$AY$3, 0))/1000</f>
        <v>0</v>
      </c>
      <c r="AP70" s="314">
        <f t="array" ref="AP70">INDEX(Demand_previous!$D$4:$AY$138, MATCH('Staging Table'!$A70, Demand_previous!$B$4:$B$138, 0), MATCH(AP$4&amp;AP$5,Demand_previous!$D$2:$AY$2&amp;Demand_previous!$D$3:$AY$3, 0))/1000</f>
        <v>0</v>
      </c>
      <c r="AQ70" s="314">
        <f t="array" ref="AQ70">INDEX(Demand_previous!$D$4:$AY$138, MATCH('Staging Table'!$A70, Demand_previous!$B$4:$B$138, 0), MATCH(AQ$4&amp;AQ$5,Demand_previous!$D$2:$AY$2&amp;Demand_previous!$D$3:$AY$3, 0))/1000</f>
        <v>0</v>
      </c>
      <c r="AR70" s="314">
        <f t="array" ref="AR70">INDEX(Demand_previous!$D$4:$AY$138, MATCH('Staging Table'!$A70, Demand_previous!$B$4:$B$138, 0), MATCH(AR$4&amp;AR$5,Demand_previous!$D$2:$AY$2&amp;Demand_previous!$D$3:$AY$3, 0))/1000</f>
        <v>0</v>
      </c>
      <c r="AS70" s="314">
        <f t="array" ref="AS70">INDEX(Demand_previous!$D$4:$AY$138, MATCH('Staging Table'!$A70, Demand_previous!$B$4:$B$138, 0), MATCH(AS$4&amp;AS$5,Demand_previous!$D$2:$AY$2&amp;Demand_previous!$D$3:$AY$3, 0))/1000</f>
        <v>0</v>
      </c>
      <c r="AT70" s="314">
        <f t="array" ref="AT70">INDEX(Demand_previous!$D$4:$AY$138, MATCH('Staging Table'!$A70, Demand_previous!$B$4:$B$138, 0), MATCH(AT$4&amp;AT$5,Demand_previous!$D$2:$AY$2&amp;Demand_previous!$D$3:$AY$3, 0))/1000</f>
        <v>0</v>
      </c>
      <c r="AU70" s="314">
        <f t="array" ref="AU70">INDEX(Demand_previous!$D$4:$AY$138, MATCH('Staging Table'!$A70, Demand_previous!$B$4:$B$138, 0), MATCH(AU$4&amp;AU$5,Demand_previous!$D$2:$AY$2&amp;Demand_previous!$D$3:$AY$3, 0))/1000</f>
        <v>0</v>
      </c>
      <c r="AV70" s="192">
        <f>$F70*(VLOOKUP(AV$4, Rates_previous!$G$6:$Q$29, 10, FALSE)+VLOOKUP(AV$4, Rates_previous!$G$6:$Q$29, 11, FALSE))</f>
        <v>39985.0434539208</v>
      </c>
      <c r="AW70" s="192">
        <f>$F70*(VLOOKUP(AW$4, Rates_previous!$G$6:$Q$29, 10, FALSE)+VLOOKUP(AW$4, Rates_previous!$G$6:$Q$29, 11, FALSE))</f>
        <v>50793.4787630922</v>
      </c>
      <c r="AX70" s="192">
        <f>$F70*(VLOOKUP(AX$4, Rates_previous!$G$6:$Q$29, 10, FALSE)+VLOOKUP(AX$4, Rates_previous!$G$6:$Q$29, 11, FALSE))</f>
        <v>50180.078777320807</v>
      </c>
      <c r="AY70" s="192">
        <f>$F70*(VLOOKUP(AY$4, Rates_previous!$G$6:$Q$29, 10, FALSE)+VLOOKUP(AY$4, Rates_previous!$G$6:$Q$29, 11, FALSE))</f>
        <v>41828.151986920806</v>
      </c>
      <c r="AZ70" s="192">
        <f>$F70*(VLOOKUP(AZ$4, Rates_previous!$G$6:$Q$29, 10, FALSE)+VLOOKUP(AZ$4, Rates_previous!$G$6:$Q$29, 11, FALSE))</f>
        <v>37891.96636464</v>
      </c>
      <c r="BA70" s="192">
        <f>$F70*(VLOOKUP(BA$4, Rates_previous!$G$6:$Q$29, 10, FALSE)+VLOOKUP(BA$4, Rates_previous!$G$6:$Q$29, 11, FALSE))</f>
        <v>42147.904199232602</v>
      </c>
      <c r="BB70" s="192">
        <f>$F70*(VLOOKUP(BB$4, Rates_previous!$G$6:$Q$29, 10, FALSE)+VLOOKUP(BB$4, Rates_previous!$G$6:$Q$29, 11, FALSE))</f>
        <v>34316.869081104</v>
      </c>
      <c r="BC70" s="192">
        <f>$F70*(VLOOKUP(BC$4, Rates_previous!$G$6:$Q$29, 10, FALSE)+VLOOKUP(BC$4, Rates_previous!$G$6:$Q$29, 11, FALSE))</f>
        <v>46281.415167820807</v>
      </c>
      <c r="BD70" s="192">
        <f>$F70*(VLOOKUP(BD$4, Rates_previous!$G$6:$Q$29, 10, FALSE)+VLOOKUP(BD$4, Rates_previous!$G$6:$Q$29, 11, FALSE))</f>
        <v>59051.938089204006</v>
      </c>
      <c r="BE70" s="192">
        <f>$F70*(VLOOKUP(BE$4, Rates_previous!$G$6:$Q$29, 10, FALSE)+VLOOKUP(BE$4, Rates_previous!$G$6:$Q$29, 11, FALSE))</f>
        <v>46298.591881120803</v>
      </c>
      <c r="BF70" s="192">
        <f>$F70*(VLOOKUP(BF$4, Rates_previous!$G$6:$Q$29, 10, FALSE)+VLOOKUP(BF$4, Rates_previous!$G$6:$Q$29, 11, FALSE))</f>
        <v>45085.609365220807</v>
      </c>
      <c r="BG70" s="192">
        <f>$F70*(VLOOKUP(BG$4, Rates_previous!$G$6:$Q$29, 10, FALSE)+VLOOKUP(BG$4, Rates_previous!$G$6:$Q$29, 11, FALSE))</f>
        <v>40477.286264904003</v>
      </c>
      <c r="BH70" s="314">
        <f>IF($D70=0,IF(C70=0, MAX(BJ70 - (VLOOKUP($A70,TOCA_previous!$A$2:$AI$137,MATCH("RHWM 2020",TOCA_previous!$A$2:$AI$2,0),FALSE)*$F$2*TOCA_previous!C67),0),0), 0)</f>
        <v>0</v>
      </c>
      <c r="BI70" s="204">
        <f>MIN(VLOOKUP($A70,TOCA_previous!$A$2:$AI$137,MATCH("TRL - NLSL - Existing Resource "&amp;$F$1,TOCA_previous!$A$2:$AI$2,0),FALSE)*$F$2,(VLOOKUP($A70,TOCA_previous!$A$2:$AI$137,MATCH("RHWM 2020",TOCA_previous!$A$2:$AI$2,0),FALSE)*$F$2))</f>
        <v>1131792.0480000002</v>
      </c>
      <c r="BJ70" s="418">
        <f>SUM(L70:AI70)+(F70*RT1SC!$C$3*$F$2)</f>
        <v>534336.86045741639</v>
      </c>
      <c r="BK70" s="417">
        <f>VLOOKUP($A70,TOCA_previous!$A$2:$AI$137,MATCH("Above RHWM Not Served with LS "&amp;$F$1,TOCA_previous!$A$2:$AI$2,0),FALSE)*$F$2</f>
        <v>0</v>
      </c>
      <c r="BL70" s="418">
        <f t="shared" si="8"/>
        <v>-597455.18754258379</v>
      </c>
      <c r="BM70" s="417">
        <f>(VLOOKUP($A70,TOCA_previous!$A$2:$AI$137,MATCH("RHWM 2020",TOCA_previous!$A$2:$AI$2,0),FALSE)*$F$2) - $BI70</f>
        <v>14713.199999999721</v>
      </c>
      <c r="BN70" s="418">
        <f t="shared" si="9"/>
        <v>0</v>
      </c>
      <c r="BO70" s="417">
        <f t="shared" si="10"/>
        <v>597455.18754258379</v>
      </c>
      <c r="BP70" s="418">
        <f t="shared" si="11"/>
        <v>0</v>
      </c>
      <c r="BQ70" s="417">
        <f t="shared" ref="BQ70:BQ101" si="21">IF($D70=0,SUM($BN70:$BP70),0)</f>
        <v>0</v>
      </c>
      <c r="BR70" s="120">
        <f>VLOOKUP($A70,TOCA_current!$A$2:$AI$137,MATCH(BR$4,TOCA_current!$A$2:$AI$2,0),FALSE)</f>
        <v>1.8581E-2</v>
      </c>
      <c r="BS70" s="120">
        <f>VLOOKUP($A70,TOCA_current!$A$2:$AI$137,MATCH(BS$4,TOCA_current!$A$2:$AI$2,0),FALSE)</f>
        <v>8.8982999999999996E-3</v>
      </c>
      <c r="BT70" s="201">
        <f t="shared" si="12"/>
        <v>9.6827000000000007E-3</v>
      </c>
      <c r="BU70" s="120">
        <f>VLOOKUP($A70,TOCA_current!A66:BG201,MATCH(BU$4,TOCA_current!$A$2:$BG$2,0),FALSE)</f>
        <v>0</v>
      </c>
      <c r="BV70" s="120">
        <f t="shared" ref="BV70:BV101" si="22">IF(C70=0,0,BU70)</f>
        <v>0</v>
      </c>
      <c r="BW70" s="120">
        <f t="shared" ref="BW70:BW101" si="23">IF(C70=0,0,BR70)</f>
        <v>0</v>
      </c>
      <c r="BX70" s="191">
        <f>VLOOKUP($A70,IRD!$A$4:$G$139, 7, FALSE)</f>
        <v>0</v>
      </c>
      <c r="BY70" s="192">
        <f t="array" ref="BY70">IF($BT70=0, INDEX(LS_current!$D$4:$AY$138, MATCH('Staging Table'!$A70, LS_current!$B$4:$B$138, 0), MATCH(BY$4&amp;BY$5, LS_current!$D$2:$AY$2&amp;LS_current!$D$3:$AY$3, 0)),SUM(VLOOKUP($A70, LS_current!$B$4:$AY$138, LS_current!D$148, FALSE), VLOOKUP($A70, LS_current!$B$4:$AY$138,LS_current!AB$148, FALSE))/2)</f>
        <v>-3089.3383880972069</v>
      </c>
      <c r="BZ70" s="192">
        <f t="array" ref="BZ70">IF($BT70=0, INDEX(LS_current!$D$4:$AY$138, MATCH('Staging Table'!$A70, LS_current!$B$4:$B$138, 0), MATCH(BZ$4&amp;BZ$5, LS_current!$D$2:$AY$2&amp;LS_current!$D$3:$AY$3, 0)),SUM(VLOOKUP($A70, LS_current!$B$4:$AY$138, LS_current!E$148, FALSE), VLOOKUP($A70, LS_current!$B$4:$AY$138,LS_current!AC$148, FALSE))/2)</f>
        <v>3524.2268479404538</v>
      </c>
      <c r="CA70" s="192">
        <f t="array" ref="CA70">IF($BT70=0, INDEX(LS_current!$D$4:$AY$138, MATCH('Staging Table'!$A70, LS_current!$B$4:$B$138, 0), MATCH(CA$4&amp;CA$5, LS_current!$D$2:$AY$2&amp;LS_current!$D$3:$AY$3, 0)),SUM(VLOOKUP($A70, LS_current!$B$4:$AY$138, LS_current!F$148, FALSE), VLOOKUP($A70, LS_current!$B$4:$AY$138,LS_current!AD$148, FALSE))/2)</f>
        <v>-4389.6395120783873</v>
      </c>
      <c r="CB70" s="192">
        <f t="array" ref="CB70">IF($BT70=0, INDEX(LS_current!$D$4:$AY$138, MATCH('Staging Table'!$A70, LS_current!$B$4:$B$138, 0), MATCH(CB$4&amp;CB$5, LS_current!$D$2:$AY$2&amp;LS_current!$D$3:$AY$3, 0)),SUM(VLOOKUP($A70, LS_current!$B$4:$AY$138, LS_current!G$148, FALSE), VLOOKUP($A70, LS_current!$B$4:$AY$138,LS_current!AE$148, FALSE))/2)</f>
        <v>1920.516341724302</v>
      </c>
      <c r="CC70" s="192">
        <f t="array" ref="CC70">IF($BT70=0, INDEX(LS_current!$D$4:$AY$138, MATCH('Staging Table'!$A70, LS_current!$B$4:$B$138, 0), MATCH(CC$4&amp;CC$5, LS_current!$D$2:$AY$2&amp;LS_current!$D$3:$AY$3, 0)),SUM(VLOOKUP($A70, LS_current!$B$4:$AY$138, LS_current!H$148, FALSE), VLOOKUP($A70, LS_current!$B$4:$AY$138,LS_current!AF$148, FALSE))/2)</f>
        <v>2728.1166930560667</v>
      </c>
      <c r="CD70" s="192">
        <f t="array" ref="CD70">IF($BT70=0, INDEX(LS_current!$D$4:$AY$138, MATCH('Staging Table'!$A70, LS_current!$B$4:$B$138, 0), MATCH(CD$4&amp;CD$5, LS_current!$D$2:$AY$2&amp;LS_current!$D$3:$AY$3, 0)),SUM(VLOOKUP($A70, LS_current!$B$4:$AY$138, LS_current!I$148, FALSE), VLOOKUP($A70, LS_current!$B$4:$AY$138,LS_current!AG$148, FALSE))/2)</f>
        <v>3241.6329547360365</v>
      </c>
      <c r="CE70" s="192">
        <f t="array" ref="CE70">IF($BT70=0, INDEX(LS_current!$D$4:$AY$138, MATCH('Staging Table'!$A70, LS_current!$B$4:$B$138, 0), MATCH(CE$4&amp;CE$5, LS_current!$D$2:$AY$2&amp;LS_current!$D$3:$AY$3, 0)),SUM(VLOOKUP($A70, LS_current!$B$4:$AY$138, LS_current!J$148, FALSE), VLOOKUP($A70, LS_current!$B$4:$AY$138,LS_current!AH$148, FALSE))/2)</f>
        <v>6612.2783782921942</v>
      </c>
      <c r="CF70" s="192">
        <f t="array" ref="CF70">IF($BT70=0, INDEX(LS_current!$D$4:$AY$138, MATCH('Staging Table'!$A70, LS_current!$B$4:$B$138, 0), MATCH(CF$4&amp;CF$5, LS_current!$D$2:$AY$2&amp;LS_current!$D$3:$AY$3, 0)),SUM(VLOOKUP($A70, LS_current!$B$4:$AY$138, LS_current!K$148, FALSE), VLOOKUP($A70, LS_current!$B$4:$AY$138,LS_current!AI$148, FALSE))/2)</f>
        <v>8097.0087549489435</v>
      </c>
      <c r="CG70" s="192">
        <f t="array" ref="CG70">IF($BT70=0, INDEX(LS_current!$D$4:$AY$138, MATCH('Staging Table'!$A70, LS_current!$B$4:$B$138, 0), MATCH(CG$4&amp;CG$5, LS_current!$D$2:$AY$2&amp;LS_current!$D$3:$AY$3, 0)),SUM(VLOOKUP($A70, LS_current!$B$4:$AY$138, LS_current!L$148, FALSE), VLOOKUP($A70, LS_current!$B$4:$AY$138,LS_current!AJ$148, FALSE))/2)</f>
        <v>6423.1633791518943</v>
      </c>
      <c r="CH70" s="192">
        <f t="array" ref="CH70">IF($BT70=0, INDEX(LS_current!$D$4:$AY$138, MATCH('Staging Table'!$A70, LS_current!$B$4:$B$138, 0), MATCH(CH$4&amp;CH$5, LS_current!$D$2:$AY$2&amp;LS_current!$D$3:$AY$3, 0)),SUM(VLOOKUP($A70, LS_current!$B$4:$AY$138, LS_current!M$148, FALSE), VLOOKUP($A70, LS_current!$B$4:$AY$138,LS_current!AK$148, FALSE))/2)</f>
        <v>5412.4367324176237</v>
      </c>
      <c r="CI70" s="192">
        <f t="array" ref="CI70">IF($BT70=0, INDEX(LS_current!$D$4:$AY$138, MATCH('Staging Table'!$A70, LS_current!$B$4:$B$138, 0), MATCH(CI$4&amp;CI$5, LS_current!$D$2:$AY$2&amp;LS_current!$D$3:$AY$3, 0)),SUM(VLOOKUP($A70, LS_current!$B$4:$AY$138, LS_current!N$148, FALSE), VLOOKUP($A70, LS_current!$B$4:$AY$138,LS_current!AL$148, FALSE))/2)</f>
        <v>1121.820814654624</v>
      </c>
      <c r="CJ70" s="192">
        <f t="array" ref="CJ70">IF($BT70=0, INDEX(LS_current!$D$4:$AY$138, MATCH('Staging Table'!$A70, LS_current!$B$4:$B$138, 0), MATCH(CJ$4&amp;CJ$5, LS_current!$D$2:$AY$2&amp;LS_current!$D$3:$AY$3, 0)),SUM(VLOOKUP($A70, LS_current!$B$4:$AY$138, LS_current!O$148, FALSE), VLOOKUP($A70, LS_current!$B$4:$AY$138,LS_current!AM$148, FALSE))/2)</f>
        <v>3222.1031544003235</v>
      </c>
      <c r="CK70" s="192">
        <f t="array" ref="CK70">IF($BT70=0, INDEX(LS_current!$D$4:$AY$138, MATCH('Staging Table'!$A70, LS_current!$B$4:$B$138, 0), MATCH(CK$4&amp;CK$5, LS_current!$D$2:$AY$2&amp;LS_current!$D$3:$AY$3, 0)),SUM(VLOOKUP($A70, LS_current!$B$4:$AY$138, LS_current!P$148, FALSE), VLOOKUP($A70, LS_current!$B$4:$AY$138,LS_current!AN$148, FALSE))/2)</f>
        <v>3565.4594267765842</v>
      </c>
      <c r="CL70" s="192">
        <f t="array" ref="CL70">IF($BT70=0, INDEX(LS_current!$D$4:$AY$138, MATCH('Staging Table'!$A70, LS_current!$B$4:$B$138, 0), MATCH(CL$4&amp;CL$5, LS_current!$D$2:$AY$2&amp;LS_current!$D$3:$AY$3, 0)),SUM(VLOOKUP($A70, LS_current!$B$4:$AY$138, LS_current!Q$148, FALSE), VLOOKUP($A70, LS_current!$B$4:$AY$138,LS_current!AO$148, FALSE))/2)</f>
        <v>5649.6937245023983</v>
      </c>
      <c r="CM70" s="192">
        <f t="array" ref="CM70">IF($BT70=0, INDEX(LS_current!$D$4:$AY$138, MATCH('Staging Table'!$A70, LS_current!$B$4:$B$138, 0), MATCH(CM$4&amp;CM$5, LS_current!$D$2:$AY$2&amp;LS_current!$D$3:$AY$3, 0)),SUM(VLOOKUP($A70, LS_current!$B$4:$AY$138, LS_current!R$148, FALSE), VLOOKUP($A70, LS_current!$B$4:$AY$138,LS_current!AP$148, FALSE))/2)</f>
        <v>-9504.8900711175465</v>
      </c>
      <c r="CN70" s="192">
        <f t="array" ref="CN70">IF($BT70=0, INDEX(LS_current!$D$4:$AY$138, MATCH('Staging Table'!$A70, LS_current!$B$4:$B$138, 0), MATCH(CN$4&amp;CN$5, LS_current!$D$2:$AY$2&amp;LS_current!$D$3:$AY$3, 0)),SUM(VLOOKUP($A70, LS_current!$B$4:$AY$138, LS_current!S$148, FALSE), VLOOKUP($A70, LS_current!$B$4:$AY$138,LS_current!AQ$148, FALSE))/2)</f>
        <v>2725.4759514888501</v>
      </c>
      <c r="CO70" s="192">
        <f t="array" ref="CO70">IF($BT70=0, INDEX(LS_current!$D$4:$AY$138, MATCH('Staging Table'!$A70, LS_current!$B$4:$B$138, 0), MATCH(CO$4&amp;CO$5, LS_current!$D$2:$AY$2&amp;LS_current!$D$3:$AY$3, 0)),SUM(VLOOKUP($A70, LS_current!$B$4:$AY$138, LS_current!T$148, FALSE), VLOOKUP($A70, LS_current!$B$4:$AY$138,LS_current!AR$148, FALSE))/2)</f>
        <v>-13937.381536687119</v>
      </c>
      <c r="CP70" s="192">
        <f t="array" ref="CP70">IF($BT70=0, INDEX(LS_current!$D$4:$AY$138, MATCH('Staging Table'!$A70, LS_current!$B$4:$B$138, 0), MATCH(CP$4&amp;CP$5, LS_current!$D$2:$AY$2&amp;LS_current!$D$3:$AY$3, 0)),SUM(VLOOKUP($A70, LS_current!$B$4:$AY$138, LS_current!U$148, FALSE), VLOOKUP($A70, LS_current!$B$4:$AY$138,LS_current!AS$148, FALSE))/2)</f>
        <v>1369.5040626048003</v>
      </c>
      <c r="CQ70" s="192">
        <f t="array" ref="CQ70">IF($BT70=0, INDEX(LS_current!$D$4:$AY$138, MATCH('Staging Table'!$A70, LS_current!$B$4:$B$138, 0), MATCH(CQ$4&amp;CQ$5, LS_current!$D$2:$AY$2&amp;LS_current!$D$3:$AY$3, 0)),SUM(VLOOKUP($A70, LS_current!$B$4:$AY$138, LS_current!V$148, FALSE), VLOOKUP($A70, LS_current!$B$4:$AY$138,LS_current!AT$148, FALSE))/2)</f>
        <v>-11430.083051184571</v>
      </c>
      <c r="CR70" s="192">
        <f t="array" ref="CR70">IF($BT70=0, INDEX(LS_current!$D$4:$AY$138, MATCH('Staging Table'!$A70, LS_current!$B$4:$B$138, 0), MATCH(CR$4&amp;CR$5, LS_current!$D$2:$AY$2&amp;LS_current!$D$3:$AY$3, 0)),SUM(VLOOKUP($A70, LS_current!$B$4:$AY$138, LS_current!W$148, FALSE), VLOOKUP($A70, LS_current!$B$4:$AY$138,LS_current!AU$148, FALSE))/2)</f>
        <v>1355.3124726960577</v>
      </c>
      <c r="CS70" s="192">
        <f t="array" ref="CS70">IF($BT70=0, INDEX(LS_current!$D$4:$AY$138, MATCH('Staging Table'!$A70, LS_current!$B$4:$B$138, 0), MATCH(CS$4&amp;CS$5, LS_current!$D$2:$AY$2&amp;LS_current!$D$3:$AY$3, 0)),SUM(VLOOKUP($A70, LS_current!$B$4:$AY$138, LS_current!X$148, FALSE), VLOOKUP($A70, LS_current!$B$4:$AY$138,LS_current!AV$148, FALSE))/2)</f>
        <v>-9441.4789477774102</v>
      </c>
      <c r="CT70" s="192">
        <f t="array" ref="CT70">IF($BT70=0, INDEX(LS_current!$D$4:$AY$138, MATCH('Staging Table'!$A70, LS_current!$B$4:$B$138, 0), MATCH(CT$4&amp;CT$5, LS_current!$D$2:$AY$2&amp;LS_current!$D$3:$AY$3, 0)),SUM(VLOOKUP($A70, LS_current!$B$4:$AY$138, LS_current!Y$148, FALSE), VLOOKUP($A70, LS_current!$B$4:$AY$138,LS_current!AW$148, FALSE))/2)</f>
        <v>414.07299998538201</v>
      </c>
      <c r="CU70" s="192">
        <f t="array" ref="CU70">IF($BT70=0, INDEX(LS_current!$D$4:$AY$138, MATCH('Staging Table'!$A70, LS_current!$B$4:$B$138, 0), MATCH(CU$4&amp;CU$5, LS_current!$D$2:$AY$2&amp;LS_current!$D$3:$AY$3, 0)),SUM(VLOOKUP($A70, LS_current!$B$4:$AY$138, LS_current!Z$148, FALSE), VLOOKUP($A70, LS_current!$B$4:$AY$138,LS_current!AX$148, FALSE))/2)</f>
        <v>-6563.6203762739042</v>
      </c>
      <c r="CV70" s="192">
        <f t="array" ref="CV70">IF($BT70=0, INDEX(LS_current!$D$4:$AY$138, MATCH('Staging Table'!$A70, LS_current!$B$4:$B$138, 0), MATCH(CV$4&amp;CV$5, LS_current!$D$2:$AY$2&amp;LS_current!$D$3:$AY$3, 0)),SUM(VLOOKUP($A70, LS_current!$B$4:$AY$138, LS_current!AA$148, FALSE), VLOOKUP($A70, LS_current!$B$4:$AY$138,LS_current!AY$148, FALSE))/2)</f>
        <v>971.15485119598907</v>
      </c>
      <c r="CW70" s="194">
        <f t="array" ref="CW70">INDEX(Demand_current!$D$4:$AY$138, MATCH($A70, Demand_current!$B$4:$B$138, 0), MATCH(CW$4&amp;CW$5,Demand_current!$D$2:$AY$2&amp;Demand_current!$D$3:$AY$3, 0))/1000</f>
        <v>0</v>
      </c>
      <c r="CX70" s="194">
        <f t="array" ref="CX70">INDEX(Demand_current!$D$4:$AY$138, MATCH($A70, Demand_current!$B$4:$B$138, 0), MATCH(CX$4&amp;CX$5,Demand_current!$D$2:$AY$2&amp;Demand_current!$D$3:$AY$3, 0))/1000</f>
        <v>0</v>
      </c>
      <c r="CY70" s="194">
        <f t="array" ref="CY70">INDEX(Demand_current!$D$4:$AY$138, MATCH($A70, Demand_current!$B$4:$B$138, 0), MATCH(CY$4&amp;CY$5,Demand_current!$D$2:$AY$2&amp;Demand_current!$D$3:$AY$3, 0))/1000</f>
        <v>0</v>
      </c>
      <c r="CZ70" s="194">
        <f t="array" ref="CZ70">INDEX(Demand_current!$D$4:$AY$138, MATCH($A70, Demand_current!$B$4:$B$138, 0), MATCH(CZ$4&amp;CZ$5,Demand_current!$D$2:$AY$2&amp;Demand_current!$D$3:$AY$3, 0))/1000</f>
        <v>0</v>
      </c>
      <c r="DA70" s="194">
        <f t="array" ref="DA70">INDEX(Demand_current!$D$4:$AY$138, MATCH($A70, Demand_current!$B$4:$B$138, 0), MATCH(DA$4&amp;DA$5,Demand_current!$D$2:$AY$2&amp;Demand_current!$D$3:$AY$3, 0))/1000</f>
        <v>0</v>
      </c>
      <c r="DB70" s="194">
        <f t="array" ref="DB70">INDEX(Demand_current!$D$4:$AY$138, MATCH($A70, Demand_current!$B$4:$B$138, 0), MATCH(DB$4&amp;DB$5,Demand_current!$D$2:$AY$2&amp;Demand_current!$D$3:$AY$3, 0))/1000</f>
        <v>0</v>
      </c>
      <c r="DC70" s="194">
        <f t="array" ref="DC70">INDEX(Demand_current!$D$4:$AY$138, MATCH($A70, Demand_current!$B$4:$B$138, 0), MATCH(DC$4&amp;DC$5,Demand_current!$D$2:$AY$2&amp;Demand_current!$D$3:$AY$3, 0))/1000</f>
        <v>0</v>
      </c>
      <c r="DD70" s="194">
        <f t="array" ref="DD70">INDEX(Demand_current!$D$4:$AY$138, MATCH($A70, Demand_current!$B$4:$B$138, 0), MATCH(DD$4&amp;DD$5,Demand_current!$D$2:$AY$2&amp;Demand_current!$D$3:$AY$3, 0))/1000</f>
        <v>0</v>
      </c>
      <c r="DE70" s="194">
        <f t="array" ref="DE70">INDEX(Demand_current!$D$4:$AY$138, MATCH($A70, Demand_current!$B$4:$B$138, 0), MATCH(DE$4&amp;DE$5,Demand_current!$D$2:$AY$2&amp;Demand_current!$D$3:$AY$3, 0))/1000</f>
        <v>0</v>
      </c>
      <c r="DF70" s="194">
        <f t="array" ref="DF70">INDEX(Demand_current!$D$4:$AY$138, MATCH($A70, Demand_current!$B$4:$B$138, 0), MATCH(DF$4&amp;DF$5,Demand_current!$D$2:$AY$2&amp;Demand_current!$D$3:$AY$3, 0))/1000</f>
        <v>0</v>
      </c>
      <c r="DG70" s="194">
        <f t="array" ref="DG70">INDEX(Demand_current!$D$4:$AY$138, MATCH($A70, Demand_current!$B$4:$B$138, 0), MATCH(DG$4&amp;DG$5,Demand_current!$D$2:$AY$2&amp;Demand_current!$D$3:$AY$3, 0))/1000</f>
        <v>0</v>
      </c>
      <c r="DH70" s="194">
        <f t="array" ref="DH70">INDEX(Demand_current!$D$4:$AY$138, MATCH($A70, Demand_current!$B$4:$B$138, 0), MATCH(DH$4&amp;DH$5,Demand_current!$D$2:$AY$2&amp;Demand_current!$D$3:$AY$3, 0))/1000</f>
        <v>0</v>
      </c>
      <c r="DI70" s="192">
        <f>$BS70*(VLOOKUP(DI$4, Rates_current!$G$6:$Q$29, 10, FALSE)+VLOOKUP(DI$4, Rates_current!$G$6:$Q$29, 11, FALSE))</f>
        <v>40522.185673275402</v>
      </c>
      <c r="DJ70" s="192">
        <f>$BS70*(VLOOKUP(DJ$4, Rates_current!$G$6:$Q$29, 10, FALSE)+VLOOKUP(DJ$4, Rates_current!$G$6:$Q$29, 11, FALSE))</f>
        <v>51302.557713687893</v>
      </c>
      <c r="DK70" s="192">
        <f>$BS70*(VLOOKUP(DK$4, Rates_current!$G$6:$Q$29, 10, FALSE)+VLOOKUP(DK$4, Rates_current!$G$6:$Q$29, 11, FALSE))</f>
        <v>50214.954611742476</v>
      </c>
      <c r="DL70" s="192">
        <f>$BS70*(VLOOKUP(DL$4, Rates_current!$G$6:$Q$29, 10, FALSE)+VLOOKUP(DL$4, Rates_current!$G$6:$Q$29, 11, FALSE))</f>
        <v>41475.417126293432</v>
      </c>
      <c r="DM70" s="192">
        <f>$BS70*(VLOOKUP(DM$4, Rates_current!$G$6:$Q$29, 10, FALSE)+VLOOKUP(DM$4, Rates_current!$G$6:$Q$29, 11, FALSE))</f>
        <v>35947.653043735583</v>
      </c>
      <c r="DN70" s="192">
        <f>$BS70*(VLOOKUP(DN$4, Rates_current!$G$6:$Q$29, 10, FALSE)+VLOOKUP(DN$4, Rates_current!$G$6:$Q$29, 11, FALSE))</f>
        <v>42914.238492235811</v>
      </c>
      <c r="DO70" s="192">
        <f>$BS70*(VLOOKUP(DO$4, Rates_current!$G$6:$Q$29, 10, FALSE)+VLOOKUP(DO$4, Rates_current!$G$6:$Q$29, 11, FALSE))</f>
        <v>33317.193063882703</v>
      </c>
      <c r="DP70" s="192">
        <f>$BS70*(VLOOKUP(DP$4, Rates_current!$G$6:$Q$29, 10, FALSE)+VLOOKUP(DP$4, Rates_current!$G$6:$Q$29, 11, FALSE))</f>
        <v>46161.216170704312</v>
      </c>
      <c r="DQ70" s="192">
        <f>$BS70*(VLOOKUP(DQ$4, Rates_current!$G$6:$Q$29, 10, FALSE)+VLOOKUP(DQ$4, Rates_current!$G$6:$Q$29, 11, FALSE))</f>
        <v>49324.226055086227</v>
      </c>
      <c r="DR70" s="192">
        <f>$BS70*(VLOOKUP(DR$4, Rates_current!$G$6:$Q$29, 10, FALSE)+VLOOKUP(DR$4, Rates_current!$G$6:$Q$29, 11, FALSE))</f>
        <v>46831.119159492438</v>
      </c>
      <c r="DS70" s="192">
        <f>$BS70*(VLOOKUP(DS$4, Rates_current!$G$6:$Q$29, 10, FALSE)+VLOOKUP(DS$4, Rates_current!$G$6:$Q$29, 11, FALSE))</f>
        <v>45258.663834781641</v>
      </c>
      <c r="DT70" s="192">
        <f>$BS70*(VLOOKUP(DT$4, Rates_current!$G$6:$Q$29, 10, FALSE)+VLOOKUP(DT$4, Rates_current!$G$6:$Q$29, 11, FALSE))</f>
        <v>41823.723412067513</v>
      </c>
      <c r="DU70" s="418">
        <f>IF(D70=0,IF(C70=0,MAX(0,DW70 - (VLOOKUP($A70,TOCA_current!$A$2:$AI$137,MATCH("RHWM 2022",TOCA_current!$A$2:$AI$2,0),FALSE)*$BS$2)), 0),0)</f>
        <v>0</v>
      </c>
      <c r="DV70" s="419">
        <f>MIN(VLOOKUP($A70,TOCA_current!$A$2:$AI$137,MATCH("TRL - NLSL - Existing Resource "&amp;$BS$1,TOCA_current!$A$2:$AI$2,0),FALSE)*$BS$2, VLOOKUP($A70,TOCA_current!$A$2:$AI$137,MATCH("RHWM 2022",TOCA_current!$A$2:$AI$2,0),FALSE)*$BS$2)</f>
        <v>1096471.6800000002</v>
      </c>
      <c r="DW70" s="419">
        <f>SUM(BY70:CV70)+(BS70*RT1SC!$C$4*$BS$2)</f>
        <v>525090.72087512841</v>
      </c>
      <c r="DX70" s="419">
        <f>VLOOKUP($A70,TOCA_current!$A$2:$AI$137,MATCH("Above RHWM Not Served with LS "&amp;$BS$1,TOCA_current!$A$2:$AI$2,0),FALSE)*$BS$2</f>
        <v>35066.28</v>
      </c>
      <c r="DY70" s="419">
        <f t="shared" si="13"/>
        <v>-571380.95912487176</v>
      </c>
      <c r="DZ70" s="419">
        <f>(VLOOKUP($A70,TOCA_current!$A$2:$AI$137,MATCH("RHWM 2022",TOCA_current!$A$2:$AI$2,0),FALSE)*$BS$2) - $DV70</f>
        <v>0</v>
      </c>
      <c r="EA70" s="419">
        <f t="shared" si="14"/>
        <v>0</v>
      </c>
      <c r="EB70" s="419">
        <f t="shared" si="15"/>
        <v>536314.67912487173</v>
      </c>
      <c r="EC70" s="419">
        <f t="shared" si="16"/>
        <v>0</v>
      </c>
      <c r="ED70" s="419">
        <f t="shared" si="17"/>
        <v>0</v>
      </c>
    </row>
    <row r="71" spans="1:134">
      <c r="A71" s="135">
        <v>10197</v>
      </c>
      <c r="B71" s="136" t="s">
        <v>72</v>
      </c>
      <c r="C71" s="244">
        <f>VLOOKUP(A71, TOCA_current!$A$3:$D$137, 4, FALSE)</f>
        <v>0</v>
      </c>
      <c r="D71" s="203">
        <v>0</v>
      </c>
      <c r="E71" s="119">
        <f>VLOOKUP($A71,TOCA_previous!$A$2:$AI$137,MATCH(E$4,TOCA_previous!$A$2:$AI$2,0),FALSE)</f>
        <v>3.2219000000000002E-3</v>
      </c>
      <c r="F71" s="120">
        <f>VLOOKUP($A71,TOCA_previous!$A$2:$AI$137,MATCH(F$4,TOCA_previous!$A$2:$AI$2,0),FALSE)</f>
        <v>3.2219000000000002E-3</v>
      </c>
      <c r="G71" s="120">
        <f t="shared" ref="G71:G134" si="24">E71-F71</f>
        <v>0</v>
      </c>
      <c r="H71" s="120">
        <f>VLOOKUP($A71,TOCA_previous!$A$2:$AI$137,MATCH(H$4,TOCA_previous!$A$2:$AI$2,0),FALSE)</f>
        <v>7.7784994697773072E-2</v>
      </c>
      <c r="I71" s="120">
        <f t="shared" ref="I71:I134" si="25">IF(C71=0,0,H71)</f>
        <v>0</v>
      </c>
      <c r="J71" s="120">
        <f t="shared" ref="J71:J134" si="26">IF(C71=0,0,E71)</f>
        <v>0</v>
      </c>
      <c r="K71" s="191">
        <f>VLOOKUP(A71, IRD!$A$5:$C$139, 3, FALSE)</f>
        <v>99899.204999999987</v>
      </c>
      <c r="L71" s="192">
        <f t="array" ref="L71">IF($G71=0, INDEX(LS_previous!$D$4:$AY$138, MATCH('Staging Table'!$A71, LS_previous!$B$4:$B$138, 0), MATCH(L$4&amp;L$5, LS_previous!$D$2:$AY$2&amp;LS_previous!$D$3:$AY$3, 0)),SUM(VLOOKUP($A71, LS_previous!$B$4:$AY$138, LS_previous!D$149, FALSE), VLOOKUP('Staging Table'!$A71, LS_previous!$B$4:$AY$138,LS_previous!AB$149, FALSE))/2)</f>
        <v>-5842.5667735972002</v>
      </c>
      <c r="M71" s="192">
        <f t="array" ref="M71">IF($G71=0, INDEX(LS_previous!$D$4:$AY$138, MATCH('Staging Table'!$A71, LS_previous!$B$4:$B$138, 0), MATCH(M$4&amp;M$5, LS_previous!$D$2:$AY$2&amp;LS_previous!$D$3:$AY$3, 0)),SUM(VLOOKUP($A71, LS_previous!$B$4:$AY$138, LS_previous!E$149, FALSE), VLOOKUP('Staging Table'!$A71, LS_previous!$B$4:$AY$138,LS_previous!AC$149, FALSE))/2)</f>
        <v>-2260.0525001952005</v>
      </c>
      <c r="N71" s="192">
        <f t="array" ref="N71">IF($G71=0, INDEX(LS_previous!$D$4:$AY$138, MATCH('Staging Table'!$A71, LS_previous!$B$4:$B$138, 0), MATCH(N$4&amp;N$5, LS_previous!$D$2:$AY$2&amp;LS_previous!$D$3:$AY$3, 0)),SUM(VLOOKUP($A71, LS_previous!$B$4:$AY$138, LS_previous!F$149, FALSE), VLOOKUP('Staging Table'!$A71, LS_previous!$B$4:$AY$138,LS_previous!AD$149, FALSE))/2)</f>
        <v>-9463.0044384632001</v>
      </c>
      <c r="O71" s="192">
        <f t="array" ref="O71">IF($G71=0, INDEX(LS_previous!$D$4:$AY$138, MATCH('Staging Table'!$A71, LS_previous!$B$4:$B$138, 0), MATCH(O$4&amp;O$5, LS_previous!$D$2:$AY$2&amp;LS_previous!$D$3:$AY$3, 0)),SUM(VLOOKUP($A71, LS_previous!$B$4:$AY$138, LS_previous!G$149, FALSE), VLOOKUP('Staging Table'!$A71, LS_previous!$B$4:$AY$138,LS_previous!AE$149, FALSE))/2)</f>
        <v>-5131.2329142709004</v>
      </c>
      <c r="P71" s="192">
        <f t="array" ref="P71">IF($G71=0, INDEX(LS_previous!$D$4:$AY$138, MATCH('Staging Table'!$A71, LS_previous!$B$4:$B$138, 0), MATCH(P$4&amp;P$5, LS_previous!$D$2:$AY$2&amp;LS_previous!$D$3:$AY$3, 0)),SUM(VLOOKUP($A71, LS_previous!$B$4:$AY$138, LS_previous!H$149, FALSE), VLOOKUP('Staging Table'!$A71, LS_previous!$B$4:$AY$138,LS_previous!AF$149, FALSE))/2)</f>
        <v>-8237.8635515168025</v>
      </c>
      <c r="Q71" s="192">
        <f t="array" ref="Q71">IF($G71=0, INDEX(LS_previous!$D$4:$AY$138, MATCH('Staging Table'!$A71, LS_previous!$B$4:$B$138, 0), MATCH(Q$4&amp;Q$5, LS_previous!$D$2:$AY$2&amp;LS_previous!$D$3:$AY$3, 0)),SUM(VLOOKUP($A71, LS_previous!$B$4:$AY$138, LS_previous!I$149, FALSE), VLOOKUP('Staging Table'!$A71, LS_previous!$B$4:$AY$138,LS_previous!AG$149, FALSE))/2)</f>
        <v>-4551.6048199756005</v>
      </c>
      <c r="R71" s="192">
        <f t="array" ref="R71">IF($G71=0, INDEX(LS_previous!$D$4:$AY$138, MATCH('Staging Table'!$A71, LS_previous!$B$4:$B$138, 0), MATCH(R$4&amp;R$5, LS_previous!$D$2:$AY$2&amp;LS_previous!$D$3:$AY$3, 0)),SUM(VLOOKUP($A71, LS_previous!$B$4:$AY$138, LS_previous!J$149, FALSE), VLOOKUP('Staging Table'!$A71, LS_previous!$B$4:$AY$138,LS_previous!AH$149, FALSE))/2)</f>
        <v>-6822.7003671168013</v>
      </c>
      <c r="S71" s="192">
        <f t="array" ref="S71">IF($G71=0, INDEX(LS_previous!$D$4:$AY$138, MATCH('Staging Table'!$A71, LS_previous!$B$4:$B$138, 0), MATCH(S$4&amp;S$5, LS_previous!$D$2:$AY$2&amp;LS_previous!$D$3:$AY$3, 0)),SUM(VLOOKUP($A71, LS_previous!$B$4:$AY$138, LS_previous!K$149, FALSE), VLOOKUP('Staging Table'!$A71, LS_previous!$B$4:$AY$138,LS_previous!AI$149, FALSE))/2)</f>
        <v>-3087.0959931756006</v>
      </c>
      <c r="T71" s="192">
        <f t="array" ref="T71">IF($G71=0, INDEX(LS_previous!$D$4:$AY$138, MATCH('Staging Table'!$A71, LS_previous!$B$4:$B$138, 0), MATCH(T$4&amp;T$5, LS_previous!$D$2:$AY$2&amp;LS_previous!$D$3:$AY$3, 0)),SUM(VLOOKUP($A71, LS_previous!$B$4:$AY$138, LS_previous!L$149, FALSE), VLOOKUP('Staging Table'!$A71, LS_previous!$B$4:$AY$138,LS_previous!AJ$149, FALSE))/2)</f>
        <v>-6465.3098738155995</v>
      </c>
      <c r="U71" s="192">
        <f t="array" ref="U71">IF($G71=0, INDEX(LS_previous!$D$4:$AY$138, MATCH('Staging Table'!$A71, LS_previous!$B$4:$B$138, 0), MATCH(U$4&amp;U$5, LS_previous!$D$2:$AY$2&amp;LS_previous!$D$3:$AY$3, 0)),SUM(VLOOKUP($A71, LS_previous!$B$4:$AY$138, LS_previous!M$149, FALSE), VLOOKUP('Staging Table'!$A71, LS_previous!$B$4:$AY$138,LS_previous!AK$149, FALSE))/2)</f>
        <v>-3295.5108941044</v>
      </c>
      <c r="V71" s="192">
        <f t="array" ref="V71">IF($G71=0, INDEX(LS_previous!$D$4:$AY$138, MATCH('Staging Table'!$A71, LS_previous!$B$4:$B$138, 0), MATCH(V$4&amp;V$5, LS_previous!$D$2:$AY$2&amp;LS_previous!$D$3:$AY$3, 0)),SUM(VLOOKUP($A71, LS_previous!$B$4:$AY$138, LS_previous!N$149, FALSE), VLOOKUP('Staging Table'!$A71, LS_previous!$B$4:$AY$138,LS_previous!AL$149, FALSE))/2)</f>
        <v>-7531.2468157703988</v>
      </c>
      <c r="W71" s="192">
        <f t="array" ref="W71">IF($G71=0, INDEX(LS_previous!$D$4:$AY$138, MATCH('Staging Table'!$A71, LS_previous!$B$4:$B$138, 0), MATCH(W$4&amp;W$5, LS_previous!$D$2:$AY$2&amp;LS_previous!$D$3:$AY$3, 0)),SUM(VLOOKUP($A71, LS_previous!$B$4:$AY$138, LS_previous!O$149, FALSE), VLOOKUP('Staging Table'!$A71, LS_previous!$B$4:$AY$138,LS_previous!AM$149, FALSE))/2)</f>
        <v>-3959.5461456499006</v>
      </c>
      <c r="X71" s="192">
        <f t="array" ref="X71">IF($G71=0, INDEX(LS_previous!$D$4:$AY$138, MATCH('Staging Table'!$A71, LS_previous!$B$4:$B$138, 0), MATCH(X$4&amp;X$5, LS_previous!$D$2:$AY$2&amp;LS_previous!$D$3:$AY$3, 0)),SUM(VLOOKUP($A71, LS_previous!$B$4:$AY$138, LS_previous!P$149, FALSE), VLOOKUP('Staging Table'!$A71, LS_previous!$B$4:$AY$138,LS_previous!AN$149, FALSE))/2)</f>
        <v>-1797.7496866935999</v>
      </c>
      <c r="Y71" s="192">
        <f t="array" ref="Y71">IF($G71=0, INDEX(LS_previous!$D$4:$AY$138, MATCH('Staging Table'!$A71, LS_previous!$B$4:$B$138, 0), MATCH(Y$4&amp;Y$5, LS_previous!$D$2:$AY$2&amp;LS_previous!$D$3:$AY$3, 0)),SUM(VLOOKUP($A71, LS_previous!$B$4:$AY$138, LS_previous!Q$149, FALSE), VLOOKUP('Staging Table'!$A71, LS_previous!$B$4:$AY$138,LS_previous!AO$149, FALSE))/2)</f>
        <v>-569.28829801839947</v>
      </c>
      <c r="Z71" s="192">
        <f t="array" ref="Z71">IF($G71=0, INDEX(LS_previous!$D$4:$AY$138, MATCH('Staging Table'!$A71, LS_previous!$B$4:$B$138, 0), MATCH(Z$4&amp;Z$5, LS_previous!$D$2:$AY$2&amp;LS_previous!$D$3:$AY$3, 0)),SUM(VLOOKUP($A71, LS_previous!$B$4:$AY$138, LS_previous!R$149, FALSE), VLOOKUP('Staging Table'!$A71, LS_previous!$B$4:$AY$138,LS_previous!AP$149, FALSE))/2)</f>
        <v>5861.9521725099985</v>
      </c>
      <c r="AA71" s="192">
        <f t="array" ref="AA71">IF($G71=0, INDEX(LS_previous!$D$4:$AY$138, MATCH('Staging Table'!$A71, LS_previous!$B$4:$B$138, 0), MATCH(AA$4&amp;AA$5, LS_previous!$D$2:$AY$2&amp;LS_previous!$D$3:$AY$3, 0)),SUM(VLOOKUP($A71, LS_previous!$B$4:$AY$138, LS_previous!S$149, FALSE), VLOOKUP('Staging Table'!$A71, LS_previous!$B$4:$AY$138,LS_previous!AQ$149, FALSE))/2)</f>
        <v>7949.0238907475996</v>
      </c>
      <c r="AB71" s="192">
        <f t="array" ref="AB71">IF($G71=0, INDEX(LS_previous!$D$4:$AY$138, MATCH('Staging Table'!$A71, LS_previous!$B$4:$B$138, 0), MATCH(AB$4&amp;AB$5, LS_previous!$D$2:$AY$2&amp;LS_previous!$D$3:$AY$3, 0)),SUM(VLOOKUP($A71, LS_previous!$B$4:$AY$138, LS_previous!T$149, FALSE), VLOOKUP('Staging Table'!$A71, LS_previous!$B$4:$AY$138,LS_previous!AR$149, FALSE))/2)</f>
        <v>3353.3187986564008</v>
      </c>
      <c r="AC71" s="192">
        <f t="array" ref="AC71">IF($G71=0, INDEX(LS_previous!$D$4:$AY$138, MATCH('Staging Table'!$A71, LS_previous!$B$4:$B$138, 0), MATCH(AC$4&amp;AC$5, LS_previous!$D$2:$AY$2&amp;LS_previous!$D$3:$AY$3, 0)),SUM(VLOOKUP($A71, LS_previous!$B$4:$AY$138, LS_previous!U$149, FALSE), VLOOKUP('Staging Table'!$A71, LS_previous!$B$4:$AY$138,LS_previous!AS$149, FALSE))/2)</f>
        <v>4516.4476385815997</v>
      </c>
      <c r="AD71" s="192">
        <f t="array" ref="AD71">IF($G71=0, INDEX(LS_previous!$D$4:$AY$138, MATCH('Staging Table'!$A71, LS_previous!$B$4:$B$138, 0), MATCH(AD$4&amp;AD$5, LS_previous!$D$2:$AY$2&amp;LS_previous!$D$3:$AY$3, 0)),SUM(VLOOKUP($A71, LS_previous!$B$4:$AY$138, LS_previous!V$149, FALSE), VLOOKUP('Staging Table'!$A71, LS_previous!$B$4:$AY$138,LS_previous!AT$149, FALSE))/2)</f>
        <v>11396.510759156401</v>
      </c>
      <c r="AE71" s="192">
        <f t="array" ref="AE71">IF($G71=0, INDEX(LS_previous!$D$4:$AY$138, MATCH('Staging Table'!$A71, LS_previous!$B$4:$B$138, 0), MATCH(AE$4&amp;AE$5, LS_previous!$D$2:$AY$2&amp;LS_previous!$D$3:$AY$3, 0)),SUM(VLOOKUP($A71, LS_previous!$B$4:$AY$138, LS_previous!W$149, FALSE), VLOOKUP('Staging Table'!$A71, LS_previous!$B$4:$AY$138,LS_previous!AU$149, FALSE))/2)</f>
        <v>14332.566665451197</v>
      </c>
      <c r="AF71" s="192">
        <f t="array" ref="AF71">IF($G71=0, INDEX(LS_previous!$D$4:$AY$138, MATCH('Staging Table'!$A71, LS_previous!$B$4:$B$138, 0), MATCH(AF$4&amp;AF$5, LS_previous!$D$2:$AY$2&amp;LS_previous!$D$3:$AY$3, 0)),SUM(VLOOKUP($A71, LS_previous!$B$4:$AY$138, LS_previous!X$149, FALSE), VLOOKUP('Staging Table'!$A71, LS_previous!$B$4:$AY$138,LS_previous!AV$149, FALSE))/2)</f>
        <v>12833.611215106399</v>
      </c>
      <c r="AG71" s="192">
        <f t="array" ref="AG71">IF($G71=0, INDEX(LS_previous!$D$4:$AY$138, MATCH('Staging Table'!$A71, LS_previous!$B$4:$B$138, 0), MATCH(AG$4&amp;AG$5, LS_previous!$D$2:$AY$2&amp;LS_previous!$D$3:$AY$3, 0)),SUM(VLOOKUP($A71, LS_previous!$B$4:$AY$138, LS_previous!Y$149, FALSE), VLOOKUP('Staging Table'!$A71, LS_previous!$B$4:$AY$138,LS_previous!AW$149, FALSE))/2)</f>
        <v>11651.707353451198</v>
      </c>
      <c r="AH71" s="192">
        <f t="array" ref="AH71">IF($G71=0, INDEX(LS_previous!$D$4:$AY$138, MATCH('Staging Table'!$A71, LS_previous!$B$4:$B$138, 0), MATCH(AH$4&amp;AH$5, LS_previous!$D$2:$AY$2&amp;LS_previous!$D$3:$AY$3, 0)),SUM(VLOOKUP($A71, LS_previous!$B$4:$AY$138, LS_previous!Z$149, FALSE), VLOOKUP('Staging Table'!$A71, LS_previous!$B$4:$AY$138,LS_previous!AX$149, FALSE))/2)</f>
        <v>3633.1359353600001</v>
      </c>
      <c r="AI71" s="192">
        <f t="array" ref="AI71">IF($G71=0, INDEX(LS_previous!$D$4:$AY$138, MATCH('Staging Table'!$A71, LS_previous!$B$4:$B$138, 0), MATCH(AI$4&amp;AI$5, LS_previous!$D$2:$AY$2&amp;LS_previous!$D$3:$AY$3, 0)),SUM(VLOOKUP($A71, LS_previous!$B$4:$AY$138, LS_previous!AA$149, FALSE), VLOOKUP('Staging Table'!$A71, LS_previous!$B$4:$AY$138,LS_previous!AY$149, FALSE))/2)</f>
        <v>5408.2806360279992</v>
      </c>
      <c r="AJ71" s="314">
        <f t="array" ref="AJ71">INDEX(Demand_previous!$D$4:$AY$138, MATCH('Staging Table'!$A71, Demand_previous!$B$4:$B$138, 0), MATCH(AJ$4&amp;AJ$5,Demand_previous!$D$2:$AY$2&amp;Demand_previous!$D$3:$AY$3, 0))/1000</f>
        <v>3.7885439814814794</v>
      </c>
      <c r="AK71" s="314">
        <f t="array" ref="AK71">INDEX(Demand_previous!$D$4:$AY$138, MATCH('Staging Table'!$A71, Demand_previous!$B$4:$B$138, 0), MATCH(AK$4&amp;AK$5,Demand_previous!$D$2:$AY$2&amp;Demand_previous!$D$3:$AY$3, 0))/1000</f>
        <v>0.57923499999999928</v>
      </c>
      <c r="AL71" s="314">
        <f t="array" ref="AL71">INDEX(Demand_previous!$D$4:$AY$138, MATCH('Staging Table'!$A71, Demand_previous!$B$4:$B$138, 0), MATCH(AL$4&amp;AL$5,Demand_previous!$D$2:$AY$2&amp;Demand_previous!$D$3:$AY$3, 0))/1000</f>
        <v>1.4439900000000003</v>
      </c>
      <c r="AM71" s="314">
        <f t="array" ref="AM71">INDEX(Demand_previous!$D$4:$AY$138, MATCH('Staging Table'!$A71, Demand_previous!$B$4:$B$138, 0), MATCH(AM$4&amp;AM$5,Demand_previous!$D$2:$AY$2&amp;Demand_previous!$D$3:$AY$3, 0))/1000</f>
        <v>2.2662956730769221</v>
      </c>
      <c r="AN71" s="314">
        <f t="array" ref="AN71">INDEX(Demand_previous!$D$4:$AY$138, MATCH('Staging Table'!$A71, Demand_previous!$B$4:$B$138, 0), MATCH(AN$4&amp;AN$5,Demand_previous!$D$2:$AY$2&amp;Demand_previous!$D$3:$AY$3, 0))/1000</f>
        <v>0.71835499999999941</v>
      </c>
      <c r="AO71" s="314">
        <f t="array" ref="AO71">INDEX(Demand_previous!$D$4:$AY$138, MATCH('Staging Table'!$A71, Demand_previous!$B$4:$B$138, 0), MATCH(AO$4&amp;AO$5,Demand_previous!$D$2:$AY$2&amp;Demand_previous!$D$3:$AY$3, 0))/1000</f>
        <v>1.2724783653846137</v>
      </c>
      <c r="AP71" s="314">
        <f t="array" ref="AP71">INDEX(Demand_previous!$D$4:$AY$138, MATCH('Staging Table'!$A71, Demand_previous!$B$4:$B$138, 0), MATCH(AP$4&amp;AP$5,Demand_previous!$D$2:$AY$2&amp;Demand_previous!$D$3:$AY$3, 0))/1000</f>
        <v>5.3258197115384629</v>
      </c>
      <c r="AQ71" s="314">
        <f t="array" ref="AQ71">INDEX(Demand_previous!$D$4:$AY$138, MATCH('Staging Table'!$A71, Demand_previous!$B$4:$B$138, 0), MATCH(AQ$4&amp;AQ$5,Demand_previous!$D$2:$AY$2&amp;Demand_previous!$D$3:$AY$3, 0))/1000</f>
        <v>3.1995450000000041</v>
      </c>
      <c r="AR71" s="314">
        <f t="array" ref="AR71">INDEX(Demand_previous!$D$4:$AY$138, MATCH('Staging Table'!$A71, Demand_previous!$B$4:$B$138, 0), MATCH(AR$4&amp;AR$5,Demand_previous!$D$2:$AY$2&amp;Demand_previous!$D$3:$AY$3, 0))/1000</f>
        <v>9.7740144230769186</v>
      </c>
      <c r="AS71" s="314">
        <f t="array" ref="AS71">INDEX(Demand_previous!$D$4:$AY$138, MATCH('Staging Table'!$A71, Demand_previous!$B$4:$B$138, 0), MATCH(AS$4&amp;AS$5,Demand_previous!$D$2:$AY$2&amp;Demand_previous!$D$3:$AY$3, 0))/1000</f>
        <v>12.186692307692303</v>
      </c>
      <c r="AT71" s="314">
        <f t="array" ref="AT71">INDEX(Demand_previous!$D$4:$AY$138, MATCH('Staging Table'!$A71, Demand_previous!$B$4:$B$138, 0), MATCH(AT$4&amp;AT$5,Demand_previous!$D$2:$AY$2&amp;Demand_previous!$D$3:$AY$3, 0))/1000</f>
        <v>6.9278221153846218</v>
      </c>
      <c r="AU71" s="314">
        <f t="array" ref="AU71">INDEX(Demand_previous!$D$4:$AY$138, MATCH('Staging Table'!$A71, Demand_previous!$B$4:$B$138, 0), MATCH(AU$4&amp;AU$5,Demand_previous!$D$2:$AY$2&amp;Demand_previous!$D$3:$AY$3, 0))/1000</f>
        <v>2.5521874999999987</v>
      </c>
      <c r="AV71" s="192">
        <f>$F71*(VLOOKUP(AV$4, Rates_previous!$G$6:$Q$29, 10, FALSE)+VLOOKUP(AV$4, Rates_previous!$G$6:$Q$29, 11, FALSE))</f>
        <v>14876.5342737924</v>
      </c>
      <c r="AW71" s="192">
        <f>$F71*(VLOOKUP(AW$4, Rates_previous!$G$6:$Q$29, 10, FALSE)+VLOOKUP(AW$4, Rates_previous!$G$6:$Q$29, 11, FALSE))</f>
        <v>18897.839352734103</v>
      </c>
      <c r="AX71" s="192">
        <f>$F71*(VLOOKUP(AX$4, Rates_previous!$G$6:$Q$29, 10, FALSE)+VLOOKUP(AX$4, Rates_previous!$G$6:$Q$29, 11, FALSE))</f>
        <v>18669.622371492402</v>
      </c>
      <c r="AY71" s="192">
        <f>$F71*(VLOOKUP(AY$4, Rates_previous!$G$6:$Q$29, 10, FALSE)+VLOOKUP(AY$4, Rates_previous!$G$6:$Q$29, 11, FALSE))</f>
        <v>15562.267360292402</v>
      </c>
      <c r="AZ71" s="192">
        <f>$F71*(VLOOKUP(AZ$4, Rates_previous!$G$6:$Q$29, 10, FALSE)+VLOOKUP(AZ$4, Rates_previous!$G$6:$Q$29, 11, FALSE))</f>
        <v>14097.79976792</v>
      </c>
      <c r="BA71" s="192">
        <f>$F71*(VLOOKUP(BA$4, Rates_previous!$G$6:$Q$29, 10, FALSE)+VLOOKUP(BA$4, Rates_previous!$G$6:$Q$29, 11, FALSE))</f>
        <v>15681.231961420301</v>
      </c>
      <c r="BB71" s="192">
        <f>$F71*(VLOOKUP(BB$4, Rates_previous!$G$6:$Q$29, 10, FALSE)+VLOOKUP(BB$4, Rates_previous!$G$6:$Q$29, 11, FALSE))</f>
        <v>12767.675984712001</v>
      </c>
      <c r="BC71" s="192">
        <f>$F71*(VLOOKUP(BC$4, Rates_previous!$G$6:$Q$29, 10, FALSE)+VLOOKUP(BC$4, Rates_previous!$G$6:$Q$29, 11, FALSE))</f>
        <v>17219.114936742404</v>
      </c>
      <c r="BD71" s="192">
        <f>$F71*(VLOOKUP(BD$4, Rates_previous!$G$6:$Q$29, 10, FALSE)+VLOOKUP(BD$4, Rates_previous!$G$6:$Q$29, 11, FALSE))</f>
        <v>21970.419562762003</v>
      </c>
      <c r="BE71" s="192">
        <f>$F71*(VLOOKUP(BE$4, Rates_previous!$G$6:$Q$29, 10, FALSE)+VLOOKUP(BE$4, Rates_previous!$G$6:$Q$29, 11, FALSE))</f>
        <v>17225.505575392403</v>
      </c>
      <c r="BF71" s="192">
        <f>$F71*(VLOOKUP(BF$4, Rates_previous!$G$6:$Q$29, 10, FALSE)+VLOOKUP(BF$4, Rates_previous!$G$6:$Q$29, 11, FALSE))</f>
        <v>16774.212431442404</v>
      </c>
      <c r="BG71" s="192">
        <f>$F71*(VLOOKUP(BG$4, Rates_previous!$G$6:$Q$29, 10, FALSE)+VLOOKUP(BG$4, Rates_previous!$G$6:$Q$29, 11, FALSE))</f>
        <v>15059.674428612003</v>
      </c>
      <c r="BH71" s="314">
        <f>IF($D71=0,IF(C71=0, MAX(BJ71 - (VLOOKUP($A71,TOCA_previous!$A$2:$AI$137,MATCH("RHWM 2020",TOCA_previous!$A$2:$AI$2,0),FALSE)*$F$2*TOCA_previous!C68),0),0), 0)</f>
        <v>11924.199461920391</v>
      </c>
      <c r="BI71" s="204">
        <f>MIN(VLOOKUP($A71,TOCA_previous!$A$2:$AI$137,MATCH("TRL - NLSL - Existing Resource "&amp;$F$1,TOCA_previous!$A$2:$AI$2,0),FALSE)*$F$2,(VLOOKUP($A71,TOCA_previous!$A$2:$AI$137,MATCH("RHWM 2020",TOCA_previous!$A$2:$AI$2,0),FALSE)*$F$2))</f>
        <v>198799.48800000001</v>
      </c>
      <c r="BJ71" s="418">
        <f>SUM(L71:AI71)+(F71*RT1SC!$C$3*$F$2)</f>
        <v>210723.6874619204</v>
      </c>
      <c r="BK71" s="417">
        <f>VLOOKUP($A71,TOCA_previous!$A$2:$AI$137,MATCH("Above RHWM Not Served with LS "&amp;$F$1,TOCA_previous!$A$2:$AI$2,0),FALSE)*$F$2</f>
        <v>22109.327999999998</v>
      </c>
      <c r="BL71" s="418">
        <f t="shared" ref="BL71:BL134" si="27">BJ71-BI71</f>
        <v>11924.199461920391</v>
      </c>
      <c r="BM71" s="417">
        <f>(VLOOKUP($A71,TOCA_previous!$A$2:$AI$137,MATCH("RHWM 2020",TOCA_previous!$A$2:$AI$2,0),FALSE)*$F$2) - $BI71</f>
        <v>0</v>
      </c>
      <c r="BN71" s="418">
        <f t="shared" ref="BN71:BN134" si="28">IF(BL71&gt;0,IF(BM71&gt;0,(-1)*MIN(BL71,BM71),0),0)</f>
        <v>0</v>
      </c>
      <c r="BO71" s="417">
        <f t="shared" ref="BO71:BO134" si="29">IF(BL71&lt;0,IF(BK71&lt;ABS(BL71),MAX(0,ABS($BL71)-(BK71)),0),0)</f>
        <v>0</v>
      </c>
      <c r="BP71" s="418">
        <f t="shared" ref="BP71:BP134" si="30">IF(AND(BK71&gt;0,BM71&gt;0),IF(AND(BL71&lt;=0,ABS(BL71)&lt;BK71),(-1)*MIN(BK71,BK71-ABS(BL71),BM71),IF(AND(BL71&gt;0,BL71&lt;BM71),(-1)*MIN(BK71,BM71-BL71),0)),0)</f>
        <v>0</v>
      </c>
      <c r="BQ71" s="417">
        <f t="shared" si="21"/>
        <v>0</v>
      </c>
      <c r="BR71" s="120">
        <f>VLOOKUP($A71,TOCA_current!$A$2:$AI$137,MATCH(BR$4,TOCA_current!$A$2:$AI$2,0),FALSE)</f>
        <v>3.2219000000000002E-3</v>
      </c>
      <c r="BS71" s="120">
        <f>VLOOKUP($A71,TOCA_current!$A$2:$AI$137,MATCH(BS$4,TOCA_current!$A$2:$AI$2,0),FALSE)</f>
        <v>3.2219000000000002E-3</v>
      </c>
      <c r="BT71" s="201">
        <f t="shared" ref="BT71:BT134" si="31">BR71-BS71</f>
        <v>0</v>
      </c>
      <c r="BU71" s="120">
        <f>VLOOKUP($A71,TOCA_current!A67:BG202,MATCH(BU$4,TOCA_current!$A$2:$BG$2,0),FALSE)</f>
        <v>8.6022852930335417E-2</v>
      </c>
      <c r="BV71" s="120">
        <f t="shared" si="22"/>
        <v>0</v>
      </c>
      <c r="BW71" s="120">
        <f t="shared" si="23"/>
        <v>0</v>
      </c>
      <c r="BX71" s="191">
        <f>VLOOKUP($A71,IRD!$A$4:$G$139, 7, FALSE)</f>
        <v>99899.204999999987</v>
      </c>
      <c r="BY71" s="192">
        <f t="array" ref="BY71">IF($BT71=0, INDEX(LS_current!$D$4:$AY$138, MATCH('Staging Table'!$A71, LS_current!$B$4:$B$138, 0), MATCH(BY$4&amp;BY$5, LS_current!$D$2:$AY$2&amp;LS_current!$D$3:$AY$3, 0)),SUM(VLOOKUP($A71, LS_current!$B$4:$AY$138, LS_current!D$148, FALSE), VLOOKUP($A71, LS_current!$B$4:$AY$138,LS_current!AB$148, FALSE))/2)</f>
        <v>-6537.4971533069265</v>
      </c>
      <c r="BZ71" s="192">
        <f t="array" ref="BZ71">IF($BT71=0, INDEX(LS_current!$D$4:$AY$138, MATCH('Staging Table'!$A71, LS_current!$B$4:$B$138, 0), MATCH(BZ$4&amp;BZ$5, LS_current!$D$2:$AY$2&amp;LS_current!$D$3:$AY$3, 0)),SUM(VLOOKUP($A71, LS_current!$B$4:$AY$138, LS_current!E$148, FALSE), VLOOKUP($A71, LS_current!$B$4:$AY$138,LS_current!AC$148, FALSE))/2)</f>
        <v>-3184.4209379493827</v>
      </c>
      <c r="CA71" s="192">
        <f t="array" ref="CA71">IF($BT71=0, INDEX(LS_current!$D$4:$AY$138, MATCH('Staging Table'!$A71, LS_current!$B$4:$B$138, 0), MATCH(CA$4&amp;CA$5, LS_current!$D$2:$AY$2&amp;LS_current!$D$3:$AY$3, 0)),SUM(VLOOKUP($A71, LS_current!$B$4:$AY$138, LS_current!F$148, FALSE), VLOOKUP($A71, LS_current!$B$4:$AY$138,LS_current!AD$148, FALSE))/2)</f>
        <v>-9994.199545012767</v>
      </c>
      <c r="CB71" s="192">
        <f t="array" ref="CB71">IF($BT71=0, INDEX(LS_current!$D$4:$AY$138, MATCH('Staging Table'!$A71, LS_current!$B$4:$B$138, 0), MATCH(CB$4&amp;CB$5, LS_current!$D$2:$AY$2&amp;LS_current!$D$3:$AY$3, 0)),SUM(VLOOKUP($A71, LS_current!$B$4:$AY$138, LS_current!G$148, FALSE), VLOOKUP($A71, LS_current!$B$4:$AY$138,LS_current!AE$148, FALSE))/2)</f>
        <v>-6045.0199385325195</v>
      </c>
      <c r="CC71" s="192">
        <f t="array" ref="CC71">IF($BT71=0, INDEX(LS_current!$D$4:$AY$138, MATCH('Staging Table'!$A71, LS_current!$B$4:$B$138, 0), MATCH(CC$4&amp;CC$5, LS_current!$D$2:$AY$2&amp;LS_current!$D$3:$AY$3, 0)),SUM(VLOOKUP($A71, LS_current!$B$4:$AY$138, LS_current!H$148, FALSE), VLOOKUP($A71, LS_current!$B$4:$AY$138,LS_current!AF$148, FALSE))/2)</f>
        <v>-8090.8795670825602</v>
      </c>
      <c r="CD71" s="192">
        <f t="array" ref="CD71">IF($BT71=0, INDEX(LS_current!$D$4:$AY$138, MATCH('Staging Table'!$A71, LS_current!$B$4:$B$138, 0), MATCH(CD$4&amp;CD$5, LS_current!$D$2:$AY$2&amp;LS_current!$D$3:$AY$3, 0)),SUM(VLOOKUP($A71, LS_current!$B$4:$AY$138, LS_current!I$148, FALSE), VLOOKUP($A71, LS_current!$B$4:$AY$138,LS_current!AG$148, FALSE))/2)</f>
        <v>-6034.3611531193983</v>
      </c>
      <c r="CE71" s="192">
        <f t="array" ref="CE71">IF($BT71=0, INDEX(LS_current!$D$4:$AY$138, MATCH('Staging Table'!$A71, LS_current!$B$4:$B$138, 0), MATCH(CE$4&amp;CE$5, LS_current!$D$2:$AY$2&amp;LS_current!$D$3:$AY$3, 0)),SUM(VLOOKUP($A71, LS_current!$B$4:$AY$138, LS_current!J$148, FALSE), VLOOKUP($A71, LS_current!$B$4:$AY$138,LS_current!AH$148, FALSE))/2)</f>
        <v>-6525.6157166299345</v>
      </c>
      <c r="CF71" s="192">
        <f t="array" ref="CF71">IF($BT71=0, INDEX(LS_current!$D$4:$AY$138, MATCH('Staging Table'!$A71, LS_current!$B$4:$B$138, 0), MATCH(CF$4&amp;CF$5, LS_current!$D$2:$AY$2&amp;LS_current!$D$3:$AY$3, 0)),SUM(VLOOKUP($A71, LS_current!$B$4:$AY$138, LS_current!K$148, FALSE), VLOOKUP($A71, LS_current!$B$4:$AY$138,LS_current!AI$148, FALSE))/2)</f>
        <v>-4662.8927979295695</v>
      </c>
      <c r="CG71" s="192">
        <f t="array" ref="CG71">IF($BT71=0, INDEX(LS_current!$D$4:$AY$138, MATCH('Staging Table'!$A71, LS_current!$B$4:$B$138, 0), MATCH(CG$4&amp;CG$5, LS_current!$D$2:$AY$2&amp;LS_current!$D$3:$AY$3, 0)),SUM(VLOOKUP($A71, LS_current!$B$4:$AY$138, LS_current!L$148, FALSE), VLOOKUP($A71, LS_current!$B$4:$AY$138,LS_current!AJ$148, FALSE))/2)</f>
        <v>-6032.654902986018</v>
      </c>
      <c r="CH71" s="192">
        <f t="array" ref="CH71">IF($BT71=0, INDEX(LS_current!$D$4:$AY$138, MATCH('Staging Table'!$A71, LS_current!$B$4:$B$138, 0), MATCH(CH$4&amp;CH$5, LS_current!$D$2:$AY$2&amp;LS_current!$D$3:$AY$3, 0)),SUM(VLOOKUP($A71, LS_current!$B$4:$AY$138, LS_current!M$148, FALSE), VLOOKUP($A71, LS_current!$B$4:$AY$138,LS_current!AK$148, FALSE))/2)</f>
        <v>-4232.9705959420544</v>
      </c>
      <c r="CI71" s="192">
        <f t="array" ref="CI71">IF($BT71=0, INDEX(LS_current!$D$4:$AY$138, MATCH('Staging Table'!$A71, LS_current!$B$4:$B$138, 0), MATCH(CI$4&amp;CI$5, LS_current!$D$2:$AY$2&amp;LS_current!$D$3:$AY$3, 0)),SUM(VLOOKUP($A71, LS_current!$B$4:$AY$138, LS_current!N$148, FALSE), VLOOKUP($A71, LS_current!$B$4:$AY$138,LS_current!AL$148, FALSE))/2)</f>
        <v>-8202.6288838005203</v>
      </c>
      <c r="CJ71" s="192">
        <f t="array" ref="CJ71">IF($BT71=0, INDEX(LS_current!$D$4:$AY$138, MATCH('Staging Table'!$A71, LS_current!$B$4:$B$138, 0), MATCH(CJ$4&amp;CJ$5, LS_current!$D$2:$AY$2&amp;LS_current!$D$3:$AY$3, 0)),SUM(VLOOKUP($A71, LS_current!$B$4:$AY$138, LS_current!O$148, FALSE), VLOOKUP($A71, LS_current!$B$4:$AY$138,LS_current!AM$148, FALSE))/2)</f>
        <v>-4966.4296426971878</v>
      </c>
      <c r="CK71" s="192">
        <f t="array" ref="CK71">IF($BT71=0, INDEX(LS_current!$D$4:$AY$138, MATCH('Staging Table'!$A71, LS_current!$B$4:$B$138, 0), MATCH(CK$4&amp;CK$5, LS_current!$D$2:$AY$2&amp;LS_current!$D$3:$AY$3, 0)),SUM(VLOOKUP($A71, LS_current!$B$4:$AY$138, LS_current!P$148, FALSE), VLOOKUP($A71, LS_current!$B$4:$AY$138,LS_current!AN$148, FALSE))/2)</f>
        <v>-2217.2187925888011</v>
      </c>
      <c r="CL71" s="192">
        <f t="array" ref="CL71">IF($BT71=0, INDEX(LS_current!$D$4:$AY$138, MATCH('Staging Table'!$A71, LS_current!$B$4:$B$138, 0), MATCH(CL$4&amp;CL$5, LS_current!$D$2:$AY$2&amp;LS_current!$D$3:$AY$3, 0)),SUM(VLOOKUP($A71, LS_current!$B$4:$AY$138, LS_current!Q$148, FALSE), VLOOKUP($A71, LS_current!$B$4:$AY$138,LS_current!AO$148, FALSE))/2)</f>
        <v>-1210.3657115438618</v>
      </c>
      <c r="CM71" s="192">
        <f t="array" ref="CM71">IF($BT71=0, INDEX(LS_current!$D$4:$AY$138, MATCH('Staging Table'!$A71, LS_current!$B$4:$B$138, 0), MATCH(CM$4&amp;CM$5, LS_current!$D$2:$AY$2&amp;LS_current!$D$3:$AY$3, 0)),SUM(VLOOKUP($A71, LS_current!$B$4:$AY$138, LS_current!R$148, FALSE), VLOOKUP($A71, LS_current!$B$4:$AY$138,LS_current!AP$148, FALSE))/2)</f>
        <v>4792.5550009221606</v>
      </c>
      <c r="CN71" s="192">
        <f t="array" ref="CN71">IF($BT71=0, INDEX(LS_current!$D$4:$AY$138, MATCH('Staging Table'!$A71, LS_current!$B$4:$B$138, 0), MATCH(CN$4&amp;CN$5, LS_current!$D$2:$AY$2&amp;LS_current!$D$3:$AY$3, 0)),SUM(VLOOKUP($A71, LS_current!$B$4:$AY$138, LS_current!S$148, FALSE), VLOOKUP($A71, LS_current!$B$4:$AY$138,LS_current!AQ$148, FALSE))/2)</f>
        <v>7699.920504478614</v>
      </c>
      <c r="CO71" s="192">
        <f t="array" ref="CO71">IF($BT71=0, INDEX(LS_current!$D$4:$AY$138, MATCH('Staging Table'!$A71, LS_current!$B$4:$B$138, 0), MATCH(CO$4&amp;CO$5, LS_current!$D$2:$AY$2&amp;LS_current!$D$3:$AY$3, 0)),SUM(VLOOKUP($A71, LS_current!$B$4:$AY$138, LS_current!T$148, FALSE), VLOOKUP($A71, LS_current!$B$4:$AY$138,LS_current!AR$148, FALSE))/2)</f>
        <v>3856.6154478598273</v>
      </c>
      <c r="CP71" s="192">
        <f t="array" ref="CP71">IF($BT71=0, INDEX(LS_current!$D$4:$AY$138, MATCH('Staging Table'!$A71, LS_current!$B$4:$B$138, 0), MATCH(CP$4&amp;CP$5, LS_current!$D$2:$AY$2&amp;LS_current!$D$3:$AY$3, 0)),SUM(VLOOKUP($A71, LS_current!$B$4:$AY$138, LS_current!U$148, FALSE), VLOOKUP($A71, LS_current!$B$4:$AY$138,LS_current!AS$148, FALSE))/2)</f>
        <v>6359.515181689374</v>
      </c>
      <c r="CQ71" s="192">
        <f t="array" ref="CQ71">IF($BT71=0, INDEX(LS_current!$D$4:$AY$138, MATCH('Staging Table'!$A71, LS_current!$B$4:$B$138, 0), MATCH(CQ$4&amp;CQ$5, LS_current!$D$2:$AY$2&amp;LS_current!$D$3:$AY$3, 0)),SUM(VLOOKUP($A71, LS_current!$B$4:$AY$138, LS_current!V$148, FALSE), VLOOKUP($A71, LS_current!$B$4:$AY$138,LS_current!AT$148, FALSE))/2)</f>
        <v>11020.131276845193</v>
      </c>
      <c r="CR71" s="192">
        <f t="array" ref="CR71">IF($BT71=0, INDEX(LS_current!$D$4:$AY$138, MATCH('Staging Table'!$A71, LS_current!$B$4:$B$138, 0), MATCH(CR$4&amp;CR$5, LS_current!$D$2:$AY$2&amp;LS_current!$D$3:$AY$3, 0)),SUM(VLOOKUP($A71, LS_current!$B$4:$AY$138, LS_current!W$148, FALSE), VLOOKUP($A71, LS_current!$B$4:$AY$138,LS_current!AU$148, FALSE))/2)</f>
        <v>13154.27748816962</v>
      </c>
      <c r="CS71" s="192">
        <f t="array" ref="CS71">IF($BT71=0, INDEX(LS_current!$D$4:$AY$138, MATCH('Staging Table'!$A71, LS_current!$B$4:$B$138, 0), MATCH(CS$4&amp;CS$5, LS_current!$D$2:$AY$2&amp;LS_current!$D$3:$AY$3, 0)),SUM(VLOOKUP($A71, LS_current!$B$4:$AY$138, LS_current!X$148, FALSE), VLOOKUP($A71, LS_current!$B$4:$AY$138,LS_current!AV$148, FALSE))/2)</f>
        <v>12193.63953271169</v>
      </c>
      <c r="CT71" s="192">
        <f t="array" ref="CT71">IF($BT71=0, INDEX(LS_current!$D$4:$AY$138, MATCH('Staging Table'!$A71, LS_current!$B$4:$B$138, 0), MATCH(CT$4&amp;CT$5, LS_current!$D$2:$AY$2&amp;LS_current!$D$3:$AY$3, 0)),SUM(VLOOKUP($A71, LS_current!$B$4:$AY$138, LS_current!Y$148, FALSE), VLOOKUP($A71, LS_current!$B$4:$AY$138,LS_current!AW$148, FALSE))/2)</f>
        <v>10855.072481135565</v>
      </c>
      <c r="CU71" s="192">
        <f t="array" ref="CU71">IF($BT71=0, INDEX(LS_current!$D$4:$AY$138, MATCH('Staging Table'!$A71, LS_current!$B$4:$B$138, 0), MATCH(CU$4&amp;CU$5, LS_current!$D$2:$AY$2&amp;LS_current!$D$3:$AY$3, 0)),SUM(VLOOKUP($A71, LS_current!$B$4:$AY$138, LS_current!Z$148, FALSE), VLOOKUP($A71, LS_current!$B$4:$AY$138,LS_current!AX$148, FALSE))/2)</f>
        <v>2632.4399185386064</v>
      </c>
      <c r="CV71" s="192">
        <f t="array" ref="CV71">IF($BT71=0, INDEX(LS_current!$D$4:$AY$138, MATCH('Staging Table'!$A71, LS_current!$B$4:$B$138, 0), MATCH(CV$4&amp;CV$5, LS_current!$D$2:$AY$2&amp;LS_current!$D$3:$AY$3, 0)),SUM(VLOOKUP($A71, LS_current!$B$4:$AY$138, LS_current!AA$148, FALSE), VLOOKUP($A71, LS_current!$B$4:$AY$138,LS_current!AY$148, FALSE))/2)</f>
        <v>4560.3806885391114</v>
      </c>
      <c r="CW71" s="194">
        <f t="array" ref="CW71">INDEX(Demand_current!$D$4:$AY$138, MATCH($A71, Demand_current!$B$4:$B$138, 0), MATCH(CW$4&amp;CW$5,Demand_current!$D$2:$AY$2&amp;Demand_current!$D$3:$AY$3, 0))/1000</f>
        <v>3.3487572115384583</v>
      </c>
      <c r="CX71" s="194">
        <f t="array" ref="CX71">INDEX(Demand_current!$D$4:$AY$138, MATCH($A71, Demand_current!$B$4:$B$138, 0), MATCH(CX$4&amp;CX$5,Demand_current!$D$2:$AY$2&amp;Demand_current!$D$3:$AY$3, 0))/1000</f>
        <v>0.57923499999999928</v>
      </c>
      <c r="CY71" s="194">
        <f t="array" ref="CY71">INDEX(Demand_current!$D$4:$AY$138, MATCH($A71, Demand_current!$B$4:$B$138, 0), MATCH(CY$4&amp;CY$5,Demand_current!$D$2:$AY$2&amp;Demand_current!$D$3:$AY$3, 0))/1000</f>
        <v>1.8634903846153845</v>
      </c>
      <c r="CZ71" s="194">
        <f t="array" ref="CZ71">INDEX(Demand_current!$D$4:$AY$138, MATCH($A71, Demand_current!$B$4:$B$138, 0), MATCH(CZ$4&amp;CZ$5,Demand_current!$D$2:$AY$2&amp;Demand_current!$D$3:$AY$3, 0))/1000</f>
        <v>1.8812275000000001</v>
      </c>
      <c r="DA71" s="194">
        <f t="array" ref="DA71">INDEX(Demand_current!$D$4:$AY$138, MATCH($A71, Demand_current!$B$4:$B$138, 0), MATCH(DA$4&amp;DA$5,Demand_current!$D$2:$AY$2&amp;Demand_current!$D$3:$AY$3, 0))/1000</f>
        <v>0.36045312499999982</v>
      </c>
      <c r="DB71" s="194">
        <f t="array" ref="DB71">INDEX(Demand_current!$D$4:$AY$138, MATCH($A71, Demand_current!$B$4:$B$138, 0), MATCH(DB$4&amp;DB$5,Demand_current!$D$2:$AY$2&amp;Demand_current!$D$3:$AY$3, 0))/1000</f>
        <v>1.5828680555555552</v>
      </c>
      <c r="DC71" s="194">
        <f t="array" ref="DC71">INDEX(Demand_current!$D$4:$AY$138, MATCH($A71, Demand_current!$B$4:$B$138, 0), MATCH(DC$4&amp;DC$5,Demand_current!$D$2:$AY$2&amp;Demand_current!$D$3:$AY$3, 0))/1000</f>
        <v>5.3258197115384629</v>
      </c>
      <c r="DD71" s="194">
        <f t="array" ref="DD71">INDEX(Demand_current!$D$4:$AY$138, MATCH($A71, Demand_current!$B$4:$B$138, 0), MATCH(DD$4&amp;DD$5,Demand_current!$D$2:$AY$2&amp;Demand_current!$D$3:$AY$3, 0))/1000</f>
        <v>3.1995450000000041</v>
      </c>
      <c r="DE71" s="194">
        <f t="array" ref="DE71">INDEX(Demand_current!$D$4:$AY$138, MATCH($A71, Demand_current!$B$4:$B$138, 0), MATCH(DE$4&amp;DE$5,Demand_current!$D$2:$AY$2&amp;Demand_current!$D$3:$AY$3, 0))/1000</f>
        <v>9.7740144230769186</v>
      </c>
      <c r="DF71" s="194">
        <f t="array" ref="DF71">INDEX(Demand_current!$D$4:$AY$138, MATCH($A71, Demand_current!$B$4:$B$138, 0), MATCH(DF$4&amp;DF$5,Demand_current!$D$2:$AY$2&amp;Demand_current!$D$3:$AY$3, 0))/1000</f>
        <v>9.8500399999999964</v>
      </c>
      <c r="DG71" s="194">
        <f t="array" ref="DG71">INDEX(Demand_current!$D$4:$AY$138, MATCH($A71, Demand_current!$B$4:$B$138, 0), MATCH(DG$4&amp;DG$5,Demand_current!$D$2:$AY$2&amp;Demand_current!$D$3:$AY$3, 0))/1000</f>
        <v>9.1870509259259308</v>
      </c>
      <c r="DH71" s="194">
        <f t="array" ref="DH71">INDEX(Demand_current!$D$4:$AY$138, MATCH($A71, Demand_current!$B$4:$B$138, 0), MATCH(DH$4&amp;DH$5,Demand_current!$D$2:$AY$2&amp;Demand_current!$D$3:$AY$3, 0))/1000</f>
        <v>2.5521874999999987</v>
      </c>
      <c r="DI71" s="192">
        <f>$BS71*(VLOOKUP(DI$4, Rates_current!$G$6:$Q$29, 10, FALSE)+VLOOKUP(DI$4, Rates_current!$G$6:$Q$29, 11, FALSE))</f>
        <v>14672.289091256311</v>
      </c>
      <c r="DJ71" s="192">
        <f>$BS71*(VLOOKUP(DJ$4, Rates_current!$G$6:$Q$29, 10, FALSE)+VLOOKUP(DJ$4, Rates_current!$G$6:$Q$29, 11, FALSE))</f>
        <v>18575.650483545291</v>
      </c>
      <c r="DK71" s="192">
        <f>$BS71*(VLOOKUP(DK$4, Rates_current!$G$6:$Q$29, 10, FALSE)+VLOOKUP(DK$4, Rates_current!$G$6:$Q$29, 11, FALSE))</f>
        <v>18181.850720201957</v>
      </c>
      <c r="DL71" s="192">
        <f>$BS71*(VLOOKUP(DL$4, Rates_current!$G$6:$Q$29, 10, FALSE)+VLOOKUP(DL$4, Rates_current!$G$6:$Q$29, 11, FALSE))</f>
        <v>15017.435514559504</v>
      </c>
      <c r="DM71" s="192">
        <f>$BS71*(VLOOKUP(DM$4, Rates_current!$G$6:$Q$29, 10, FALSE)+VLOOKUP(DM$4, Rates_current!$G$6:$Q$29, 11, FALSE))</f>
        <v>13015.940498928074</v>
      </c>
      <c r="DN71" s="192">
        <f>$BS71*(VLOOKUP(DN$4, Rates_current!$G$6:$Q$29, 10, FALSE)+VLOOKUP(DN$4, Rates_current!$G$6:$Q$29, 11, FALSE))</f>
        <v>15538.40452649771</v>
      </c>
      <c r="DO71" s="192">
        <f>$BS71*(VLOOKUP(DO$4, Rates_current!$G$6:$Q$29, 10, FALSE)+VLOOKUP(DO$4, Rates_current!$G$6:$Q$29, 11, FALSE))</f>
        <v>12063.502504132664</v>
      </c>
      <c r="DP71" s="192">
        <f>$BS71*(VLOOKUP(DP$4, Rates_current!$G$6:$Q$29, 10, FALSE)+VLOOKUP(DP$4, Rates_current!$G$6:$Q$29, 11, FALSE))</f>
        <v>16714.071494599222</v>
      </c>
      <c r="DQ71" s="192">
        <f>$BS71*(VLOOKUP(DQ$4, Rates_current!$G$6:$Q$29, 10, FALSE)+VLOOKUP(DQ$4, Rates_current!$G$6:$Q$29, 11, FALSE))</f>
        <v>17859.335370450797</v>
      </c>
      <c r="DR71" s="192">
        <f>$BS71*(VLOOKUP(DR$4, Rates_current!$G$6:$Q$29, 10, FALSE)+VLOOKUP(DR$4, Rates_current!$G$6:$Q$29, 11, FALSE))</f>
        <v>16956.630234985187</v>
      </c>
      <c r="DS71" s="192">
        <f>$BS71*(VLOOKUP(DS$4, Rates_current!$G$6:$Q$29, 10, FALSE)+VLOOKUP(DS$4, Rates_current!$G$6:$Q$29, 11, FALSE))</f>
        <v>16387.274986152745</v>
      </c>
      <c r="DT71" s="192">
        <f>$BS71*(VLOOKUP(DT$4, Rates_current!$G$6:$Q$29, 10, FALSE)+VLOOKUP(DT$4, Rates_current!$G$6:$Q$29, 11, FALSE))</f>
        <v>15143.550392922281</v>
      </c>
      <c r="DU71" s="418">
        <f>IF(D71=0,IF(C71=0,MAX(0,DW71 - (VLOOKUP($A71,TOCA_current!$A$2:$AI$137,MATCH("RHWM 2022",TOCA_current!$A$2:$AI$2,0),FALSE)*$BS$2)), 0),0)</f>
        <v>0</v>
      </c>
      <c r="DV71" s="419">
        <f>MIN(VLOOKUP($A71,TOCA_current!$A$2:$AI$137,MATCH("TRL - NLSL - Existing Resource "&amp;$BS$1,TOCA_current!$A$2:$AI$2,0),FALSE)*$BS$2, VLOOKUP($A71,TOCA_current!$A$2:$AI$137,MATCH("RHWM 2022",TOCA_current!$A$2:$AI$2,0),FALSE)*$BS$2)</f>
        <v>190127.04</v>
      </c>
      <c r="DW71" s="419">
        <f>SUM(BY71:CV71)+(BS71*RT1SC!$C$4*$BS$2)</f>
        <v>189313.33772576432</v>
      </c>
      <c r="DX71" s="419">
        <f>VLOOKUP($A71,TOCA_current!$A$2:$AI$137,MATCH("Above RHWM Not Served with LS "&amp;$BS$1,TOCA_current!$A$2:$AI$2,0),FALSE)*$BS$2</f>
        <v>43519.68</v>
      </c>
      <c r="DY71" s="419">
        <f t="shared" ref="DY71:DY134" si="32">DW71-DV71</f>
        <v>-813.70227423569304</v>
      </c>
      <c r="DZ71" s="419">
        <f>(VLOOKUP($A71,TOCA_current!$A$2:$AI$137,MATCH("RHWM 2022",TOCA_current!$A$2:$AI$2,0),FALSE)*$BS$2) - $DV71</f>
        <v>0</v>
      </c>
      <c r="EA71" s="419">
        <f t="shared" ref="EA71:EA134" si="33">IF(DY71&gt;0,IF(DZ71&gt;0,(-1)*MIN(DY71,DZ71),0),0)</f>
        <v>0</v>
      </c>
      <c r="EB71" s="419">
        <f t="shared" ref="EB71:EB134" si="34">IF(DY71&lt;0,IF(DX71&lt;ABS(DY71),MAX(0,ABS($DY71)-(DX71)),0),0)</f>
        <v>0</v>
      </c>
      <c r="EC71" s="419">
        <f t="shared" ref="EC71:EC134" si="35">IF(AND(DX71&gt;0,DZ71&gt;0),IF(AND(DY71&lt;=0,ABS(DY71)&lt;DX71),(-1)*MIN(DX71,DX71-ABS(DY71),DZ71),IF(AND(DY71&gt;0,DY71&lt;DZ71),(-1)*MIN(DX71,DZ71-DY71),0)),0)</f>
        <v>0</v>
      </c>
      <c r="ED71" s="419">
        <f t="shared" ref="ED71:ED134" si="36">IF($D71=0,SUM(EA71:EC71),0)</f>
        <v>0</v>
      </c>
    </row>
    <row r="72" spans="1:134">
      <c r="A72" s="135">
        <v>10202</v>
      </c>
      <c r="B72" s="136" t="s">
        <v>73</v>
      </c>
      <c r="C72" s="244">
        <f>VLOOKUP(A72, TOCA_current!$A$3:$D$137, 4, FALSE)</f>
        <v>0</v>
      </c>
      <c r="D72" s="203">
        <v>0</v>
      </c>
      <c r="E72" s="119">
        <f>VLOOKUP($A72,TOCA_previous!$A$2:$AI$137,MATCH(E$4,TOCA_previous!$A$2:$AI$2,0),FALSE)</f>
        <v>1.8548E-3</v>
      </c>
      <c r="F72" s="120">
        <f>VLOOKUP($A72,TOCA_previous!$A$2:$AI$137,MATCH(F$4,TOCA_previous!$A$2:$AI$2,0),FALSE)</f>
        <v>1.8548E-3</v>
      </c>
      <c r="G72" s="120">
        <f t="shared" si="24"/>
        <v>0</v>
      </c>
      <c r="H72" s="120">
        <f>VLOOKUP($A72,TOCA_previous!$A$2:$AI$137,MATCH(H$4,TOCA_previous!$A$2:$AI$2,0),FALSE)</f>
        <v>0</v>
      </c>
      <c r="I72" s="120">
        <f t="shared" si="25"/>
        <v>0</v>
      </c>
      <c r="J72" s="120">
        <f t="shared" si="26"/>
        <v>0</v>
      </c>
      <c r="K72" s="191">
        <f>VLOOKUP(A72, IRD!$A$5:$C$139, 3, FALSE)</f>
        <v>0</v>
      </c>
      <c r="L72" s="192">
        <f t="array" ref="L72">IF($G72=0, INDEX(LS_previous!$D$4:$AY$138, MATCH('Staging Table'!$A72, LS_previous!$B$4:$B$138, 0), MATCH(L$4&amp;L$5, LS_previous!$D$2:$AY$2&amp;LS_previous!$D$3:$AY$3, 0)),SUM(VLOOKUP($A72, LS_previous!$B$4:$AY$138, LS_previous!D$149, FALSE), VLOOKUP('Staging Table'!$A72, LS_previous!$B$4:$AY$138,LS_previous!AB$149, FALSE))/2)</f>
        <v>1118.3405183376008</v>
      </c>
      <c r="M72" s="192">
        <f t="array" ref="M72">IF($G72=0, INDEX(LS_previous!$D$4:$AY$138, MATCH('Staging Table'!$A72, LS_previous!$B$4:$B$138, 0), MATCH(M$4&amp;M$5, LS_previous!$D$2:$AY$2&amp;LS_previous!$D$3:$AY$3, 0)),SUM(VLOOKUP($A72, LS_previous!$B$4:$AY$138, LS_previous!E$149, FALSE), VLOOKUP('Staging Table'!$A72, LS_previous!$B$4:$AY$138,LS_previous!AC$149, FALSE))/2)</f>
        <v>1074.6305465216001</v>
      </c>
      <c r="N72" s="192">
        <f t="array" ref="N72">IF($G72=0, INDEX(LS_previous!$D$4:$AY$138, MATCH('Staging Table'!$A72, LS_previous!$B$4:$B$138, 0), MATCH(N$4&amp;N$5, LS_previous!$D$2:$AY$2&amp;LS_previous!$D$3:$AY$3, 0)),SUM(VLOOKUP($A72, LS_previous!$B$4:$AY$138, LS_previous!F$149, FALSE), VLOOKUP('Staging Table'!$A72, LS_previous!$B$4:$AY$138,LS_previous!AD$149, FALSE))/2)</f>
        <v>68.901709065599789</v>
      </c>
      <c r="O72" s="192">
        <f t="array" ref="O72">IF($G72=0, INDEX(LS_previous!$D$4:$AY$138, MATCH('Staging Table'!$A72, LS_previous!$B$4:$B$138, 0), MATCH(O$4&amp;O$5, LS_previous!$D$2:$AY$2&amp;LS_previous!$D$3:$AY$3, 0)),SUM(VLOOKUP($A72, LS_previous!$B$4:$AY$138, LS_previous!G$149, FALSE), VLOOKUP('Staging Table'!$A72, LS_previous!$B$4:$AY$138,LS_previous!AE$149, FALSE))/2)</f>
        <v>314.75471923719988</v>
      </c>
      <c r="P72" s="192">
        <f t="array" ref="P72">IF($G72=0, INDEX(LS_previous!$D$4:$AY$138, MATCH('Staging Table'!$A72, LS_previous!$B$4:$B$138, 0), MATCH(P$4&amp;P$5, LS_previous!$D$2:$AY$2&amp;LS_previous!$D$3:$AY$3, 0)),SUM(VLOOKUP($A72, LS_previous!$B$4:$AY$138, LS_previous!H$149, FALSE), VLOOKUP('Staging Table'!$A72, LS_previous!$B$4:$AY$138,LS_previous!AF$149, FALSE))/2)</f>
        <v>1498.6085647743994</v>
      </c>
      <c r="Q72" s="192">
        <f t="array" ref="Q72">IF($G72=0, INDEX(LS_previous!$D$4:$AY$138, MATCH('Staging Table'!$A72, LS_previous!$B$4:$B$138, 0), MATCH(Q$4&amp;Q$5, LS_previous!$D$2:$AY$2&amp;LS_previous!$D$3:$AY$3, 0)),SUM(VLOOKUP($A72, LS_previous!$B$4:$AY$138, LS_previous!I$149, FALSE), VLOOKUP('Staging Table'!$A72, LS_previous!$B$4:$AY$138,LS_previous!AG$149, FALSE))/2)</f>
        <v>1032.5269916847997</v>
      </c>
      <c r="R72" s="192">
        <f t="array" ref="R72">IF($G72=0, INDEX(LS_previous!$D$4:$AY$138, MATCH('Staging Table'!$A72, LS_previous!$B$4:$B$138, 0), MATCH(R$4&amp;R$5, LS_previous!$D$2:$AY$2&amp;LS_previous!$D$3:$AY$3, 0)),SUM(VLOOKUP($A72, LS_previous!$B$4:$AY$138, LS_previous!J$149, FALSE), VLOOKUP('Staging Table'!$A72, LS_previous!$B$4:$AY$138,LS_previous!AH$149, FALSE))/2)</f>
        <v>2047.4009695743989</v>
      </c>
      <c r="S72" s="192">
        <f t="array" ref="S72">IF($G72=0, INDEX(LS_previous!$D$4:$AY$138, MATCH('Staging Table'!$A72, LS_previous!$B$4:$B$138, 0), MATCH(S$4&amp;S$5, LS_previous!$D$2:$AY$2&amp;LS_previous!$D$3:$AY$3, 0)),SUM(VLOOKUP($A72, LS_previous!$B$4:$AY$138, LS_previous!K$149, FALSE), VLOOKUP('Staging Table'!$A72, LS_previous!$B$4:$AY$138,LS_previous!AI$149, FALSE))/2)</f>
        <v>2038.9027372848004</v>
      </c>
      <c r="T72" s="192">
        <f t="array" ref="T72">IF($G72=0, INDEX(LS_previous!$D$4:$AY$138, MATCH('Staging Table'!$A72, LS_previous!$B$4:$B$138, 0), MATCH(T$4&amp;T$5, LS_previous!$D$2:$AY$2&amp;LS_previous!$D$3:$AY$3, 0)),SUM(VLOOKUP($A72, LS_previous!$B$4:$AY$138, LS_previous!L$149, FALSE), VLOOKUP('Staging Table'!$A72, LS_previous!$B$4:$AY$138,LS_previous!AJ$149, FALSE))/2)</f>
        <v>1022.8434544047996</v>
      </c>
      <c r="U72" s="192">
        <f t="array" ref="U72">IF($G72=0, INDEX(LS_previous!$D$4:$AY$138, MATCH('Staging Table'!$A72, LS_previous!$B$4:$B$138, 0), MATCH(U$4&amp;U$5, LS_previous!$D$2:$AY$2&amp;LS_previous!$D$3:$AY$3, 0)),SUM(VLOOKUP($A72, LS_previous!$B$4:$AY$138, LS_previous!M$149, FALSE), VLOOKUP('Staging Table'!$A72, LS_previous!$B$4:$AY$138,LS_previous!AK$149, FALSE))/2)</f>
        <v>651.08450495519946</v>
      </c>
      <c r="V72" s="192">
        <f t="array" ref="V72">IF($G72=0, INDEX(LS_previous!$D$4:$AY$138, MATCH('Staging Table'!$A72, LS_previous!$B$4:$B$138, 0), MATCH(V$4&amp;V$5, LS_previous!$D$2:$AY$2&amp;LS_previous!$D$3:$AY$3, 0)),SUM(VLOOKUP($A72, LS_previous!$B$4:$AY$138, LS_previous!N$149, FALSE), VLOOKUP('Staging Table'!$A72, LS_previous!$B$4:$AY$138,LS_previous!AL$149, FALSE))/2)</f>
        <v>1044.9823900832007</v>
      </c>
      <c r="W72" s="192">
        <f t="array" ref="W72">IF($G72=0, INDEX(LS_previous!$D$4:$AY$138, MATCH('Staging Table'!$A72, LS_previous!$B$4:$B$138, 0), MATCH(W$4&amp;W$5, LS_previous!$D$2:$AY$2&amp;LS_previous!$D$3:$AY$3, 0)),SUM(VLOOKUP($A72, LS_previous!$B$4:$AY$138, LS_previous!O$149, FALSE), VLOOKUP('Staging Table'!$A72, LS_previous!$B$4:$AY$138,LS_previous!AM$149, FALSE))/2)</f>
        <v>460.84416196920029</v>
      </c>
      <c r="X72" s="192">
        <f t="array" ref="X72">IF($G72=0, INDEX(LS_previous!$D$4:$AY$138, MATCH('Staging Table'!$A72, LS_previous!$B$4:$B$138, 0), MATCH(X$4&amp;X$5, LS_previous!$D$2:$AY$2&amp;LS_previous!$D$3:$AY$3, 0)),SUM(VLOOKUP($A72, LS_previous!$B$4:$AY$138, LS_previous!P$149, FALSE), VLOOKUP('Staging Table'!$A72, LS_previous!$B$4:$AY$138,LS_previous!AN$149, FALSE))/2)</f>
        <v>811.24001682880044</v>
      </c>
      <c r="Y72" s="192">
        <f t="array" ref="Y72">IF($G72=0, INDEX(LS_previous!$D$4:$AY$138, MATCH('Staging Table'!$A72, LS_previous!$B$4:$B$138, 0), MATCH(Y$4&amp;Y$5, LS_previous!$D$2:$AY$2&amp;LS_previous!$D$3:$AY$3, 0)),SUM(VLOOKUP($A72, LS_previous!$B$4:$AY$138, LS_previous!Q$149, FALSE), VLOOKUP('Staging Table'!$A72, LS_previous!$B$4:$AY$138,LS_previous!AO$149, FALSE))/2)</f>
        <v>256.05945846719987</v>
      </c>
      <c r="Z72" s="192">
        <f t="array" ref="Z72">IF($G72=0, INDEX(LS_previous!$D$4:$AY$138, MATCH('Staging Table'!$A72, LS_previous!$B$4:$B$138, 0), MATCH(Z$4&amp;Z$5, LS_previous!$D$2:$AY$2&amp;LS_previous!$D$3:$AY$3, 0)),SUM(VLOOKUP($A72, LS_previous!$B$4:$AY$138, LS_previous!R$149, FALSE), VLOOKUP('Staging Table'!$A72, LS_previous!$B$4:$AY$138,LS_previous!AP$149, FALSE))/2)</f>
        <v>-2069.4919530799998</v>
      </c>
      <c r="AA72" s="192">
        <f t="array" ref="AA72">IF($G72=0, INDEX(LS_previous!$D$4:$AY$138, MATCH('Staging Table'!$A72, LS_previous!$B$4:$B$138, 0), MATCH(AA$4&amp;AA$5, LS_previous!$D$2:$AY$2&amp;LS_previous!$D$3:$AY$3, 0)),SUM(VLOOKUP($A72, LS_previous!$B$4:$AY$138, LS_previous!S$149, FALSE), VLOOKUP('Staging Table'!$A72, LS_previous!$B$4:$AY$138,LS_previous!AQ$149, FALSE))/2)</f>
        <v>-837.32189346079986</v>
      </c>
      <c r="AB72" s="192">
        <f t="array" ref="AB72">IF($G72=0, INDEX(LS_previous!$D$4:$AY$138, MATCH('Staging Table'!$A72, LS_previous!$B$4:$B$138, 0), MATCH(AB$4&amp;AB$5, LS_previous!$D$2:$AY$2&amp;LS_previous!$D$3:$AY$3, 0)),SUM(VLOOKUP($A72, LS_previous!$B$4:$AY$138, LS_previous!T$149, FALSE), VLOOKUP('Staging Table'!$A72, LS_previous!$B$4:$AY$138,LS_previous!AR$149, FALSE))/2)</f>
        <v>-3712.0041709712004</v>
      </c>
      <c r="AC72" s="192">
        <f t="array" ref="AC72">IF($G72=0, INDEX(LS_previous!$D$4:$AY$138, MATCH('Staging Table'!$A72, LS_previous!$B$4:$B$138, 0), MATCH(AC$4&amp;AC$5, LS_previous!$D$2:$AY$2&amp;LS_previous!$D$3:$AY$3, 0)),SUM(VLOOKUP($A72, LS_previous!$B$4:$AY$138, LS_previous!U$149, FALSE), VLOOKUP('Staging Table'!$A72, LS_previous!$B$4:$AY$138,LS_previous!AS$149, FALSE))/2)</f>
        <v>-2219.2592143327997</v>
      </c>
      <c r="AD72" s="192">
        <f t="array" ref="AD72">IF($G72=0, INDEX(LS_previous!$D$4:$AY$138, MATCH('Staging Table'!$A72, LS_previous!$B$4:$B$138, 0), MATCH(AD$4&amp;AD$5, LS_previous!$D$2:$AY$2&amp;LS_previous!$D$3:$AY$3, 0)),SUM(VLOOKUP($A72, LS_previous!$B$4:$AY$138, LS_previous!V$149, FALSE), VLOOKUP('Staging Table'!$A72, LS_previous!$B$4:$AY$138,LS_previous!AT$149, FALSE))/2)</f>
        <v>-2198.5490049711998</v>
      </c>
      <c r="AE72" s="192">
        <f t="array" ref="AE72">IF($G72=0, INDEX(LS_previous!$D$4:$AY$138, MATCH('Staging Table'!$A72, LS_previous!$B$4:$B$138, 0), MATCH(AE$4&amp;AE$5, LS_previous!$D$2:$AY$2&amp;LS_previous!$D$3:$AY$3, 0)),SUM(VLOOKUP($A72, LS_previous!$B$4:$AY$138, LS_previous!W$149, FALSE), VLOOKUP('Staging Table'!$A72, LS_previous!$B$4:$AY$138,LS_previous!AU$149, FALSE))/2)</f>
        <v>-324.69283736960006</v>
      </c>
      <c r="AF72" s="192">
        <f t="array" ref="AF72">IF($G72=0, INDEX(LS_previous!$D$4:$AY$138, MATCH('Staging Table'!$A72, LS_previous!$B$4:$B$138, 0), MATCH(AF$4&amp;AF$5, LS_previous!$D$2:$AY$2&amp;LS_previous!$D$3:$AY$3, 0)),SUM(VLOOKUP($A72, LS_previous!$B$4:$AY$138, LS_previous!X$149, FALSE), VLOOKUP('Staging Table'!$A72, LS_previous!$B$4:$AY$138,LS_previous!AV$149, FALSE))/2)</f>
        <v>-218.19333757120057</v>
      </c>
      <c r="AG72" s="192">
        <f t="array" ref="AG72">IF($G72=0, INDEX(LS_previous!$D$4:$AY$138, MATCH('Staging Table'!$A72, LS_previous!$B$4:$B$138, 0), MATCH(AG$4&amp;AG$5, LS_previous!$D$2:$AY$2&amp;LS_previous!$D$3:$AY$3, 0)),SUM(VLOOKUP($A72, LS_previous!$B$4:$AY$138, LS_previous!Y$149, FALSE), VLOOKUP('Staging Table'!$A72, LS_previous!$B$4:$AY$138,LS_previous!AW$149, FALSE))/2)</f>
        <v>173.95925863039975</v>
      </c>
      <c r="AH72" s="192">
        <f t="array" ref="AH72">IF($G72=0, INDEX(LS_previous!$D$4:$AY$138, MATCH('Staging Table'!$A72, LS_previous!$B$4:$B$138, 0), MATCH(AH$4&amp;AH$5, LS_previous!$D$2:$AY$2&amp;LS_previous!$D$3:$AY$3, 0)),SUM(VLOOKUP($A72, LS_previous!$B$4:$AY$138, LS_previous!Z$149, FALSE), VLOOKUP('Staging Table'!$A72, LS_previous!$B$4:$AY$138,LS_previous!AX$149, FALSE))/2)</f>
        <v>1014.0013891199997</v>
      </c>
      <c r="AI72" s="192">
        <f t="array" ref="AI72">IF($G72=0, INDEX(LS_previous!$D$4:$AY$138, MATCH('Staging Table'!$A72, LS_previous!$B$4:$B$138, 0), MATCH(AI$4&amp;AI$5, LS_previous!$D$2:$AY$2&amp;LS_previous!$D$3:$AY$3, 0)),SUM(VLOOKUP($A72, LS_previous!$B$4:$AY$138, LS_previous!AA$149, FALSE), VLOOKUP('Staging Table'!$A72, LS_previous!$B$4:$AY$138,LS_previous!AY$149, FALSE))/2)</f>
        <v>745.84260737599971</v>
      </c>
      <c r="AJ72" s="314">
        <f t="array" ref="AJ72">INDEX(Demand_previous!$D$4:$AY$138, MATCH('Staging Table'!$A72, Demand_previous!$B$4:$B$138, 0), MATCH(AJ$4&amp;AJ$5,Demand_previous!$D$2:$AY$2&amp;Demand_previous!$D$3:$AY$3, 0))/1000</f>
        <v>1.7467708333333305</v>
      </c>
      <c r="AK72" s="314">
        <f t="array" ref="AK72">INDEX(Demand_previous!$D$4:$AY$138, MATCH('Staging Table'!$A72, Demand_previous!$B$4:$B$138, 0), MATCH(AK$4&amp;AK$5,Demand_previous!$D$2:$AY$2&amp;Demand_previous!$D$3:$AY$3, 0))/1000</f>
        <v>2.0867925000000009</v>
      </c>
      <c r="AL72" s="314">
        <f t="array" ref="AL72">INDEX(Demand_previous!$D$4:$AY$138, MATCH('Staging Table'!$A72, Demand_previous!$B$4:$B$138, 0), MATCH(AL$4&amp;AL$5,Demand_previous!$D$2:$AY$2&amp;Demand_previous!$D$3:$AY$3, 0))/1000</f>
        <v>0.62443499999999874</v>
      </c>
      <c r="AM72" s="314">
        <f t="array" ref="AM72">INDEX(Demand_previous!$D$4:$AY$138, MATCH('Staging Table'!$A72, Demand_previous!$B$4:$B$138, 0), MATCH(AM$4&amp;AM$5,Demand_previous!$D$2:$AY$2&amp;Demand_previous!$D$3:$AY$3, 0))/1000</f>
        <v>2.7447596153846163</v>
      </c>
      <c r="AN72" s="314">
        <f t="array" ref="AN72">INDEX(Demand_previous!$D$4:$AY$138, MATCH('Staging Table'!$A72, Demand_previous!$B$4:$B$138, 0), MATCH(AN$4&amp;AN$5,Demand_previous!$D$2:$AY$2&amp;Demand_previous!$D$3:$AY$3, 0))/1000</f>
        <v>4.5810024999999994</v>
      </c>
      <c r="AO72" s="314">
        <f t="array" ref="AO72">INDEX(Demand_previous!$D$4:$AY$138, MATCH('Staging Table'!$A72, Demand_previous!$B$4:$B$138, 0), MATCH(AO$4&amp;AO$5,Demand_previous!$D$2:$AY$2&amp;Demand_previous!$D$3:$AY$3, 0))/1000</f>
        <v>1.0943004807692303</v>
      </c>
      <c r="AP72" s="314">
        <f t="array" ref="AP72">INDEX(Demand_previous!$D$4:$AY$138, MATCH('Staging Table'!$A72, Demand_previous!$B$4:$B$138, 0), MATCH(AP$4&amp;AP$5,Demand_previous!$D$2:$AY$2&amp;Demand_previous!$D$3:$AY$3, 0))/1000</f>
        <v>0</v>
      </c>
      <c r="AQ72" s="314">
        <f t="array" ref="AQ72">INDEX(Demand_previous!$D$4:$AY$138, MATCH('Staging Table'!$A72, Demand_previous!$B$4:$B$138, 0), MATCH(AQ$4&amp;AQ$5,Demand_previous!$D$2:$AY$2&amp;Demand_previous!$D$3:$AY$3, 0))/1000</f>
        <v>0.62820999999999927</v>
      </c>
      <c r="AR72" s="314">
        <f t="array" ref="AR72">INDEX(Demand_previous!$D$4:$AY$138, MATCH('Staging Table'!$A72, Demand_previous!$B$4:$B$138, 0), MATCH(AR$4&amp;AR$5,Demand_previous!$D$2:$AY$2&amp;Demand_previous!$D$3:$AY$3, 0))/1000</f>
        <v>1.0998317307692307</v>
      </c>
      <c r="AS72" s="314">
        <f t="array" ref="AS72">INDEX(Demand_previous!$D$4:$AY$138, MATCH('Staging Table'!$A72, Demand_previous!$B$4:$B$138, 0), MATCH(AS$4&amp;AS$5,Demand_previous!$D$2:$AY$2&amp;Demand_previous!$D$3:$AY$3, 0))/1000</f>
        <v>1.7007307692307685</v>
      </c>
      <c r="AT72" s="314">
        <f t="array" ref="AT72">INDEX(Demand_previous!$D$4:$AY$138, MATCH('Staging Table'!$A72, Demand_previous!$B$4:$B$138, 0), MATCH(AT$4&amp;AT$5,Demand_previous!$D$2:$AY$2&amp;Demand_previous!$D$3:$AY$3, 0))/1000</f>
        <v>1.2700841346153844</v>
      </c>
      <c r="AU72" s="314">
        <f t="array" ref="AU72">INDEX(Demand_previous!$D$4:$AY$138, MATCH('Staging Table'!$A72, Demand_previous!$B$4:$B$138, 0), MATCH(AU$4&amp;AU$5,Demand_previous!$D$2:$AY$2&amp;Demand_previous!$D$3:$AY$3, 0))/1000</f>
        <v>2.3026675000000001</v>
      </c>
      <c r="AV72" s="192">
        <f>$F72*(VLOOKUP(AV$4, Rates_previous!$G$6:$Q$29, 10, FALSE)+VLOOKUP(AV$4, Rates_previous!$G$6:$Q$29, 11, FALSE))</f>
        <v>8564.1999351407994</v>
      </c>
      <c r="AW72" s="192">
        <f>$F72*(VLOOKUP(AW$4, Rates_previous!$G$6:$Q$29, 10, FALSE)+VLOOKUP(AW$4, Rates_previous!$G$6:$Q$29, 11, FALSE))</f>
        <v>10879.205571697201</v>
      </c>
      <c r="AX72" s="192">
        <f>$F72*(VLOOKUP(AX$4, Rates_previous!$G$6:$Q$29, 10, FALSE)+VLOOKUP(AX$4, Rates_previous!$G$6:$Q$29, 11, FALSE))</f>
        <v>10747.824443540801</v>
      </c>
      <c r="AY72" s="192">
        <f>$F72*(VLOOKUP(AY$4, Rates_previous!$G$6:$Q$29, 10, FALSE)+VLOOKUP(AY$4, Rates_previous!$G$6:$Q$29, 11, FALSE))</f>
        <v>8958.9662931408002</v>
      </c>
      <c r="AZ72" s="192">
        <f>$F72*(VLOOKUP(AZ$4, Rates_previous!$G$6:$Q$29, 10, FALSE)+VLOOKUP(AZ$4, Rates_previous!$G$6:$Q$29, 11, FALSE))</f>
        <v>8115.8940406399997</v>
      </c>
      <c r="BA72" s="192">
        <f>$F72*(VLOOKUP(BA$4, Rates_previous!$G$6:$Q$29, 10, FALSE)+VLOOKUP(BA$4, Rates_previous!$G$6:$Q$29, 11, FALSE))</f>
        <v>9027.4524479476004</v>
      </c>
      <c r="BB72" s="192">
        <f>$F72*(VLOOKUP(BB$4, Rates_previous!$G$6:$Q$29, 10, FALSE)+VLOOKUP(BB$4, Rates_previous!$G$6:$Q$29, 11, FALSE))</f>
        <v>7350.1615247039999</v>
      </c>
      <c r="BC72" s="192">
        <f>$F72*(VLOOKUP(BC$4, Rates_previous!$G$6:$Q$29, 10, FALSE)+VLOOKUP(BC$4, Rates_previous!$G$6:$Q$29, 11, FALSE))</f>
        <v>9912.7888465408014</v>
      </c>
      <c r="BD72" s="192">
        <f>$F72*(VLOOKUP(BD$4, Rates_previous!$G$6:$Q$29, 10, FALSE)+VLOOKUP(BD$4, Rates_previous!$G$6:$Q$29, 11, FALSE))</f>
        <v>12648.044385304001</v>
      </c>
      <c r="BE72" s="192">
        <f>$F72*(VLOOKUP(BE$4, Rates_previous!$G$6:$Q$29, 10, FALSE)+VLOOKUP(BE$4, Rates_previous!$G$6:$Q$29, 11, FALSE))</f>
        <v>9916.4678423408004</v>
      </c>
      <c r="BF72" s="192">
        <f>$F72*(VLOOKUP(BF$4, Rates_previous!$G$6:$Q$29, 10, FALSE)+VLOOKUP(BF$4, Rates_previous!$G$6:$Q$29, 11, FALSE))</f>
        <v>9656.6650789408013</v>
      </c>
      <c r="BG72" s="192">
        <f>$F72*(VLOOKUP(BG$4, Rates_previous!$G$6:$Q$29, 10, FALSE)+VLOOKUP(BG$4, Rates_previous!$G$6:$Q$29, 11, FALSE))</f>
        <v>8669.6310035040005</v>
      </c>
      <c r="BH72" s="314">
        <f>IF($D72=0,IF(C72=0, MAX(BJ72 - (VLOOKUP($A72,TOCA_previous!$A$2:$AI$137,MATCH("RHWM 2020",TOCA_previous!$A$2:$AI$2,0),FALSE)*$F$2*TOCA_previous!C69),0),0), 0)</f>
        <v>3795.9812957168033</v>
      </c>
      <c r="BI72" s="204">
        <f>MIN(VLOOKUP($A72,TOCA_previous!$A$2:$AI$137,MATCH("TRL - NLSL - Existing Resource "&amp;$F$1,TOCA_previous!$A$2:$AI$2,0),FALSE)*$F$2,(VLOOKUP($A72,TOCA_previous!$A$2:$AI$137,MATCH("RHWM 2020",TOCA_previous!$A$2:$AI$2,0),FALSE)*$F$2))</f>
        <v>114446.736</v>
      </c>
      <c r="BJ72" s="418">
        <f>SUM(L72:AI72)+(F72*RT1SC!$C$3*$F$2)</f>
        <v>118242.71729571681</v>
      </c>
      <c r="BK72" s="417">
        <f>VLOOKUP($A72,TOCA_previous!$A$2:$AI$137,MATCH("Above RHWM Not Served with LS "&amp;$F$1,TOCA_previous!$A$2:$AI$2,0),FALSE)*$F$2</f>
        <v>15231.456</v>
      </c>
      <c r="BL72" s="418">
        <f t="shared" si="27"/>
        <v>3795.9812957168033</v>
      </c>
      <c r="BM72" s="417">
        <f>(VLOOKUP($A72,TOCA_previous!$A$2:$AI$137,MATCH("RHWM 2020",TOCA_previous!$A$2:$AI$2,0),FALSE)*$F$2) - $BI72</f>
        <v>0</v>
      </c>
      <c r="BN72" s="418">
        <f t="shared" si="28"/>
        <v>0</v>
      </c>
      <c r="BO72" s="417">
        <f t="shared" si="29"/>
        <v>0</v>
      </c>
      <c r="BP72" s="418">
        <f t="shared" si="30"/>
        <v>0</v>
      </c>
      <c r="BQ72" s="417">
        <f t="shared" si="21"/>
        <v>0</v>
      </c>
      <c r="BR72" s="120">
        <f>VLOOKUP($A72,TOCA_current!$A$2:$AI$137,MATCH(BR$4,TOCA_current!$A$2:$AI$2,0),FALSE)</f>
        <v>1.8549E-3</v>
      </c>
      <c r="BS72" s="120">
        <f>VLOOKUP($A72,TOCA_current!$A$2:$AI$137,MATCH(BS$4,TOCA_current!$A$2:$AI$2,0),FALSE)</f>
        <v>1.8549E-3</v>
      </c>
      <c r="BT72" s="201">
        <f t="shared" si="31"/>
        <v>0</v>
      </c>
      <c r="BU72" s="120">
        <f>VLOOKUP($A72,TOCA_current!A68:BG203,MATCH(BU$4,TOCA_current!$A$2:$BG$2,0),FALSE)</f>
        <v>0</v>
      </c>
      <c r="BV72" s="120">
        <f t="shared" si="22"/>
        <v>0</v>
      </c>
      <c r="BW72" s="120">
        <f t="shared" si="23"/>
        <v>0</v>
      </c>
      <c r="BX72" s="191">
        <f>VLOOKUP($A72,IRD!$A$4:$G$139, 7, FALSE)</f>
        <v>0</v>
      </c>
      <c r="BY72" s="192">
        <f t="array" ref="BY72">IF($BT72=0, INDEX(LS_current!$D$4:$AY$138, MATCH('Staging Table'!$A72, LS_current!$B$4:$B$138, 0), MATCH(BY$4&amp;BY$5, LS_current!$D$2:$AY$2&amp;LS_current!$D$3:$AY$3, 0)),SUM(VLOOKUP($A72, LS_current!$B$4:$AY$138, LS_current!D$148, FALSE), VLOOKUP($A72, LS_current!$B$4:$AY$138,LS_current!AB$148, FALSE))/2)</f>
        <v>1139.3811383131015</v>
      </c>
      <c r="BZ72" s="192">
        <f t="array" ref="BZ72">IF($BT72=0, INDEX(LS_current!$D$4:$AY$138, MATCH('Staging Table'!$A72, LS_current!$B$4:$B$138, 0), MATCH(BZ$4&amp;BZ$5, LS_current!$D$2:$AY$2&amp;LS_current!$D$3:$AY$3, 0)),SUM(VLOOKUP($A72, LS_current!$B$4:$AY$138, LS_current!E$148, FALSE), VLOOKUP($A72, LS_current!$B$4:$AY$138,LS_current!AC$148, FALSE))/2)</f>
        <v>866.41945361360968</v>
      </c>
      <c r="CA72" s="192">
        <f t="array" ref="CA72">IF($BT72=0, INDEX(LS_current!$D$4:$AY$138, MATCH('Staging Table'!$A72, LS_current!$B$4:$B$138, 0), MATCH(CA$4&amp;CA$5, LS_current!$D$2:$AY$2&amp;LS_current!$D$3:$AY$3, 0)),SUM(VLOOKUP($A72, LS_current!$B$4:$AY$138, LS_current!F$148, FALSE), VLOOKUP($A72, LS_current!$B$4:$AY$138,LS_current!AD$148, FALSE))/2)</f>
        <v>163.54850313660245</v>
      </c>
      <c r="CB72" s="192">
        <f t="array" ref="CB72">IF($BT72=0, INDEX(LS_current!$D$4:$AY$138, MATCH('Staging Table'!$A72, LS_current!$B$4:$B$138, 0), MATCH(CB$4&amp;CB$5, LS_current!$D$2:$AY$2&amp;LS_current!$D$3:$AY$3, 0)),SUM(VLOOKUP($A72, LS_current!$B$4:$AY$138, LS_current!G$148, FALSE), VLOOKUP($A72, LS_current!$B$4:$AY$138,LS_current!AE$148, FALSE))/2)</f>
        <v>110.12173081598667</v>
      </c>
      <c r="CC72" s="192">
        <f t="array" ref="CC72">IF($BT72=0, INDEX(LS_current!$D$4:$AY$138, MATCH('Staging Table'!$A72, LS_current!$B$4:$B$138, 0), MATCH(CC$4&amp;CC$5, LS_current!$D$2:$AY$2&amp;LS_current!$D$3:$AY$3, 0)),SUM(VLOOKUP($A72, LS_current!$B$4:$AY$138, LS_current!H$148, FALSE), VLOOKUP($A72, LS_current!$B$4:$AY$138,LS_current!AF$148, FALSE))/2)</f>
        <v>1995.1764625899505</v>
      </c>
      <c r="CD72" s="192">
        <f t="array" ref="CD72">IF($BT72=0, INDEX(LS_current!$D$4:$AY$138, MATCH('Staging Table'!$A72, LS_current!$B$4:$B$138, 0), MATCH(CD$4&amp;CD$5, LS_current!$D$2:$AY$2&amp;LS_current!$D$3:$AY$3, 0)),SUM(VLOOKUP($A72, LS_current!$B$4:$AY$138, LS_current!I$148, FALSE), VLOOKUP($A72, LS_current!$B$4:$AY$138,LS_current!AG$148, FALSE))/2)</f>
        <v>511.90167164680224</v>
      </c>
      <c r="CE72" s="192">
        <f t="array" ref="CE72">IF($BT72=0, INDEX(LS_current!$D$4:$AY$138, MATCH('Staging Table'!$A72, LS_current!$B$4:$B$138, 0), MATCH(CE$4&amp;CE$5, LS_current!$D$2:$AY$2&amp;LS_current!$D$3:$AY$3, 0)),SUM(VLOOKUP($A72, LS_current!$B$4:$AY$138, LS_current!J$148, FALSE), VLOOKUP($A72, LS_current!$B$4:$AY$138,LS_current!AH$148, FALSE))/2)</f>
        <v>2623.5247677218822</v>
      </c>
      <c r="CF72" s="192">
        <f t="array" ref="CF72">IF($BT72=0, INDEX(LS_current!$D$4:$AY$138, MATCH('Staging Table'!$A72, LS_current!$B$4:$B$138, 0), MATCH(CF$4&amp;CF$5, LS_current!$D$2:$AY$2&amp;LS_current!$D$3:$AY$3, 0)),SUM(VLOOKUP($A72, LS_current!$B$4:$AY$138, LS_current!K$148, FALSE), VLOOKUP($A72, LS_current!$B$4:$AY$138,LS_current!AI$148, FALSE))/2)</f>
        <v>1471.6684395916823</v>
      </c>
      <c r="CG72" s="192">
        <f t="array" ref="CG72">IF($BT72=0, INDEX(LS_current!$D$4:$AY$138, MATCH('Staging Table'!$A72, LS_current!$B$4:$B$138, 0), MATCH(CG$4&amp;CG$5, LS_current!$D$2:$AY$2&amp;LS_current!$D$3:$AY$3, 0)),SUM(VLOOKUP($A72, LS_current!$B$4:$AY$138, LS_current!L$148, FALSE), VLOOKUP($A72, LS_current!$B$4:$AY$138,LS_current!AJ$148, FALSE))/2)</f>
        <v>1661.0114933273017</v>
      </c>
      <c r="CH72" s="192">
        <f t="array" ref="CH72">IF($BT72=0, INDEX(LS_current!$D$4:$AY$138, MATCH('Staging Table'!$A72, LS_current!$B$4:$B$138, 0), MATCH(CH$4&amp;CH$5, LS_current!$D$2:$AY$2&amp;LS_current!$D$3:$AY$3, 0)),SUM(VLOOKUP($A72, LS_current!$B$4:$AY$138, LS_current!M$148, FALSE), VLOOKUP($A72, LS_current!$B$4:$AY$138,LS_current!AK$148, FALSE))/2)</f>
        <v>402.09080331080486</v>
      </c>
      <c r="CI72" s="192">
        <f t="array" ref="CI72">IF($BT72=0, INDEX(LS_current!$D$4:$AY$138, MATCH('Staging Table'!$A72, LS_current!$B$4:$B$138, 0), MATCH(CI$4&amp;CI$5, LS_current!$D$2:$AY$2&amp;LS_current!$D$3:$AY$3, 0)),SUM(VLOOKUP($A72, LS_current!$B$4:$AY$138, LS_current!N$148, FALSE), VLOOKUP($A72, LS_current!$B$4:$AY$138,LS_current!AL$148, FALSE))/2)</f>
        <v>1086.4873727422992</v>
      </c>
      <c r="CJ72" s="192">
        <f t="array" ref="CJ72">IF($BT72=0, INDEX(LS_current!$D$4:$AY$138, MATCH('Staging Table'!$A72, LS_current!$B$4:$B$138, 0), MATCH(CJ$4&amp;CJ$5, LS_current!$D$2:$AY$2&amp;LS_current!$D$3:$AY$3, 0)),SUM(VLOOKUP($A72, LS_current!$B$4:$AY$138, LS_current!O$148, FALSE), VLOOKUP($A72, LS_current!$B$4:$AY$138,LS_current!AM$148, FALSE))/2)</f>
        <v>197.19353870728082</v>
      </c>
      <c r="CK72" s="192">
        <f t="array" ref="CK72">IF($BT72=0, INDEX(LS_current!$D$4:$AY$138, MATCH('Staging Table'!$A72, LS_current!$B$4:$B$138, 0), MATCH(CK$4&amp;CK$5, LS_current!$D$2:$AY$2&amp;LS_current!$D$3:$AY$3, 0)),SUM(VLOOKUP($A72, LS_current!$B$4:$AY$138, LS_current!P$148, FALSE), VLOOKUP($A72, LS_current!$B$4:$AY$138,LS_current!AN$148, FALSE))/2)</f>
        <v>986.36094305441929</v>
      </c>
      <c r="CL72" s="192">
        <f t="array" ref="CL72">IF($BT72=0, INDEX(LS_current!$D$4:$AY$138, MATCH('Staging Table'!$A72, LS_current!$B$4:$B$138, 0), MATCH(CL$4&amp;CL$5, LS_current!$D$2:$AY$2&amp;LS_current!$D$3:$AY$3, 0)),SUM(VLOOKUP($A72, LS_current!$B$4:$AY$138, LS_current!Q$148, FALSE), VLOOKUP($A72, LS_current!$B$4:$AY$138,LS_current!AO$148, FALSE))/2)</f>
        <v>191.46632935761136</v>
      </c>
      <c r="CM72" s="192">
        <f t="array" ref="CM72">IF($BT72=0, INDEX(LS_current!$D$4:$AY$138, MATCH('Staging Table'!$A72, LS_current!$B$4:$B$138, 0), MATCH(CM$4&amp;CM$5, LS_current!$D$2:$AY$2&amp;LS_current!$D$3:$AY$3, 0)),SUM(VLOOKUP($A72, LS_current!$B$4:$AY$138, LS_current!R$148, FALSE), VLOOKUP($A72, LS_current!$B$4:$AY$138,LS_current!AP$148, FALSE))/2)</f>
        <v>-2284.6758745428097</v>
      </c>
      <c r="CN72" s="192">
        <f t="array" ref="CN72">IF($BT72=0, INDEX(LS_current!$D$4:$AY$138, MATCH('Staging Table'!$A72, LS_current!$B$4:$B$138, 0), MATCH(CN$4&amp;CN$5, LS_current!$D$2:$AY$2&amp;LS_current!$D$3:$AY$3, 0)),SUM(VLOOKUP($A72, LS_current!$B$4:$AY$138, LS_current!S$148, FALSE), VLOOKUP($A72, LS_current!$B$4:$AY$138,LS_current!AQ$148, FALSE))/2)</f>
        <v>-636.20672430634613</v>
      </c>
      <c r="CO72" s="192">
        <f t="array" ref="CO72">IF($BT72=0, INDEX(LS_current!$D$4:$AY$138, MATCH('Staging Table'!$A72, LS_current!$B$4:$B$138, 0), MATCH(CO$4&amp;CO$5, LS_current!$D$2:$AY$2&amp;LS_current!$D$3:$AY$3, 0)),SUM(VLOOKUP($A72, LS_current!$B$4:$AY$138, LS_current!T$148, FALSE), VLOOKUP($A72, LS_current!$B$4:$AY$138,LS_current!AR$148, FALSE))/2)</f>
        <v>-3005.8252601771646</v>
      </c>
      <c r="CP72" s="192">
        <f t="array" ref="CP72">IF($BT72=0, INDEX(LS_current!$D$4:$AY$138, MATCH('Staging Table'!$A72, LS_current!$B$4:$B$138, 0), MATCH(CP$4&amp;CP$5, LS_current!$D$2:$AY$2&amp;LS_current!$D$3:$AY$3, 0)),SUM(VLOOKUP($A72, LS_current!$B$4:$AY$138, LS_current!U$148, FALSE), VLOOKUP($A72, LS_current!$B$4:$AY$138,LS_current!AS$148, FALSE))/2)</f>
        <v>-853.7822964661782</v>
      </c>
      <c r="CQ72" s="192">
        <f t="array" ref="CQ72">IF($BT72=0, INDEX(LS_current!$D$4:$AY$138, MATCH('Staging Table'!$A72, LS_current!$B$4:$B$138, 0), MATCH(CQ$4&amp;CQ$5, LS_current!$D$2:$AY$2&amp;LS_current!$D$3:$AY$3, 0)),SUM(VLOOKUP($A72, LS_current!$B$4:$AY$138, LS_current!V$148, FALSE), VLOOKUP($A72, LS_current!$B$4:$AY$138,LS_current!AT$148, FALSE))/2)</f>
        <v>-2010.2138862720294</v>
      </c>
      <c r="CR72" s="192">
        <f t="array" ref="CR72">IF($BT72=0, INDEX(LS_current!$D$4:$AY$138, MATCH('Staging Table'!$A72, LS_current!$B$4:$B$138, 0), MATCH(CR$4&amp;CR$5, LS_current!$D$2:$AY$2&amp;LS_current!$D$3:$AY$3, 0)),SUM(VLOOKUP($A72, LS_current!$B$4:$AY$138, LS_current!W$148, FALSE), VLOOKUP($A72, LS_current!$B$4:$AY$138,LS_current!AU$148, FALSE))/2)</f>
        <v>-663.06270700337336</v>
      </c>
      <c r="CS72" s="192">
        <f t="array" ref="CS72">IF($BT72=0, INDEX(LS_current!$D$4:$AY$138, MATCH('Staging Table'!$A72, LS_current!$B$4:$B$138, 0), MATCH(CS$4&amp;CS$5, LS_current!$D$2:$AY$2&amp;LS_current!$D$3:$AY$3, 0)),SUM(VLOOKUP($A72, LS_current!$B$4:$AY$138, LS_current!X$148, FALSE), VLOOKUP($A72, LS_current!$B$4:$AY$138,LS_current!AV$148, FALSE))/2)</f>
        <v>-158.65220418792796</v>
      </c>
      <c r="CT72" s="192">
        <f t="array" ref="CT72">IF($BT72=0, INDEX(LS_current!$D$4:$AY$138, MATCH('Staging Table'!$A72, LS_current!$B$4:$B$138, 0), MATCH(CT$4&amp;CT$5, LS_current!$D$2:$AY$2&amp;LS_current!$D$3:$AY$3, 0)),SUM(VLOOKUP($A72, LS_current!$B$4:$AY$138, LS_current!Y$148, FALSE), VLOOKUP($A72, LS_current!$B$4:$AY$138,LS_current!AW$148, FALSE))/2)</f>
        <v>32.36764684141599</v>
      </c>
      <c r="CU72" s="192">
        <f t="array" ref="CU72">IF($BT72=0, INDEX(LS_current!$D$4:$AY$138, MATCH('Staging Table'!$A72, LS_current!$B$4:$B$138, 0), MATCH(CU$4&amp;CU$5, LS_current!$D$2:$AY$2&amp;LS_current!$D$3:$AY$3, 0)),SUM(VLOOKUP($A72, LS_current!$B$4:$AY$138, LS_current!Z$148, FALSE), VLOOKUP($A72, LS_current!$B$4:$AY$138,LS_current!AX$148, FALSE))/2)</f>
        <v>838.41730503655072</v>
      </c>
      <c r="CV72" s="192">
        <f t="array" ref="CV72">IF($BT72=0, INDEX(LS_current!$D$4:$AY$138, MATCH('Staging Table'!$A72, LS_current!$B$4:$B$138, 0), MATCH(CV$4&amp;CV$5, LS_current!$D$2:$AY$2&amp;LS_current!$D$3:$AY$3, 0)),SUM(VLOOKUP($A72, LS_current!$B$4:$AY$138, LS_current!AA$148, FALSE), VLOOKUP($A72, LS_current!$B$4:$AY$138,LS_current!AY$148, FALSE))/2)</f>
        <v>578.19052471249825</v>
      </c>
      <c r="CW72" s="194">
        <f t="array" ref="CW72">INDEX(Demand_current!$D$4:$AY$138, MATCH($A72, Demand_current!$B$4:$B$138, 0), MATCH(CW$4&amp;CW$5,Demand_current!$D$2:$AY$2&amp;Demand_current!$D$3:$AY$3, 0))/1000</f>
        <v>1.0836081730769229</v>
      </c>
      <c r="CX72" s="194">
        <f t="array" ref="CX72">INDEX(Demand_current!$D$4:$AY$138, MATCH($A72, Demand_current!$B$4:$B$138, 0), MATCH(CX$4&amp;CX$5,Demand_current!$D$2:$AY$2&amp;Demand_current!$D$3:$AY$3, 0))/1000</f>
        <v>2.0867925000000009</v>
      </c>
      <c r="CY72" s="194">
        <f t="array" ref="CY72">INDEX(Demand_current!$D$4:$AY$138, MATCH($A72, Demand_current!$B$4:$B$138, 0), MATCH(CY$4&amp;CY$5,Demand_current!$D$2:$AY$2&amp;Demand_current!$D$3:$AY$3, 0))/1000</f>
        <v>1.4769951923076943</v>
      </c>
      <c r="CZ72" s="194">
        <f t="array" ref="CZ72">INDEX(Demand_current!$D$4:$AY$138, MATCH($A72, Demand_current!$B$4:$B$138, 0), MATCH(CZ$4&amp;CZ$5,Demand_current!$D$2:$AY$2&amp;Demand_current!$D$3:$AY$3, 0))/1000</f>
        <v>1.937149999999999</v>
      </c>
      <c r="DA72" s="194">
        <f t="array" ref="DA72">INDEX(Demand_current!$D$4:$AY$138, MATCH($A72, Demand_current!$B$4:$B$138, 0), MATCH(DA$4&amp;DA$5,Demand_current!$D$2:$AY$2&amp;Demand_current!$D$3:$AY$3, 0))/1000</f>
        <v>3.868835937500001</v>
      </c>
      <c r="DB72" s="194">
        <f t="array" ref="DB72">INDEX(Demand_current!$D$4:$AY$138, MATCH($A72, Demand_current!$B$4:$B$138, 0), MATCH(DB$4&amp;DB$5,Demand_current!$D$2:$AY$2&amp;Demand_current!$D$3:$AY$3, 0))/1000</f>
        <v>1.762585648148149</v>
      </c>
      <c r="DC72" s="194">
        <f t="array" ref="DC72">INDEX(Demand_current!$D$4:$AY$138, MATCH($A72, Demand_current!$B$4:$B$138, 0), MATCH(DC$4&amp;DC$5,Demand_current!$D$2:$AY$2&amp;Demand_current!$D$3:$AY$3, 0))/1000</f>
        <v>0</v>
      </c>
      <c r="DD72" s="194">
        <f t="array" ref="DD72">INDEX(Demand_current!$D$4:$AY$138, MATCH($A72, Demand_current!$B$4:$B$138, 0), MATCH(DD$4&amp;DD$5,Demand_current!$D$2:$AY$2&amp;Demand_current!$D$3:$AY$3, 0))/1000</f>
        <v>0.62820999999999927</v>
      </c>
      <c r="DE72" s="194">
        <f t="array" ref="DE72">INDEX(Demand_current!$D$4:$AY$138, MATCH($A72, Demand_current!$B$4:$B$138, 0), MATCH(DE$4&amp;DE$5,Demand_current!$D$2:$AY$2&amp;Demand_current!$D$3:$AY$3, 0))/1000</f>
        <v>1.0998317307692307</v>
      </c>
      <c r="DF72" s="194">
        <f t="array" ref="DF72">INDEX(Demand_current!$D$4:$AY$138, MATCH($A72, Demand_current!$B$4:$B$138, 0), MATCH(DF$4&amp;DF$5,Demand_current!$D$2:$AY$2&amp;Demand_current!$D$3:$AY$3, 0))/1000</f>
        <v>1.1863999999999995</v>
      </c>
      <c r="DG72" s="194">
        <f t="array" ref="DG72">INDEX(Demand_current!$D$4:$AY$138, MATCH($A72, Demand_current!$B$4:$B$138, 0), MATCH(DG$4&amp;DG$5,Demand_current!$D$2:$AY$2&amp;Demand_current!$D$3:$AY$3, 0))/1000</f>
        <v>1.9040439814814825</v>
      </c>
      <c r="DH72" s="194">
        <f t="array" ref="DH72">INDEX(Demand_current!$D$4:$AY$138, MATCH($A72, Demand_current!$B$4:$B$138, 0), MATCH(DH$4&amp;DH$5,Demand_current!$D$2:$AY$2&amp;Demand_current!$D$3:$AY$3, 0))/1000</f>
        <v>2.3026675000000001</v>
      </c>
      <c r="DI72" s="192">
        <f>$BS72*(VLOOKUP(DI$4, Rates_current!$G$6:$Q$29, 10, FALSE)+VLOOKUP(DI$4, Rates_current!$G$6:$Q$29, 11, FALSE))</f>
        <v>8447.0744080732893</v>
      </c>
      <c r="DJ72" s="192">
        <f>$BS72*(VLOOKUP(DJ$4, Rates_current!$G$6:$Q$29, 10, FALSE)+VLOOKUP(DJ$4, Rates_current!$G$6:$Q$29, 11, FALSE))</f>
        <v>10694.302766047411</v>
      </c>
      <c r="DK72" s="192">
        <f>$BS72*(VLOOKUP(DK$4, Rates_current!$G$6:$Q$29, 10, FALSE)+VLOOKUP(DK$4, Rates_current!$G$6:$Q$29, 11, FALSE))</f>
        <v>10467.585865763249</v>
      </c>
      <c r="DL72" s="192">
        <f>$BS72*(VLOOKUP(DL$4, Rates_current!$G$6:$Q$29, 10, FALSE)+VLOOKUP(DL$4, Rates_current!$G$6:$Q$29, 11, FALSE))</f>
        <v>8645.7807926864352</v>
      </c>
      <c r="DM72" s="192">
        <f>$BS72*(VLOOKUP(DM$4, Rates_current!$G$6:$Q$29, 10, FALSE)+VLOOKUP(DM$4, Rates_current!$G$6:$Q$29, 11, FALSE))</f>
        <v>7493.4877033618932</v>
      </c>
      <c r="DN72" s="192">
        <f>$BS72*(VLOOKUP(DN$4, Rates_current!$G$6:$Q$29, 10, FALSE)+VLOOKUP(DN$4, Rates_current!$G$6:$Q$29, 11, FALSE))</f>
        <v>8945.7110885504208</v>
      </c>
      <c r="DO72" s="192">
        <f>$BS72*(VLOOKUP(DO$4, Rates_current!$G$6:$Q$29, 10, FALSE)+VLOOKUP(DO$4, Rates_current!$G$6:$Q$29, 11, FALSE))</f>
        <v>6945.1537275879691</v>
      </c>
      <c r="DP72" s="192">
        <f>$BS72*(VLOOKUP(DP$4, Rates_current!$G$6:$Q$29, 10, FALSE)+VLOOKUP(DP$4, Rates_current!$G$6:$Q$29, 11, FALSE))</f>
        <v>9622.5615988491554</v>
      </c>
      <c r="DQ72" s="192">
        <f>$BS72*(VLOOKUP(DQ$4, Rates_current!$G$6:$Q$29, 10, FALSE)+VLOOKUP(DQ$4, Rates_current!$G$6:$Q$29, 11, FALSE))</f>
        <v>10281.90855664334</v>
      </c>
      <c r="DR72" s="192">
        <f>$BS72*(VLOOKUP(DR$4, Rates_current!$G$6:$Q$29, 10, FALSE)+VLOOKUP(DR$4, Rates_current!$G$6:$Q$29, 11, FALSE))</f>
        <v>9762.2065932754031</v>
      </c>
      <c r="DS72" s="192">
        <f>$BS72*(VLOOKUP(DS$4, Rates_current!$G$6:$Q$29, 10, FALSE)+VLOOKUP(DS$4, Rates_current!$G$6:$Q$29, 11, FALSE))</f>
        <v>9434.4195573465113</v>
      </c>
      <c r="DT72" s="192">
        <f>$BS72*(VLOOKUP(DT$4, Rates_current!$G$6:$Q$29, 10, FALSE)+VLOOKUP(DT$4, Rates_current!$G$6:$Q$29, 11, FALSE))</f>
        <v>8718.3871702509514</v>
      </c>
      <c r="DU72" s="418">
        <f>IF(D72=0,IF(C72=0,MAX(0,DW72 - (VLOOKUP($A72,TOCA_current!$A$2:$AI$137,MATCH("RHWM 2022",TOCA_current!$A$2:$AI$2,0),FALSE)*$BS$2)), 0),0)</f>
        <v>5245.2945992799796</v>
      </c>
      <c r="DV72" s="419">
        <f>MIN(VLOOKUP($A72,TOCA_current!$A$2:$AI$137,MATCH("TRL - NLSL - Existing Resource "&amp;$BS$1,TOCA_current!$A$2:$AI$2,0),FALSE)*$BS$2, VLOOKUP($A72,TOCA_current!$A$2:$AI$137,MATCH("RHWM 2022",TOCA_current!$A$2:$AI$2,0),FALSE)*$BS$2)</f>
        <v>109456.2</v>
      </c>
      <c r="DW72" s="419">
        <f>SUM(BY72:CV72)+(BS72*RT1SC!$C$4*$BS$2)</f>
        <v>114701.49459927998</v>
      </c>
      <c r="DX72" s="419">
        <f>VLOOKUP($A72,TOCA_current!$A$2:$AI$137,MATCH("Above RHWM Not Served with LS "&amp;$BS$1,TOCA_current!$A$2:$AI$2,0),FALSE)*$BS$2</f>
        <v>18772.679999999997</v>
      </c>
      <c r="DY72" s="419">
        <f t="shared" si="32"/>
        <v>5245.2945992799796</v>
      </c>
      <c r="DZ72" s="419">
        <f>(VLOOKUP($A72,TOCA_current!$A$2:$AI$137,MATCH("RHWM 2022",TOCA_current!$A$2:$AI$2,0),FALSE)*$BS$2) - $DV72</f>
        <v>0</v>
      </c>
      <c r="EA72" s="419">
        <f t="shared" si="33"/>
        <v>0</v>
      </c>
      <c r="EB72" s="419">
        <f t="shared" si="34"/>
        <v>0</v>
      </c>
      <c r="EC72" s="419">
        <f t="shared" si="35"/>
        <v>0</v>
      </c>
      <c r="ED72" s="419">
        <f t="shared" si="36"/>
        <v>0</v>
      </c>
    </row>
    <row r="73" spans="1:134">
      <c r="A73" s="135">
        <v>10203</v>
      </c>
      <c r="B73" s="136" t="s">
        <v>74</v>
      </c>
      <c r="C73" s="244">
        <f>VLOOKUP(A73, TOCA_current!$A$3:$D$137, 4, FALSE)</f>
        <v>0</v>
      </c>
      <c r="D73" s="203">
        <v>0</v>
      </c>
      <c r="E73" s="119">
        <f>VLOOKUP($A73,TOCA_previous!$A$2:$AI$137,MATCH(E$4,TOCA_previous!$A$2:$AI$2,0),FALSE)</f>
        <v>8.7980000000000003E-4</v>
      </c>
      <c r="F73" s="120">
        <f>VLOOKUP($A73,TOCA_previous!$A$2:$AI$137,MATCH(F$4,TOCA_previous!$A$2:$AI$2,0),FALSE)</f>
        <v>8.7980000000000003E-4</v>
      </c>
      <c r="G73" s="120">
        <f t="shared" si="24"/>
        <v>0</v>
      </c>
      <c r="H73" s="120">
        <f>VLOOKUP($A73,TOCA_previous!$A$2:$AI$137,MATCH(H$4,TOCA_previous!$A$2:$AI$2,0),FALSE)</f>
        <v>7.2514563106796132E-2</v>
      </c>
      <c r="I73" s="120">
        <f t="shared" si="25"/>
        <v>0</v>
      </c>
      <c r="J73" s="120">
        <f t="shared" si="26"/>
        <v>0</v>
      </c>
      <c r="K73" s="191">
        <f>VLOOKUP(A73, IRD!$A$5:$C$139, 3, FALSE)</f>
        <v>0</v>
      </c>
      <c r="L73" s="192">
        <f t="array" ref="L73">IF($G73=0, INDEX(LS_previous!$D$4:$AY$138, MATCH('Staging Table'!$A73, LS_previous!$B$4:$B$138, 0), MATCH(L$4&amp;L$5, LS_previous!$D$2:$AY$2&amp;LS_previous!$D$3:$AY$3, 0)),SUM(VLOOKUP($A73, LS_previous!$B$4:$AY$138, LS_previous!D$149, FALSE), VLOOKUP('Staging Table'!$A73, LS_previous!$B$4:$AY$138,LS_previous!AB$149, FALSE))/2)</f>
        <v>-45.916728362400136</v>
      </c>
      <c r="M73" s="192">
        <f t="array" ref="M73">IF($G73=0, INDEX(LS_previous!$D$4:$AY$138, MATCH('Staging Table'!$A73, LS_previous!$B$4:$B$138, 0), MATCH(M$4&amp;M$5, LS_previous!$D$2:$AY$2&amp;LS_previous!$D$3:$AY$3, 0)),SUM(VLOOKUP($A73, LS_previous!$B$4:$AY$138, LS_previous!E$149, FALSE), VLOOKUP('Staging Table'!$A73, LS_previous!$B$4:$AY$138,LS_previous!AC$149, FALSE))/2)</f>
        <v>108.47905932160006</v>
      </c>
      <c r="N73" s="192">
        <f t="array" ref="N73">IF($G73=0, INDEX(LS_previous!$D$4:$AY$138, MATCH('Staging Table'!$A73, LS_previous!$B$4:$B$138, 0), MATCH(N$4&amp;N$5, LS_previous!$D$2:$AY$2&amp;LS_previous!$D$3:$AY$3, 0)),SUM(VLOOKUP($A73, LS_previous!$B$4:$AY$138, LS_previous!F$149, FALSE), VLOOKUP('Staging Table'!$A73, LS_previous!$B$4:$AY$138,LS_previous!AD$149, FALSE))/2)</f>
        <v>-7.302951134399791</v>
      </c>
      <c r="O73" s="192">
        <f t="array" ref="O73">IF($G73=0, INDEX(LS_previous!$D$4:$AY$138, MATCH('Staging Table'!$A73, LS_previous!$B$4:$B$138, 0), MATCH(O$4&amp;O$5, LS_previous!$D$2:$AY$2&amp;LS_previous!$D$3:$AY$3, 0)),SUM(VLOOKUP($A73, LS_previous!$B$4:$AY$138, LS_previous!G$149, FALSE), VLOOKUP('Staging Table'!$A73, LS_previous!$B$4:$AY$138,LS_previous!AE$149, FALSE))/2)</f>
        <v>309.29478746219979</v>
      </c>
      <c r="P73" s="192">
        <f t="array" ref="P73">IF($G73=0, INDEX(LS_previous!$D$4:$AY$138, MATCH('Staging Table'!$A73, LS_previous!$B$4:$B$138, 0), MATCH(P$4&amp;P$5, LS_previous!$D$2:$AY$2&amp;LS_previous!$D$3:$AY$3, 0)),SUM(VLOOKUP($A73, LS_previous!$B$4:$AY$138, LS_previous!H$149, FALSE), VLOOKUP('Staging Table'!$A73, LS_previous!$B$4:$AY$138,LS_previous!AF$149, FALSE))/2)</f>
        <v>731.81981997439971</v>
      </c>
      <c r="Q73" s="192">
        <f t="array" ref="Q73">IF($G73=0, INDEX(LS_previous!$D$4:$AY$138, MATCH('Staging Table'!$A73, LS_previous!$B$4:$B$138, 0), MATCH(Q$4&amp;Q$5, LS_previous!$D$2:$AY$2&amp;LS_previous!$D$3:$AY$3, 0)),SUM(VLOOKUP($A73, LS_previous!$B$4:$AY$138, LS_previous!I$149, FALSE), VLOOKUP('Staging Table'!$A73, LS_previous!$B$4:$AY$138,LS_previous!AG$149, FALSE))/2)</f>
        <v>836.13592758479967</v>
      </c>
      <c r="R73" s="192">
        <f t="array" ref="R73">IF($G73=0, INDEX(LS_previous!$D$4:$AY$138, MATCH('Staging Table'!$A73, LS_previous!$B$4:$B$138, 0), MATCH(R$4&amp;R$5, LS_previous!$D$2:$AY$2&amp;LS_previous!$D$3:$AY$3, 0)),SUM(VLOOKUP($A73, LS_previous!$B$4:$AY$138, LS_previous!J$149, FALSE), VLOOKUP('Staging Table'!$A73, LS_previous!$B$4:$AY$138,LS_previous!AH$149, FALSE))/2)</f>
        <v>1083.5211247743996</v>
      </c>
      <c r="S73" s="192">
        <f t="array" ref="S73">IF($G73=0, INDEX(LS_previous!$D$4:$AY$138, MATCH('Staging Table'!$A73, LS_previous!$B$4:$B$138, 0), MATCH(S$4&amp;S$5, LS_previous!$D$2:$AY$2&amp;LS_previous!$D$3:$AY$3, 0)),SUM(VLOOKUP($A73, LS_previous!$B$4:$AY$138, LS_previous!K$149, FALSE), VLOOKUP('Staging Table'!$A73, LS_previous!$B$4:$AY$138,LS_previous!AI$149, FALSE))/2)</f>
        <v>1109.8189731847999</v>
      </c>
      <c r="T73" s="192">
        <f t="array" ref="T73">IF($G73=0, INDEX(LS_previous!$D$4:$AY$138, MATCH('Staging Table'!$A73, LS_previous!$B$4:$B$138, 0), MATCH(T$4&amp;T$5, LS_previous!$D$2:$AY$2&amp;LS_previous!$D$3:$AY$3, 0)),SUM(VLOOKUP($A73, LS_previous!$B$4:$AY$138, LS_previous!L$149, FALSE), VLOOKUP('Staging Table'!$A73, LS_previous!$B$4:$AY$138,LS_previous!AJ$149, FALSE))/2)</f>
        <v>827.31865030480003</v>
      </c>
      <c r="U73" s="192">
        <f t="array" ref="U73">IF($G73=0, INDEX(LS_previous!$D$4:$AY$138, MATCH('Staging Table'!$A73, LS_previous!$B$4:$B$138, 0), MATCH(U$4&amp;U$5, LS_previous!$D$2:$AY$2&amp;LS_previous!$D$3:$AY$3, 0)),SUM(VLOOKUP($A73, LS_previous!$B$4:$AY$138, LS_previous!M$149, FALSE), VLOOKUP('Staging Table'!$A73, LS_previous!$B$4:$AY$138,LS_previous!AK$149, FALSE))/2)</f>
        <v>717.15868905519983</v>
      </c>
      <c r="V73" s="192">
        <f t="array" ref="V73">IF($G73=0, INDEX(LS_previous!$D$4:$AY$138, MATCH('Staging Table'!$A73, LS_previous!$B$4:$B$138, 0), MATCH(V$4&amp;V$5, LS_previous!$D$2:$AY$2&amp;LS_previous!$D$3:$AY$3, 0)),SUM(VLOOKUP($A73, LS_previous!$B$4:$AY$138, LS_previous!N$149, FALSE), VLOOKUP('Staging Table'!$A73, LS_previous!$B$4:$AY$138,LS_previous!AL$149, FALSE))/2)</f>
        <v>372.10036068320051</v>
      </c>
      <c r="W73" s="192">
        <f t="array" ref="W73">IF($G73=0, INDEX(LS_previous!$D$4:$AY$138, MATCH('Staging Table'!$A73, LS_previous!$B$4:$B$138, 0), MATCH(W$4&amp;W$5, LS_previous!$D$2:$AY$2&amp;LS_previous!$D$3:$AY$3, 0)),SUM(VLOOKUP($A73, LS_previous!$B$4:$AY$138, LS_previous!O$149, FALSE), VLOOKUP('Staging Table'!$A73, LS_previous!$B$4:$AY$138,LS_previous!AM$149, FALSE))/2)</f>
        <v>406.75022994419987</v>
      </c>
      <c r="X73" s="192">
        <f t="array" ref="X73">IF($G73=0, INDEX(LS_previous!$D$4:$AY$138, MATCH('Staging Table'!$A73, LS_previous!$B$4:$B$138, 0), MATCH(X$4&amp;X$5, LS_previous!$D$2:$AY$2&amp;LS_previous!$D$3:$AY$3, 0)),SUM(VLOOKUP($A73, LS_previous!$B$4:$AY$138, LS_previous!P$149, FALSE), VLOOKUP('Staging Table'!$A73, LS_previous!$B$4:$AY$138,LS_previous!AN$149, FALSE))/2)</f>
        <v>412.39514222880007</v>
      </c>
      <c r="Y73" s="192">
        <f t="array" ref="Y73">IF($G73=0, INDEX(LS_previous!$D$4:$AY$138, MATCH('Staging Table'!$A73, LS_previous!$B$4:$B$138, 0), MATCH(Y$4&amp;Y$5, LS_previous!$D$2:$AY$2&amp;LS_previous!$D$3:$AY$3, 0)),SUM(VLOOKUP($A73, LS_previous!$B$4:$AY$138, LS_previous!Q$149, FALSE), VLOOKUP('Staging Table'!$A73, LS_previous!$B$4:$AY$138,LS_previous!AO$149, FALSE))/2)</f>
        <v>345.25835106720001</v>
      </c>
      <c r="Z73" s="192">
        <f t="array" ref="Z73">IF($G73=0, INDEX(LS_previous!$D$4:$AY$138, MATCH('Staging Table'!$A73, LS_previous!$B$4:$B$138, 0), MATCH(Z$4&amp;Z$5, LS_previous!$D$2:$AY$2&amp;LS_previous!$D$3:$AY$3, 0)),SUM(VLOOKUP($A73, LS_previous!$B$4:$AY$138, LS_previous!R$149, FALSE), VLOOKUP('Staging Table'!$A73, LS_previous!$B$4:$AY$138,LS_previous!AP$149, FALSE))/2)</f>
        <v>-760.98903058000042</v>
      </c>
      <c r="AA73" s="192">
        <f t="array" ref="AA73">IF($G73=0, INDEX(LS_previous!$D$4:$AY$138, MATCH('Staging Table'!$A73, LS_previous!$B$4:$B$138, 0), MATCH(AA$4&amp;AA$5, LS_previous!$D$2:$AY$2&amp;LS_previous!$D$3:$AY$3, 0)),SUM(VLOOKUP($A73, LS_previous!$B$4:$AY$138, LS_previous!S$149, FALSE), VLOOKUP('Staging Table'!$A73, LS_previous!$B$4:$AY$138,LS_previous!AQ$149, FALSE))/2)</f>
        <v>-169.78906236080002</v>
      </c>
      <c r="AB73" s="192">
        <f t="array" ref="AB73">IF($G73=0, INDEX(LS_previous!$D$4:$AY$138, MATCH('Staging Table'!$A73, LS_previous!$B$4:$B$138, 0), MATCH(AB$4&amp;AB$5, LS_previous!$D$2:$AY$2&amp;LS_previous!$D$3:$AY$3, 0)),SUM(VLOOKUP($A73, LS_previous!$B$4:$AY$138, LS_previous!T$149, FALSE), VLOOKUP('Staging Table'!$A73, LS_previous!$B$4:$AY$138,LS_previous!AR$149, FALSE))/2)</f>
        <v>-1569.7691330712</v>
      </c>
      <c r="AC73" s="192">
        <f t="array" ref="AC73">IF($G73=0, INDEX(LS_previous!$D$4:$AY$138, MATCH('Staging Table'!$A73, LS_previous!$B$4:$B$138, 0), MATCH(AC$4&amp;AC$5, LS_previous!$D$2:$AY$2&amp;LS_previous!$D$3:$AY$3, 0)),SUM(VLOOKUP($A73, LS_previous!$B$4:$AY$138, LS_previous!U$149, FALSE), VLOOKUP('Staging Table'!$A73, LS_previous!$B$4:$AY$138,LS_previous!AS$149, FALSE))/2)</f>
        <v>-795.02947173280018</v>
      </c>
      <c r="AD73" s="192">
        <f t="array" ref="AD73">IF($G73=0, INDEX(LS_previous!$D$4:$AY$138, MATCH('Staging Table'!$A73, LS_previous!$B$4:$B$138, 0), MATCH(AD$4&amp;AD$5, LS_previous!$D$2:$AY$2&amp;LS_previous!$D$3:$AY$3, 0)),SUM(VLOOKUP($A73, LS_previous!$B$4:$AY$138, LS_previous!V$149, FALSE), VLOOKUP('Staging Table'!$A73, LS_previous!$B$4:$AY$138,LS_previous!AT$149, FALSE))/2)</f>
        <v>-542.8945920711999</v>
      </c>
      <c r="AE73" s="192">
        <f t="array" ref="AE73">IF($G73=0, INDEX(LS_previous!$D$4:$AY$138, MATCH('Staging Table'!$A73, LS_previous!$B$4:$B$138, 0), MATCH(AE$4&amp;AE$5, LS_previous!$D$2:$AY$2&amp;LS_previous!$D$3:$AY$3, 0)),SUM(VLOOKUP($A73, LS_previous!$B$4:$AY$138, LS_previous!W$149, FALSE), VLOOKUP('Staging Table'!$A73, LS_previous!$B$4:$AY$138,LS_previous!AU$149, FALSE))/2)</f>
        <v>133.49541583039991</v>
      </c>
      <c r="AF73" s="192">
        <f t="array" ref="AF73">IF($G73=0, INDEX(LS_previous!$D$4:$AY$138, MATCH('Staging Table'!$A73, LS_previous!$B$4:$B$138, 0), MATCH(AF$4&amp;AF$5, LS_previous!$D$2:$AY$2&amp;LS_previous!$D$3:$AY$3, 0)),SUM(VLOOKUP($A73, LS_previous!$B$4:$AY$138, LS_previous!X$149, FALSE), VLOOKUP('Staging Table'!$A73, LS_previous!$B$4:$AY$138,LS_previous!AV$149, FALSE))/2)</f>
        <v>-438.71166217119981</v>
      </c>
      <c r="AG73" s="192">
        <f t="array" ref="AG73">IF($G73=0, INDEX(LS_previous!$D$4:$AY$138, MATCH('Staging Table'!$A73, LS_previous!$B$4:$B$138, 0), MATCH(AG$4&amp;AG$5, LS_previous!$D$2:$AY$2&amp;LS_previous!$D$3:$AY$3, 0)),SUM(VLOOKUP($A73, LS_previous!$B$4:$AY$138, LS_previous!Y$149, FALSE), VLOOKUP('Staging Table'!$A73, LS_previous!$B$4:$AY$138,LS_previous!AW$149, FALSE))/2)</f>
        <v>-36.48148816959997</v>
      </c>
      <c r="AH73" s="192">
        <f t="array" ref="AH73">IF($G73=0, INDEX(LS_previous!$D$4:$AY$138, MATCH('Staging Table'!$A73, LS_previous!$B$4:$B$138, 0), MATCH(AH$4&amp;AH$5, LS_previous!$D$2:$AY$2&amp;LS_previous!$D$3:$AY$3, 0)),SUM(VLOOKUP($A73, LS_previous!$B$4:$AY$138, LS_previous!Z$149, FALSE), VLOOKUP('Staging Table'!$A73, LS_previous!$B$4:$AY$138,LS_previous!AX$149, FALSE))/2)</f>
        <v>-495.77365088000033</v>
      </c>
      <c r="AI73" s="192">
        <f t="array" ref="AI73">IF($G73=0, INDEX(LS_previous!$D$4:$AY$138, MATCH('Staging Table'!$A73, LS_previous!$B$4:$B$138, 0), MATCH(AI$4&amp;AI$5, LS_previous!$D$2:$AY$2&amp;LS_previous!$D$3:$AY$3, 0)),SUM(VLOOKUP($A73, LS_previous!$B$4:$AY$138, LS_previous!AA$149, FALSE), VLOOKUP('Staging Table'!$A73, LS_previous!$B$4:$AY$138,LS_previous!AY$149, FALSE))/2)</f>
        <v>-113.12185962399985</v>
      </c>
      <c r="AJ73" s="314">
        <f t="array" ref="AJ73">INDEX(Demand_previous!$D$4:$AY$138, MATCH('Staging Table'!$A73, Demand_previous!$B$4:$B$138, 0), MATCH(AJ$4&amp;AJ$5,Demand_previous!$D$2:$AY$2&amp;Demand_previous!$D$3:$AY$3, 0))/1000</f>
        <v>0.87410416666666668</v>
      </c>
      <c r="AK73" s="314">
        <f t="array" ref="AK73">INDEX(Demand_previous!$D$4:$AY$138, MATCH('Staging Table'!$A73, Demand_previous!$B$4:$B$138, 0), MATCH(AK$4&amp;AK$5,Demand_previous!$D$2:$AY$2&amp;Demand_previous!$D$3:$AY$3, 0))/1000</f>
        <v>1.2538875000000003</v>
      </c>
      <c r="AL73" s="314">
        <f t="array" ref="AL73">INDEX(Demand_previous!$D$4:$AY$138, MATCH('Staging Table'!$A73, Demand_previous!$B$4:$B$138, 0), MATCH(AL$4&amp;AL$5,Demand_previous!$D$2:$AY$2&amp;Demand_previous!$D$3:$AY$3, 0))/1000</f>
        <v>1.255644999999999</v>
      </c>
      <c r="AM73" s="314">
        <f t="array" ref="AM73">INDEX(Demand_previous!$D$4:$AY$138, MATCH('Staging Table'!$A73, Demand_previous!$B$4:$B$138, 0), MATCH(AM$4&amp;AM$5,Demand_previous!$D$2:$AY$2&amp;Demand_previous!$D$3:$AY$3, 0))/1000</f>
        <v>1.9144206730769242</v>
      </c>
      <c r="AN73" s="314">
        <f t="array" ref="AN73">INDEX(Demand_previous!$D$4:$AY$138, MATCH('Staging Table'!$A73, Demand_previous!$B$4:$B$138, 0), MATCH(AN$4&amp;AN$5,Demand_previous!$D$2:$AY$2&amp;Demand_previous!$D$3:$AY$3, 0))/1000</f>
        <v>0.96976999999999913</v>
      </c>
      <c r="AO73" s="314">
        <f t="array" ref="AO73">INDEX(Demand_previous!$D$4:$AY$138, MATCH('Staging Table'!$A73, Demand_previous!$B$4:$B$138, 0), MATCH(AO$4&amp;AO$5,Demand_previous!$D$2:$AY$2&amp;Demand_previous!$D$3:$AY$3, 0))/1000</f>
        <v>1.1147596153846147</v>
      </c>
      <c r="AP73" s="314">
        <f t="array" ref="AP73">INDEX(Demand_previous!$D$4:$AY$138, MATCH('Staging Table'!$A73, Demand_previous!$B$4:$B$138, 0), MATCH(AP$4&amp;AP$5,Demand_previous!$D$2:$AY$2&amp;Demand_previous!$D$3:$AY$3, 0))/1000</f>
        <v>1.074973557692307</v>
      </c>
      <c r="AQ73" s="314">
        <f t="array" ref="AQ73">INDEX(Demand_previous!$D$4:$AY$138, MATCH('Staging Table'!$A73, Demand_previous!$B$4:$B$138, 0), MATCH(AQ$4&amp;AQ$5,Demand_previous!$D$2:$AY$2&amp;Demand_previous!$D$3:$AY$3, 0))/1000</f>
        <v>1.2974150000000004</v>
      </c>
      <c r="AR73" s="314">
        <f t="array" ref="AR73">INDEX(Demand_previous!$D$4:$AY$138, MATCH('Staging Table'!$A73, Demand_previous!$B$4:$B$138, 0), MATCH(AR$4&amp;AR$5,Demand_previous!$D$2:$AY$2&amp;Demand_previous!$D$3:$AY$3, 0))/1000</f>
        <v>1.1747475961538465</v>
      </c>
      <c r="AS73" s="314">
        <f t="array" ref="AS73">INDEX(Demand_previous!$D$4:$AY$138, MATCH('Staging Table'!$A73, Demand_previous!$B$4:$B$138, 0), MATCH(AS$4&amp;AS$5,Demand_previous!$D$2:$AY$2&amp;Demand_previous!$D$3:$AY$3, 0))/1000</f>
        <v>1.5315264423076915</v>
      </c>
      <c r="AT73" s="314">
        <f t="array" ref="AT73">INDEX(Demand_previous!$D$4:$AY$138, MATCH('Staging Table'!$A73, Demand_previous!$B$4:$B$138, 0), MATCH(AT$4&amp;AT$5,Demand_previous!$D$2:$AY$2&amp;Demand_previous!$D$3:$AY$3, 0))/1000</f>
        <v>0.84412019230769164</v>
      </c>
      <c r="AU73" s="314">
        <f t="array" ref="AU73">INDEX(Demand_previous!$D$4:$AY$138, MATCH('Staging Table'!$A73, Demand_previous!$B$4:$B$138, 0), MATCH(AU$4&amp;AU$5,Demand_previous!$D$2:$AY$2&amp;Demand_previous!$D$3:$AY$3, 0))/1000</f>
        <v>1.1974825000000009</v>
      </c>
      <c r="AV73" s="192">
        <f>$F73*(VLOOKUP(AV$4, Rates_previous!$G$6:$Q$29, 10, FALSE)+VLOOKUP(AV$4, Rates_previous!$G$6:$Q$29, 11, FALSE))</f>
        <v>4062.3156690407995</v>
      </c>
      <c r="AW73" s="192">
        <f>$F73*(VLOOKUP(AW$4, Rates_previous!$G$6:$Q$29, 10, FALSE)+VLOOKUP(AW$4, Rates_previous!$G$6:$Q$29, 11, FALSE))</f>
        <v>5160.4081636722003</v>
      </c>
      <c r="AX73" s="192">
        <f>$F73*(VLOOKUP(AX$4, Rates_previous!$G$6:$Q$29, 10, FALSE)+VLOOKUP(AX$4, Rates_previous!$G$6:$Q$29, 11, FALSE))</f>
        <v>5098.0892524408009</v>
      </c>
      <c r="AY73" s="192">
        <f>$F73*(VLOOKUP(AY$4, Rates_previous!$G$6:$Q$29, 10, FALSE)+VLOOKUP(AY$4, Rates_previous!$G$6:$Q$29, 11, FALSE))</f>
        <v>4249.5679020408006</v>
      </c>
      <c r="AZ73" s="192">
        <f>$F73*(VLOOKUP(AZ$4, Rates_previous!$G$6:$Q$29, 10, FALSE)+VLOOKUP(AZ$4, Rates_previous!$G$6:$Q$29, 11, FALSE))</f>
        <v>3849.6676606400001</v>
      </c>
      <c r="BA73" s="192">
        <f>$F73*(VLOOKUP(BA$4, Rates_previous!$G$6:$Q$29, 10, FALSE)+VLOOKUP(BA$4, Rates_previous!$G$6:$Q$29, 11, FALSE))</f>
        <v>4282.0534093726001</v>
      </c>
      <c r="BB73" s="192">
        <f>$F73*(VLOOKUP(BB$4, Rates_previous!$G$6:$Q$29, 10, FALSE)+VLOOKUP(BB$4, Rates_previous!$G$6:$Q$29, 11, FALSE))</f>
        <v>3486.4525067039999</v>
      </c>
      <c r="BC73" s="192">
        <f>$F73*(VLOOKUP(BC$4, Rates_previous!$G$6:$Q$29, 10, FALSE)+VLOOKUP(BC$4, Rates_previous!$G$6:$Q$29, 11, FALSE))</f>
        <v>4702.0010929408008</v>
      </c>
      <c r="BD73" s="192">
        <f>$F73*(VLOOKUP(BD$4, Rates_previous!$G$6:$Q$29, 10, FALSE)+VLOOKUP(BD$4, Rates_previous!$G$6:$Q$29, 11, FALSE))</f>
        <v>5999.4336048040004</v>
      </c>
      <c r="BE73" s="192">
        <f>$F73*(VLOOKUP(BE$4, Rates_previous!$G$6:$Q$29, 10, FALSE)+VLOOKUP(BE$4, Rates_previous!$G$6:$Q$29, 11, FALSE))</f>
        <v>4703.7461762408002</v>
      </c>
      <c r="BF73" s="192">
        <f>$F73*(VLOOKUP(BF$4, Rates_previous!$G$6:$Q$29, 10, FALSE)+VLOOKUP(BF$4, Rates_previous!$G$6:$Q$29, 11, FALSE))</f>
        <v>4580.5121503408009</v>
      </c>
      <c r="BG73" s="192">
        <f>$F73*(VLOOKUP(BG$4, Rates_previous!$G$6:$Q$29, 10, FALSE)+VLOOKUP(BG$4, Rates_previous!$G$6:$Q$29, 11, FALSE))</f>
        <v>4112.3255105040007</v>
      </c>
      <c r="BH73" s="314">
        <f>IF($D73=0,IF(C73=0, MAX(BJ73 - (VLOOKUP($A73,TOCA_previous!$A$2:$AI$137,MATCH("RHWM 2020",TOCA_previous!$A$2:$AI$2,0),FALSE)*$F$2*TOCA_previous!C70),0),0), 0)</f>
        <v>2419.2220376168043</v>
      </c>
      <c r="BI73" s="204">
        <f>MIN(VLOOKUP($A73,TOCA_previous!$A$2:$AI$137,MATCH("TRL - NLSL - Existing Resource "&amp;$F$1,TOCA_previous!$A$2:$AI$2,0),FALSE)*$F$2,(VLOOKUP($A73,TOCA_previous!$A$2:$AI$137,MATCH("RHWM 2020",TOCA_previous!$A$2:$AI$2,0),FALSE)*$F$2))</f>
        <v>54285.119999999995</v>
      </c>
      <c r="BJ73" s="418">
        <f>SUM(L73:AI73)+(F73*RT1SC!$C$3*$F$2)</f>
        <v>56704.3420376168</v>
      </c>
      <c r="BK73" s="417">
        <f>VLOOKUP($A73,TOCA_previous!$A$2:$AI$137,MATCH("Above RHWM Not Served with LS "&amp;$F$1,TOCA_previous!$A$2:$AI$2,0),FALSE)*$F$2</f>
        <v>0</v>
      </c>
      <c r="BL73" s="418">
        <f t="shared" si="27"/>
        <v>2419.2220376168043</v>
      </c>
      <c r="BM73" s="417">
        <f>(VLOOKUP($A73,TOCA_previous!$A$2:$AI$137,MATCH("RHWM 2020",TOCA_previous!$A$2:$AI$2,0),FALSE)*$F$2) - $BI73</f>
        <v>0</v>
      </c>
      <c r="BN73" s="418">
        <f t="shared" si="28"/>
        <v>0</v>
      </c>
      <c r="BO73" s="417">
        <f t="shared" si="29"/>
        <v>0</v>
      </c>
      <c r="BP73" s="418">
        <f t="shared" si="30"/>
        <v>0</v>
      </c>
      <c r="BQ73" s="417">
        <f t="shared" si="21"/>
        <v>0</v>
      </c>
      <c r="BR73" s="120">
        <f>VLOOKUP($A73,TOCA_current!$A$2:$AI$137,MATCH(BR$4,TOCA_current!$A$2:$AI$2,0),FALSE)</f>
        <v>8.7989999999999997E-4</v>
      </c>
      <c r="BS73" s="120">
        <f>VLOOKUP($A73,TOCA_current!$A$2:$AI$137,MATCH(BS$4,TOCA_current!$A$2:$AI$2,0),FALSE)</f>
        <v>8.7989999999999997E-4</v>
      </c>
      <c r="BT73" s="201">
        <f t="shared" si="31"/>
        <v>0</v>
      </c>
      <c r="BU73" s="120">
        <f>VLOOKUP($A73,TOCA_current!A69:BG204,MATCH(BU$4,TOCA_current!$A$2:$BG$2,0),FALSE)</f>
        <v>7.6448456217310626E-2</v>
      </c>
      <c r="BV73" s="120">
        <f t="shared" si="22"/>
        <v>0</v>
      </c>
      <c r="BW73" s="120">
        <f t="shared" si="23"/>
        <v>0</v>
      </c>
      <c r="BX73" s="191">
        <f>VLOOKUP($A73,IRD!$A$4:$G$139, 7, FALSE)</f>
        <v>0</v>
      </c>
      <c r="BY73" s="192">
        <f t="array" ref="BY73">IF($BT73=0, INDEX(LS_current!$D$4:$AY$138, MATCH('Staging Table'!$A73, LS_current!$B$4:$B$138, 0), MATCH(BY$4&amp;BY$5, LS_current!$D$2:$AY$2&amp;LS_current!$D$3:$AY$3, 0)),SUM(VLOOKUP($A73, LS_current!$B$4:$AY$138, LS_current!D$148, FALSE), VLOOKUP($A73, LS_current!$B$4:$AY$138,LS_current!AB$148, FALSE))/2)</f>
        <v>31.455646235213862</v>
      </c>
      <c r="BZ73" s="192">
        <f t="array" ref="BZ73">IF($BT73=0, INDEX(LS_current!$D$4:$AY$138, MATCH('Staging Table'!$A73, LS_current!$B$4:$B$138, 0), MATCH(BZ$4&amp;BZ$5, LS_current!$D$2:$AY$2&amp;LS_current!$D$3:$AY$3, 0)),SUM(VLOOKUP($A73, LS_current!$B$4:$AY$138, LS_current!E$148, FALSE), VLOOKUP($A73, LS_current!$B$4:$AY$138,LS_current!AC$148, FALSE))/2)</f>
        <v>86.424255935422707</v>
      </c>
      <c r="CA73" s="192">
        <f t="array" ref="CA73">IF($BT73=0, INDEX(LS_current!$D$4:$AY$138, MATCH('Staging Table'!$A73, LS_current!$B$4:$B$138, 0), MATCH(CA$4&amp;CA$5, LS_current!$D$2:$AY$2&amp;LS_current!$D$3:$AY$3, 0)),SUM(VLOOKUP($A73, LS_current!$B$4:$AY$138, LS_current!F$148, FALSE), VLOOKUP($A73, LS_current!$B$4:$AY$138,LS_current!AD$148, FALSE))/2)</f>
        <v>115.00704442821552</v>
      </c>
      <c r="CB73" s="192">
        <f t="array" ref="CB73">IF($BT73=0, INDEX(LS_current!$D$4:$AY$138, MATCH('Staging Table'!$A73, LS_current!$B$4:$B$138, 0), MATCH(CB$4&amp;CB$5, LS_current!$D$2:$AY$2&amp;LS_current!$D$3:$AY$3, 0)),SUM(VLOOKUP($A73, LS_current!$B$4:$AY$138, LS_current!G$148, FALSE), VLOOKUP($A73, LS_current!$B$4:$AY$138,LS_current!AE$148, FALSE))/2)</f>
        <v>274.38793975146223</v>
      </c>
      <c r="CC73" s="192">
        <f t="array" ref="CC73">IF($BT73=0, INDEX(LS_current!$D$4:$AY$138, MATCH('Staging Table'!$A73, LS_current!$B$4:$B$138, 0), MATCH(CC$4&amp;CC$5, LS_current!$D$2:$AY$2&amp;LS_current!$D$3:$AY$3, 0)),SUM(VLOOKUP($A73, LS_current!$B$4:$AY$138, LS_current!H$148, FALSE), VLOOKUP($A73, LS_current!$B$4:$AY$138,LS_current!AF$148, FALSE))/2)</f>
        <v>1061.0563798764879</v>
      </c>
      <c r="CD73" s="192">
        <f t="array" ref="CD73">IF($BT73=0, INDEX(LS_current!$D$4:$AY$138, MATCH('Staging Table'!$A73, LS_current!$B$4:$B$138, 0), MATCH(CD$4&amp;CD$5, LS_current!$D$2:$AY$2&amp;LS_current!$D$3:$AY$3, 0)),SUM(VLOOKUP($A73, LS_current!$B$4:$AY$138, LS_current!I$148, FALSE), VLOOKUP($A73, LS_current!$B$4:$AY$138,LS_current!AG$148, FALSE))/2)</f>
        <v>639.53021089116419</v>
      </c>
      <c r="CE73" s="192">
        <f t="array" ref="CE73">IF($BT73=0, INDEX(LS_current!$D$4:$AY$138, MATCH('Staging Table'!$A73, LS_current!$B$4:$B$138, 0), MATCH(CE$4&amp;CE$5, LS_current!$D$2:$AY$2&amp;LS_current!$D$3:$AY$3, 0)),SUM(VLOOKUP($A73, LS_current!$B$4:$AY$138, LS_current!J$148, FALSE), VLOOKUP($A73, LS_current!$B$4:$AY$138,LS_current!AH$148, FALSE))/2)</f>
        <v>1421.0999997943204</v>
      </c>
      <c r="CF73" s="192">
        <f t="array" ref="CF73">IF($BT73=0, INDEX(LS_current!$D$4:$AY$138, MATCH('Staging Table'!$A73, LS_current!$B$4:$B$138, 0), MATCH(CF$4&amp;CF$5, LS_current!$D$2:$AY$2&amp;LS_current!$D$3:$AY$3, 0)),SUM(VLOOKUP($A73, LS_current!$B$4:$AY$138, LS_current!K$148, FALSE), VLOOKUP($A73, LS_current!$B$4:$AY$138,LS_current!AI$148, FALSE))/2)</f>
        <v>920.55050951357043</v>
      </c>
      <c r="CG73" s="192">
        <f t="array" ref="CG73">IF($BT73=0, INDEX(LS_current!$D$4:$AY$138, MATCH('Staging Table'!$A73, LS_current!$B$4:$B$138, 0), MATCH(CG$4&amp;CG$5, LS_current!$D$2:$AY$2&amp;LS_current!$D$3:$AY$3, 0)),SUM(VLOOKUP($A73, LS_current!$B$4:$AY$138, LS_current!L$148, FALSE), VLOOKUP($A73, LS_current!$B$4:$AY$138,LS_current!AJ$148, FALSE))/2)</f>
        <v>1191.239361948727</v>
      </c>
      <c r="CH73" s="192">
        <f t="array" ref="CH73">IF($BT73=0, INDEX(LS_current!$D$4:$AY$138, MATCH('Staging Table'!$A73, LS_current!$B$4:$B$138, 0), MATCH(CH$4&amp;CH$5, LS_current!$D$2:$AY$2&amp;LS_current!$D$3:$AY$3, 0)),SUM(VLOOKUP($A73, LS_current!$B$4:$AY$138, LS_current!M$148, FALSE), VLOOKUP($A73, LS_current!$B$4:$AY$138,LS_current!AK$148, FALSE))/2)</f>
        <v>648.25588324609294</v>
      </c>
      <c r="CI73" s="192">
        <f t="array" ref="CI73">IF($BT73=0, INDEX(LS_current!$D$4:$AY$138, MATCH('Staging Table'!$A73, LS_current!$B$4:$B$138, 0), MATCH(CI$4&amp;CI$5, LS_current!$D$2:$AY$2&amp;LS_current!$D$3:$AY$3, 0)),SUM(VLOOKUP($A73, LS_current!$B$4:$AY$138, LS_current!N$148, FALSE), VLOOKUP($A73, LS_current!$B$4:$AY$138,LS_current!AL$148, FALSE))/2)</f>
        <v>488.60164277101194</v>
      </c>
      <c r="CJ73" s="192">
        <f t="array" ref="CJ73">IF($BT73=0, INDEX(LS_current!$D$4:$AY$138, MATCH('Staging Table'!$A73, LS_current!$B$4:$B$138, 0), MATCH(CJ$4&amp;CJ$5, LS_current!$D$2:$AY$2&amp;LS_current!$D$3:$AY$3, 0)),SUM(VLOOKUP($A73, LS_current!$B$4:$AY$138, LS_current!O$148, FALSE), VLOOKUP($A73, LS_current!$B$4:$AY$138,LS_current!AM$148, FALSE))/2)</f>
        <v>328.76837328618058</v>
      </c>
      <c r="CK73" s="192">
        <f t="array" ref="CK73">IF($BT73=0, INDEX(LS_current!$D$4:$AY$138, MATCH('Staging Table'!$A73, LS_current!$B$4:$B$138, 0), MATCH(CK$4&amp;CK$5, LS_current!$D$2:$AY$2&amp;LS_current!$D$3:$AY$3, 0)),SUM(VLOOKUP($A73, LS_current!$B$4:$AY$138, LS_current!P$148, FALSE), VLOOKUP($A73, LS_current!$B$4:$AY$138,LS_current!AN$148, FALSE))/2)</f>
        <v>576.04573475313168</v>
      </c>
      <c r="CL73" s="192">
        <f t="array" ref="CL73">IF($BT73=0, INDEX(LS_current!$D$4:$AY$138, MATCH('Staging Table'!$A73, LS_current!$B$4:$B$138, 0), MATCH(CL$4&amp;CL$5, LS_current!$D$2:$AY$2&amp;LS_current!$D$3:$AY$3, 0)),SUM(VLOOKUP($A73, LS_current!$B$4:$AY$138, LS_current!Q$148, FALSE), VLOOKUP($A73, LS_current!$B$4:$AY$138,LS_current!AO$148, FALSE))/2)</f>
        <v>373.52106372406206</v>
      </c>
      <c r="CM73" s="192">
        <f t="array" ref="CM73">IF($BT73=0, INDEX(LS_current!$D$4:$AY$138, MATCH('Staging Table'!$A73, LS_current!$B$4:$B$138, 0), MATCH(CM$4&amp;CM$5, LS_current!$D$2:$AY$2&amp;LS_current!$D$3:$AY$3, 0)),SUM(VLOOKUP($A73, LS_current!$B$4:$AY$138, LS_current!R$148, FALSE), VLOOKUP($A73, LS_current!$B$4:$AY$138,LS_current!AP$148, FALSE))/2)</f>
        <v>-785.64094226654697</v>
      </c>
      <c r="CN73" s="192">
        <f t="array" ref="CN73">IF($BT73=0, INDEX(LS_current!$D$4:$AY$138, MATCH('Staging Table'!$A73, LS_current!$B$4:$B$138, 0), MATCH(CN$4&amp;CN$5, LS_current!$D$2:$AY$2&amp;LS_current!$D$3:$AY$3, 0)),SUM(VLOOKUP($A73, LS_current!$B$4:$AY$138, LS_current!S$148, FALSE), VLOOKUP($A73, LS_current!$B$4:$AY$138,LS_current!AQ$148, FALSE))/2)</f>
        <v>-7.7443659049833968</v>
      </c>
      <c r="CO73" s="192">
        <f t="array" ref="CO73">IF($BT73=0, INDEX(LS_current!$D$4:$AY$138, MATCH('Staging Table'!$A73, LS_current!$B$4:$B$138, 0), MATCH(CO$4&amp;CO$5, LS_current!$D$2:$AY$2&amp;LS_current!$D$3:$AY$3, 0)),SUM(VLOOKUP($A73, LS_current!$B$4:$AY$138, LS_current!T$148, FALSE), VLOOKUP($A73, LS_current!$B$4:$AY$138,LS_current!AR$148, FALSE))/2)</f>
        <v>-1154.3046700791883</v>
      </c>
      <c r="CP73" s="192">
        <f t="array" ref="CP73">IF($BT73=0, INDEX(LS_current!$D$4:$AY$138, MATCH('Staging Table'!$A73, LS_current!$B$4:$B$138, 0), MATCH(CP$4&amp;CP$5, LS_current!$D$2:$AY$2&amp;LS_current!$D$3:$AY$3, 0)),SUM(VLOOKUP($A73, LS_current!$B$4:$AY$138, LS_current!U$148, FALSE), VLOOKUP($A73, LS_current!$B$4:$AY$138,LS_current!AS$148, FALSE))/2)</f>
        <v>-88.439886225990904</v>
      </c>
      <c r="CQ73" s="192">
        <f t="array" ref="CQ73">IF($BT73=0, INDEX(LS_current!$D$4:$AY$138, MATCH('Staging Table'!$A73, LS_current!$B$4:$B$138, 0), MATCH(CQ$4&amp;CQ$5, LS_current!$D$2:$AY$2&amp;LS_current!$D$3:$AY$3, 0)),SUM(VLOOKUP($A73, LS_current!$B$4:$AY$138, LS_current!V$148, FALSE), VLOOKUP($A73, LS_current!$B$4:$AY$138,LS_current!AT$148, FALSE))/2)</f>
        <v>-389.30305894159164</v>
      </c>
      <c r="CR73" s="192">
        <f t="array" ref="CR73">IF($BT73=0, INDEX(LS_current!$D$4:$AY$138, MATCH('Staging Table'!$A73, LS_current!$B$4:$B$138, 0), MATCH(CR$4&amp;CR$5, LS_current!$D$2:$AY$2&amp;LS_current!$D$3:$AY$3, 0)),SUM(VLOOKUP($A73, LS_current!$B$4:$AY$138, LS_current!W$148, FALSE), VLOOKUP($A73, LS_current!$B$4:$AY$138,LS_current!AU$148, FALSE))/2)</f>
        <v>52.799025773751509</v>
      </c>
      <c r="CS73" s="192">
        <f t="array" ref="CS73">IF($BT73=0, INDEX(LS_current!$D$4:$AY$138, MATCH('Staging Table'!$A73, LS_current!$B$4:$B$138, 0), MATCH(CS$4&amp;CS$5, LS_current!$D$2:$AY$2&amp;LS_current!$D$3:$AY$3, 0)),SUM(VLOOKUP($A73, LS_current!$B$4:$AY$138, LS_current!X$148, FALSE), VLOOKUP($A73, LS_current!$B$4:$AY$138,LS_current!AV$148, FALSE))/2)</f>
        <v>-313.67952933578999</v>
      </c>
      <c r="CT73" s="192">
        <f t="array" ref="CT73">IF($BT73=0, INDEX(LS_current!$D$4:$AY$138, MATCH('Staging Table'!$A73, LS_current!$B$4:$B$138, 0), MATCH(CT$4&amp;CT$5, LS_current!$D$2:$AY$2&amp;LS_current!$D$3:$AY$3, 0)),SUM(VLOOKUP($A73, LS_current!$B$4:$AY$138, LS_current!Y$148, FALSE), VLOOKUP($A73, LS_current!$B$4:$AY$138,LS_current!AW$148, FALSE))/2)</f>
        <v>-56.361742651484064</v>
      </c>
      <c r="CU73" s="192">
        <f t="array" ref="CU73">IF($BT73=0, INDEX(LS_current!$D$4:$AY$138, MATCH('Staging Table'!$A73, LS_current!$B$4:$B$138, 0), MATCH(CU$4&amp;CU$5, LS_current!$D$2:$AY$2&amp;LS_current!$D$3:$AY$3, 0)),SUM(VLOOKUP($A73, LS_current!$B$4:$AY$138, LS_current!Z$148, FALSE), VLOOKUP($A73, LS_current!$B$4:$AY$138,LS_current!AX$148, FALSE))/2)</f>
        <v>-501.61582602746239</v>
      </c>
      <c r="CV73" s="192">
        <f t="array" ref="CV73">IF($BT73=0, INDEX(LS_current!$D$4:$AY$138, MATCH('Staging Table'!$A73, LS_current!$B$4:$B$138, 0), MATCH(CV$4&amp;CV$5, LS_current!$D$2:$AY$2&amp;LS_current!$D$3:$AY$3, 0)),SUM(VLOOKUP($A73, LS_current!$B$4:$AY$138, LS_current!AA$148, FALSE), VLOOKUP($A73, LS_current!$B$4:$AY$138,LS_current!AY$148, FALSE))/2)</f>
        <v>-130.65360310823871</v>
      </c>
      <c r="CW73" s="194">
        <f t="array" ref="CW73">INDEX(Demand_current!$D$4:$AY$138, MATCH($A73, Demand_current!$B$4:$B$138, 0), MATCH(CW$4&amp;CW$5,Demand_current!$D$2:$AY$2&amp;Demand_current!$D$3:$AY$3, 0))/1000</f>
        <v>0.64249278846153812</v>
      </c>
      <c r="CX73" s="194">
        <f t="array" ref="CX73">INDEX(Demand_current!$D$4:$AY$138, MATCH($A73, Demand_current!$B$4:$B$138, 0), MATCH(CX$4&amp;CX$5,Demand_current!$D$2:$AY$2&amp;Demand_current!$D$3:$AY$3, 0))/1000</f>
        <v>1.2538875000000003</v>
      </c>
      <c r="CY73" s="194">
        <f t="array" ref="CY73">INDEX(Demand_current!$D$4:$AY$138, MATCH($A73, Demand_current!$B$4:$B$138, 0), MATCH(CY$4&amp;CY$5,Demand_current!$D$2:$AY$2&amp;Demand_current!$D$3:$AY$3, 0))/1000</f>
        <v>1.6304278846153841</v>
      </c>
      <c r="CZ73" s="194">
        <f t="array" ref="CZ73">INDEX(Demand_current!$D$4:$AY$138, MATCH($A73, Demand_current!$B$4:$B$138, 0), MATCH(CZ$4&amp;CZ$5,Demand_current!$D$2:$AY$2&amp;Demand_current!$D$3:$AY$3, 0))/1000</f>
        <v>1.5534375000000016</v>
      </c>
      <c r="DA73" s="194">
        <f t="array" ref="DA73">INDEX(Demand_current!$D$4:$AY$138, MATCH($A73, Demand_current!$B$4:$B$138, 0), MATCH(DA$4&amp;DA$5,Demand_current!$D$2:$AY$2&amp;Demand_current!$D$3:$AY$3, 0))/1000</f>
        <v>0.63059374999999962</v>
      </c>
      <c r="DB73" s="194">
        <f t="array" ref="DB73">INDEX(Demand_current!$D$4:$AY$138, MATCH($A73, Demand_current!$B$4:$B$138, 0), MATCH(DB$4&amp;DB$5,Demand_current!$D$2:$AY$2&amp;Demand_current!$D$3:$AY$3, 0))/1000</f>
        <v>1.3902870370370364</v>
      </c>
      <c r="DC73" s="194">
        <f t="array" ref="DC73">INDEX(Demand_current!$D$4:$AY$138, MATCH($A73, Demand_current!$B$4:$B$138, 0), MATCH(DC$4&amp;DC$5,Demand_current!$D$2:$AY$2&amp;Demand_current!$D$3:$AY$3, 0))/1000</f>
        <v>1.074973557692307</v>
      </c>
      <c r="DD73" s="194">
        <f t="array" ref="DD73">INDEX(Demand_current!$D$4:$AY$138, MATCH($A73, Demand_current!$B$4:$B$138, 0), MATCH(DD$4&amp;DD$5,Demand_current!$D$2:$AY$2&amp;Demand_current!$D$3:$AY$3, 0))/1000</f>
        <v>1.2974150000000004</v>
      </c>
      <c r="DE73" s="194">
        <f t="array" ref="DE73">INDEX(Demand_current!$D$4:$AY$138, MATCH($A73, Demand_current!$B$4:$B$138, 0), MATCH(DE$4&amp;DE$5,Demand_current!$D$2:$AY$2&amp;Demand_current!$D$3:$AY$3, 0))/1000</f>
        <v>1.1747475961538465</v>
      </c>
      <c r="DF73" s="194">
        <f t="array" ref="DF73">INDEX(Demand_current!$D$4:$AY$138, MATCH($A73, Demand_current!$B$4:$B$138, 0), MATCH(DF$4&amp;DF$5,Demand_current!$D$2:$AY$2&amp;Demand_current!$D$3:$AY$3, 0))/1000</f>
        <v>1.2723874999999991</v>
      </c>
      <c r="DG73" s="194">
        <f t="array" ref="DG73">INDEX(Demand_current!$D$4:$AY$138, MATCH($A73, Demand_current!$B$4:$B$138, 0), MATCH(DG$4&amp;DG$5,Demand_current!$D$2:$AY$2&amp;Demand_current!$D$3:$AY$3, 0))/1000</f>
        <v>1.0845231481481479</v>
      </c>
      <c r="DH73" s="194">
        <f t="array" ref="DH73">INDEX(Demand_current!$D$4:$AY$138, MATCH($A73, Demand_current!$B$4:$B$138, 0), MATCH(DH$4&amp;DH$5,Demand_current!$D$2:$AY$2&amp;Demand_current!$D$3:$AY$3, 0))/1000</f>
        <v>1.1974825000000009</v>
      </c>
      <c r="DI73" s="192">
        <f>$BS73*(VLOOKUP(DI$4, Rates_current!$G$6:$Q$29, 10, FALSE)+VLOOKUP(DI$4, Rates_current!$G$6:$Q$29, 11, FALSE))</f>
        <v>4006.9980978293634</v>
      </c>
      <c r="DJ73" s="192">
        <f>$BS73*(VLOOKUP(DJ$4, Rates_current!$G$6:$Q$29, 10, FALSE)+VLOOKUP(DJ$4, Rates_current!$G$6:$Q$29, 11, FALSE))</f>
        <v>5073.005015820323</v>
      </c>
      <c r="DK73" s="192">
        <f>$BS73*(VLOOKUP(DK$4, Rates_current!$G$6:$Q$29, 10, FALSE)+VLOOKUP(DK$4, Rates_current!$G$6:$Q$29, 11, FALSE))</f>
        <v>4965.4584092323485</v>
      </c>
      <c r="DL73" s="192">
        <f>$BS73*(VLOOKUP(DL$4, Rates_current!$G$6:$Q$29, 10, FALSE)+VLOOKUP(DL$4, Rates_current!$G$6:$Q$29, 11, FALSE))</f>
        <v>4101.2574906921091</v>
      </c>
      <c r="DM73" s="192">
        <f>$BS73*(VLOOKUP(DM$4, Rates_current!$G$6:$Q$29, 10, FALSE)+VLOOKUP(DM$4, Rates_current!$G$6:$Q$29, 11, FALSE))</f>
        <v>3554.6497548051802</v>
      </c>
      <c r="DN73" s="192">
        <f>$BS73*(VLOOKUP(DN$4, Rates_current!$G$6:$Q$29, 10, FALSE)+VLOOKUP(DN$4, Rates_current!$G$6:$Q$29, 11, FALSE))</f>
        <v>4243.5339839428088</v>
      </c>
      <c r="DO73" s="192">
        <f>$BS73*(VLOOKUP(DO$4, Rates_current!$G$6:$Q$29, 10, FALSE)+VLOOKUP(DO$4, Rates_current!$G$6:$Q$29, 11, FALSE))</f>
        <v>3294.5392015228067</v>
      </c>
      <c r="DP73" s="192">
        <f>$BS73*(VLOOKUP(DP$4, Rates_current!$G$6:$Q$29, 10, FALSE)+VLOOKUP(DP$4, Rates_current!$G$6:$Q$29, 11, FALSE))</f>
        <v>4564.6083081715306</v>
      </c>
      <c r="DQ73" s="192">
        <f>$BS73*(VLOOKUP(DQ$4, Rates_current!$G$6:$Q$29, 10, FALSE)+VLOOKUP(DQ$4, Rates_current!$G$6:$Q$29, 11, FALSE))</f>
        <v>4877.3795563051781</v>
      </c>
      <c r="DR73" s="192">
        <f>$BS73*(VLOOKUP(DR$4, Rates_current!$G$6:$Q$29, 10, FALSE)+VLOOKUP(DR$4, Rates_current!$G$6:$Q$29, 11, FALSE))</f>
        <v>4630.8510331678408</v>
      </c>
      <c r="DS73" s="192">
        <f>$BS73*(VLOOKUP(DS$4, Rates_current!$G$6:$Q$29, 10, FALSE)+VLOOKUP(DS$4, Rates_current!$G$6:$Q$29, 11, FALSE))</f>
        <v>4475.3602719872742</v>
      </c>
      <c r="DT73" s="192">
        <f>$BS73*(VLOOKUP(DT$4, Rates_current!$G$6:$Q$29, 10, FALSE)+VLOOKUP(DT$4, Rates_current!$G$6:$Q$29, 11, FALSE))</f>
        <v>4135.6994291357014</v>
      </c>
      <c r="DU73" s="418">
        <f>IF(D73=0,IF(C73=0,MAX(0,DW73 - (VLOOKUP($A73,TOCA_current!$A$2:$AI$137,MATCH("RHWM 2022",TOCA_current!$A$2:$AI$2,0),FALSE)*$BS$2)), 0),0)</f>
        <v>4783.8226561035335</v>
      </c>
      <c r="DV73" s="419">
        <f>MIN(VLOOKUP($A73,TOCA_current!$A$2:$AI$137,MATCH("TRL - NLSL - Existing Resource "&amp;$BS$1,TOCA_current!$A$2:$AI$2,0),FALSE)*$BS$2, VLOOKUP($A73,TOCA_current!$A$2:$AI$137,MATCH("RHWM 2022",TOCA_current!$A$2:$AI$2,0),FALSE)*$BS$2)</f>
        <v>51920.52</v>
      </c>
      <c r="DW73" s="419">
        <f>SUM(BY73:CV73)+(BS73*RT1SC!$C$4*$BS$2)</f>
        <v>56704.34265610353</v>
      </c>
      <c r="DX73" s="419">
        <f>VLOOKUP($A73,TOCA_current!$A$2:$AI$137,MATCH("Above RHWM Not Served with LS "&amp;$BS$1,TOCA_current!$A$2:$AI$2,0),FALSE)*$BS$2</f>
        <v>0</v>
      </c>
      <c r="DY73" s="419">
        <f t="shared" si="32"/>
        <v>4783.8226561035335</v>
      </c>
      <c r="DZ73" s="419">
        <f>(VLOOKUP($A73,TOCA_current!$A$2:$AI$137,MATCH("RHWM 2022",TOCA_current!$A$2:$AI$2,0),FALSE)*$BS$2) - $DV73</f>
        <v>0</v>
      </c>
      <c r="EA73" s="419">
        <f t="shared" si="33"/>
        <v>0</v>
      </c>
      <c r="EB73" s="419">
        <f t="shared" si="34"/>
        <v>0</v>
      </c>
      <c r="EC73" s="419">
        <f t="shared" si="35"/>
        <v>0</v>
      </c>
      <c r="ED73" s="419">
        <f t="shared" si="36"/>
        <v>0</v>
      </c>
    </row>
    <row r="74" spans="1:134">
      <c r="A74" s="135">
        <v>10204</v>
      </c>
      <c r="B74" s="136" t="s">
        <v>75</v>
      </c>
      <c r="C74" s="244">
        <f>VLOOKUP(A74, TOCA_current!$A$3:$D$137, 4, FALSE)</f>
        <v>0</v>
      </c>
      <c r="D74" s="203">
        <v>1</v>
      </c>
      <c r="E74" s="119">
        <f>VLOOKUP($A74,TOCA_previous!$A$2:$AI$137,MATCH(E$4,TOCA_previous!$A$2:$AI$2,0),FALSE)</f>
        <v>8.9464999999999996E-3</v>
      </c>
      <c r="F74" s="120">
        <f>VLOOKUP($A74,TOCA_previous!$A$2:$AI$137,MATCH(F$4,TOCA_previous!$A$2:$AI$2,0),FALSE)</f>
        <v>3.4571999999999997E-3</v>
      </c>
      <c r="G74" s="120">
        <f t="shared" si="24"/>
        <v>5.4892999999999999E-3</v>
      </c>
      <c r="H74" s="120">
        <f>VLOOKUP($A74,TOCA_previous!$A$2:$AI$137,MATCH(H$4,TOCA_previous!$A$2:$AI$2,0),FALSE)</f>
        <v>0</v>
      </c>
      <c r="I74" s="120">
        <f t="shared" si="25"/>
        <v>0</v>
      </c>
      <c r="J74" s="120">
        <f t="shared" si="26"/>
        <v>0</v>
      </c>
      <c r="K74" s="191">
        <f>VLOOKUP(A74, IRD!$A$5:$C$139, 3, FALSE)</f>
        <v>0</v>
      </c>
      <c r="L74" s="192">
        <f t="array" ref="L74">IF($G74=0, INDEX(LS_previous!$D$4:$AY$138, MATCH('Staging Table'!$A74, LS_previous!$B$4:$B$138, 0), MATCH(L$4&amp;L$5, LS_previous!$D$2:$AY$2&amp;LS_previous!$D$3:$AY$3, 0)),SUM(VLOOKUP($A74, LS_previous!$B$4:$AY$138, LS_previous!D$149, FALSE), VLOOKUP('Staging Table'!$A74, LS_previous!$B$4:$AY$138,LS_previous!AB$149, FALSE))/2)</f>
        <v>-1255.127748151046</v>
      </c>
      <c r="M74" s="192">
        <f t="array" ref="M74">IF($G74=0, INDEX(LS_previous!$D$4:$AY$138, MATCH('Staging Table'!$A74, LS_previous!$B$4:$B$138, 0), MATCH(M$4&amp;M$5, LS_previous!$D$2:$AY$2&amp;LS_previous!$D$3:$AY$3, 0)),SUM(VLOOKUP($A74, LS_previous!$B$4:$AY$138, LS_previous!E$149, FALSE), VLOOKUP('Staging Table'!$A74, LS_previous!$B$4:$AY$138,LS_previous!AC$149, FALSE))/2)</f>
        <v>1055.434427245078</v>
      </c>
      <c r="N74" s="192">
        <f t="array" ref="N74">IF($G74=0, INDEX(LS_previous!$D$4:$AY$138, MATCH('Staging Table'!$A74, LS_previous!$B$4:$B$138, 0), MATCH(N$4&amp;N$5, LS_previous!$D$2:$AY$2&amp;LS_previous!$D$3:$AY$3, 0)),SUM(VLOOKUP($A74, LS_previous!$B$4:$AY$138, LS_previous!F$149, FALSE), VLOOKUP('Staging Table'!$A74, LS_previous!$B$4:$AY$138,LS_previous!AD$149, FALSE))/2)</f>
        <v>-2883.321028926669</v>
      </c>
      <c r="O74" s="192">
        <f t="array" ref="O74">IF($G74=0, INDEX(LS_previous!$D$4:$AY$138, MATCH('Staging Table'!$A74, LS_previous!$B$4:$B$138, 0), MATCH(O$4&amp;O$5, LS_previous!$D$2:$AY$2&amp;LS_previous!$D$3:$AY$3, 0)),SUM(VLOOKUP($A74, LS_previous!$B$4:$AY$138, LS_previous!G$149, FALSE), VLOOKUP('Staging Table'!$A74, LS_previous!$B$4:$AY$138,LS_previous!AE$149, FALSE))/2)</f>
        <v>703.15436423750953</v>
      </c>
      <c r="P74" s="192">
        <f t="array" ref="P74">IF($G74=0, INDEX(LS_previous!$D$4:$AY$138, MATCH('Staging Table'!$A74, LS_previous!$B$4:$B$138, 0), MATCH(P$4&amp;P$5, LS_previous!$D$2:$AY$2&amp;LS_previous!$D$3:$AY$3, 0)),SUM(VLOOKUP($A74, LS_previous!$B$4:$AY$138, LS_previous!H$149, FALSE), VLOOKUP('Staging Table'!$A74, LS_previous!$B$4:$AY$138,LS_previous!AF$149, FALSE))/2)</f>
        <v>-172.63264374867322</v>
      </c>
      <c r="Q74" s="192">
        <f t="array" ref="Q74">IF($G74=0, INDEX(LS_previous!$D$4:$AY$138, MATCH('Staging Table'!$A74, LS_previous!$B$4:$B$138, 0), MATCH(Q$4&amp;Q$5, LS_previous!$D$2:$AY$2&amp;LS_previous!$D$3:$AY$3, 0)),SUM(VLOOKUP($A74, LS_previous!$B$4:$AY$138, LS_previous!I$149, FALSE), VLOOKUP('Staging Table'!$A74, LS_previous!$B$4:$AY$138,LS_previous!AG$149, FALSE))/2)</f>
        <v>2518.0749511803533</v>
      </c>
      <c r="R74" s="192">
        <f t="array" ref="R74">IF($G74=0, INDEX(LS_previous!$D$4:$AY$138, MATCH('Staging Table'!$A74, LS_previous!$B$4:$B$138, 0), MATCH(R$4&amp;R$5, LS_previous!$D$2:$AY$2&amp;LS_previous!$D$3:$AY$3, 0)),SUM(VLOOKUP($A74, LS_previous!$B$4:$AY$138, LS_previous!J$149, FALSE), VLOOKUP('Staging Table'!$A74, LS_previous!$B$4:$AY$138,LS_previous!AH$149, FALSE))/2)</f>
        <v>2129.2988836808681</v>
      </c>
      <c r="S74" s="192">
        <f t="array" ref="S74">IF($G74=0, INDEX(LS_previous!$D$4:$AY$138, MATCH('Staging Table'!$A74, LS_previous!$B$4:$B$138, 0), MATCH(S$4&amp;S$5, LS_previous!$D$2:$AY$2&amp;LS_previous!$D$3:$AY$3, 0)),SUM(VLOOKUP($A74, LS_previous!$B$4:$AY$138, LS_previous!K$149, FALSE), VLOOKUP('Staging Table'!$A74, LS_previous!$B$4:$AY$138,LS_previous!AI$149, FALSE))/2)</f>
        <v>4207.2783617528448</v>
      </c>
      <c r="T74" s="192">
        <f t="array" ref="T74">IF($G74=0, INDEX(LS_previous!$D$4:$AY$138, MATCH('Staging Table'!$A74, LS_previous!$B$4:$B$138, 0), MATCH(T$4&amp;T$5, LS_previous!$D$2:$AY$2&amp;LS_previous!$D$3:$AY$3, 0)),SUM(VLOOKUP($A74, LS_previous!$B$4:$AY$138, LS_previous!L$149, FALSE), VLOOKUP('Staging Table'!$A74, LS_previous!$B$4:$AY$138,LS_previous!AJ$149, FALSE))/2)</f>
        <v>1522.8861577439684</v>
      </c>
      <c r="U74" s="192">
        <f t="array" ref="U74">IF($G74=0, INDEX(LS_previous!$D$4:$AY$138, MATCH('Staging Table'!$A74, LS_previous!$B$4:$B$138, 0), MATCH(U$4&amp;U$5, LS_previous!$D$2:$AY$2&amp;LS_previous!$D$3:$AY$3, 0)),SUM(VLOOKUP($A74, LS_previous!$B$4:$AY$138, LS_previous!M$149, FALSE), VLOOKUP('Staging Table'!$A74, LS_previous!$B$4:$AY$138,LS_previous!AK$149, FALSE))/2)</f>
        <v>2620.5107592159852</v>
      </c>
      <c r="V74" s="192">
        <f t="array" ref="V74">IF($G74=0, INDEX(LS_previous!$D$4:$AY$138, MATCH('Staging Table'!$A74, LS_previous!$B$4:$B$138, 0), MATCH(V$4&amp;V$5, LS_previous!$D$2:$AY$2&amp;LS_previous!$D$3:$AY$3, 0)),SUM(VLOOKUP($A74, LS_previous!$B$4:$AY$138, LS_previous!N$149, FALSE), VLOOKUP('Staging Table'!$A74, LS_previous!$B$4:$AY$138,LS_previous!AL$149, FALSE))/2)</f>
        <v>-609.39942022606101</v>
      </c>
      <c r="W74" s="192">
        <f t="array" ref="W74">IF($G74=0, INDEX(LS_previous!$D$4:$AY$138, MATCH('Staging Table'!$A74, LS_previous!$B$4:$B$138, 0), MATCH(W$4&amp;W$5, LS_previous!$D$2:$AY$2&amp;LS_previous!$D$3:$AY$3, 0)),SUM(VLOOKUP($A74, LS_previous!$B$4:$AY$138, LS_previous!O$149, FALSE), VLOOKUP('Staging Table'!$A74, LS_previous!$B$4:$AY$138,LS_previous!AM$149, FALSE))/2)</f>
        <v>1468.2151797925144</v>
      </c>
      <c r="X74" s="192">
        <f t="array" ref="X74">IF($G74=0, INDEX(LS_previous!$D$4:$AY$138, MATCH('Staging Table'!$A74, LS_previous!$B$4:$B$138, 0), MATCH(X$4&amp;X$5, LS_previous!$D$2:$AY$2&amp;LS_previous!$D$3:$AY$3, 0)),SUM(VLOOKUP($A74, LS_previous!$B$4:$AY$138, LS_previous!P$149, FALSE), VLOOKUP('Staging Table'!$A74, LS_previous!$B$4:$AY$138,LS_previous!AN$149, FALSE))/2)</f>
        <v>242.28459786988969</v>
      </c>
      <c r="Y74" s="192">
        <f t="array" ref="Y74">IF($G74=0, INDEX(LS_previous!$D$4:$AY$138, MATCH('Staging Table'!$A74, LS_previous!$B$4:$B$138, 0), MATCH(Y$4&amp;Y$5, LS_previous!$D$2:$AY$2&amp;LS_previous!$D$3:$AY$3, 0)),SUM(VLOOKUP($A74, LS_previous!$B$4:$AY$138, LS_previous!Q$149, FALSE), VLOOKUP('Staging Table'!$A74, LS_previous!$B$4:$AY$138,LS_previous!AO$149, FALSE))/2)</f>
        <v>1403.0428928068432</v>
      </c>
      <c r="Z74" s="192">
        <f t="array" ref="Z74">IF($G74=0, INDEX(LS_previous!$D$4:$AY$138, MATCH('Staging Table'!$A74, LS_previous!$B$4:$B$138, 0), MATCH(Z$4&amp;Z$5, LS_previous!$D$2:$AY$2&amp;LS_previous!$D$3:$AY$3, 0)),SUM(VLOOKUP($A74, LS_previous!$B$4:$AY$138, LS_previous!R$149, FALSE), VLOOKUP('Staging Table'!$A74, LS_previous!$B$4:$AY$138,LS_previous!AP$149, FALSE))/2)</f>
        <v>-2954.9898231267398</v>
      </c>
      <c r="AA74" s="192">
        <f t="array" ref="AA74">IF($G74=0, INDEX(LS_previous!$D$4:$AY$138, MATCH('Staging Table'!$A74, LS_previous!$B$4:$B$138, 0), MATCH(AA$4&amp;AA$5, LS_previous!$D$2:$AY$2&amp;LS_previous!$D$3:$AY$3, 0)),SUM(VLOOKUP($A74, LS_previous!$B$4:$AY$138, LS_previous!S$149, FALSE), VLOOKUP('Staging Table'!$A74, LS_previous!$B$4:$AY$138,LS_previous!AQ$149, FALSE))/2)</f>
        <v>1300.3080552325041</v>
      </c>
      <c r="AB74" s="192">
        <f t="array" ref="AB74">IF($G74=0, INDEX(LS_previous!$D$4:$AY$138, MATCH('Staging Table'!$A74, LS_previous!$B$4:$B$138, 0), MATCH(AB$4&amp;AB$5, LS_previous!$D$2:$AY$2&amp;LS_previous!$D$3:$AY$3, 0)),SUM(VLOOKUP($A74, LS_previous!$B$4:$AY$138, LS_previous!T$149, FALSE), VLOOKUP('Staging Table'!$A74, LS_previous!$B$4:$AY$138,LS_previous!AR$149, FALSE))/2)</f>
        <v>-6219.6892633184061</v>
      </c>
      <c r="AC74" s="192">
        <f t="array" ref="AC74">IF($G74=0, INDEX(LS_previous!$D$4:$AY$138, MATCH('Staging Table'!$A74, LS_previous!$B$4:$B$138, 0), MATCH(AC$4&amp;AC$5, LS_previous!$D$2:$AY$2&amp;LS_previous!$D$3:$AY$3, 0)),SUM(VLOOKUP($A74, LS_previous!$B$4:$AY$138, LS_previous!U$149, FALSE), VLOOKUP('Staging Table'!$A74, LS_previous!$B$4:$AY$138,LS_previous!AS$149, FALSE))/2)</f>
        <v>-1625.9833706451805</v>
      </c>
      <c r="AD74" s="192">
        <f t="array" ref="AD74">IF($G74=0, INDEX(LS_previous!$D$4:$AY$138, MATCH('Staging Table'!$A74, LS_previous!$B$4:$B$138, 0), MATCH(AD$4&amp;AD$5, LS_previous!$D$2:$AY$2&amp;LS_previous!$D$3:$AY$3, 0)),SUM(VLOOKUP($A74, LS_previous!$B$4:$AY$138, LS_previous!V$149, FALSE), VLOOKUP('Staging Table'!$A74, LS_previous!$B$4:$AY$138,LS_previous!AT$149, FALSE))/2)</f>
        <v>-2849.8560810362178</v>
      </c>
      <c r="AE74" s="192">
        <f t="array" ref="AE74">IF($G74=0, INDEX(LS_previous!$D$4:$AY$138, MATCH('Staging Table'!$A74, LS_previous!$B$4:$B$138, 0), MATCH(AE$4&amp;AE$5, LS_previous!$D$2:$AY$2&amp;LS_previous!$D$3:$AY$3, 0)),SUM(VLOOKUP($A74, LS_previous!$B$4:$AY$138, LS_previous!W$149, FALSE), VLOOKUP('Staging Table'!$A74, LS_previous!$B$4:$AY$138,LS_previous!AU$149, FALSE))/2)</f>
        <v>2044.2124329363464</v>
      </c>
      <c r="AF74" s="192">
        <f t="array" ref="AF74">IF($G74=0, INDEX(LS_previous!$D$4:$AY$138, MATCH('Staging Table'!$A74, LS_previous!$B$4:$B$138, 0), MATCH(AF$4&amp;AF$5, LS_previous!$D$2:$AY$2&amp;LS_previous!$D$3:$AY$3, 0)),SUM(VLOOKUP($A74, LS_previous!$B$4:$AY$138, LS_previous!X$149, FALSE), VLOOKUP('Staging Table'!$A74, LS_previous!$B$4:$AY$138,LS_previous!AV$149, FALSE))/2)</f>
        <v>-2698.2987608435242</v>
      </c>
      <c r="AG74" s="192">
        <f t="array" ref="AG74">IF($G74=0, INDEX(LS_previous!$D$4:$AY$138, MATCH('Staging Table'!$A74, LS_previous!$B$4:$B$138, 0), MATCH(AG$4&amp;AG$5, LS_previous!$D$2:$AY$2&amp;LS_previous!$D$3:$AY$3, 0)),SUM(VLOOKUP($A74, LS_previous!$B$4:$AY$138, LS_previous!Y$149, FALSE), VLOOKUP('Staging Table'!$A74, LS_previous!$B$4:$AY$138,LS_previous!AW$149, FALSE))/2)</f>
        <v>1951.1078740339517</v>
      </c>
      <c r="AH74" s="192">
        <f t="array" ref="AH74">IF($G74=0, INDEX(LS_previous!$D$4:$AY$138, MATCH('Staging Table'!$A74, LS_previous!$B$4:$B$138, 0), MATCH(AH$4&amp;AH$5, LS_previous!$D$2:$AY$2&amp;LS_previous!$D$3:$AY$3, 0)),SUM(VLOOKUP($A74, LS_previous!$B$4:$AY$138, LS_previous!Z$149, FALSE), VLOOKUP('Staging Table'!$A74, LS_previous!$B$4:$AY$138,LS_previous!AX$149, FALSE))/2)</f>
        <v>-2430.1124327777798</v>
      </c>
      <c r="AI74" s="192">
        <f t="array" ref="AI74">IF($G74=0, INDEX(LS_previous!$D$4:$AY$138, MATCH('Staging Table'!$A74, LS_previous!$B$4:$B$138, 0), MATCH(AI$4&amp;AI$5, LS_previous!$D$2:$AY$2&amp;LS_previous!$D$3:$AY$3, 0)),SUM(VLOOKUP($A74, LS_previous!$B$4:$AY$138, LS_previous!AA$149, FALSE), VLOOKUP('Staging Table'!$A74, LS_previous!$B$4:$AY$138,LS_previous!AY$149, FALSE))/2)</f>
        <v>535.15504246777664</v>
      </c>
      <c r="AJ74" s="314">
        <f t="array" ref="AJ74">INDEX(Demand_previous!$D$4:$AY$138, MATCH('Staging Table'!$A74, Demand_previous!$B$4:$B$138, 0), MATCH(AJ$4&amp;AJ$5,Demand_previous!$D$2:$AY$2&amp;Demand_previous!$D$3:$AY$3, 0))/1000</f>
        <v>0</v>
      </c>
      <c r="AK74" s="314">
        <f t="array" ref="AK74">INDEX(Demand_previous!$D$4:$AY$138, MATCH('Staging Table'!$A74, Demand_previous!$B$4:$B$138, 0), MATCH(AK$4&amp;AK$5,Demand_previous!$D$2:$AY$2&amp;Demand_previous!$D$3:$AY$3, 0))/1000</f>
        <v>0</v>
      </c>
      <c r="AL74" s="314">
        <f t="array" ref="AL74">INDEX(Demand_previous!$D$4:$AY$138, MATCH('Staging Table'!$A74, Demand_previous!$B$4:$B$138, 0), MATCH(AL$4&amp;AL$5,Demand_previous!$D$2:$AY$2&amp;Demand_previous!$D$3:$AY$3, 0))/1000</f>
        <v>0</v>
      </c>
      <c r="AM74" s="314">
        <f t="array" ref="AM74">INDEX(Demand_previous!$D$4:$AY$138, MATCH('Staging Table'!$A74, Demand_previous!$B$4:$B$138, 0), MATCH(AM$4&amp;AM$5,Demand_previous!$D$2:$AY$2&amp;Demand_previous!$D$3:$AY$3, 0))/1000</f>
        <v>0</v>
      </c>
      <c r="AN74" s="314">
        <f t="array" ref="AN74">INDEX(Demand_previous!$D$4:$AY$138, MATCH('Staging Table'!$A74, Demand_previous!$B$4:$B$138, 0), MATCH(AN$4&amp;AN$5,Demand_previous!$D$2:$AY$2&amp;Demand_previous!$D$3:$AY$3, 0))/1000</f>
        <v>0</v>
      </c>
      <c r="AO74" s="314">
        <f t="array" ref="AO74">INDEX(Demand_previous!$D$4:$AY$138, MATCH('Staging Table'!$A74, Demand_previous!$B$4:$B$138, 0), MATCH(AO$4&amp;AO$5,Demand_previous!$D$2:$AY$2&amp;Demand_previous!$D$3:$AY$3, 0))/1000</f>
        <v>0</v>
      </c>
      <c r="AP74" s="314">
        <f t="array" ref="AP74">INDEX(Demand_previous!$D$4:$AY$138, MATCH('Staging Table'!$A74, Demand_previous!$B$4:$B$138, 0), MATCH(AP$4&amp;AP$5,Demand_previous!$D$2:$AY$2&amp;Demand_previous!$D$3:$AY$3, 0))/1000</f>
        <v>0</v>
      </c>
      <c r="AQ74" s="314">
        <f t="array" ref="AQ74">INDEX(Demand_previous!$D$4:$AY$138, MATCH('Staging Table'!$A74, Demand_previous!$B$4:$B$138, 0), MATCH(AQ$4&amp;AQ$5,Demand_previous!$D$2:$AY$2&amp;Demand_previous!$D$3:$AY$3, 0))/1000</f>
        <v>0</v>
      </c>
      <c r="AR74" s="314">
        <f t="array" ref="AR74">INDEX(Demand_previous!$D$4:$AY$138, MATCH('Staging Table'!$A74, Demand_previous!$B$4:$B$138, 0), MATCH(AR$4&amp;AR$5,Demand_previous!$D$2:$AY$2&amp;Demand_previous!$D$3:$AY$3, 0))/1000</f>
        <v>0</v>
      </c>
      <c r="AS74" s="314">
        <f t="array" ref="AS74">INDEX(Demand_previous!$D$4:$AY$138, MATCH('Staging Table'!$A74, Demand_previous!$B$4:$B$138, 0), MATCH(AS$4&amp;AS$5,Demand_previous!$D$2:$AY$2&amp;Demand_previous!$D$3:$AY$3, 0))/1000</f>
        <v>0</v>
      </c>
      <c r="AT74" s="314">
        <f t="array" ref="AT74">INDEX(Demand_previous!$D$4:$AY$138, MATCH('Staging Table'!$A74, Demand_previous!$B$4:$B$138, 0), MATCH(AT$4&amp;AT$5,Demand_previous!$D$2:$AY$2&amp;Demand_previous!$D$3:$AY$3, 0))/1000</f>
        <v>0</v>
      </c>
      <c r="AU74" s="314">
        <f t="array" ref="AU74">INDEX(Demand_previous!$D$4:$AY$138, MATCH('Staging Table'!$A74, Demand_previous!$B$4:$B$138, 0), MATCH(AU$4&amp;AU$5,Demand_previous!$D$2:$AY$2&amp;Demand_previous!$D$3:$AY$3, 0))/1000</f>
        <v>0</v>
      </c>
      <c r="AV74" s="192">
        <f>$F74*(VLOOKUP(AV$4, Rates_previous!$G$6:$Q$29, 10, FALSE)+VLOOKUP(AV$4, Rates_previous!$G$6:$Q$29, 11, FALSE))</f>
        <v>15962.989010011197</v>
      </c>
      <c r="AW74" s="192">
        <f>$F74*(VLOOKUP(AW$4, Rates_previous!$G$6:$Q$29, 10, FALSE)+VLOOKUP(AW$4, Rates_previous!$G$6:$Q$29, 11, FALSE))</f>
        <v>20277.975793870799</v>
      </c>
      <c r="AX74" s="192">
        <f>$F74*(VLOOKUP(AX$4, Rates_previous!$G$6:$Q$29, 10, FALSE)+VLOOKUP(AX$4, Rates_previous!$G$6:$Q$29, 11, FALSE))</f>
        <v>20033.0917976112</v>
      </c>
      <c r="AY74" s="192">
        <f>$F74*(VLOOKUP(AY$4, Rates_previous!$G$6:$Q$29, 10, FALSE)+VLOOKUP(AY$4, Rates_previous!$G$6:$Q$29, 11, FALSE))</f>
        <v>16698.802172011201</v>
      </c>
      <c r="AZ74" s="192">
        <f>$F74*(VLOOKUP(AZ$4, Rates_previous!$G$6:$Q$29, 10, FALSE)+VLOOKUP(AZ$4, Rates_previous!$G$6:$Q$29, 11, FALSE))</f>
        <v>15127.382400959998</v>
      </c>
      <c r="BA74" s="192">
        <f>$F74*(VLOOKUP(BA$4, Rates_previous!$G$6:$Q$29, 10, FALSE)+VLOOKUP(BA$4, Rates_previous!$G$6:$Q$29, 11, FALSE))</f>
        <v>16826.454929396397</v>
      </c>
      <c r="BB74" s="192">
        <f>$F74*(VLOOKUP(BB$4, Rates_previous!$G$6:$Q$29, 10, FALSE)+VLOOKUP(BB$4, Rates_previous!$G$6:$Q$29, 11, FALSE))</f>
        <v>13700.117761055999</v>
      </c>
      <c r="BC74" s="192">
        <f>$F74*(VLOOKUP(BC$4, Rates_previous!$G$6:$Q$29, 10, FALSE)+VLOOKUP(BC$4, Rates_previous!$G$6:$Q$29, 11, FALSE))</f>
        <v>18476.651714611198</v>
      </c>
      <c r="BD74" s="192">
        <f>$F74*(VLOOKUP(BD$4, Rates_previous!$G$6:$Q$29, 10, FALSE)+VLOOKUP(BD$4, Rates_previous!$G$6:$Q$29, 11, FALSE))</f>
        <v>23574.950964455998</v>
      </c>
      <c r="BE74" s="192">
        <f>$F74*(VLOOKUP(BE$4, Rates_previous!$G$6:$Q$29, 10, FALSE)+VLOOKUP(BE$4, Rates_previous!$G$6:$Q$29, 11, FALSE))</f>
        <v>18483.5090708112</v>
      </c>
      <c r="BF74" s="192">
        <f>$F74*(VLOOKUP(BF$4, Rates_previous!$G$6:$Q$29, 10, FALSE)+VLOOKUP(BF$4, Rates_previous!$G$6:$Q$29, 11, FALSE))</f>
        <v>17999.257338211199</v>
      </c>
      <c r="BG74" s="192">
        <f>$F74*(VLOOKUP(BG$4, Rates_previous!$G$6:$Q$29, 10, FALSE)+VLOOKUP(BG$4, Rates_previous!$G$6:$Q$29, 11, FALSE))</f>
        <v>16159.504154255999</v>
      </c>
      <c r="BH74" s="314">
        <f>IF($D74=0,IF(C74=0, MAX(BJ74 - (VLOOKUP($A74,TOCA_previous!$A$2:$AI$137,MATCH("RHWM 2020",TOCA_previous!$A$2:$AI$2,0),FALSE)*$F$2*TOCA_previous!C71),0),0), 0)</f>
        <v>0</v>
      </c>
      <c r="BI74" s="204">
        <f>MIN(VLOOKUP($A74,TOCA_previous!$A$2:$AI$137,MATCH("TRL - NLSL - Existing Resource "&amp;$F$1,TOCA_previous!$A$2:$AI$2,0),FALSE)*$F$2,(VLOOKUP($A74,TOCA_previous!$A$2:$AI$137,MATCH("RHWM 2020",TOCA_previous!$A$2:$AI$2,0),FALSE)*$F$2))</f>
        <v>552030.48</v>
      </c>
      <c r="BJ74" s="418">
        <f>SUM(L74:AI74)+(F74*RT1SC!$C$3*$F$2)</f>
        <v>213322.24852153371</v>
      </c>
      <c r="BK74" s="417">
        <f>VLOOKUP($A74,TOCA_previous!$A$2:$AI$137,MATCH("Above RHWM Not Served with LS "&amp;$F$1,TOCA_previous!$A$2:$AI$2,0),FALSE)*$F$2</f>
        <v>0</v>
      </c>
      <c r="BL74" s="418">
        <f t="shared" si="27"/>
        <v>-338708.2314784663</v>
      </c>
      <c r="BM74" s="417">
        <f>(VLOOKUP($A74,TOCA_previous!$A$2:$AI$137,MATCH("RHWM 2020",TOCA_previous!$A$2:$AI$2,0),FALSE)*$F$2) - $BI74</f>
        <v>143091.3600000001</v>
      </c>
      <c r="BN74" s="418">
        <f t="shared" si="28"/>
        <v>0</v>
      </c>
      <c r="BO74" s="417">
        <f t="shared" si="29"/>
        <v>338708.2314784663</v>
      </c>
      <c r="BP74" s="418">
        <f t="shared" si="30"/>
        <v>0</v>
      </c>
      <c r="BQ74" s="417">
        <f t="shared" si="21"/>
        <v>0</v>
      </c>
      <c r="BR74" s="120">
        <f>VLOOKUP($A74,TOCA_current!$A$2:$AI$137,MATCH(BR$4,TOCA_current!$A$2:$AI$2,0),FALSE)</f>
        <v>9.3548999999999993E-3</v>
      </c>
      <c r="BS74" s="120">
        <f>VLOOKUP($A74,TOCA_current!$A$2:$AI$137,MATCH(BS$4,TOCA_current!$A$2:$AI$2,0),FALSE)</f>
        <v>3.8655999999999994E-3</v>
      </c>
      <c r="BT74" s="201">
        <f t="shared" si="31"/>
        <v>5.4892999999999999E-3</v>
      </c>
      <c r="BU74" s="120">
        <f>VLOOKUP($A74,TOCA_current!A70:BG205,MATCH(BU$4,TOCA_current!$A$2:$BG$2,0),FALSE)</f>
        <v>0</v>
      </c>
      <c r="BV74" s="120">
        <f t="shared" si="22"/>
        <v>0</v>
      </c>
      <c r="BW74" s="120">
        <f t="shared" si="23"/>
        <v>0</v>
      </c>
      <c r="BX74" s="191">
        <f>VLOOKUP($A74,IRD!$A$4:$G$139, 7, FALSE)</f>
        <v>0</v>
      </c>
      <c r="BY74" s="192">
        <f t="array" ref="BY74">IF($BT74=0, INDEX(LS_current!$D$4:$AY$138, MATCH('Staging Table'!$A74, LS_current!$B$4:$B$138, 0), MATCH(BY$4&amp;BY$5, LS_current!$D$2:$AY$2&amp;LS_current!$D$3:$AY$3, 0)),SUM(VLOOKUP($A74, LS_current!$B$4:$AY$138, LS_current!D$148, FALSE), VLOOKUP($A74, LS_current!$B$4:$AY$138,LS_current!AB$148, FALSE))/2)</f>
        <v>-1853.7123885978162</v>
      </c>
      <c r="BZ74" s="192">
        <f t="array" ref="BZ74">IF($BT74=0, INDEX(LS_current!$D$4:$AY$138, MATCH('Staging Table'!$A74, LS_current!$B$4:$B$138, 0), MATCH(BZ$4&amp;BZ$5, LS_current!$D$2:$AY$2&amp;LS_current!$D$3:$AY$3, 0)),SUM(VLOOKUP($A74, LS_current!$B$4:$AY$138, LS_current!E$148, FALSE), VLOOKUP($A74, LS_current!$B$4:$AY$138,LS_current!AC$148, FALSE))/2)</f>
        <v>1129.7617673785517</v>
      </c>
      <c r="CA74" s="192">
        <f t="array" ref="CA74">IF($BT74=0, INDEX(LS_current!$D$4:$AY$138, MATCH('Staging Table'!$A74, LS_current!$B$4:$B$138, 0), MATCH(CA$4&amp;CA$5, LS_current!$D$2:$AY$2&amp;LS_current!$D$3:$AY$3, 0)),SUM(VLOOKUP($A74, LS_current!$B$4:$AY$138, LS_current!F$148, FALSE), VLOOKUP($A74, LS_current!$B$4:$AY$138,LS_current!AD$148, FALSE))/2)</f>
        <v>-2921.7073562260484</v>
      </c>
      <c r="CB74" s="192">
        <f t="array" ref="CB74">IF($BT74=0, INDEX(LS_current!$D$4:$AY$138, MATCH('Staging Table'!$A74, LS_current!$B$4:$B$138, 0), MATCH(CB$4&amp;CB$5, LS_current!$D$2:$AY$2&amp;LS_current!$D$3:$AY$3, 0)),SUM(VLOOKUP($A74, LS_current!$B$4:$AY$138, LS_current!G$148, FALSE), VLOOKUP($A74, LS_current!$B$4:$AY$138,LS_current!AE$148, FALSE))/2)</f>
        <v>21.954061567354074</v>
      </c>
      <c r="CC74" s="192">
        <f t="array" ref="CC74">IF($BT74=0, INDEX(LS_current!$D$4:$AY$138, MATCH('Staging Table'!$A74, LS_current!$B$4:$B$138, 0), MATCH(CC$4&amp;CC$5, LS_current!$D$2:$AY$2&amp;LS_current!$D$3:$AY$3, 0)),SUM(VLOOKUP($A74, LS_current!$B$4:$AY$138, LS_current!H$148, FALSE), VLOOKUP($A74, LS_current!$B$4:$AY$138,LS_current!AF$148, FALSE))/2)</f>
        <v>930.97723368896095</v>
      </c>
      <c r="CD74" s="192">
        <f t="array" ref="CD74">IF($BT74=0, INDEX(LS_current!$D$4:$AY$138, MATCH('Staging Table'!$A74, LS_current!$B$4:$B$138, 0), MATCH(CD$4&amp;CD$5, LS_current!$D$2:$AY$2&amp;LS_current!$D$3:$AY$3, 0)),SUM(VLOOKUP($A74, LS_current!$B$4:$AY$138, LS_current!I$148, FALSE), VLOOKUP($A74, LS_current!$B$4:$AY$138,LS_current!AG$148, FALSE))/2)</f>
        <v>1208.2243553763774</v>
      </c>
      <c r="CE74" s="192">
        <f t="array" ref="CE74">IF($BT74=0, INDEX(LS_current!$D$4:$AY$138, MATCH('Staging Table'!$A74, LS_current!$B$4:$B$138, 0), MATCH(CE$4&amp;CE$5, LS_current!$D$2:$AY$2&amp;LS_current!$D$3:$AY$3, 0)),SUM(VLOOKUP($A74, LS_current!$B$4:$AY$138, LS_current!J$148, FALSE), VLOOKUP($A74, LS_current!$B$4:$AY$138,LS_current!AH$148, FALSE))/2)</f>
        <v>2997.8001102677281</v>
      </c>
      <c r="CF74" s="192">
        <f t="array" ref="CF74">IF($BT74=0, INDEX(LS_current!$D$4:$AY$138, MATCH('Staging Table'!$A74, LS_current!$B$4:$B$138, 0), MATCH(CF$4&amp;CF$5, LS_current!$D$2:$AY$2&amp;LS_current!$D$3:$AY$3, 0)),SUM(VLOOKUP($A74, LS_current!$B$4:$AY$138, LS_current!K$148, FALSE), VLOOKUP($A74, LS_current!$B$4:$AY$138,LS_current!AI$148, FALSE))/2)</f>
        <v>3626.1360289601653</v>
      </c>
      <c r="CG74" s="192">
        <f t="array" ref="CG74">IF($BT74=0, INDEX(LS_current!$D$4:$AY$138, MATCH('Staging Table'!$A74, LS_current!$B$4:$B$138, 0), MATCH(CG$4&amp;CG$5, LS_current!$D$2:$AY$2&amp;LS_current!$D$3:$AY$3, 0)),SUM(VLOOKUP($A74, LS_current!$B$4:$AY$138, LS_current!L$148, FALSE), VLOOKUP($A74, LS_current!$B$4:$AY$138,LS_current!AJ$148, FALSE))/2)</f>
        <v>2531.8997281355087</v>
      </c>
      <c r="CH74" s="192">
        <f t="array" ref="CH74">IF($BT74=0, INDEX(LS_current!$D$4:$AY$138, MATCH('Staging Table'!$A74, LS_current!$B$4:$B$138, 0), MATCH(CH$4&amp;CH$5, LS_current!$D$2:$AY$2&amp;LS_current!$D$3:$AY$3, 0)),SUM(VLOOKUP($A74, LS_current!$B$4:$AY$138, LS_current!M$148, FALSE), VLOOKUP($A74, LS_current!$B$4:$AY$138,LS_current!AK$148, FALSE))/2)</f>
        <v>2157.6499596317462</v>
      </c>
      <c r="CI74" s="192">
        <f t="array" ref="CI74">IF($BT74=0, INDEX(LS_current!$D$4:$AY$138, MATCH('Staging Table'!$A74, LS_current!$B$4:$B$138, 0), MATCH(CI$4&amp;CI$5, LS_current!$D$2:$AY$2&amp;LS_current!$D$3:$AY$3, 0)),SUM(VLOOKUP($A74, LS_current!$B$4:$AY$138, LS_current!N$148, FALSE), VLOOKUP($A74, LS_current!$B$4:$AY$138,LS_current!AL$148, FALSE))/2)</f>
        <v>-441.32080340672383</v>
      </c>
      <c r="CJ74" s="192">
        <f t="array" ref="CJ74">IF($BT74=0, INDEX(LS_current!$D$4:$AY$138, MATCH('Staging Table'!$A74, LS_current!$B$4:$B$138, 0), MATCH(CJ$4&amp;CJ$5, LS_current!$D$2:$AY$2&amp;LS_current!$D$3:$AY$3, 0)),SUM(VLOOKUP($A74, LS_current!$B$4:$AY$138, LS_current!O$148, FALSE), VLOOKUP($A74, LS_current!$B$4:$AY$138,LS_current!AM$148, FALSE))/2)</f>
        <v>732.07726025417423</v>
      </c>
      <c r="CK74" s="192">
        <f t="array" ref="CK74">IF($BT74=0, INDEX(LS_current!$D$4:$AY$138, MATCH('Staging Table'!$A74, LS_current!$B$4:$B$138, 0), MATCH(CK$4&amp;CK$5, LS_current!$D$2:$AY$2&amp;LS_current!$D$3:$AY$3, 0)),SUM(VLOOKUP($A74, LS_current!$B$4:$AY$138, LS_current!P$148, FALSE), VLOOKUP($A74, LS_current!$B$4:$AY$138,LS_current!AN$148, FALSE))/2)</f>
        <v>385.46377407615819</v>
      </c>
      <c r="CL74" s="192">
        <f t="array" ref="CL74">IF($BT74=0, INDEX(LS_current!$D$4:$AY$138, MATCH('Staging Table'!$A74, LS_current!$B$4:$B$138, 0), MATCH(CL$4&amp;CL$5, LS_current!$D$2:$AY$2&amp;LS_current!$D$3:$AY$3, 0)),SUM(VLOOKUP($A74, LS_current!$B$4:$AY$138, LS_current!Q$148, FALSE), VLOOKUP($A74, LS_current!$B$4:$AY$138,LS_current!AO$148, FALSE))/2)</f>
        <v>1566.6023448415244</v>
      </c>
      <c r="CM74" s="192">
        <f t="array" ref="CM74">IF($BT74=0, INDEX(LS_current!$D$4:$AY$138, MATCH('Staging Table'!$A74, LS_current!$B$4:$B$138, 0), MATCH(CM$4&amp;CM$5, LS_current!$D$2:$AY$2&amp;LS_current!$D$3:$AY$3, 0)),SUM(VLOOKUP($A74, LS_current!$B$4:$AY$138, LS_current!R$148, FALSE), VLOOKUP($A74, LS_current!$B$4:$AY$138,LS_current!AP$148, FALSE))/2)</f>
        <v>-3630.7980460646277</v>
      </c>
      <c r="CN74" s="192">
        <f t="array" ref="CN74">IF($BT74=0, INDEX(LS_current!$D$4:$AY$138, MATCH('Staging Table'!$A74, LS_current!$B$4:$B$138, 0), MATCH(CN$4&amp;CN$5, LS_current!$D$2:$AY$2&amp;LS_current!$D$3:$AY$3, 0)),SUM(VLOOKUP($A74, LS_current!$B$4:$AY$138, LS_current!S$148, FALSE), VLOOKUP($A74, LS_current!$B$4:$AY$138,LS_current!AQ$148, FALSE))/2)</f>
        <v>1596.6001422455379</v>
      </c>
      <c r="CO74" s="192">
        <f t="array" ref="CO74">IF($BT74=0, INDEX(LS_current!$D$4:$AY$138, MATCH('Staging Table'!$A74, LS_current!$B$4:$B$138, 0), MATCH(CO$4&amp;CO$5, LS_current!$D$2:$AY$2&amp;LS_current!$D$3:$AY$3, 0)),SUM(VLOOKUP($A74, LS_current!$B$4:$AY$138, LS_current!T$148, FALSE), VLOOKUP($A74, LS_current!$B$4:$AY$138,LS_current!AR$148, FALSE))/2)</f>
        <v>-5532.0379062590764</v>
      </c>
      <c r="CP74" s="192">
        <f t="array" ref="CP74">IF($BT74=0, INDEX(LS_current!$D$4:$AY$138, MATCH('Staging Table'!$A74, LS_current!$B$4:$B$138, 0), MATCH(CP$4&amp;CP$5, LS_current!$D$2:$AY$2&amp;LS_current!$D$3:$AY$3, 0)),SUM(VLOOKUP($A74, LS_current!$B$4:$AY$138, LS_current!U$148, FALSE), VLOOKUP($A74, LS_current!$B$4:$AY$138,LS_current!AS$148, FALSE))/2)</f>
        <v>981.08955163351538</v>
      </c>
      <c r="CQ74" s="192">
        <f t="array" ref="CQ74">IF($BT74=0, INDEX(LS_current!$D$4:$AY$138, MATCH('Staging Table'!$A74, LS_current!$B$4:$B$138, 0), MATCH(CQ$4&amp;CQ$5, LS_current!$D$2:$AY$2&amp;LS_current!$D$3:$AY$3, 0)),SUM(VLOOKUP($A74, LS_current!$B$4:$AY$138, LS_current!V$148, FALSE), VLOOKUP($A74, LS_current!$B$4:$AY$138,LS_current!AT$148, FALSE))/2)</f>
        <v>-3373.8705138890982</v>
      </c>
      <c r="CR74" s="192">
        <f t="array" ref="CR74">IF($BT74=0, INDEX(LS_current!$D$4:$AY$138, MATCH('Staging Table'!$A74, LS_current!$B$4:$B$138, 0), MATCH(CR$4&amp;CR$5, LS_current!$D$2:$AY$2&amp;LS_current!$D$3:$AY$3, 0)),SUM(VLOOKUP($A74, LS_current!$B$4:$AY$138, LS_current!W$148, FALSE), VLOOKUP($A74, LS_current!$B$4:$AY$138,LS_current!AU$148, FALSE))/2)</f>
        <v>1961.6248501611703</v>
      </c>
      <c r="CS74" s="192">
        <f t="array" ref="CS74">IF($BT74=0, INDEX(LS_current!$D$4:$AY$138, MATCH('Staging Table'!$A74, LS_current!$B$4:$B$138, 0), MATCH(CS$4&amp;CS$5, LS_current!$D$2:$AY$2&amp;LS_current!$D$3:$AY$3, 0)),SUM(VLOOKUP($A74, LS_current!$B$4:$AY$138, LS_current!X$148, FALSE), VLOOKUP($A74, LS_current!$B$4:$AY$138,LS_current!AV$148, FALSE))/2)</f>
        <v>-2514.1587693758602</v>
      </c>
      <c r="CT74" s="192">
        <f t="array" ref="CT74">IF($BT74=0, INDEX(LS_current!$D$4:$AY$138, MATCH('Staging Table'!$A74, LS_current!$B$4:$B$138, 0), MATCH(CT$4&amp;CT$5, LS_current!$D$2:$AY$2&amp;LS_current!$D$3:$AY$3, 0)),SUM(VLOOKUP($A74, LS_current!$B$4:$AY$138, LS_current!Y$148, FALSE), VLOOKUP($A74, LS_current!$B$4:$AY$138,LS_current!AW$148, FALSE))/2)</f>
        <v>1328.9854548516169</v>
      </c>
      <c r="CU74" s="192">
        <f t="array" ref="CU74">IF($BT74=0, INDEX(LS_current!$D$4:$AY$138, MATCH('Staging Table'!$A74, LS_current!$B$4:$B$138, 0), MATCH(CU$4&amp;CU$5, LS_current!$D$2:$AY$2&amp;LS_current!$D$3:$AY$3, 0)),SUM(VLOOKUP($A74, LS_current!$B$4:$AY$138, LS_current!Z$148, FALSE), VLOOKUP($A74, LS_current!$B$4:$AY$138,LS_current!AX$148, FALSE))/2)</f>
        <v>-3107.3471173068683</v>
      </c>
      <c r="CV74" s="192">
        <f t="array" ref="CV74">IF($BT74=0, INDEX(LS_current!$D$4:$AY$138, MATCH('Staging Table'!$A74, LS_current!$B$4:$B$138, 0), MATCH(CV$4&amp;CV$5, LS_current!$D$2:$AY$2&amp;LS_current!$D$3:$AY$3, 0)),SUM(VLOOKUP($A74, LS_current!$B$4:$AY$138, LS_current!AA$148, FALSE), VLOOKUP($A74, LS_current!$B$4:$AY$138,LS_current!AY$148, FALSE))/2)</f>
        <v>219.37865851928245</v>
      </c>
      <c r="CW74" s="194">
        <f t="array" ref="CW74">INDEX(Demand_current!$D$4:$AY$138, MATCH($A74, Demand_current!$B$4:$B$138, 0), MATCH(CW$4&amp;CW$5,Demand_current!$D$2:$AY$2&amp;Demand_current!$D$3:$AY$3, 0))/1000</f>
        <v>0</v>
      </c>
      <c r="CX74" s="194">
        <f t="array" ref="CX74">INDEX(Demand_current!$D$4:$AY$138, MATCH($A74, Demand_current!$B$4:$B$138, 0), MATCH(CX$4&amp;CX$5,Demand_current!$D$2:$AY$2&amp;Demand_current!$D$3:$AY$3, 0))/1000</f>
        <v>0</v>
      </c>
      <c r="CY74" s="194">
        <f t="array" ref="CY74">INDEX(Demand_current!$D$4:$AY$138, MATCH($A74, Demand_current!$B$4:$B$138, 0), MATCH(CY$4&amp;CY$5,Demand_current!$D$2:$AY$2&amp;Demand_current!$D$3:$AY$3, 0))/1000</f>
        <v>0</v>
      </c>
      <c r="CZ74" s="194">
        <f t="array" ref="CZ74">INDEX(Demand_current!$D$4:$AY$138, MATCH($A74, Demand_current!$B$4:$B$138, 0), MATCH(CZ$4&amp;CZ$5,Demand_current!$D$2:$AY$2&amp;Demand_current!$D$3:$AY$3, 0))/1000</f>
        <v>0</v>
      </c>
      <c r="DA74" s="194">
        <f t="array" ref="DA74">INDEX(Demand_current!$D$4:$AY$138, MATCH($A74, Demand_current!$B$4:$B$138, 0), MATCH(DA$4&amp;DA$5,Demand_current!$D$2:$AY$2&amp;Demand_current!$D$3:$AY$3, 0))/1000</f>
        <v>0</v>
      </c>
      <c r="DB74" s="194">
        <f t="array" ref="DB74">INDEX(Demand_current!$D$4:$AY$138, MATCH($A74, Demand_current!$B$4:$B$138, 0), MATCH(DB$4&amp;DB$5,Demand_current!$D$2:$AY$2&amp;Demand_current!$D$3:$AY$3, 0))/1000</f>
        <v>0</v>
      </c>
      <c r="DC74" s="194">
        <f t="array" ref="DC74">INDEX(Demand_current!$D$4:$AY$138, MATCH($A74, Demand_current!$B$4:$B$138, 0), MATCH(DC$4&amp;DC$5,Demand_current!$D$2:$AY$2&amp;Demand_current!$D$3:$AY$3, 0))/1000</f>
        <v>0</v>
      </c>
      <c r="DD74" s="194">
        <f t="array" ref="DD74">INDEX(Demand_current!$D$4:$AY$138, MATCH($A74, Demand_current!$B$4:$B$138, 0), MATCH(DD$4&amp;DD$5,Demand_current!$D$2:$AY$2&amp;Demand_current!$D$3:$AY$3, 0))/1000</f>
        <v>0</v>
      </c>
      <c r="DE74" s="194">
        <f t="array" ref="DE74">INDEX(Demand_current!$D$4:$AY$138, MATCH($A74, Demand_current!$B$4:$B$138, 0), MATCH(DE$4&amp;DE$5,Demand_current!$D$2:$AY$2&amp;Demand_current!$D$3:$AY$3, 0))/1000</f>
        <v>0</v>
      </c>
      <c r="DF74" s="194">
        <f t="array" ref="DF74">INDEX(Demand_current!$D$4:$AY$138, MATCH($A74, Demand_current!$B$4:$B$138, 0), MATCH(DF$4&amp;DF$5,Demand_current!$D$2:$AY$2&amp;Demand_current!$D$3:$AY$3, 0))/1000</f>
        <v>0</v>
      </c>
      <c r="DG74" s="194">
        <f t="array" ref="DG74">INDEX(Demand_current!$D$4:$AY$138, MATCH($A74, Demand_current!$B$4:$B$138, 0), MATCH(DG$4&amp;DG$5,Demand_current!$D$2:$AY$2&amp;Demand_current!$D$3:$AY$3, 0))/1000</f>
        <v>0</v>
      </c>
      <c r="DH74" s="194">
        <f t="array" ref="DH74">INDEX(Demand_current!$D$4:$AY$138, MATCH($A74, Demand_current!$B$4:$B$138, 0), MATCH(DH$4&amp;DH$5,Demand_current!$D$2:$AY$2&amp;Demand_current!$D$3:$AY$3, 0))/1000</f>
        <v>0</v>
      </c>
      <c r="DI74" s="192">
        <f>$BS74*(VLOOKUP(DI$4, Rates_current!$G$6:$Q$29, 10, FALSE)+VLOOKUP(DI$4, Rates_current!$G$6:$Q$29, 11, FALSE))</f>
        <v>17603.65024090145</v>
      </c>
      <c r="DJ74" s="192">
        <f>$BS74*(VLOOKUP(DJ$4, Rates_current!$G$6:$Q$29, 10, FALSE)+VLOOKUP(DJ$4, Rates_current!$G$6:$Q$29, 11, FALSE))</f>
        <v>22286.860085413158</v>
      </c>
      <c r="DK74" s="192">
        <f>$BS74*(VLOOKUP(DK$4, Rates_current!$G$6:$Q$29, 10, FALSE)+VLOOKUP(DK$4, Rates_current!$G$6:$Q$29, 11, FALSE))</f>
        <v>21814.383483041893</v>
      </c>
      <c r="DL74" s="192">
        <f>$BS74*(VLOOKUP(DL$4, Rates_current!$G$6:$Q$29, 10, FALSE)+VLOOKUP(DL$4, Rates_current!$G$6:$Q$29, 11, FALSE))</f>
        <v>18017.753103783856</v>
      </c>
      <c r="DM74" s="192">
        <f>$BS74*(VLOOKUP(DM$4, Rates_current!$G$6:$Q$29, 10, FALSE)+VLOOKUP(DM$4, Rates_current!$G$6:$Q$29, 11, FALSE))</f>
        <v>15616.381511734178</v>
      </c>
      <c r="DN74" s="192">
        <f>$BS74*(VLOOKUP(DN$4, Rates_current!$G$6:$Q$29, 10, FALSE)+VLOOKUP(DN$4, Rates_current!$G$6:$Q$29, 11, FALSE))</f>
        <v>18642.805964688396</v>
      </c>
      <c r="DO74" s="192">
        <f>$BS74*(VLOOKUP(DO$4, Rates_current!$G$6:$Q$29, 10, FALSE)+VLOOKUP(DO$4, Rates_current!$G$6:$Q$29, 11, FALSE))</f>
        <v>14473.656935341016</v>
      </c>
      <c r="DP74" s="192">
        <f>$BS74*(VLOOKUP(DP$4, Rates_current!$G$6:$Q$29, 10, FALSE)+VLOOKUP(DP$4, Rates_current!$G$6:$Q$29, 11, FALSE))</f>
        <v>20053.358195326589</v>
      </c>
      <c r="DQ74" s="192">
        <f>$BS74*(VLOOKUP(DQ$4, Rates_current!$G$6:$Q$29, 10, FALSE)+VLOOKUP(DQ$4, Rates_current!$G$6:$Q$29, 11, FALSE))</f>
        <v>21427.433132007383</v>
      </c>
      <c r="DR74" s="192">
        <f>$BS74*(VLOOKUP(DR$4, Rates_current!$G$6:$Q$29, 10, FALSE)+VLOOKUP(DR$4, Rates_current!$G$6:$Q$29, 11, FALSE))</f>
        <v>20344.377490412095</v>
      </c>
      <c r="DS74" s="192">
        <f>$BS74*(VLOOKUP(DS$4, Rates_current!$G$6:$Q$29, 10, FALSE)+VLOOKUP(DS$4, Rates_current!$G$6:$Q$29, 11, FALSE))</f>
        <v>19661.27135742017</v>
      </c>
      <c r="DT74" s="192">
        <f>$BS74*(VLOOKUP(DT$4, Rates_current!$G$6:$Q$29, 10, FALSE)+VLOOKUP(DT$4, Rates_current!$G$6:$Q$29, 11, FALSE))</f>
        <v>18169.064340569341</v>
      </c>
      <c r="DU74" s="418">
        <f>IF(D74=0,IF(C74=0,MAX(0,DW74 - (VLOOKUP($A74,TOCA_current!$A$2:$AI$137,MATCH("RHWM 2022",TOCA_current!$A$2:$AI$2,0),FALSE)*$BS$2)), 0),0)</f>
        <v>0</v>
      </c>
      <c r="DV74" s="419">
        <f>MIN(VLOOKUP($A74,TOCA_current!$A$2:$AI$137,MATCH("TRL - NLSL - Existing Resource "&amp;$BS$1,TOCA_current!$A$2:$AI$2,0),FALSE)*$BS$2, VLOOKUP($A74,TOCA_current!$A$2:$AI$137,MATCH("RHWM 2022",TOCA_current!$A$2:$AI$2,0),FALSE)*$BS$2)</f>
        <v>552037.68000000005</v>
      </c>
      <c r="DW74" s="419">
        <f>SUM(BY74:CV74)+(BS74*RT1SC!$C$4*$BS$2)</f>
        <v>228112.27988996723</v>
      </c>
      <c r="DX74" s="419">
        <f>VLOOKUP($A74,TOCA_current!$A$2:$AI$137,MATCH("Above RHWM Not Served with LS "&amp;$BS$1,TOCA_current!$A$2:$AI$2,0),FALSE)*$BS$2</f>
        <v>0</v>
      </c>
      <c r="DY74" s="419">
        <f t="shared" si="32"/>
        <v>-323925.40011003282</v>
      </c>
      <c r="DZ74" s="419">
        <f>(VLOOKUP($A74,TOCA_current!$A$2:$AI$137,MATCH("RHWM 2022",TOCA_current!$A$2:$AI$2,0),FALSE)*$BS$2) - $DV74</f>
        <v>112749.95999999996</v>
      </c>
      <c r="EA74" s="419">
        <f t="shared" si="33"/>
        <v>0</v>
      </c>
      <c r="EB74" s="419">
        <f t="shared" si="34"/>
        <v>323925.40011003282</v>
      </c>
      <c r="EC74" s="419">
        <f t="shared" si="35"/>
        <v>0</v>
      </c>
      <c r="ED74" s="419">
        <f t="shared" si="36"/>
        <v>0</v>
      </c>
    </row>
    <row r="75" spans="1:134">
      <c r="A75" s="135">
        <v>10209</v>
      </c>
      <c r="B75" s="136" t="s">
        <v>76</v>
      </c>
      <c r="C75" s="244">
        <f>VLOOKUP(A75, TOCA_current!$A$3:$D$137, 4, FALSE)</f>
        <v>0</v>
      </c>
      <c r="D75" s="203">
        <v>0</v>
      </c>
      <c r="E75" s="119">
        <f>VLOOKUP($A75,TOCA_previous!$A$2:$AI$137,MATCH(E$4,TOCA_previous!$A$2:$AI$2,0),FALSE)</f>
        <v>1.4853E-2</v>
      </c>
      <c r="F75" s="120">
        <f>VLOOKUP($A75,TOCA_previous!$A$2:$AI$137,MATCH(F$4,TOCA_previous!$A$2:$AI$2,0),FALSE)</f>
        <v>1.4853E-2</v>
      </c>
      <c r="G75" s="120">
        <f t="shared" si="24"/>
        <v>0</v>
      </c>
      <c r="H75" s="120">
        <f>VLOOKUP($A75,TOCA_previous!$A$2:$AI$137,MATCH(H$4,TOCA_previous!$A$2:$AI$2,0),FALSE)</f>
        <v>7.3955048641395515E-2</v>
      </c>
      <c r="I75" s="120">
        <f t="shared" si="25"/>
        <v>0</v>
      </c>
      <c r="J75" s="120">
        <f t="shared" si="26"/>
        <v>0</v>
      </c>
      <c r="K75" s="191">
        <f>VLOOKUP(A75, IRD!$A$5:$C$139, 3, FALSE)</f>
        <v>60112.701000000001</v>
      </c>
      <c r="L75" s="192">
        <f t="array" ref="L75">IF($G75=0, INDEX(LS_previous!$D$4:$AY$138, MATCH('Staging Table'!$A75, LS_previous!$B$4:$B$138, 0), MATCH(L$4&amp;L$5, LS_previous!$D$2:$AY$2&amp;LS_previous!$D$3:$AY$3, 0)),SUM(VLOOKUP($A75, LS_previous!$B$4:$AY$138, LS_previous!D$149, FALSE), VLOOKUP('Staging Table'!$A75, LS_previous!$B$4:$AY$138,LS_previous!AB$149, FALSE))/2)</f>
        <v>1918.8757920360003</v>
      </c>
      <c r="M75" s="192">
        <f t="array" ref="M75">IF($G75=0, INDEX(LS_previous!$D$4:$AY$138, MATCH('Staging Table'!$A75, LS_previous!$B$4:$B$138, 0), MATCH(M$4&amp;M$5, LS_previous!$D$2:$AY$2&amp;LS_previous!$D$3:$AY$3, 0)),SUM(VLOOKUP($A75, LS_previous!$B$4:$AY$138, LS_previous!E$149, FALSE), VLOOKUP('Staging Table'!$A75, LS_previous!$B$4:$AY$138,LS_previous!AC$149, FALSE))/2)</f>
        <v>5859.4058957759989</v>
      </c>
      <c r="N75" s="192">
        <f t="array" ref="N75">IF($G75=0, INDEX(LS_previous!$D$4:$AY$138, MATCH('Staging Table'!$A75, LS_previous!$B$4:$B$138, 0), MATCH(N$4&amp;N$5, LS_previous!$D$2:$AY$2&amp;LS_previous!$D$3:$AY$3, 0)),SUM(VLOOKUP($A75, LS_previous!$B$4:$AY$138, LS_previous!F$149, FALSE), VLOOKUP('Staging Table'!$A75, LS_previous!$B$4:$AY$138,LS_previous!AD$149, FALSE))/2)</f>
        <v>-4900.2128933839995</v>
      </c>
      <c r="O75" s="192">
        <f t="array" ref="O75">IF($G75=0, INDEX(LS_previous!$D$4:$AY$138, MATCH('Staging Table'!$A75, LS_previous!$B$4:$B$138, 0), MATCH(O$4&amp;O$5, LS_previous!$D$2:$AY$2&amp;LS_previous!$D$3:$AY$3, 0)),SUM(VLOOKUP($A75, LS_previous!$B$4:$AY$138, LS_previous!G$149, FALSE), VLOOKUP('Staging Table'!$A75, LS_previous!$B$4:$AY$138,LS_previous!AE$149, FALSE))/2)</f>
        <v>3580.3299945169965</v>
      </c>
      <c r="P75" s="192">
        <f t="array" ref="P75">IF($G75=0, INDEX(LS_previous!$D$4:$AY$138, MATCH('Staging Table'!$A75, LS_previous!$B$4:$B$138, 0), MATCH(P$4&amp;P$5, LS_previous!$D$2:$AY$2&amp;LS_previous!$D$3:$AY$3, 0)),SUM(VLOOKUP($A75, LS_previous!$B$4:$AY$138, LS_previous!H$149, FALSE), VLOOKUP('Staging Table'!$A75, LS_previous!$B$4:$AY$138,LS_previous!AF$149, FALSE))/2)</f>
        <v>14113.521050783995</v>
      </c>
      <c r="Q75" s="192">
        <f t="array" ref="Q75">IF($G75=0, INDEX(LS_previous!$D$4:$AY$138, MATCH('Staging Table'!$A75, LS_previous!$B$4:$B$138, 0), MATCH(Q$4&amp;Q$5, LS_previous!$D$2:$AY$2&amp;LS_previous!$D$3:$AY$3, 0)),SUM(VLOOKUP($A75, LS_previous!$B$4:$AY$138, LS_previous!I$149, FALSE), VLOOKUP('Staging Table'!$A75, LS_previous!$B$4:$AY$138,LS_previous!AG$149, FALSE))/2)</f>
        <v>16581.632238028003</v>
      </c>
      <c r="R75" s="192">
        <f t="array" ref="R75">IF($G75=0, INDEX(LS_previous!$D$4:$AY$138, MATCH('Staging Table'!$A75, LS_previous!$B$4:$B$138, 0), MATCH(R$4&amp;R$5, LS_previous!$D$2:$AY$2&amp;LS_previous!$D$3:$AY$3, 0)),SUM(VLOOKUP($A75, LS_previous!$B$4:$AY$138, LS_previous!J$149, FALSE), VLOOKUP('Staging Table'!$A75, LS_previous!$B$4:$AY$138,LS_previous!AH$149, FALSE))/2)</f>
        <v>20904.864278784007</v>
      </c>
      <c r="S75" s="192">
        <f t="array" ref="S75">IF($G75=0, INDEX(LS_previous!$D$4:$AY$138, MATCH('Staging Table'!$A75, LS_previous!$B$4:$B$138, 0), MATCH(S$4&amp;S$5, LS_previous!$D$2:$AY$2&amp;LS_previous!$D$3:$AY$3, 0)),SUM(VLOOKUP($A75, LS_previous!$B$4:$AY$138, LS_previous!K$149, FALSE), VLOOKUP('Staging Table'!$A75, LS_previous!$B$4:$AY$138,LS_previous!AI$149, FALSE))/2)</f>
        <v>21265.778154028001</v>
      </c>
      <c r="T75" s="192">
        <f t="array" ref="T75">IF($G75=0, INDEX(LS_previous!$D$4:$AY$138, MATCH('Staging Table'!$A75, LS_previous!$B$4:$B$138, 0), MATCH(T$4&amp;T$5, LS_previous!$D$2:$AY$2&amp;LS_previous!$D$3:$AY$3, 0)),SUM(VLOOKUP($A75, LS_previous!$B$4:$AY$138, LS_previous!L$149, FALSE), VLOOKUP('Staging Table'!$A75, LS_previous!$B$4:$AY$138,LS_previous!AJ$149, FALSE))/2)</f>
        <v>13402.018917228001</v>
      </c>
      <c r="U75" s="192">
        <f t="array" ref="U75">IF($G75=0, INDEX(LS_previous!$D$4:$AY$138, MATCH('Staging Table'!$A75, LS_previous!$B$4:$B$138, 0), MATCH(U$4&amp;U$5, LS_previous!$D$2:$AY$2&amp;LS_previous!$D$3:$AY$3, 0)),SUM(VLOOKUP($A75, LS_previous!$B$4:$AY$138, LS_previous!M$149, FALSE), VLOOKUP('Staging Table'!$A75, LS_previous!$B$4:$AY$138,LS_previous!AK$149, FALSE))/2)</f>
        <v>13081.637752372</v>
      </c>
      <c r="V75" s="192">
        <f t="array" ref="V75">IF($G75=0, INDEX(LS_previous!$D$4:$AY$138, MATCH('Staging Table'!$A75, LS_previous!$B$4:$B$138, 0), MATCH(V$4&amp;V$5, LS_previous!$D$2:$AY$2&amp;LS_previous!$D$3:$AY$3, 0)),SUM(VLOOKUP($A75, LS_previous!$B$4:$AY$138, LS_previous!N$149, FALSE), VLOOKUP('Staging Table'!$A75, LS_previous!$B$4:$AY$138,LS_previous!AL$149, FALSE))/2)</f>
        <v>5079.5490509520023</v>
      </c>
      <c r="W75" s="192">
        <f t="array" ref="W75">IF($G75=0, INDEX(LS_previous!$D$4:$AY$138, MATCH('Staging Table'!$A75, LS_previous!$B$4:$B$138, 0), MATCH(W$4&amp;W$5, LS_previous!$D$2:$AY$2&amp;LS_previous!$D$3:$AY$3, 0)),SUM(VLOOKUP($A75, LS_previous!$B$4:$AY$138, LS_previous!O$149, FALSE), VLOOKUP('Staging Table'!$A75, LS_previous!$B$4:$AY$138,LS_previous!AM$149, FALSE))/2)</f>
        <v>8988.8180567870004</v>
      </c>
      <c r="X75" s="192">
        <f t="array" ref="X75">IF($G75=0, INDEX(LS_previous!$D$4:$AY$138, MATCH('Staging Table'!$A75, LS_previous!$B$4:$B$138, 0), MATCH(X$4&amp;X$5, LS_previous!$D$2:$AY$2&amp;LS_previous!$D$3:$AY$3, 0)),SUM(VLOOKUP($A75, LS_previous!$B$4:$AY$138, LS_previous!P$149, FALSE), VLOOKUP('Staging Table'!$A75, LS_previous!$B$4:$AY$138,LS_previous!AN$149, FALSE))/2)</f>
        <v>7999.7707973680008</v>
      </c>
      <c r="Y75" s="192">
        <f t="array" ref="Y75">IF($G75=0, INDEX(LS_previous!$D$4:$AY$138, MATCH('Staging Table'!$A75, LS_previous!$B$4:$B$138, 0), MATCH(Y$4&amp;Y$5, LS_previous!$D$2:$AY$2&amp;LS_previous!$D$3:$AY$3, 0)),SUM(VLOOKUP($A75, LS_previous!$B$4:$AY$138, LS_previous!Q$149, FALSE), VLOOKUP('Staging Table'!$A75, LS_previous!$B$4:$AY$138,LS_previous!AO$149, FALSE))/2)</f>
        <v>8668.5304391919963</v>
      </c>
      <c r="Z75" s="192">
        <f t="array" ref="Z75">IF($G75=0, INDEX(LS_previous!$D$4:$AY$138, MATCH('Staging Table'!$A75, LS_previous!$B$4:$B$138, 0), MATCH(Z$4&amp;Z$5, LS_previous!$D$2:$AY$2&amp;LS_previous!$D$3:$AY$3, 0)),SUM(VLOOKUP($A75, LS_previous!$B$4:$AY$138, LS_previous!R$149, FALSE), VLOOKUP('Staging Table'!$A75, LS_previous!$B$4:$AY$138,LS_previous!AP$149, FALSE))/2)</f>
        <v>-9171.9506963000022</v>
      </c>
      <c r="AA75" s="192">
        <f t="array" ref="AA75">IF($G75=0, INDEX(LS_previous!$D$4:$AY$138, MATCH('Staging Table'!$A75, LS_previous!$B$4:$B$138, 0), MATCH(AA$4&amp;AA$5, LS_previous!$D$2:$AY$2&amp;LS_previous!$D$3:$AY$3, 0)),SUM(VLOOKUP($A75, LS_previous!$B$4:$AY$138, LS_previous!S$149, FALSE), VLOOKUP('Staging Table'!$A75, LS_previous!$B$4:$AY$138,LS_previous!AQ$149, FALSE))/2)</f>
        <v>1642.0497176120007</v>
      </c>
      <c r="AB75" s="192">
        <f t="array" ref="AB75">IF($G75=0, INDEX(LS_previous!$D$4:$AY$138, MATCH('Staging Table'!$A75, LS_previous!$B$4:$B$138, 0), MATCH(AB$4&amp;AB$5, LS_previous!$D$2:$AY$2&amp;LS_previous!$D$3:$AY$3, 0)),SUM(VLOOKUP($A75, LS_previous!$B$4:$AY$138, LS_previous!T$149, FALSE), VLOOKUP('Staging Table'!$A75, LS_previous!$B$4:$AY$138,LS_previous!AR$149, FALSE))/2)</f>
        <v>-19670.922248132003</v>
      </c>
      <c r="AC75" s="192">
        <f t="array" ref="AC75">IF($G75=0, INDEX(LS_previous!$D$4:$AY$138, MATCH('Staging Table'!$A75, LS_previous!$B$4:$B$138, 0), MATCH(AC$4&amp;AC$5, LS_previous!$D$2:$AY$2&amp;LS_previous!$D$3:$AY$3, 0)),SUM(VLOOKUP($A75, LS_previous!$B$4:$AY$138, LS_previous!U$149, FALSE), VLOOKUP('Staging Table'!$A75, LS_previous!$B$4:$AY$138,LS_previous!AS$149, FALSE))/2)</f>
        <v>-6256.6745188080022</v>
      </c>
      <c r="AD75" s="192">
        <f t="array" ref="AD75">IF($G75=0, INDEX(LS_previous!$D$4:$AY$138, MATCH('Staging Table'!$A75, LS_previous!$B$4:$B$138, 0), MATCH(AD$4&amp;AD$5, LS_previous!$D$2:$AY$2&amp;LS_previous!$D$3:$AY$3, 0)),SUM(VLOOKUP($A75, LS_previous!$B$4:$AY$138, LS_previous!V$149, FALSE), VLOOKUP('Staging Table'!$A75, LS_previous!$B$4:$AY$138,LS_previous!AT$149, FALSE))/2)</f>
        <v>-6362.770613132001</v>
      </c>
      <c r="AE75" s="192">
        <f t="array" ref="AE75">IF($G75=0, INDEX(LS_previous!$D$4:$AY$138, MATCH('Staging Table'!$A75, LS_previous!$B$4:$B$138, 0), MATCH(AE$4&amp;AE$5, LS_previous!$D$2:$AY$2&amp;LS_previous!$D$3:$AY$3, 0)),SUM(VLOOKUP($A75, LS_previous!$B$4:$AY$138, LS_previous!W$149, FALSE), VLOOKUP('Staging Table'!$A75, LS_previous!$B$4:$AY$138,LS_previous!AU$149, FALSE))/2)</f>
        <v>6936.168708944002</v>
      </c>
      <c r="AF75" s="192">
        <f t="array" ref="AF75">IF($G75=0, INDEX(LS_previous!$D$4:$AY$138, MATCH('Staging Table'!$A75, LS_previous!$B$4:$B$138, 0), MATCH(AF$4&amp;AF$5, LS_previous!$D$2:$AY$2&amp;LS_previous!$D$3:$AY$3, 0)),SUM(VLOOKUP($A75, LS_previous!$B$4:$AY$138, LS_previous!X$149, FALSE), VLOOKUP('Staging Table'!$A75, LS_previous!$B$4:$AY$138,LS_previous!AV$149, FALSE))/2)</f>
        <v>-1987.5540366319983</v>
      </c>
      <c r="AG75" s="192">
        <f t="array" ref="AG75">IF($G75=0, INDEX(LS_previous!$D$4:$AY$138, MATCH('Staging Table'!$A75, LS_previous!$B$4:$B$138, 0), MATCH(AG$4&amp;AG$5, LS_previous!$D$2:$AY$2&amp;LS_previous!$D$3:$AY$3, 0)),SUM(VLOOKUP($A75, LS_previous!$B$4:$AY$138, LS_previous!Y$149, FALSE), VLOOKUP('Staging Table'!$A75, LS_previous!$B$4:$AY$138,LS_previous!AW$149, FALSE))/2)</f>
        <v>5614.1482689439981</v>
      </c>
      <c r="AH75" s="192">
        <f t="array" ref="AH75">IF($G75=0, INDEX(LS_previous!$D$4:$AY$138, MATCH('Staging Table'!$A75, LS_previous!$B$4:$B$138, 0), MATCH(AH$4&amp;AH$5, LS_previous!$D$2:$AY$2&amp;LS_previous!$D$3:$AY$3, 0)),SUM(VLOOKUP($A75, LS_previous!$B$4:$AY$138, LS_previous!Z$149, FALSE), VLOOKUP('Staging Table'!$A75, LS_previous!$B$4:$AY$138,LS_previous!AX$149, FALSE))/2)</f>
        <v>-2635.7173168000008</v>
      </c>
      <c r="AI75" s="192">
        <f t="array" ref="AI75">IF($G75=0, INDEX(LS_previous!$D$4:$AY$138, MATCH('Staging Table'!$A75, LS_previous!$B$4:$B$138, 0), MATCH(AI$4&amp;AI$5, LS_previous!$D$2:$AY$2&amp;LS_previous!$D$3:$AY$3, 0)),SUM(VLOOKUP($A75, LS_previous!$B$4:$AY$138, LS_previous!AA$149, FALSE), VLOOKUP('Staging Table'!$A75, LS_previous!$B$4:$AY$138,LS_previous!AY$149, FALSE))/2)</f>
        <v>4541.3705603599992</v>
      </c>
      <c r="AJ75" s="314">
        <f t="array" ref="AJ75">INDEX(Demand_previous!$D$4:$AY$138, MATCH('Staging Table'!$A75, Demand_previous!$B$4:$B$138, 0), MATCH(AJ$4&amp;AJ$5,Demand_previous!$D$2:$AY$2&amp;Demand_previous!$D$3:$AY$3, 0))/1000</f>
        <v>22.668638888888907</v>
      </c>
      <c r="AK75" s="314">
        <f t="array" ref="AK75">INDEX(Demand_previous!$D$4:$AY$138, MATCH('Staging Table'!$A75, Demand_previous!$B$4:$B$138, 0), MATCH(AK$4&amp;AK$5,Demand_previous!$D$2:$AY$2&amp;Demand_previous!$D$3:$AY$3, 0))/1000</f>
        <v>31.127682499999977</v>
      </c>
      <c r="AL75" s="314">
        <f t="array" ref="AL75">INDEX(Demand_previous!$D$4:$AY$138, MATCH('Staging Table'!$A75, Demand_previous!$B$4:$B$138, 0), MATCH(AL$4&amp;AL$5,Demand_previous!$D$2:$AY$2&amp;Demand_previous!$D$3:$AY$3, 0))/1000</f>
        <v>34.641505000000009</v>
      </c>
      <c r="AM75" s="314">
        <f t="array" ref="AM75">INDEX(Demand_previous!$D$4:$AY$138, MATCH('Staging Table'!$A75, Demand_previous!$B$4:$B$138, 0), MATCH(AM$4&amp;AM$5,Demand_previous!$D$2:$AY$2&amp;Demand_previous!$D$3:$AY$3, 0))/1000</f>
        <v>37.674557692307651</v>
      </c>
      <c r="AN75" s="314">
        <f t="array" ref="AN75">INDEX(Demand_previous!$D$4:$AY$138, MATCH('Staging Table'!$A75, Demand_previous!$B$4:$B$138, 0), MATCH(AN$4&amp;AN$5,Demand_previous!$D$2:$AY$2&amp;Demand_previous!$D$3:$AY$3, 0))/1000</f>
        <v>31.643079999999998</v>
      </c>
      <c r="AO75" s="314">
        <f t="array" ref="AO75">INDEX(Demand_previous!$D$4:$AY$138, MATCH('Staging Table'!$A75, Demand_previous!$B$4:$B$138, 0), MATCH(AO$4&amp;AO$5,Demand_previous!$D$2:$AY$2&amp;Demand_previous!$D$3:$AY$3, 0))/1000</f>
        <v>37.264156249999992</v>
      </c>
      <c r="AP75" s="314">
        <f t="array" ref="AP75">INDEX(Demand_previous!$D$4:$AY$138, MATCH('Staging Table'!$A75, Demand_previous!$B$4:$B$138, 0), MATCH(AP$4&amp;AP$5,Demand_previous!$D$2:$AY$2&amp;Demand_previous!$D$3:$AY$3, 0))/1000</f>
        <v>48.499016826923089</v>
      </c>
      <c r="AQ75" s="314">
        <f t="array" ref="AQ75">INDEX(Demand_previous!$D$4:$AY$138, MATCH('Staging Table'!$A75, Demand_previous!$B$4:$B$138, 0), MATCH(AQ$4&amp;AQ$5,Demand_previous!$D$2:$AY$2&amp;Demand_previous!$D$3:$AY$3, 0))/1000</f>
        <v>27.372132500000014</v>
      </c>
      <c r="AR75" s="314">
        <f t="array" ref="AR75">INDEX(Demand_previous!$D$4:$AY$138, MATCH('Staging Table'!$A75, Demand_previous!$B$4:$B$138, 0), MATCH(AR$4&amp;AR$5,Demand_previous!$D$2:$AY$2&amp;Demand_previous!$D$3:$AY$3, 0))/1000</f>
        <v>40.921507211538469</v>
      </c>
      <c r="AS75" s="314">
        <f t="array" ref="AS75">INDEX(Demand_previous!$D$4:$AY$138, MATCH('Staging Table'!$A75, Demand_previous!$B$4:$B$138, 0), MATCH(AS$4&amp;AS$5,Demand_previous!$D$2:$AY$2&amp;Demand_previous!$D$3:$AY$3, 0))/1000</f>
        <v>43.515014423076948</v>
      </c>
      <c r="AT75" s="314">
        <f t="array" ref="AT75">INDEX(Demand_previous!$D$4:$AY$138, MATCH('Staging Table'!$A75, Demand_previous!$B$4:$B$138, 0), MATCH(AT$4&amp;AT$5,Demand_previous!$D$2:$AY$2&amp;Demand_previous!$D$3:$AY$3, 0))/1000</f>
        <v>33.320206730769229</v>
      </c>
      <c r="AU75" s="314">
        <f t="array" ref="AU75">INDEX(Demand_previous!$D$4:$AY$138, MATCH('Staging Table'!$A75, Demand_previous!$B$4:$B$138, 0), MATCH(AU$4&amp;AU$5,Demand_previous!$D$2:$AY$2&amp;Demand_previous!$D$3:$AY$3, 0))/1000</f>
        <v>33.232402500000006</v>
      </c>
      <c r="AV75" s="192">
        <f>$F75*(VLOOKUP(AV$4, Rates_previous!$G$6:$Q$29, 10, FALSE)+VLOOKUP(AV$4, Rates_previous!$G$6:$Q$29, 11, FALSE))</f>
        <v>68581.012312187988</v>
      </c>
      <c r="AW75" s="192">
        <f>$F75*(VLOOKUP(AW$4, Rates_previous!$G$6:$Q$29, 10, FALSE)+VLOOKUP(AW$4, Rates_previous!$G$6:$Q$29, 11, FALSE))</f>
        <v>87119.279898866997</v>
      </c>
      <c r="AX75" s="192">
        <f>$F75*(VLOOKUP(AX$4, Rates_previous!$G$6:$Q$29, 10, FALSE)+VLOOKUP(AX$4, Rates_previous!$G$6:$Q$29, 11, FALSE))</f>
        <v>86067.196711188008</v>
      </c>
      <c r="AY75" s="192">
        <f>$F75*(VLOOKUP(AY$4, Rates_previous!$G$6:$Q$29, 10, FALSE)+VLOOKUP(AY$4, Rates_previous!$G$6:$Q$29, 11, FALSE))</f>
        <v>71742.250567188006</v>
      </c>
      <c r="AZ75" s="192">
        <f>$F75*(VLOOKUP(AZ$4, Rates_previous!$G$6:$Q$29, 10, FALSE)+VLOOKUP(AZ$4, Rates_previous!$G$6:$Q$29, 11, FALSE))</f>
        <v>64991.036330399998</v>
      </c>
      <c r="BA75" s="192">
        <f>$F75*(VLOOKUP(BA$4, Rates_previous!$G$6:$Q$29, 10, FALSE)+VLOOKUP(BA$4, Rates_previous!$G$6:$Q$29, 11, FALSE))</f>
        <v>72290.678892260999</v>
      </c>
      <c r="BB75" s="192">
        <f>$F75*(VLOOKUP(BB$4, Rates_previous!$G$6:$Q$29, 10, FALSE)+VLOOKUP(BB$4, Rates_previous!$G$6:$Q$29, 11, FALSE))</f>
        <v>58859.148763439996</v>
      </c>
      <c r="BC75" s="192">
        <f>$F75*(VLOOKUP(BC$4, Rates_previous!$G$6:$Q$29, 10, FALSE)+VLOOKUP(BC$4, Rates_previous!$G$6:$Q$29, 11, FALSE))</f>
        <v>79380.338978688</v>
      </c>
      <c r="BD75" s="192">
        <f>$F75*(VLOOKUP(BD$4, Rates_previous!$G$6:$Q$29, 10, FALSE)+VLOOKUP(BD$4, Rates_previous!$G$6:$Q$29, 11, FALSE))</f>
        <v>101283.91376694001</v>
      </c>
      <c r="BE75" s="192">
        <f>$F75*(VLOOKUP(BE$4, Rates_previous!$G$6:$Q$29, 10, FALSE)+VLOOKUP(BE$4, Rates_previous!$G$6:$Q$29, 11, FALSE))</f>
        <v>79409.79990418801</v>
      </c>
      <c r="BF75" s="192">
        <f>$F75*(VLOOKUP(BF$4, Rates_previous!$G$6:$Q$29, 10, FALSE)+VLOOKUP(BF$4, Rates_previous!$G$6:$Q$29, 11, FALSE))</f>
        <v>77329.332767688</v>
      </c>
      <c r="BG75" s="192">
        <f>$F75*(VLOOKUP(BG$4, Rates_previous!$G$6:$Q$29, 10, FALSE)+VLOOKUP(BG$4, Rates_previous!$G$6:$Q$29, 11, FALSE))</f>
        <v>69425.290756440008</v>
      </c>
      <c r="BH75" s="314">
        <f>IF($D75=0,IF(C75=0, MAX(BJ75 - (VLOOKUP($A75,TOCA_previous!$A$2:$AI$137,MATCH("RHWM 2020",TOCA_previous!$A$2:$AI$2,0),FALSE)*$F$2*TOCA_previous!C72),0),0), 0)</f>
        <v>109193.34139954799</v>
      </c>
      <c r="BI75" s="204">
        <f>MIN(VLOOKUP($A75,TOCA_previous!$A$2:$AI$137,MATCH("TRL - NLSL - Existing Resource "&amp;$F$1,TOCA_previous!$A$2:$AI$2,0),FALSE)*$F$2,(VLOOKUP($A75,TOCA_previous!$A$2:$AI$137,MATCH("RHWM 2020",TOCA_previous!$A$2:$AI$2,0),FALSE)*$F$2))</f>
        <v>916478.6399999999</v>
      </c>
      <c r="BJ75" s="418">
        <f>SUM(L75:AI75)+(F75*RT1SC!$C$3*$F$2)</f>
        <v>1025671.9813995479</v>
      </c>
      <c r="BK75" s="417">
        <f>VLOOKUP($A75,TOCA_previous!$A$2:$AI$137,MATCH("Above RHWM Not Served with LS "&amp;$F$1,TOCA_previous!$A$2:$AI$2,0),FALSE)*$F$2</f>
        <v>51781.679999999993</v>
      </c>
      <c r="BL75" s="418">
        <f t="shared" si="27"/>
        <v>109193.34139954799</v>
      </c>
      <c r="BM75" s="417">
        <f>(VLOOKUP($A75,TOCA_previous!$A$2:$AI$137,MATCH("RHWM 2020",TOCA_previous!$A$2:$AI$2,0),FALSE)*$F$2) - $BI75</f>
        <v>0</v>
      </c>
      <c r="BN75" s="418">
        <f t="shared" si="28"/>
        <v>0</v>
      </c>
      <c r="BO75" s="417">
        <f t="shared" si="29"/>
        <v>0</v>
      </c>
      <c r="BP75" s="418">
        <f t="shared" si="30"/>
        <v>0</v>
      </c>
      <c r="BQ75" s="417">
        <f t="shared" si="21"/>
        <v>0</v>
      </c>
      <c r="BR75" s="120">
        <f>VLOOKUP($A75,TOCA_current!$A$2:$AI$137,MATCH(BR$4,TOCA_current!$A$2:$AI$2,0),FALSE)</f>
        <v>1.4853E-2</v>
      </c>
      <c r="BS75" s="120">
        <f>VLOOKUP($A75,TOCA_current!$A$2:$AI$137,MATCH(BS$4,TOCA_current!$A$2:$AI$2,0),FALSE)</f>
        <v>1.4853E-2</v>
      </c>
      <c r="BT75" s="201">
        <f t="shared" si="31"/>
        <v>0</v>
      </c>
      <c r="BU75" s="120">
        <f>VLOOKUP($A75,TOCA_current!A71:BG206,MATCH(BU$4,TOCA_current!$A$2:$BG$2,0),FALSE)</f>
        <v>8.2381090400279841E-2</v>
      </c>
      <c r="BV75" s="120">
        <f t="shared" si="22"/>
        <v>0</v>
      </c>
      <c r="BW75" s="120">
        <f t="shared" si="23"/>
        <v>0</v>
      </c>
      <c r="BX75" s="191">
        <f>VLOOKUP($A75,IRD!$A$4:$G$139, 7, FALSE)</f>
        <v>60112.701000000001</v>
      </c>
      <c r="BY75" s="192">
        <f t="array" ref="BY75">IF($BT75=0, INDEX(LS_current!$D$4:$AY$138, MATCH('Staging Table'!$A75, LS_current!$B$4:$B$138, 0), MATCH(BY$4&amp;BY$5, LS_current!$D$2:$AY$2&amp;LS_current!$D$3:$AY$3, 0)),SUM(VLOOKUP($A75, LS_current!$B$4:$AY$138, LS_current!D$148, FALSE), VLOOKUP($A75, LS_current!$B$4:$AY$138,LS_current!AB$148, FALSE))/2)</f>
        <v>-1585.2857991457786</v>
      </c>
      <c r="BZ75" s="192">
        <f t="array" ref="BZ75">IF($BT75=0, INDEX(LS_current!$D$4:$AY$138, MATCH('Staging Table'!$A75, LS_current!$B$4:$B$138, 0), MATCH(BZ$4&amp;BZ$5, LS_current!$D$2:$AY$2&amp;LS_current!$D$3:$AY$3, 0)),SUM(VLOOKUP($A75, LS_current!$B$4:$AY$138, LS_current!E$148, FALSE), VLOOKUP($A75, LS_current!$B$4:$AY$138,LS_current!AC$148, FALSE))/2)</f>
        <v>1524.4523775529415</v>
      </c>
      <c r="CA75" s="192">
        <f t="array" ref="CA75">IF($BT75=0, INDEX(LS_current!$D$4:$AY$138, MATCH('Staging Table'!$A75, LS_current!$B$4:$B$138, 0), MATCH(CA$4&amp;CA$5, LS_current!$D$2:$AY$2&amp;LS_current!$D$3:$AY$3, 0)),SUM(VLOOKUP($A75, LS_current!$B$4:$AY$138, LS_current!F$148, FALSE), VLOOKUP($A75, LS_current!$B$4:$AY$138,LS_current!AD$148, FALSE))/2)</f>
        <v>-7550.1726182608472</v>
      </c>
      <c r="CB75" s="192">
        <f t="array" ref="CB75">IF($BT75=0, INDEX(LS_current!$D$4:$AY$138, MATCH('Staging Table'!$A75, LS_current!$B$4:$B$138, 0), MATCH(CB$4&amp;CB$5, LS_current!$D$2:$AY$2&amp;LS_current!$D$3:$AY$3, 0)),SUM(VLOOKUP($A75, LS_current!$B$4:$AY$138, LS_current!G$148, FALSE), VLOOKUP($A75, LS_current!$B$4:$AY$138,LS_current!AE$148, FALSE))/2)</f>
        <v>-793.65749366011732</v>
      </c>
      <c r="CC75" s="192">
        <f t="array" ref="CC75">IF($BT75=0, INDEX(LS_current!$D$4:$AY$138, MATCH('Staging Table'!$A75, LS_current!$B$4:$B$138, 0), MATCH(CC$4&amp;CC$5, LS_current!$D$2:$AY$2&amp;LS_current!$D$3:$AY$3, 0)),SUM(VLOOKUP($A75, LS_current!$B$4:$AY$138, LS_current!H$148, FALSE), VLOOKUP($A75, LS_current!$B$4:$AY$138,LS_current!AF$148, FALSE))/2)</f>
        <v>14673.264256967246</v>
      </c>
      <c r="CD75" s="192">
        <f t="array" ref="CD75">IF($BT75=0, INDEX(LS_current!$D$4:$AY$138, MATCH('Staging Table'!$A75, LS_current!$B$4:$B$138, 0), MATCH(CD$4&amp;CD$5, LS_current!$D$2:$AY$2&amp;LS_current!$D$3:$AY$3, 0)),SUM(VLOOKUP($A75, LS_current!$B$4:$AY$138, LS_current!I$148, FALSE), VLOOKUP($A75, LS_current!$B$4:$AY$138,LS_current!AG$148, FALSE))/2)</f>
        <v>9489.8345513881868</v>
      </c>
      <c r="CE75" s="192">
        <f t="array" ref="CE75">IF($BT75=0, INDEX(LS_current!$D$4:$AY$138, MATCH('Staging Table'!$A75, LS_current!$B$4:$B$138, 0), MATCH(CE$4&amp;CE$5, LS_current!$D$2:$AY$2&amp;LS_current!$D$3:$AY$3, 0)),SUM(VLOOKUP($A75, LS_current!$B$4:$AY$138, LS_current!J$148, FALSE), VLOOKUP($A75, LS_current!$B$4:$AY$138,LS_current!AH$148, FALSE))/2)</f>
        <v>21981.950341567273</v>
      </c>
      <c r="CF75" s="192">
        <f t="array" ref="CF75">IF($BT75=0, INDEX(LS_current!$D$4:$AY$138, MATCH('Staging Table'!$A75, LS_current!$B$4:$B$138, 0), MATCH(CF$4&amp;CF$5, LS_current!$D$2:$AY$2&amp;LS_current!$D$3:$AY$3, 0)),SUM(VLOOKUP($A75, LS_current!$B$4:$AY$138, LS_current!K$148, FALSE), VLOOKUP($A75, LS_current!$B$4:$AY$138,LS_current!AI$148, FALSE))/2)</f>
        <v>13919.685833282263</v>
      </c>
      <c r="CG75" s="192">
        <f t="array" ref="CG75">IF($BT75=0, INDEX(LS_current!$D$4:$AY$138, MATCH('Staging Table'!$A75, LS_current!$B$4:$B$138, 0), MATCH(CG$4&amp;CG$5, LS_current!$D$2:$AY$2&amp;LS_current!$D$3:$AY$3, 0)),SUM(VLOOKUP($A75, LS_current!$B$4:$AY$138, LS_current!L$148, FALSE), VLOOKUP($A75, LS_current!$B$4:$AY$138,LS_current!AJ$148, FALSE))/2)</f>
        <v>15112.131622939465</v>
      </c>
      <c r="CH75" s="192">
        <f t="array" ref="CH75">IF($BT75=0, INDEX(LS_current!$D$4:$AY$138, MATCH('Staging Table'!$A75, LS_current!$B$4:$B$138, 0), MATCH(CH$4&amp;CH$5, LS_current!$D$2:$AY$2&amp;LS_current!$D$3:$AY$3, 0)),SUM(VLOOKUP($A75, LS_current!$B$4:$AY$138, LS_current!M$148, FALSE), VLOOKUP($A75, LS_current!$B$4:$AY$138,LS_current!AK$148, FALSE))/2)</f>
        <v>8569.4460438165916</v>
      </c>
      <c r="CI75" s="192">
        <f t="array" ref="CI75">IF($BT75=0, INDEX(LS_current!$D$4:$AY$138, MATCH('Staging Table'!$A75, LS_current!$B$4:$B$138, 0), MATCH(CI$4&amp;CI$5, LS_current!$D$2:$AY$2&amp;LS_current!$D$3:$AY$3, 0)),SUM(VLOOKUP($A75, LS_current!$B$4:$AY$138, LS_current!N$148, FALSE), VLOOKUP($A75, LS_current!$B$4:$AY$138,LS_current!AL$148, FALSE))/2)</f>
        <v>1858.5686002702932</v>
      </c>
      <c r="CJ75" s="192">
        <f t="array" ref="CJ75">IF($BT75=0, INDEX(LS_current!$D$4:$AY$138, MATCH('Staging Table'!$A75, LS_current!$B$4:$B$138, 0), MATCH(CJ$4&amp;CJ$5, LS_current!$D$2:$AY$2&amp;LS_current!$D$3:$AY$3, 0)),SUM(VLOOKUP($A75, LS_current!$B$4:$AY$138, LS_current!O$148, FALSE), VLOOKUP($A75, LS_current!$B$4:$AY$138,LS_current!AM$148, FALSE))/2)</f>
        <v>4099.3487999995923</v>
      </c>
      <c r="CK75" s="192">
        <f t="array" ref="CK75">IF($BT75=0, INDEX(LS_current!$D$4:$AY$138, MATCH('Staging Table'!$A75, LS_current!$B$4:$B$138, 0), MATCH(CK$4&amp;CK$5, LS_current!$D$2:$AY$2&amp;LS_current!$D$3:$AY$3, 0)),SUM(VLOOKUP($A75, LS_current!$B$4:$AY$138, LS_current!P$148, FALSE), VLOOKUP($A75, LS_current!$B$4:$AY$138,LS_current!AN$148, FALSE))/2)</f>
        <v>5856.8236163066977</v>
      </c>
      <c r="CL75" s="192">
        <f t="array" ref="CL75">IF($BT75=0, INDEX(LS_current!$D$4:$AY$138, MATCH('Staging Table'!$A75, LS_current!$B$4:$B$138, 0), MATCH(CL$4&amp;CL$5, LS_current!$D$2:$AY$2&amp;LS_current!$D$3:$AY$3, 0)),SUM(VLOOKUP($A75, LS_current!$B$4:$AY$138, LS_current!Q$148, FALSE), VLOOKUP($A75, LS_current!$B$4:$AY$138,LS_current!AO$148, FALSE))/2)</f>
        <v>5560.2863266206296</v>
      </c>
      <c r="CM75" s="192">
        <f t="array" ref="CM75">IF($BT75=0, INDEX(LS_current!$D$4:$AY$138, MATCH('Staging Table'!$A75, LS_current!$B$4:$B$138, 0), MATCH(CM$4&amp;CM$5, LS_current!$D$2:$AY$2&amp;LS_current!$D$3:$AY$3, 0)),SUM(VLOOKUP($A75, LS_current!$B$4:$AY$138, LS_current!R$148, FALSE), VLOOKUP($A75, LS_current!$B$4:$AY$138,LS_current!AP$148, FALSE))/2)</f>
        <v>-14303.028789845463</v>
      </c>
      <c r="CN75" s="192">
        <f t="array" ref="CN75">IF($BT75=0, INDEX(LS_current!$D$4:$AY$138, MATCH('Staging Table'!$A75, LS_current!$B$4:$B$138, 0), MATCH(CN$4&amp;CN$5, LS_current!$D$2:$AY$2&amp;LS_current!$D$3:$AY$3, 0)),SUM(VLOOKUP($A75, LS_current!$B$4:$AY$138, LS_current!S$148, FALSE), VLOOKUP($A75, LS_current!$B$4:$AY$138,LS_current!AQ$148, FALSE))/2)</f>
        <v>320.69650632263074</v>
      </c>
      <c r="CO75" s="192">
        <f t="array" ref="CO75">IF($BT75=0, INDEX(LS_current!$D$4:$AY$138, MATCH('Staging Table'!$A75, LS_current!$B$4:$B$138, 0), MATCH(CO$4&amp;CO$5, LS_current!$D$2:$AY$2&amp;LS_current!$D$3:$AY$3, 0)),SUM(VLOOKUP($A75, LS_current!$B$4:$AY$138, LS_current!T$148, FALSE), VLOOKUP($A75, LS_current!$B$4:$AY$138,LS_current!AR$148, FALSE))/2)</f>
        <v>-17559.907555615609</v>
      </c>
      <c r="CP75" s="192">
        <f t="array" ref="CP75">IF($BT75=0, INDEX(LS_current!$D$4:$AY$138, MATCH('Staging Table'!$A75, LS_current!$B$4:$B$138, 0), MATCH(CP$4&amp;CP$5, LS_current!$D$2:$AY$2&amp;LS_current!$D$3:$AY$3, 0)),SUM(VLOOKUP($A75, LS_current!$B$4:$AY$138, LS_current!U$148, FALSE), VLOOKUP($A75, LS_current!$B$4:$AY$138,LS_current!AS$148, FALSE))/2)</f>
        <v>2087.0212304640954</v>
      </c>
      <c r="CQ75" s="192">
        <f t="array" ref="CQ75">IF($BT75=0, INDEX(LS_current!$D$4:$AY$138, MATCH('Staging Table'!$A75, LS_current!$B$4:$B$138, 0), MATCH(CQ$4&amp;CQ$5, LS_current!$D$2:$AY$2&amp;LS_current!$D$3:$AY$3, 0)),SUM(VLOOKUP($A75, LS_current!$B$4:$AY$138, LS_current!V$148, FALSE), VLOOKUP($A75, LS_current!$B$4:$AY$138,LS_current!AT$148, FALSE))/2)</f>
        <v>-8390.362772655375</v>
      </c>
      <c r="CR75" s="192">
        <f t="array" ref="CR75">IF($BT75=0, INDEX(LS_current!$D$4:$AY$138, MATCH('Staging Table'!$A75, LS_current!$B$4:$B$138, 0), MATCH(CR$4&amp;CR$5, LS_current!$D$2:$AY$2&amp;LS_current!$D$3:$AY$3, 0)),SUM(VLOOKUP($A75, LS_current!$B$4:$AY$138, LS_current!W$148, FALSE), VLOOKUP($A75, LS_current!$B$4:$AY$138,LS_current!AU$148, FALSE))/2)</f>
        <v>1422.5916092937077</v>
      </c>
      <c r="CS75" s="192">
        <f t="array" ref="CS75">IF($BT75=0, INDEX(LS_current!$D$4:$AY$138, MATCH('Staging Table'!$A75, LS_current!$B$4:$B$138, 0), MATCH(CS$4&amp;CS$5, LS_current!$D$2:$AY$2&amp;LS_current!$D$3:$AY$3, 0)),SUM(VLOOKUP($A75, LS_current!$B$4:$AY$138, LS_current!X$148, FALSE), VLOOKUP($A75, LS_current!$B$4:$AY$138,LS_current!AV$148, FALSE))/2)</f>
        <v>-5063.732209824404</v>
      </c>
      <c r="CT75" s="192">
        <f t="array" ref="CT75">IF($BT75=0, INDEX(LS_current!$D$4:$AY$138, MATCH('Staging Table'!$A75, LS_current!$B$4:$B$138, 0), MATCH(CT$4&amp;CT$5, LS_current!$D$2:$AY$2&amp;LS_current!$D$3:$AY$3, 0)),SUM(VLOOKUP($A75, LS_current!$B$4:$AY$138, LS_current!Y$148, FALSE), VLOOKUP($A75, LS_current!$B$4:$AY$138,LS_current!AW$148, FALSE))/2)</f>
        <v>1693.4249888595368</v>
      </c>
      <c r="CU75" s="192">
        <f t="array" ref="CU75">IF($BT75=0, INDEX(LS_current!$D$4:$AY$138, MATCH('Staging Table'!$A75, LS_current!$B$4:$B$138, 0), MATCH(CU$4&amp;CU$5, LS_current!$D$2:$AY$2&amp;LS_current!$D$3:$AY$3, 0)),SUM(VLOOKUP($A75, LS_current!$B$4:$AY$138, LS_current!Z$148, FALSE), VLOOKUP($A75, LS_current!$B$4:$AY$138,LS_current!AX$148, FALSE))/2)</f>
        <v>-7450.0822126217681</v>
      </c>
      <c r="CV75" s="192">
        <f t="array" ref="CV75">IF($BT75=0, INDEX(LS_current!$D$4:$AY$138, MATCH('Staging Table'!$A75, LS_current!$B$4:$B$138, 0), MATCH(CV$4&amp;CV$5, LS_current!$D$2:$AY$2&amp;LS_current!$D$3:$AY$3, 0)),SUM(VLOOKUP($A75, LS_current!$B$4:$AY$138, LS_current!AA$148, FALSE), VLOOKUP($A75, LS_current!$B$4:$AY$138,LS_current!AY$148, FALSE))/2)</f>
        <v>471.62619335529962</v>
      </c>
      <c r="CW75" s="194">
        <f t="array" ref="CW75">INDEX(Demand_current!$D$4:$AY$138, MATCH($A75, Demand_current!$B$4:$B$138, 0), MATCH(CW$4&amp;CW$5,Demand_current!$D$2:$AY$2&amp;Demand_current!$D$3:$AY$3, 0))/1000</f>
        <v>18.291932692307711</v>
      </c>
      <c r="CX75" s="194">
        <f t="array" ref="CX75">INDEX(Demand_current!$D$4:$AY$138, MATCH($A75, Demand_current!$B$4:$B$138, 0), MATCH(CX$4&amp;CX$5,Demand_current!$D$2:$AY$2&amp;Demand_current!$D$3:$AY$3, 0))/1000</f>
        <v>31.127682499999977</v>
      </c>
      <c r="CY75" s="194">
        <f t="array" ref="CY75">INDEX(Demand_current!$D$4:$AY$138, MATCH($A75, Demand_current!$B$4:$B$138, 0), MATCH(CY$4&amp;CY$5,Demand_current!$D$2:$AY$2&amp;Demand_current!$D$3:$AY$3, 0))/1000</f>
        <v>41.364524038461539</v>
      </c>
      <c r="CZ75" s="194">
        <f t="array" ref="CZ75">INDEX(Demand_current!$D$4:$AY$138, MATCH($A75, Demand_current!$B$4:$B$138, 0), MATCH(CZ$4&amp;CZ$5,Demand_current!$D$2:$AY$2&amp;Demand_current!$D$3:$AY$3, 0))/1000</f>
        <v>31.093339999999991</v>
      </c>
      <c r="DA75" s="194">
        <f t="array" ref="DA75">INDEX(Demand_current!$D$4:$AY$138, MATCH($A75, Demand_current!$B$4:$B$138, 0), MATCH(DA$4&amp;DA$5,Demand_current!$D$2:$AY$2&amp;Demand_current!$D$3:$AY$3, 0))/1000</f>
        <v>25.730249999999984</v>
      </c>
      <c r="DB75" s="194">
        <f t="array" ref="DB75">INDEX(Demand_current!$D$4:$AY$138, MATCH($A75, Demand_current!$B$4:$B$138, 0), MATCH(DB$4&amp;DB$5,Demand_current!$D$2:$AY$2&amp;Demand_current!$D$3:$AY$3, 0))/1000</f>
        <v>42.026965277777769</v>
      </c>
      <c r="DC75" s="194">
        <f t="array" ref="DC75">INDEX(Demand_current!$D$4:$AY$138, MATCH($A75, Demand_current!$B$4:$B$138, 0), MATCH(DC$4&amp;DC$5,Demand_current!$D$2:$AY$2&amp;Demand_current!$D$3:$AY$3, 0))/1000</f>
        <v>48.499016826923089</v>
      </c>
      <c r="DD75" s="194">
        <f t="array" ref="DD75">INDEX(Demand_current!$D$4:$AY$138, MATCH($A75, Demand_current!$B$4:$B$138, 0), MATCH(DD$4&amp;DD$5,Demand_current!$D$2:$AY$2&amp;Demand_current!$D$3:$AY$3, 0))/1000</f>
        <v>27.372132499999985</v>
      </c>
      <c r="DE75" s="194">
        <f t="array" ref="DE75">INDEX(Demand_current!$D$4:$AY$138, MATCH($A75, Demand_current!$B$4:$B$138, 0), MATCH(DE$4&amp;DE$5,Demand_current!$D$2:$AY$2&amp;Demand_current!$D$3:$AY$3, 0))/1000</f>
        <v>40.921507211538469</v>
      </c>
      <c r="DF75" s="194">
        <f t="array" ref="DF75">INDEX(Demand_current!$D$4:$AY$138, MATCH($A75, Demand_current!$B$4:$B$138, 0), MATCH(DF$4&amp;DF$5,Demand_current!$D$2:$AY$2&amp;Demand_current!$D$3:$AY$3, 0))/1000</f>
        <v>38.634895000000014</v>
      </c>
      <c r="DG75" s="194">
        <f t="array" ref="DG75">INDEX(Demand_current!$D$4:$AY$138, MATCH($A75, Demand_current!$B$4:$B$138, 0), MATCH(DG$4&amp;DG$5,Demand_current!$D$2:$AY$2&amp;Demand_current!$D$3:$AY$3, 0))/1000</f>
        <v>38.079532407407413</v>
      </c>
      <c r="DH75" s="194">
        <f t="array" ref="DH75">INDEX(Demand_current!$D$4:$AY$138, MATCH($A75, Demand_current!$B$4:$B$138, 0), MATCH(DH$4&amp;DH$5,Demand_current!$D$2:$AY$2&amp;Demand_current!$D$3:$AY$3, 0))/1000</f>
        <v>33.232402499999992</v>
      </c>
      <c r="DI75" s="192">
        <f>$BS75*(VLOOKUP(DI$4, Rates_current!$G$6:$Q$29, 10, FALSE)+VLOOKUP(DI$4, Rates_current!$G$6:$Q$29, 11, FALSE))</f>
        <v>67639.439421592833</v>
      </c>
      <c r="DJ75" s="192">
        <f>$BS75*(VLOOKUP(DJ$4, Rates_current!$G$6:$Q$29, 10, FALSE)+VLOOKUP(DJ$4, Rates_current!$G$6:$Q$29, 11, FALSE))</f>
        <v>85633.985111920963</v>
      </c>
      <c r="DK75" s="192">
        <f>$BS75*(VLOOKUP(DK$4, Rates_current!$G$6:$Q$29, 10, FALSE)+VLOOKUP(DK$4, Rates_current!$G$6:$Q$29, 11, FALSE))</f>
        <v>83818.563191644585</v>
      </c>
      <c r="DL75" s="192">
        <f>$BS75*(VLOOKUP(DL$4, Rates_current!$G$6:$Q$29, 10, FALSE)+VLOOKUP(DL$4, Rates_current!$G$6:$Q$29, 11, FALSE))</f>
        <v>69230.568825150476</v>
      </c>
      <c r="DM75" s="192">
        <f>$BS75*(VLOOKUP(DM$4, Rates_current!$G$6:$Q$29, 10, FALSE)+VLOOKUP(DM$4, Rates_current!$G$6:$Q$29, 11, FALSE))</f>
        <v>60003.651333243943</v>
      </c>
      <c r="DN75" s="192">
        <f>$BS75*(VLOOKUP(DN$4, Rates_current!$G$6:$Q$29, 10, FALSE)+VLOOKUP(DN$4, Rates_current!$G$6:$Q$29, 11, FALSE))</f>
        <v>71632.242599730118</v>
      </c>
      <c r="DO75" s="192">
        <f>$BS75*(VLOOKUP(DO$4, Rates_current!$G$6:$Q$29, 10, FALSE)+VLOOKUP(DO$4, Rates_current!$G$6:$Q$29, 11, FALSE))</f>
        <v>55612.900057072671</v>
      </c>
      <c r="DP75" s="192">
        <f>$BS75*(VLOOKUP(DP$4, Rates_current!$G$6:$Q$29, 10, FALSE)+VLOOKUP(DP$4, Rates_current!$G$6:$Q$29, 11, FALSE))</f>
        <v>77052.082283522832</v>
      </c>
      <c r="DQ75" s="192">
        <f>$BS75*(VLOOKUP(DQ$4, Rates_current!$G$6:$Q$29, 10, FALSE)+VLOOKUP(DQ$4, Rates_current!$G$6:$Q$29, 11, FALSE))</f>
        <v>82331.763325151507</v>
      </c>
      <c r="DR75" s="192">
        <f>$BS75*(VLOOKUP(DR$4, Rates_current!$G$6:$Q$29, 10, FALSE)+VLOOKUP(DR$4, Rates_current!$G$6:$Q$29, 11, FALSE))</f>
        <v>78170.281163361666</v>
      </c>
      <c r="DS75" s="192">
        <f>$BS75*(VLOOKUP(DS$4, Rates_current!$G$6:$Q$29, 10, FALSE)+VLOOKUP(DS$4, Rates_current!$G$6:$Q$29, 11, FALSE))</f>
        <v>75545.546220964869</v>
      </c>
      <c r="DT75" s="192">
        <f>$BS75*(VLOOKUP(DT$4, Rates_current!$G$6:$Q$29, 10, FALSE)+VLOOKUP(DT$4, Rates_current!$G$6:$Q$29, 11, FALSE))</f>
        <v>69811.960019266466</v>
      </c>
      <c r="DU75" s="418">
        <f>IF(D75=0,IF(C75=0,MAX(0,DW75 - (VLOOKUP($A75,TOCA_current!$A$2:$AI$137,MATCH("RHWM 2022",TOCA_current!$A$2:$AI$2,0),FALSE)*$BS$2)), 0),0)</f>
        <v>45946.151835897123</v>
      </c>
      <c r="DV75" s="419">
        <f>MIN(VLOOKUP($A75,TOCA_current!$A$2:$AI$137,MATCH("TRL - NLSL - Existing Resource "&amp;$BS$1,TOCA_current!$A$2:$AI$2,0),FALSE)*$BS$2, VLOOKUP($A75,TOCA_current!$A$2:$AI$137,MATCH("RHWM 2022",TOCA_current!$A$2:$AI$2,0),FALSE)*$BS$2)</f>
        <v>876481.8</v>
      </c>
      <c r="DW75" s="419">
        <f>SUM(BY75:CV75)+(BS75*RT1SC!$C$4*$BS$2)</f>
        <v>922427.95183589717</v>
      </c>
      <c r="DX75" s="419">
        <f>VLOOKUP($A75,TOCA_current!$A$2:$AI$137,MATCH("Above RHWM Not Served with LS "&amp;$BS$1,TOCA_current!$A$2:$AI$2,0),FALSE)*$BS$2</f>
        <v>155025.72</v>
      </c>
      <c r="DY75" s="419">
        <f t="shared" si="32"/>
        <v>45946.151835897123</v>
      </c>
      <c r="DZ75" s="419">
        <f>(VLOOKUP($A75,TOCA_current!$A$2:$AI$137,MATCH("RHWM 2022",TOCA_current!$A$2:$AI$2,0),FALSE)*$BS$2) - $DV75</f>
        <v>0</v>
      </c>
      <c r="EA75" s="419">
        <f t="shared" si="33"/>
        <v>0</v>
      </c>
      <c r="EB75" s="419">
        <f t="shared" si="34"/>
        <v>0</v>
      </c>
      <c r="EC75" s="419">
        <f t="shared" si="35"/>
        <v>0</v>
      </c>
      <c r="ED75" s="419">
        <f t="shared" si="36"/>
        <v>0</v>
      </c>
    </row>
    <row r="76" spans="1:134">
      <c r="A76" s="135">
        <v>10230</v>
      </c>
      <c r="B76" s="136" t="s">
        <v>77</v>
      </c>
      <c r="C76" s="244">
        <f>VLOOKUP(A76, TOCA_current!$A$3:$D$137, 4, FALSE)</f>
        <v>0</v>
      </c>
      <c r="D76" s="203">
        <v>0</v>
      </c>
      <c r="E76" s="119">
        <f>VLOOKUP($A76,TOCA_previous!$A$2:$AI$137,MATCH(E$4,TOCA_previous!$A$2:$AI$2,0),FALSE)</f>
        <v>1.3738999999999999E-3</v>
      </c>
      <c r="F76" s="120">
        <f>VLOOKUP($A76,TOCA_previous!$A$2:$AI$137,MATCH(F$4,TOCA_previous!$A$2:$AI$2,0),FALSE)</f>
        <v>1.3738999999999999E-3</v>
      </c>
      <c r="G76" s="120">
        <f t="shared" si="24"/>
        <v>0</v>
      </c>
      <c r="H76" s="120">
        <f>VLOOKUP($A76,TOCA_previous!$A$2:$AI$137,MATCH(H$4,TOCA_previous!$A$2:$AI$2,0),FALSE)</f>
        <v>8.7552585224329085E-2</v>
      </c>
      <c r="I76" s="120">
        <f t="shared" si="25"/>
        <v>0</v>
      </c>
      <c r="J76" s="120">
        <f t="shared" si="26"/>
        <v>0</v>
      </c>
      <c r="K76" s="191">
        <f>VLOOKUP(A76, IRD!$A$5:$C$139, 3, FALSE)</f>
        <v>0</v>
      </c>
      <c r="L76" s="192">
        <f t="array" ref="L76">IF($G76=0, INDEX(LS_previous!$D$4:$AY$138, MATCH('Staging Table'!$A76, LS_previous!$B$4:$B$138, 0), MATCH(L$4&amp;L$5, LS_previous!$D$2:$AY$2&amp;LS_previous!$D$3:$AY$3, 0)),SUM(VLOOKUP($A76, LS_previous!$B$4:$AY$138, LS_previous!D$149, FALSE), VLOOKUP('Staging Table'!$A76, LS_previous!$B$4:$AY$138,LS_previous!AB$149, FALSE))/2)</f>
        <v>-486.06793657319986</v>
      </c>
      <c r="M76" s="192">
        <f t="array" ref="M76">IF($G76=0, INDEX(LS_previous!$D$4:$AY$138, MATCH('Staging Table'!$A76, LS_previous!$B$4:$B$138, 0), MATCH(M$4&amp;M$5, LS_previous!$D$2:$AY$2&amp;LS_previous!$D$3:$AY$3, 0)),SUM(VLOOKUP($A76, LS_previous!$B$4:$AY$138, LS_previous!E$149, FALSE), VLOOKUP('Staging Table'!$A76, LS_previous!$B$4:$AY$138,LS_previous!AC$149, FALSE))/2)</f>
        <v>-218.77515901119978</v>
      </c>
      <c r="N76" s="192">
        <f t="array" ref="N76">IF($G76=0, INDEX(LS_previous!$D$4:$AY$138, MATCH('Staging Table'!$A76, LS_previous!$B$4:$B$138, 0), MATCH(N$4&amp;N$5, LS_previous!$D$2:$AY$2&amp;LS_previous!$D$3:$AY$3, 0)),SUM(VLOOKUP($A76, LS_previous!$B$4:$AY$138, LS_previous!F$149, FALSE), VLOOKUP('Staging Table'!$A76, LS_previous!$B$4:$AY$138,LS_previous!AD$149, FALSE))/2)</f>
        <v>-657.15324671920007</v>
      </c>
      <c r="O76" s="192">
        <f t="array" ref="O76">IF($G76=0, INDEX(LS_previous!$D$4:$AY$138, MATCH('Staging Table'!$A76, LS_previous!$B$4:$B$138, 0), MATCH(O$4&amp;O$5, LS_previous!$D$2:$AY$2&amp;LS_previous!$D$3:$AY$3, 0)),SUM(VLOOKUP($A76, LS_previous!$B$4:$AY$138, LS_previous!G$149, FALSE), VLOOKUP('Staging Table'!$A76, LS_previous!$B$4:$AY$138,LS_previous!AE$149, FALSE))/2)</f>
        <v>-200.57548034289994</v>
      </c>
      <c r="P76" s="192">
        <f t="array" ref="P76">IF($G76=0, INDEX(LS_previous!$D$4:$AY$138, MATCH('Staging Table'!$A76, LS_previous!$B$4:$B$138, 0), MATCH(P$4&amp;P$5, LS_previous!$D$2:$AY$2&amp;LS_previous!$D$3:$AY$3, 0)),SUM(VLOOKUP($A76, LS_previous!$B$4:$AY$138, LS_previous!H$149, FALSE), VLOOKUP('Staging Table'!$A76, LS_previous!$B$4:$AY$138,LS_previous!AF$149, FALSE))/2)</f>
        <v>1093.8123783392002</v>
      </c>
      <c r="Q76" s="192">
        <f t="array" ref="Q76">IF($G76=0, INDEX(LS_previous!$D$4:$AY$138, MATCH('Staging Table'!$A76, LS_previous!$B$4:$B$138, 0), MATCH(Q$4&amp;Q$5, LS_previous!$D$2:$AY$2&amp;LS_previous!$D$3:$AY$3, 0)),SUM(VLOOKUP($A76, LS_previous!$B$4:$AY$138, LS_previous!I$149, FALSE), VLOOKUP('Staging Table'!$A76, LS_previous!$B$4:$AY$138,LS_previous!AG$149, FALSE))/2)</f>
        <v>1196.7444123763999</v>
      </c>
      <c r="R76" s="192">
        <f t="array" ref="R76">IF($G76=0, INDEX(LS_previous!$D$4:$AY$138, MATCH('Staging Table'!$A76, LS_previous!$B$4:$B$138, 0), MATCH(R$4&amp;R$5, LS_previous!$D$2:$AY$2&amp;LS_previous!$D$3:$AY$3, 0)),SUM(VLOOKUP($A76, LS_previous!$B$4:$AY$138, LS_previous!J$149, FALSE), VLOOKUP('Staging Table'!$A76, LS_previous!$B$4:$AY$138,LS_previous!AH$149, FALSE))/2)</f>
        <v>2015.2397147391994</v>
      </c>
      <c r="S76" s="192">
        <f t="array" ref="S76">IF($G76=0, INDEX(LS_previous!$D$4:$AY$138, MATCH('Staging Table'!$A76, LS_previous!$B$4:$B$138, 0), MATCH(S$4&amp;S$5, LS_previous!$D$2:$AY$2&amp;LS_previous!$D$3:$AY$3, 0)),SUM(VLOOKUP($A76, LS_previous!$B$4:$AY$138, LS_previous!K$149, FALSE), VLOOKUP('Staging Table'!$A76, LS_previous!$B$4:$AY$138,LS_previous!AI$149, FALSE))/2)</f>
        <v>1545.3311831764004</v>
      </c>
      <c r="T76" s="192">
        <f t="array" ref="T76">IF($G76=0, INDEX(LS_previous!$D$4:$AY$138, MATCH('Staging Table'!$A76, LS_previous!$B$4:$B$138, 0), MATCH(T$4&amp;T$5, LS_previous!$D$2:$AY$2&amp;LS_previous!$D$3:$AY$3, 0)),SUM(VLOOKUP($A76, LS_previous!$B$4:$AY$138, LS_previous!L$149, FALSE), VLOOKUP('Staging Table'!$A76, LS_previous!$B$4:$AY$138,LS_previous!AJ$149, FALSE))/2)</f>
        <v>659.32461133640072</v>
      </c>
      <c r="U76" s="192">
        <f t="array" ref="U76">IF($G76=0, INDEX(LS_previous!$D$4:$AY$138, MATCH('Staging Table'!$A76, LS_previous!$B$4:$B$138, 0), MATCH(U$4&amp;U$5, LS_previous!$D$2:$AY$2&amp;LS_previous!$D$3:$AY$3, 0)),SUM(VLOOKUP($A76, LS_previous!$B$4:$AY$138, LS_previous!M$149, FALSE), VLOOKUP('Staging Table'!$A76, LS_previous!$B$4:$AY$138,LS_previous!AK$149, FALSE))/2)</f>
        <v>687.75946714360043</v>
      </c>
      <c r="V76" s="192">
        <f t="array" ref="V76">IF($G76=0, INDEX(LS_previous!$D$4:$AY$138, MATCH('Staging Table'!$A76, LS_previous!$B$4:$B$138, 0), MATCH(V$4&amp;V$5, LS_previous!$D$2:$AY$2&amp;LS_previous!$D$3:$AY$3, 0)),SUM(VLOOKUP($A76, LS_previous!$B$4:$AY$138, LS_previous!N$149, FALSE), VLOOKUP('Staging Table'!$A76, LS_previous!$B$4:$AY$138,LS_previous!AL$149, FALSE))/2)</f>
        <v>342.64255619760024</v>
      </c>
      <c r="W76" s="192">
        <f t="array" ref="W76">IF($G76=0, INDEX(LS_previous!$D$4:$AY$138, MATCH('Staging Table'!$A76, LS_previous!$B$4:$B$138, 0), MATCH(W$4&amp;W$5, LS_previous!$D$2:$AY$2&amp;LS_previous!$D$3:$AY$3, 0)),SUM(VLOOKUP($A76, LS_previous!$B$4:$AY$138, LS_previous!O$149, FALSE), VLOOKUP('Staging Table'!$A76, LS_previous!$B$4:$AY$138,LS_previous!AM$149, FALSE))/2)</f>
        <v>448.06381395810013</v>
      </c>
      <c r="X76" s="192">
        <f t="array" ref="X76">IF($G76=0, INDEX(LS_previous!$D$4:$AY$138, MATCH('Staging Table'!$A76, LS_previous!$B$4:$B$138, 0), MATCH(X$4&amp;X$5, LS_previous!$D$2:$AY$2&amp;LS_previous!$D$3:$AY$3, 0)),SUM(VLOOKUP($A76, LS_previous!$B$4:$AY$138, LS_previous!P$149, FALSE), VLOOKUP('Staging Table'!$A76, LS_previous!$B$4:$AY$138,LS_previous!AN$149, FALSE))/2)</f>
        <v>503.74192021840008</v>
      </c>
      <c r="Y76" s="192">
        <f t="array" ref="Y76">IF($G76=0, INDEX(LS_previous!$D$4:$AY$138, MATCH('Staging Table'!$A76, LS_previous!$B$4:$B$138, 0), MATCH(Y$4&amp;Y$5, LS_previous!$D$2:$AY$2&amp;LS_previous!$D$3:$AY$3, 0)),SUM(VLOOKUP($A76, LS_previous!$B$4:$AY$138, LS_previous!Q$149, FALSE), VLOOKUP('Staging Table'!$A76, LS_previous!$B$4:$AY$138,LS_previous!AO$149, FALSE))/2)</f>
        <v>358.61172610960011</v>
      </c>
      <c r="Z76" s="192">
        <f t="array" ref="Z76">IF($G76=0, INDEX(LS_previous!$D$4:$AY$138, MATCH('Staging Table'!$A76, LS_previous!$B$4:$B$138, 0), MATCH(Z$4&amp;Z$5, LS_previous!$D$2:$AY$2&amp;LS_previous!$D$3:$AY$3, 0)),SUM(VLOOKUP($A76, LS_previous!$B$4:$AY$138, LS_previous!R$149, FALSE), VLOOKUP('Staging Table'!$A76, LS_previous!$B$4:$AY$138,LS_previous!AP$149, FALSE))/2)</f>
        <v>-1177.6628666900006</v>
      </c>
      <c r="AA76" s="192">
        <f t="array" ref="AA76">IF($G76=0, INDEX(LS_previous!$D$4:$AY$138, MATCH('Staging Table'!$A76, LS_previous!$B$4:$B$138, 0), MATCH(AA$4&amp;AA$5, LS_previous!$D$2:$AY$2&amp;LS_previous!$D$3:$AY$3, 0)),SUM(VLOOKUP($A76, LS_previous!$B$4:$AY$138, LS_previous!S$149, FALSE), VLOOKUP('Staging Table'!$A76, LS_previous!$B$4:$AY$138,LS_previous!AQ$149, FALSE))/2)</f>
        <v>-556.61012784439981</v>
      </c>
      <c r="AB76" s="192">
        <f t="array" ref="AB76">IF($G76=0, INDEX(LS_previous!$D$4:$AY$138, MATCH('Staging Table'!$A76, LS_previous!$B$4:$B$138, 0), MATCH(AB$4&amp;AB$5, LS_previous!$D$2:$AY$2&amp;LS_previous!$D$3:$AY$3, 0)),SUM(VLOOKUP($A76, LS_previous!$B$4:$AY$138, LS_previous!T$149, FALSE), VLOOKUP('Staging Table'!$A76, LS_previous!$B$4:$AY$138,LS_previous!AR$149, FALSE))/2)</f>
        <v>-2882.8791664315995</v>
      </c>
      <c r="AC76" s="192">
        <f t="array" ref="AC76">IF($G76=0, INDEX(LS_previous!$D$4:$AY$138, MATCH('Staging Table'!$A76, LS_previous!$B$4:$B$138, 0), MATCH(AC$4&amp;AC$5, LS_previous!$D$2:$AY$2&amp;LS_previous!$D$3:$AY$3, 0)),SUM(VLOOKUP($A76, LS_previous!$B$4:$AY$138, LS_previous!U$149, FALSE), VLOOKUP('Staging Table'!$A76, LS_previous!$B$4:$AY$138,LS_previous!AS$149, FALSE))/2)</f>
        <v>-1652.6398092903996</v>
      </c>
      <c r="AD76" s="192">
        <f t="array" ref="AD76">IF($G76=0, INDEX(LS_previous!$D$4:$AY$138, MATCH('Staging Table'!$A76, LS_previous!$B$4:$B$138, 0), MATCH(AD$4&amp;AD$5, LS_previous!$D$2:$AY$2&amp;LS_previous!$D$3:$AY$3, 0)),SUM(VLOOKUP($A76, LS_previous!$B$4:$AY$138, LS_previous!V$149, FALSE), VLOOKUP('Staging Table'!$A76, LS_previous!$B$4:$AY$138,LS_previous!AT$149, FALSE))/2)</f>
        <v>-1118.5463659316001</v>
      </c>
      <c r="AE76" s="192">
        <f t="array" ref="AE76">IF($G76=0, INDEX(LS_previous!$D$4:$AY$138, MATCH('Staging Table'!$A76, LS_previous!$B$4:$B$138, 0), MATCH(AE$4&amp;AE$5, LS_previous!$D$2:$AY$2&amp;LS_previous!$D$3:$AY$3, 0)),SUM(VLOOKUP($A76, LS_previous!$B$4:$AY$138, LS_previous!W$149, FALSE), VLOOKUP('Staging Table'!$A76, LS_previous!$B$4:$AY$138,LS_previous!AU$149, FALSE))/2)</f>
        <v>-138.84875925279994</v>
      </c>
      <c r="AF76" s="192">
        <f t="array" ref="AF76">IF($G76=0, INDEX(LS_previous!$D$4:$AY$138, MATCH('Staging Table'!$A76, LS_previous!$B$4:$B$138, 0), MATCH(AF$4&amp;AF$5, LS_previous!$D$2:$AY$2&amp;LS_previous!$D$3:$AY$3, 0)),SUM(VLOOKUP($A76, LS_previous!$B$4:$AY$138, LS_previous!X$149, FALSE), VLOOKUP('Staging Table'!$A76, LS_previous!$B$4:$AY$138,LS_previous!AV$149, FALSE))/2)</f>
        <v>-837.96723398159975</v>
      </c>
      <c r="AG76" s="192">
        <f t="array" ref="AG76">IF($G76=0, INDEX(LS_previous!$D$4:$AY$138, MATCH('Staging Table'!$A76, LS_previous!$B$4:$B$138, 0), MATCH(AG$4&amp;AG$5, LS_previous!$D$2:$AY$2&amp;LS_previous!$D$3:$AY$3, 0)),SUM(VLOOKUP($A76, LS_previous!$B$4:$AY$138, LS_previous!Y$149, FALSE), VLOOKUP('Staging Table'!$A76, LS_previous!$B$4:$AY$138,LS_previous!AW$149, FALSE))/2)</f>
        <v>-329.86203125280008</v>
      </c>
      <c r="AH76" s="192">
        <f t="array" ref="AH76">IF($G76=0, INDEX(LS_previous!$D$4:$AY$138, MATCH('Staging Table'!$A76, LS_previous!$B$4:$B$138, 0), MATCH(AH$4&amp;AH$5, LS_previous!$D$2:$AY$2&amp;LS_previous!$D$3:$AY$3, 0)),SUM(VLOOKUP($A76, LS_previous!$B$4:$AY$138, LS_previous!Z$149, FALSE), VLOOKUP('Staging Table'!$A76, LS_previous!$B$4:$AY$138,LS_previous!AX$149, FALSE))/2)</f>
        <v>-1044.1954758399997</v>
      </c>
      <c r="AI76" s="192">
        <f t="array" ref="AI76">IF($G76=0, INDEX(LS_previous!$D$4:$AY$138, MATCH('Staging Table'!$A76, LS_previous!$B$4:$B$138, 0), MATCH(AI$4&amp;AI$5, LS_previous!$D$2:$AY$2&amp;LS_previous!$D$3:$AY$3, 0)),SUM(VLOOKUP($A76, LS_previous!$B$4:$AY$138, LS_previous!AA$149, FALSE), VLOOKUP('Staging Table'!$A76, LS_previous!$B$4:$AY$138,LS_previous!AY$149, FALSE))/2)</f>
        <v>-580.23323373199992</v>
      </c>
      <c r="AJ76" s="314">
        <f t="array" ref="AJ76">INDEX(Demand_previous!$D$4:$AY$138, MATCH('Staging Table'!$A76, Demand_previous!$B$4:$B$138, 0), MATCH(AJ$4&amp;AJ$5,Demand_previous!$D$2:$AY$2&amp;Demand_previous!$D$3:$AY$3, 0))/1000</f>
        <v>5.5127060185185197</v>
      </c>
      <c r="AK76" s="314">
        <f t="array" ref="AK76">INDEX(Demand_previous!$D$4:$AY$138, MATCH('Staging Table'!$A76, Demand_previous!$B$4:$B$138, 0), MATCH(AK$4&amp;AK$5,Demand_previous!$D$2:$AY$2&amp;Demand_previous!$D$3:$AY$3, 0))/1000</f>
        <v>2.5175449999999993</v>
      </c>
      <c r="AL76" s="314">
        <f t="array" ref="AL76">INDEX(Demand_previous!$D$4:$AY$138, MATCH('Staging Table'!$A76, Demand_previous!$B$4:$B$138, 0), MATCH(AL$4&amp;AL$5,Demand_previous!$D$2:$AY$2&amp;Demand_previous!$D$3:$AY$3, 0))/1000</f>
        <v>2.8836699999999986</v>
      </c>
      <c r="AM76" s="314">
        <f t="array" ref="AM76">INDEX(Demand_previous!$D$4:$AY$138, MATCH('Staging Table'!$A76, Demand_previous!$B$4:$B$138, 0), MATCH(AM$4&amp;AM$5,Demand_previous!$D$2:$AY$2&amp;Demand_previous!$D$3:$AY$3, 0))/1000</f>
        <v>3.8792115384615409</v>
      </c>
      <c r="AN76" s="314">
        <f t="array" ref="AN76">INDEX(Demand_previous!$D$4:$AY$138, MATCH('Staging Table'!$A76, Demand_previous!$B$4:$B$138, 0), MATCH(AN$4&amp;AN$5,Demand_previous!$D$2:$AY$2&amp;Demand_previous!$D$3:$AY$3, 0))/1000</f>
        <v>5.3662274999999982</v>
      </c>
      <c r="AO76" s="314">
        <f t="array" ref="AO76">INDEX(Demand_previous!$D$4:$AY$138, MATCH('Staging Table'!$A76, Demand_previous!$B$4:$B$138, 0), MATCH(AO$4&amp;AO$5,Demand_previous!$D$2:$AY$2&amp;Demand_previous!$D$3:$AY$3, 0))/1000</f>
        <v>3.5447475961538473</v>
      </c>
      <c r="AP76" s="314">
        <f t="array" ref="AP76">INDEX(Demand_previous!$D$4:$AY$138, MATCH('Staging Table'!$A76, Demand_previous!$B$4:$B$138, 0), MATCH(AP$4&amp;AP$5,Demand_previous!$D$2:$AY$2&amp;Demand_previous!$D$3:$AY$3, 0))/1000</f>
        <v>2.3330048076923067</v>
      </c>
      <c r="AQ76" s="314">
        <f t="array" ref="AQ76">INDEX(Demand_previous!$D$4:$AY$138, MATCH('Staging Table'!$A76, Demand_previous!$B$4:$B$138, 0), MATCH(AQ$4&amp;AQ$5,Demand_previous!$D$2:$AY$2&amp;Demand_previous!$D$3:$AY$3, 0))/1000</f>
        <v>2.4011450000000014</v>
      </c>
      <c r="AR76" s="314">
        <f t="array" ref="AR76">INDEX(Demand_previous!$D$4:$AY$138, MATCH('Staging Table'!$A76, Demand_previous!$B$4:$B$138, 0), MATCH(AR$4&amp;AR$5,Demand_previous!$D$2:$AY$2&amp;Demand_previous!$D$3:$AY$3, 0))/1000</f>
        <v>3.007000000000001</v>
      </c>
      <c r="AS76" s="314">
        <f t="array" ref="AS76">INDEX(Demand_previous!$D$4:$AY$138, MATCH('Staging Table'!$A76, Demand_previous!$B$4:$B$138, 0), MATCH(AS$4&amp;AS$5,Demand_previous!$D$2:$AY$2&amp;Demand_previous!$D$3:$AY$3, 0))/1000</f>
        <v>3.4487019230769254</v>
      </c>
      <c r="AT76" s="314">
        <f t="array" ref="AT76">INDEX(Demand_previous!$D$4:$AY$138, MATCH('Staging Table'!$A76, Demand_previous!$B$4:$B$138, 0), MATCH(AT$4&amp;AT$5,Demand_previous!$D$2:$AY$2&amp;Demand_previous!$D$3:$AY$3, 0))/1000</f>
        <v>3.0484855769230781</v>
      </c>
      <c r="AU76" s="314">
        <f t="array" ref="AU76">INDEX(Demand_previous!$D$4:$AY$138, MATCH('Staging Table'!$A76, Demand_previous!$B$4:$B$138, 0), MATCH(AU$4&amp;AU$5,Demand_previous!$D$2:$AY$2&amp;Demand_previous!$D$3:$AY$3, 0))/1000</f>
        <v>2.8859574999999982</v>
      </c>
      <c r="AV76" s="192">
        <f>$F76*(VLOOKUP(AV$4, Rates_previous!$G$6:$Q$29, 10, FALSE)+VLOOKUP(AV$4, Rates_previous!$G$6:$Q$29, 11, FALSE))</f>
        <v>6343.7320955843988</v>
      </c>
      <c r="AW76" s="192">
        <f>$F76*(VLOOKUP(AW$4, Rates_previous!$G$6:$Q$29, 10, FALSE)+VLOOKUP(AW$4, Rates_previous!$G$6:$Q$29, 11, FALSE))</f>
        <v>8058.5187270621</v>
      </c>
      <c r="AX76" s="192">
        <f>$F76*(VLOOKUP(AX$4, Rates_previous!$G$6:$Q$29, 10, FALSE)+VLOOKUP(AX$4, Rates_previous!$G$6:$Q$29, 11, FALSE))</f>
        <v>7961.2012092844006</v>
      </c>
      <c r="AY76" s="192">
        <f>$F76*(VLOOKUP(AY$4, Rates_previous!$G$6:$Q$29, 10, FALSE)+VLOOKUP(AY$4, Rates_previous!$G$6:$Q$29, 11, FALSE))</f>
        <v>6636.1461020844008</v>
      </c>
      <c r="AZ76" s="192">
        <f>$F76*(VLOOKUP(AZ$4, Rates_previous!$G$6:$Q$29, 10, FALSE)+VLOOKUP(AZ$4, Rates_previous!$G$6:$Q$29, 11, FALSE))</f>
        <v>6011.6599215199994</v>
      </c>
      <c r="BA76" s="192">
        <f>$F76*(VLOOKUP(BA$4, Rates_previous!$G$6:$Q$29, 10, FALSE)+VLOOKUP(BA$4, Rates_previous!$G$6:$Q$29, 11, FALSE))</f>
        <v>6686.8756298442995</v>
      </c>
      <c r="BB76" s="192">
        <f>$F76*(VLOOKUP(BB$4, Rates_previous!$G$6:$Q$29, 10, FALSE)+VLOOKUP(BB$4, Rates_previous!$G$6:$Q$29, 11, FALSE))</f>
        <v>5444.4613536719999</v>
      </c>
      <c r="BC76" s="192">
        <f>$F76*(VLOOKUP(BC$4, Rates_previous!$G$6:$Q$29, 10, FALSE)+VLOOKUP(BC$4, Rates_previous!$G$6:$Q$29, 11, FALSE))</f>
        <v>7342.6679945344003</v>
      </c>
      <c r="BD76" s="192">
        <f>$F76*(VLOOKUP(BD$4, Rates_previous!$G$6:$Q$29, 10, FALSE)+VLOOKUP(BD$4, Rates_previous!$G$6:$Q$29, 11, FALSE))</f>
        <v>9368.7449757220002</v>
      </c>
      <c r="BE76" s="192">
        <f>$F76*(VLOOKUP(BE$4, Rates_previous!$G$6:$Q$29, 10, FALSE)+VLOOKUP(BE$4, Rates_previous!$G$6:$Q$29, 11, FALSE))</f>
        <v>7345.3931251844006</v>
      </c>
      <c r="BF76" s="192">
        <f>$F76*(VLOOKUP(BF$4, Rates_previous!$G$6:$Q$29, 10, FALSE)+VLOOKUP(BF$4, Rates_previous!$G$6:$Q$29, 11, FALSE))</f>
        <v>7152.9502652343999</v>
      </c>
      <c r="BG76" s="192">
        <f>$F76*(VLOOKUP(BG$4, Rates_previous!$G$6:$Q$29, 10, FALSE)+VLOOKUP(BG$4, Rates_previous!$G$6:$Q$29, 11, FALSE))</f>
        <v>6421.8277095720005</v>
      </c>
      <c r="BH76" s="314">
        <f>IF($D76=0,IF(C76=0, MAX(BJ76 - (VLOOKUP($A76,TOCA_previous!$A$2:$AI$137,MATCH("RHWM 2020",TOCA_previous!$A$2:$AI$2,0),FALSE)*$F$2*TOCA_previous!C73),0),0), 0)</f>
        <v>0</v>
      </c>
      <c r="BI76" s="204">
        <f>MIN(VLOOKUP($A76,TOCA_previous!$A$2:$AI$137,MATCH("TRL - NLSL - Existing Resource "&amp;$F$1,TOCA_previous!$A$2:$AI$2,0),FALSE)*$F$2,(VLOOKUP($A76,TOCA_previous!$A$2:$AI$137,MATCH("RHWM 2020",TOCA_previous!$A$2:$AI$2,0),FALSE)*$F$2))</f>
        <v>84774.384000000005</v>
      </c>
      <c r="BJ76" s="418">
        <f>SUM(L76:AI76)+(F76*RT1SC!$C$3*$F$2)</f>
        <v>81743.43718195238</v>
      </c>
      <c r="BK76" s="417">
        <f>VLOOKUP($A76,TOCA_previous!$A$2:$AI$137,MATCH("Above RHWM Not Served with LS "&amp;$F$1,TOCA_previous!$A$2:$AI$2,0),FALSE)*$F$2</f>
        <v>21257.279999999999</v>
      </c>
      <c r="BL76" s="418">
        <f t="shared" si="27"/>
        <v>-3030.9468180476251</v>
      </c>
      <c r="BM76" s="417">
        <f>(VLOOKUP($A76,TOCA_previous!$A$2:$AI$137,MATCH("RHWM 2020",TOCA_previous!$A$2:$AI$2,0),FALSE)*$F$2) - $BI76</f>
        <v>0</v>
      </c>
      <c r="BN76" s="418">
        <f t="shared" si="28"/>
        <v>0</v>
      </c>
      <c r="BO76" s="417">
        <f t="shared" si="29"/>
        <v>0</v>
      </c>
      <c r="BP76" s="418">
        <f t="shared" si="30"/>
        <v>0</v>
      </c>
      <c r="BQ76" s="417">
        <f t="shared" si="21"/>
        <v>0</v>
      </c>
      <c r="BR76" s="120">
        <f>VLOOKUP($A76,TOCA_current!$A$2:$AI$137,MATCH(BR$4,TOCA_current!$A$2:$AI$2,0),FALSE)</f>
        <v>1.3738999999999999E-3</v>
      </c>
      <c r="BS76" s="120">
        <f>VLOOKUP($A76,TOCA_current!$A$2:$AI$137,MATCH(BS$4,TOCA_current!$A$2:$AI$2,0),FALSE)</f>
        <v>1.3738999999999999E-3</v>
      </c>
      <c r="BT76" s="201">
        <f t="shared" si="31"/>
        <v>0</v>
      </c>
      <c r="BU76" s="120">
        <f>VLOOKUP($A76,TOCA_current!A72:BG207,MATCH(BU$4,TOCA_current!$A$2:$BG$2,0),FALSE)</f>
        <v>9.2955159373311724E-2</v>
      </c>
      <c r="BV76" s="120">
        <f t="shared" si="22"/>
        <v>0</v>
      </c>
      <c r="BW76" s="120">
        <f t="shared" si="23"/>
        <v>0</v>
      </c>
      <c r="BX76" s="191">
        <f>VLOOKUP($A76,IRD!$A$4:$G$139, 7, FALSE)</f>
        <v>0</v>
      </c>
      <c r="BY76" s="192">
        <f t="array" ref="BY76">IF($BT76=0, INDEX(LS_current!$D$4:$AY$138, MATCH('Staging Table'!$A76, LS_current!$B$4:$B$138, 0), MATCH(BY$4&amp;BY$5, LS_current!$D$2:$AY$2&amp;LS_current!$D$3:$AY$3, 0)),SUM(VLOOKUP($A76, LS_current!$B$4:$AY$138, LS_current!D$148, FALSE), VLOOKUP($A76, LS_current!$B$4:$AY$138,LS_current!AB$148, FALSE))/2)</f>
        <v>-581.90674444532306</v>
      </c>
      <c r="BZ76" s="192">
        <f t="array" ref="BZ76">IF($BT76=0, INDEX(LS_current!$D$4:$AY$138, MATCH('Staging Table'!$A76, LS_current!$B$4:$B$138, 0), MATCH(BZ$4&amp;BZ$5, LS_current!$D$2:$AY$2&amp;LS_current!$D$3:$AY$3, 0)),SUM(VLOOKUP($A76, LS_current!$B$4:$AY$138, LS_current!E$148, FALSE), VLOOKUP($A76, LS_current!$B$4:$AY$138,LS_current!AC$148, FALSE))/2)</f>
        <v>-493.40101724096212</v>
      </c>
      <c r="CA76" s="192">
        <f t="array" ref="CA76">IF($BT76=0, INDEX(LS_current!$D$4:$AY$138, MATCH('Staging Table'!$A76, LS_current!$B$4:$B$138, 0), MATCH(CA$4&amp;CA$5, LS_current!$D$2:$AY$2&amp;LS_current!$D$3:$AY$3, 0)),SUM(VLOOKUP($A76, LS_current!$B$4:$AY$138, LS_current!F$148, FALSE), VLOOKUP($A76, LS_current!$B$4:$AY$138,LS_current!AD$148, FALSE))/2)</f>
        <v>-711.60086982620214</v>
      </c>
      <c r="CB76" s="192">
        <f t="array" ref="CB76">IF($BT76=0, INDEX(LS_current!$D$4:$AY$138, MATCH('Staging Table'!$A76, LS_current!$B$4:$B$138, 0), MATCH(CB$4&amp;CB$5, LS_current!$D$2:$AY$2&amp;LS_current!$D$3:$AY$3, 0)),SUM(VLOOKUP($A76, LS_current!$B$4:$AY$138, LS_current!G$148, FALSE), VLOOKUP($A76, LS_current!$B$4:$AY$138,LS_current!AE$148, FALSE))/2)</f>
        <v>-452.15333944251188</v>
      </c>
      <c r="CC76" s="192">
        <f t="array" ref="CC76">IF($BT76=0, INDEX(LS_current!$D$4:$AY$138, MATCH('Staging Table'!$A76, LS_current!$B$4:$B$138, 0), MATCH(CC$4&amp;CC$5, LS_current!$D$2:$AY$2&amp;LS_current!$D$3:$AY$3, 0)),SUM(VLOOKUP($A76, LS_current!$B$4:$AY$138, LS_current!H$148, FALSE), VLOOKUP($A76, LS_current!$B$4:$AY$138,LS_current!AF$148, FALSE))/2)</f>
        <v>1313.8932484513098</v>
      </c>
      <c r="CD76" s="192">
        <f t="array" ref="CD76">IF($BT76=0, INDEX(LS_current!$D$4:$AY$138, MATCH('Staging Table'!$A76, LS_current!$B$4:$B$138, 0), MATCH(CD$4&amp;CD$5, LS_current!$D$2:$AY$2&amp;LS_current!$D$3:$AY$3, 0)),SUM(VLOOKUP($A76, LS_current!$B$4:$AY$138, LS_current!I$148, FALSE), VLOOKUP($A76, LS_current!$B$4:$AY$138,LS_current!AG$148, FALSE))/2)</f>
        <v>727.10176434068717</v>
      </c>
      <c r="CE76" s="192">
        <f t="array" ref="CE76">IF($BT76=0, INDEX(LS_current!$D$4:$AY$138, MATCH('Staging Table'!$A76, LS_current!$B$4:$B$138, 0), MATCH(CE$4&amp;CE$5, LS_current!$D$2:$AY$2&amp;LS_current!$D$3:$AY$3, 0)),SUM(VLOOKUP($A76, LS_current!$B$4:$AY$138, LS_current!J$148, FALSE), VLOOKUP($A76, LS_current!$B$4:$AY$138,LS_current!AH$148, FALSE))/2)</f>
        <v>2335.5386155442852</v>
      </c>
      <c r="CF76" s="192">
        <f t="array" ref="CF76">IF($BT76=0, INDEX(LS_current!$D$4:$AY$138, MATCH('Staging Table'!$A76, LS_current!$B$4:$B$138, 0), MATCH(CF$4&amp;CF$5, LS_current!$D$2:$AY$2&amp;LS_current!$D$3:$AY$3, 0)),SUM(VLOOKUP($A76, LS_current!$B$4:$AY$138, LS_current!K$148, FALSE), VLOOKUP($A76, LS_current!$B$4:$AY$138,LS_current!AI$148, FALSE))/2)</f>
        <v>999.80242075314754</v>
      </c>
      <c r="CG76" s="192">
        <f t="array" ref="CG76">IF($BT76=0, INDEX(LS_current!$D$4:$AY$138, MATCH('Staging Table'!$A76, LS_current!$B$4:$B$138, 0), MATCH(CG$4&amp;CG$5, LS_current!$D$2:$AY$2&amp;LS_current!$D$3:$AY$3, 0)),SUM(VLOOKUP($A76, LS_current!$B$4:$AY$138, LS_current!L$148, FALSE), VLOOKUP($A76, LS_current!$B$4:$AY$138,LS_current!AJ$148, FALSE))/2)</f>
        <v>1030.5514418472048</v>
      </c>
      <c r="CH76" s="192">
        <f t="array" ref="CH76">IF($BT76=0, INDEX(LS_current!$D$4:$AY$138, MATCH('Staging Table'!$A76, LS_current!$B$4:$B$138, 0), MATCH(CH$4&amp;CH$5, LS_current!$D$2:$AY$2&amp;LS_current!$D$3:$AY$3, 0)),SUM(VLOOKUP($A76, LS_current!$B$4:$AY$138, LS_current!M$148, FALSE), VLOOKUP($A76, LS_current!$B$4:$AY$138,LS_current!AK$148, FALSE))/2)</f>
        <v>422.664909412214</v>
      </c>
      <c r="CI76" s="192">
        <f t="array" ref="CI76">IF($BT76=0, INDEX(LS_current!$D$4:$AY$138, MATCH('Staging Table'!$A76, LS_current!$B$4:$B$138, 0), MATCH(CI$4&amp;CI$5, LS_current!$D$2:$AY$2&amp;LS_current!$D$3:$AY$3, 0)),SUM(VLOOKUP($A76, LS_current!$B$4:$AY$138, LS_current!N$148, FALSE), VLOOKUP($A76, LS_current!$B$4:$AY$138,LS_current!AL$148, FALSE))/2)</f>
        <v>220.63405262313063</v>
      </c>
      <c r="CJ76" s="192">
        <f t="array" ref="CJ76">IF($BT76=0, INDEX(LS_current!$D$4:$AY$138, MATCH('Staging Table'!$A76, LS_current!$B$4:$B$138, 0), MATCH(CJ$4&amp;CJ$5, LS_current!$D$2:$AY$2&amp;LS_current!$D$3:$AY$3, 0)),SUM(VLOOKUP($A76, LS_current!$B$4:$AY$138, LS_current!O$148, FALSE), VLOOKUP($A76, LS_current!$B$4:$AY$138,LS_current!AM$148, FALSE))/2)</f>
        <v>174.03256376620448</v>
      </c>
      <c r="CK76" s="192">
        <f t="array" ref="CK76">IF($BT76=0, INDEX(LS_current!$D$4:$AY$138, MATCH('Staging Table'!$A76, LS_current!$B$4:$B$138, 0), MATCH(CK$4&amp;CK$5, LS_current!$D$2:$AY$2&amp;LS_current!$D$3:$AY$3, 0)),SUM(VLOOKUP($A76, LS_current!$B$4:$AY$138, LS_current!P$148, FALSE), VLOOKUP($A76, LS_current!$B$4:$AY$138,LS_current!AN$148, FALSE))/2)</f>
        <v>503.81980029245051</v>
      </c>
      <c r="CL76" s="192">
        <f t="array" ref="CL76">IF($BT76=0, INDEX(LS_current!$D$4:$AY$138, MATCH('Staging Table'!$A76, LS_current!$B$4:$B$138, 0), MATCH(CL$4&amp;CL$5, LS_current!$D$2:$AY$2&amp;LS_current!$D$3:$AY$3, 0)),SUM(VLOOKUP($A76, LS_current!$B$4:$AY$138, LS_current!Q$148, FALSE), VLOOKUP($A76, LS_current!$B$4:$AY$138,LS_current!AO$148, FALSE))/2)</f>
        <v>216.01130497839381</v>
      </c>
      <c r="CM76" s="192">
        <f t="array" ref="CM76">IF($BT76=0, INDEX(LS_current!$D$4:$AY$138, MATCH('Staging Table'!$A76, LS_current!$B$4:$B$138, 0), MATCH(CM$4&amp;CM$5, LS_current!$D$2:$AY$2&amp;LS_current!$D$3:$AY$3, 0)),SUM(VLOOKUP($A76, LS_current!$B$4:$AY$138, LS_current!R$148, FALSE), VLOOKUP($A76, LS_current!$B$4:$AY$138,LS_current!AP$148, FALSE))/2)</f>
        <v>-1461.6135212865202</v>
      </c>
      <c r="CN76" s="192">
        <f t="array" ref="CN76">IF($BT76=0, INDEX(LS_current!$D$4:$AY$138, MATCH('Staging Table'!$A76, LS_current!$B$4:$B$138, 0), MATCH(CN$4&amp;CN$5, LS_current!$D$2:$AY$2&amp;LS_current!$D$3:$AY$3, 0)),SUM(VLOOKUP($A76, LS_current!$B$4:$AY$138, LS_current!S$148, FALSE), VLOOKUP($A76, LS_current!$B$4:$AY$138,LS_current!AQ$148, FALSE))/2)</f>
        <v>-514.85612082834041</v>
      </c>
      <c r="CO76" s="192">
        <f t="array" ref="CO76">IF($BT76=0, INDEX(LS_current!$D$4:$AY$138, MATCH('Staging Table'!$A76, LS_current!$B$4:$B$138, 0), MATCH(CO$4&amp;CO$5, LS_current!$D$2:$AY$2&amp;LS_current!$D$3:$AY$3, 0)),SUM(VLOOKUP($A76, LS_current!$B$4:$AY$138, LS_current!T$148, FALSE), VLOOKUP($A76, LS_current!$B$4:$AY$138,LS_current!AR$148, FALSE))/2)</f>
        <v>-2489.310529062162</v>
      </c>
      <c r="CP76" s="192">
        <f t="array" ref="CP76">IF($BT76=0, INDEX(LS_current!$D$4:$AY$138, MATCH('Staging Table'!$A76, LS_current!$B$4:$B$138, 0), MATCH(CP$4&amp;CP$5, LS_current!$D$2:$AY$2&amp;LS_current!$D$3:$AY$3, 0)),SUM(VLOOKUP($A76, LS_current!$B$4:$AY$138, LS_current!U$148, FALSE), VLOOKUP($A76, LS_current!$B$4:$AY$138,LS_current!AS$148, FALSE))/2)</f>
        <v>-735.93772074768572</v>
      </c>
      <c r="CQ76" s="192">
        <f t="array" ref="CQ76">IF($BT76=0, INDEX(LS_current!$D$4:$AY$138, MATCH('Staging Table'!$A76, LS_current!$B$4:$B$138, 0), MATCH(CQ$4&amp;CQ$5, LS_current!$D$2:$AY$2&amp;LS_current!$D$3:$AY$3, 0)),SUM(VLOOKUP($A76, LS_current!$B$4:$AY$138, LS_current!V$148, FALSE), VLOOKUP($A76, LS_current!$B$4:$AY$138,LS_current!AT$148, FALSE))/2)</f>
        <v>-1085.4296781223466</v>
      </c>
      <c r="CR76" s="192">
        <f t="array" ref="CR76">IF($BT76=0, INDEX(LS_current!$D$4:$AY$138, MATCH('Staging Table'!$A76, LS_current!$B$4:$B$138, 0), MATCH(CR$4&amp;CR$5, LS_current!$D$2:$AY$2&amp;LS_current!$D$3:$AY$3, 0)),SUM(VLOOKUP($A76, LS_current!$B$4:$AY$138, LS_current!W$148, FALSE), VLOOKUP($A76, LS_current!$B$4:$AY$138,LS_current!AU$148, FALSE))/2)</f>
        <v>-514.87017216665845</v>
      </c>
      <c r="CS76" s="192">
        <f t="array" ref="CS76">IF($BT76=0, INDEX(LS_current!$D$4:$AY$138, MATCH('Staging Table'!$A76, LS_current!$B$4:$B$138, 0), MATCH(CS$4&amp;CS$5, LS_current!$D$2:$AY$2&amp;LS_current!$D$3:$AY$3, 0)),SUM(VLOOKUP($A76, LS_current!$B$4:$AY$138, LS_current!X$148, FALSE), VLOOKUP($A76, LS_current!$B$4:$AY$138,LS_current!AV$148, FALSE))/2)</f>
        <v>-946.5815512608724</v>
      </c>
      <c r="CT76" s="192">
        <f t="array" ref="CT76">IF($BT76=0, INDEX(LS_current!$D$4:$AY$138, MATCH('Staging Table'!$A76, LS_current!$B$4:$B$138, 0), MATCH(CT$4&amp;CT$5, LS_current!$D$2:$AY$2&amp;LS_current!$D$3:$AY$3, 0)),SUM(VLOOKUP($A76, LS_current!$B$4:$AY$138, LS_current!Y$148, FALSE), VLOOKUP($A76, LS_current!$B$4:$AY$138,LS_current!AW$148, FALSE))/2)</f>
        <v>-513.80775864174802</v>
      </c>
      <c r="CU76" s="192">
        <f t="array" ref="CU76">IF($BT76=0, INDEX(LS_current!$D$4:$AY$138, MATCH('Staging Table'!$A76, LS_current!$B$4:$B$138, 0), MATCH(CU$4&amp;CU$5, LS_current!$D$2:$AY$2&amp;LS_current!$D$3:$AY$3, 0)),SUM(VLOOKUP($A76, LS_current!$B$4:$AY$138, LS_current!Z$148, FALSE), VLOOKUP($A76, LS_current!$B$4:$AY$138,LS_current!AX$148, FALSE))/2)</f>
        <v>-1298.8502129550288</v>
      </c>
      <c r="CV76" s="192">
        <f t="array" ref="CV76">IF($BT76=0, INDEX(LS_current!$D$4:$AY$138, MATCH('Staging Table'!$A76, LS_current!$B$4:$B$138, 0), MATCH(CV$4&amp;CV$5, LS_current!$D$2:$AY$2&amp;LS_current!$D$3:$AY$3, 0)),SUM(VLOOKUP($A76, LS_current!$B$4:$AY$138, LS_current!AA$148, FALSE), VLOOKUP($A76, LS_current!$B$4:$AY$138,LS_current!AY$148, FALSE))/2)</f>
        <v>-804.14533834573172</v>
      </c>
      <c r="CW76" s="194">
        <f t="array" ref="CW76">INDEX(Demand_current!$D$4:$AY$138, MATCH($A76, Demand_current!$B$4:$B$138, 0), MATCH(CW$4&amp;CW$5,Demand_current!$D$2:$AY$2&amp;Demand_current!$D$3:$AY$3, 0))/1000</f>
        <v>5.0626947115384624</v>
      </c>
      <c r="CX76" s="194">
        <f t="array" ref="CX76">INDEX(Demand_current!$D$4:$AY$138, MATCH($A76, Demand_current!$B$4:$B$138, 0), MATCH(CX$4&amp;CX$5,Demand_current!$D$2:$AY$2&amp;Demand_current!$D$3:$AY$3, 0))/1000</f>
        <v>2.5175449999999993</v>
      </c>
      <c r="CY76" s="194">
        <f t="array" ref="CY76">INDEX(Demand_current!$D$4:$AY$138, MATCH($A76, Demand_current!$B$4:$B$138, 0), MATCH(CY$4&amp;CY$5,Demand_current!$D$2:$AY$2&amp;Demand_current!$D$3:$AY$3, 0))/1000</f>
        <v>3.6082596153846147</v>
      </c>
      <c r="CZ76" s="194">
        <f t="array" ref="CZ76">INDEX(Demand_current!$D$4:$AY$138, MATCH($A76, Demand_current!$B$4:$B$138, 0), MATCH(CZ$4&amp;CZ$5,Demand_current!$D$2:$AY$2&amp;Demand_current!$D$3:$AY$3, 0))/1000</f>
        <v>3.1471400000000012</v>
      </c>
      <c r="DA76" s="194">
        <f t="array" ref="DA76">INDEX(Demand_current!$D$4:$AY$138, MATCH($A76, Demand_current!$B$4:$B$138, 0), MATCH(DA$4&amp;DA$5,Demand_current!$D$2:$AY$2&amp;Demand_current!$D$3:$AY$3, 0))/1000</f>
        <v>4.768195312499997</v>
      </c>
      <c r="DB76" s="194">
        <f t="array" ref="DB76">INDEX(Demand_current!$D$4:$AY$138, MATCH($A76, Demand_current!$B$4:$B$138, 0), MATCH(DB$4&amp;DB$5,Demand_current!$D$2:$AY$2&amp;Demand_current!$D$3:$AY$3, 0))/1000</f>
        <v>4.06771990740741</v>
      </c>
      <c r="DC76" s="194">
        <f t="array" ref="DC76">INDEX(Demand_current!$D$4:$AY$138, MATCH($A76, Demand_current!$B$4:$B$138, 0), MATCH(DC$4&amp;DC$5,Demand_current!$D$2:$AY$2&amp;Demand_current!$D$3:$AY$3, 0))/1000</f>
        <v>2.3330048076923067</v>
      </c>
      <c r="DD76" s="194">
        <f t="array" ref="DD76">INDEX(Demand_current!$D$4:$AY$138, MATCH($A76, Demand_current!$B$4:$B$138, 0), MATCH(DD$4&amp;DD$5,Demand_current!$D$2:$AY$2&amp;Demand_current!$D$3:$AY$3, 0))/1000</f>
        <v>2.4011450000000014</v>
      </c>
      <c r="DE76" s="194">
        <f t="array" ref="DE76">INDEX(Demand_current!$D$4:$AY$138, MATCH($A76, Demand_current!$B$4:$B$138, 0), MATCH(DE$4&amp;DE$5,Demand_current!$D$2:$AY$2&amp;Demand_current!$D$3:$AY$3, 0))/1000</f>
        <v>3.007000000000001</v>
      </c>
      <c r="DF76" s="194">
        <f t="array" ref="DF76">INDEX(Demand_current!$D$4:$AY$138, MATCH($A76, Demand_current!$B$4:$B$138, 0), MATCH(DF$4&amp;DF$5,Demand_current!$D$2:$AY$2&amp;Demand_current!$D$3:$AY$3, 0))/1000</f>
        <v>2.9346100000000015</v>
      </c>
      <c r="DG76" s="194">
        <f t="array" ref="DG76">INDEX(Demand_current!$D$4:$AY$138, MATCH($A76, Demand_current!$B$4:$B$138, 0), MATCH(DG$4&amp;DG$5,Demand_current!$D$2:$AY$2&amp;Demand_current!$D$3:$AY$3, 0))/1000</f>
        <v>3.5417638888888896</v>
      </c>
      <c r="DH76" s="194">
        <f t="array" ref="DH76">INDEX(Demand_current!$D$4:$AY$138, MATCH($A76, Demand_current!$B$4:$B$138, 0), MATCH(DH$4&amp;DH$5,Demand_current!$D$2:$AY$2&amp;Demand_current!$D$3:$AY$3, 0))/1000</f>
        <v>2.8859574999999982</v>
      </c>
      <c r="DI76" s="192">
        <f>$BS76*(VLOOKUP(DI$4, Rates_current!$G$6:$Q$29, 10, FALSE)+VLOOKUP(DI$4, Rates_current!$G$6:$Q$29, 11, FALSE))</f>
        <v>6256.6367616862854</v>
      </c>
      <c r="DJ76" s="192">
        <f>$BS76*(VLOOKUP(DJ$4, Rates_current!$G$6:$Q$29, 10, FALSE)+VLOOKUP(DJ$4, Rates_current!$G$6:$Q$29, 11, FALSE))</f>
        <v>7921.1292092687145</v>
      </c>
      <c r="DK76" s="192">
        <f>$BS76*(VLOOKUP(DK$4, Rates_current!$G$6:$Q$29, 10, FALSE)+VLOOKUP(DK$4, Rates_current!$G$6:$Q$29, 11, FALSE))</f>
        <v>7753.2029872080047</v>
      </c>
      <c r="DL76" s="192">
        <f>$BS76*(VLOOKUP(DL$4, Rates_current!$G$6:$Q$29, 10, FALSE)+VLOOKUP(DL$4, Rates_current!$G$6:$Q$29, 11, FALSE))</f>
        <v>6403.8159637025674</v>
      </c>
      <c r="DM76" s="192">
        <f>$BS76*(VLOOKUP(DM$4, Rates_current!$G$6:$Q$29, 10, FALSE)+VLOOKUP(DM$4, Rates_current!$G$6:$Q$29, 11, FALSE))</f>
        <v>5550.327648740581</v>
      </c>
      <c r="DN76" s="192">
        <f>$BS76*(VLOOKUP(DN$4, Rates_current!$G$6:$Q$29, 10, FALSE)+VLOOKUP(DN$4, Rates_current!$G$6:$Q$29, 11, FALSE))</f>
        <v>6625.9703836106655</v>
      </c>
      <c r="DO76" s="192">
        <f>$BS76*(VLOOKUP(DO$4, Rates_current!$G$6:$Q$29, 10, FALSE)+VLOOKUP(DO$4, Rates_current!$G$6:$Q$29, 11, FALSE))</f>
        <v>5144.1838947291553</v>
      </c>
      <c r="DP76" s="192">
        <f>$BS76*(VLOOKUP(DP$4, Rates_current!$G$6:$Q$29, 10, FALSE)+VLOOKUP(DP$4, Rates_current!$G$6:$Q$29, 11, FALSE))</f>
        <v>7127.3046421148601</v>
      </c>
      <c r="DQ76" s="192">
        <f>$BS76*(VLOOKUP(DQ$4, Rates_current!$G$6:$Q$29, 10, FALSE)+VLOOKUP(DQ$4, Rates_current!$G$6:$Q$29, 11, FALSE))</f>
        <v>7615.6742498098474</v>
      </c>
      <c r="DR76" s="192">
        <f>$BS76*(VLOOKUP(DR$4, Rates_current!$G$6:$Q$29, 10, FALSE)+VLOOKUP(DR$4, Rates_current!$G$6:$Q$29, 11, FALSE))</f>
        <v>7230.7378502890051</v>
      </c>
      <c r="DS76" s="192">
        <f>$BS76*(VLOOKUP(DS$4, Rates_current!$G$6:$Q$29, 10, FALSE)+VLOOKUP(DS$4, Rates_current!$G$6:$Q$29, 11, FALSE))</f>
        <v>6987.9503099026215</v>
      </c>
      <c r="DT76" s="192">
        <f>$BS76*(VLOOKUP(DT$4, Rates_current!$G$6:$Q$29, 10, FALSE)+VLOOKUP(DT$4, Rates_current!$G$6:$Q$29, 11, FALSE))</f>
        <v>6457.5945513007609</v>
      </c>
      <c r="DU76" s="418">
        <f>IF(D76=0,IF(C76=0,MAX(0,DW76 - (VLOOKUP($A76,TOCA_current!$A$2:$AI$137,MATCH("RHWM 2022",TOCA_current!$A$2:$AI$2,0),FALSE)*$BS$2)), 0),0)</f>
        <v>0</v>
      </c>
      <c r="DV76" s="419">
        <f>MIN(VLOOKUP($A76,TOCA_current!$A$2:$AI$137,MATCH("TRL - NLSL - Existing Resource "&amp;$BS$1,TOCA_current!$A$2:$AI$2,0),FALSE)*$BS$2, VLOOKUP($A76,TOCA_current!$A$2:$AI$137,MATCH("RHWM 2022",TOCA_current!$A$2:$AI$2,0),FALSE)*$BS$2)</f>
        <v>81073.8</v>
      </c>
      <c r="DW76" s="419">
        <f>SUM(BY76:CV76)+(BS76*RT1SC!$C$4*$BS$2)</f>
        <v>76414.118147312925</v>
      </c>
      <c r="DX76" s="419">
        <f>VLOOKUP($A76,TOCA_current!$A$2:$AI$137,MATCH("Above RHWM Not Served with LS "&amp;$BS$1,TOCA_current!$A$2:$AI$2,0),FALSE)*$BS$2</f>
        <v>26586.600000000002</v>
      </c>
      <c r="DY76" s="419">
        <f t="shared" si="32"/>
        <v>-4659.6818526870775</v>
      </c>
      <c r="DZ76" s="419">
        <f>(VLOOKUP($A76,TOCA_current!$A$2:$AI$137,MATCH("RHWM 2022",TOCA_current!$A$2:$AI$2,0),FALSE)*$BS$2) - $DV76</f>
        <v>0</v>
      </c>
      <c r="EA76" s="419">
        <f t="shared" si="33"/>
        <v>0</v>
      </c>
      <c r="EB76" s="419">
        <f t="shared" si="34"/>
        <v>0</v>
      </c>
      <c r="EC76" s="419">
        <f t="shared" si="35"/>
        <v>0</v>
      </c>
      <c r="ED76" s="419">
        <f t="shared" si="36"/>
        <v>0</v>
      </c>
    </row>
    <row r="77" spans="1:134">
      <c r="A77" s="135">
        <v>10231</v>
      </c>
      <c r="B77" s="136" t="s">
        <v>78</v>
      </c>
      <c r="C77" s="244">
        <f>VLOOKUP(A77, TOCA_current!$A$3:$D$137, 4, FALSE)</f>
        <v>0</v>
      </c>
      <c r="D77" s="203">
        <v>0</v>
      </c>
      <c r="E77" s="119">
        <f>VLOOKUP($A77,TOCA_previous!$A$2:$AI$137,MATCH(E$4,TOCA_previous!$A$2:$AI$2,0),FALSE)</f>
        <v>5.1910999999999997E-3</v>
      </c>
      <c r="F77" s="120">
        <f>VLOOKUP($A77,TOCA_previous!$A$2:$AI$137,MATCH(F$4,TOCA_previous!$A$2:$AI$2,0),FALSE)</f>
        <v>5.1910999999999997E-3</v>
      </c>
      <c r="G77" s="120">
        <f t="shared" si="24"/>
        <v>0</v>
      </c>
      <c r="H77" s="120">
        <f>VLOOKUP($A77,TOCA_previous!$A$2:$AI$137,MATCH(H$4,TOCA_previous!$A$2:$AI$2,0),FALSE)</f>
        <v>8.4923351158645272E-2</v>
      </c>
      <c r="I77" s="120">
        <f t="shared" si="25"/>
        <v>0</v>
      </c>
      <c r="J77" s="120">
        <f t="shared" si="26"/>
        <v>0</v>
      </c>
      <c r="K77" s="191">
        <f>VLOOKUP(A77, IRD!$A$5:$C$139, 3, FALSE)</f>
        <v>21632.728999999999</v>
      </c>
      <c r="L77" s="192">
        <f t="array" ref="L77">IF($G77=0, INDEX(LS_previous!$D$4:$AY$138, MATCH('Staging Table'!$A77, LS_previous!$B$4:$B$138, 0), MATCH(L$4&amp;L$5, LS_previous!$D$2:$AY$2&amp;LS_previous!$D$3:$AY$3, 0)),SUM(VLOOKUP($A77, LS_previous!$B$4:$AY$138, LS_previous!D$149, FALSE), VLOOKUP('Staging Table'!$A77, LS_previous!$B$4:$AY$138,LS_previous!AB$149, FALSE))/2)</f>
        <v>4142.3486643532051</v>
      </c>
      <c r="M77" s="192">
        <f t="array" ref="M77">IF($G77=0, INDEX(LS_previous!$D$4:$AY$138, MATCH('Staging Table'!$A77, LS_previous!$B$4:$B$138, 0), MATCH(M$4&amp;M$5, LS_previous!$D$2:$AY$2&amp;LS_previous!$D$3:$AY$3, 0)),SUM(VLOOKUP($A77, LS_previous!$B$4:$AY$138, LS_previous!E$149, FALSE), VLOOKUP('Staging Table'!$A77, LS_previous!$B$4:$AY$138,LS_previous!AC$149, FALSE))/2)</f>
        <v>4416.3160394912029</v>
      </c>
      <c r="N77" s="192">
        <f t="array" ref="N77">IF($G77=0, INDEX(LS_previous!$D$4:$AY$138, MATCH('Staging Table'!$A77, LS_previous!$B$4:$B$138, 0), MATCH(N$4&amp;N$5, LS_previous!$D$2:$AY$2&amp;LS_previous!$D$3:$AY$3, 0)),SUM(VLOOKUP($A77, LS_previous!$B$4:$AY$138, LS_previous!F$149, FALSE), VLOOKUP('Staging Table'!$A77, LS_previous!$B$4:$AY$138,LS_previous!AD$149, FALSE))/2)</f>
        <v>241.04642539920314</v>
      </c>
      <c r="O77" s="192">
        <f t="array" ref="O77">IF($G77=0, INDEX(LS_previous!$D$4:$AY$138, MATCH('Staging Table'!$A77, LS_previous!$B$4:$B$138, 0), MATCH(O$4&amp;O$5, LS_previous!$D$2:$AY$2&amp;LS_previous!$D$3:$AY$3, 0)),SUM(VLOOKUP($A77, LS_previous!$B$4:$AY$138, LS_previous!G$149, FALSE), VLOOKUP('Staging Table'!$A77, LS_previous!$B$4:$AY$138,LS_previous!AE$149, FALSE))/2)</f>
        <v>1349.3570876278991</v>
      </c>
      <c r="P77" s="192">
        <f t="array" ref="P77">IF($G77=0, INDEX(LS_previous!$D$4:$AY$138, MATCH('Staging Table'!$A77, LS_previous!$B$4:$B$138, 0), MATCH(P$4&amp;P$5, LS_previous!$D$2:$AY$2&amp;LS_previous!$D$3:$AY$3, 0)),SUM(VLOOKUP($A77, LS_previous!$B$4:$AY$138, LS_previous!H$149, FALSE), VLOOKUP('Staging Table'!$A77, LS_previous!$B$4:$AY$138,LS_previous!AF$149, FALSE))/2)</f>
        <v>5854.5745699807994</v>
      </c>
      <c r="Q77" s="192">
        <f t="array" ref="Q77">IF($G77=0, INDEX(LS_previous!$D$4:$AY$138, MATCH('Staging Table'!$A77, LS_previous!$B$4:$B$138, 0), MATCH(Q$4&amp;Q$5, LS_previous!$D$2:$AY$2&amp;LS_previous!$D$3:$AY$3, 0)),SUM(VLOOKUP($A77, LS_previous!$B$4:$AY$138, LS_previous!I$149, FALSE), VLOOKUP('Staging Table'!$A77, LS_previous!$B$4:$AY$138,LS_previous!AG$149, FALSE))/2)</f>
        <v>4468.6463525635991</v>
      </c>
      <c r="R77" s="192">
        <f t="array" ref="R77">IF($G77=0, INDEX(LS_previous!$D$4:$AY$138, MATCH('Staging Table'!$A77, LS_previous!$B$4:$B$138, 0), MATCH(R$4&amp;R$5, LS_previous!$D$2:$AY$2&amp;LS_previous!$D$3:$AY$3, 0)),SUM(VLOOKUP($A77, LS_previous!$B$4:$AY$138, LS_previous!J$149, FALSE), VLOOKUP('Staging Table'!$A77, LS_previous!$B$4:$AY$138,LS_previous!AH$149, FALSE))/2)</f>
        <v>8769.2041735807979</v>
      </c>
      <c r="S77" s="192">
        <f t="array" ref="S77">IF($G77=0, INDEX(LS_previous!$D$4:$AY$138, MATCH('Staging Table'!$A77, LS_previous!$B$4:$B$138, 0), MATCH(S$4&amp;S$5, LS_previous!$D$2:$AY$2&amp;LS_previous!$D$3:$AY$3, 0)),SUM(VLOOKUP($A77, LS_previous!$B$4:$AY$138, LS_previous!K$149, FALSE), VLOOKUP('Staging Table'!$A77, LS_previous!$B$4:$AY$138,LS_previous!AI$149, FALSE))/2)</f>
        <v>9094.2707617636006</v>
      </c>
      <c r="T77" s="192">
        <f t="array" ref="T77">IF($G77=0, INDEX(LS_previous!$D$4:$AY$138, MATCH('Staging Table'!$A77, LS_previous!$B$4:$B$138, 0), MATCH(T$4&amp;T$5, LS_previous!$D$2:$AY$2&amp;LS_previous!$D$3:$AY$3, 0)),SUM(VLOOKUP($A77, LS_previous!$B$4:$AY$138, LS_previous!L$149, FALSE), VLOOKUP('Staging Table'!$A77, LS_previous!$B$4:$AY$138,LS_previous!AJ$149, FALSE))/2)</f>
        <v>4671.4852696036014</v>
      </c>
      <c r="U77" s="192">
        <f t="array" ref="U77">IF($G77=0, INDEX(LS_previous!$D$4:$AY$138, MATCH('Staging Table'!$A77, LS_previous!$B$4:$B$138, 0), MATCH(U$4&amp;U$5, LS_previous!$D$2:$AY$2&amp;LS_previous!$D$3:$AY$3, 0)),SUM(VLOOKUP($A77, LS_previous!$B$4:$AY$138, LS_previous!M$149, FALSE), VLOOKUP('Staging Table'!$A77, LS_previous!$B$4:$AY$138,LS_previous!AK$149, FALSE))/2)</f>
        <v>3623.4713599164006</v>
      </c>
      <c r="V77" s="192">
        <f t="array" ref="V77">IF($G77=0, INDEX(LS_previous!$D$4:$AY$138, MATCH('Staging Table'!$A77, LS_previous!$B$4:$B$138, 0), MATCH(V$4&amp;V$5, LS_previous!$D$2:$AY$2&amp;LS_previous!$D$3:$AY$3, 0)),SUM(VLOOKUP($A77, LS_previous!$B$4:$AY$138, LS_previous!N$149, FALSE), VLOOKUP('Staging Table'!$A77, LS_previous!$B$4:$AY$138,LS_previous!AL$149, FALSE))/2)</f>
        <v>4382.6740417624023</v>
      </c>
      <c r="W77" s="192">
        <f t="array" ref="W77">IF($G77=0, INDEX(LS_previous!$D$4:$AY$138, MATCH('Staging Table'!$A77, LS_previous!$B$4:$B$138, 0), MATCH(W$4&amp;W$5, LS_previous!$D$2:$AY$2&amp;LS_previous!$D$3:$AY$3, 0)),SUM(VLOOKUP($A77, LS_previous!$B$4:$AY$138, LS_previous!O$149, FALSE), VLOOKUP('Staging Table'!$A77, LS_previous!$B$4:$AY$138,LS_previous!AM$149, FALSE))/2)</f>
        <v>2783.0790616768991</v>
      </c>
      <c r="X77" s="192">
        <f t="array" ref="X77">IF($G77=0, INDEX(LS_previous!$D$4:$AY$138, MATCH('Staging Table'!$A77, LS_previous!$B$4:$B$138, 0), MATCH(X$4&amp;X$5, LS_previous!$D$2:$AY$2&amp;LS_previous!$D$3:$AY$3, 0)),SUM(VLOOKUP($A77, LS_previous!$B$4:$AY$138, LS_previous!P$149, FALSE), VLOOKUP('Staging Table'!$A77, LS_previous!$B$4:$AY$138,LS_previous!AN$149, FALSE))/2)</f>
        <v>5704.6682354215991</v>
      </c>
      <c r="Y77" s="192">
        <f t="array" ref="Y77">IF($G77=0, INDEX(LS_previous!$D$4:$AY$138, MATCH('Staging Table'!$A77, LS_previous!$B$4:$B$138, 0), MATCH(Y$4&amp;Y$5, LS_previous!$D$2:$AY$2&amp;LS_previous!$D$3:$AY$3, 0)),SUM(VLOOKUP($A77, LS_previous!$B$4:$AY$138, LS_previous!Q$149, FALSE), VLOOKUP('Staging Table'!$A77, LS_previous!$B$4:$AY$138,LS_previous!AO$149, FALSE))/2)</f>
        <v>3201.3833970504002</v>
      </c>
      <c r="Z77" s="192">
        <f t="array" ref="Z77">IF($G77=0, INDEX(LS_previous!$D$4:$AY$138, MATCH('Staging Table'!$A77, LS_previous!$B$4:$B$138, 0), MATCH(Z$4&amp;Z$5, LS_previous!$D$2:$AY$2&amp;LS_previous!$D$3:$AY$3, 0)),SUM(VLOOKUP($A77, LS_previous!$B$4:$AY$138, LS_previous!R$149, FALSE), VLOOKUP('Staging Table'!$A77, LS_previous!$B$4:$AY$138,LS_previous!AP$149, FALSE))/2)</f>
        <v>-1882.2239448100008</v>
      </c>
      <c r="AA77" s="192">
        <f t="array" ref="AA77">IF($G77=0, INDEX(LS_previous!$D$4:$AY$138, MATCH('Staging Table'!$A77, LS_previous!$B$4:$B$138, 0), MATCH(AA$4&amp;AA$5, LS_previous!$D$2:$AY$2&amp;LS_previous!$D$3:$AY$3, 0)),SUM(VLOOKUP($A77, LS_previous!$B$4:$AY$138, LS_previous!S$149, FALSE), VLOOKUP('Staging Table'!$A77, LS_previous!$B$4:$AY$138,LS_previous!AQ$149, FALSE))/2)</f>
        <v>850.2060651044012</v>
      </c>
      <c r="AB77" s="192">
        <f t="array" ref="AB77">IF($G77=0, INDEX(LS_previous!$D$4:$AY$138, MATCH('Staging Table'!$A77, LS_previous!$B$4:$B$138, 0), MATCH(AB$4&amp;AB$5, LS_previous!$D$2:$AY$2&amp;LS_previous!$D$3:$AY$3, 0)),SUM(VLOOKUP($A77, LS_previous!$B$4:$AY$138, LS_previous!T$149, FALSE), VLOOKUP('Staging Table'!$A77, LS_previous!$B$4:$AY$138,LS_previous!AR$149, FALSE))/2)</f>
        <v>-4432.6279554283974</v>
      </c>
      <c r="AC77" s="192">
        <f t="array" ref="AC77">IF($G77=0, INDEX(LS_previous!$D$4:$AY$138, MATCH('Staging Table'!$A77, LS_previous!$B$4:$B$138, 0), MATCH(AC$4&amp;AC$5, LS_previous!$D$2:$AY$2&amp;LS_previous!$D$3:$AY$3, 0)),SUM(VLOOKUP($A77, LS_previous!$B$4:$AY$138, LS_previous!U$149, FALSE), VLOOKUP('Staging Table'!$A77, LS_previous!$B$4:$AY$138,LS_previous!AS$149, FALSE))/2)</f>
        <v>-2357.5006575496009</v>
      </c>
      <c r="AD77" s="192">
        <f t="array" ref="AD77">IF($G77=0, INDEX(LS_previous!$D$4:$AY$138, MATCH('Staging Table'!$A77, LS_previous!$B$4:$B$138, 0), MATCH(AD$4&amp;AD$5, LS_previous!$D$2:$AY$2&amp;LS_previous!$D$3:$AY$3, 0)),SUM(VLOOKUP($A77, LS_previous!$B$4:$AY$138, LS_previous!V$149, FALSE), VLOOKUP('Staging Table'!$A77, LS_previous!$B$4:$AY$138,LS_previous!AT$149, FALSE))/2)</f>
        <v>2782.8059190716012</v>
      </c>
      <c r="AE77" s="192">
        <f t="array" ref="AE77">IF($G77=0, INDEX(LS_previous!$D$4:$AY$138, MATCH('Staging Table'!$A77, LS_previous!$B$4:$B$138, 0), MATCH(AE$4&amp;AE$5, LS_previous!$D$2:$AY$2&amp;LS_previous!$D$3:$AY$3, 0)),SUM(VLOOKUP($A77, LS_previous!$B$4:$AY$138, LS_previous!W$149, FALSE), VLOOKUP('Staging Table'!$A77, LS_previous!$B$4:$AY$138,LS_previous!AU$149, FALSE))/2)</f>
        <v>5925.6256543728032</v>
      </c>
      <c r="AF77" s="192">
        <f t="array" ref="AF77">IF($G77=0, INDEX(LS_previous!$D$4:$AY$138, MATCH('Staging Table'!$A77, LS_previous!$B$4:$B$138, 0), MATCH(AF$4&amp;AF$5, LS_previous!$D$2:$AY$2&amp;LS_previous!$D$3:$AY$3, 0)),SUM(VLOOKUP($A77, LS_previous!$B$4:$AY$138, LS_previous!X$149, FALSE), VLOOKUP('Staging Table'!$A77, LS_previous!$B$4:$AY$138,LS_previous!AV$149, FALSE))/2)</f>
        <v>5530.5028196216008</v>
      </c>
      <c r="AG77" s="192">
        <f t="array" ref="AG77">IF($G77=0, INDEX(LS_previous!$D$4:$AY$138, MATCH('Staging Table'!$A77, LS_previous!$B$4:$B$138, 0), MATCH(AG$4&amp;AG$5, LS_previous!$D$2:$AY$2&amp;LS_previous!$D$3:$AY$3, 0)),SUM(VLOOKUP($A77, LS_previous!$B$4:$AY$138, LS_previous!Y$149, FALSE), VLOOKUP('Staging Table'!$A77, LS_previous!$B$4:$AY$138,LS_previous!AW$149, FALSE))/2)</f>
        <v>4594.2797263728007</v>
      </c>
      <c r="AH77" s="192">
        <f t="array" ref="AH77">IF($G77=0, INDEX(LS_previous!$D$4:$AY$138, MATCH('Staging Table'!$A77, LS_previous!$B$4:$B$138, 0), MATCH(AH$4&amp;AH$5, LS_previous!$D$2:$AY$2&amp;LS_previous!$D$3:$AY$3, 0)),SUM(VLOOKUP($A77, LS_previous!$B$4:$AY$138, LS_previous!Z$149, FALSE), VLOOKUP('Staging Table'!$A77, LS_previous!$B$4:$AY$138,LS_previous!AX$149, FALSE))/2)</f>
        <v>4037.3910118400036</v>
      </c>
      <c r="AI77" s="192">
        <f t="array" ref="AI77">IF($G77=0, INDEX(LS_previous!$D$4:$AY$138, MATCH('Staging Table'!$A77, LS_previous!$B$4:$B$138, 0), MATCH(AI$4&amp;AI$5, LS_previous!$D$2:$AY$2&amp;LS_previous!$D$3:$AY$3, 0)),SUM(VLOOKUP($A77, LS_previous!$B$4:$AY$138, LS_previous!AA$149, FALSE), VLOOKUP('Staging Table'!$A77, LS_previous!$B$4:$AY$138,LS_previous!AY$149, FALSE))/2)</f>
        <v>3388.3217115320003</v>
      </c>
      <c r="AJ77" s="314">
        <f t="array" ref="AJ77">INDEX(Demand_previous!$D$4:$AY$138, MATCH('Staging Table'!$A77, Demand_previous!$B$4:$B$138, 0), MATCH(AJ$4&amp;AJ$5,Demand_previous!$D$2:$AY$2&amp;Demand_previous!$D$3:$AY$3, 0))/1000</f>
        <v>7.0675092592592605</v>
      </c>
      <c r="AK77" s="314">
        <f t="array" ref="AK77">INDEX(Demand_previous!$D$4:$AY$138, MATCH('Staging Table'!$A77, Demand_previous!$B$4:$B$138, 0), MATCH(AK$4&amp;AK$5,Demand_previous!$D$2:$AY$2&amp;Demand_previous!$D$3:$AY$3, 0))/1000</f>
        <v>6.6734274999999972</v>
      </c>
      <c r="AL77" s="314">
        <f t="array" ref="AL77">INDEX(Demand_previous!$D$4:$AY$138, MATCH('Staging Table'!$A77, Demand_previous!$B$4:$B$138, 0), MATCH(AL$4&amp;AL$5,Demand_previous!$D$2:$AY$2&amp;Demand_previous!$D$3:$AY$3, 0))/1000</f>
        <v>6.82719249999999</v>
      </c>
      <c r="AM77" s="314">
        <f t="array" ref="AM77">INDEX(Demand_previous!$D$4:$AY$138, MATCH('Staging Table'!$A77, Demand_previous!$B$4:$B$138, 0), MATCH(AM$4&amp;AM$5,Demand_previous!$D$2:$AY$2&amp;Demand_previous!$D$3:$AY$3, 0))/1000</f>
        <v>8.0253485576923094</v>
      </c>
      <c r="AN77" s="314">
        <f t="array" ref="AN77">INDEX(Demand_previous!$D$4:$AY$138, MATCH('Staging Table'!$A77, Demand_previous!$B$4:$B$138, 0), MATCH(AN$4&amp;AN$5,Demand_previous!$D$2:$AY$2&amp;Demand_previous!$D$3:$AY$3, 0))/1000</f>
        <v>7.9939475000000044</v>
      </c>
      <c r="AO77" s="314">
        <f t="array" ref="AO77">INDEX(Demand_previous!$D$4:$AY$138, MATCH('Staging Table'!$A77, Demand_previous!$B$4:$B$138, 0), MATCH(AO$4&amp;AO$5,Demand_previous!$D$2:$AY$2&amp;Demand_previous!$D$3:$AY$3, 0))/1000</f>
        <v>3.7251826923076981</v>
      </c>
      <c r="AP77" s="314">
        <f t="array" ref="AP77">INDEX(Demand_previous!$D$4:$AY$138, MATCH('Staging Table'!$A77, Demand_previous!$B$4:$B$138, 0), MATCH(AP$4&amp;AP$5,Demand_previous!$D$2:$AY$2&amp;Demand_previous!$D$3:$AY$3, 0))/1000</f>
        <v>3.8738750000000124</v>
      </c>
      <c r="AQ77" s="314">
        <f t="array" ref="AQ77">INDEX(Demand_previous!$D$4:$AY$138, MATCH('Staging Table'!$A77, Demand_previous!$B$4:$B$138, 0), MATCH(AQ$4&amp;AQ$5,Demand_previous!$D$2:$AY$2&amp;Demand_previous!$D$3:$AY$3, 0))/1000</f>
        <v>9.1975925000000096</v>
      </c>
      <c r="AR77" s="314">
        <f t="array" ref="AR77">INDEX(Demand_previous!$D$4:$AY$138, MATCH('Staging Table'!$A77, Demand_previous!$B$4:$B$138, 0), MATCH(AR$4&amp;AR$5,Demand_previous!$D$2:$AY$2&amp;Demand_previous!$D$3:$AY$3, 0))/1000</f>
        <v>11.614550480769232</v>
      </c>
      <c r="AS77" s="314">
        <f t="array" ref="AS77">INDEX(Demand_previous!$D$4:$AY$138, MATCH('Staging Table'!$A77, Demand_previous!$B$4:$B$138, 0), MATCH(AS$4&amp;AS$5,Demand_previous!$D$2:$AY$2&amp;Demand_previous!$D$3:$AY$3, 0))/1000</f>
        <v>8.9986730769230796</v>
      </c>
      <c r="AT77" s="314">
        <f t="array" ref="AT77">INDEX(Demand_previous!$D$4:$AY$138, MATCH('Staging Table'!$A77, Demand_previous!$B$4:$B$138, 0), MATCH(AT$4&amp;AT$5,Demand_previous!$D$2:$AY$2&amp;Demand_previous!$D$3:$AY$3, 0))/1000</f>
        <v>9.5192403846153937</v>
      </c>
      <c r="AU77" s="314">
        <f t="array" ref="AU77">INDEX(Demand_previous!$D$4:$AY$138, MATCH('Staging Table'!$A77, Demand_previous!$B$4:$B$138, 0), MATCH(AU$4&amp;AU$5,Demand_previous!$D$2:$AY$2&amp;Demand_previous!$D$3:$AY$3, 0))/1000</f>
        <v>5.7216124999999991</v>
      </c>
      <c r="AV77" s="192">
        <f>$F77*(VLOOKUP(AV$4, Rates_previous!$G$6:$Q$29, 10, FALSE)+VLOOKUP(AV$4, Rates_previous!$G$6:$Q$29, 11, FALSE))</f>
        <v>23968.955296155596</v>
      </c>
      <c r="AW77" s="192">
        <f>$F77*(VLOOKUP(AW$4, Rates_previous!$G$6:$Q$29, 10, FALSE)+VLOOKUP(AW$4, Rates_previous!$G$6:$Q$29, 11, FALSE))</f>
        <v>30448.050486972897</v>
      </c>
      <c r="AX77" s="192">
        <f>$F77*(VLOOKUP(AX$4, Rates_previous!$G$6:$Q$29, 10, FALSE)+VLOOKUP(AX$4, Rates_previous!$G$6:$Q$29, 11, FALSE))</f>
        <v>30080.349077455601</v>
      </c>
      <c r="AY77" s="192">
        <f>$F77*(VLOOKUP(AY$4, Rates_previous!$G$6:$Q$29, 10, FALSE)+VLOOKUP(AY$4, Rates_previous!$G$6:$Q$29, 11, FALSE))</f>
        <v>25073.8030646556</v>
      </c>
      <c r="AZ77" s="192">
        <f>$F77*(VLOOKUP(AZ$4, Rates_previous!$G$6:$Q$29, 10, FALSE)+VLOOKUP(AZ$4, Rates_previous!$G$6:$Q$29, 11, FALSE))</f>
        <v>22714.264370479999</v>
      </c>
      <c r="BA77" s="192">
        <f>$F77*(VLOOKUP(BA$4, Rates_previous!$G$6:$Q$29, 10, FALSE)+VLOOKUP(BA$4, Rates_previous!$G$6:$Q$29, 11, FALSE))</f>
        <v>25265.477896560697</v>
      </c>
      <c r="BB77" s="192">
        <f>$F77*(VLOOKUP(BB$4, Rates_previous!$G$6:$Q$29, 10, FALSE)+VLOOKUP(BB$4, Rates_previous!$G$6:$Q$29, 11, FALSE))</f>
        <v>20571.179367527999</v>
      </c>
      <c r="BC77" s="192">
        <f>$F77*(VLOOKUP(BC$4, Rates_previous!$G$6:$Q$29, 10, FALSE)+VLOOKUP(BC$4, Rates_previous!$G$6:$Q$29, 11, FALSE))</f>
        <v>27743.302879705599</v>
      </c>
      <c r="BD77" s="192">
        <f>$F77*(VLOOKUP(BD$4, Rates_previous!$G$6:$Q$29, 10, FALSE)+VLOOKUP(BD$4, Rates_previous!$G$6:$Q$29, 11, FALSE))</f>
        <v>35398.567612977997</v>
      </c>
      <c r="BE77" s="192">
        <f>$F77*(VLOOKUP(BE$4, Rates_previous!$G$6:$Q$29, 10, FALSE)+VLOOKUP(BE$4, Rates_previous!$G$6:$Q$29, 11, FALSE))</f>
        <v>27753.5994265556</v>
      </c>
      <c r="BF77" s="192">
        <f>$F77*(VLOOKUP(BF$4, Rates_previous!$G$6:$Q$29, 10, FALSE)+VLOOKUP(BF$4, Rates_previous!$G$6:$Q$29, 11, FALSE))</f>
        <v>27026.479454005599</v>
      </c>
      <c r="BG77" s="192">
        <f>$F77*(VLOOKUP(BG$4, Rates_previous!$G$6:$Q$29, 10, FALSE)+VLOOKUP(BG$4, Rates_previous!$G$6:$Q$29, 11, FALSE))</f>
        <v>24264.029276628</v>
      </c>
      <c r="BH77" s="314">
        <f>IF($D77=0,IF(C77=0, MAX(BJ77 - (VLOOKUP($A77,TOCA_previous!$A$2:$AI$137,MATCH("RHWM 2020",TOCA_previous!$A$2:$AI$2,0),FALSE)*$F$2*TOCA_previous!C74),0),0), 0)</f>
        <v>81138.816022587533</v>
      </c>
      <c r="BI77" s="204">
        <f>MIN(VLOOKUP($A77,TOCA_previous!$A$2:$AI$137,MATCH("TRL - NLSL - Existing Resource "&amp;$F$1,TOCA_previous!$A$2:$AI$2,0),FALSE)*$F$2,(VLOOKUP($A77,TOCA_previous!$A$2:$AI$137,MATCH("RHWM 2020",TOCA_previous!$A$2:$AI$2,0),FALSE)*$F$2))</f>
        <v>320308.56000000006</v>
      </c>
      <c r="BJ77" s="418">
        <f>SUM(L77:AI77)+(F77*RT1SC!$C$3*$F$2)</f>
        <v>401447.37602258759</v>
      </c>
      <c r="BK77" s="417">
        <f>VLOOKUP($A77,TOCA_previous!$A$2:$AI$137,MATCH("Above RHWM Not Served with LS "&amp;$F$1,TOCA_previous!$A$2:$AI$2,0),FALSE)*$F$2</f>
        <v>68286.816000000006</v>
      </c>
      <c r="BL77" s="418">
        <f t="shared" si="27"/>
        <v>81138.816022587533</v>
      </c>
      <c r="BM77" s="417">
        <f>(VLOOKUP($A77,TOCA_previous!$A$2:$AI$137,MATCH("RHWM 2020",TOCA_previous!$A$2:$AI$2,0),FALSE)*$F$2) - $BI77</f>
        <v>0</v>
      </c>
      <c r="BN77" s="418">
        <f t="shared" si="28"/>
        <v>0</v>
      </c>
      <c r="BO77" s="417">
        <f t="shared" si="29"/>
        <v>0</v>
      </c>
      <c r="BP77" s="418">
        <f t="shared" si="30"/>
        <v>0</v>
      </c>
      <c r="BQ77" s="417">
        <f t="shared" si="21"/>
        <v>0</v>
      </c>
      <c r="BR77" s="120">
        <f>VLOOKUP($A77,TOCA_current!$A$2:$AI$137,MATCH(BR$4,TOCA_current!$A$2:$AI$2,0),FALSE)</f>
        <v>5.1910999999999997E-3</v>
      </c>
      <c r="BS77" s="120">
        <f>VLOOKUP($A77,TOCA_current!$A$2:$AI$137,MATCH(BS$4,TOCA_current!$A$2:$AI$2,0),FALSE)</f>
        <v>5.1910999999999997E-3</v>
      </c>
      <c r="BT77" s="201">
        <f t="shared" si="31"/>
        <v>0</v>
      </c>
      <c r="BU77" s="120">
        <f>VLOOKUP($A77,TOCA_current!A73:BG208,MATCH(BU$4,TOCA_current!$A$2:$BG$2,0),FALSE)</f>
        <v>9.0175870056335622E-2</v>
      </c>
      <c r="BV77" s="120">
        <f t="shared" si="22"/>
        <v>0</v>
      </c>
      <c r="BW77" s="120">
        <f t="shared" si="23"/>
        <v>0</v>
      </c>
      <c r="BX77" s="191">
        <f>VLOOKUP($A77,IRD!$A$4:$G$139, 7, FALSE)</f>
        <v>21632.728999999999</v>
      </c>
      <c r="BY77" s="192">
        <f t="array" ref="BY77">IF($BT77=0, INDEX(LS_current!$D$4:$AY$138, MATCH('Staging Table'!$A77, LS_current!$B$4:$B$138, 0), MATCH(BY$4&amp;BY$5, LS_current!$D$2:$AY$2&amp;LS_current!$D$3:$AY$3, 0)),SUM(VLOOKUP($A77, LS_current!$B$4:$AY$138, LS_current!D$148, FALSE), VLOOKUP($A77, LS_current!$B$4:$AY$138,LS_current!AB$148, FALSE))/2)</f>
        <v>3766.0976577697675</v>
      </c>
      <c r="BZ77" s="192">
        <f t="array" ref="BZ77">IF($BT77=0, INDEX(LS_current!$D$4:$AY$138, MATCH('Staging Table'!$A77, LS_current!$B$4:$B$138, 0), MATCH(BZ$4&amp;BZ$5, LS_current!$D$2:$AY$2&amp;LS_current!$D$3:$AY$3, 0)),SUM(VLOOKUP($A77, LS_current!$B$4:$AY$138, LS_current!E$148, FALSE), VLOOKUP($A77, LS_current!$B$4:$AY$138,LS_current!AC$148, FALSE))/2)</f>
        <v>3406.7252816074251</v>
      </c>
      <c r="CA77" s="192">
        <f t="array" ref="CA77">IF($BT77=0, INDEX(LS_current!$D$4:$AY$138, MATCH('Staging Table'!$A77, LS_current!$B$4:$B$138, 0), MATCH(CA$4&amp;CA$5, LS_current!$D$2:$AY$2&amp;LS_current!$D$3:$AY$3, 0)),SUM(VLOOKUP($A77, LS_current!$B$4:$AY$138, LS_current!F$148, FALSE), VLOOKUP($A77, LS_current!$B$4:$AY$138,LS_current!AD$148, FALSE))/2)</f>
        <v>42.801825129343342</v>
      </c>
      <c r="CB77" s="192">
        <f t="array" ref="CB77">IF($BT77=0, INDEX(LS_current!$D$4:$AY$138, MATCH('Staging Table'!$A77, LS_current!$B$4:$B$138, 0), MATCH(CB$4&amp;CB$5, LS_current!$D$2:$AY$2&amp;LS_current!$D$3:$AY$3, 0)),SUM(VLOOKUP($A77, LS_current!$B$4:$AY$138, LS_current!G$148, FALSE), VLOOKUP($A77, LS_current!$B$4:$AY$138,LS_current!AE$148, FALSE))/2)</f>
        <v>404.80486594364629</v>
      </c>
      <c r="CC77" s="192">
        <f t="array" ref="CC77">IF($BT77=0, INDEX(LS_current!$D$4:$AY$138, MATCH('Staging Table'!$A77, LS_current!$B$4:$B$138, 0), MATCH(CC$4&amp;CC$5, LS_current!$D$2:$AY$2&amp;LS_current!$D$3:$AY$3, 0)),SUM(VLOOKUP($A77, LS_current!$B$4:$AY$138, LS_current!H$148, FALSE), VLOOKUP($A77, LS_current!$B$4:$AY$138,LS_current!AF$148, FALSE))/2)</f>
        <v>6715.8132418193381</v>
      </c>
      <c r="CD77" s="192">
        <f t="array" ref="CD77">IF($BT77=0, INDEX(LS_current!$D$4:$AY$138, MATCH('Staging Table'!$A77, LS_current!$B$4:$B$138, 0), MATCH(CD$4&amp;CD$5, LS_current!$D$2:$AY$2&amp;LS_current!$D$3:$AY$3, 0)),SUM(VLOOKUP($A77, LS_current!$B$4:$AY$138, LS_current!I$148, FALSE), VLOOKUP($A77, LS_current!$B$4:$AY$138,LS_current!AG$148, FALSE))/2)</f>
        <v>2678.3815380806045</v>
      </c>
      <c r="CE77" s="192">
        <f t="array" ref="CE77">IF($BT77=0, INDEX(LS_current!$D$4:$AY$138, MATCH('Staging Table'!$A77, LS_current!$B$4:$B$138, 0), MATCH(CE$4&amp;CE$5, LS_current!$D$2:$AY$2&amp;LS_current!$D$3:$AY$3, 0)),SUM(VLOOKUP($A77, LS_current!$B$4:$AY$138, LS_current!J$148, FALSE), VLOOKUP($A77, LS_current!$B$4:$AY$138,LS_current!AH$148, FALSE))/2)</f>
        <v>9964.9754885013044</v>
      </c>
      <c r="CF77" s="192">
        <f t="array" ref="CF77">IF($BT77=0, INDEX(LS_current!$D$4:$AY$138, MATCH('Staging Table'!$A77, LS_current!$B$4:$B$138, 0), MATCH(CF$4&amp;CF$5, LS_current!$D$2:$AY$2&amp;LS_current!$D$3:$AY$3, 0)),SUM(VLOOKUP($A77, LS_current!$B$4:$AY$138, LS_current!K$148, FALSE), VLOOKUP($A77, LS_current!$B$4:$AY$138,LS_current!AI$148, FALSE))/2)</f>
        <v>7061.4082417728096</v>
      </c>
      <c r="CG77" s="192">
        <f t="array" ref="CG77">IF($BT77=0, INDEX(LS_current!$D$4:$AY$138, MATCH('Staging Table'!$A77, LS_current!$B$4:$B$138, 0), MATCH(CG$4&amp;CG$5, LS_current!$D$2:$AY$2&amp;LS_current!$D$3:$AY$3, 0)),SUM(VLOOKUP($A77, LS_current!$B$4:$AY$138, LS_current!L$148, FALSE), VLOOKUP($A77, LS_current!$B$4:$AY$138,LS_current!AJ$148, FALSE))/2)</f>
        <v>6059.3819094352039</v>
      </c>
      <c r="CH77" s="192">
        <f t="array" ref="CH77">IF($BT77=0, INDEX(LS_current!$D$4:$AY$138, MATCH('Staging Table'!$A77, LS_current!$B$4:$B$138, 0), MATCH(CH$4&amp;CH$5, LS_current!$D$2:$AY$2&amp;LS_current!$D$3:$AY$3, 0)),SUM(VLOOKUP($A77, LS_current!$B$4:$AY$138, LS_current!M$148, FALSE), VLOOKUP($A77, LS_current!$B$4:$AY$138,LS_current!AK$148, FALSE))/2)</f>
        <v>2616.2738856901833</v>
      </c>
      <c r="CI77" s="192">
        <f t="array" ref="CI77">IF($BT77=0, INDEX(LS_current!$D$4:$AY$138, MATCH('Staging Table'!$A77, LS_current!$B$4:$B$138, 0), MATCH(CI$4&amp;CI$5, LS_current!$D$2:$AY$2&amp;LS_current!$D$3:$AY$3, 0)),SUM(VLOOKUP($A77, LS_current!$B$4:$AY$138, LS_current!N$148, FALSE), VLOOKUP($A77, LS_current!$B$4:$AY$138,LS_current!AL$148, FALSE))/2)</f>
        <v>3951.672262516875</v>
      </c>
      <c r="CJ77" s="192">
        <f t="array" ref="CJ77">IF($BT77=0, INDEX(LS_current!$D$4:$AY$138, MATCH('Staging Table'!$A77, LS_current!$B$4:$B$138, 0), MATCH(CJ$4&amp;CJ$5, LS_current!$D$2:$AY$2&amp;LS_current!$D$3:$AY$3, 0)),SUM(VLOOKUP($A77, LS_current!$B$4:$AY$138, LS_current!O$148, FALSE), VLOOKUP($A77, LS_current!$B$4:$AY$138,LS_current!AM$148, FALSE))/2)</f>
        <v>1731.5882834025342</v>
      </c>
      <c r="CK77" s="192">
        <f t="array" ref="CK77">IF($BT77=0, INDEX(LS_current!$D$4:$AY$138, MATCH('Staging Table'!$A77, LS_current!$B$4:$B$138, 0), MATCH(CK$4&amp;CK$5, LS_current!$D$2:$AY$2&amp;LS_current!$D$3:$AY$3, 0)),SUM(VLOOKUP($A77, LS_current!$B$4:$AY$138, LS_current!P$148, FALSE), VLOOKUP($A77, LS_current!$B$4:$AY$138,LS_current!AN$148, FALSE))/2)</f>
        <v>5712.7402022695514</v>
      </c>
      <c r="CL77" s="192">
        <f t="array" ref="CL77">IF($BT77=0, INDEX(LS_current!$D$4:$AY$138, MATCH('Staging Table'!$A77, LS_current!$B$4:$B$138, 0), MATCH(CL$4&amp;CL$5, LS_current!$D$2:$AY$2&amp;LS_current!$D$3:$AY$3, 0)),SUM(VLOOKUP($A77, LS_current!$B$4:$AY$138, LS_current!Q$148, FALSE), VLOOKUP($A77, LS_current!$B$4:$AY$138,LS_current!AO$148, FALSE))/2)</f>
        <v>2668.2702169541762</v>
      </c>
      <c r="CM77" s="192">
        <f t="array" ref="CM77">IF($BT77=0, INDEX(LS_current!$D$4:$AY$138, MATCH('Staging Table'!$A77, LS_current!$B$4:$B$138, 0), MATCH(CM$4&amp;CM$5, LS_current!$D$2:$AY$2&amp;LS_current!$D$3:$AY$3, 0)),SUM(VLOOKUP($A77, LS_current!$B$4:$AY$138, LS_current!R$148, FALSE), VLOOKUP($A77, LS_current!$B$4:$AY$138,LS_current!AP$148, FALSE))/2)</f>
        <v>-2947.6154893736493</v>
      </c>
      <c r="CN77" s="192">
        <f t="array" ref="CN77">IF($BT77=0, INDEX(LS_current!$D$4:$AY$138, MATCH('Staging Table'!$A77, LS_current!$B$4:$B$138, 0), MATCH(CN$4&amp;CN$5, LS_current!$D$2:$AY$2&amp;LS_current!$D$3:$AY$3, 0)),SUM(VLOOKUP($A77, LS_current!$B$4:$AY$138, LS_current!S$148, FALSE), VLOOKUP($A77, LS_current!$B$4:$AY$138,LS_current!AQ$148, FALSE))/2)</f>
        <v>1014.3996409258307</v>
      </c>
      <c r="CO77" s="192">
        <f t="array" ref="CO77">IF($BT77=0, INDEX(LS_current!$D$4:$AY$138, MATCH('Staging Table'!$A77, LS_current!$B$4:$B$138, 0), MATCH(CO$4&amp;CO$5, LS_current!$D$2:$AY$2&amp;LS_current!$D$3:$AY$3, 0)),SUM(VLOOKUP($A77, LS_current!$B$4:$AY$138, LS_current!T$148, FALSE), VLOOKUP($A77, LS_current!$B$4:$AY$138,LS_current!AR$148, FALSE))/2)</f>
        <v>-2937.8030442642048</v>
      </c>
      <c r="CP77" s="192">
        <f t="array" ref="CP77">IF($BT77=0, INDEX(LS_current!$D$4:$AY$138, MATCH('Staging Table'!$A77, LS_current!$B$4:$B$138, 0), MATCH(CP$4&amp;CP$5, LS_current!$D$2:$AY$2&amp;LS_current!$D$3:$AY$3, 0)),SUM(VLOOKUP($A77, LS_current!$B$4:$AY$138, LS_current!U$148, FALSE), VLOOKUP($A77, LS_current!$B$4:$AY$138,LS_current!AS$148, FALSE))/2)</f>
        <v>1111.8210251304226</v>
      </c>
      <c r="CQ77" s="192">
        <f t="array" ref="CQ77">IF($BT77=0, INDEX(LS_current!$D$4:$AY$138, MATCH('Staging Table'!$A77, LS_current!$B$4:$B$138, 0), MATCH(CQ$4&amp;CQ$5, LS_current!$D$2:$AY$2&amp;LS_current!$D$3:$AY$3, 0)),SUM(VLOOKUP($A77, LS_current!$B$4:$AY$138, LS_current!V$148, FALSE), VLOOKUP($A77, LS_current!$B$4:$AY$138,LS_current!AT$148, FALSE))/2)</f>
        <v>2893.4971074307359</v>
      </c>
      <c r="CR77" s="192">
        <f t="array" ref="CR77">IF($BT77=0, INDEX(LS_current!$D$4:$AY$138, MATCH('Staging Table'!$A77, LS_current!$B$4:$B$138, 0), MATCH(CR$4&amp;CR$5, LS_current!$D$2:$AY$2&amp;LS_current!$D$3:$AY$3, 0)),SUM(VLOOKUP($A77, LS_current!$B$4:$AY$138, LS_current!W$148, FALSE), VLOOKUP($A77, LS_current!$B$4:$AY$138,LS_current!AU$148, FALSE))/2)</f>
        <v>4533.2243048006858</v>
      </c>
      <c r="CS77" s="192">
        <f t="array" ref="CS77">IF($BT77=0, INDEX(LS_current!$D$4:$AY$138, MATCH('Staging Table'!$A77, LS_current!$B$4:$B$138, 0), MATCH(CS$4&amp;CS$5, LS_current!$D$2:$AY$2&amp;LS_current!$D$3:$AY$3, 0)),SUM(VLOOKUP($A77, LS_current!$B$4:$AY$138, LS_current!X$148, FALSE), VLOOKUP($A77, LS_current!$B$4:$AY$138,LS_current!AV$148, FALSE))/2)</f>
        <v>5150.1092072564825</v>
      </c>
      <c r="CT77" s="192">
        <f t="array" ref="CT77">IF($BT77=0, INDEX(LS_current!$D$4:$AY$138, MATCH('Staging Table'!$A77, LS_current!$B$4:$B$138, 0), MATCH(CT$4&amp;CT$5, LS_current!$D$2:$AY$2&amp;LS_current!$D$3:$AY$3, 0)),SUM(VLOOKUP($A77, LS_current!$B$4:$AY$138, LS_current!Y$148, FALSE), VLOOKUP($A77, LS_current!$B$4:$AY$138,LS_current!AW$148, FALSE))/2)</f>
        <v>3883.1839145606082</v>
      </c>
      <c r="CU77" s="192">
        <f t="array" ref="CU77">IF($BT77=0, INDEX(LS_current!$D$4:$AY$138, MATCH('Staging Table'!$A77, LS_current!$B$4:$B$138, 0), MATCH(CU$4&amp;CU$5, LS_current!$D$2:$AY$2&amp;LS_current!$D$3:$AY$3, 0)),SUM(VLOOKUP($A77, LS_current!$B$4:$AY$138, LS_current!Z$148, FALSE), VLOOKUP($A77, LS_current!$B$4:$AY$138,LS_current!AX$148, FALSE))/2)</f>
        <v>3082.6902287860485</v>
      </c>
      <c r="CV77" s="192">
        <f t="array" ref="CV77">IF($BT77=0, INDEX(LS_current!$D$4:$AY$138, MATCH('Staging Table'!$A77, LS_current!$B$4:$B$138, 0), MATCH(CV$4&amp;CV$5, LS_current!$D$2:$AY$2&amp;LS_current!$D$3:$AY$3, 0)),SUM(VLOOKUP($A77, LS_current!$B$4:$AY$138, LS_current!AA$148, FALSE), VLOOKUP($A77, LS_current!$B$4:$AY$138,LS_current!AY$148, FALSE))/2)</f>
        <v>2548.2821990053635</v>
      </c>
      <c r="CW77" s="194">
        <f t="array" ref="CW77">INDEX(Demand_current!$D$4:$AY$138, MATCH($A77, Demand_current!$B$4:$B$138, 0), MATCH(CW$4&amp;CW$5,Demand_current!$D$2:$AY$2&amp;Demand_current!$D$3:$AY$3, 0))/1000</f>
        <v>0</v>
      </c>
      <c r="CX77" s="194">
        <f t="array" ref="CX77">INDEX(Demand_current!$D$4:$AY$138, MATCH($A77, Demand_current!$B$4:$B$138, 0), MATCH(CX$4&amp;CX$5,Demand_current!$D$2:$AY$2&amp;Demand_current!$D$3:$AY$3, 0))/1000</f>
        <v>0</v>
      </c>
      <c r="CY77" s="194">
        <f t="array" ref="CY77">INDEX(Demand_current!$D$4:$AY$138, MATCH($A77, Demand_current!$B$4:$B$138, 0), MATCH(CY$4&amp;CY$5,Demand_current!$D$2:$AY$2&amp;Demand_current!$D$3:$AY$3, 0))/1000</f>
        <v>0</v>
      </c>
      <c r="CZ77" s="194">
        <f t="array" ref="CZ77">INDEX(Demand_current!$D$4:$AY$138, MATCH($A77, Demand_current!$B$4:$B$138, 0), MATCH(CZ$4&amp;CZ$5,Demand_current!$D$2:$AY$2&amp;Demand_current!$D$3:$AY$3, 0))/1000</f>
        <v>0</v>
      </c>
      <c r="DA77" s="194">
        <f t="array" ref="DA77">INDEX(Demand_current!$D$4:$AY$138, MATCH($A77, Demand_current!$B$4:$B$138, 0), MATCH(DA$4&amp;DA$5,Demand_current!$D$2:$AY$2&amp;Demand_current!$D$3:$AY$3, 0))/1000</f>
        <v>5.5087786458333383</v>
      </c>
      <c r="DB77" s="194">
        <f t="array" ref="DB77">INDEX(Demand_current!$D$4:$AY$138, MATCH($A77, Demand_current!$B$4:$B$138, 0), MATCH(DB$4&amp;DB$5,Demand_current!$D$2:$AY$2&amp;Demand_current!$D$3:$AY$3, 0))/1000</f>
        <v>0</v>
      </c>
      <c r="DC77" s="194">
        <f t="array" ref="DC77">INDEX(Demand_current!$D$4:$AY$138, MATCH($A77, Demand_current!$B$4:$B$138, 0), MATCH(DC$4&amp;DC$5,Demand_current!$D$2:$AY$2&amp;Demand_current!$D$3:$AY$3, 0))/1000</f>
        <v>3.8738750000000124</v>
      </c>
      <c r="DD77" s="194">
        <f t="array" ref="DD77">INDEX(Demand_current!$D$4:$AY$138, MATCH($A77, Demand_current!$B$4:$B$138, 0), MATCH(DD$4&amp;DD$5,Demand_current!$D$2:$AY$2&amp;Demand_current!$D$3:$AY$3, 0))/1000</f>
        <v>0</v>
      </c>
      <c r="DE77" s="194">
        <f t="array" ref="DE77">INDEX(Demand_current!$D$4:$AY$138, MATCH($A77, Demand_current!$B$4:$B$138, 0), MATCH(DE$4&amp;DE$5,Demand_current!$D$2:$AY$2&amp;Demand_current!$D$3:$AY$3, 0))/1000</f>
        <v>1.6145504807692319</v>
      </c>
      <c r="DF77" s="194">
        <f t="array" ref="DF77">INDEX(Demand_current!$D$4:$AY$138, MATCH($A77, Demand_current!$B$4:$B$138, 0), MATCH(DF$4&amp;DF$5,Demand_current!$D$2:$AY$2&amp;Demand_current!$D$3:$AY$3, 0))/1000</f>
        <v>0</v>
      </c>
      <c r="DG77" s="194">
        <f t="array" ref="DG77">INDEX(Demand_current!$D$4:$AY$138, MATCH($A77, Demand_current!$B$4:$B$138, 0), MATCH(DG$4&amp;DG$5,Demand_current!$D$2:$AY$2&amp;Demand_current!$D$3:$AY$3, 0))/1000</f>
        <v>2.1238611111111183</v>
      </c>
      <c r="DH77" s="194">
        <f t="array" ref="DH77">INDEX(Demand_current!$D$4:$AY$138, MATCH($A77, Demand_current!$B$4:$B$138, 0), MATCH(DH$4&amp;DH$5,Demand_current!$D$2:$AY$2&amp;Demand_current!$D$3:$AY$3, 0))/1000</f>
        <v>0</v>
      </c>
      <c r="DI77" s="192">
        <f>$BS77*(VLOOKUP(DI$4, Rates_current!$G$6:$Q$29, 10, FALSE)+VLOOKUP(DI$4, Rates_current!$G$6:$Q$29, 11, FALSE))</f>
        <v>23639.877060622806</v>
      </c>
      <c r="DJ77" s="192">
        <f>$BS77*(VLOOKUP(DJ$4, Rates_current!$G$6:$Q$29, 10, FALSE)+VLOOKUP(DJ$4, Rates_current!$G$6:$Q$29, 11, FALSE))</f>
        <v>29928.942308927009</v>
      </c>
      <c r="DK77" s="192">
        <f>$BS77*(VLOOKUP(DK$4, Rates_current!$G$6:$Q$29, 10, FALSE)+VLOOKUP(DK$4, Rates_current!$G$6:$Q$29, 11, FALSE))</f>
        <v>29294.455220100059</v>
      </c>
      <c r="DL77" s="192">
        <f>$BS77*(VLOOKUP(DL$4, Rates_current!$G$6:$Q$29, 10, FALSE)+VLOOKUP(DL$4, Rates_current!$G$6:$Q$29, 11, FALSE))</f>
        <v>24195.974269725884</v>
      </c>
      <c r="DM77" s="192">
        <f>$BS77*(VLOOKUP(DM$4, Rates_current!$G$6:$Q$29, 10, FALSE)+VLOOKUP(DM$4, Rates_current!$G$6:$Q$29, 11, FALSE))</f>
        <v>20971.181204874614</v>
      </c>
      <c r="DN77" s="192">
        <f>$BS77*(VLOOKUP(DN$4, Rates_current!$G$6:$Q$29, 10, FALSE)+VLOOKUP(DN$4, Rates_current!$G$6:$Q$29, 11, FALSE))</f>
        <v>25035.355454080593</v>
      </c>
      <c r="DO77" s="192">
        <f>$BS77*(VLOOKUP(DO$4, Rates_current!$G$6:$Q$29, 10, FALSE)+VLOOKUP(DO$4, Rates_current!$G$6:$Q$29, 11, FALSE))</f>
        <v>19436.620580776271</v>
      </c>
      <c r="DP77" s="192">
        <f>$BS77*(VLOOKUP(DP$4, Rates_current!$G$6:$Q$29, 10, FALSE)+VLOOKUP(DP$4, Rates_current!$G$6:$Q$29, 11, FALSE))</f>
        <v>26929.580848447811</v>
      </c>
      <c r="DQ77" s="192">
        <f>$BS77*(VLOOKUP(DQ$4, Rates_current!$G$6:$Q$29, 10, FALSE)+VLOOKUP(DQ$4, Rates_current!$G$6:$Q$29, 11, FALSE))</f>
        <v>28774.821019133778</v>
      </c>
      <c r="DR77" s="192">
        <f>$BS77*(VLOOKUP(DR$4, Rates_current!$G$6:$Q$29, 10, FALSE)+VLOOKUP(DR$4, Rates_current!$G$6:$Q$29, 11, FALSE))</f>
        <v>27320.389587768583</v>
      </c>
      <c r="DS77" s="192">
        <f>$BS77*(VLOOKUP(DS$4, Rates_current!$G$6:$Q$29, 10, FALSE)+VLOOKUP(DS$4, Rates_current!$G$6:$Q$29, 11, FALSE))</f>
        <v>26403.048878182908</v>
      </c>
      <c r="DT77" s="192">
        <f>$BS77*(VLOOKUP(DT$4, Rates_current!$G$6:$Q$29, 10, FALSE)+VLOOKUP(DT$4, Rates_current!$G$6:$Q$29, 11, FALSE))</f>
        <v>24399.16957220859</v>
      </c>
      <c r="DU77" s="418">
        <f>IF(D77=0,IF(C77=0,MAX(0,DW77 - (VLOOKUP($A77,TOCA_current!$A$2:$AI$137,MATCH("RHWM 2022",TOCA_current!$A$2:$AI$2,0),FALSE)*$BS$2)), 0),0)</f>
        <v>75113.715670075093</v>
      </c>
      <c r="DV77" s="419">
        <f>MIN(VLOOKUP($A77,TOCA_current!$A$2:$AI$137,MATCH("TRL - NLSL - Existing Resource "&amp;$BS$1,TOCA_current!$A$2:$AI$2,0),FALSE)*$BS$2, VLOOKUP($A77,TOCA_current!$A$2:$AI$137,MATCH("RHWM 2022",TOCA_current!$A$2:$AI$2,0),FALSE)*$BS$2)</f>
        <v>306328.44</v>
      </c>
      <c r="DW77" s="419">
        <f>SUM(BY77:CV77)+(BS77*RT1SC!$C$4*$BS$2)</f>
        <v>381442.1556700751</v>
      </c>
      <c r="DX77" s="419">
        <f>VLOOKUP($A77,TOCA_current!$A$2:$AI$137,MATCH("Above RHWM Not Served with LS "&amp;$BS$1,TOCA_current!$A$2:$AI$2,0),FALSE)*$BS$2</f>
        <v>88292.040000000008</v>
      </c>
      <c r="DY77" s="419">
        <f t="shared" si="32"/>
        <v>75113.715670075093</v>
      </c>
      <c r="DZ77" s="419">
        <f>(VLOOKUP($A77,TOCA_current!$A$2:$AI$137,MATCH("RHWM 2022",TOCA_current!$A$2:$AI$2,0),FALSE)*$BS$2) - $DV77</f>
        <v>0</v>
      </c>
      <c r="EA77" s="419">
        <f t="shared" si="33"/>
        <v>0</v>
      </c>
      <c r="EB77" s="419">
        <f t="shared" si="34"/>
        <v>0</v>
      </c>
      <c r="EC77" s="419">
        <f t="shared" si="35"/>
        <v>0</v>
      </c>
      <c r="ED77" s="419">
        <f t="shared" si="36"/>
        <v>0</v>
      </c>
    </row>
    <row r="78" spans="1:134">
      <c r="A78" s="135">
        <v>10234</v>
      </c>
      <c r="B78" s="136" t="s">
        <v>79</v>
      </c>
      <c r="C78" s="244">
        <f>VLOOKUP(A78, TOCA_current!$A$3:$D$137, 4, FALSE)</f>
        <v>0</v>
      </c>
      <c r="D78" s="203">
        <v>0</v>
      </c>
      <c r="E78" s="119">
        <f>VLOOKUP($A78,TOCA_previous!$A$2:$AI$137,MATCH(E$4,TOCA_previous!$A$2:$AI$2,0),FALSE)</f>
        <v>7.2217000000000002E-3</v>
      </c>
      <c r="F78" s="120">
        <f>VLOOKUP($A78,TOCA_previous!$A$2:$AI$137,MATCH(F$4,TOCA_previous!$A$2:$AI$2,0),FALSE)</f>
        <v>7.2217000000000002E-3</v>
      </c>
      <c r="G78" s="120">
        <f t="shared" si="24"/>
        <v>0</v>
      </c>
      <c r="H78" s="120">
        <f>VLOOKUP($A78,TOCA_previous!$A$2:$AI$137,MATCH(H$4,TOCA_previous!$A$2:$AI$2,0),FALSE)</f>
        <v>5.4175126653393524E-2</v>
      </c>
      <c r="I78" s="120">
        <f t="shared" si="25"/>
        <v>0</v>
      </c>
      <c r="J78" s="120">
        <f t="shared" si="26"/>
        <v>0</v>
      </c>
      <c r="K78" s="191">
        <f>VLOOKUP(A78, IRD!$A$5:$C$139, 3, FALSE)</f>
        <v>0</v>
      </c>
      <c r="L78" s="192">
        <f t="array" ref="L78">IF($G78=0, INDEX(LS_previous!$D$4:$AY$138, MATCH('Staging Table'!$A78, LS_previous!$B$4:$B$138, 0), MATCH(L$4&amp;L$5, LS_previous!$D$2:$AY$2&amp;LS_previous!$D$3:$AY$3, 0)),SUM(VLOOKUP($A78, LS_previous!$B$4:$AY$138, LS_previous!D$149, FALSE), VLOOKUP('Staging Table'!$A78, LS_previous!$B$4:$AY$138,LS_previous!AB$149, FALSE))/2)</f>
        <v>1516.8804874804009</v>
      </c>
      <c r="M78" s="192">
        <f t="array" ref="M78">IF($G78=0, INDEX(LS_previous!$D$4:$AY$138, MATCH('Staging Table'!$A78, LS_previous!$B$4:$B$138, 0), MATCH(M$4&amp;M$5, LS_previous!$D$2:$AY$2&amp;LS_previous!$D$3:$AY$3, 0)),SUM(VLOOKUP($A78, LS_previous!$B$4:$AY$138, LS_previous!E$149, FALSE), VLOOKUP('Staging Table'!$A78, LS_previous!$B$4:$AY$138,LS_previous!AC$149, FALSE))/2)</f>
        <v>2342.7749181664003</v>
      </c>
      <c r="N78" s="192">
        <f t="array" ref="N78">IF($G78=0, INDEX(LS_previous!$D$4:$AY$138, MATCH('Staging Table'!$A78, LS_previous!$B$4:$B$138, 0), MATCH(N$4&amp;N$5, LS_previous!$D$2:$AY$2&amp;LS_previous!$D$3:$AY$3, 0)),SUM(VLOOKUP($A78, LS_previous!$B$4:$AY$138, LS_previous!F$149, FALSE), VLOOKUP('Staging Table'!$A78, LS_previous!$B$4:$AY$138,LS_previous!AD$149, FALSE))/2)</f>
        <v>-1440.3450769576011</v>
      </c>
      <c r="O78" s="192">
        <f t="array" ref="O78">IF($G78=0, INDEX(LS_previous!$D$4:$AY$138, MATCH('Staging Table'!$A78, LS_previous!$B$4:$B$138, 0), MATCH(O$4&amp;O$5, LS_previous!$D$2:$AY$2&amp;LS_previous!$D$3:$AY$3, 0)),SUM(VLOOKUP($A78, LS_previous!$B$4:$AY$138, LS_previous!G$149, FALSE), VLOOKUP('Staging Table'!$A78, LS_previous!$B$4:$AY$138,LS_previous!AE$149, FALSE))/2)</f>
        <v>816.44385487129875</v>
      </c>
      <c r="P78" s="192">
        <f t="array" ref="P78">IF($G78=0, INDEX(LS_previous!$D$4:$AY$138, MATCH('Staging Table'!$A78, LS_previous!$B$4:$B$138, 0), MATCH(P$4&amp;P$5, LS_previous!$D$2:$AY$2&amp;LS_previous!$D$3:$AY$3, 0)),SUM(VLOOKUP($A78, LS_previous!$B$4:$AY$138, LS_previous!H$149, FALSE), VLOOKUP('Staging Table'!$A78, LS_previous!$B$4:$AY$138,LS_previous!AF$149, FALSE))/2)</f>
        <v>7265.4964518175948</v>
      </c>
      <c r="Q78" s="192">
        <f t="array" ref="Q78">IF($G78=0, INDEX(LS_previous!$D$4:$AY$138, MATCH('Staging Table'!$A78, LS_previous!$B$4:$B$138, 0), MATCH(Q$4&amp;Q$5, LS_previous!$D$2:$AY$2&amp;LS_previous!$D$3:$AY$3, 0)),SUM(VLOOKUP($A78, LS_previous!$B$4:$AY$138, LS_previous!I$149, FALSE), VLOOKUP('Staging Table'!$A78, LS_previous!$B$4:$AY$138,LS_previous!AG$149, FALSE))/2)</f>
        <v>6613.0803127291965</v>
      </c>
      <c r="R78" s="192">
        <f t="array" ref="R78">IF($G78=0, INDEX(LS_previous!$D$4:$AY$138, MATCH('Staging Table'!$A78, LS_previous!$B$4:$B$138, 0), MATCH(R$4&amp;R$5, LS_previous!$D$2:$AY$2&amp;LS_previous!$D$3:$AY$3, 0)),SUM(VLOOKUP($A78, LS_previous!$B$4:$AY$138, LS_previous!J$149, FALSE), VLOOKUP('Staging Table'!$A78, LS_previous!$B$4:$AY$138,LS_previous!AH$149, FALSE))/2)</f>
        <v>10510.888061017598</v>
      </c>
      <c r="S78" s="192">
        <f t="array" ref="S78">IF($G78=0, INDEX(LS_previous!$D$4:$AY$138, MATCH('Staging Table'!$A78, LS_previous!$B$4:$B$138, 0), MATCH(S$4&amp;S$5, LS_previous!$D$2:$AY$2&amp;LS_previous!$D$3:$AY$3, 0)),SUM(VLOOKUP($A78, LS_previous!$B$4:$AY$138, LS_previous!K$149, FALSE), VLOOKUP('Staging Table'!$A78, LS_previous!$B$4:$AY$138,LS_previous!AI$149, FALSE))/2)</f>
        <v>10535.398825129201</v>
      </c>
      <c r="T78" s="192">
        <f t="array" ref="T78">IF($G78=0, INDEX(LS_previous!$D$4:$AY$138, MATCH('Staging Table'!$A78, LS_previous!$B$4:$B$138, 0), MATCH(T$4&amp;T$5, LS_previous!$D$2:$AY$2&amp;LS_previous!$D$3:$AY$3, 0)),SUM(VLOOKUP($A78, LS_previous!$B$4:$AY$138, LS_previous!L$149, FALSE), VLOOKUP('Staging Table'!$A78, LS_previous!$B$4:$AY$138,LS_previous!AJ$149, FALSE))/2)</f>
        <v>8503.9877496092013</v>
      </c>
      <c r="U78" s="192">
        <f t="array" ref="U78">IF($G78=0, INDEX(LS_previous!$D$4:$AY$138, MATCH('Staging Table'!$A78, LS_previous!$B$4:$B$138, 0), MATCH(U$4&amp;U$5, LS_previous!$D$2:$AY$2&amp;LS_previous!$D$3:$AY$3, 0)),SUM(VLOOKUP($A78, LS_previous!$B$4:$AY$138, LS_previous!M$149, FALSE), VLOOKUP('Staging Table'!$A78, LS_previous!$B$4:$AY$138,LS_previous!AK$149, FALSE))/2)</f>
        <v>6614.7294058308016</v>
      </c>
      <c r="V78" s="192">
        <f t="array" ref="V78">IF($G78=0, INDEX(LS_previous!$D$4:$AY$138, MATCH('Staging Table'!$A78, LS_previous!$B$4:$B$138, 0), MATCH(V$4&amp;V$5, LS_previous!$D$2:$AY$2&amp;LS_previous!$D$3:$AY$3, 0)),SUM(VLOOKUP($A78, LS_previous!$B$4:$AY$138, LS_previous!N$149, FALSE), VLOOKUP('Staging Table'!$A78, LS_previous!$B$4:$AY$138,LS_previous!AL$149, FALSE))/2)</f>
        <v>5970.4498389928012</v>
      </c>
      <c r="W78" s="192">
        <f t="array" ref="W78">IF($G78=0, INDEX(LS_previous!$D$4:$AY$138, MATCH('Staging Table'!$A78, LS_previous!$B$4:$B$138, 0), MATCH(W$4&amp;W$5, LS_previous!$D$2:$AY$2&amp;LS_previous!$D$3:$AY$3, 0)),SUM(VLOOKUP($A78, LS_previous!$B$4:$AY$138, LS_previous!O$149, FALSE), VLOOKUP('Staging Table'!$A78, LS_previous!$B$4:$AY$138,LS_previous!AM$149, FALSE))/2)</f>
        <v>4060.440866774301</v>
      </c>
      <c r="X78" s="192">
        <f t="array" ref="X78">IF($G78=0, INDEX(LS_previous!$D$4:$AY$138, MATCH('Staging Table'!$A78, LS_previous!$B$4:$B$138, 0), MATCH(X$4&amp;X$5, LS_previous!$D$2:$AY$2&amp;LS_previous!$D$3:$AY$3, 0)),SUM(VLOOKUP($A78, LS_previous!$B$4:$AY$138, LS_previous!P$149, FALSE), VLOOKUP('Staging Table'!$A78, LS_previous!$B$4:$AY$138,LS_previous!AN$149, FALSE))/2)</f>
        <v>5319.4380542551989</v>
      </c>
      <c r="Y78" s="192">
        <f t="array" ref="Y78">IF($G78=0, INDEX(LS_previous!$D$4:$AY$138, MATCH('Staging Table'!$A78, LS_previous!$B$4:$B$138, 0), MATCH(Y$4&amp;Y$5, LS_previous!$D$2:$AY$2&amp;LS_previous!$D$3:$AY$3, 0)),SUM(VLOOKUP($A78, LS_previous!$B$4:$AY$138, LS_previous!Q$149, FALSE), VLOOKUP('Staging Table'!$A78, LS_previous!$B$4:$AY$138,LS_previous!AO$149, FALSE))/2)</f>
        <v>3800.2795967287984</v>
      </c>
      <c r="Z78" s="192">
        <f t="array" ref="Z78">IF($G78=0, INDEX(LS_previous!$D$4:$AY$138, MATCH('Staging Table'!$A78, LS_previous!$B$4:$B$138, 0), MATCH(Z$4&amp;Z$5, LS_previous!$D$2:$AY$2&amp;LS_previous!$D$3:$AY$3, 0)),SUM(VLOOKUP($A78, LS_previous!$B$4:$AY$138, LS_previous!R$149, FALSE), VLOOKUP('Staging Table'!$A78, LS_previous!$B$4:$AY$138,LS_previous!AP$149, FALSE))/2)</f>
        <v>-5012.3476100700027</v>
      </c>
      <c r="AA78" s="192">
        <f t="array" ref="AA78">IF($G78=0, INDEX(LS_previous!$D$4:$AY$138, MATCH('Staging Table'!$A78, LS_previous!$B$4:$B$138, 0), MATCH(AA$4&amp;AA$5, LS_previous!$D$2:$AY$2&amp;LS_previous!$D$3:$AY$3, 0)),SUM(VLOOKUP($A78, LS_previous!$B$4:$AY$138, LS_previous!S$149, FALSE), VLOOKUP('Staging Table'!$A78, LS_previous!$B$4:$AY$138,LS_previous!AQ$149, FALSE))/2)</f>
        <v>-63.993231133197696</v>
      </c>
      <c r="AB78" s="192">
        <f t="array" ref="AB78">IF($G78=0, INDEX(LS_previous!$D$4:$AY$138, MATCH('Staging Table'!$A78, LS_previous!$B$4:$B$138, 0), MATCH(AB$4&amp;AB$5, LS_previous!$D$2:$AY$2&amp;LS_previous!$D$3:$AY$3, 0)),SUM(VLOOKUP($A78, LS_previous!$B$4:$AY$138, LS_previous!T$149, FALSE), VLOOKUP('Staging Table'!$A78, LS_previous!$B$4:$AY$138,LS_previous!AR$149, FALSE))/2)</f>
        <v>-9136.7300556947994</v>
      </c>
      <c r="AC78" s="192">
        <f t="array" ref="AC78">IF($G78=0, INDEX(LS_previous!$D$4:$AY$138, MATCH('Staging Table'!$A78, LS_previous!$B$4:$B$138, 0), MATCH(AC$4&amp;AC$5, LS_previous!$D$2:$AY$2&amp;LS_previous!$D$3:$AY$3, 0)),SUM(VLOOKUP($A78, LS_previous!$B$4:$AY$138, LS_previous!U$149, FALSE), VLOOKUP('Staging Table'!$A78, LS_previous!$B$4:$AY$138,LS_previous!AS$149, FALSE))/2)</f>
        <v>-4658.7676094712006</v>
      </c>
      <c r="AD78" s="192">
        <f t="array" ref="AD78">IF($G78=0, INDEX(LS_previous!$D$4:$AY$138, MATCH('Staging Table'!$A78, LS_previous!$B$4:$B$138, 0), MATCH(AD$4&amp;AD$5, LS_previous!$D$2:$AY$2&amp;LS_previous!$D$3:$AY$3, 0)),SUM(VLOOKUP($A78, LS_previous!$B$4:$AY$138, LS_previous!V$149, FALSE), VLOOKUP('Staging Table'!$A78, LS_previous!$B$4:$AY$138,LS_previous!AT$149, FALSE))/2)</f>
        <v>-765.60815419479695</v>
      </c>
      <c r="AE78" s="192">
        <f t="array" ref="AE78">IF($G78=0, INDEX(LS_previous!$D$4:$AY$138, MATCH('Staging Table'!$A78, LS_previous!$B$4:$B$138, 0), MATCH(AE$4&amp;AE$5, LS_previous!$D$2:$AY$2&amp;LS_previous!$D$3:$AY$3, 0)),SUM(VLOOKUP($A78, LS_previous!$B$4:$AY$138, LS_previous!W$149, FALSE), VLOOKUP('Staging Table'!$A78, LS_previous!$B$4:$AY$138,LS_previous!AU$149, FALSE))/2)</f>
        <v>4065.2740710416019</v>
      </c>
      <c r="AF78" s="192">
        <f t="array" ref="AF78">IF($G78=0, INDEX(LS_previous!$D$4:$AY$138, MATCH('Staging Table'!$A78, LS_previous!$B$4:$B$138, 0), MATCH(AF$4&amp;AF$5, LS_previous!$D$2:$AY$2&amp;LS_previous!$D$3:$AY$3, 0)),SUM(VLOOKUP($A78, LS_previous!$B$4:$AY$138, LS_previous!X$149, FALSE), VLOOKUP('Staging Table'!$A78, LS_previous!$B$4:$AY$138,LS_previous!AV$149, FALSE))/2)</f>
        <v>1106.0797916552001</v>
      </c>
      <c r="AG78" s="192">
        <f t="array" ref="AG78">IF($G78=0, INDEX(LS_previous!$D$4:$AY$138, MATCH('Staging Table'!$A78, LS_previous!$B$4:$B$138, 0), MATCH(AG$4&amp;AG$5, LS_previous!$D$2:$AY$2&amp;LS_previous!$D$3:$AY$3, 0)),SUM(VLOOKUP($A78, LS_previous!$B$4:$AY$138, LS_previous!Y$149, FALSE), VLOOKUP('Staging Table'!$A78, LS_previous!$B$4:$AY$138,LS_previous!AW$149, FALSE))/2)</f>
        <v>2605.3552550415989</v>
      </c>
      <c r="AH78" s="192">
        <f t="array" ref="AH78">IF($G78=0, INDEX(LS_previous!$D$4:$AY$138, MATCH('Staging Table'!$A78, LS_previous!$B$4:$B$138, 0), MATCH(AH$4&amp;AH$5, LS_previous!$D$2:$AY$2&amp;LS_previous!$D$3:$AY$3, 0)),SUM(VLOOKUP($A78, LS_previous!$B$4:$AY$138, LS_previous!Z$149, FALSE), VLOOKUP('Staging Table'!$A78, LS_previous!$B$4:$AY$138,LS_previous!AX$149, FALSE))/2)</f>
        <v>-936.90278752000086</v>
      </c>
      <c r="AI78" s="192">
        <f t="array" ref="AI78">IF($G78=0, INDEX(LS_previous!$D$4:$AY$138, MATCH('Staging Table'!$A78, LS_previous!$B$4:$B$138, 0), MATCH(AI$4&amp;AI$5, LS_previous!$D$2:$AY$2&amp;LS_previous!$D$3:$AY$3, 0)),SUM(VLOOKUP($A78, LS_previous!$B$4:$AY$138, LS_previous!AA$149, FALSE), VLOOKUP('Staging Table'!$A78, LS_previous!$B$4:$AY$138,LS_previous!AY$149, FALSE))/2)</f>
        <v>956.55027080400032</v>
      </c>
      <c r="AJ78" s="314">
        <f t="array" ref="AJ78">INDEX(Demand_previous!$D$4:$AY$138, MATCH('Staging Table'!$A78, Demand_previous!$B$4:$B$138, 0), MATCH(AJ$4&amp;AJ$5,Demand_previous!$D$2:$AY$2&amp;Demand_previous!$D$3:$AY$3, 0))/1000</f>
        <v>8.9334629629629525</v>
      </c>
      <c r="AK78" s="314">
        <f t="array" ref="AK78">INDEX(Demand_previous!$D$4:$AY$138, MATCH('Staging Table'!$A78, Demand_previous!$B$4:$B$138, 0), MATCH(AK$4&amp;AK$5,Demand_previous!$D$2:$AY$2&amp;Demand_previous!$D$3:$AY$3, 0))/1000</f>
        <v>3.0557499999999962</v>
      </c>
      <c r="AL78" s="314">
        <f t="array" ref="AL78">INDEX(Demand_previous!$D$4:$AY$138, MATCH('Staging Table'!$A78, Demand_previous!$B$4:$B$138, 0), MATCH(AL$4&amp;AL$5,Demand_previous!$D$2:$AY$2&amp;Demand_previous!$D$3:$AY$3, 0))/1000</f>
        <v>8.4458225000000056</v>
      </c>
      <c r="AM78" s="314">
        <f t="array" ref="AM78">INDEX(Demand_previous!$D$4:$AY$138, MATCH('Staging Table'!$A78, Demand_previous!$B$4:$B$138, 0), MATCH(AM$4&amp;AM$5,Demand_previous!$D$2:$AY$2&amp;Demand_previous!$D$3:$AY$3, 0))/1000</f>
        <v>14.090199519230772</v>
      </c>
      <c r="AN78" s="314">
        <f t="array" ref="AN78">INDEX(Demand_previous!$D$4:$AY$138, MATCH('Staging Table'!$A78, Demand_previous!$B$4:$B$138, 0), MATCH(AN$4&amp;AN$5,Demand_previous!$D$2:$AY$2&amp;Demand_previous!$D$3:$AY$3, 0))/1000</f>
        <v>10.705520000000011</v>
      </c>
      <c r="AO78" s="314">
        <f t="array" ref="AO78">INDEX(Demand_previous!$D$4:$AY$138, MATCH('Staging Table'!$A78, Demand_previous!$B$4:$B$138, 0), MATCH(AO$4&amp;AO$5,Demand_previous!$D$2:$AY$2&amp;Demand_previous!$D$3:$AY$3, 0))/1000</f>
        <v>9.7022548076923094</v>
      </c>
      <c r="AP78" s="314">
        <f t="array" ref="AP78">INDEX(Demand_previous!$D$4:$AY$138, MATCH('Staging Table'!$A78, Demand_previous!$B$4:$B$138, 0), MATCH(AP$4&amp;AP$5,Demand_previous!$D$2:$AY$2&amp;Demand_previous!$D$3:$AY$3, 0))/1000</f>
        <v>11.070617788461549</v>
      </c>
      <c r="AQ78" s="314">
        <f t="array" ref="AQ78">INDEX(Demand_previous!$D$4:$AY$138, MATCH('Staging Table'!$A78, Demand_previous!$B$4:$B$138, 0), MATCH(AQ$4&amp;AQ$5,Demand_previous!$D$2:$AY$2&amp;Demand_previous!$D$3:$AY$3, 0))/1000</f>
        <v>6.7461574999999954</v>
      </c>
      <c r="AR78" s="314">
        <f t="array" ref="AR78">INDEX(Demand_previous!$D$4:$AY$138, MATCH('Staging Table'!$A78, Demand_previous!$B$4:$B$138, 0), MATCH(AR$4&amp;AR$5,Demand_previous!$D$2:$AY$2&amp;Demand_previous!$D$3:$AY$3, 0))/1000</f>
        <v>12.339372596153845</v>
      </c>
      <c r="AS78" s="314">
        <f t="array" ref="AS78">INDEX(Demand_previous!$D$4:$AY$138, MATCH('Staging Table'!$A78, Demand_previous!$B$4:$B$138, 0), MATCH(AS$4&amp;AS$5,Demand_previous!$D$2:$AY$2&amp;Demand_previous!$D$3:$AY$3, 0))/1000</f>
        <v>19.321697115384616</v>
      </c>
      <c r="AT78" s="314">
        <f t="array" ref="AT78">INDEX(Demand_previous!$D$4:$AY$138, MATCH('Staging Table'!$A78, Demand_previous!$B$4:$B$138, 0), MATCH(AT$4&amp;AT$5,Demand_previous!$D$2:$AY$2&amp;Demand_previous!$D$3:$AY$3, 0))/1000</f>
        <v>16.104307692307703</v>
      </c>
      <c r="AU78" s="314">
        <f t="array" ref="AU78">INDEX(Demand_previous!$D$4:$AY$138, MATCH('Staging Table'!$A78, Demand_previous!$B$4:$B$138, 0), MATCH(AU$4&amp;AU$5,Demand_previous!$D$2:$AY$2&amp;Demand_previous!$D$3:$AY$3, 0))/1000</f>
        <v>10.594925</v>
      </c>
      <c r="AV78" s="192">
        <f>$F78*(VLOOKUP(AV$4, Rates_previous!$G$6:$Q$29, 10, FALSE)+VLOOKUP(AV$4, Rates_previous!$G$6:$Q$29, 11, FALSE))</f>
        <v>33344.879594353195</v>
      </c>
      <c r="AW78" s="192">
        <f>$F78*(VLOOKUP(AW$4, Rates_previous!$G$6:$Q$29, 10, FALSE)+VLOOKUP(AW$4, Rates_previous!$G$6:$Q$29, 11, FALSE))</f>
        <v>42358.3992220863</v>
      </c>
      <c r="AX78" s="192">
        <f>$F78*(VLOOKUP(AX$4, Rates_previous!$G$6:$Q$29, 10, FALSE)+VLOOKUP(AX$4, Rates_previous!$G$6:$Q$29, 11, FALSE))</f>
        <v>41846.864235453206</v>
      </c>
      <c r="AY78" s="192">
        <f>$F78*(VLOOKUP(AY$4, Rates_previous!$G$6:$Q$29, 10, FALSE)+VLOOKUP(AY$4, Rates_previous!$G$6:$Q$29, 11, FALSE))</f>
        <v>34881.910113853206</v>
      </c>
      <c r="AZ78" s="192">
        <f>$F78*(VLOOKUP(AZ$4, Rates_previous!$G$6:$Q$29, 10, FALSE)+VLOOKUP(AZ$4, Rates_previous!$G$6:$Q$29, 11, FALSE))</f>
        <v>31599.391844559999</v>
      </c>
      <c r="BA78" s="192">
        <f>$F78*(VLOOKUP(BA$4, Rates_previous!$G$6:$Q$29, 10, FALSE)+VLOOKUP(BA$4, Rates_previous!$G$6:$Q$29, 11, FALSE))</f>
        <v>35148.562294232899</v>
      </c>
      <c r="BB78" s="192">
        <f>$F78*(VLOOKUP(BB$4, Rates_previous!$G$6:$Q$29, 10, FALSE)+VLOOKUP(BB$4, Rates_previous!$G$6:$Q$29, 11, FALSE))</f>
        <v>28617.997349016001</v>
      </c>
      <c r="BC78" s="192">
        <f>$F78*(VLOOKUP(BC$4, Rates_previous!$G$6:$Q$29, 10, FALSE)+VLOOKUP(BC$4, Rates_previous!$G$6:$Q$29, 11, FALSE))</f>
        <v>38595.636841203202</v>
      </c>
      <c r="BD78" s="192">
        <f>$F78*(VLOOKUP(BD$4, Rates_previous!$G$6:$Q$29, 10, FALSE)+VLOOKUP(BD$4, Rates_previous!$G$6:$Q$29, 11, FALSE))</f>
        <v>49245.407665166007</v>
      </c>
      <c r="BE78" s="192">
        <f>$F78*(VLOOKUP(BE$4, Rates_previous!$G$6:$Q$29, 10, FALSE)+VLOOKUP(BE$4, Rates_previous!$G$6:$Q$29, 11, FALSE))</f>
        <v>38609.961083153205</v>
      </c>
      <c r="BF78" s="192">
        <f>$F78*(VLOOKUP(BF$4, Rates_previous!$G$6:$Q$29, 10, FALSE)+VLOOKUP(BF$4, Rates_previous!$G$6:$Q$29, 11, FALSE))</f>
        <v>37598.413953303207</v>
      </c>
      <c r="BG78" s="192">
        <f>$F78*(VLOOKUP(BG$4, Rates_previous!$G$6:$Q$29, 10, FALSE)+VLOOKUP(BG$4, Rates_previous!$G$6:$Q$29, 11, FALSE))</f>
        <v>33755.377516716006</v>
      </c>
      <c r="BH78" s="314">
        <f>IF($D78=0,IF(C78=0, MAX(BJ78 - (VLOOKUP($A78,TOCA_previous!$A$2:$AI$137,MATCH("RHWM 2020",TOCA_previous!$A$2:$AI$2,0),FALSE)*$F$2*TOCA_previous!C75),0),0), 0)</f>
        <v>60588.135725457163</v>
      </c>
      <c r="BI78" s="204">
        <f>MIN(VLOOKUP($A78,TOCA_previous!$A$2:$AI$137,MATCH("TRL - NLSL - Existing Resource "&amp;$F$1,TOCA_previous!$A$2:$AI$2,0),FALSE)*$F$2,(VLOOKUP($A78,TOCA_previous!$A$2:$AI$137,MATCH("RHWM 2020",TOCA_previous!$A$2:$AI$2,0),FALSE)*$F$2))</f>
        <v>445603.53600000002</v>
      </c>
      <c r="BJ78" s="418">
        <f>SUM(L78:AI78)+(F78*RT1SC!$C$3*$F$2)</f>
        <v>506191.67172545718</v>
      </c>
      <c r="BK78" s="417">
        <f>VLOOKUP($A78,TOCA_previous!$A$2:$AI$137,MATCH("Above RHWM Not Served with LS "&amp;$F$1,TOCA_previous!$A$2:$AI$2,0),FALSE)*$F$2</f>
        <v>37209.023999999998</v>
      </c>
      <c r="BL78" s="418">
        <f t="shared" si="27"/>
        <v>60588.135725457163</v>
      </c>
      <c r="BM78" s="417">
        <f>(VLOOKUP($A78,TOCA_previous!$A$2:$AI$137,MATCH("RHWM 2020",TOCA_previous!$A$2:$AI$2,0),FALSE)*$F$2) - $BI78</f>
        <v>0</v>
      </c>
      <c r="BN78" s="418">
        <f t="shared" si="28"/>
        <v>0</v>
      </c>
      <c r="BO78" s="417">
        <f t="shared" si="29"/>
        <v>0</v>
      </c>
      <c r="BP78" s="418">
        <f t="shared" si="30"/>
        <v>0</v>
      </c>
      <c r="BQ78" s="417">
        <f t="shared" si="21"/>
        <v>0</v>
      </c>
      <c r="BR78" s="120">
        <f>VLOOKUP($A78,TOCA_current!$A$2:$AI$137,MATCH(BR$4,TOCA_current!$A$2:$AI$2,0),FALSE)</f>
        <v>7.2217000000000002E-3</v>
      </c>
      <c r="BS78" s="120">
        <f>VLOOKUP($A78,TOCA_current!$A$2:$AI$137,MATCH(BS$4,TOCA_current!$A$2:$AI$2,0),FALSE)</f>
        <v>7.2217000000000002E-3</v>
      </c>
      <c r="BT78" s="201">
        <f t="shared" si="31"/>
        <v>0</v>
      </c>
      <c r="BU78" s="120">
        <f>VLOOKUP($A78,TOCA_current!A74:BG209,MATCH(BU$4,TOCA_current!$A$2:$BG$2,0),FALSE)</f>
        <v>6.6450419338924524E-2</v>
      </c>
      <c r="BV78" s="120">
        <f t="shared" si="22"/>
        <v>0</v>
      </c>
      <c r="BW78" s="120">
        <f t="shared" si="23"/>
        <v>0</v>
      </c>
      <c r="BX78" s="191">
        <f>VLOOKUP($A78,IRD!$A$4:$G$139, 7, FALSE)</f>
        <v>0</v>
      </c>
      <c r="BY78" s="192">
        <f t="array" ref="BY78">IF($BT78=0, INDEX(LS_current!$D$4:$AY$138, MATCH('Staging Table'!$A78, LS_current!$B$4:$B$138, 0), MATCH(BY$4&amp;BY$5, LS_current!$D$2:$AY$2&amp;LS_current!$D$3:$AY$3, 0)),SUM(VLOOKUP($A78, LS_current!$B$4:$AY$138, LS_current!D$148, FALSE), VLOOKUP($A78, LS_current!$B$4:$AY$138,LS_current!AB$148, FALSE))/2)</f>
        <v>-228.91905339601726</v>
      </c>
      <c r="BZ78" s="192">
        <f t="array" ref="BZ78">IF($BT78=0, INDEX(LS_current!$D$4:$AY$138, MATCH('Staging Table'!$A78, LS_current!$B$4:$B$138, 0), MATCH(BZ$4&amp;BZ$5, LS_current!$D$2:$AY$2&amp;LS_current!$D$3:$AY$3, 0)),SUM(VLOOKUP($A78, LS_current!$B$4:$AY$138, LS_current!E$148, FALSE), VLOOKUP($A78, LS_current!$B$4:$AY$138,LS_current!AC$148, FALSE))/2)</f>
        <v>162.73006397185964</v>
      </c>
      <c r="CA78" s="192">
        <f t="array" ref="CA78">IF($BT78=0, INDEX(LS_current!$D$4:$AY$138, MATCH('Staging Table'!$A78, LS_current!$B$4:$B$138, 0), MATCH(CA$4&amp;CA$5, LS_current!$D$2:$AY$2&amp;LS_current!$D$3:$AY$3, 0)),SUM(VLOOKUP($A78, LS_current!$B$4:$AY$138, LS_current!F$148, FALSE), VLOOKUP($A78, LS_current!$B$4:$AY$138,LS_current!AD$148, FALSE))/2)</f>
        <v>-2790.2786382006561</v>
      </c>
      <c r="CB78" s="192">
        <f t="array" ref="CB78">IF($BT78=0, INDEX(LS_current!$D$4:$AY$138, MATCH('Staging Table'!$A78, LS_current!$B$4:$B$138, 0), MATCH(CB$4&amp;CB$5, LS_current!$D$2:$AY$2&amp;LS_current!$D$3:$AY$3, 0)),SUM(VLOOKUP($A78, LS_current!$B$4:$AY$138, LS_current!G$148, FALSE), VLOOKUP($A78, LS_current!$B$4:$AY$138,LS_current!AE$148, FALSE))/2)</f>
        <v>-1359.5871185326341</v>
      </c>
      <c r="CC78" s="192">
        <f t="array" ref="CC78">IF($BT78=0, INDEX(LS_current!$D$4:$AY$138, MATCH('Staging Table'!$A78, LS_current!$B$4:$B$138, 0), MATCH(CC$4&amp;CC$5, LS_current!$D$2:$AY$2&amp;LS_current!$D$3:$AY$3, 0)),SUM(VLOOKUP($A78, LS_current!$B$4:$AY$138, LS_current!H$148, FALSE), VLOOKUP($A78, LS_current!$B$4:$AY$138,LS_current!AF$148, FALSE))/2)</f>
        <v>7451.7812647505743</v>
      </c>
      <c r="CD78" s="192">
        <f t="array" ref="CD78">IF($BT78=0, INDEX(LS_current!$D$4:$AY$138, MATCH('Staging Table'!$A78, LS_current!$B$4:$B$138, 0), MATCH(CD$4&amp;CD$5, LS_current!$D$2:$AY$2&amp;LS_current!$D$3:$AY$3, 0)),SUM(VLOOKUP($A78, LS_current!$B$4:$AY$138, LS_current!I$148, FALSE), VLOOKUP($A78, LS_current!$B$4:$AY$138,LS_current!AG$148, FALSE))/2)</f>
        <v>3136.4590656810105</v>
      </c>
      <c r="CE78" s="192">
        <f t="array" ref="CE78">IF($BT78=0, INDEX(LS_current!$D$4:$AY$138, MATCH('Staging Table'!$A78, LS_current!$B$4:$B$138, 0), MATCH(CE$4&amp;CE$5, LS_current!$D$2:$AY$2&amp;LS_current!$D$3:$AY$3, 0)),SUM(VLOOKUP($A78, LS_current!$B$4:$AY$138, LS_current!J$148, FALSE), VLOOKUP($A78, LS_current!$B$4:$AY$138,LS_current!AH$148, FALSE))/2)</f>
        <v>10995.003698505105</v>
      </c>
      <c r="CF78" s="192">
        <f t="array" ref="CF78">IF($BT78=0, INDEX(LS_current!$D$4:$AY$138, MATCH('Staging Table'!$A78, LS_current!$B$4:$B$138, 0), MATCH(CF$4&amp;CF$5, LS_current!$D$2:$AY$2&amp;LS_current!$D$3:$AY$3, 0)),SUM(VLOOKUP($A78, LS_current!$B$4:$AY$138, LS_current!K$148, FALSE), VLOOKUP($A78, LS_current!$B$4:$AY$138,LS_current!AI$148, FALSE))/2)</f>
        <v>6888.8438348154923</v>
      </c>
      <c r="CG78" s="192">
        <f t="array" ref="CG78">IF($BT78=0, INDEX(LS_current!$D$4:$AY$138, MATCH('Staging Table'!$A78, LS_current!$B$4:$B$138, 0), MATCH(CG$4&amp;CG$5, LS_current!$D$2:$AY$2&amp;LS_current!$D$3:$AY$3, 0)),SUM(VLOOKUP($A78, LS_current!$B$4:$AY$138, LS_current!L$148, FALSE), VLOOKUP($A78, LS_current!$B$4:$AY$138,LS_current!AJ$148, FALSE))/2)</f>
        <v>9298.3479483863193</v>
      </c>
      <c r="CH78" s="192">
        <f t="array" ref="CH78">IF($BT78=0, INDEX(LS_current!$D$4:$AY$138, MATCH('Staging Table'!$A78, LS_current!$B$4:$B$138, 0), MATCH(CH$4&amp;CH$5, LS_current!$D$2:$AY$2&amp;LS_current!$D$3:$AY$3, 0)),SUM(VLOOKUP($A78, LS_current!$B$4:$AY$138, LS_current!M$148, FALSE), VLOOKUP($A78, LS_current!$B$4:$AY$138,LS_current!AK$148, FALSE))/2)</f>
        <v>4387.5333458782916</v>
      </c>
      <c r="CI78" s="192">
        <f t="array" ref="CI78">IF($BT78=0, INDEX(LS_current!$D$4:$AY$138, MATCH('Staging Table'!$A78, LS_current!$B$4:$B$138, 0), MATCH(CI$4&amp;CI$5, LS_current!$D$2:$AY$2&amp;LS_current!$D$3:$AY$3, 0)),SUM(VLOOKUP($A78, LS_current!$B$4:$AY$138, LS_current!N$148, FALSE), VLOOKUP($A78, LS_current!$B$4:$AY$138,LS_current!AL$148, FALSE))/2)</f>
        <v>4316.0434788037383</v>
      </c>
      <c r="CJ78" s="192">
        <f t="array" ref="CJ78">IF($BT78=0, INDEX(LS_current!$D$4:$AY$138, MATCH('Staging Table'!$A78, LS_current!$B$4:$B$138, 0), MATCH(CJ$4&amp;CJ$5, LS_current!$D$2:$AY$2&amp;LS_current!$D$3:$AY$3, 0)),SUM(VLOOKUP($A78, LS_current!$B$4:$AY$138, LS_current!O$148, FALSE), VLOOKUP($A78, LS_current!$B$4:$AY$138,LS_current!AM$148, FALSE))/2)</f>
        <v>1657.2305505862114</v>
      </c>
      <c r="CK78" s="192">
        <f t="array" ref="CK78">IF($BT78=0, INDEX(LS_current!$D$4:$AY$138, MATCH('Staging Table'!$A78, LS_current!$B$4:$B$138, 0), MATCH(CK$4&amp;CK$5, LS_current!$D$2:$AY$2&amp;LS_current!$D$3:$AY$3, 0)),SUM(VLOOKUP($A78, LS_current!$B$4:$AY$138, LS_current!P$148, FALSE), VLOOKUP($A78, LS_current!$B$4:$AY$138,LS_current!AN$148, FALSE))/2)</f>
        <v>4213.5601400917003</v>
      </c>
      <c r="CL78" s="192">
        <f t="array" ref="CL78">IF($BT78=0, INDEX(LS_current!$D$4:$AY$138, MATCH('Staging Table'!$A78, LS_current!$B$4:$B$138, 0), MATCH(CL$4&amp;CL$5, LS_current!$D$2:$AY$2&amp;LS_current!$D$3:$AY$3, 0)),SUM(VLOOKUP($A78, LS_current!$B$4:$AY$138, LS_current!Q$148, FALSE), VLOOKUP($A78, LS_current!$B$4:$AY$138,LS_current!AO$148, FALSE))/2)</f>
        <v>2242.2810928469808</v>
      </c>
      <c r="CM78" s="192">
        <f t="array" ref="CM78">IF($BT78=0, INDEX(LS_current!$D$4:$AY$138, MATCH('Staging Table'!$A78, LS_current!$B$4:$B$138, 0), MATCH(CM$4&amp;CM$5, LS_current!$D$2:$AY$2&amp;LS_current!$D$3:$AY$3, 0)),SUM(VLOOKUP($A78, LS_current!$B$4:$AY$138, LS_current!R$148, FALSE), VLOOKUP($A78, LS_current!$B$4:$AY$138,LS_current!AP$148, FALSE))/2)</f>
        <v>-7568.6295536610123</v>
      </c>
      <c r="CN78" s="192">
        <f t="array" ref="CN78">IF($BT78=0, INDEX(LS_current!$D$4:$AY$138, MATCH('Staging Table'!$A78, LS_current!$B$4:$B$138, 0), MATCH(CN$4&amp;CN$5, LS_current!$D$2:$AY$2&amp;LS_current!$D$3:$AY$3, 0)),SUM(VLOOKUP($A78, LS_current!$B$4:$AY$138, LS_current!S$148, FALSE), VLOOKUP($A78, LS_current!$B$4:$AY$138,LS_current!AQ$148, FALSE))/2)</f>
        <v>-759.33401483807029</v>
      </c>
      <c r="CO78" s="192">
        <f t="array" ref="CO78">IF($BT78=0, INDEX(LS_current!$D$4:$AY$138, MATCH('Staging Table'!$A78, LS_current!$B$4:$B$138, 0), MATCH(CO$4&amp;CO$5, LS_current!$D$2:$AY$2&amp;LS_current!$D$3:$AY$3, 0)),SUM(VLOOKUP($A78, LS_current!$B$4:$AY$138, LS_current!T$148, FALSE), VLOOKUP($A78, LS_current!$B$4:$AY$138,LS_current!AR$148, FALSE))/2)</f>
        <v>-8174.282617241588</v>
      </c>
      <c r="CP78" s="192">
        <f t="array" ref="CP78">IF($BT78=0, INDEX(LS_current!$D$4:$AY$138, MATCH('Staging Table'!$A78, LS_current!$B$4:$B$138, 0), MATCH(CP$4&amp;CP$5, LS_current!$D$2:$AY$2&amp;LS_current!$D$3:$AY$3, 0)),SUM(VLOOKUP($A78, LS_current!$B$4:$AY$138, LS_current!U$148, FALSE), VLOOKUP($A78, LS_current!$B$4:$AY$138,LS_current!AS$148, FALSE))/2)</f>
        <v>-648.70079992980936</v>
      </c>
      <c r="CQ78" s="192">
        <f t="array" ref="CQ78">IF($BT78=0, INDEX(LS_current!$D$4:$AY$138, MATCH('Staging Table'!$A78, LS_current!$B$4:$B$138, 0), MATCH(CQ$4&amp;CQ$5, LS_current!$D$2:$AY$2&amp;LS_current!$D$3:$AY$3, 0)),SUM(VLOOKUP($A78, LS_current!$B$4:$AY$138, LS_current!V$148, FALSE), VLOOKUP($A78, LS_current!$B$4:$AY$138,LS_current!AT$148, FALSE))/2)</f>
        <v>-1791.0228956227875</v>
      </c>
      <c r="CR78" s="192">
        <f t="array" ref="CR78">IF($BT78=0, INDEX(LS_current!$D$4:$AY$138, MATCH('Staging Table'!$A78, LS_current!$B$4:$B$138, 0), MATCH(CR$4&amp;CR$5, LS_current!$D$2:$AY$2&amp;LS_current!$D$3:$AY$3, 0)),SUM(VLOOKUP($A78, LS_current!$B$4:$AY$138, LS_current!W$148, FALSE), VLOOKUP($A78, LS_current!$B$4:$AY$138,LS_current!AU$148, FALSE))/2)</f>
        <v>1309.7091280035256</v>
      </c>
      <c r="CS78" s="192">
        <f t="array" ref="CS78">IF($BT78=0, INDEX(LS_current!$D$4:$AY$138, MATCH('Staging Table'!$A78, LS_current!$B$4:$B$138, 0), MATCH(CS$4&amp;CS$5, LS_current!$D$2:$AY$2&amp;LS_current!$D$3:$AY$3, 0)),SUM(VLOOKUP($A78, LS_current!$B$4:$AY$138, LS_current!X$148, FALSE), VLOOKUP($A78, LS_current!$B$4:$AY$138,LS_current!AV$148, FALSE))/2)</f>
        <v>-477.92203023557158</v>
      </c>
      <c r="CT78" s="192">
        <f t="array" ref="CT78">IF($BT78=0, INDEX(LS_current!$D$4:$AY$138, MATCH('Staging Table'!$A78, LS_current!$B$4:$B$138, 0), MATCH(CT$4&amp;CT$5, LS_current!$D$2:$AY$2&amp;LS_current!$D$3:$AY$3, 0)),SUM(VLOOKUP($A78, LS_current!$B$4:$AY$138, LS_current!Y$148, FALSE), VLOOKUP($A78, LS_current!$B$4:$AY$138,LS_current!AW$148, FALSE))/2)</f>
        <v>673.00668041115568</v>
      </c>
      <c r="CU78" s="192">
        <f t="array" ref="CU78">IF($BT78=0, INDEX(LS_current!$D$4:$AY$138, MATCH('Staging Table'!$A78, LS_current!$B$4:$B$138, 0), MATCH(CU$4&amp;CU$5, LS_current!$D$2:$AY$2&amp;LS_current!$D$3:$AY$3, 0)),SUM(VLOOKUP($A78, LS_current!$B$4:$AY$138, LS_current!Z$148, FALSE), VLOOKUP($A78, LS_current!$B$4:$AY$138,LS_current!AX$148, FALSE))/2)</f>
        <v>-3339.1951195846377</v>
      </c>
      <c r="CV78" s="192">
        <f t="array" ref="CV78">IF($BT78=0, INDEX(LS_current!$D$4:$AY$138, MATCH('Staging Table'!$A78, LS_current!$B$4:$B$138, 0), MATCH(CV$4&amp;CV$5, LS_current!$D$2:$AY$2&amp;LS_current!$D$3:$AY$3, 0)),SUM(VLOOKUP($A78, LS_current!$B$4:$AY$138, LS_current!AA$148, FALSE), VLOOKUP($A78, LS_current!$B$4:$AY$138,LS_current!AY$148, FALSE))/2)</f>
        <v>-1071.4004547866462</v>
      </c>
      <c r="CW78" s="194">
        <f t="array" ref="CW78">INDEX(Demand_current!$D$4:$AY$138, MATCH($A78, Demand_current!$B$4:$B$138, 0), MATCH(CW$4&amp;CW$5,Demand_current!$D$2:$AY$2&amp;Demand_current!$D$3:$AY$3, 0))/1000</f>
        <v>6.7007884615384548</v>
      </c>
      <c r="CX78" s="194">
        <f t="array" ref="CX78">INDEX(Demand_current!$D$4:$AY$138, MATCH($A78, Demand_current!$B$4:$B$138, 0), MATCH(CX$4&amp;CX$5,Demand_current!$D$2:$AY$2&amp;Demand_current!$D$3:$AY$3, 0))/1000</f>
        <v>3.0557499999999962</v>
      </c>
      <c r="CY78" s="194">
        <f t="array" ref="CY78">INDEX(Demand_current!$D$4:$AY$138, MATCH($A78, Demand_current!$B$4:$B$138, 0), MATCH(CY$4&amp;CY$5,Demand_current!$D$2:$AY$2&amp;Demand_current!$D$3:$AY$3, 0))/1000</f>
        <v>11.806098557692309</v>
      </c>
      <c r="CZ78" s="194">
        <f t="array" ref="CZ78">INDEX(Demand_current!$D$4:$AY$138, MATCH($A78, Demand_current!$B$4:$B$138, 0), MATCH(CZ$4&amp;CZ$5,Demand_current!$D$2:$AY$2&amp;Demand_current!$D$3:$AY$3, 0))/1000</f>
        <v>10.802207500000002</v>
      </c>
      <c r="DA78" s="194">
        <f t="array" ref="DA78">INDEX(Demand_current!$D$4:$AY$138, MATCH($A78, Demand_current!$B$4:$B$138, 0), MATCH(DA$4&amp;DA$5,Demand_current!$D$2:$AY$2&amp;Demand_current!$D$3:$AY$3, 0))/1000</f>
        <v>7.5664999999999942</v>
      </c>
      <c r="DB78" s="194">
        <f t="array" ref="DB78">INDEX(Demand_current!$D$4:$AY$138, MATCH($A78, Demand_current!$B$4:$B$138, 0), MATCH(DB$4&amp;DB$5,Demand_current!$D$2:$AY$2&amp;Demand_current!$D$3:$AY$3, 0))/1000</f>
        <v>12.380393518518513</v>
      </c>
      <c r="DC78" s="194">
        <f t="array" ref="DC78">INDEX(Demand_current!$D$4:$AY$138, MATCH($A78, Demand_current!$B$4:$B$138, 0), MATCH(DC$4&amp;DC$5,Demand_current!$D$2:$AY$2&amp;Demand_current!$D$3:$AY$3, 0))/1000</f>
        <v>11.070617788461549</v>
      </c>
      <c r="DD78" s="194">
        <f t="array" ref="DD78">INDEX(Demand_current!$D$4:$AY$138, MATCH($A78, Demand_current!$B$4:$B$138, 0), MATCH(DD$4&amp;DD$5,Demand_current!$D$2:$AY$2&amp;Demand_current!$D$3:$AY$3, 0))/1000</f>
        <v>6.7461574999999954</v>
      </c>
      <c r="DE78" s="194">
        <f t="array" ref="DE78">INDEX(Demand_current!$D$4:$AY$138, MATCH($A78, Demand_current!$B$4:$B$138, 0), MATCH(DE$4&amp;DE$5,Demand_current!$D$2:$AY$2&amp;Demand_current!$D$3:$AY$3, 0))/1000</f>
        <v>12.339372596153845</v>
      </c>
      <c r="DF78" s="194">
        <f t="array" ref="DF78">INDEX(Demand_current!$D$4:$AY$138, MATCH($A78, Demand_current!$B$4:$B$138, 0), MATCH(DF$4&amp;DF$5,Demand_current!$D$2:$AY$2&amp;Demand_current!$D$3:$AY$3, 0))/1000</f>
        <v>16.670285</v>
      </c>
      <c r="DG78" s="194">
        <f t="array" ref="DG78">INDEX(Demand_current!$D$4:$AY$138, MATCH($A78, Demand_current!$B$4:$B$138, 0), MATCH(DG$4&amp;DG$5,Demand_current!$D$2:$AY$2&amp;Demand_current!$D$3:$AY$3, 0))/1000</f>
        <v>18.653592592592606</v>
      </c>
      <c r="DH78" s="194">
        <f t="array" ref="DH78">INDEX(Demand_current!$D$4:$AY$138, MATCH($A78, Demand_current!$B$4:$B$138, 0), MATCH(DH$4&amp;DH$5,Demand_current!$D$2:$AY$2&amp;Demand_current!$D$3:$AY$3, 0))/1000</f>
        <v>10.594925</v>
      </c>
      <c r="DI78" s="192">
        <f>$BS78*(VLOOKUP(DI$4, Rates_current!$G$6:$Q$29, 10, FALSE)+VLOOKUP(DI$4, Rates_current!$G$6:$Q$29, 11, FALSE))</f>
        <v>32887.075989424156</v>
      </c>
      <c r="DJ78" s="192">
        <f>$BS78*(VLOOKUP(DJ$4, Rates_current!$G$6:$Q$29, 10, FALSE)+VLOOKUP(DJ$4, Rates_current!$G$6:$Q$29, 11, FALSE))</f>
        <v>41636.231756733294</v>
      </c>
      <c r="DK78" s="192">
        <f>$BS78*(VLOOKUP(DK$4, Rates_current!$G$6:$Q$29, 10, FALSE)+VLOOKUP(DK$4, Rates_current!$G$6:$Q$29, 11, FALSE))</f>
        <v>40753.552669568417</v>
      </c>
      <c r="DL78" s="192">
        <f>$BS78*(VLOOKUP(DL$4, Rates_current!$G$6:$Q$29, 10, FALSE)+VLOOKUP(DL$4, Rates_current!$G$6:$Q$29, 11, FALSE))</f>
        <v>33660.701466679406</v>
      </c>
      <c r="DM78" s="192">
        <f>$BS78*(VLOOKUP(DM$4, Rates_current!$G$6:$Q$29, 10, FALSE)+VLOOKUP(DM$4, Rates_current!$G$6:$Q$29, 11, FALSE))</f>
        <v>29174.467705735395</v>
      </c>
      <c r="DN78" s="192">
        <f>$BS78*(VLOOKUP(DN$4, Rates_current!$G$6:$Q$29, 10, FALSE)+VLOOKUP(DN$4, Rates_current!$G$6:$Q$29, 11, FALSE))</f>
        <v>34828.422970610045</v>
      </c>
      <c r="DO78" s="192">
        <f>$BS78*(VLOOKUP(DO$4, Rates_current!$G$6:$Q$29, 10, FALSE)+VLOOKUP(DO$4, Rates_current!$G$6:$Q$29, 11, FALSE))</f>
        <v>27039.633767061317</v>
      </c>
      <c r="DP78" s="192">
        <f>$BS78*(VLOOKUP(DP$4, Rates_current!$G$6:$Q$29, 10, FALSE)+VLOOKUP(DP$4, Rates_current!$G$6:$Q$29, 11, FALSE))</f>
        <v>37463.61156849908</v>
      </c>
      <c r="DQ78" s="192">
        <f>$BS78*(VLOOKUP(DQ$4, Rates_current!$G$6:$Q$29, 10, FALSE)+VLOOKUP(DQ$4, Rates_current!$G$6:$Q$29, 11, FALSE))</f>
        <v>40030.653417171394</v>
      </c>
      <c r="DR78" s="192">
        <f>$BS78*(VLOOKUP(DR$4, Rates_current!$G$6:$Q$29, 10, FALSE)+VLOOKUP(DR$4, Rates_current!$G$6:$Q$29, 11, FALSE))</f>
        <v>38007.29276761927</v>
      </c>
      <c r="DS78" s="192">
        <f>$BS78*(VLOOKUP(DS$4, Rates_current!$G$6:$Q$29, 10, FALSE)+VLOOKUP(DS$4, Rates_current!$G$6:$Q$29, 11, FALSE))</f>
        <v>36731.116349824413</v>
      </c>
      <c r="DT78" s="192">
        <f>$BS78*(VLOOKUP(DT$4, Rates_current!$G$6:$Q$29, 10, FALSE)+VLOOKUP(DT$4, Rates_current!$G$6:$Q$29, 11, FALSE))</f>
        <v>33943.380574371287</v>
      </c>
      <c r="DU78" s="418">
        <f>IF(D78=0,IF(C78=0,MAX(0,DW78 - (VLOOKUP($A78,TOCA_current!$A$2:$AI$137,MATCH("RHWM 2022",TOCA_current!$A$2:$AI$2,0),FALSE)*$BS$2)), 0),0)</f>
        <v>28522.940799730539</v>
      </c>
      <c r="DV78" s="419">
        <f>MIN(VLOOKUP($A78,TOCA_current!$A$2:$AI$137,MATCH("TRL - NLSL - Existing Resource "&amp;$BS$1,TOCA_current!$A$2:$AI$2,0),FALSE)*$BS$2, VLOOKUP($A78,TOCA_current!$A$2:$AI$137,MATCH("RHWM 2022",TOCA_current!$A$2:$AI$2,0),FALSE)*$BS$2)</f>
        <v>426156.48000000004</v>
      </c>
      <c r="DW78" s="419">
        <f>SUM(BY78:CV78)+(BS78*RT1SC!$C$4*$BS$2)</f>
        <v>454679.42079973058</v>
      </c>
      <c r="DX78" s="419">
        <f>VLOOKUP($A78,TOCA_current!$A$2:$AI$137,MATCH("Above RHWM Not Served with LS "&amp;$BS$1,TOCA_current!$A$2:$AI$2,0),FALSE)*$BS$2</f>
        <v>88721.279999999999</v>
      </c>
      <c r="DY78" s="419">
        <f t="shared" si="32"/>
        <v>28522.940799730539</v>
      </c>
      <c r="DZ78" s="419">
        <f>(VLOOKUP($A78,TOCA_current!$A$2:$AI$137,MATCH("RHWM 2022",TOCA_current!$A$2:$AI$2,0),FALSE)*$BS$2) - $DV78</f>
        <v>0</v>
      </c>
      <c r="EA78" s="419">
        <f t="shared" si="33"/>
        <v>0</v>
      </c>
      <c r="EB78" s="419">
        <f t="shared" si="34"/>
        <v>0</v>
      </c>
      <c r="EC78" s="419">
        <f t="shared" si="35"/>
        <v>0</v>
      </c>
      <c r="ED78" s="419">
        <f t="shared" si="36"/>
        <v>0</v>
      </c>
    </row>
    <row r="79" spans="1:134">
      <c r="A79" s="135">
        <v>10235</v>
      </c>
      <c r="B79" s="136" t="s">
        <v>80</v>
      </c>
      <c r="C79" s="244">
        <f>VLOOKUP(A79, TOCA_current!$A$3:$D$137, 4, FALSE)</f>
        <v>0</v>
      </c>
      <c r="D79" s="203">
        <v>0</v>
      </c>
      <c r="E79" s="119">
        <f>VLOOKUP($A79,TOCA_previous!$A$2:$AI$137,MATCH(E$4,TOCA_previous!$A$2:$AI$2,0),FALSE)</f>
        <v>4.4745000000000002E-3</v>
      </c>
      <c r="F79" s="120">
        <f>VLOOKUP($A79,TOCA_previous!$A$2:$AI$137,MATCH(F$4,TOCA_previous!$A$2:$AI$2,0),FALSE)</f>
        <v>4.4745000000000002E-3</v>
      </c>
      <c r="G79" s="120">
        <f t="shared" si="24"/>
        <v>0</v>
      </c>
      <c r="H79" s="120">
        <f>VLOOKUP($A79,TOCA_previous!$A$2:$AI$137,MATCH(H$4,TOCA_previous!$A$2:$AI$2,0),FALSE)</f>
        <v>0</v>
      </c>
      <c r="I79" s="120">
        <f t="shared" si="25"/>
        <v>0</v>
      </c>
      <c r="J79" s="120">
        <f t="shared" si="26"/>
        <v>0</v>
      </c>
      <c r="K79" s="191">
        <f>VLOOKUP(A79, IRD!$A$5:$C$139, 3, FALSE)</f>
        <v>0</v>
      </c>
      <c r="L79" s="192">
        <f t="array" ref="L79">IF($G79=0, INDEX(LS_previous!$D$4:$AY$138, MATCH('Staging Table'!$A79, LS_previous!$B$4:$B$138, 0), MATCH(L$4&amp;L$5, LS_previous!$D$2:$AY$2&amp;LS_previous!$D$3:$AY$3, 0)),SUM(VLOOKUP($A79, LS_previous!$B$4:$AY$138, LS_previous!D$149, FALSE), VLOOKUP('Staging Table'!$A79, LS_previous!$B$4:$AY$138,LS_previous!AB$149, FALSE))/2)</f>
        <v>-259.2660786059987</v>
      </c>
      <c r="M79" s="192">
        <f t="array" ref="M79">IF($G79=0, INDEX(LS_previous!$D$4:$AY$138, MATCH('Staging Table'!$A79, LS_previous!$B$4:$B$138, 0), MATCH(M$4&amp;M$5, LS_previous!$D$2:$AY$2&amp;LS_previous!$D$3:$AY$3, 0)),SUM(VLOOKUP($A79, LS_previous!$B$4:$AY$138, LS_previous!E$149, FALSE), VLOOKUP('Staging Table'!$A79, LS_previous!$B$4:$AY$138,LS_previous!AC$149, FALSE))/2)</f>
        <v>915.62428510400059</v>
      </c>
      <c r="N79" s="192">
        <f t="array" ref="N79">IF($G79=0, INDEX(LS_previous!$D$4:$AY$138, MATCH('Staging Table'!$A79, LS_previous!$B$4:$B$138, 0), MATCH(N$4&amp;N$5, LS_previous!$D$2:$AY$2&amp;LS_previous!$D$3:$AY$3, 0)),SUM(VLOOKUP($A79, LS_previous!$B$4:$AY$138, LS_previous!F$149, FALSE), VLOOKUP('Staging Table'!$A79, LS_previous!$B$4:$AY$138,LS_previous!AD$149, FALSE))/2)</f>
        <v>-1609.8500040359995</v>
      </c>
      <c r="O79" s="192">
        <f t="array" ref="O79">IF($G79=0, INDEX(LS_previous!$D$4:$AY$138, MATCH('Staging Table'!$A79, LS_previous!$B$4:$B$138, 0), MATCH(O$4&amp;O$5, LS_previous!$D$2:$AY$2&amp;LS_previous!$D$3:$AY$3, 0)),SUM(VLOOKUP($A79, LS_previous!$B$4:$AY$138, LS_previous!G$149, FALSE), VLOOKUP('Staging Table'!$A79, LS_previous!$B$4:$AY$138,LS_previous!AE$149, FALSE))/2)</f>
        <v>-323.03302386950054</v>
      </c>
      <c r="P79" s="192">
        <f t="array" ref="P79">IF($G79=0, INDEX(LS_previous!$D$4:$AY$138, MATCH('Staging Table'!$A79, LS_previous!$B$4:$B$138, 0), MATCH(P$4&amp;P$5, LS_previous!$D$2:$AY$2&amp;LS_previous!$D$3:$AY$3, 0)),SUM(VLOOKUP($A79, LS_previous!$B$4:$AY$138, LS_previous!H$149, FALSE), VLOOKUP('Staging Table'!$A79, LS_previous!$B$4:$AY$138,LS_previous!AF$149, FALSE))/2)</f>
        <v>855.94762113599609</v>
      </c>
      <c r="Q79" s="192">
        <f t="array" ref="Q79">IF($G79=0, INDEX(LS_previous!$D$4:$AY$138, MATCH('Staging Table'!$A79, LS_previous!$B$4:$B$138, 0), MATCH(Q$4&amp;Q$5, LS_previous!$D$2:$AY$2&amp;LS_previous!$D$3:$AY$3, 0)),SUM(VLOOKUP($A79, LS_previous!$B$4:$AY$138, LS_previous!I$149, FALSE), VLOOKUP('Staging Table'!$A79, LS_previous!$B$4:$AY$138,LS_previous!AG$149, FALSE))/2)</f>
        <v>993.57080186199892</v>
      </c>
      <c r="R79" s="192">
        <f t="array" ref="R79">IF($G79=0, INDEX(LS_previous!$D$4:$AY$138, MATCH('Staging Table'!$A79, LS_previous!$B$4:$B$138, 0), MATCH(R$4&amp;R$5, LS_previous!$D$2:$AY$2&amp;LS_previous!$D$3:$AY$3, 0)),SUM(VLOOKUP($A79, LS_previous!$B$4:$AY$138, LS_previous!J$149, FALSE), VLOOKUP('Staging Table'!$A79, LS_previous!$B$4:$AY$138,LS_previous!AH$149, FALSE))/2)</f>
        <v>3332.6122831359971</v>
      </c>
      <c r="S79" s="192">
        <f t="array" ref="S79">IF($G79=0, INDEX(LS_previous!$D$4:$AY$138, MATCH('Staging Table'!$A79, LS_previous!$B$4:$B$138, 0), MATCH(S$4&amp;S$5, LS_previous!$D$2:$AY$2&amp;LS_previous!$D$3:$AY$3, 0)),SUM(VLOOKUP($A79, LS_previous!$B$4:$AY$138, LS_previous!K$149, FALSE), VLOOKUP('Staging Table'!$A79, LS_previous!$B$4:$AY$138,LS_previous!AI$149, FALSE))/2)</f>
        <v>3864.5287158619994</v>
      </c>
      <c r="T79" s="192">
        <f t="array" ref="T79">IF($G79=0, INDEX(LS_previous!$D$4:$AY$138, MATCH('Staging Table'!$A79, LS_previous!$B$4:$B$138, 0), MATCH(T$4&amp;T$5, LS_previous!$D$2:$AY$2&amp;LS_previous!$D$3:$AY$3, 0)),SUM(VLOOKUP($A79, LS_previous!$B$4:$AY$138, LS_previous!L$149, FALSE), VLOOKUP('Staging Table'!$A79, LS_previous!$B$4:$AY$138,LS_previous!AJ$149, FALSE))/2)</f>
        <v>2873.4451686619996</v>
      </c>
      <c r="U79" s="192">
        <f t="array" ref="U79">IF($G79=0, INDEX(LS_previous!$D$4:$AY$138, MATCH('Staging Table'!$A79, LS_previous!$B$4:$B$138, 0), MATCH(U$4&amp;U$5, LS_previous!$D$2:$AY$2&amp;LS_previous!$D$3:$AY$3, 0)),SUM(VLOOKUP($A79, LS_previous!$B$4:$AY$138, LS_previous!M$149, FALSE), VLOOKUP('Staging Table'!$A79, LS_previous!$B$4:$AY$138,LS_previous!AK$149, FALSE))/2)</f>
        <v>2059.4694597379994</v>
      </c>
      <c r="V79" s="192">
        <f t="array" ref="V79">IF($G79=0, INDEX(LS_previous!$D$4:$AY$138, MATCH('Staging Table'!$A79, LS_previous!$B$4:$B$138, 0), MATCH(V$4&amp;V$5, LS_previous!$D$2:$AY$2&amp;LS_previous!$D$3:$AY$3, 0)),SUM(VLOOKUP($A79, LS_previous!$B$4:$AY$138, LS_previous!N$149, FALSE), VLOOKUP('Staging Table'!$A79, LS_previous!$B$4:$AY$138,LS_previous!AL$149, FALSE))/2)</f>
        <v>1152.5199703080016</v>
      </c>
      <c r="W79" s="192">
        <f t="array" ref="W79">IF($G79=0, INDEX(LS_previous!$D$4:$AY$138, MATCH('Staging Table'!$A79, LS_previous!$B$4:$B$138, 0), MATCH(W$4&amp;W$5, LS_previous!$D$2:$AY$2&amp;LS_previous!$D$3:$AY$3, 0)),SUM(VLOOKUP($A79, LS_previous!$B$4:$AY$138, LS_previous!O$149, FALSE), VLOOKUP('Staging Table'!$A79, LS_previous!$B$4:$AY$138,LS_previous!AM$149, FALSE))/2)</f>
        <v>762.76074958549907</v>
      </c>
      <c r="X79" s="192">
        <f t="array" ref="X79">IF($G79=0, INDEX(LS_previous!$D$4:$AY$138, MATCH('Staging Table'!$A79, LS_previous!$B$4:$B$138, 0), MATCH(X$4&amp;X$5, LS_previous!$D$2:$AY$2&amp;LS_previous!$D$3:$AY$3, 0)),SUM(VLOOKUP($A79, LS_previous!$B$4:$AY$138, LS_previous!P$149, FALSE), VLOOKUP('Staging Table'!$A79, LS_previous!$B$4:$AY$138,LS_previous!AN$149, FALSE))/2)</f>
        <v>1718.4430629719991</v>
      </c>
      <c r="Y79" s="192">
        <f t="array" ref="Y79">IF($G79=0, INDEX(LS_previous!$D$4:$AY$138, MATCH('Staging Table'!$A79, LS_previous!$B$4:$B$138, 0), MATCH(Y$4&amp;Y$5, LS_previous!$D$2:$AY$2&amp;LS_previous!$D$3:$AY$3, 0)),SUM(VLOOKUP($A79, LS_previous!$B$4:$AY$138, LS_previous!Q$149, FALSE), VLOOKUP('Staging Table'!$A79, LS_previous!$B$4:$AY$138,LS_previous!AO$149, FALSE))/2)</f>
        <v>976.16362826799923</v>
      </c>
      <c r="Z79" s="192">
        <f t="array" ref="Z79">IF($G79=0, INDEX(LS_previous!$D$4:$AY$138, MATCH('Staging Table'!$A79, LS_previous!$B$4:$B$138, 0), MATCH(Z$4&amp;Z$5, LS_previous!$D$2:$AY$2&amp;LS_previous!$D$3:$AY$3, 0)),SUM(VLOOKUP($A79, LS_previous!$B$4:$AY$138, LS_previous!R$149, FALSE), VLOOKUP('Staging Table'!$A79, LS_previous!$B$4:$AY$138,LS_previous!AP$149, FALSE))/2)</f>
        <v>-4364.9327289500015</v>
      </c>
      <c r="AA79" s="192">
        <f t="array" ref="AA79">IF($G79=0, INDEX(LS_previous!$D$4:$AY$138, MATCH('Staging Table'!$A79, LS_previous!$B$4:$B$138, 0), MATCH(AA$4&amp;AA$5, LS_previous!$D$2:$AY$2&amp;LS_previous!$D$3:$AY$3, 0)),SUM(VLOOKUP($A79, LS_previous!$B$4:$AY$138, LS_previous!S$149, FALSE), VLOOKUP('Staging Table'!$A79, LS_previous!$B$4:$AY$138,LS_previous!AQ$149, FALSE))/2)</f>
        <v>-923.07676180199996</v>
      </c>
      <c r="AB79" s="192">
        <f t="array" ref="AB79">IF($G79=0, INDEX(LS_previous!$D$4:$AY$138, MATCH('Staging Table'!$A79, LS_previous!$B$4:$B$138, 0), MATCH(AB$4&amp;AB$5, LS_previous!$D$2:$AY$2&amp;LS_previous!$D$3:$AY$3, 0)),SUM(VLOOKUP($A79, LS_previous!$B$4:$AY$138, LS_previous!T$149, FALSE), VLOOKUP('Staging Table'!$A79, LS_previous!$B$4:$AY$138,LS_previous!AR$149, FALSE))/2)</f>
        <v>-8283.1720877780026</v>
      </c>
      <c r="AC79" s="192">
        <f t="array" ref="AC79">IF($G79=0, INDEX(LS_previous!$D$4:$AY$138, MATCH('Staging Table'!$A79, LS_previous!$B$4:$B$138, 0), MATCH(AC$4&amp;AC$5, LS_previous!$D$2:$AY$2&amp;LS_previous!$D$3:$AY$3, 0)),SUM(VLOOKUP($A79, LS_previous!$B$4:$AY$138, LS_previous!U$149, FALSE), VLOOKUP('Staging Table'!$A79, LS_previous!$B$4:$AY$138,LS_previous!AS$149, FALSE))/2)</f>
        <v>-4273.3620787320006</v>
      </c>
      <c r="AD79" s="192">
        <f t="array" ref="AD79">IF($G79=0, INDEX(LS_previous!$D$4:$AY$138, MATCH('Staging Table'!$A79, LS_previous!$B$4:$B$138, 0), MATCH(AD$4&amp;AD$5, LS_previous!$D$2:$AY$2&amp;LS_previous!$D$3:$AY$3, 0)),SUM(VLOOKUP($A79, LS_previous!$B$4:$AY$138, LS_previous!V$149, FALSE), VLOOKUP('Staging Table'!$A79, LS_previous!$B$4:$AY$138,LS_previous!AT$149, FALSE))/2)</f>
        <v>-4910.8646102780003</v>
      </c>
      <c r="AE79" s="192">
        <f t="array" ref="AE79">IF($G79=0, INDEX(LS_previous!$D$4:$AY$138, MATCH('Staging Table'!$A79, LS_previous!$B$4:$B$138, 0), MATCH(AE$4&amp;AE$5, LS_previous!$D$2:$AY$2&amp;LS_previous!$D$3:$AY$3, 0)),SUM(VLOOKUP($A79, LS_previous!$B$4:$AY$138, LS_previous!W$149, FALSE), VLOOKUP('Staging Table'!$A79, LS_previous!$B$4:$AY$138,LS_previous!AU$149, FALSE))/2)</f>
        <v>85.170948775999932</v>
      </c>
      <c r="AF79" s="192">
        <f t="array" ref="AF79">IF($G79=0, INDEX(LS_previous!$D$4:$AY$138, MATCH('Staging Table'!$A79, LS_previous!$B$4:$B$138, 0), MATCH(AF$4&amp;AF$5, LS_previous!$D$2:$AY$2&amp;LS_previous!$D$3:$AY$3, 0)),SUM(VLOOKUP($A79, LS_previous!$B$4:$AY$138, LS_previous!X$149, FALSE), VLOOKUP('Staging Table'!$A79, LS_previous!$B$4:$AY$138,LS_previous!AV$149, FALSE))/2)</f>
        <v>-3479.3943980280001</v>
      </c>
      <c r="AG79" s="192">
        <f t="array" ref="AG79">IF($G79=0, INDEX(LS_previous!$D$4:$AY$138, MATCH('Staging Table'!$A79, LS_previous!$B$4:$B$138, 0), MATCH(AG$4&amp;AG$5, LS_previous!$D$2:$AY$2&amp;LS_previous!$D$3:$AY$3, 0)),SUM(VLOOKUP($A79, LS_previous!$B$4:$AY$138, LS_previous!Y$149, FALSE), VLOOKUP('Staging Table'!$A79, LS_previous!$B$4:$AY$138,LS_previous!AW$149, FALSE))/2)</f>
        <v>-569.03681122400121</v>
      </c>
      <c r="AH79" s="192">
        <f t="array" ref="AH79">IF($G79=0, INDEX(LS_previous!$D$4:$AY$138, MATCH('Staging Table'!$A79, LS_previous!$B$4:$B$138, 0), MATCH(AH$4&amp;AH$5, LS_previous!$D$2:$AY$2&amp;LS_previous!$D$3:$AY$3, 0)),SUM(VLOOKUP($A79, LS_previous!$B$4:$AY$138, LS_previous!Z$149, FALSE), VLOOKUP('Staging Table'!$A79, LS_previous!$B$4:$AY$138,LS_previous!AX$149, FALSE))/2)</f>
        <v>-2262.4578672000007</v>
      </c>
      <c r="AI79" s="192">
        <f t="array" ref="AI79">IF($G79=0, INDEX(LS_previous!$D$4:$AY$138, MATCH('Staging Table'!$A79, LS_previous!$B$4:$B$138, 0), MATCH(AI$4&amp;AI$5, LS_previous!$D$2:$AY$2&amp;LS_previous!$D$3:$AY$3, 0)),SUM(VLOOKUP($A79, LS_previous!$B$4:$AY$138, LS_previous!AA$149, FALSE), VLOOKUP('Staging Table'!$A79, LS_previous!$B$4:$AY$138,LS_previous!AY$149, FALSE))/2)</f>
        <v>-796.3237260599999</v>
      </c>
      <c r="AJ79" s="314">
        <f t="array" ref="AJ79">INDEX(Demand_previous!$D$4:$AY$138, MATCH('Staging Table'!$A79, Demand_previous!$B$4:$B$138, 0), MATCH(AJ$4&amp;AJ$5,Demand_previous!$D$2:$AY$2&amp;Demand_previous!$D$3:$AY$3, 0))/1000</f>
        <v>3.2563402777777739</v>
      </c>
      <c r="AK79" s="314">
        <f t="array" ref="AK79">INDEX(Demand_previous!$D$4:$AY$138, MATCH('Staging Table'!$A79, Demand_previous!$B$4:$B$138, 0), MATCH(AK$4&amp;AK$5,Demand_previous!$D$2:$AY$2&amp;Demand_previous!$D$3:$AY$3, 0))/1000</f>
        <v>1.6686724999999942</v>
      </c>
      <c r="AL79" s="314">
        <f t="array" ref="AL79">INDEX(Demand_previous!$D$4:$AY$138, MATCH('Staging Table'!$A79, Demand_previous!$B$4:$B$138, 0), MATCH(AL$4&amp;AL$5,Demand_previous!$D$2:$AY$2&amp;Demand_previous!$D$3:$AY$3, 0))/1000</f>
        <v>5.3978950000000001</v>
      </c>
      <c r="AM79" s="314">
        <f t="array" ref="AM79">INDEX(Demand_previous!$D$4:$AY$138, MATCH('Staging Table'!$A79, Demand_previous!$B$4:$B$138, 0), MATCH(AM$4&amp;AM$5,Demand_previous!$D$2:$AY$2&amp;Demand_previous!$D$3:$AY$3, 0))/1000</f>
        <v>7.7071778846153824</v>
      </c>
      <c r="AN79" s="314">
        <f t="array" ref="AN79">INDEX(Demand_previous!$D$4:$AY$138, MATCH('Staging Table'!$A79, Demand_previous!$B$4:$B$138, 0), MATCH(AN$4&amp;AN$5,Demand_previous!$D$2:$AY$2&amp;Demand_previous!$D$3:$AY$3, 0))/1000</f>
        <v>5.3226575000000071</v>
      </c>
      <c r="AO79" s="314">
        <f t="array" ref="AO79">INDEX(Demand_previous!$D$4:$AY$138, MATCH('Staging Table'!$A79, Demand_previous!$B$4:$B$138, 0), MATCH(AO$4&amp;AO$5,Demand_previous!$D$2:$AY$2&amp;Demand_previous!$D$3:$AY$3, 0))/1000</f>
        <v>2.8040384615384637</v>
      </c>
      <c r="AP79" s="314">
        <f t="array" ref="AP79">INDEX(Demand_previous!$D$4:$AY$138, MATCH('Staging Table'!$A79, Demand_previous!$B$4:$B$138, 0), MATCH(AP$4&amp;AP$5,Demand_previous!$D$2:$AY$2&amp;Demand_previous!$D$3:$AY$3, 0))/1000</f>
        <v>5.8731057692307678</v>
      </c>
      <c r="AQ79" s="314">
        <f t="array" ref="AQ79">INDEX(Demand_previous!$D$4:$AY$138, MATCH('Staging Table'!$A79, Demand_previous!$B$4:$B$138, 0), MATCH(AQ$4&amp;AQ$5,Demand_previous!$D$2:$AY$2&amp;Demand_previous!$D$3:$AY$3, 0))/1000</f>
        <v>3.077442500000001</v>
      </c>
      <c r="AR79" s="314">
        <f t="array" ref="AR79">INDEX(Demand_previous!$D$4:$AY$138, MATCH('Staging Table'!$A79, Demand_previous!$B$4:$B$138, 0), MATCH(AR$4&amp;AR$5,Demand_previous!$D$2:$AY$2&amp;Demand_previous!$D$3:$AY$3, 0))/1000</f>
        <v>4.2145865384615346</v>
      </c>
      <c r="AS79" s="314">
        <f t="array" ref="AS79">INDEX(Demand_previous!$D$4:$AY$138, MATCH('Staging Table'!$A79, Demand_previous!$B$4:$B$138, 0), MATCH(AS$4&amp;AS$5,Demand_previous!$D$2:$AY$2&amp;Demand_previous!$D$3:$AY$3, 0))/1000</f>
        <v>4.6094783653846152</v>
      </c>
      <c r="AT79" s="314">
        <f t="array" ref="AT79">INDEX(Demand_previous!$D$4:$AY$138, MATCH('Staging Table'!$A79, Demand_previous!$B$4:$B$138, 0), MATCH(AT$4&amp;AT$5,Demand_previous!$D$2:$AY$2&amp;Demand_previous!$D$3:$AY$3, 0))/1000</f>
        <v>3.2950384615384638</v>
      </c>
      <c r="AU79" s="314">
        <f t="array" ref="AU79">INDEX(Demand_previous!$D$4:$AY$138, MATCH('Staging Table'!$A79, Demand_previous!$B$4:$B$138, 0), MATCH(AU$4&amp;AU$5,Demand_previous!$D$2:$AY$2&amp;Demand_previous!$D$3:$AY$3, 0))/1000</f>
        <v>4.1153850000000025</v>
      </c>
      <c r="AV79" s="192">
        <f>$F79*(VLOOKUP(AV$4, Rates_previous!$G$6:$Q$29, 10, FALSE)+VLOOKUP(AV$4, Rates_previous!$G$6:$Q$29, 11, FALSE))</f>
        <v>20660.185793501998</v>
      </c>
      <c r="AW79" s="192">
        <f>$F79*(VLOOKUP(AW$4, Rates_previous!$G$6:$Q$29, 10, FALSE)+VLOOKUP(AW$4, Rates_previous!$G$6:$Q$29, 11, FALSE))</f>
        <v>26244.8810279055</v>
      </c>
      <c r="AX79" s="192">
        <f>$F79*(VLOOKUP(AX$4, Rates_previous!$G$6:$Q$29, 10, FALSE)+VLOOKUP(AX$4, Rates_previous!$G$6:$Q$29, 11, FALSE))</f>
        <v>25927.938577002002</v>
      </c>
      <c r="AY79" s="192">
        <f>$F79*(VLOOKUP(AY$4, Rates_previous!$G$6:$Q$29, 10, FALSE)+VLOOKUP(AY$4, Rates_previous!$G$6:$Q$29, 11, FALSE))</f>
        <v>21612.516001002004</v>
      </c>
      <c r="AZ79" s="192">
        <f>$F79*(VLOOKUP(AZ$4, Rates_previous!$G$6:$Q$29, 10, FALSE)+VLOOKUP(AZ$4, Rates_previous!$G$6:$Q$29, 11, FALSE))</f>
        <v>19578.697371599999</v>
      </c>
      <c r="BA79" s="192">
        <f>$F79*(VLOOKUP(BA$4, Rates_previous!$G$6:$Q$29, 10, FALSE)+VLOOKUP(BA$4, Rates_previous!$G$6:$Q$29, 11, FALSE))</f>
        <v>21777.731280106502</v>
      </c>
      <c r="BB79" s="192">
        <f>$F79*(VLOOKUP(BB$4, Rates_previous!$G$6:$Q$29, 10, FALSE)+VLOOKUP(BB$4, Rates_previous!$G$6:$Q$29, 11, FALSE))</f>
        <v>17731.452308759999</v>
      </c>
      <c r="BC79" s="192">
        <f>$F79*(VLOOKUP(BC$4, Rates_previous!$G$6:$Q$29, 10, FALSE)+VLOOKUP(BC$4, Rates_previous!$G$6:$Q$29, 11, FALSE))</f>
        <v>23913.507490752003</v>
      </c>
      <c r="BD79" s="192">
        <f>$F79*(VLOOKUP(BD$4, Rates_previous!$G$6:$Q$29, 10, FALSE)+VLOOKUP(BD$4, Rates_previous!$G$6:$Q$29, 11, FALSE))</f>
        <v>30512.009166510004</v>
      </c>
      <c r="BE79" s="192">
        <f>$F79*(VLOOKUP(BE$4, Rates_previous!$G$6:$Q$29, 10, FALSE)+VLOOKUP(BE$4, Rates_previous!$G$6:$Q$29, 11, FALSE))</f>
        <v>23922.382661502004</v>
      </c>
      <c r="BF79" s="192">
        <f>$F79*(VLOOKUP(BF$4, Rates_previous!$G$6:$Q$29, 10, FALSE)+VLOOKUP(BF$4, Rates_previous!$G$6:$Q$29, 11, FALSE))</f>
        <v>23295.637209252003</v>
      </c>
      <c r="BG79" s="192">
        <f>$F79*(VLOOKUP(BG$4, Rates_previous!$G$6:$Q$29, 10, FALSE)+VLOOKUP(BG$4, Rates_previous!$G$6:$Q$29, 11, FALSE))</f>
        <v>20914.526593260001</v>
      </c>
      <c r="BH79" s="314">
        <f>IF($D79=0,IF(C79=0, MAX(BJ79 - (VLOOKUP($A79,TOCA_previous!$A$2:$AI$137,MATCH("RHWM 2020",TOCA_previous!$A$2:$AI$2,0),FALSE)*$F$2*TOCA_previous!C76),0),0), 0)</f>
        <v>0</v>
      </c>
      <c r="BI79" s="204">
        <f>MIN(VLOOKUP($A79,TOCA_previous!$A$2:$AI$137,MATCH("TRL - NLSL - Existing Resource "&amp;$F$1,TOCA_previous!$A$2:$AI$2,0),FALSE)*$F$2,(VLOOKUP($A79,TOCA_previous!$A$2:$AI$137,MATCH("RHWM 2020",TOCA_previous!$A$2:$AI$2,0),FALSE)*$F$2))</f>
        <v>276089.90399999998</v>
      </c>
      <c r="BJ79" s="418">
        <f>SUM(L79:AI79)+(F79*RT1SC!$C$3*$F$2)</f>
        <v>263626.96236294199</v>
      </c>
      <c r="BK79" s="417">
        <f>VLOOKUP($A79,TOCA_previous!$A$2:$AI$137,MATCH("Above RHWM Not Served with LS "&amp;$F$1,TOCA_previous!$A$2:$AI$2,0),FALSE)*$F$2</f>
        <v>0</v>
      </c>
      <c r="BL79" s="418">
        <f t="shared" si="27"/>
        <v>-12462.941637057986</v>
      </c>
      <c r="BM79" s="417">
        <f>(VLOOKUP($A79,TOCA_previous!$A$2:$AI$137,MATCH("RHWM 2020",TOCA_previous!$A$2:$AI$2,0),FALSE)*$F$2) - $BI79</f>
        <v>13237.488000000012</v>
      </c>
      <c r="BN79" s="418">
        <f t="shared" si="28"/>
        <v>0</v>
      </c>
      <c r="BO79" s="417">
        <f t="shared" si="29"/>
        <v>12462.941637057986</v>
      </c>
      <c r="BP79" s="418">
        <f t="shared" si="30"/>
        <v>0</v>
      </c>
      <c r="BQ79" s="417">
        <f t="shared" si="21"/>
        <v>12462.941637057986</v>
      </c>
      <c r="BR79" s="120">
        <f>VLOOKUP($A79,TOCA_current!$A$2:$AI$137,MATCH(BR$4,TOCA_current!$A$2:$AI$2,0),FALSE)</f>
        <v>4.5538000000000002E-3</v>
      </c>
      <c r="BS79" s="120">
        <f>VLOOKUP($A79,TOCA_current!$A$2:$AI$137,MATCH(BS$4,TOCA_current!$A$2:$AI$2,0),FALSE)</f>
        <v>4.5538000000000002E-3</v>
      </c>
      <c r="BT79" s="201">
        <f t="shared" si="31"/>
        <v>0</v>
      </c>
      <c r="BU79" s="120">
        <f>VLOOKUP($A79,TOCA_current!A75:BG210,MATCH(BU$4,TOCA_current!$A$2:$BG$2,0),FALSE)</f>
        <v>0</v>
      </c>
      <c r="BV79" s="120">
        <f t="shared" si="22"/>
        <v>0</v>
      </c>
      <c r="BW79" s="120">
        <f t="shared" si="23"/>
        <v>0</v>
      </c>
      <c r="BX79" s="191">
        <f>VLOOKUP($A79,IRD!$A$4:$G$139, 7, FALSE)</f>
        <v>0</v>
      </c>
      <c r="BY79" s="192">
        <f t="array" ref="BY79">IF($BT79=0, INDEX(LS_current!$D$4:$AY$138, MATCH('Staging Table'!$A79, LS_current!$B$4:$B$138, 0), MATCH(BY$4&amp;BY$5, LS_current!$D$2:$AY$2&amp;LS_current!$D$3:$AY$3, 0)),SUM(VLOOKUP($A79, LS_current!$B$4:$AY$138, LS_current!D$148, FALSE), VLOOKUP($A79, LS_current!$B$4:$AY$138,LS_current!AB$148, FALSE))/2)</f>
        <v>-95.897706641759214</v>
      </c>
      <c r="BZ79" s="192">
        <f t="array" ref="BZ79">IF($BT79=0, INDEX(LS_current!$D$4:$AY$138, MATCH('Staging Table'!$A79, LS_current!$B$4:$B$138, 0), MATCH(BZ$4&amp;BZ$5, LS_current!$D$2:$AY$2&amp;LS_current!$D$3:$AY$3, 0)),SUM(VLOOKUP($A79, LS_current!$B$4:$AY$138, LS_current!E$148, FALSE), VLOOKUP($A79, LS_current!$B$4:$AY$138,LS_current!AC$148, FALSE))/2)</f>
        <v>674.78067937120977</v>
      </c>
      <c r="CA79" s="192">
        <f t="array" ref="CA79">IF($BT79=0, INDEX(LS_current!$D$4:$AY$138, MATCH('Staging Table'!$A79, LS_current!$B$4:$B$138, 0), MATCH(CA$4&amp;CA$5, LS_current!$D$2:$AY$2&amp;LS_current!$D$3:$AY$3, 0)),SUM(VLOOKUP($A79, LS_current!$B$4:$AY$138, LS_current!F$148, FALSE), VLOOKUP($A79, LS_current!$B$4:$AY$138,LS_current!AD$148, FALSE))/2)</f>
        <v>-1266.5637176756372</v>
      </c>
      <c r="CB79" s="192">
        <f t="array" ref="CB79">IF($BT79=0, INDEX(LS_current!$D$4:$AY$138, MATCH('Staging Table'!$A79, LS_current!$B$4:$B$138, 0), MATCH(CB$4&amp;CB$5, LS_current!$D$2:$AY$2&amp;LS_current!$D$3:$AY$3, 0)),SUM(VLOOKUP($A79, LS_current!$B$4:$AY$138, LS_current!G$148, FALSE), VLOOKUP($A79, LS_current!$B$4:$AY$138,LS_current!AE$148, FALSE))/2)</f>
        <v>-676.0697643593503</v>
      </c>
      <c r="CC79" s="192">
        <f t="array" ref="CC79">IF($BT79=0, INDEX(LS_current!$D$4:$AY$138, MATCH('Staging Table'!$A79, LS_current!$B$4:$B$138, 0), MATCH(CC$4&amp;CC$5, LS_current!$D$2:$AY$2&amp;LS_current!$D$3:$AY$3, 0)),SUM(VLOOKUP($A79, LS_current!$B$4:$AY$138, LS_current!H$148, FALSE), VLOOKUP($A79, LS_current!$B$4:$AY$138,LS_current!AF$148, FALSE))/2)</f>
        <v>2276.3703362672441</v>
      </c>
      <c r="CD79" s="192">
        <f t="array" ref="CD79">IF($BT79=0, INDEX(LS_current!$D$4:$AY$138, MATCH('Staging Table'!$A79, LS_current!$B$4:$B$138, 0), MATCH(CD$4&amp;CD$5, LS_current!$D$2:$AY$2&amp;LS_current!$D$3:$AY$3, 0)),SUM(VLOOKUP($A79, LS_current!$B$4:$AY$138, LS_current!I$148, FALSE), VLOOKUP($A79, LS_current!$B$4:$AY$138,LS_current!AG$148, FALSE))/2)</f>
        <v>-196.95232247280001</v>
      </c>
      <c r="CE79" s="192">
        <f t="array" ref="CE79">IF($BT79=0, INDEX(LS_current!$D$4:$AY$138, MATCH('Staging Table'!$A79, LS_current!$B$4:$B$138, 0), MATCH(CE$4&amp;CE$5, LS_current!$D$2:$AY$2&amp;LS_current!$D$3:$AY$3, 0)),SUM(VLOOKUP($A79, LS_current!$B$4:$AY$138, LS_current!J$148, FALSE), VLOOKUP($A79, LS_current!$B$4:$AY$138,LS_current!AH$148, FALSE))/2)</f>
        <v>4840.5542473728547</v>
      </c>
      <c r="CF79" s="192">
        <f t="array" ref="CF79">IF($BT79=0, INDEX(LS_current!$D$4:$AY$138, MATCH('Staging Table'!$A79, LS_current!$B$4:$B$138, 0), MATCH(CF$4&amp;CF$5, LS_current!$D$2:$AY$2&amp;LS_current!$D$3:$AY$3, 0)),SUM(VLOOKUP($A79, LS_current!$B$4:$AY$138, LS_current!K$148, FALSE), VLOOKUP($A79, LS_current!$B$4:$AY$138,LS_current!AI$148, FALSE))/2)</f>
        <v>2743.6153550663676</v>
      </c>
      <c r="CG79" s="192">
        <f t="array" ref="CG79">IF($BT79=0, INDEX(LS_current!$D$4:$AY$138, MATCH('Staging Table'!$A79, LS_current!$B$4:$B$138, 0), MATCH(CG$4&amp;CG$5, LS_current!$D$2:$AY$2&amp;LS_current!$D$3:$AY$3, 0)),SUM(VLOOKUP($A79, LS_current!$B$4:$AY$138, LS_current!L$148, FALSE), VLOOKUP($A79, LS_current!$B$4:$AY$138,LS_current!AJ$148, FALSE))/2)</f>
        <v>4539.3795239710307</v>
      </c>
      <c r="CH79" s="192">
        <f t="array" ref="CH79">IF($BT79=0, INDEX(LS_current!$D$4:$AY$138, MATCH('Staging Table'!$A79, LS_current!$B$4:$B$138, 0), MATCH(CH$4&amp;CH$5, LS_current!$D$2:$AY$2&amp;LS_current!$D$3:$AY$3, 0)),SUM(VLOOKUP($A79, LS_current!$B$4:$AY$138, LS_current!M$148, FALSE), VLOOKUP($A79, LS_current!$B$4:$AY$138,LS_current!AK$148, FALSE))/2)</f>
        <v>1575.6373476827566</v>
      </c>
      <c r="CI79" s="192">
        <f t="array" ref="CI79">IF($BT79=0, INDEX(LS_current!$D$4:$AY$138, MATCH('Staging Table'!$A79, LS_current!$B$4:$B$138, 0), MATCH(CI$4&amp;CI$5, LS_current!$D$2:$AY$2&amp;LS_current!$D$3:$AY$3, 0)),SUM(VLOOKUP($A79, LS_current!$B$4:$AY$138, LS_current!N$148, FALSE), VLOOKUP($A79, LS_current!$B$4:$AY$138,LS_current!AL$148, FALSE))/2)</f>
        <v>1511.6564173776933</v>
      </c>
      <c r="CJ79" s="192">
        <f t="array" ref="CJ79">IF($BT79=0, INDEX(LS_current!$D$4:$AY$138, MATCH('Staging Table'!$A79, LS_current!$B$4:$B$138, 0), MATCH(CJ$4&amp;CJ$5, LS_current!$D$2:$AY$2&amp;LS_current!$D$3:$AY$3, 0)),SUM(VLOOKUP($A79, LS_current!$B$4:$AY$138, LS_current!O$148, FALSE), VLOOKUP($A79, LS_current!$B$4:$AY$138,LS_current!AM$148, FALSE))/2)</f>
        <v>219.53599394318371</v>
      </c>
      <c r="CK79" s="192">
        <f t="array" ref="CK79">IF($BT79=0, INDEX(LS_current!$D$4:$AY$138, MATCH('Staging Table'!$A79, LS_current!$B$4:$B$138, 0), MATCH(CK$4&amp;CK$5, LS_current!$D$2:$AY$2&amp;LS_current!$D$3:$AY$3, 0)),SUM(VLOOKUP($A79, LS_current!$B$4:$AY$138, LS_current!P$148, FALSE), VLOOKUP($A79, LS_current!$B$4:$AY$138,LS_current!AN$148, FALSE))/2)</f>
        <v>2368.9431802691306</v>
      </c>
      <c r="CL79" s="192">
        <f t="array" ref="CL79">IF($BT79=0, INDEX(LS_current!$D$4:$AY$138, MATCH('Staging Table'!$A79, LS_current!$B$4:$B$138, 0), MATCH(CL$4&amp;CL$5, LS_current!$D$2:$AY$2&amp;LS_current!$D$3:$AY$3, 0)),SUM(VLOOKUP($A79, LS_current!$B$4:$AY$138, LS_current!Q$148, FALSE), VLOOKUP($A79, LS_current!$B$4:$AY$138,LS_current!AO$148, FALSE))/2)</f>
        <v>1006.6866619918555</v>
      </c>
      <c r="CM79" s="192">
        <f t="array" ref="CM79">IF($BT79=0, INDEX(LS_current!$D$4:$AY$138, MATCH('Staging Table'!$A79, LS_current!$B$4:$B$138, 0), MATCH(CM$4&amp;CM$5, LS_current!$D$2:$AY$2&amp;LS_current!$D$3:$AY$3, 0)),SUM(VLOOKUP($A79, LS_current!$B$4:$AY$138, LS_current!R$148, FALSE), VLOOKUP($A79, LS_current!$B$4:$AY$138,LS_current!AP$148, FALSE))/2)</f>
        <v>-4765.7397140509183</v>
      </c>
      <c r="CN79" s="192">
        <f t="array" ref="CN79">IF($BT79=0, INDEX(LS_current!$D$4:$AY$138, MATCH('Staging Table'!$A79, LS_current!$B$4:$B$138, 0), MATCH(CN$4&amp;CN$5, LS_current!$D$2:$AY$2&amp;LS_current!$D$3:$AY$3, 0)),SUM(VLOOKUP($A79, LS_current!$B$4:$AY$138, LS_current!S$148, FALSE), VLOOKUP($A79, LS_current!$B$4:$AY$138,LS_current!AQ$148, FALSE))/2)</f>
        <v>-232.25735783397431</v>
      </c>
      <c r="CO79" s="192">
        <f t="array" ref="CO79">IF($BT79=0, INDEX(LS_current!$D$4:$AY$138, MATCH('Staging Table'!$A79, LS_current!$B$4:$B$138, 0), MATCH(CO$4&amp;CO$5, LS_current!$D$2:$AY$2&amp;LS_current!$D$3:$AY$3, 0)),SUM(VLOOKUP($A79, LS_current!$B$4:$AY$138, LS_current!T$148, FALSE), VLOOKUP($A79, LS_current!$B$4:$AY$138,LS_current!AR$148, FALSE))/2)</f>
        <v>-6481.6538988596512</v>
      </c>
      <c r="CP79" s="192">
        <f t="array" ref="CP79">IF($BT79=0, INDEX(LS_current!$D$4:$AY$138, MATCH('Staging Table'!$A79, LS_current!$B$4:$B$138, 0), MATCH(CP$4&amp;CP$5, LS_current!$D$2:$AY$2&amp;LS_current!$D$3:$AY$3, 0)),SUM(VLOOKUP($A79, LS_current!$B$4:$AY$138, LS_current!U$148, FALSE), VLOOKUP($A79, LS_current!$B$4:$AY$138,LS_current!AS$148, FALSE))/2)</f>
        <v>-805.07024138642737</v>
      </c>
      <c r="CQ79" s="192">
        <f t="array" ref="CQ79">IF($BT79=0, INDEX(LS_current!$D$4:$AY$138, MATCH('Staging Table'!$A79, LS_current!$B$4:$B$138, 0), MATCH(CQ$4&amp;CQ$5, LS_current!$D$2:$AY$2&amp;LS_current!$D$3:$AY$3, 0)),SUM(VLOOKUP($A79, LS_current!$B$4:$AY$138, LS_current!V$148, FALSE), VLOOKUP($A79, LS_current!$B$4:$AY$138,LS_current!AT$148, FALSE))/2)</f>
        <v>-4405.9171502536883</v>
      </c>
      <c r="CR79" s="192">
        <f t="array" ref="CR79">IF($BT79=0, INDEX(LS_current!$D$4:$AY$138, MATCH('Staging Table'!$A79, LS_current!$B$4:$B$138, 0), MATCH(CR$4&amp;CR$5, LS_current!$D$2:$AY$2&amp;LS_current!$D$3:$AY$3, 0)),SUM(VLOOKUP($A79, LS_current!$B$4:$AY$138, LS_current!W$148, FALSE), VLOOKUP($A79, LS_current!$B$4:$AY$138,LS_current!AU$148, FALSE))/2)</f>
        <v>-463.71892627740726</v>
      </c>
      <c r="CS79" s="192">
        <f t="array" ref="CS79">IF($BT79=0, INDEX(LS_current!$D$4:$AY$138, MATCH('Staging Table'!$A79, LS_current!$B$4:$B$138, 0), MATCH(CS$4&amp;CS$5, LS_current!$D$2:$AY$2&amp;LS_current!$D$3:$AY$3, 0)),SUM(VLOOKUP($A79, LS_current!$B$4:$AY$138, LS_current!X$148, FALSE), VLOOKUP($A79, LS_current!$B$4:$AY$138,LS_current!AV$148, FALSE))/2)</f>
        <v>-3113.3851340940146</v>
      </c>
      <c r="CT79" s="192">
        <f t="array" ref="CT79">IF($BT79=0, INDEX(LS_current!$D$4:$AY$138, MATCH('Staging Table'!$A79, LS_current!$B$4:$B$138, 0), MATCH(CT$4&amp;CT$5, LS_current!$D$2:$AY$2&amp;LS_current!$D$3:$AY$3, 0)),SUM(VLOOKUP($A79, LS_current!$B$4:$AY$138, LS_current!Y$148, FALSE), VLOOKUP($A79, LS_current!$B$4:$AY$138,LS_current!AW$148, FALSE))/2)</f>
        <v>-801.01314659203217</v>
      </c>
      <c r="CU79" s="192">
        <f t="array" ref="CU79">IF($BT79=0, INDEX(LS_current!$D$4:$AY$138, MATCH('Staging Table'!$A79, LS_current!$B$4:$B$138, 0), MATCH(CU$4&amp;CU$5, LS_current!$D$2:$AY$2&amp;LS_current!$D$3:$AY$3, 0)),SUM(VLOOKUP($A79, LS_current!$B$4:$AY$138, LS_current!Z$148, FALSE), VLOOKUP($A79, LS_current!$B$4:$AY$138,LS_current!AX$148, FALSE))/2)</f>
        <v>-2528.519524677642</v>
      </c>
      <c r="CV79" s="192">
        <f t="array" ref="CV79">IF($BT79=0, INDEX(LS_current!$D$4:$AY$138, MATCH('Staging Table'!$A79, LS_current!$B$4:$B$138, 0), MATCH(CV$4&amp;CV$5, LS_current!$D$2:$AY$2&amp;LS_current!$D$3:$AY$3, 0)),SUM(VLOOKUP($A79, LS_current!$B$4:$AY$138, LS_current!AA$148, FALSE), VLOOKUP($A79, LS_current!$B$4:$AY$138,LS_current!AY$148, FALSE))/2)</f>
        <v>-1019.4723322358204</v>
      </c>
      <c r="CW79" s="194">
        <f t="array" ref="CW79">INDEX(Demand_current!$D$4:$AY$138, MATCH($A79, Demand_current!$B$4:$B$138, 0), MATCH(CW$4&amp;CW$5,Demand_current!$D$2:$AY$2&amp;Demand_current!$D$3:$AY$3, 0))/1000</f>
        <v>2.080699519230766</v>
      </c>
      <c r="CX79" s="194">
        <f t="array" ref="CX79">INDEX(Demand_current!$D$4:$AY$138, MATCH($A79, Demand_current!$B$4:$B$138, 0), MATCH(CX$4&amp;CX$5,Demand_current!$D$2:$AY$2&amp;Demand_current!$D$3:$AY$3, 0))/1000</f>
        <v>1.6686724999999942</v>
      </c>
      <c r="CY79" s="194">
        <f t="array" ref="CY79">INDEX(Demand_current!$D$4:$AY$138, MATCH($A79, Demand_current!$B$4:$B$138, 0), MATCH(CY$4&amp;CY$5,Demand_current!$D$2:$AY$2&amp;Demand_current!$D$3:$AY$3, 0))/1000</f>
        <v>7.0283990384615382</v>
      </c>
      <c r="CZ79" s="194">
        <f t="array" ref="CZ79">INDEX(Demand_current!$D$4:$AY$138, MATCH($A79, Demand_current!$B$4:$B$138, 0), MATCH(CZ$4&amp;CZ$5,Demand_current!$D$2:$AY$2&amp;Demand_current!$D$3:$AY$3, 0))/1000</f>
        <v>6.0807050000000009</v>
      </c>
      <c r="DA79" s="194">
        <f t="array" ref="DA79">INDEX(Demand_current!$D$4:$AY$138, MATCH($A79, Demand_current!$B$4:$B$138, 0), MATCH(DA$4&amp;DA$5,Demand_current!$D$2:$AY$2&amp;Demand_current!$D$3:$AY$3, 0))/1000</f>
        <v>3.7366432291666687</v>
      </c>
      <c r="DB79" s="194">
        <f t="array" ref="DB79">INDEX(Demand_current!$D$4:$AY$138, MATCH($A79, Demand_current!$B$4:$B$138, 0), MATCH(DB$4&amp;DB$5,Demand_current!$D$2:$AY$2&amp;Demand_current!$D$3:$AY$3, 0))/1000</f>
        <v>4.1394444444444458</v>
      </c>
      <c r="DC79" s="194">
        <f t="array" ref="DC79">INDEX(Demand_current!$D$4:$AY$138, MATCH($A79, Demand_current!$B$4:$B$138, 0), MATCH(DC$4&amp;DC$5,Demand_current!$D$2:$AY$2&amp;Demand_current!$D$3:$AY$3, 0))/1000</f>
        <v>5.8731057692307678</v>
      </c>
      <c r="DD79" s="194">
        <f t="array" ref="DD79">INDEX(Demand_current!$D$4:$AY$138, MATCH($A79, Demand_current!$B$4:$B$138, 0), MATCH(DD$4&amp;DD$5,Demand_current!$D$2:$AY$2&amp;Demand_current!$D$3:$AY$3, 0))/1000</f>
        <v>3.077442500000001</v>
      </c>
      <c r="DE79" s="194">
        <f t="array" ref="DE79">INDEX(Demand_current!$D$4:$AY$138, MATCH($A79, Demand_current!$B$4:$B$138, 0), MATCH(DE$4&amp;DE$5,Demand_current!$D$2:$AY$2&amp;Demand_current!$D$3:$AY$3, 0))/1000</f>
        <v>4.2145865384615346</v>
      </c>
      <c r="DF79" s="194">
        <f t="array" ref="DF79">INDEX(Demand_current!$D$4:$AY$138, MATCH($A79, Demand_current!$B$4:$B$138, 0), MATCH(DF$4&amp;DF$5,Demand_current!$D$2:$AY$2&amp;Demand_current!$D$3:$AY$3, 0))/1000</f>
        <v>3.498257500000002</v>
      </c>
      <c r="DG79" s="194">
        <f t="array" ref="DG79">INDEX(Demand_current!$D$4:$AY$138, MATCH($A79, Demand_current!$B$4:$B$138, 0), MATCH(DG$4&amp;DG$5,Demand_current!$D$2:$AY$2&amp;Demand_current!$D$3:$AY$3, 0))/1000</f>
        <v>4.4065555555555562</v>
      </c>
      <c r="DH79" s="194">
        <f t="array" ref="DH79">INDEX(Demand_current!$D$4:$AY$138, MATCH($A79, Demand_current!$B$4:$B$138, 0), MATCH(DH$4&amp;DH$5,Demand_current!$D$2:$AY$2&amp;Demand_current!$D$3:$AY$3, 0))/1000</f>
        <v>4.1153850000000025</v>
      </c>
      <c r="DI79" s="192">
        <f>$BS79*(VLOOKUP(DI$4, Rates_current!$G$6:$Q$29, 10, FALSE)+VLOOKUP(DI$4, Rates_current!$G$6:$Q$29, 11, FALSE))</f>
        <v>20737.661027270551</v>
      </c>
      <c r="DJ79" s="192">
        <f>$BS79*(VLOOKUP(DJ$4, Rates_current!$G$6:$Q$29, 10, FALSE)+VLOOKUP(DJ$4, Rates_current!$G$6:$Q$29, 11, FALSE))</f>
        <v>26254.631482034991</v>
      </c>
      <c r="DK79" s="192">
        <f>$BS79*(VLOOKUP(DK$4, Rates_current!$G$6:$Q$29, 10, FALSE)+VLOOKUP(DK$4, Rates_current!$G$6:$Q$29, 11, FALSE))</f>
        <v>25698.038986205556</v>
      </c>
      <c r="DL79" s="192">
        <f>$BS79*(VLOOKUP(DL$4, Rates_current!$G$6:$Q$29, 10, FALSE)+VLOOKUP(DL$4, Rates_current!$G$6:$Q$29, 11, FALSE))</f>
        <v>21225.487397560777</v>
      </c>
      <c r="DM79" s="192">
        <f>$BS79*(VLOOKUP(DM$4, Rates_current!$G$6:$Q$29, 10, FALSE)+VLOOKUP(DM$4, Rates_current!$G$6:$Q$29, 11, FALSE))</f>
        <v>18396.595128346213</v>
      </c>
      <c r="DN79" s="192">
        <f>$BS79*(VLOOKUP(DN$4, Rates_current!$G$6:$Q$29, 10, FALSE)+VLOOKUP(DN$4, Rates_current!$G$6:$Q$29, 11, FALSE))</f>
        <v>21961.819588679125</v>
      </c>
      <c r="DO79" s="192">
        <f>$BS79*(VLOOKUP(DO$4, Rates_current!$G$6:$Q$29, 10, FALSE)+VLOOKUP(DO$4, Rates_current!$G$6:$Q$29, 11, FALSE))</f>
        <v>17050.429157739014</v>
      </c>
      <c r="DP79" s="192">
        <f>$BS79*(VLOOKUP(DP$4, Rates_current!$G$6:$Q$29, 10, FALSE)+VLOOKUP(DP$4, Rates_current!$G$6:$Q$29, 11, FALSE))</f>
        <v>23623.495071884892</v>
      </c>
      <c r="DQ79" s="192">
        <f>$BS79*(VLOOKUP(DQ$4, Rates_current!$G$6:$Q$29, 10, FALSE)+VLOOKUP(DQ$4, Rates_current!$G$6:$Q$29, 11, FALSE))</f>
        <v>25242.199140246077</v>
      </c>
      <c r="DR79" s="192">
        <f>$BS79*(VLOOKUP(DR$4, Rates_current!$G$6:$Q$29, 10, FALSE)+VLOOKUP(DR$4, Rates_current!$G$6:$Q$29, 11, FALSE))</f>
        <v>23966.325076531099</v>
      </c>
      <c r="DS79" s="192">
        <f>$BS79*(VLOOKUP(DS$4, Rates_current!$G$6:$Q$29, 10, FALSE)+VLOOKUP(DS$4, Rates_current!$G$6:$Q$29, 11, FALSE))</f>
        <v>23161.604280686046</v>
      </c>
      <c r="DT79" s="192">
        <f>$BS79*(VLOOKUP(DT$4, Rates_current!$G$6:$Q$29, 10, FALSE)+VLOOKUP(DT$4, Rates_current!$G$6:$Q$29, 11, FALSE))</f>
        <v>21403.736856913463</v>
      </c>
      <c r="DU79" s="418">
        <f>IF(D79=0,IF(C79=0,MAX(0,DW79 - (VLOOKUP($A79,TOCA_current!$A$2:$AI$137,MATCH("RHWM 2022",TOCA_current!$A$2:$AI$2,0),FALSE)*$BS$2)), 0),0)</f>
        <v>0</v>
      </c>
      <c r="DV79" s="419">
        <f>MIN(VLOOKUP($A79,TOCA_current!$A$2:$AI$137,MATCH("TRL - NLSL - Existing Resource "&amp;$BS$1,TOCA_current!$A$2:$AI$2,0),FALSE)*$BS$2, VLOOKUP($A79,TOCA_current!$A$2:$AI$137,MATCH("RHWM 2022",TOCA_current!$A$2:$AI$2,0),FALSE)*$BS$2)</f>
        <v>268721.76</v>
      </c>
      <c r="DW79" s="419">
        <f>SUM(BY79:CV79)+(BS79*RT1SC!$C$4*$BS$2)</f>
        <v>263626.96574629424</v>
      </c>
      <c r="DX79" s="419">
        <f>VLOOKUP($A79,TOCA_current!$A$2:$AI$137,MATCH("Above RHWM Not Served with LS "&amp;$BS$1,TOCA_current!$A$2:$AI$2,0),FALSE)*$BS$2</f>
        <v>0</v>
      </c>
      <c r="DY79" s="419">
        <f t="shared" si="32"/>
        <v>-5094.7942537057679</v>
      </c>
      <c r="DZ79" s="419">
        <f>(VLOOKUP($A79,TOCA_current!$A$2:$AI$137,MATCH("RHWM 2022",TOCA_current!$A$2:$AI$2,0),FALSE)*$BS$2) - $DV79</f>
        <v>7980.359999999986</v>
      </c>
      <c r="EA79" s="419">
        <f t="shared" si="33"/>
        <v>0</v>
      </c>
      <c r="EB79" s="419">
        <f t="shared" si="34"/>
        <v>5094.7942537057679</v>
      </c>
      <c r="EC79" s="419">
        <f t="shared" si="35"/>
        <v>0</v>
      </c>
      <c r="ED79" s="419">
        <f t="shared" si="36"/>
        <v>5094.7942537057679</v>
      </c>
    </row>
    <row r="80" spans="1:134">
      <c r="A80" s="135">
        <v>10236</v>
      </c>
      <c r="B80" s="136" t="s">
        <v>81</v>
      </c>
      <c r="C80" s="244">
        <f>VLOOKUP(A80, TOCA_current!$A$3:$D$137, 4, FALSE)</f>
        <v>1</v>
      </c>
      <c r="D80" s="203">
        <v>0</v>
      </c>
      <c r="E80" s="119">
        <f>VLOOKUP($A80,TOCA_previous!$A$2:$AI$137,MATCH(E$4,TOCA_previous!$A$2:$AI$2,0),FALSE)</f>
        <v>3.9060000000000002E-3</v>
      </c>
      <c r="F80" s="120">
        <f>VLOOKUP($A80,TOCA_previous!$A$2:$AI$137,MATCH(F$4,TOCA_previous!$A$2:$AI$2,0),FALSE)</f>
        <v>3.9060000000000002E-3</v>
      </c>
      <c r="G80" s="120">
        <f t="shared" si="24"/>
        <v>0</v>
      </c>
      <c r="H80" s="120">
        <f>VLOOKUP($A80,TOCA_previous!$A$2:$AI$137,MATCH(H$4,TOCA_previous!$A$2:$AI$2,0),FALSE)</f>
        <v>6.5000000000000002E-2</v>
      </c>
      <c r="I80" s="120">
        <f t="shared" si="25"/>
        <v>6.5000000000000002E-2</v>
      </c>
      <c r="J80" s="120">
        <f t="shared" si="26"/>
        <v>3.9060000000000002E-3</v>
      </c>
      <c r="K80" s="191">
        <f>VLOOKUP(A80, IRD!$A$5:$C$139, 3, FALSE)</f>
        <v>0</v>
      </c>
      <c r="L80" s="192">
        <f t="array" ref="L80">IF($G80=0, INDEX(LS_previous!$D$4:$AY$138, MATCH('Staging Table'!$A80, LS_previous!$B$4:$B$138, 0), MATCH(L$4&amp;L$5, LS_previous!$D$2:$AY$2&amp;LS_previous!$D$3:$AY$3, 0)),SUM(VLOOKUP($A80, LS_previous!$B$4:$AY$138, LS_previous!D$149, FALSE), VLOOKUP('Staging Table'!$A80, LS_previous!$B$4:$AY$138,LS_previous!AB$149, FALSE))/2)</f>
        <v>0</v>
      </c>
      <c r="M80" s="192">
        <f t="array" ref="M80">IF($G80=0, INDEX(LS_previous!$D$4:$AY$138, MATCH('Staging Table'!$A80, LS_previous!$B$4:$B$138, 0), MATCH(M$4&amp;M$5, LS_previous!$D$2:$AY$2&amp;LS_previous!$D$3:$AY$3, 0)),SUM(VLOOKUP($A80, LS_previous!$B$4:$AY$138, LS_previous!E$149, FALSE), VLOOKUP('Staging Table'!$A80, LS_previous!$B$4:$AY$138,LS_previous!AC$149, FALSE))/2)</f>
        <v>0</v>
      </c>
      <c r="N80" s="192">
        <f t="array" ref="N80">IF($G80=0, INDEX(LS_previous!$D$4:$AY$138, MATCH('Staging Table'!$A80, LS_previous!$B$4:$B$138, 0), MATCH(N$4&amp;N$5, LS_previous!$D$2:$AY$2&amp;LS_previous!$D$3:$AY$3, 0)),SUM(VLOOKUP($A80, LS_previous!$B$4:$AY$138, LS_previous!F$149, FALSE), VLOOKUP('Staging Table'!$A80, LS_previous!$B$4:$AY$138,LS_previous!AD$149, FALSE))/2)</f>
        <v>0</v>
      </c>
      <c r="O80" s="192">
        <f t="array" ref="O80">IF($G80=0, INDEX(LS_previous!$D$4:$AY$138, MATCH('Staging Table'!$A80, LS_previous!$B$4:$B$138, 0), MATCH(O$4&amp;O$5, LS_previous!$D$2:$AY$2&amp;LS_previous!$D$3:$AY$3, 0)),SUM(VLOOKUP($A80, LS_previous!$B$4:$AY$138, LS_previous!G$149, FALSE), VLOOKUP('Staging Table'!$A80, LS_previous!$B$4:$AY$138,LS_previous!AE$149, FALSE))/2)</f>
        <v>0</v>
      </c>
      <c r="P80" s="192">
        <f t="array" ref="P80">IF($G80=0, INDEX(LS_previous!$D$4:$AY$138, MATCH('Staging Table'!$A80, LS_previous!$B$4:$B$138, 0), MATCH(P$4&amp;P$5, LS_previous!$D$2:$AY$2&amp;LS_previous!$D$3:$AY$3, 0)),SUM(VLOOKUP($A80, LS_previous!$B$4:$AY$138, LS_previous!H$149, FALSE), VLOOKUP('Staging Table'!$A80, LS_previous!$B$4:$AY$138,LS_previous!AF$149, FALSE))/2)</f>
        <v>0</v>
      </c>
      <c r="Q80" s="192">
        <f t="array" ref="Q80">IF($G80=0, INDEX(LS_previous!$D$4:$AY$138, MATCH('Staging Table'!$A80, LS_previous!$B$4:$B$138, 0), MATCH(Q$4&amp;Q$5, LS_previous!$D$2:$AY$2&amp;LS_previous!$D$3:$AY$3, 0)),SUM(VLOOKUP($A80, LS_previous!$B$4:$AY$138, LS_previous!I$149, FALSE), VLOOKUP('Staging Table'!$A80, LS_previous!$B$4:$AY$138,LS_previous!AG$149, FALSE))/2)</f>
        <v>0</v>
      </c>
      <c r="R80" s="192">
        <f t="array" ref="R80">IF($G80=0, INDEX(LS_previous!$D$4:$AY$138, MATCH('Staging Table'!$A80, LS_previous!$B$4:$B$138, 0), MATCH(R$4&amp;R$5, LS_previous!$D$2:$AY$2&amp;LS_previous!$D$3:$AY$3, 0)),SUM(VLOOKUP($A80, LS_previous!$B$4:$AY$138, LS_previous!J$149, FALSE), VLOOKUP('Staging Table'!$A80, LS_previous!$B$4:$AY$138,LS_previous!AH$149, FALSE))/2)</f>
        <v>0</v>
      </c>
      <c r="S80" s="192">
        <f t="array" ref="S80">IF($G80=0, INDEX(LS_previous!$D$4:$AY$138, MATCH('Staging Table'!$A80, LS_previous!$B$4:$B$138, 0), MATCH(S$4&amp;S$5, LS_previous!$D$2:$AY$2&amp;LS_previous!$D$3:$AY$3, 0)),SUM(VLOOKUP($A80, LS_previous!$B$4:$AY$138, LS_previous!K$149, FALSE), VLOOKUP('Staging Table'!$A80, LS_previous!$B$4:$AY$138,LS_previous!AI$149, FALSE))/2)</f>
        <v>0</v>
      </c>
      <c r="T80" s="192">
        <f t="array" ref="T80">IF($G80=0, INDEX(LS_previous!$D$4:$AY$138, MATCH('Staging Table'!$A80, LS_previous!$B$4:$B$138, 0), MATCH(T$4&amp;T$5, LS_previous!$D$2:$AY$2&amp;LS_previous!$D$3:$AY$3, 0)),SUM(VLOOKUP($A80, LS_previous!$B$4:$AY$138, LS_previous!L$149, FALSE), VLOOKUP('Staging Table'!$A80, LS_previous!$B$4:$AY$138,LS_previous!AJ$149, FALSE))/2)</f>
        <v>0</v>
      </c>
      <c r="U80" s="192">
        <f t="array" ref="U80">IF($G80=0, INDEX(LS_previous!$D$4:$AY$138, MATCH('Staging Table'!$A80, LS_previous!$B$4:$B$138, 0), MATCH(U$4&amp;U$5, LS_previous!$D$2:$AY$2&amp;LS_previous!$D$3:$AY$3, 0)),SUM(VLOOKUP($A80, LS_previous!$B$4:$AY$138, LS_previous!M$149, FALSE), VLOOKUP('Staging Table'!$A80, LS_previous!$B$4:$AY$138,LS_previous!AK$149, FALSE))/2)</f>
        <v>0</v>
      </c>
      <c r="V80" s="192">
        <f t="array" ref="V80">IF($G80=0, INDEX(LS_previous!$D$4:$AY$138, MATCH('Staging Table'!$A80, LS_previous!$B$4:$B$138, 0), MATCH(V$4&amp;V$5, LS_previous!$D$2:$AY$2&amp;LS_previous!$D$3:$AY$3, 0)),SUM(VLOOKUP($A80, LS_previous!$B$4:$AY$138, LS_previous!N$149, FALSE), VLOOKUP('Staging Table'!$A80, LS_previous!$B$4:$AY$138,LS_previous!AL$149, FALSE))/2)</f>
        <v>0</v>
      </c>
      <c r="W80" s="192">
        <f t="array" ref="W80">IF($G80=0, INDEX(LS_previous!$D$4:$AY$138, MATCH('Staging Table'!$A80, LS_previous!$B$4:$B$138, 0), MATCH(W$4&amp;W$5, LS_previous!$D$2:$AY$2&amp;LS_previous!$D$3:$AY$3, 0)),SUM(VLOOKUP($A80, LS_previous!$B$4:$AY$138, LS_previous!O$149, FALSE), VLOOKUP('Staging Table'!$A80, LS_previous!$B$4:$AY$138,LS_previous!AM$149, FALSE))/2)</f>
        <v>0</v>
      </c>
      <c r="X80" s="192">
        <f t="array" ref="X80">IF($G80=0, INDEX(LS_previous!$D$4:$AY$138, MATCH('Staging Table'!$A80, LS_previous!$B$4:$B$138, 0), MATCH(X$4&amp;X$5, LS_previous!$D$2:$AY$2&amp;LS_previous!$D$3:$AY$3, 0)),SUM(VLOOKUP($A80, LS_previous!$B$4:$AY$138, LS_previous!P$149, FALSE), VLOOKUP('Staging Table'!$A80, LS_previous!$B$4:$AY$138,LS_previous!AN$149, FALSE))/2)</f>
        <v>0</v>
      </c>
      <c r="Y80" s="192">
        <f t="array" ref="Y80">IF($G80=0, INDEX(LS_previous!$D$4:$AY$138, MATCH('Staging Table'!$A80, LS_previous!$B$4:$B$138, 0), MATCH(Y$4&amp;Y$5, LS_previous!$D$2:$AY$2&amp;LS_previous!$D$3:$AY$3, 0)),SUM(VLOOKUP($A80, LS_previous!$B$4:$AY$138, LS_previous!Q$149, FALSE), VLOOKUP('Staging Table'!$A80, LS_previous!$B$4:$AY$138,LS_previous!AO$149, FALSE))/2)</f>
        <v>0</v>
      </c>
      <c r="Z80" s="192">
        <f t="array" ref="Z80">IF($G80=0, INDEX(LS_previous!$D$4:$AY$138, MATCH('Staging Table'!$A80, LS_previous!$B$4:$B$138, 0), MATCH(Z$4&amp;Z$5, LS_previous!$D$2:$AY$2&amp;LS_previous!$D$3:$AY$3, 0)),SUM(VLOOKUP($A80, LS_previous!$B$4:$AY$138, LS_previous!R$149, FALSE), VLOOKUP('Staging Table'!$A80, LS_previous!$B$4:$AY$138,LS_previous!AP$149, FALSE))/2)</f>
        <v>0</v>
      </c>
      <c r="AA80" s="192">
        <f t="array" ref="AA80">IF($G80=0, INDEX(LS_previous!$D$4:$AY$138, MATCH('Staging Table'!$A80, LS_previous!$B$4:$B$138, 0), MATCH(AA$4&amp;AA$5, LS_previous!$D$2:$AY$2&amp;LS_previous!$D$3:$AY$3, 0)),SUM(VLOOKUP($A80, LS_previous!$B$4:$AY$138, LS_previous!S$149, FALSE), VLOOKUP('Staging Table'!$A80, LS_previous!$B$4:$AY$138,LS_previous!AQ$149, FALSE))/2)</f>
        <v>0</v>
      </c>
      <c r="AB80" s="192">
        <f t="array" ref="AB80">IF($G80=0, INDEX(LS_previous!$D$4:$AY$138, MATCH('Staging Table'!$A80, LS_previous!$B$4:$B$138, 0), MATCH(AB$4&amp;AB$5, LS_previous!$D$2:$AY$2&amp;LS_previous!$D$3:$AY$3, 0)),SUM(VLOOKUP($A80, LS_previous!$B$4:$AY$138, LS_previous!T$149, FALSE), VLOOKUP('Staging Table'!$A80, LS_previous!$B$4:$AY$138,LS_previous!AR$149, FALSE))/2)</f>
        <v>0</v>
      </c>
      <c r="AC80" s="192">
        <f t="array" ref="AC80">IF($G80=0, INDEX(LS_previous!$D$4:$AY$138, MATCH('Staging Table'!$A80, LS_previous!$B$4:$B$138, 0), MATCH(AC$4&amp;AC$5, LS_previous!$D$2:$AY$2&amp;LS_previous!$D$3:$AY$3, 0)),SUM(VLOOKUP($A80, LS_previous!$B$4:$AY$138, LS_previous!U$149, FALSE), VLOOKUP('Staging Table'!$A80, LS_previous!$B$4:$AY$138,LS_previous!AS$149, FALSE))/2)</f>
        <v>0</v>
      </c>
      <c r="AD80" s="192">
        <f t="array" ref="AD80">IF($G80=0, INDEX(LS_previous!$D$4:$AY$138, MATCH('Staging Table'!$A80, LS_previous!$B$4:$B$138, 0), MATCH(AD$4&amp;AD$5, LS_previous!$D$2:$AY$2&amp;LS_previous!$D$3:$AY$3, 0)),SUM(VLOOKUP($A80, LS_previous!$B$4:$AY$138, LS_previous!V$149, FALSE), VLOOKUP('Staging Table'!$A80, LS_previous!$B$4:$AY$138,LS_previous!AT$149, FALSE))/2)</f>
        <v>0</v>
      </c>
      <c r="AE80" s="192">
        <f t="array" ref="AE80">IF($G80=0, INDEX(LS_previous!$D$4:$AY$138, MATCH('Staging Table'!$A80, LS_previous!$B$4:$B$138, 0), MATCH(AE$4&amp;AE$5, LS_previous!$D$2:$AY$2&amp;LS_previous!$D$3:$AY$3, 0)),SUM(VLOOKUP($A80, LS_previous!$B$4:$AY$138, LS_previous!W$149, FALSE), VLOOKUP('Staging Table'!$A80, LS_previous!$B$4:$AY$138,LS_previous!AU$149, FALSE))/2)</f>
        <v>0</v>
      </c>
      <c r="AF80" s="192">
        <f t="array" ref="AF80">IF($G80=0, INDEX(LS_previous!$D$4:$AY$138, MATCH('Staging Table'!$A80, LS_previous!$B$4:$B$138, 0), MATCH(AF$4&amp;AF$5, LS_previous!$D$2:$AY$2&amp;LS_previous!$D$3:$AY$3, 0)),SUM(VLOOKUP($A80, LS_previous!$B$4:$AY$138, LS_previous!X$149, FALSE), VLOOKUP('Staging Table'!$A80, LS_previous!$B$4:$AY$138,LS_previous!AV$149, FALSE))/2)</f>
        <v>0</v>
      </c>
      <c r="AG80" s="192">
        <f t="array" ref="AG80">IF($G80=0, INDEX(LS_previous!$D$4:$AY$138, MATCH('Staging Table'!$A80, LS_previous!$B$4:$B$138, 0), MATCH(AG$4&amp;AG$5, LS_previous!$D$2:$AY$2&amp;LS_previous!$D$3:$AY$3, 0)),SUM(VLOOKUP($A80, LS_previous!$B$4:$AY$138, LS_previous!Y$149, FALSE), VLOOKUP('Staging Table'!$A80, LS_previous!$B$4:$AY$138,LS_previous!AW$149, FALSE))/2)</f>
        <v>0</v>
      </c>
      <c r="AH80" s="192">
        <f t="array" ref="AH80">IF($G80=0, INDEX(LS_previous!$D$4:$AY$138, MATCH('Staging Table'!$A80, LS_previous!$B$4:$B$138, 0), MATCH(AH$4&amp;AH$5, LS_previous!$D$2:$AY$2&amp;LS_previous!$D$3:$AY$3, 0)),SUM(VLOOKUP($A80, LS_previous!$B$4:$AY$138, LS_previous!Z$149, FALSE), VLOOKUP('Staging Table'!$A80, LS_previous!$B$4:$AY$138,LS_previous!AX$149, FALSE))/2)</f>
        <v>0</v>
      </c>
      <c r="AI80" s="192">
        <f t="array" ref="AI80">IF($G80=0, INDEX(LS_previous!$D$4:$AY$138, MATCH('Staging Table'!$A80, LS_previous!$B$4:$B$138, 0), MATCH(AI$4&amp;AI$5, LS_previous!$D$2:$AY$2&amp;LS_previous!$D$3:$AY$3, 0)),SUM(VLOOKUP($A80, LS_previous!$B$4:$AY$138, LS_previous!AA$149, FALSE), VLOOKUP('Staging Table'!$A80, LS_previous!$B$4:$AY$138,LS_previous!AY$149, FALSE))/2)</f>
        <v>0</v>
      </c>
      <c r="AJ80" s="314">
        <f t="array" ref="AJ80">INDEX(Demand_previous!$D$4:$AY$138, MATCH('Staging Table'!$A80, Demand_previous!$B$4:$B$138, 0), MATCH(AJ$4&amp;AJ$5,Demand_previous!$D$2:$AY$2&amp;Demand_previous!$D$3:$AY$3, 0))/1000</f>
        <v>0</v>
      </c>
      <c r="AK80" s="314">
        <f t="array" ref="AK80">INDEX(Demand_previous!$D$4:$AY$138, MATCH('Staging Table'!$A80, Demand_previous!$B$4:$B$138, 0), MATCH(AK$4&amp;AK$5,Demand_previous!$D$2:$AY$2&amp;Demand_previous!$D$3:$AY$3, 0))/1000</f>
        <v>0</v>
      </c>
      <c r="AL80" s="314">
        <f t="array" ref="AL80">INDEX(Demand_previous!$D$4:$AY$138, MATCH('Staging Table'!$A80, Demand_previous!$B$4:$B$138, 0), MATCH(AL$4&amp;AL$5,Demand_previous!$D$2:$AY$2&amp;Demand_previous!$D$3:$AY$3, 0))/1000</f>
        <v>0</v>
      </c>
      <c r="AM80" s="314">
        <f t="array" ref="AM80">INDEX(Demand_previous!$D$4:$AY$138, MATCH('Staging Table'!$A80, Demand_previous!$B$4:$B$138, 0), MATCH(AM$4&amp;AM$5,Demand_previous!$D$2:$AY$2&amp;Demand_previous!$D$3:$AY$3, 0))/1000</f>
        <v>0</v>
      </c>
      <c r="AN80" s="314">
        <f t="array" ref="AN80">INDEX(Demand_previous!$D$4:$AY$138, MATCH('Staging Table'!$A80, Demand_previous!$B$4:$B$138, 0), MATCH(AN$4&amp;AN$5,Demand_previous!$D$2:$AY$2&amp;Demand_previous!$D$3:$AY$3, 0))/1000</f>
        <v>0</v>
      </c>
      <c r="AO80" s="314">
        <f t="array" ref="AO80">INDEX(Demand_previous!$D$4:$AY$138, MATCH('Staging Table'!$A80, Demand_previous!$B$4:$B$138, 0), MATCH(AO$4&amp;AO$5,Demand_previous!$D$2:$AY$2&amp;Demand_previous!$D$3:$AY$3, 0))/1000</f>
        <v>0</v>
      </c>
      <c r="AP80" s="314">
        <f t="array" ref="AP80">INDEX(Demand_previous!$D$4:$AY$138, MATCH('Staging Table'!$A80, Demand_previous!$B$4:$B$138, 0), MATCH(AP$4&amp;AP$5,Demand_previous!$D$2:$AY$2&amp;Demand_previous!$D$3:$AY$3, 0))/1000</f>
        <v>0</v>
      </c>
      <c r="AQ80" s="314">
        <f t="array" ref="AQ80">INDEX(Demand_previous!$D$4:$AY$138, MATCH('Staging Table'!$A80, Demand_previous!$B$4:$B$138, 0), MATCH(AQ$4&amp;AQ$5,Demand_previous!$D$2:$AY$2&amp;Demand_previous!$D$3:$AY$3, 0))/1000</f>
        <v>0</v>
      </c>
      <c r="AR80" s="314">
        <f t="array" ref="AR80">INDEX(Demand_previous!$D$4:$AY$138, MATCH('Staging Table'!$A80, Demand_previous!$B$4:$B$138, 0), MATCH(AR$4&amp;AR$5,Demand_previous!$D$2:$AY$2&amp;Demand_previous!$D$3:$AY$3, 0))/1000</f>
        <v>0</v>
      </c>
      <c r="AS80" s="314">
        <f t="array" ref="AS80">INDEX(Demand_previous!$D$4:$AY$138, MATCH('Staging Table'!$A80, Demand_previous!$B$4:$B$138, 0), MATCH(AS$4&amp;AS$5,Demand_previous!$D$2:$AY$2&amp;Demand_previous!$D$3:$AY$3, 0))/1000</f>
        <v>0</v>
      </c>
      <c r="AT80" s="314">
        <f t="array" ref="AT80">INDEX(Demand_previous!$D$4:$AY$138, MATCH('Staging Table'!$A80, Demand_previous!$B$4:$B$138, 0), MATCH(AT$4&amp;AT$5,Demand_previous!$D$2:$AY$2&amp;Demand_previous!$D$3:$AY$3, 0))/1000</f>
        <v>0</v>
      </c>
      <c r="AU80" s="314">
        <f t="array" ref="AU80">INDEX(Demand_previous!$D$4:$AY$138, MATCH('Staging Table'!$A80, Demand_previous!$B$4:$B$138, 0), MATCH(AU$4&amp;AU$5,Demand_previous!$D$2:$AY$2&amp;Demand_previous!$D$3:$AY$3, 0))/1000</f>
        <v>0</v>
      </c>
      <c r="AV80" s="192">
        <f>$F80*(VLOOKUP(AV$4, Rates_previous!$G$6:$Q$29, 10, FALSE)+VLOOKUP(AV$4, Rates_previous!$G$6:$Q$29, 11, FALSE))</f>
        <v>18035.240967575999</v>
      </c>
      <c r="AW80" s="192">
        <f>$F80*(VLOOKUP(AW$4, Rates_previous!$G$6:$Q$29, 10, FALSE)+VLOOKUP(AW$4, Rates_previous!$G$6:$Q$29, 11, FALSE))</f>
        <v>22910.382231534</v>
      </c>
      <c r="AX80" s="192">
        <f>$F80*(VLOOKUP(AX$4, Rates_previous!$G$6:$Q$29, 10, FALSE)+VLOOKUP(AX$4, Rates_previous!$G$6:$Q$29, 11, FALSE))</f>
        <v>22633.708365576003</v>
      </c>
      <c r="AY80" s="192">
        <f>$F80*(VLOOKUP(AY$4, Rates_previous!$G$6:$Q$29, 10, FALSE)+VLOOKUP(AY$4, Rates_previous!$G$6:$Q$29, 11, FALSE))</f>
        <v>18866.574477576003</v>
      </c>
      <c r="AZ80" s="192">
        <f>$F80*(VLOOKUP(AZ$4, Rates_previous!$G$6:$Q$29, 10, FALSE)+VLOOKUP(AZ$4, Rates_previous!$G$6:$Q$29, 11, FALSE))</f>
        <v>17091.1592208</v>
      </c>
      <c r="BA80" s="192">
        <f>$F80*(VLOOKUP(BA$4, Rates_previous!$G$6:$Q$29, 10, FALSE)+VLOOKUP(BA$4, Rates_previous!$G$6:$Q$29, 11, FALSE))</f>
        <v>19010.798609922</v>
      </c>
      <c r="BB80" s="192">
        <f>$F80*(VLOOKUP(BB$4, Rates_previous!$G$6:$Q$29, 10, FALSE)+VLOOKUP(BB$4, Rates_previous!$G$6:$Q$29, 11, FALSE))</f>
        <v>15478.612742880001</v>
      </c>
      <c r="BC80" s="192">
        <f>$F80*(VLOOKUP(BC$4, Rates_previous!$G$6:$Q$29, 10, FALSE)+VLOOKUP(BC$4, Rates_previous!$G$6:$Q$29, 11, FALSE))</f>
        <v>20875.217400576003</v>
      </c>
      <c r="BD80" s="192">
        <f>$F80*(VLOOKUP(BD$4, Rates_previous!$G$6:$Q$29, 10, FALSE)+VLOOKUP(BD$4, Rates_previous!$G$6:$Q$29, 11, FALSE))</f>
        <v>26635.357649880003</v>
      </c>
      <c r="BE80" s="192">
        <f>$F80*(VLOOKUP(BE$4, Rates_previous!$G$6:$Q$29, 10, FALSE)+VLOOKUP(BE$4, Rates_previous!$G$6:$Q$29, 11, FALSE))</f>
        <v>20882.964951576003</v>
      </c>
      <c r="BF80" s="192">
        <f>$F80*(VLOOKUP(BF$4, Rates_previous!$G$6:$Q$29, 10, FALSE)+VLOOKUP(BF$4, Rates_previous!$G$6:$Q$29, 11, FALSE))</f>
        <v>20335.849578576002</v>
      </c>
      <c r="BG80" s="192">
        <f>$F80*(VLOOKUP(BG$4, Rates_previous!$G$6:$Q$29, 10, FALSE)+VLOOKUP(BG$4, Rates_previous!$G$6:$Q$29, 11, FALSE))</f>
        <v>18257.266928880003</v>
      </c>
      <c r="BH80" s="314">
        <f>IF($D80=0,IF(C80=0, MAX(BJ80 - (VLOOKUP($A80,TOCA_previous!$A$2:$AI$137,MATCH("RHWM 2020",TOCA_previous!$A$2:$AI$2,0),FALSE)*$F$2*TOCA_previous!C77),0),0), 0)</f>
        <v>0</v>
      </c>
      <c r="BI80" s="204">
        <f>MIN(VLOOKUP($A80,TOCA_previous!$A$2:$AI$137,MATCH("TRL - NLSL - Existing Resource "&amp;$F$1,TOCA_previous!$A$2:$AI$2,0),FALSE)*$F$2,(VLOOKUP($A80,TOCA_previous!$A$2:$AI$137,MATCH("RHWM 2020",TOCA_previous!$A$2:$AI$2,0),FALSE)*$F$2))</f>
        <v>241015.39199999999</v>
      </c>
      <c r="BJ80" s="418">
        <f>SUM(L80:AI80)+(F80*RT1SC!$C$3*$F$2)</f>
        <v>241013.14217164798</v>
      </c>
      <c r="BK80" s="417">
        <f>VLOOKUP($A80,TOCA_previous!$A$2:$AI$137,MATCH("Above RHWM Not Served with LS "&amp;$F$1,TOCA_previous!$A$2:$AI$2,0),FALSE)*$F$2</f>
        <v>0</v>
      </c>
      <c r="BL80" s="418">
        <f t="shared" si="27"/>
        <v>-2.2498283520108089</v>
      </c>
      <c r="BM80" s="417">
        <f>(VLOOKUP($A80,TOCA_previous!$A$2:$AI$137,MATCH("RHWM 2020",TOCA_previous!$A$2:$AI$2,0),FALSE)*$F$2) - $BI80</f>
        <v>13272.624000000011</v>
      </c>
      <c r="BN80" s="418">
        <f t="shared" si="28"/>
        <v>0</v>
      </c>
      <c r="BO80" s="417">
        <f t="shared" si="29"/>
        <v>2.2498283520108089</v>
      </c>
      <c r="BP80" s="418">
        <f t="shared" si="30"/>
        <v>0</v>
      </c>
      <c r="BQ80" s="417">
        <f t="shared" si="21"/>
        <v>2.2498283520108089</v>
      </c>
      <c r="BR80" s="120">
        <f>VLOOKUP($A80,TOCA_current!$A$2:$AI$137,MATCH(BR$4,TOCA_current!$A$2:$AI$2,0),FALSE)</f>
        <v>4.0645000000000004E-3</v>
      </c>
      <c r="BS80" s="120">
        <f>VLOOKUP($A80,TOCA_current!$A$2:$AI$137,MATCH(BS$4,TOCA_current!$A$2:$AI$2,0),FALSE)</f>
        <v>4.0645000000000004E-3</v>
      </c>
      <c r="BT80" s="201">
        <f t="shared" si="31"/>
        <v>0</v>
      </c>
      <c r="BU80" s="120">
        <f>VLOOKUP($A80,TOCA_current!A76:BG211,MATCH(BU$4,TOCA_current!$A$2:$BG$2,0),FALSE)</f>
        <v>6.5000000000000002E-2</v>
      </c>
      <c r="BV80" s="120">
        <f t="shared" si="22"/>
        <v>6.5000000000000002E-2</v>
      </c>
      <c r="BW80" s="120">
        <f t="shared" si="23"/>
        <v>4.0645000000000004E-3</v>
      </c>
      <c r="BX80" s="191">
        <f>VLOOKUP($A80,IRD!$A$4:$G$139, 7, FALSE)</f>
        <v>0</v>
      </c>
      <c r="BY80" s="192">
        <f t="array" ref="BY80">IF($BT80=0, INDEX(LS_current!$D$4:$AY$138, MATCH('Staging Table'!$A80, LS_current!$B$4:$B$138, 0), MATCH(BY$4&amp;BY$5, LS_current!$D$2:$AY$2&amp;LS_current!$D$3:$AY$3, 0)),SUM(VLOOKUP($A80, LS_current!$B$4:$AY$138, LS_current!D$148, FALSE), VLOOKUP($A80, LS_current!$B$4:$AY$138,LS_current!AB$148, FALSE))/2)</f>
        <v>0</v>
      </c>
      <c r="BZ80" s="192">
        <f t="array" ref="BZ80">IF($BT80=0, INDEX(LS_current!$D$4:$AY$138, MATCH('Staging Table'!$A80, LS_current!$B$4:$B$138, 0), MATCH(BZ$4&amp;BZ$5, LS_current!$D$2:$AY$2&amp;LS_current!$D$3:$AY$3, 0)),SUM(VLOOKUP($A80, LS_current!$B$4:$AY$138, LS_current!E$148, FALSE), VLOOKUP($A80, LS_current!$B$4:$AY$138,LS_current!AC$148, FALSE))/2)</f>
        <v>0</v>
      </c>
      <c r="CA80" s="192">
        <f t="array" ref="CA80">IF($BT80=0, INDEX(LS_current!$D$4:$AY$138, MATCH('Staging Table'!$A80, LS_current!$B$4:$B$138, 0), MATCH(CA$4&amp;CA$5, LS_current!$D$2:$AY$2&amp;LS_current!$D$3:$AY$3, 0)),SUM(VLOOKUP($A80, LS_current!$B$4:$AY$138, LS_current!F$148, FALSE), VLOOKUP($A80, LS_current!$B$4:$AY$138,LS_current!AD$148, FALSE))/2)</f>
        <v>0</v>
      </c>
      <c r="CB80" s="192">
        <f t="array" ref="CB80">IF($BT80=0, INDEX(LS_current!$D$4:$AY$138, MATCH('Staging Table'!$A80, LS_current!$B$4:$B$138, 0), MATCH(CB$4&amp;CB$5, LS_current!$D$2:$AY$2&amp;LS_current!$D$3:$AY$3, 0)),SUM(VLOOKUP($A80, LS_current!$B$4:$AY$138, LS_current!G$148, FALSE), VLOOKUP($A80, LS_current!$B$4:$AY$138,LS_current!AE$148, FALSE))/2)</f>
        <v>0</v>
      </c>
      <c r="CC80" s="192">
        <f t="array" ref="CC80">IF($BT80=0, INDEX(LS_current!$D$4:$AY$138, MATCH('Staging Table'!$A80, LS_current!$B$4:$B$138, 0), MATCH(CC$4&amp;CC$5, LS_current!$D$2:$AY$2&amp;LS_current!$D$3:$AY$3, 0)),SUM(VLOOKUP($A80, LS_current!$B$4:$AY$138, LS_current!H$148, FALSE), VLOOKUP($A80, LS_current!$B$4:$AY$138,LS_current!AF$148, FALSE))/2)</f>
        <v>0</v>
      </c>
      <c r="CD80" s="192">
        <f t="array" ref="CD80">IF($BT80=0, INDEX(LS_current!$D$4:$AY$138, MATCH('Staging Table'!$A80, LS_current!$B$4:$B$138, 0), MATCH(CD$4&amp;CD$5, LS_current!$D$2:$AY$2&amp;LS_current!$D$3:$AY$3, 0)),SUM(VLOOKUP($A80, LS_current!$B$4:$AY$138, LS_current!I$148, FALSE), VLOOKUP($A80, LS_current!$B$4:$AY$138,LS_current!AG$148, FALSE))/2)</f>
        <v>0</v>
      </c>
      <c r="CE80" s="192">
        <f t="array" ref="CE80">IF($BT80=0, INDEX(LS_current!$D$4:$AY$138, MATCH('Staging Table'!$A80, LS_current!$B$4:$B$138, 0), MATCH(CE$4&amp;CE$5, LS_current!$D$2:$AY$2&amp;LS_current!$D$3:$AY$3, 0)),SUM(VLOOKUP($A80, LS_current!$B$4:$AY$138, LS_current!J$148, FALSE), VLOOKUP($A80, LS_current!$B$4:$AY$138,LS_current!AH$148, FALSE))/2)</f>
        <v>0</v>
      </c>
      <c r="CF80" s="192">
        <f t="array" ref="CF80">IF($BT80=0, INDEX(LS_current!$D$4:$AY$138, MATCH('Staging Table'!$A80, LS_current!$B$4:$B$138, 0), MATCH(CF$4&amp;CF$5, LS_current!$D$2:$AY$2&amp;LS_current!$D$3:$AY$3, 0)),SUM(VLOOKUP($A80, LS_current!$B$4:$AY$138, LS_current!K$148, FALSE), VLOOKUP($A80, LS_current!$B$4:$AY$138,LS_current!AI$148, FALSE))/2)</f>
        <v>0</v>
      </c>
      <c r="CG80" s="192">
        <f t="array" ref="CG80">IF($BT80=0, INDEX(LS_current!$D$4:$AY$138, MATCH('Staging Table'!$A80, LS_current!$B$4:$B$138, 0), MATCH(CG$4&amp;CG$5, LS_current!$D$2:$AY$2&amp;LS_current!$D$3:$AY$3, 0)),SUM(VLOOKUP($A80, LS_current!$B$4:$AY$138, LS_current!L$148, FALSE), VLOOKUP($A80, LS_current!$B$4:$AY$138,LS_current!AJ$148, FALSE))/2)</f>
        <v>0</v>
      </c>
      <c r="CH80" s="192">
        <f t="array" ref="CH80">IF($BT80=0, INDEX(LS_current!$D$4:$AY$138, MATCH('Staging Table'!$A80, LS_current!$B$4:$B$138, 0), MATCH(CH$4&amp;CH$5, LS_current!$D$2:$AY$2&amp;LS_current!$D$3:$AY$3, 0)),SUM(VLOOKUP($A80, LS_current!$B$4:$AY$138, LS_current!M$148, FALSE), VLOOKUP($A80, LS_current!$B$4:$AY$138,LS_current!AK$148, FALSE))/2)</f>
        <v>0</v>
      </c>
      <c r="CI80" s="192">
        <f t="array" ref="CI80">IF($BT80=0, INDEX(LS_current!$D$4:$AY$138, MATCH('Staging Table'!$A80, LS_current!$B$4:$B$138, 0), MATCH(CI$4&amp;CI$5, LS_current!$D$2:$AY$2&amp;LS_current!$D$3:$AY$3, 0)),SUM(VLOOKUP($A80, LS_current!$B$4:$AY$138, LS_current!N$148, FALSE), VLOOKUP($A80, LS_current!$B$4:$AY$138,LS_current!AL$148, FALSE))/2)</f>
        <v>0</v>
      </c>
      <c r="CJ80" s="192">
        <f t="array" ref="CJ80">IF($BT80=0, INDEX(LS_current!$D$4:$AY$138, MATCH('Staging Table'!$A80, LS_current!$B$4:$B$138, 0), MATCH(CJ$4&amp;CJ$5, LS_current!$D$2:$AY$2&amp;LS_current!$D$3:$AY$3, 0)),SUM(VLOOKUP($A80, LS_current!$B$4:$AY$138, LS_current!O$148, FALSE), VLOOKUP($A80, LS_current!$B$4:$AY$138,LS_current!AM$148, FALSE))/2)</f>
        <v>0</v>
      </c>
      <c r="CK80" s="192">
        <f t="array" ref="CK80">IF($BT80=0, INDEX(LS_current!$D$4:$AY$138, MATCH('Staging Table'!$A80, LS_current!$B$4:$B$138, 0), MATCH(CK$4&amp;CK$5, LS_current!$D$2:$AY$2&amp;LS_current!$D$3:$AY$3, 0)),SUM(VLOOKUP($A80, LS_current!$B$4:$AY$138, LS_current!P$148, FALSE), VLOOKUP($A80, LS_current!$B$4:$AY$138,LS_current!AN$148, FALSE))/2)</f>
        <v>0</v>
      </c>
      <c r="CL80" s="192">
        <f t="array" ref="CL80">IF($BT80=0, INDEX(LS_current!$D$4:$AY$138, MATCH('Staging Table'!$A80, LS_current!$B$4:$B$138, 0), MATCH(CL$4&amp;CL$5, LS_current!$D$2:$AY$2&amp;LS_current!$D$3:$AY$3, 0)),SUM(VLOOKUP($A80, LS_current!$B$4:$AY$138, LS_current!Q$148, FALSE), VLOOKUP($A80, LS_current!$B$4:$AY$138,LS_current!AO$148, FALSE))/2)</f>
        <v>0</v>
      </c>
      <c r="CM80" s="192">
        <f t="array" ref="CM80">IF($BT80=0, INDEX(LS_current!$D$4:$AY$138, MATCH('Staging Table'!$A80, LS_current!$B$4:$B$138, 0), MATCH(CM$4&amp;CM$5, LS_current!$D$2:$AY$2&amp;LS_current!$D$3:$AY$3, 0)),SUM(VLOOKUP($A80, LS_current!$B$4:$AY$138, LS_current!R$148, FALSE), VLOOKUP($A80, LS_current!$B$4:$AY$138,LS_current!AP$148, FALSE))/2)</f>
        <v>0</v>
      </c>
      <c r="CN80" s="192">
        <f t="array" ref="CN80">IF($BT80=0, INDEX(LS_current!$D$4:$AY$138, MATCH('Staging Table'!$A80, LS_current!$B$4:$B$138, 0), MATCH(CN$4&amp;CN$5, LS_current!$D$2:$AY$2&amp;LS_current!$D$3:$AY$3, 0)),SUM(VLOOKUP($A80, LS_current!$B$4:$AY$138, LS_current!S$148, FALSE), VLOOKUP($A80, LS_current!$B$4:$AY$138,LS_current!AQ$148, FALSE))/2)</f>
        <v>0</v>
      </c>
      <c r="CO80" s="192">
        <f t="array" ref="CO80">IF($BT80=0, INDEX(LS_current!$D$4:$AY$138, MATCH('Staging Table'!$A80, LS_current!$B$4:$B$138, 0), MATCH(CO$4&amp;CO$5, LS_current!$D$2:$AY$2&amp;LS_current!$D$3:$AY$3, 0)),SUM(VLOOKUP($A80, LS_current!$B$4:$AY$138, LS_current!T$148, FALSE), VLOOKUP($A80, LS_current!$B$4:$AY$138,LS_current!AR$148, FALSE))/2)</f>
        <v>0</v>
      </c>
      <c r="CP80" s="192">
        <f t="array" ref="CP80">IF($BT80=0, INDEX(LS_current!$D$4:$AY$138, MATCH('Staging Table'!$A80, LS_current!$B$4:$B$138, 0), MATCH(CP$4&amp;CP$5, LS_current!$D$2:$AY$2&amp;LS_current!$D$3:$AY$3, 0)),SUM(VLOOKUP($A80, LS_current!$B$4:$AY$138, LS_current!U$148, FALSE), VLOOKUP($A80, LS_current!$B$4:$AY$138,LS_current!AS$148, FALSE))/2)</f>
        <v>0</v>
      </c>
      <c r="CQ80" s="192">
        <f t="array" ref="CQ80">IF($BT80=0, INDEX(LS_current!$D$4:$AY$138, MATCH('Staging Table'!$A80, LS_current!$B$4:$B$138, 0), MATCH(CQ$4&amp;CQ$5, LS_current!$D$2:$AY$2&amp;LS_current!$D$3:$AY$3, 0)),SUM(VLOOKUP($A80, LS_current!$B$4:$AY$138, LS_current!V$148, FALSE), VLOOKUP($A80, LS_current!$B$4:$AY$138,LS_current!AT$148, FALSE))/2)</f>
        <v>0</v>
      </c>
      <c r="CR80" s="192">
        <f t="array" ref="CR80">IF($BT80=0, INDEX(LS_current!$D$4:$AY$138, MATCH('Staging Table'!$A80, LS_current!$B$4:$B$138, 0), MATCH(CR$4&amp;CR$5, LS_current!$D$2:$AY$2&amp;LS_current!$D$3:$AY$3, 0)),SUM(VLOOKUP($A80, LS_current!$B$4:$AY$138, LS_current!W$148, FALSE), VLOOKUP($A80, LS_current!$B$4:$AY$138,LS_current!AU$148, FALSE))/2)</f>
        <v>0</v>
      </c>
      <c r="CS80" s="192">
        <f t="array" ref="CS80">IF($BT80=0, INDEX(LS_current!$D$4:$AY$138, MATCH('Staging Table'!$A80, LS_current!$B$4:$B$138, 0), MATCH(CS$4&amp;CS$5, LS_current!$D$2:$AY$2&amp;LS_current!$D$3:$AY$3, 0)),SUM(VLOOKUP($A80, LS_current!$B$4:$AY$138, LS_current!X$148, FALSE), VLOOKUP($A80, LS_current!$B$4:$AY$138,LS_current!AV$148, FALSE))/2)</f>
        <v>0</v>
      </c>
      <c r="CT80" s="192">
        <f t="array" ref="CT80">IF($BT80=0, INDEX(LS_current!$D$4:$AY$138, MATCH('Staging Table'!$A80, LS_current!$B$4:$B$138, 0), MATCH(CT$4&amp;CT$5, LS_current!$D$2:$AY$2&amp;LS_current!$D$3:$AY$3, 0)),SUM(VLOOKUP($A80, LS_current!$B$4:$AY$138, LS_current!Y$148, FALSE), VLOOKUP($A80, LS_current!$B$4:$AY$138,LS_current!AW$148, FALSE))/2)</f>
        <v>0</v>
      </c>
      <c r="CU80" s="192">
        <f t="array" ref="CU80">IF($BT80=0, INDEX(LS_current!$D$4:$AY$138, MATCH('Staging Table'!$A80, LS_current!$B$4:$B$138, 0), MATCH(CU$4&amp;CU$5, LS_current!$D$2:$AY$2&amp;LS_current!$D$3:$AY$3, 0)),SUM(VLOOKUP($A80, LS_current!$B$4:$AY$138, LS_current!Z$148, FALSE), VLOOKUP($A80, LS_current!$B$4:$AY$138,LS_current!AX$148, FALSE))/2)</f>
        <v>0</v>
      </c>
      <c r="CV80" s="192">
        <f t="array" ref="CV80">IF($BT80=0, INDEX(LS_current!$D$4:$AY$138, MATCH('Staging Table'!$A80, LS_current!$B$4:$B$138, 0), MATCH(CV$4&amp;CV$5, LS_current!$D$2:$AY$2&amp;LS_current!$D$3:$AY$3, 0)),SUM(VLOOKUP($A80, LS_current!$B$4:$AY$138, LS_current!AA$148, FALSE), VLOOKUP($A80, LS_current!$B$4:$AY$138,LS_current!AY$148, FALSE))/2)</f>
        <v>0</v>
      </c>
      <c r="CW80" s="194">
        <f t="array" ref="CW80">INDEX(Demand_current!$D$4:$AY$138, MATCH($A80, Demand_current!$B$4:$B$138, 0), MATCH(CW$4&amp;CW$5,Demand_current!$D$2:$AY$2&amp;Demand_current!$D$3:$AY$3, 0))/1000</f>
        <v>0</v>
      </c>
      <c r="CX80" s="194">
        <f t="array" ref="CX80">INDEX(Demand_current!$D$4:$AY$138, MATCH($A80, Demand_current!$B$4:$B$138, 0), MATCH(CX$4&amp;CX$5,Demand_current!$D$2:$AY$2&amp;Demand_current!$D$3:$AY$3, 0))/1000</f>
        <v>0</v>
      </c>
      <c r="CY80" s="194">
        <f t="array" ref="CY80">INDEX(Demand_current!$D$4:$AY$138, MATCH($A80, Demand_current!$B$4:$B$138, 0), MATCH(CY$4&amp;CY$5,Demand_current!$D$2:$AY$2&amp;Demand_current!$D$3:$AY$3, 0))/1000</f>
        <v>0</v>
      </c>
      <c r="CZ80" s="194">
        <f t="array" ref="CZ80">INDEX(Demand_current!$D$4:$AY$138, MATCH($A80, Demand_current!$B$4:$B$138, 0), MATCH(CZ$4&amp;CZ$5,Demand_current!$D$2:$AY$2&amp;Demand_current!$D$3:$AY$3, 0))/1000</f>
        <v>0</v>
      </c>
      <c r="DA80" s="194">
        <f t="array" ref="DA80">INDEX(Demand_current!$D$4:$AY$138, MATCH($A80, Demand_current!$B$4:$B$138, 0), MATCH(DA$4&amp;DA$5,Demand_current!$D$2:$AY$2&amp;Demand_current!$D$3:$AY$3, 0))/1000</f>
        <v>0</v>
      </c>
      <c r="DB80" s="194">
        <f t="array" ref="DB80">INDEX(Demand_current!$D$4:$AY$138, MATCH($A80, Demand_current!$B$4:$B$138, 0), MATCH(DB$4&amp;DB$5,Demand_current!$D$2:$AY$2&amp;Demand_current!$D$3:$AY$3, 0))/1000</f>
        <v>0</v>
      </c>
      <c r="DC80" s="194">
        <f t="array" ref="DC80">INDEX(Demand_current!$D$4:$AY$138, MATCH($A80, Demand_current!$B$4:$B$138, 0), MATCH(DC$4&amp;DC$5,Demand_current!$D$2:$AY$2&amp;Demand_current!$D$3:$AY$3, 0))/1000</f>
        <v>0</v>
      </c>
      <c r="DD80" s="194">
        <f t="array" ref="DD80">INDEX(Demand_current!$D$4:$AY$138, MATCH($A80, Demand_current!$B$4:$B$138, 0), MATCH(DD$4&amp;DD$5,Demand_current!$D$2:$AY$2&amp;Demand_current!$D$3:$AY$3, 0))/1000</f>
        <v>0</v>
      </c>
      <c r="DE80" s="194">
        <f t="array" ref="DE80">INDEX(Demand_current!$D$4:$AY$138, MATCH($A80, Demand_current!$B$4:$B$138, 0), MATCH(DE$4&amp;DE$5,Demand_current!$D$2:$AY$2&amp;Demand_current!$D$3:$AY$3, 0))/1000</f>
        <v>0</v>
      </c>
      <c r="DF80" s="194">
        <f t="array" ref="DF80">INDEX(Demand_current!$D$4:$AY$138, MATCH($A80, Demand_current!$B$4:$B$138, 0), MATCH(DF$4&amp;DF$5,Demand_current!$D$2:$AY$2&amp;Demand_current!$D$3:$AY$3, 0))/1000</f>
        <v>0</v>
      </c>
      <c r="DG80" s="194">
        <f t="array" ref="DG80">INDEX(Demand_current!$D$4:$AY$138, MATCH($A80, Demand_current!$B$4:$B$138, 0), MATCH(DG$4&amp;DG$5,Demand_current!$D$2:$AY$2&amp;Demand_current!$D$3:$AY$3, 0))/1000</f>
        <v>0</v>
      </c>
      <c r="DH80" s="194">
        <f t="array" ref="DH80">INDEX(Demand_current!$D$4:$AY$138, MATCH($A80, Demand_current!$B$4:$B$138, 0), MATCH(DH$4&amp;DH$5,Demand_current!$D$2:$AY$2&amp;Demand_current!$D$3:$AY$3, 0))/1000</f>
        <v>0</v>
      </c>
      <c r="DI80" s="192">
        <f>$BS80*(VLOOKUP(DI$4, Rates_current!$G$6:$Q$29, 10, FALSE)+VLOOKUP(DI$4, Rates_current!$G$6:$Q$29, 11, FALSE))</f>
        <v>18509.425808191216</v>
      </c>
      <c r="DJ80" s="192">
        <f>$BS80*(VLOOKUP(DJ$4, Rates_current!$G$6:$Q$29, 10, FALSE)+VLOOKUP(DJ$4, Rates_current!$G$6:$Q$29, 11, FALSE))</f>
        <v>23433.60482645949</v>
      </c>
      <c r="DK80" s="192">
        <f>$BS80*(VLOOKUP(DK$4, Rates_current!$G$6:$Q$29, 10, FALSE)+VLOOKUP(DK$4, Rates_current!$G$6:$Q$29, 11, FALSE))</f>
        <v>22936.817484174204</v>
      </c>
      <c r="DL80" s="192">
        <f>$BS80*(VLOOKUP(DL$4, Rates_current!$G$6:$Q$29, 10, FALSE)+VLOOKUP(DL$4, Rates_current!$G$6:$Q$29, 11, FALSE))</f>
        <v>18944.835857390703</v>
      </c>
      <c r="DM80" s="192">
        <f>$BS80*(VLOOKUP(DM$4, Rates_current!$G$6:$Q$29, 10, FALSE)+VLOOKUP(DM$4, Rates_current!$G$6:$Q$29, 11, FALSE))</f>
        <v>16419.904453239753</v>
      </c>
      <c r="DN80" s="192">
        <f>$BS80*(VLOOKUP(DN$4, Rates_current!$G$6:$Q$29, 10, FALSE)+VLOOKUP(DN$4, Rates_current!$G$6:$Q$29, 11, FALSE))</f>
        <v>19602.050094028353</v>
      </c>
      <c r="DO80" s="192">
        <f>$BS80*(VLOOKUP(DO$4, Rates_current!$G$6:$Q$29, 10, FALSE)+VLOOKUP(DO$4, Rates_current!$G$6:$Q$29, 11, FALSE))</f>
        <v>15218.382298658313</v>
      </c>
      <c r="DP80" s="192">
        <f>$BS80*(VLOOKUP(DP$4, Rates_current!$G$6:$Q$29, 10, FALSE)+VLOOKUP(DP$4, Rates_current!$G$6:$Q$29, 11, FALSE))</f>
        <v>21085.18066662483</v>
      </c>
      <c r="DQ80" s="192">
        <f>$BS80*(VLOOKUP(DQ$4, Rates_current!$G$6:$Q$29, 10, FALSE)+VLOOKUP(DQ$4, Rates_current!$G$6:$Q$29, 11, FALSE))</f>
        <v>22529.957048076372</v>
      </c>
      <c r="DR80" s="192">
        <f>$BS80*(VLOOKUP(DR$4, Rates_current!$G$6:$Q$29, 10, FALSE)+VLOOKUP(DR$4, Rates_current!$G$6:$Q$29, 11, FALSE))</f>
        <v>21391.174024674041</v>
      </c>
      <c r="DS80" s="192">
        <f>$BS80*(VLOOKUP(DS$4, Rates_current!$G$6:$Q$29, 10, FALSE)+VLOOKUP(DS$4, Rates_current!$G$6:$Q$29, 11, FALSE))</f>
        <v>20672.919451633457</v>
      </c>
      <c r="DT80" s="192">
        <f>$BS80*(VLOOKUP(DT$4, Rates_current!$G$6:$Q$29, 10, FALSE)+VLOOKUP(DT$4, Rates_current!$G$6:$Q$29, 11, FALSE))</f>
        <v>19103.932639756858</v>
      </c>
      <c r="DU80" s="418">
        <f>IF(D80=0,IF(C80=0,MAX(0,DW80 - (VLOOKUP($A80,TOCA_current!$A$2:$AI$137,MATCH("RHWM 2022",TOCA_current!$A$2:$AI$2,0),FALSE)*$BS$2)), 0),0)</f>
        <v>0</v>
      </c>
      <c r="DV80" s="419">
        <f>MIN(VLOOKUP($A80,TOCA_current!$A$2:$AI$137,MATCH("TRL - NLSL - Existing Resource "&amp;$BS$1,TOCA_current!$A$2:$AI$2,0),FALSE)*$BS$2, VLOOKUP($A80,TOCA_current!$A$2:$AI$137,MATCH("RHWM 2022",TOCA_current!$A$2:$AI$2,0),FALSE)*$BS$2)</f>
        <v>239848.8</v>
      </c>
      <c r="DW80" s="419">
        <f>SUM(BY80:CV80)+(BS80*RT1SC!$C$4*$BS$2)</f>
        <v>239848.19692218004</v>
      </c>
      <c r="DX80" s="419">
        <f>VLOOKUP($A80,TOCA_current!$A$2:$AI$137,MATCH("Above RHWM Not Served with LS "&amp;$BS$1,TOCA_current!$A$2:$AI$2,0),FALSE)*$BS$2</f>
        <v>0</v>
      </c>
      <c r="DY80" s="419">
        <f t="shared" si="32"/>
        <v>-0.60307781994924881</v>
      </c>
      <c r="DZ80" s="419">
        <f>(VLOOKUP($A80,TOCA_current!$A$2:$AI$137,MATCH("RHWM 2022",TOCA_current!$A$2:$AI$2,0),FALSE)*$BS$2) - $DV80</f>
        <v>3337.5599999999977</v>
      </c>
      <c r="EA80" s="419">
        <f t="shared" si="33"/>
        <v>0</v>
      </c>
      <c r="EB80" s="419">
        <f t="shared" si="34"/>
        <v>0.60307781994924881</v>
      </c>
      <c r="EC80" s="419">
        <f t="shared" si="35"/>
        <v>0</v>
      </c>
      <c r="ED80" s="419">
        <f t="shared" si="36"/>
        <v>0.60307781994924881</v>
      </c>
    </row>
    <row r="81" spans="1:134">
      <c r="A81" s="135">
        <v>10237</v>
      </c>
      <c r="B81" s="136" t="s">
        <v>82</v>
      </c>
      <c r="C81" s="244">
        <f>VLOOKUP(A81, TOCA_current!$A$3:$D$137, 4, FALSE)</f>
        <v>0</v>
      </c>
      <c r="D81" s="203">
        <v>1</v>
      </c>
      <c r="E81" s="119">
        <f>VLOOKUP($A81,TOCA_previous!$A$2:$AI$137,MATCH(E$4,TOCA_previous!$A$2:$AI$2,0),FALSE)</f>
        <v>1.48965E-2</v>
      </c>
      <c r="F81" s="120">
        <f>VLOOKUP($A81,TOCA_previous!$A$2:$AI$137,MATCH(F$4,TOCA_previous!$A$2:$AI$2,0),FALSE)</f>
        <v>5.2916999999999999E-3</v>
      </c>
      <c r="G81" s="120">
        <f t="shared" si="24"/>
        <v>9.6048000000000001E-3</v>
      </c>
      <c r="H81" s="309">
        <f>150000*12</f>
        <v>1800000</v>
      </c>
      <c r="I81" s="120">
        <f t="shared" si="25"/>
        <v>0</v>
      </c>
      <c r="J81" s="120">
        <f t="shared" si="26"/>
        <v>0</v>
      </c>
      <c r="K81" s="191">
        <f>VLOOKUP(A81, IRD!$A$5:$C$139, 3, FALSE)</f>
        <v>0</v>
      </c>
      <c r="L81" s="192">
        <f t="array" ref="L81">IF($G81=0, INDEX(LS_previous!$D$4:$AY$138, MATCH('Staging Table'!$A81, LS_previous!$B$4:$B$138, 0), MATCH(L$4&amp;L$5, LS_previous!$D$2:$AY$2&amp;LS_previous!$D$3:$AY$3, 0)),SUM(VLOOKUP($A81, LS_previous!$B$4:$AY$138, LS_previous!D$149, FALSE), VLOOKUP('Staging Table'!$A81, LS_previous!$B$4:$AY$138,LS_previous!AB$149, FALSE))/2)</f>
        <v>-779.67285579790587</v>
      </c>
      <c r="M81" s="192">
        <f t="array" ref="M81">IF($G81=0, INDEX(LS_previous!$D$4:$AY$138, MATCH('Staging Table'!$A81, LS_previous!$B$4:$B$138, 0), MATCH(M$4&amp;M$5, LS_previous!$D$2:$AY$2&amp;LS_previous!$D$3:$AY$3, 0)),SUM(VLOOKUP($A81, LS_previous!$B$4:$AY$138, LS_previous!E$149, FALSE), VLOOKUP('Staging Table'!$A81, LS_previous!$B$4:$AY$138,LS_previous!AC$149, FALSE))/2)</f>
        <v>2438.03802035429</v>
      </c>
      <c r="N81" s="192">
        <f t="array" ref="N81">IF($G81=0, INDEX(LS_previous!$D$4:$AY$138, MATCH('Staging Table'!$A81, LS_previous!$B$4:$B$138, 0), MATCH(N$4&amp;N$5, LS_previous!$D$2:$AY$2&amp;LS_previous!$D$3:$AY$3, 0)),SUM(VLOOKUP($A81, LS_previous!$B$4:$AY$138, LS_previous!F$149, FALSE), VLOOKUP('Staging Table'!$A81, LS_previous!$B$4:$AY$138,LS_previous!AD$149, FALSE))/2)</f>
        <v>-2631.5178252545957</v>
      </c>
      <c r="O81" s="192">
        <f t="array" ref="O81">IF($G81=0, INDEX(LS_previous!$D$4:$AY$138, MATCH('Staging Table'!$A81, LS_previous!$B$4:$B$138, 0), MATCH(O$4&amp;O$5, LS_previous!$D$2:$AY$2&amp;LS_previous!$D$3:$AY$3, 0)),SUM(VLOOKUP($A81, LS_previous!$B$4:$AY$138, LS_previous!G$149, FALSE), VLOOKUP('Staging Table'!$A81, LS_previous!$B$4:$AY$138,LS_previous!AE$149, FALSE))/2)</f>
        <v>2569.643728058405</v>
      </c>
      <c r="P81" s="192">
        <f t="array" ref="P81">IF($G81=0, INDEX(LS_previous!$D$4:$AY$138, MATCH('Staging Table'!$A81, LS_previous!$B$4:$B$138, 0), MATCH(P$4&amp;P$5, LS_previous!$D$2:$AY$2&amp;LS_previous!$D$3:$AY$3, 0)),SUM(VLOOKUP($A81, LS_previous!$B$4:$AY$138, LS_previous!H$149, FALSE), VLOOKUP('Staging Table'!$A81, LS_previous!$B$4:$AY$138,LS_previous!AF$149, FALSE))/2)</f>
        <v>1531.3249513966584</v>
      </c>
      <c r="Q81" s="192">
        <f t="array" ref="Q81">IF($G81=0, INDEX(LS_previous!$D$4:$AY$138, MATCH('Staging Table'!$A81, LS_previous!$B$4:$B$138, 0), MATCH(Q$4&amp;Q$5, LS_previous!$D$2:$AY$2&amp;LS_previous!$D$3:$AY$3, 0)),SUM(VLOOKUP($A81, LS_previous!$B$4:$AY$138, LS_previous!I$149, FALSE), VLOOKUP('Staging Table'!$A81, LS_previous!$B$4:$AY$138,LS_previous!AG$149, FALSE))/2)</f>
        <v>5329.5771194844319</v>
      </c>
      <c r="R81" s="192">
        <f t="array" ref="R81">IF($G81=0, INDEX(LS_previous!$D$4:$AY$138, MATCH('Staging Table'!$A81, LS_previous!$B$4:$B$138, 0), MATCH(R$4&amp;R$5, LS_previous!$D$2:$AY$2&amp;LS_previous!$D$3:$AY$3, 0)),SUM(VLOOKUP($A81, LS_previous!$B$4:$AY$138, LS_previous!J$149, FALSE), VLOOKUP('Staging Table'!$A81, LS_previous!$B$4:$AY$138,LS_previous!AH$149, FALSE))/2)</f>
        <v>2000.6997897925057</v>
      </c>
      <c r="S81" s="192">
        <f t="array" ref="S81">IF($G81=0, INDEX(LS_previous!$D$4:$AY$138, MATCH('Staging Table'!$A81, LS_previous!$B$4:$B$138, 0), MATCH(S$4&amp;S$5, LS_previous!$D$2:$AY$2&amp;LS_previous!$D$3:$AY$3, 0)),SUM(VLOOKUP($A81, LS_previous!$B$4:$AY$138, LS_previous!K$149, FALSE), VLOOKUP('Staging Table'!$A81, LS_previous!$B$4:$AY$138,LS_previous!AI$149, FALSE))/2)</f>
        <v>5400.8937296386921</v>
      </c>
      <c r="T81" s="192">
        <f t="array" ref="T81">IF($G81=0, INDEX(LS_previous!$D$4:$AY$138, MATCH('Staging Table'!$A81, LS_previous!$B$4:$B$138, 0), MATCH(T$4&amp;T$5, LS_previous!$D$2:$AY$2&amp;LS_previous!$D$3:$AY$3, 0)),SUM(VLOOKUP($A81, LS_previous!$B$4:$AY$138, LS_previous!L$149, FALSE), VLOOKUP('Staging Table'!$A81, LS_previous!$B$4:$AY$138,LS_previous!AJ$149, FALSE))/2)</f>
        <v>2329.2754017588468</v>
      </c>
      <c r="U81" s="192">
        <f t="array" ref="U81">IF($G81=0, INDEX(LS_previous!$D$4:$AY$138, MATCH('Staging Table'!$A81, LS_previous!$B$4:$B$138, 0), MATCH(U$4&amp;U$5, LS_previous!$D$2:$AY$2&amp;LS_previous!$D$3:$AY$3, 0)),SUM(VLOOKUP($A81, LS_previous!$B$4:$AY$138, LS_previous!M$149, FALSE), VLOOKUP('Staging Table'!$A81, LS_previous!$B$4:$AY$138,LS_previous!AK$149, FALSE))/2)</f>
        <v>4008.4517414297661</v>
      </c>
      <c r="V81" s="192">
        <f t="array" ref="V81">IF($G81=0, INDEX(LS_previous!$D$4:$AY$138, MATCH('Staging Table'!$A81, LS_previous!$B$4:$B$138, 0), MATCH(V$4&amp;V$5, LS_previous!$D$2:$AY$2&amp;LS_previous!$D$3:$AY$3, 0)),SUM(VLOOKUP($A81, LS_previous!$B$4:$AY$138, LS_previous!N$149, FALSE), VLOOKUP('Staging Table'!$A81, LS_previous!$B$4:$AY$138,LS_previous!AL$149, FALSE))/2)</f>
        <v>188.79057515610657</v>
      </c>
      <c r="W81" s="192">
        <f t="array" ref="W81">IF($G81=0, INDEX(LS_previous!$D$4:$AY$138, MATCH('Staging Table'!$A81, LS_previous!$B$4:$B$138, 0), MATCH(W$4&amp;W$5, LS_previous!$D$2:$AY$2&amp;LS_previous!$D$3:$AY$3, 0)),SUM(VLOOKUP($A81, LS_previous!$B$4:$AY$138, LS_previous!O$149, FALSE), VLOOKUP('Staging Table'!$A81, LS_previous!$B$4:$AY$138,LS_previous!AM$149, FALSE))/2)</f>
        <v>3088.7579634948142</v>
      </c>
      <c r="X81" s="192">
        <f t="array" ref="X81">IF($G81=0, INDEX(LS_previous!$D$4:$AY$138, MATCH('Staging Table'!$A81, LS_previous!$B$4:$B$138, 0), MATCH(X$4&amp;X$5, LS_previous!$D$2:$AY$2&amp;LS_previous!$D$3:$AY$3, 0)),SUM(VLOOKUP($A81, LS_previous!$B$4:$AY$138, LS_previous!P$149, FALSE), VLOOKUP('Staging Table'!$A81, LS_previous!$B$4:$AY$138,LS_previous!AN$149, FALSE))/2)</f>
        <v>2640.0114251972254</v>
      </c>
      <c r="Y81" s="192">
        <f t="array" ref="Y81">IF($G81=0, INDEX(LS_previous!$D$4:$AY$138, MATCH('Staging Table'!$A81, LS_previous!$B$4:$B$138, 0), MATCH(Y$4&amp;Y$5, LS_previous!$D$2:$AY$2&amp;LS_previous!$D$3:$AY$3, 0)),SUM(VLOOKUP($A81, LS_previous!$B$4:$AY$138, LS_previous!Q$149, FALSE), VLOOKUP('Staging Table'!$A81, LS_previous!$B$4:$AY$138,LS_previous!AO$149, FALSE))/2)</f>
        <v>3804.629644694126</v>
      </c>
      <c r="Z81" s="192">
        <f t="array" ref="Z81">IF($G81=0, INDEX(LS_previous!$D$4:$AY$138, MATCH('Staging Table'!$A81, LS_previous!$B$4:$B$138, 0), MATCH(Z$4&amp;Z$5, LS_previous!$D$2:$AY$2&amp;LS_previous!$D$3:$AY$3, 0)),SUM(VLOOKUP($A81, LS_previous!$B$4:$AY$138, LS_previous!R$149, FALSE), VLOOKUP('Staging Table'!$A81, LS_previous!$B$4:$AY$138,LS_previous!AP$149, FALSE))/2)</f>
        <v>-5224.2287896418802</v>
      </c>
      <c r="AA81" s="192">
        <f t="array" ref="AA81">IF($G81=0, INDEX(LS_previous!$D$4:$AY$138, MATCH('Staging Table'!$A81, LS_previous!$B$4:$B$138, 0), MATCH(AA$4&amp;AA$5, LS_previous!$D$2:$AY$2&amp;LS_previous!$D$3:$AY$3, 0)),SUM(VLOOKUP($A81, LS_previous!$B$4:$AY$138, LS_previous!S$149, FALSE), VLOOKUP('Staging Table'!$A81, LS_previous!$B$4:$AY$138,LS_previous!AQ$149, FALSE))/2)</f>
        <v>1383.6436400589837</v>
      </c>
      <c r="AB81" s="192">
        <f t="array" ref="AB81">IF($G81=0, INDEX(LS_previous!$D$4:$AY$138, MATCH('Staging Table'!$A81, LS_previous!$B$4:$B$138, 0), MATCH(AB$4&amp;AB$5, LS_previous!$D$2:$AY$2&amp;LS_previous!$D$3:$AY$3, 0)),SUM(VLOOKUP($A81, LS_previous!$B$4:$AY$138, LS_previous!T$149, FALSE), VLOOKUP('Staging Table'!$A81, LS_previous!$B$4:$AY$138,LS_previous!AR$149, FALSE))/2)</f>
        <v>-10649.030217495543</v>
      </c>
      <c r="AC81" s="192">
        <f t="array" ref="AC81">IF($G81=0, INDEX(LS_previous!$D$4:$AY$138, MATCH('Staging Table'!$A81, LS_previous!$B$4:$B$138, 0), MATCH(AC$4&amp;AC$5, LS_previous!$D$2:$AY$2&amp;LS_previous!$D$3:$AY$3, 0)),SUM(VLOOKUP($A81, LS_previous!$B$4:$AY$138, LS_previous!U$149, FALSE), VLOOKUP('Staging Table'!$A81, LS_previous!$B$4:$AY$138,LS_previous!AS$149, FALSE))/2)</f>
        <v>-3316.5335758486663</v>
      </c>
      <c r="AD81" s="192">
        <f t="array" ref="AD81">IF($G81=0, INDEX(LS_previous!$D$4:$AY$138, MATCH('Staging Table'!$A81, LS_previous!$B$4:$B$138, 0), MATCH(AD$4&amp;AD$5, LS_previous!$D$2:$AY$2&amp;LS_previous!$D$3:$AY$3, 0)),SUM(VLOOKUP($A81, LS_previous!$B$4:$AY$138, LS_previous!V$149, FALSE), VLOOKUP('Staging Table'!$A81, LS_previous!$B$4:$AY$138,LS_previous!AT$149, FALSE))/2)</f>
        <v>-7287.8157480310483</v>
      </c>
      <c r="AE81" s="192">
        <f t="array" ref="AE81">IF($G81=0, INDEX(LS_previous!$D$4:$AY$138, MATCH('Staging Table'!$A81, LS_previous!$B$4:$B$138, 0), MATCH(AE$4&amp;AE$5, LS_previous!$D$2:$AY$2&amp;LS_previous!$D$3:$AY$3, 0)),SUM(VLOOKUP($A81, LS_previous!$B$4:$AY$138, LS_previous!W$149, FALSE), VLOOKUP('Staging Table'!$A81, LS_previous!$B$4:$AY$138,LS_previous!AU$149, FALSE))/2)</f>
        <v>818.09246395534501</v>
      </c>
      <c r="AF81" s="192">
        <f t="array" ref="AF81">IF($G81=0, INDEX(LS_previous!$D$4:$AY$138, MATCH('Staging Table'!$A81, LS_previous!$B$4:$B$138, 0), MATCH(AF$4&amp;AF$5, LS_previous!$D$2:$AY$2&amp;LS_previous!$D$3:$AY$3, 0)),SUM(VLOOKUP($A81, LS_previous!$B$4:$AY$138, LS_previous!X$149, FALSE), VLOOKUP('Staging Table'!$A81, LS_previous!$B$4:$AY$138,LS_previous!AV$149, FALSE))/2)</f>
        <v>-6506.9156961538492</v>
      </c>
      <c r="AG81" s="192">
        <f t="array" ref="AG81">IF($G81=0, INDEX(LS_previous!$D$4:$AY$138, MATCH('Staging Table'!$A81, LS_previous!$B$4:$B$138, 0), MATCH(AG$4&amp;AG$5, LS_previous!$D$2:$AY$2&amp;LS_previous!$D$3:$AY$3, 0)),SUM(VLOOKUP($A81, LS_previous!$B$4:$AY$138, LS_previous!Y$149, FALSE), VLOOKUP('Staging Table'!$A81, LS_previous!$B$4:$AY$138,LS_previous!AW$149, FALSE))/2)</f>
        <v>1108.5861131460024</v>
      </c>
      <c r="AH81" s="192">
        <f t="array" ref="AH81">IF($G81=0, INDEX(LS_previous!$D$4:$AY$138, MATCH('Staging Table'!$A81, LS_previous!$B$4:$B$138, 0), MATCH(AH$4&amp;AH$5, LS_previous!$D$2:$AY$2&amp;LS_previous!$D$3:$AY$3, 0)),SUM(VLOOKUP($A81, LS_previous!$B$4:$AY$138, LS_previous!Z$149, FALSE), VLOOKUP('Staging Table'!$A81, LS_previous!$B$4:$AY$138,LS_previous!AX$149, FALSE))/2)</f>
        <v>-3353.697721742441</v>
      </c>
      <c r="AI81" s="192">
        <f t="array" ref="AI81">IF($G81=0, INDEX(LS_previous!$D$4:$AY$138, MATCH('Staging Table'!$A81, LS_previous!$B$4:$B$138, 0), MATCH(AI$4&amp;AI$5, LS_previous!$D$2:$AY$2&amp;LS_previous!$D$3:$AY$3, 0)),SUM(VLOOKUP($A81, LS_previous!$B$4:$AY$138, LS_previous!AA$149, FALSE), VLOOKUP('Staging Table'!$A81, LS_previous!$B$4:$AY$138,LS_previous!AY$149, FALSE))/2)</f>
        <v>1109.5338112660484</v>
      </c>
      <c r="AJ81" s="314">
        <f t="array" ref="AJ81">INDEX(Demand_previous!$D$4:$AY$138, MATCH('Staging Table'!$A81, Demand_previous!$B$4:$B$138, 0), MATCH(AJ$4&amp;AJ$5,Demand_previous!$D$2:$AY$2&amp;Demand_previous!$D$3:$AY$3, 0))/1000</f>
        <v>0</v>
      </c>
      <c r="AK81" s="314">
        <f t="array" ref="AK81">INDEX(Demand_previous!$D$4:$AY$138, MATCH('Staging Table'!$A81, Demand_previous!$B$4:$B$138, 0), MATCH(AK$4&amp;AK$5,Demand_previous!$D$2:$AY$2&amp;Demand_previous!$D$3:$AY$3, 0))/1000</f>
        <v>0</v>
      </c>
      <c r="AL81" s="314">
        <f t="array" ref="AL81">INDEX(Demand_previous!$D$4:$AY$138, MATCH('Staging Table'!$A81, Demand_previous!$B$4:$B$138, 0), MATCH(AL$4&amp;AL$5,Demand_previous!$D$2:$AY$2&amp;Demand_previous!$D$3:$AY$3, 0))/1000</f>
        <v>0</v>
      </c>
      <c r="AM81" s="314">
        <f t="array" ref="AM81">INDEX(Demand_previous!$D$4:$AY$138, MATCH('Staging Table'!$A81, Demand_previous!$B$4:$B$138, 0), MATCH(AM$4&amp;AM$5,Demand_previous!$D$2:$AY$2&amp;Demand_previous!$D$3:$AY$3, 0))/1000</f>
        <v>0</v>
      </c>
      <c r="AN81" s="314">
        <f t="array" ref="AN81">INDEX(Demand_previous!$D$4:$AY$138, MATCH('Staging Table'!$A81, Demand_previous!$B$4:$B$138, 0), MATCH(AN$4&amp;AN$5,Demand_previous!$D$2:$AY$2&amp;Demand_previous!$D$3:$AY$3, 0))/1000</f>
        <v>0</v>
      </c>
      <c r="AO81" s="314">
        <f t="array" ref="AO81">INDEX(Demand_previous!$D$4:$AY$138, MATCH('Staging Table'!$A81, Demand_previous!$B$4:$B$138, 0), MATCH(AO$4&amp;AO$5,Demand_previous!$D$2:$AY$2&amp;Demand_previous!$D$3:$AY$3, 0))/1000</f>
        <v>0</v>
      </c>
      <c r="AP81" s="314">
        <f t="array" ref="AP81">INDEX(Demand_previous!$D$4:$AY$138, MATCH('Staging Table'!$A81, Demand_previous!$B$4:$B$138, 0), MATCH(AP$4&amp;AP$5,Demand_previous!$D$2:$AY$2&amp;Demand_previous!$D$3:$AY$3, 0))/1000</f>
        <v>0</v>
      </c>
      <c r="AQ81" s="314">
        <f t="array" ref="AQ81">INDEX(Demand_previous!$D$4:$AY$138, MATCH('Staging Table'!$A81, Demand_previous!$B$4:$B$138, 0), MATCH(AQ$4&amp;AQ$5,Demand_previous!$D$2:$AY$2&amp;Demand_previous!$D$3:$AY$3, 0))/1000</f>
        <v>0</v>
      </c>
      <c r="AR81" s="314">
        <f t="array" ref="AR81">INDEX(Demand_previous!$D$4:$AY$138, MATCH('Staging Table'!$A81, Demand_previous!$B$4:$B$138, 0), MATCH(AR$4&amp;AR$5,Demand_previous!$D$2:$AY$2&amp;Demand_previous!$D$3:$AY$3, 0))/1000</f>
        <v>0</v>
      </c>
      <c r="AS81" s="314">
        <f t="array" ref="AS81">INDEX(Demand_previous!$D$4:$AY$138, MATCH('Staging Table'!$A81, Demand_previous!$B$4:$B$138, 0), MATCH(AS$4&amp;AS$5,Demand_previous!$D$2:$AY$2&amp;Demand_previous!$D$3:$AY$3, 0))/1000</f>
        <v>0</v>
      </c>
      <c r="AT81" s="314">
        <f t="array" ref="AT81">INDEX(Demand_previous!$D$4:$AY$138, MATCH('Staging Table'!$A81, Demand_previous!$B$4:$B$138, 0), MATCH(AT$4&amp;AT$5,Demand_previous!$D$2:$AY$2&amp;Demand_previous!$D$3:$AY$3, 0))/1000</f>
        <v>0</v>
      </c>
      <c r="AU81" s="314">
        <f t="array" ref="AU81">INDEX(Demand_previous!$D$4:$AY$138, MATCH('Staging Table'!$A81, Demand_previous!$B$4:$B$138, 0), MATCH(AU$4&amp;AU$5,Demand_previous!$D$2:$AY$2&amp;Demand_previous!$D$3:$AY$3, 0))/1000</f>
        <v>0</v>
      </c>
      <c r="AV81" s="192">
        <f>$F81*(VLOOKUP(AV$4, Rates_previous!$G$6:$Q$29, 10, FALSE)+VLOOKUP(AV$4, Rates_previous!$G$6:$Q$29, 11, FALSE))</f>
        <v>24433.457406073197</v>
      </c>
      <c r="AW81" s="192">
        <f>$F81*(VLOOKUP(AW$4, Rates_previous!$G$6:$Q$29, 10, FALSE)+VLOOKUP(AW$4, Rates_previous!$G$6:$Q$29, 11, FALSE))</f>
        <v>31038.1130708163</v>
      </c>
      <c r="AX81" s="192">
        <f>$F81*(VLOOKUP(AX$4, Rates_previous!$G$6:$Q$29, 10, FALSE)+VLOOKUP(AX$4, Rates_previous!$G$6:$Q$29, 11, FALSE))</f>
        <v>30663.285857173203</v>
      </c>
      <c r="AY81" s="192">
        <f>$F81*(VLOOKUP(AY$4, Rates_previous!$G$6:$Q$29, 10, FALSE)+VLOOKUP(AY$4, Rates_previous!$G$6:$Q$29, 11, FALSE))</f>
        <v>25559.716375573204</v>
      </c>
      <c r="AZ81" s="192">
        <f>$F81*(VLOOKUP(AZ$4, Rates_previous!$G$6:$Q$29, 10, FALSE)+VLOOKUP(AZ$4, Rates_previous!$G$6:$Q$29, 11, FALSE))</f>
        <v>23154.451420559999</v>
      </c>
      <c r="BA81" s="192">
        <f>$F81*(VLOOKUP(BA$4, Rates_previous!$G$6:$Q$29, 10, FALSE)+VLOOKUP(BA$4, Rates_previous!$G$6:$Q$29, 11, FALSE))</f>
        <v>25755.105735822897</v>
      </c>
      <c r="BB81" s="192">
        <f>$F81*(VLOOKUP(BB$4, Rates_previous!$G$6:$Q$29, 10, FALSE)+VLOOKUP(BB$4, Rates_previous!$G$6:$Q$29, 11, FALSE))</f>
        <v>20969.834882616</v>
      </c>
      <c r="BC81" s="192">
        <f>$F81*(VLOOKUP(BC$4, Rates_previous!$G$6:$Q$29, 10, FALSE)+VLOOKUP(BC$4, Rates_previous!$G$6:$Q$29, 11, FALSE))</f>
        <v>28280.949287923202</v>
      </c>
      <c r="BD81" s="192">
        <f>$F81*(VLOOKUP(BD$4, Rates_previous!$G$6:$Q$29, 10, FALSE)+VLOOKUP(BD$4, Rates_previous!$G$6:$Q$29, 11, FALSE))</f>
        <v>36084.567863766002</v>
      </c>
      <c r="BE81" s="192">
        <f>$F81*(VLOOKUP(BE$4, Rates_previous!$G$6:$Q$29, 10, FALSE)+VLOOKUP(BE$4, Rates_previous!$G$6:$Q$29, 11, FALSE))</f>
        <v>28291.445374873201</v>
      </c>
      <c r="BF81" s="192">
        <f>$F81*(VLOOKUP(BF$4, Rates_previous!$G$6:$Q$29, 10, FALSE)+VLOOKUP(BF$4, Rates_previous!$G$6:$Q$29, 11, FALSE))</f>
        <v>27550.234310023203</v>
      </c>
      <c r="BG81" s="192">
        <f>$F81*(VLOOKUP(BG$4, Rates_previous!$G$6:$Q$29, 10, FALSE)+VLOOKUP(BG$4, Rates_previous!$G$6:$Q$29, 11, FALSE))</f>
        <v>24734.249720316002</v>
      </c>
      <c r="BH81" s="314">
        <f>IF($D81=0,IF(C81=0, MAX(BJ81 - (VLOOKUP($A81,TOCA_previous!$A$2:$AI$137,MATCH("RHWM 2020",TOCA_previous!$A$2:$AI$2,0),FALSE)*$F$2*TOCA_previous!C78),0),0), 0)</f>
        <v>0</v>
      </c>
      <c r="BI81" s="204">
        <f>MIN(VLOOKUP($A81,TOCA_previous!$A$2:$AI$137,MATCH("TRL - NLSL - Existing Resource "&amp;$F$1,TOCA_previous!$A$2:$AI$2,0),FALSE)*$F$2,(VLOOKUP($A81,TOCA_previous!$A$2:$AI$137,MATCH("RHWM 2020",TOCA_previous!$A$2:$AI$2,0),FALSE)*$F$2))</f>
        <v>919166.54399999999</v>
      </c>
      <c r="BJ81" s="418">
        <f>SUM(L81:AI81)+(F81*RT1SC!$C$3*$F$2)</f>
        <v>326515.96125002991</v>
      </c>
      <c r="BK81" s="417">
        <f>VLOOKUP($A81,TOCA_previous!$A$2:$AI$137,MATCH("Above RHWM Not Served with LS "&amp;$F$1,TOCA_previous!$A$2:$AI$2,0),FALSE)*$F$2</f>
        <v>0</v>
      </c>
      <c r="BL81" s="418">
        <f t="shared" si="27"/>
        <v>-592650.58274997002</v>
      </c>
      <c r="BM81" s="417">
        <f>(VLOOKUP($A81,TOCA_previous!$A$2:$AI$137,MATCH("RHWM 2020",TOCA_previous!$A$2:$AI$2,0),FALSE)*$F$2) - $BI81</f>
        <v>74567.375999999931</v>
      </c>
      <c r="BN81" s="418">
        <f t="shared" si="28"/>
        <v>0</v>
      </c>
      <c r="BO81" s="417">
        <f t="shared" si="29"/>
        <v>592650.58274997002</v>
      </c>
      <c r="BP81" s="418">
        <f t="shared" si="30"/>
        <v>0</v>
      </c>
      <c r="BQ81" s="417">
        <f t="shared" si="21"/>
        <v>0</v>
      </c>
      <c r="BR81" s="120">
        <f>VLOOKUP($A81,TOCA_current!$A$2:$AI$137,MATCH(BR$4,TOCA_current!$A$2:$AI$2,0),FALSE)</f>
        <v>1.55762E-2</v>
      </c>
      <c r="BS81" s="120">
        <f>VLOOKUP($A81,TOCA_current!$A$2:$AI$137,MATCH(BS$4,TOCA_current!$A$2:$AI$2,0),FALSE)</f>
        <v>5.9714E-3</v>
      </c>
      <c r="BT81" s="201">
        <f t="shared" si="31"/>
        <v>9.6048000000000001E-3</v>
      </c>
      <c r="BU81" s="309">
        <f>150000*12</f>
        <v>1800000</v>
      </c>
      <c r="BV81" s="120">
        <f t="shared" si="22"/>
        <v>0</v>
      </c>
      <c r="BW81" s="120">
        <f t="shared" si="23"/>
        <v>0</v>
      </c>
      <c r="BX81" s="191">
        <f>VLOOKUP($A81,IRD!$A$4:$G$139, 7, FALSE)</f>
        <v>0</v>
      </c>
      <c r="BY81" s="192">
        <f t="array" ref="BY81">IF($BT81=0, INDEX(LS_current!$D$4:$AY$138, MATCH('Staging Table'!$A81, LS_current!$B$4:$B$138, 0), MATCH(BY$4&amp;BY$5, LS_current!$D$2:$AY$2&amp;LS_current!$D$3:$AY$3, 0)),SUM(VLOOKUP($A81, LS_current!$B$4:$AY$138, LS_current!D$148, FALSE), VLOOKUP($A81, LS_current!$B$4:$AY$138,LS_current!AB$148, FALSE))/2)</f>
        <v>-1678.9914935838697</v>
      </c>
      <c r="BZ81" s="192">
        <f t="array" ref="BZ81">IF($BT81=0, INDEX(LS_current!$D$4:$AY$138, MATCH('Staging Table'!$A81, LS_current!$B$4:$B$138, 0), MATCH(BZ$4&amp;BZ$5, LS_current!$D$2:$AY$2&amp;LS_current!$D$3:$AY$3, 0)),SUM(VLOOKUP($A81, LS_current!$B$4:$AY$138, LS_current!E$148, FALSE), VLOOKUP($A81, LS_current!$B$4:$AY$138,LS_current!AC$148, FALSE))/2)</f>
        <v>2675.8033759377204</v>
      </c>
      <c r="CA81" s="192">
        <f t="array" ref="CA81">IF($BT81=0, INDEX(LS_current!$D$4:$AY$138, MATCH('Staging Table'!$A81, LS_current!$B$4:$B$138, 0), MATCH(CA$4&amp;CA$5, LS_current!$D$2:$AY$2&amp;LS_current!$D$3:$AY$3, 0)),SUM(VLOOKUP($A81, LS_current!$B$4:$AY$138, LS_current!F$148, FALSE), VLOOKUP($A81, LS_current!$B$4:$AY$138,LS_current!AD$148, FALSE))/2)</f>
        <v>-2554.633946744194</v>
      </c>
      <c r="CB81" s="192">
        <f t="array" ref="CB81">IF($BT81=0, INDEX(LS_current!$D$4:$AY$138, MATCH('Staging Table'!$A81, LS_current!$B$4:$B$138, 0), MATCH(CB$4&amp;CB$5, LS_current!$D$2:$AY$2&amp;LS_current!$D$3:$AY$3, 0)),SUM(VLOOKUP($A81, LS_current!$B$4:$AY$138, LS_current!G$148, FALSE), VLOOKUP($A81, LS_current!$B$4:$AY$138,LS_current!AE$148, FALSE))/2)</f>
        <v>1602.6867576499553</v>
      </c>
      <c r="CC81" s="192">
        <f t="array" ref="CC81">IF($BT81=0, INDEX(LS_current!$D$4:$AY$138, MATCH('Staging Table'!$A81, LS_current!$B$4:$B$138, 0), MATCH(CC$4&amp;CC$5, LS_current!$D$2:$AY$2&amp;LS_current!$D$3:$AY$3, 0)),SUM(VLOOKUP($A81, LS_current!$B$4:$AY$138, LS_current!H$148, FALSE), VLOOKUP($A81, LS_current!$B$4:$AY$138,LS_current!AF$148, FALSE))/2)</f>
        <v>3407.1511160105747</v>
      </c>
      <c r="CD81" s="192">
        <f t="array" ref="CD81">IF($BT81=0, INDEX(LS_current!$D$4:$AY$138, MATCH('Staging Table'!$A81, LS_current!$B$4:$B$138, 0), MATCH(CD$4&amp;CD$5, LS_current!$D$2:$AY$2&amp;LS_current!$D$3:$AY$3, 0)),SUM(VLOOKUP($A81, LS_current!$B$4:$AY$138, LS_current!I$148, FALSE), VLOOKUP($A81, LS_current!$B$4:$AY$138,LS_current!AG$148, FALSE))/2)</f>
        <v>3418.2907285862693</v>
      </c>
      <c r="CE81" s="192">
        <f t="array" ref="CE81">IF($BT81=0, INDEX(LS_current!$D$4:$AY$138, MATCH('Staging Table'!$A81, LS_current!$B$4:$B$138, 0), MATCH(CE$4&amp;CE$5, LS_current!$D$2:$AY$2&amp;LS_current!$D$3:$AY$3, 0)),SUM(VLOOKUP($A81, LS_current!$B$4:$AY$138, LS_current!J$148, FALSE), VLOOKUP($A81, LS_current!$B$4:$AY$138,LS_current!AH$148, FALSE))/2)</f>
        <v>3300.7770777046917</v>
      </c>
      <c r="CF81" s="192">
        <f t="array" ref="CF81">IF($BT81=0, INDEX(LS_current!$D$4:$AY$138, MATCH('Staging Table'!$A81, LS_current!$B$4:$B$138, 0), MATCH(CF$4&amp;CF$5, LS_current!$D$2:$AY$2&amp;LS_current!$D$3:$AY$3, 0)),SUM(VLOOKUP($A81, LS_current!$B$4:$AY$138, LS_current!K$148, FALSE), VLOOKUP($A81, LS_current!$B$4:$AY$138,LS_current!AI$148, FALSE))/2)</f>
        <v>4456.2533588405631</v>
      </c>
      <c r="CG81" s="192">
        <f t="array" ref="CG81">IF($BT81=0, INDEX(LS_current!$D$4:$AY$138, MATCH('Staging Table'!$A81, LS_current!$B$4:$B$138, 0), MATCH(CG$4&amp;CG$5, LS_current!$D$2:$AY$2&amp;LS_current!$D$3:$AY$3, 0)),SUM(VLOOKUP($A81, LS_current!$B$4:$AY$138, LS_current!L$148, FALSE), VLOOKUP($A81, LS_current!$B$4:$AY$138,LS_current!AJ$148, FALSE))/2)</f>
        <v>3907.8341717610219</v>
      </c>
      <c r="CH81" s="192">
        <f t="array" ref="CH81">IF($BT81=0, INDEX(LS_current!$D$4:$AY$138, MATCH('Staging Table'!$A81, LS_current!$B$4:$B$138, 0), MATCH(CH$4&amp;CH$5, LS_current!$D$2:$AY$2&amp;LS_current!$D$3:$AY$3, 0)),SUM(VLOOKUP($A81, LS_current!$B$4:$AY$138, LS_current!M$148, FALSE), VLOOKUP($A81, LS_current!$B$4:$AY$138,LS_current!AK$148, FALSE))/2)</f>
        <v>3330.2065518350273</v>
      </c>
      <c r="CI81" s="192">
        <f t="array" ref="CI81">IF($BT81=0, INDEX(LS_current!$D$4:$AY$138, MATCH('Staging Table'!$A81, LS_current!$B$4:$B$138, 0), MATCH(CI$4&amp;CI$5, LS_current!$D$2:$AY$2&amp;LS_current!$D$3:$AY$3, 0)),SUM(VLOOKUP($A81, LS_current!$B$4:$AY$138, LS_current!N$148, FALSE), VLOOKUP($A81, LS_current!$B$4:$AY$138,LS_current!AL$148, FALSE))/2)</f>
        <v>548.08740236339327</v>
      </c>
      <c r="CJ81" s="192">
        <f t="array" ref="CJ81">IF($BT81=0, INDEX(LS_current!$D$4:$AY$138, MATCH('Staging Table'!$A81, LS_current!$B$4:$B$138, 0), MATCH(CJ$4&amp;CJ$5, LS_current!$D$2:$AY$2&amp;LS_current!$D$3:$AY$3, 0)),SUM(VLOOKUP($A81, LS_current!$B$4:$AY$138, LS_current!O$148, FALSE), VLOOKUP($A81, LS_current!$B$4:$AY$138,LS_current!AM$148, FALSE))/2)</f>
        <v>2014.8728735994782</v>
      </c>
      <c r="CK81" s="192">
        <f t="array" ref="CK81">IF($BT81=0, INDEX(LS_current!$D$4:$AY$138, MATCH('Staging Table'!$A81, LS_current!$B$4:$B$138, 0), MATCH(CK$4&amp;CK$5, LS_current!$D$2:$AY$2&amp;LS_current!$D$3:$AY$3, 0)),SUM(VLOOKUP($A81, LS_current!$B$4:$AY$138, LS_current!P$148, FALSE), VLOOKUP($A81, LS_current!$B$4:$AY$138,LS_current!AN$148, FALSE))/2)</f>
        <v>2990.0475029739355</v>
      </c>
      <c r="CL81" s="192">
        <f t="array" ref="CL81">IF($BT81=0, INDEX(LS_current!$D$4:$AY$138, MATCH('Staging Table'!$A81, LS_current!$B$4:$B$138, 0), MATCH(CL$4&amp;CL$5, LS_current!$D$2:$AY$2&amp;LS_current!$D$3:$AY$3, 0)),SUM(VLOOKUP($A81, LS_current!$B$4:$AY$138, LS_current!Q$148, FALSE), VLOOKUP($A81, LS_current!$B$4:$AY$138,LS_current!AO$148, FALSE))/2)</f>
        <v>4251.3390063125735</v>
      </c>
      <c r="CM81" s="192">
        <f t="array" ref="CM81">IF($BT81=0, INDEX(LS_current!$D$4:$AY$138, MATCH('Staging Table'!$A81, LS_current!$B$4:$B$138, 0), MATCH(CM$4&amp;CM$5, LS_current!$D$2:$AY$2&amp;LS_current!$D$3:$AY$3, 0)),SUM(VLOOKUP($A81, LS_current!$B$4:$AY$138, LS_current!R$148, FALSE), VLOOKUP($A81, LS_current!$B$4:$AY$138,LS_current!AP$148, FALSE))/2)</f>
        <v>-6376.9033468645457</v>
      </c>
      <c r="CN81" s="192">
        <f t="array" ref="CN81">IF($BT81=0, INDEX(LS_current!$D$4:$AY$138, MATCH('Staging Table'!$A81, LS_current!$B$4:$B$138, 0), MATCH(CN$4&amp;CN$5, LS_current!$D$2:$AY$2&amp;LS_current!$D$3:$AY$3, 0)),SUM(VLOOKUP($A81, LS_current!$B$4:$AY$138, LS_current!S$148, FALSE), VLOOKUP($A81, LS_current!$B$4:$AY$138,LS_current!AQ$148, FALSE))/2)</f>
        <v>1827.6374805213482</v>
      </c>
      <c r="CO81" s="192">
        <f t="array" ref="CO81">IF($BT81=0, INDEX(LS_current!$D$4:$AY$138, MATCH('Staging Table'!$A81, LS_current!$B$4:$B$138, 0), MATCH(CO$4&amp;CO$5, LS_current!$D$2:$AY$2&amp;LS_current!$D$3:$AY$3, 0)),SUM(VLOOKUP($A81, LS_current!$B$4:$AY$138, LS_current!T$148, FALSE), VLOOKUP($A81, LS_current!$B$4:$AY$138,LS_current!AR$148, FALSE))/2)</f>
        <v>-9760.0643223540901</v>
      </c>
      <c r="CP81" s="192">
        <f t="array" ref="CP81">IF($BT81=0, INDEX(LS_current!$D$4:$AY$138, MATCH('Staging Table'!$A81, LS_current!$B$4:$B$138, 0), MATCH(CP$4&amp;CP$5, LS_current!$D$2:$AY$2&amp;LS_current!$D$3:$AY$3, 0)),SUM(VLOOKUP($A81, LS_current!$B$4:$AY$138, LS_current!U$148, FALSE), VLOOKUP($A81, LS_current!$B$4:$AY$138,LS_current!AS$148, FALSE))/2)</f>
        <v>621.5559141730082</v>
      </c>
      <c r="CQ81" s="192">
        <f t="array" ref="CQ81">IF($BT81=0, INDEX(LS_current!$D$4:$AY$138, MATCH('Staging Table'!$A81, LS_current!$B$4:$B$138, 0), MATCH(CQ$4&amp;CQ$5, LS_current!$D$2:$AY$2&amp;LS_current!$D$3:$AY$3, 0)),SUM(VLOOKUP($A81, LS_current!$B$4:$AY$138, LS_current!V$148, FALSE), VLOOKUP($A81, LS_current!$B$4:$AY$138,LS_current!AT$148, FALSE))/2)</f>
        <v>-8238.6528921851786</v>
      </c>
      <c r="CR81" s="192">
        <f t="array" ref="CR81">IF($BT81=0, INDEX(LS_current!$D$4:$AY$138, MATCH('Staging Table'!$A81, LS_current!$B$4:$B$138, 0), MATCH(CR$4&amp;CR$5, LS_current!$D$2:$AY$2&amp;LS_current!$D$3:$AY$3, 0)),SUM(VLOOKUP($A81, LS_current!$B$4:$AY$138, LS_current!W$148, FALSE), VLOOKUP($A81, LS_current!$B$4:$AY$138,LS_current!AU$148, FALSE))/2)</f>
        <v>420.82226881378392</v>
      </c>
      <c r="CS81" s="192">
        <f t="array" ref="CS81">IF($BT81=0, INDEX(LS_current!$D$4:$AY$138, MATCH('Staging Table'!$A81, LS_current!$B$4:$B$138, 0), MATCH(CS$4&amp;CS$5, LS_current!$D$2:$AY$2&amp;LS_current!$D$3:$AY$3, 0)),SUM(VLOOKUP($A81, LS_current!$B$4:$AY$138, LS_current!X$148, FALSE), VLOOKUP($A81, LS_current!$B$4:$AY$138,LS_current!AV$148, FALSE))/2)</f>
        <v>-6540.4061433384431</v>
      </c>
      <c r="CT81" s="192">
        <f t="array" ref="CT81">IF($BT81=0, INDEX(LS_current!$D$4:$AY$138, MATCH('Staging Table'!$A81, LS_current!$B$4:$B$138, 0), MATCH(CT$4&amp;CT$5, LS_current!$D$2:$AY$2&amp;LS_current!$D$3:$AY$3, 0)),SUM(VLOOKUP($A81, LS_current!$B$4:$AY$138, LS_current!Y$148, FALSE), VLOOKUP($A81, LS_current!$B$4:$AY$138,LS_current!AW$148, FALSE))/2)</f>
        <v>130.18271569596527</v>
      </c>
      <c r="CU81" s="192">
        <f t="array" ref="CU81">IF($BT81=0, INDEX(LS_current!$D$4:$AY$138, MATCH('Staging Table'!$A81, LS_current!$B$4:$B$138, 0), MATCH(CU$4&amp;CU$5, LS_current!$D$2:$AY$2&amp;LS_current!$D$3:$AY$3, 0)),SUM(VLOOKUP($A81, LS_current!$B$4:$AY$138, LS_current!Z$148, FALSE), VLOOKUP($A81, LS_current!$B$4:$AY$138,LS_current!AX$148, FALSE))/2)</f>
        <v>-4404.5549744555774</v>
      </c>
      <c r="CV81" s="192">
        <f t="array" ref="CV81">IF($BT81=0, INDEX(LS_current!$D$4:$AY$138, MATCH('Staging Table'!$A81, LS_current!$B$4:$B$138, 0), MATCH(CV$4&amp;CV$5, LS_current!$D$2:$AY$2&amp;LS_current!$D$3:$AY$3, 0)),SUM(VLOOKUP($A81, LS_current!$B$4:$AY$138, LS_current!AA$148, FALSE), VLOOKUP($A81, LS_current!$B$4:$AY$138,LS_current!AY$148, FALSE))/2)</f>
        <v>651.80034691783294</v>
      </c>
      <c r="CW81" s="194">
        <f t="array" ref="CW81">INDEX(Demand_current!$D$4:$AY$138, MATCH($A81, Demand_current!$B$4:$B$138, 0), MATCH(CW$4&amp;CW$5,Demand_current!$D$2:$AY$2&amp;Demand_current!$D$3:$AY$3, 0))/1000</f>
        <v>0</v>
      </c>
      <c r="CX81" s="194">
        <f t="array" ref="CX81">INDEX(Demand_current!$D$4:$AY$138, MATCH($A81, Demand_current!$B$4:$B$138, 0), MATCH(CX$4&amp;CX$5,Demand_current!$D$2:$AY$2&amp;Demand_current!$D$3:$AY$3, 0))/1000</f>
        <v>0</v>
      </c>
      <c r="CY81" s="194">
        <f t="array" ref="CY81">INDEX(Demand_current!$D$4:$AY$138, MATCH($A81, Demand_current!$B$4:$B$138, 0), MATCH(CY$4&amp;CY$5,Demand_current!$D$2:$AY$2&amp;Demand_current!$D$3:$AY$3, 0))/1000</f>
        <v>0</v>
      </c>
      <c r="CZ81" s="194">
        <f t="array" ref="CZ81">INDEX(Demand_current!$D$4:$AY$138, MATCH($A81, Demand_current!$B$4:$B$138, 0), MATCH(CZ$4&amp;CZ$5,Demand_current!$D$2:$AY$2&amp;Demand_current!$D$3:$AY$3, 0))/1000</f>
        <v>0</v>
      </c>
      <c r="DA81" s="194">
        <f t="array" ref="DA81">INDEX(Demand_current!$D$4:$AY$138, MATCH($A81, Demand_current!$B$4:$B$138, 0), MATCH(DA$4&amp;DA$5,Demand_current!$D$2:$AY$2&amp;Demand_current!$D$3:$AY$3, 0))/1000</f>
        <v>0</v>
      </c>
      <c r="DB81" s="194">
        <f t="array" ref="DB81">INDEX(Demand_current!$D$4:$AY$138, MATCH($A81, Demand_current!$B$4:$B$138, 0), MATCH(DB$4&amp;DB$5,Demand_current!$D$2:$AY$2&amp;Demand_current!$D$3:$AY$3, 0))/1000</f>
        <v>0</v>
      </c>
      <c r="DC81" s="194">
        <f t="array" ref="DC81">INDEX(Demand_current!$D$4:$AY$138, MATCH($A81, Demand_current!$B$4:$B$138, 0), MATCH(DC$4&amp;DC$5,Demand_current!$D$2:$AY$2&amp;Demand_current!$D$3:$AY$3, 0))/1000</f>
        <v>0</v>
      </c>
      <c r="DD81" s="194">
        <f t="array" ref="DD81">INDEX(Demand_current!$D$4:$AY$138, MATCH($A81, Demand_current!$B$4:$B$138, 0), MATCH(DD$4&amp;DD$5,Demand_current!$D$2:$AY$2&amp;Demand_current!$D$3:$AY$3, 0))/1000</f>
        <v>0</v>
      </c>
      <c r="DE81" s="194">
        <f t="array" ref="DE81">INDEX(Demand_current!$D$4:$AY$138, MATCH($A81, Demand_current!$B$4:$B$138, 0), MATCH(DE$4&amp;DE$5,Demand_current!$D$2:$AY$2&amp;Demand_current!$D$3:$AY$3, 0))/1000</f>
        <v>0</v>
      </c>
      <c r="DF81" s="194">
        <f t="array" ref="DF81">INDEX(Demand_current!$D$4:$AY$138, MATCH($A81, Demand_current!$B$4:$B$138, 0), MATCH(DF$4&amp;DF$5,Demand_current!$D$2:$AY$2&amp;Demand_current!$D$3:$AY$3, 0))/1000</f>
        <v>0</v>
      </c>
      <c r="DG81" s="194">
        <f t="array" ref="DG81">INDEX(Demand_current!$D$4:$AY$138, MATCH($A81, Demand_current!$B$4:$B$138, 0), MATCH(DG$4&amp;DG$5,Demand_current!$D$2:$AY$2&amp;Demand_current!$D$3:$AY$3, 0))/1000</f>
        <v>0</v>
      </c>
      <c r="DH81" s="194">
        <f t="array" ref="DH81">INDEX(Demand_current!$D$4:$AY$138, MATCH($A81, Demand_current!$B$4:$B$138, 0), MATCH(DH$4&amp;DH$5,Demand_current!$D$2:$AY$2&amp;Demand_current!$D$3:$AY$3, 0))/1000</f>
        <v>0</v>
      </c>
      <c r="DI81" s="192">
        <f>$BS81*(VLOOKUP(DI$4, Rates_current!$G$6:$Q$29, 10, FALSE)+VLOOKUP(DI$4, Rates_current!$G$6:$Q$29, 11, FALSE))</f>
        <v>27193.304286144179</v>
      </c>
      <c r="DJ81" s="192">
        <f>$BS81*(VLOOKUP(DJ$4, Rates_current!$G$6:$Q$29, 10, FALSE)+VLOOKUP(DJ$4, Rates_current!$G$6:$Q$29, 11, FALSE))</f>
        <v>34427.710139185678</v>
      </c>
      <c r="DK81" s="192">
        <f>$BS81*(VLOOKUP(DK$4, Rates_current!$G$6:$Q$29, 10, FALSE)+VLOOKUP(DK$4, Rates_current!$G$6:$Q$29, 11, FALSE))</f>
        <v>33697.850147619101</v>
      </c>
      <c r="DL81" s="192">
        <f>$BS81*(VLOOKUP(DL$4, Rates_current!$G$6:$Q$29, 10, FALSE)+VLOOKUP(DL$4, Rates_current!$G$6:$Q$29, 11, FALSE))</f>
        <v>27832.991226183498</v>
      </c>
      <c r="DM81" s="192">
        <f>$BS81*(VLOOKUP(DM$4, Rates_current!$G$6:$Q$29, 10, FALSE)+VLOOKUP(DM$4, Rates_current!$G$6:$Q$29, 11, FALSE))</f>
        <v>24123.463513858002</v>
      </c>
      <c r="DN81" s="192">
        <f>$BS81*(VLOOKUP(DN$4, Rates_current!$G$6:$Q$29, 10, FALSE)+VLOOKUP(DN$4, Rates_current!$G$6:$Q$29, 11, FALSE))</f>
        <v>28798.543961491177</v>
      </c>
      <c r="DO81" s="192">
        <f>$BS81*(VLOOKUP(DO$4, Rates_current!$G$6:$Q$29, 10, FALSE)+VLOOKUP(DO$4, Rates_current!$G$6:$Q$29, 11, FALSE))</f>
        <v>22358.235467636423</v>
      </c>
      <c r="DP81" s="192">
        <f>$BS81*(VLOOKUP(DP$4, Rates_current!$G$6:$Q$29, 10, FALSE)+VLOOKUP(DP$4, Rates_current!$G$6:$Q$29, 11, FALSE))</f>
        <v>30977.499774310123</v>
      </c>
      <c r="DQ81" s="192">
        <f>$BS81*(VLOOKUP(DQ$4, Rates_current!$G$6:$Q$29, 10, FALSE)+VLOOKUP(DQ$4, Rates_current!$G$6:$Q$29, 11, FALSE))</f>
        <v>33100.107151404416</v>
      </c>
      <c r="DR81" s="192">
        <f>$BS81*(VLOOKUP(DR$4, Rates_current!$G$6:$Q$29, 10, FALSE)+VLOOKUP(DR$4, Rates_current!$G$6:$Q$29, 11, FALSE))</f>
        <v>31427.052914488515</v>
      </c>
      <c r="DS81" s="192">
        <f>$BS81*(VLOOKUP(DS$4, Rates_current!$G$6:$Q$29, 10, FALSE)+VLOOKUP(DS$4, Rates_current!$G$6:$Q$29, 11, FALSE))</f>
        <v>30371.822170865791</v>
      </c>
      <c r="DT81" s="192">
        <f>$BS81*(VLOOKUP(DT$4, Rates_current!$G$6:$Q$29, 10, FALSE)+VLOOKUP(DT$4, Rates_current!$G$6:$Q$29, 11, FALSE))</f>
        <v>28066.729822867288</v>
      </c>
      <c r="DU81" s="418">
        <f>IF(D81=0,IF(C81=0,MAX(0,DW81 - (VLOOKUP($A81,TOCA_current!$A$2:$AI$137,MATCH("RHWM 2022",TOCA_current!$A$2:$AI$2,0),FALSE)*$BS$2)), 0),0)</f>
        <v>0</v>
      </c>
      <c r="DV81" s="419">
        <f>MIN(VLOOKUP($A81,TOCA_current!$A$2:$AI$137,MATCH("TRL - NLSL - Existing Resource "&amp;$BS$1,TOCA_current!$A$2:$AI$2,0),FALSE)*$BS$2, VLOOKUP($A81,TOCA_current!$A$2:$AI$137,MATCH("RHWM 2022",TOCA_current!$A$2:$AI$2,0),FALSE)*$BS$2)</f>
        <v>919160.52</v>
      </c>
      <c r="DW81" s="419">
        <f>SUM(BY81:CV81)+(BS81*RT1SC!$C$4*$BS$2)</f>
        <v>352376.47013174731</v>
      </c>
      <c r="DX81" s="419">
        <f>VLOOKUP($A81,TOCA_current!$A$2:$AI$137,MATCH("Above RHWM Not Served with LS "&amp;$BS$1,TOCA_current!$A$2:$AI$2,0),FALSE)*$BS$2</f>
        <v>27988.199999999997</v>
      </c>
      <c r="DY81" s="419">
        <f t="shared" si="32"/>
        <v>-566784.04986825271</v>
      </c>
      <c r="DZ81" s="419">
        <f>(VLOOKUP($A81,TOCA_current!$A$2:$AI$137,MATCH("RHWM 2022",TOCA_current!$A$2:$AI$2,0),FALSE)*$BS$2) - $DV81</f>
        <v>31211.879999999888</v>
      </c>
      <c r="EA81" s="419">
        <f t="shared" si="33"/>
        <v>0</v>
      </c>
      <c r="EB81" s="419">
        <f t="shared" si="34"/>
        <v>538795.84986825276</v>
      </c>
      <c r="EC81" s="419">
        <f t="shared" si="35"/>
        <v>0</v>
      </c>
      <c r="ED81" s="419">
        <f t="shared" si="36"/>
        <v>0</v>
      </c>
    </row>
    <row r="82" spans="1:134">
      <c r="A82" s="135">
        <v>10239</v>
      </c>
      <c r="B82" s="136" t="s">
        <v>83</v>
      </c>
      <c r="C82" s="244">
        <f>VLOOKUP(A82, TOCA_current!$A$3:$D$137, 4, FALSE)</f>
        <v>1</v>
      </c>
      <c r="D82" s="203">
        <v>0</v>
      </c>
      <c r="E82" s="119">
        <f>VLOOKUP($A82,TOCA_previous!$A$2:$AI$137,MATCH(E$4,TOCA_previous!$A$2:$AI$2,0),FALSE)</f>
        <v>1.9824999999999999E-3</v>
      </c>
      <c r="F82" s="120">
        <f>VLOOKUP($A82,TOCA_previous!$A$2:$AI$137,MATCH(F$4,TOCA_previous!$A$2:$AI$2,0),FALSE)</f>
        <v>1.9824999999999999E-3</v>
      </c>
      <c r="G82" s="120">
        <f t="shared" si="24"/>
        <v>0</v>
      </c>
      <c r="H82" s="120">
        <f>VLOOKUP($A82,TOCA_previous!$A$2:$AI$137,MATCH(H$4,TOCA_previous!$A$2:$AI$2,0),FALSE)</f>
        <v>7.0050265690076122E-2</v>
      </c>
      <c r="I82" s="120">
        <f t="shared" si="25"/>
        <v>7.0050265690076122E-2</v>
      </c>
      <c r="J82" s="120">
        <f t="shared" si="26"/>
        <v>1.9824999999999999E-3</v>
      </c>
      <c r="K82" s="191">
        <f>VLOOKUP(A82, IRD!$A$5:$C$139, 3, FALSE)</f>
        <v>0</v>
      </c>
      <c r="L82" s="192">
        <f t="array" ref="L82">IF($G82=0, INDEX(LS_previous!$D$4:$AY$138, MATCH('Staging Table'!$A82, LS_previous!$B$4:$B$138, 0), MATCH(L$4&amp;L$5, LS_previous!$D$2:$AY$2&amp;LS_previous!$D$3:$AY$3, 0)),SUM(VLOOKUP($A82, LS_previous!$B$4:$AY$138, LS_previous!D$149, FALSE), VLOOKUP('Staging Table'!$A82, LS_previous!$B$4:$AY$138,LS_previous!AB$149, FALSE))/2)</f>
        <v>0</v>
      </c>
      <c r="M82" s="192">
        <f t="array" ref="M82">IF($G82=0, INDEX(LS_previous!$D$4:$AY$138, MATCH('Staging Table'!$A82, LS_previous!$B$4:$B$138, 0), MATCH(M$4&amp;M$5, LS_previous!$D$2:$AY$2&amp;LS_previous!$D$3:$AY$3, 0)),SUM(VLOOKUP($A82, LS_previous!$B$4:$AY$138, LS_previous!E$149, FALSE), VLOOKUP('Staging Table'!$A82, LS_previous!$B$4:$AY$138,LS_previous!AC$149, FALSE))/2)</f>
        <v>0</v>
      </c>
      <c r="N82" s="192">
        <f t="array" ref="N82">IF($G82=0, INDEX(LS_previous!$D$4:$AY$138, MATCH('Staging Table'!$A82, LS_previous!$B$4:$B$138, 0), MATCH(N$4&amp;N$5, LS_previous!$D$2:$AY$2&amp;LS_previous!$D$3:$AY$3, 0)),SUM(VLOOKUP($A82, LS_previous!$B$4:$AY$138, LS_previous!F$149, FALSE), VLOOKUP('Staging Table'!$A82, LS_previous!$B$4:$AY$138,LS_previous!AD$149, FALSE))/2)</f>
        <v>0</v>
      </c>
      <c r="O82" s="192">
        <f t="array" ref="O82">IF($G82=0, INDEX(LS_previous!$D$4:$AY$138, MATCH('Staging Table'!$A82, LS_previous!$B$4:$B$138, 0), MATCH(O$4&amp;O$5, LS_previous!$D$2:$AY$2&amp;LS_previous!$D$3:$AY$3, 0)),SUM(VLOOKUP($A82, LS_previous!$B$4:$AY$138, LS_previous!G$149, FALSE), VLOOKUP('Staging Table'!$A82, LS_previous!$B$4:$AY$138,LS_previous!AE$149, FALSE))/2)</f>
        <v>0</v>
      </c>
      <c r="P82" s="192">
        <f t="array" ref="P82">IF($G82=0, INDEX(LS_previous!$D$4:$AY$138, MATCH('Staging Table'!$A82, LS_previous!$B$4:$B$138, 0), MATCH(P$4&amp;P$5, LS_previous!$D$2:$AY$2&amp;LS_previous!$D$3:$AY$3, 0)),SUM(VLOOKUP($A82, LS_previous!$B$4:$AY$138, LS_previous!H$149, FALSE), VLOOKUP('Staging Table'!$A82, LS_previous!$B$4:$AY$138,LS_previous!AF$149, FALSE))/2)</f>
        <v>0</v>
      </c>
      <c r="Q82" s="192">
        <f t="array" ref="Q82">IF($G82=0, INDEX(LS_previous!$D$4:$AY$138, MATCH('Staging Table'!$A82, LS_previous!$B$4:$B$138, 0), MATCH(Q$4&amp;Q$5, LS_previous!$D$2:$AY$2&amp;LS_previous!$D$3:$AY$3, 0)),SUM(VLOOKUP($A82, LS_previous!$B$4:$AY$138, LS_previous!I$149, FALSE), VLOOKUP('Staging Table'!$A82, LS_previous!$B$4:$AY$138,LS_previous!AG$149, FALSE))/2)</f>
        <v>0</v>
      </c>
      <c r="R82" s="192">
        <f t="array" ref="R82">IF($G82=0, INDEX(LS_previous!$D$4:$AY$138, MATCH('Staging Table'!$A82, LS_previous!$B$4:$B$138, 0), MATCH(R$4&amp;R$5, LS_previous!$D$2:$AY$2&amp;LS_previous!$D$3:$AY$3, 0)),SUM(VLOOKUP($A82, LS_previous!$B$4:$AY$138, LS_previous!J$149, FALSE), VLOOKUP('Staging Table'!$A82, LS_previous!$B$4:$AY$138,LS_previous!AH$149, FALSE))/2)</f>
        <v>0</v>
      </c>
      <c r="S82" s="192">
        <f t="array" ref="S82">IF($G82=0, INDEX(LS_previous!$D$4:$AY$138, MATCH('Staging Table'!$A82, LS_previous!$B$4:$B$138, 0), MATCH(S$4&amp;S$5, LS_previous!$D$2:$AY$2&amp;LS_previous!$D$3:$AY$3, 0)),SUM(VLOOKUP($A82, LS_previous!$B$4:$AY$138, LS_previous!K$149, FALSE), VLOOKUP('Staging Table'!$A82, LS_previous!$B$4:$AY$138,LS_previous!AI$149, FALSE))/2)</f>
        <v>0</v>
      </c>
      <c r="T82" s="192">
        <f t="array" ref="T82">IF($G82=0, INDEX(LS_previous!$D$4:$AY$138, MATCH('Staging Table'!$A82, LS_previous!$B$4:$B$138, 0), MATCH(T$4&amp;T$5, LS_previous!$D$2:$AY$2&amp;LS_previous!$D$3:$AY$3, 0)),SUM(VLOOKUP($A82, LS_previous!$B$4:$AY$138, LS_previous!L$149, FALSE), VLOOKUP('Staging Table'!$A82, LS_previous!$B$4:$AY$138,LS_previous!AJ$149, FALSE))/2)</f>
        <v>0</v>
      </c>
      <c r="U82" s="192">
        <f t="array" ref="U82">IF($G82=0, INDEX(LS_previous!$D$4:$AY$138, MATCH('Staging Table'!$A82, LS_previous!$B$4:$B$138, 0), MATCH(U$4&amp;U$5, LS_previous!$D$2:$AY$2&amp;LS_previous!$D$3:$AY$3, 0)),SUM(VLOOKUP($A82, LS_previous!$B$4:$AY$138, LS_previous!M$149, FALSE), VLOOKUP('Staging Table'!$A82, LS_previous!$B$4:$AY$138,LS_previous!AK$149, FALSE))/2)</f>
        <v>0</v>
      </c>
      <c r="V82" s="192">
        <f t="array" ref="V82">IF($G82=0, INDEX(LS_previous!$D$4:$AY$138, MATCH('Staging Table'!$A82, LS_previous!$B$4:$B$138, 0), MATCH(V$4&amp;V$5, LS_previous!$D$2:$AY$2&amp;LS_previous!$D$3:$AY$3, 0)),SUM(VLOOKUP($A82, LS_previous!$B$4:$AY$138, LS_previous!N$149, FALSE), VLOOKUP('Staging Table'!$A82, LS_previous!$B$4:$AY$138,LS_previous!AL$149, FALSE))/2)</f>
        <v>0</v>
      </c>
      <c r="W82" s="192">
        <f t="array" ref="W82">IF($G82=0, INDEX(LS_previous!$D$4:$AY$138, MATCH('Staging Table'!$A82, LS_previous!$B$4:$B$138, 0), MATCH(W$4&amp;W$5, LS_previous!$D$2:$AY$2&amp;LS_previous!$D$3:$AY$3, 0)),SUM(VLOOKUP($A82, LS_previous!$B$4:$AY$138, LS_previous!O$149, FALSE), VLOOKUP('Staging Table'!$A82, LS_previous!$B$4:$AY$138,LS_previous!AM$149, FALSE))/2)</f>
        <v>0</v>
      </c>
      <c r="X82" s="192">
        <f t="array" ref="X82">IF($G82=0, INDEX(LS_previous!$D$4:$AY$138, MATCH('Staging Table'!$A82, LS_previous!$B$4:$B$138, 0), MATCH(X$4&amp;X$5, LS_previous!$D$2:$AY$2&amp;LS_previous!$D$3:$AY$3, 0)),SUM(VLOOKUP($A82, LS_previous!$B$4:$AY$138, LS_previous!P$149, FALSE), VLOOKUP('Staging Table'!$A82, LS_previous!$B$4:$AY$138,LS_previous!AN$149, FALSE))/2)</f>
        <v>0</v>
      </c>
      <c r="Y82" s="192">
        <f t="array" ref="Y82">IF($G82=0, INDEX(LS_previous!$D$4:$AY$138, MATCH('Staging Table'!$A82, LS_previous!$B$4:$B$138, 0), MATCH(Y$4&amp;Y$5, LS_previous!$D$2:$AY$2&amp;LS_previous!$D$3:$AY$3, 0)),SUM(VLOOKUP($A82, LS_previous!$B$4:$AY$138, LS_previous!Q$149, FALSE), VLOOKUP('Staging Table'!$A82, LS_previous!$B$4:$AY$138,LS_previous!AO$149, FALSE))/2)</f>
        <v>0</v>
      </c>
      <c r="Z82" s="192">
        <f t="array" ref="Z82">IF($G82=0, INDEX(LS_previous!$D$4:$AY$138, MATCH('Staging Table'!$A82, LS_previous!$B$4:$B$138, 0), MATCH(Z$4&amp;Z$5, LS_previous!$D$2:$AY$2&amp;LS_previous!$D$3:$AY$3, 0)),SUM(VLOOKUP($A82, LS_previous!$B$4:$AY$138, LS_previous!R$149, FALSE), VLOOKUP('Staging Table'!$A82, LS_previous!$B$4:$AY$138,LS_previous!AP$149, FALSE))/2)</f>
        <v>0</v>
      </c>
      <c r="AA82" s="192">
        <f t="array" ref="AA82">IF($G82=0, INDEX(LS_previous!$D$4:$AY$138, MATCH('Staging Table'!$A82, LS_previous!$B$4:$B$138, 0), MATCH(AA$4&amp;AA$5, LS_previous!$D$2:$AY$2&amp;LS_previous!$D$3:$AY$3, 0)),SUM(VLOOKUP($A82, LS_previous!$B$4:$AY$138, LS_previous!S$149, FALSE), VLOOKUP('Staging Table'!$A82, LS_previous!$B$4:$AY$138,LS_previous!AQ$149, FALSE))/2)</f>
        <v>0</v>
      </c>
      <c r="AB82" s="192">
        <f t="array" ref="AB82">IF($G82=0, INDEX(LS_previous!$D$4:$AY$138, MATCH('Staging Table'!$A82, LS_previous!$B$4:$B$138, 0), MATCH(AB$4&amp;AB$5, LS_previous!$D$2:$AY$2&amp;LS_previous!$D$3:$AY$3, 0)),SUM(VLOOKUP($A82, LS_previous!$B$4:$AY$138, LS_previous!T$149, FALSE), VLOOKUP('Staging Table'!$A82, LS_previous!$B$4:$AY$138,LS_previous!AR$149, FALSE))/2)</f>
        <v>0</v>
      </c>
      <c r="AC82" s="192">
        <f t="array" ref="AC82">IF($G82=0, INDEX(LS_previous!$D$4:$AY$138, MATCH('Staging Table'!$A82, LS_previous!$B$4:$B$138, 0), MATCH(AC$4&amp;AC$5, LS_previous!$D$2:$AY$2&amp;LS_previous!$D$3:$AY$3, 0)),SUM(VLOOKUP($A82, LS_previous!$B$4:$AY$138, LS_previous!U$149, FALSE), VLOOKUP('Staging Table'!$A82, LS_previous!$B$4:$AY$138,LS_previous!AS$149, FALSE))/2)</f>
        <v>0</v>
      </c>
      <c r="AD82" s="192">
        <f t="array" ref="AD82">IF($G82=0, INDEX(LS_previous!$D$4:$AY$138, MATCH('Staging Table'!$A82, LS_previous!$B$4:$B$138, 0), MATCH(AD$4&amp;AD$5, LS_previous!$D$2:$AY$2&amp;LS_previous!$D$3:$AY$3, 0)),SUM(VLOOKUP($A82, LS_previous!$B$4:$AY$138, LS_previous!V$149, FALSE), VLOOKUP('Staging Table'!$A82, LS_previous!$B$4:$AY$138,LS_previous!AT$149, FALSE))/2)</f>
        <v>0</v>
      </c>
      <c r="AE82" s="192">
        <f t="array" ref="AE82">IF($G82=0, INDEX(LS_previous!$D$4:$AY$138, MATCH('Staging Table'!$A82, LS_previous!$B$4:$B$138, 0), MATCH(AE$4&amp;AE$5, LS_previous!$D$2:$AY$2&amp;LS_previous!$D$3:$AY$3, 0)),SUM(VLOOKUP($A82, LS_previous!$B$4:$AY$138, LS_previous!W$149, FALSE), VLOOKUP('Staging Table'!$A82, LS_previous!$B$4:$AY$138,LS_previous!AU$149, FALSE))/2)</f>
        <v>0</v>
      </c>
      <c r="AF82" s="192">
        <f t="array" ref="AF82">IF($G82=0, INDEX(LS_previous!$D$4:$AY$138, MATCH('Staging Table'!$A82, LS_previous!$B$4:$B$138, 0), MATCH(AF$4&amp;AF$5, LS_previous!$D$2:$AY$2&amp;LS_previous!$D$3:$AY$3, 0)),SUM(VLOOKUP($A82, LS_previous!$B$4:$AY$138, LS_previous!X$149, FALSE), VLOOKUP('Staging Table'!$A82, LS_previous!$B$4:$AY$138,LS_previous!AV$149, FALSE))/2)</f>
        <v>0</v>
      </c>
      <c r="AG82" s="192">
        <f t="array" ref="AG82">IF($G82=0, INDEX(LS_previous!$D$4:$AY$138, MATCH('Staging Table'!$A82, LS_previous!$B$4:$B$138, 0), MATCH(AG$4&amp;AG$5, LS_previous!$D$2:$AY$2&amp;LS_previous!$D$3:$AY$3, 0)),SUM(VLOOKUP($A82, LS_previous!$B$4:$AY$138, LS_previous!Y$149, FALSE), VLOOKUP('Staging Table'!$A82, LS_previous!$B$4:$AY$138,LS_previous!AW$149, FALSE))/2)</f>
        <v>0</v>
      </c>
      <c r="AH82" s="192">
        <f t="array" ref="AH82">IF($G82=0, INDEX(LS_previous!$D$4:$AY$138, MATCH('Staging Table'!$A82, LS_previous!$B$4:$B$138, 0), MATCH(AH$4&amp;AH$5, LS_previous!$D$2:$AY$2&amp;LS_previous!$D$3:$AY$3, 0)),SUM(VLOOKUP($A82, LS_previous!$B$4:$AY$138, LS_previous!Z$149, FALSE), VLOOKUP('Staging Table'!$A82, LS_previous!$B$4:$AY$138,LS_previous!AX$149, FALSE))/2)</f>
        <v>0</v>
      </c>
      <c r="AI82" s="192">
        <f t="array" ref="AI82">IF($G82=0, INDEX(LS_previous!$D$4:$AY$138, MATCH('Staging Table'!$A82, LS_previous!$B$4:$B$138, 0), MATCH(AI$4&amp;AI$5, LS_previous!$D$2:$AY$2&amp;LS_previous!$D$3:$AY$3, 0)),SUM(VLOOKUP($A82, LS_previous!$B$4:$AY$138, LS_previous!AA$149, FALSE), VLOOKUP('Staging Table'!$A82, LS_previous!$B$4:$AY$138,LS_previous!AY$149, FALSE))/2)</f>
        <v>0</v>
      </c>
      <c r="AJ82" s="314">
        <f t="array" ref="AJ82">INDEX(Demand_previous!$D$4:$AY$138, MATCH('Staging Table'!$A82, Demand_previous!$B$4:$B$138, 0), MATCH(AJ$4&amp;AJ$5,Demand_previous!$D$2:$AY$2&amp;Demand_previous!$D$3:$AY$3, 0))/1000</f>
        <v>0</v>
      </c>
      <c r="AK82" s="314">
        <f t="array" ref="AK82">INDEX(Demand_previous!$D$4:$AY$138, MATCH('Staging Table'!$A82, Demand_previous!$B$4:$B$138, 0), MATCH(AK$4&amp;AK$5,Demand_previous!$D$2:$AY$2&amp;Demand_previous!$D$3:$AY$3, 0))/1000</f>
        <v>0</v>
      </c>
      <c r="AL82" s="314">
        <f t="array" ref="AL82">INDEX(Demand_previous!$D$4:$AY$138, MATCH('Staging Table'!$A82, Demand_previous!$B$4:$B$138, 0), MATCH(AL$4&amp;AL$5,Demand_previous!$D$2:$AY$2&amp;Demand_previous!$D$3:$AY$3, 0))/1000</f>
        <v>0</v>
      </c>
      <c r="AM82" s="314">
        <f t="array" ref="AM82">INDEX(Demand_previous!$D$4:$AY$138, MATCH('Staging Table'!$A82, Demand_previous!$B$4:$B$138, 0), MATCH(AM$4&amp;AM$5,Demand_previous!$D$2:$AY$2&amp;Demand_previous!$D$3:$AY$3, 0))/1000</f>
        <v>0</v>
      </c>
      <c r="AN82" s="314">
        <f t="array" ref="AN82">INDEX(Demand_previous!$D$4:$AY$138, MATCH('Staging Table'!$A82, Demand_previous!$B$4:$B$138, 0), MATCH(AN$4&amp;AN$5,Demand_previous!$D$2:$AY$2&amp;Demand_previous!$D$3:$AY$3, 0))/1000</f>
        <v>0</v>
      </c>
      <c r="AO82" s="314">
        <f t="array" ref="AO82">INDEX(Demand_previous!$D$4:$AY$138, MATCH('Staging Table'!$A82, Demand_previous!$B$4:$B$138, 0), MATCH(AO$4&amp;AO$5,Demand_previous!$D$2:$AY$2&amp;Demand_previous!$D$3:$AY$3, 0))/1000</f>
        <v>0</v>
      </c>
      <c r="AP82" s="314">
        <f t="array" ref="AP82">INDEX(Demand_previous!$D$4:$AY$138, MATCH('Staging Table'!$A82, Demand_previous!$B$4:$B$138, 0), MATCH(AP$4&amp;AP$5,Demand_previous!$D$2:$AY$2&amp;Demand_previous!$D$3:$AY$3, 0))/1000</f>
        <v>0</v>
      </c>
      <c r="AQ82" s="314">
        <f t="array" ref="AQ82">INDEX(Demand_previous!$D$4:$AY$138, MATCH('Staging Table'!$A82, Demand_previous!$B$4:$B$138, 0), MATCH(AQ$4&amp;AQ$5,Demand_previous!$D$2:$AY$2&amp;Demand_previous!$D$3:$AY$3, 0))/1000</f>
        <v>0</v>
      </c>
      <c r="AR82" s="314">
        <f t="array" ref="AR82">INDEX(Demand_previous!$D$4:$AY$138, MATCH('Staging Table'!$A82, Demand_previous!$B$4:$B$138, 0), MATCH(AR$4&amp;AR$5,Demand_previous!$D$2:$AY$2&amp;Demand_previous!$D$3:$AY$3, 0))/1000</f>
        <v>0</v>
      </c>
      <c r="AS82" s="314">
        <f t="array" ref="AS82">INDEX(Demand_previous!$D$4:$AY$138, MATCH('Staging Table'!$A82, Demand_previous!$B$4:$B$138, 0), MATCH(AS$4&amp;AS$5,Demand_previous!$D$2:$AY$2&amp;Demand_previous!$D$3:$AY$3, 0))/1000</f>
        <v>0</v>
      </c>
      <c r="AT82" s="314">
        <f t="array" ref="AT82">INDEX(Demand_previous!$D$4:$AY$138, MATCH('Staging Table'!$A82, Demand_previous!$B$4:$B$138, 0), MATCH(AT$4&amp;AT$5,Demand_previous!$D$2:$AY$2&amp;Demand_previous!$D$3:$AY$3, 0))/1000</f>
        <v>0</v>
      </c>
      <c r="AU82" s="314">
        <f t="array" ref="AU82">INDEX(Demand_previous!$D$4:$AY$138, MATCH('Staging Table'!$A82, Demand_previous!$B$4:$B$138, 0), MATCH(AU$4&amp;AU$5,Demand_previous!$D$2:$AY$2&amp;Demand_previous!$D$3:$AY$3, 0))/1000</f>
        <v>0</v>
      </c>
      <c r="AV82" s="192">
        <f>$F82*(VLOOKUP(AV$4, Rates_previous!$G$6:$Q$29, 10, FALSE)+VLOOKUP(AV$4, Rates_previous!$G$6:$Q$29, 11, FALSE))</f>
        <v>9153.8313410699993</v>
      </c>
      <c r="AW82" s="192">
        <f>$F82*(VLOOKUP(AW$4, Rates_previous!$G$6:$Q$29, 10, FALSE)+VLOOKUP(AW$4, Rates_previous!$G$6:$Q$29, 11, FALSE))</f>
        <v>11628.2213963175</v>
      </c>
      <c r="AX82" s="192">
        <f>$F82*(VLOOKUP(AX$4, Rates_previous!$G$6:$Q$29, 10, FALSE)+VLOOKUP(AX$4, Rates_previous!$G$6:$Q$29, 11, FALSE))</f>
        <v>11487.794888570001</v>
      </c>
      <c r="AY82" s="192">
        <f>$F82*(VLOOKUP(AY$4, Rates_previous!$G$6:$Q$29, 10, FALSE)+VLOOKUP(AY$4, Rates_previous!$G$6:$Q$29, 11, FALSE))</f>
        <v>9575.7767285700011</v>
      </c>
      <c r="AZ82" s="192">
        <f>$F82*(VLOOKUP(AZ$4, Rates_previous!$G$6:$Q$29, 10, FALSE)+VLOOKUP(AZ$4, Rates_previous!$G$6:$Q$29, 11, FALSE))</f>
        <v>8674.6603059999998</v>
      </c>
      <c r="BA82" s="192">
        <f>$F82*(VLOOKUP(BA$4, Rates_previous!$G$6:$Q$29, 10, FALSE)+VLOOKUP(BA$4, Rates_previous!$G$6:$Q$29, 11, FALSE))</f>
        <v>9648.9780451024999</v>
      </c>
      <c r="BB82" s="192">
        <f>$F82*(VLOOKUP(BB$4, Rates_previous!$G$6:$Q$29, 10, FALSE)+VLOOKUP(BB$4, Rates_previous!$G$6:$Q$29, 11, FALSE))</f>
        <v>7856.2083365999997</v>
      </c>
      <c r="BC82" s="192">
        <f>$F82*(VLOOKUP(BC$4, Rates_previous!$G$6:$Q$29, 10, FALSE)+VLOOKUP(BC$4, Rates_previous!$G$6:$Q$29, 11, FALSE))</f>
        <v>10595.268432320001</v>
      </c>
      <c r="BD82" s="192">
        <f>$F82*(VLOOKUP(BD$4, Rates_previous!$G$6:$Q$29, 10, FALSE)+VLOOKUP(BD$4, Rates_previous!$G$6:$Q$29, 11, FALSE))</f>
        <v>13518.84192035</v>
      </c>
      <c r="BE82" s="192">
        <f>$F82*(VLOOKUP(BE$4, Rates_previous!$G$6:$Q$29, 10, FALSE)+VLOOKUP(BE$4, Rates_previous!$G$6:$Q$29, 11, FALSE))</f>
        <v>10599.200721069999</v>
      </c>
      <c r="BF82" s="192">
        <f>$F82*(VLOOKUP(BF$4, Rates_previous!$G$6:$Q$29, 10, FALSE)+VLOOKUP(BF$4, Rates_previous!$G$6:$Q$29, 11, FALSE))</f>
        <v>10321.51095482</v>
      </c>
      <c r="BG82" s="192">
        <f>$F82*(VLOOKUP(BG$4, Rates_previous!$G$6:$Q$29, 10, FALSE)+VLOOKUP(BG$4, Rates_previous!$G$6:$Q$29, 11, FALSE))</f>
        <v>9266.5211691000004</v>
      </c>
      <c r="BH82" s="314">
        <f>IF($D82=0,IF(C82=0, MAX(BJ82 - (VLOOKUP($A82,TOCA_previous!$A$2:$AI$137,MATCH("RHWM 2020",TOCA_previous!$A$2:$AI$2,0),FALSE)*$F$2*TOCA_previous!C79),0),0), 0)</f>
        <v>0</v>
      </c>
      <c r="BI82" s="204">
        <f>MIN(VLOOKUP($A82,TOCA_previous!$A$2:$AI$137,MATCH("TRL - NLSL - Existing Resource "&amp;$F$1,TOCA_previous!$A$2:$AI$2,0),FALSE)*$F$2,(VLOOKUP($A82,TOCA_previous!$A$2:$AI$137,MATCH("RHWM 2020",TOCA_previous!$A$2:$AI$2,0),FALSE)*$F$2))</f>
        <v>122325.984</v>
      </c>
      <c r="BJ82" s="418">
        <f>SUM(L82:AI82)+(F82*RT1SC!$C$3*$F$2)</f>
        <v>122326.81883135998</v>
      </c>
      <c r="BK82" s="417">
        <f>VLOOKUP($A82,TOCA_previous!$A$2:$AI$137,MATCH("Above RHWM Not Served with LS "&amp;$F$1,TOCA_previous!$A$2:$AI$2,0),FALSE)*$F$2</f>
        <v>87.84</v>
      </c>
      <c r="BL82" s="418">
        <f t="shared" si="27"/>
        <v>0.83483135998540092</v>
      </c>
      <c r="BM82" s="417">
        <f>(VLOOKUP($A82,TOCA_previous!$A$2:$AI$137,MATCH("RHWM 2020",TOCA_previous!$A$2:$AI$2,0),FALSE)*$F$2) - $BI82</f>
        <v>0</v>
      </c>
      <c r="BN82" s="418">
        <f t="shared" si="28"/>
        <v>0</v>
      </c>
      <c r="BO82" s="417">
        <f t="shared" si="29"/>
        <v>0</v>
      </c>
      <c r="BP82" s="418">
        <f t="shared" si="30"/>
        <v>0</v>
      </c>
      <c r="BQ82" s="417">
        <f t="shared" si="21"/>
        <v>0</v>
      </c>
      <c r="BR82" s="120">
        <f>VLOOKUP($A82,TOCA_current!$A$2:$AI$137,MATCH(BR$4,TOCA_current!$A$2:$AI$2,0),FALSE)</f>
        <v>1.9824999999999999E-3</v>
      </c>
      <c r="BS82" s="120">
        <f>VLOOKUP($A82,TOCA_current!$A$2:$AI$137,MATCH(BS$4,TOCA_current!$A$2:$AI$2,0),FALSE)</f>
        <v>1.9824999999999999E-3</v>
      </c>
      <c r="BT82" s="201">
        <f t="shared" si="31"/>
        <v>0</v>
      </c>
      <c r="BU82" s="120">
        <f>VLOOKUP($A82,TOCA_current!A78:BG213,MATCH(BU$4,TOCA_current!$A$2:$BG$2,0),FALSE)</f>
        <v>7.682441033320854E-2</v>
      </c>
      <c r="BV82" s="120">
        <f t="shared" si="22"/>
        <v>7.682441033320854E-2</v>
      </c>
      <c r="BW82" s="120">
        <f t="shared" si="23"/>
        <v>1.9824999999999999E-3</v>
      </c>
      <c r="BX82" s="191">
        <f>VLOOKUP($A82,IRD!$A$4:$G$139, 7, FALSE)</f>
        <v>0</v>
      </c>
      <c r="BY82" s="192">
        <f t="array" ref="BY82">IF($BT82=0, INDEX(LS_current!$D$4:$AY$138, MATCH('Staging Table'!$A82, LS_current!$B$4:$B$138, 0), MATCH(BY$4&amp;BY$5, LS_current!$D$2:$AY$2&amp;LS_current!$D$3:$AY$3, 0)),SUM(VLOOKUP($A82, LS_current!$B$4:$AY$138, LS_current!D$148, FALSE), VLOOKUP($A82, LS_current!$B$4:$AY$138,LS_current!AB$148, FALSE))/2)</f>
        <v>0</v>
      </c>
      <c r="BZ82" s="192">
        <f t="array" ref="BZ82">IF($BT82=0, INDEX(LS_current!$D$4:$AY$138, MATCH('Staging Table'!$A82, LS_current!$B$4:$B$138, 0), MATCH(BZ$4&amp;BZ$5, LS_current!$D$2:$AY$2&amp;LS_current!$D$3:$AY$3, 0)),SUM(VLOOKUP($A82, LS_current!$B$4:$AY$138, LS_current!E$148, FALSE), VLOOKUP($A82, LS_current!$B$4:$AY$138,LS_current!AC$148, FALSE))/2)</f>
        <v>0</v>
      </c>
      <c r="CA82" s="192">
        <f t="array" ref="CA82">IF($BT82=0, INDEX(LS_current!$D$4:$AY$138, MATCH('Staging Table'!$A82, LS_current!$B$4:$B$138, 0), MATCH(CA$4&amp;CA$5, LS_current!$D$2:$AY$2&amp;LS_current!$D$3:$AY$3, 0)),SUM(VLOOKUP($A82, LS_current!$B$4:$AY$138, LS_current!F$148, FALSE), VLOOKUP($A82, LS_current!$B$4:$AY$138,LS_current!AD$148, FALSE))/2)</f>
        <v>0</v>
      </c>
      <c r="CB82" s="192">
        <f t="array" ref="CB82">IF($BT82=0, INDEX(LS_current!$D$4:$AY$138, MATCH('Staging Table'!$A82, LS_current!$B$4:$B$138, 0), MATCH(CB$4&amp;CB$5, LS_current!$D$2:$AY$2&amp;LS_current!$D$3:$AY$3, 0)),SUM(VLOOKUP($A82, LS_current!$B$4:$AY$138, LS_current!G$148, FALSE), VLOOKUP($A82, LS_current!$B$4:$AY$138,LS_current!AE$148, FALSE))/2)</f>
        <v>0</v>
      </c>
      <c r="CC82" s="192">
        <f t="array" ref="CC82">IF($BT82=0, INDEX(LS_current!$D$4:$AY$138, MATCH('Staging Table'!$A82, LS_current!$B$4:$B$138, 0), MATCH(CC$4&amp;CC$5, LS_current!$D$2:$AY$2&amp;LS_current!$D$3:$AY$3, 0)),SUM(VLOOKUP($A82, LS_current!$B$4:$AY$138, LS_current!H$148, FALSE), VLOOKUP($A82, LS_current!$B$4:$AY$138,LS_current!AF$148, FALSE))/2)</f>
        <v>0</v>
      </c>
      <c r="CD82" s="192">
        <f t="array" ref="CD82">IF($BT82=0, INDEX(LS_current!$D$4:$AY$138, MATCH('Staging Table'!$A82, LS_current!$B$4:$B$138, 0), MATCH(CD$4&amp;CD$5, LS_current!$D$2:$AY$2&amp;LS_current!$D$3:$AY$3, 0)),SUM(VLOOKUP($A82, LS_current!$B$4:$AY$138, LS_current!I$148, FALSE), VLOOKUP($A82, LS_current!$B$4:$AY$138,LS_current!AG$148, FALSE))/2)</f>
        <v>0</v>
      </c>
      <c r="CE82" s="192">
        <f t="array" ref="CE82">IF($BT82=0, INDEX(LS_current!$D$4:$AY$138, MATCH('Staging Table'!$A82, LS_current!$B$4:$B$138, 0), MATCH(CE$4&amp;CE$5, LS_current!$D$2:$AY$2&amp;LS_current!$D$3:$AY$3, 0)),SUM(VLOOKUP($A82, LS_current!$B$4:$AY$138, LS_current!J$148, FALSE), VLOOKUP($A82, LS_current!$B$4:$AY$138,LS_current!AH$148, FALSE))/2)</f>
        <v>0</v>
      </c>
      <c r="CF82" s="192">
        <f t="array" ref="CF82">IF($BT82=0, INDEX(LS_current!$D$4:$AY$138, MATCH('Staging Table'!$A82, LS_current!$B$4:$B$138, 0), MATCH(CF$4&amp;CF$5, LS_current!$D$2:$AY$2&amp;LS_current!$D$3:$AY$3, 0)),SUM(VLOOKUP($A82, LS_current!$B$4:$AY$138, LS_current!K$148, FALSE), VLOOKUP($A82, LS_current!$B$4:$AY$138,LS_current!AI$148, FALSE))/2)</f>
        <v>0</v>
      </c>
      <c r="CG82" s="192">
        <f t="array" ref="CG82">IF($BT82=0, INDEX(LS_current!$D$4:$AY$138, MATCH('Staging Table'!$A82, LS_current!$B$4:$B$138, 0), MATCH(CG$4&amp;CG$5, LS_current!$D$2:$AY$2&amp;LS_current!$D$3:$AY$3, 0)),SUM(VLOOKUP($A82, LS_current!$B$4:$AY$138, LS_current!L$148, FALSE), VLOOKUP($A82, LS_current!$B$4:$AY$138,LS_current!AJ$148, FALSE))/2)</f>
        <v>0</v>
      </c>
      <c r="CH82" s="192">
        <f t="array" ref="CH82">IF($BT82=0, INDEX(LS_current!$D$4:$AY$138, MATCH('Staging Table'!$A82, LS_current!$B$4:$B$138, 0), MATCH(CH$4&amp;CH$5, LS_current!$D$2:$AY$2&amp;LS_current!$D$3:$AY$3, 0)),SUM(VLOOKUP($A82, LS_current!$B$4:$AY$138, LS_current!M$148, FALSE), VLOOKUP($A82, LS_current!$B$4:$AY$138,LS_current!AK$148, FALSE))/2)</f>
        <v>0</v>
      </c>
      <c r="CI82" s="192">
        <f t="array" ref="CI82">IF($BT82=0, INDEX(LS_current!$D$4:$AY$138, MATCH('Staging Table'!$A82, LS_current!$B$4:$B$138, 0), MATCH(CI$4&amp;CI$5, LS_current!$D$2:$AY$2&amp;LS_current!$D$3:$AY$3, 0)),SUM(VLOOKUP($A82, LS_current!$B$4:$AY$138, LS_current!N$148, FALSE), VLOOKUP($A82, LS_current!$B$4:$AY$138,LS_current!AL$148, FALSE))/2)</f>
        <v>0</v>
      </c>
      <c r="CJ82" s="192">
        <f t="array" ref="CJ82">IF($BT82=0, INDEX(LS_current!$D$4:$AY$138, MATCH('Staging Table'!$A82, LS_current!$B$4:$B$138, 0), MATCH(CJ$4&amp;CJ$5, LS_current!$D$2:$AY$2&amp;LS_current!$D$3:$AY$3, 0)),SUM(VLOOKUP($A82, LS_current!$B$4:$AY$138, LS_current!O$148, FALSE), VLOOKUP($A82, LS_current!$B$4:$AY$138,LS_current!AM$148, FALSE))/2)</f>
        <v>0</v>
      </c>
      <c r="CK82" s="192">
        <f t="array" ref="CK82">IF($BT82=0, INDEX(LS_current!$D$4:$AY$138, MATCH('Staging Table'!$A82, LS_current!$B$4:$B$138, 0), MATCH(CK$4&amp;CK$5, LS_current!$D$2:$AY$2&amp;LS_current!$D$3:$AY$3, 0)),SUM(VLOOKUP($A82, LS_current!$B$4:$AY$138, LS_current!P$148, FALSE), VLOOKUP($A82, LS_current!$B$4:$AY$138,LS_current!AN$148, FALSE))/2)</f>
        <v>0</v>
      </c>
      <c r="CL82" s="192">
        <f t="array" ref="CL82">IF($BT82=0, INDEX(LS_current!$D$4:$AY$138, MATCH('Staging Table'!$A82, LS_current!$B$4:$B$138, 0), MATCH(CL$4&amp;CL$5, LS_current!$D$2:$AY$2&amp;LS_current!$D$3:$AY$3, 0)),SUM(VLOOKUP($A82, LS_current!$B$4:$AY$138, LS_current!Q$148, FALSE), VLOOKUP($A82, LS_current!$B$4:$AY$138,LS_current!AO$148, FALSE))/2)</f>
        <v>0</v>
      </c>
      <c r="CM82" s="192">
        <f t="array" ref="CM82">IF($BT82=0, INDEX(LS_current!$D$4:$AY$138, MATCH('Staging Table'!$A82, LS_current!$B$4:$B$138, 0), MATCH(CM$4&amp;CM$5, LS_current!$D$2:$AY$2&amp;LS_current!$D$3:$AY$3, 0)),SUM(VLOOKUP($A82, LS_current!$B$4:$AY$138, LS_current!R$148, FALSE), VLOOKUP($A82, LS_current!$B$4:$AY$138,LS_current!AP$148, FALSE))/2)</f>
        <v>0</v>
      </c>
      <c r="CN82" s="192">
        <f t="array" ref="CN82">IF($BT82=0, INDEX(LS_current!$D$4:$AY$138, MATCH('Staging Table'!$A82, LS_current!$B$4:$B$138, 0), MATCH(CN$4&amp;CN$5, LS_current!$D$2:$AY$2&amp;LS_current!$D$3:$AY$3, 0)),SUM(VLOOKUP($A82, LS_current!$B$4:$AY$138, LS_current!S$148, FALSE), VLOOKUP($A82, LS_current!$B$4:$AY$138,LS_current!AQ$148, FALSE))/2)</f>
        <v>0</v>
      </c>
      <c r="CO82" s="192">
        <f t="array" ref="CO82">IF($BT82=0, INDEX(LS_current!$D$4:$AY$138, MATCH('Staging Table'!$A82, LS_current!$B$4:$B$138, 0), MATCH(CO$4&amp;CO$5, LS_current!$D$2:$AY$2&amp;LS_current!$D$3:$AY$3, 0)),SUM(VLOOKUP($A82, LS_current!$B$4:$AY$138, LS_current!T$148, FALSE), VLOOKUP($A82, LS_current!$B$4:$AY$138,LS_current!AR$148, FALSE))/2)</f>
        <v>0</v>
      </c>
      <c r="CP82" s="192">
        <f t="array" ref="CP82">IF($BT82=0, INDEX(LS_current!$D$4:$AY$138, MATCH('Staging Table'!$A82, LS_current!$B$4:$B$138, 0), MATCH(CP$4&amp;CP$5, LS_current!$D$2:$AY$2&amp;LS_current!$D$3:$AY$3, 0)),SUM(VLOOKUP($A82, LS_current!$B$4:$AY$138, LS_current!U$148, FALSE), VLOOKUP($A82, LS_current!$B$4:$AY$138,LS_current!AS$148, FALSE))/2)</f>
        <v>0</v>
      </c>
      <c r="CQ82" s="192">
        <f t="array" ref="CQ82">IF($BT82=0, INDEX(LS_current!$D$4:$AY$138, MATCH('Staging Table'!$A82, LS_current!$B$4:$B$138, 0), MATCH(CQ$4&amp;CQ$5, LS_current!$D$2:$AY$2&amp;LS_current!$D$3:$AY$3, 0)),SUM(VLOOKUP($A82, LS_current!$B$4:$AY$138, LS_current!V$148, FALSE), VLOOKUP($A82, LS_current!$B$4:$AY$138,LS_current!AT$148, FALSE))/2)</f>
        <v>0</v>
      </c>
      <c r="CR82" s="192">
        <f t="array" ref="CR82">IF($BT82=0, INDEX(LS_current!$D$4:$AY$138, MATCH('Staging Table'!$A82, LS_current!$B$4:$B$138, 0), MATCH(CR$4&amp;CR$5, LS_current!$D$2:$AY$2&amp;LS_current!$D$3:$AY$3, 0)),SUM(VLOOKUP($A82, LS_current!$B$4:$AY$138, LS_current!W$148, FALSE), VLOOKUP($A82, LS_current!$B$4:$AY$138,LS_current!AU$148, FALSE))/2)</f>
        <v>0</v>
      </c>
      <c r="CS82" s="192">
        <f t="array" ref="CS82">IF($BT82=0, INDEX(LS_current!$D$4:$AY$138, MATCH('Staging Table'!$A82, LS_current!$B$4:$B$138, 0), MATCH(CS$4&amp;CS$5, LS_current!$D$2:$AY$2&amp;LS_current!$D$3:$AY$3, 0)),SUM(VLOOKUP($A82, LS_current!$B$4:$AY$138, LS_current!X$148, FALSE), VLOOKUP($A82, LS_current!$B$4:$AY$138,LS_current!AV$148, FALSE))/2)</f>
        <v>0</v>
      </c>
      <c r="CT82" s="192">
        <f t="array" ref="CT82">IF($BT82=0, INDEX(LS_current!$D$4:$AY$138, MATCH('Staging Table'!$A82, LS_current!$B$4:$B$138, 0), MATCH(CT$4&amp;CT$5, LS_current!$D$2:$AY$2&amp;LS_current!$D$3:$AY$3, 0)),SUM(VLOOKUP($A82, LS_current!$B$4:$AY$138, LS_current!Y$148, FALSE), VLOOKUP($A82, LS_current!$B$4:$AY$138,LS_current!AW$148, FALSE))/2)</f>
        <v>0</v>
      </c>
      <c r="CU82" s="192">
        <f t="array" ref="CU82">IF($BT82=0, INDEX(LS_current!$D$4:$AY$138, MATCH('Staging Table'!$A82, LS_current!$B$4:$B$138, 0), MATCH(CU$4&amp;CU$5, LS_current!$D$2:$AY$2&amp;LS_current!$D$3:$AY$3, 0)),SUM(VLOOKUP($A82, LS_current!$B$4:$AY$138, LS_current!Z$148, FALSE), VLOOKUP($A82, LS_current!$B$4:$AY$138,LS_current!AX$148, FALSE))/2)</f>
        <v>0</v>
      </c>
      <c r="CV82" s="192">
        <f t="array" ref="CV82">IF($BT82=0, INDEX(LS_current!$D$4:$AY$138, MATCH('Staging Table'!$A82, LS_current!$B$4:$B$138, 0), MATCH(CV$4&amp;CV$5, LS_current!$D$2:$AY$2&amp;LS_current!$D$3:$AY$3, 0)),SUM(VLOOKUP($A82, LS_current!$B$4:$AY$138, LS_current!AA$148, FALSE), VLOOKUP($A82, LS_current!$B$4:$AY$138,LS_current!AY$148, FALSE))/2)</f>
        <v>0</v>
      </c>
      <c r="CW82" s="194">
        <f t="array" ref="CW82">INDEX(Demand_current!$D$4:$AY$138, MATCH($A82, Demand_current!$B$4:$B$138, 0), MATCH(CW$4&amp;CW$5,Demand_current!$D$2:$AY$2&amp;Demand_current!$D$3:$AY$3, 0))/1000</f>
        <v>0</v>
      </c>
      <c r="CX82" s="194">
        <f t="array" ref="CX82">INDEX(Demand_current!$D$4:$AY$138, MATCH($A82, Demand_current!$B$4:$B$138, 0), MATCH(CX$4&amp;CX$5,Demand_current!$D$2:$AY$2&amp;Demand_current!$D$3:$AY$3, 0))/1000</f>
        <v>0</v>
      </c>
      <c r="CY82" s="194">
        <f t="array" ref="CY82">INDEX(Demand_current!$D$4:$AY$138, MATCH($A82, Demand_current!$B$4:$B$138, 0), MATCH(CY$4&amp;CY$5,Demand_current!$D$2:$AY$2&amp;Demand_current!$D$3:$AY$3, 0))/1000</f>
        <v>0</v>
      </c>
      <c r="CZ82" s="194">
        <f t="array" ref="CZ82">INDEX(Demand_current!$D$4:$AY$138, MATCH($A82, Demand_current!$B$4:$B$138, 0), MATCH(CZ$4&amp;CZ$5,Demand_current!$D$2:$AY$2&amp;Demand_current!$D$3:$AY$3, 0))/1000</f>
        <v>0</v>
      </c>
      <c r="DA82" s="194">
        <f t="array" ref="DA82">INDEX(Demand_current!$D$4:$AY$138, MATCH($A82, Demand_current!$B$4:$B$138, 0), MATCH(DA$4&amp;DA$5,Demand_current!$D$2:$AY$2&amp;Demand_current!$D$3:$AY$3, 0))/1000</f>
        <v>0</v>
      </c>
      <c r="DB82" s="194">
        <f t="array" ref="DB82">INDEX(Demand_current!$D$4:$AY$138, MATCH($A82, Demand_current!$B$4:$B$138, 0), MATCH(DB$4&amp;DB$5,Demand_current!$D$2:$AY$2&amp;Demand_current!$D$3:$AY$3, 0))/1000</f>
        <v>0</v>
      </c>
      <c r="DC82" s="194">
        <f t="array" ref="DC82">INDEX(Demand_current!$D$4:$AY$138, MATCH($A82, Demand_current!$B$4:$B$138, 0), MATCH(DC$4&amp;DC$5,Demand_current!$D$2:$AY$2&amp;Demand_current!$D$3:$AY$3, 0))/1000</f>
        <v>0</v>
      </c>
      <c r="DD82" s="194">
        <f t="array" ref="DD82">INDEX(Demand_current!$D$4:$AY$138, MATCH($A82, Demand_current!$B$4:$B$138, 0), MATCH(DD$4&amp;DD$5,Demand_current!$D$2:$AY$2&amp;Demand_current!$D$3:$AY$3, 0))/1000</f>
        <v>0</v>
      </c>
      <c r="DE82" s="194">
        <f t="array" ref="DE82">INDEX(Demand_current!$D$4:$AY$138, MATCH($A82, Demand_current!$B$4:$B$138, 0), MATCH(DE$4&amp;DE$5,Demand_current!$D$2:$AY$2&amp;Demand_current!$D$3:$AY$3, 0))/1000</f>
        <v>0</v>
      </c>
      <c r="DF82" s="194">
        <f t="array" ref="DF82">INDEX(Demand_current!$D$4:$AY$138, MATCH($A82, Demand_current!$B$4:$B$138, 0), MATCH(DF$4&amp;DF$5,Demand_current!$D$2:$AY$2&amp;Demand_current!$D$3:$AY$3, 0))/1000</f>
        <v>0</v>
      </c>
      <c r="DG82" s="194">
        <f t="array" ref="DG82">INDEX(Demand_current!$D$4:$AY$138, MATCH($A82, Demand_current!$B$4:$B$138, 0), MATCH(DG$4&amp;DG$5,Demand_current!$D$2:$AY$2&amp;Demand_current!$D$3:$AY$3, 0))/1000</f>
        <v>0</v>
      </c>
      <c r="DH82" s="194">
        <f t="array" ref="DH82">INDEX(Demand_current!$D$4:$AY$138, MATCH($A82, Demand_current!$B$4:$B$138, 0), MATCH(DH$4&amp;DH$5,Demand_current!$D$2:$AY$2&amp;Demand_current!$D$3:$AY$3, 0))/1000</f>
        <v>0</v>
      </c>
      <c r="DI82" s="192">
        <f>$BS82*(VLOOKUP(DI$4, Rates_current!$G$6:$Q$29, 10, FALSE)+VLOOKUP(DI$4, Rates_current!$G$6:$Q$29, 11, FALSE))</f>
        <v>9028.1551641626465</v>
      </c>
      <c r="DJ82" s="192">
        <f>$BS82*(VLOOKUP(DJ$4, Rates_current!$G$6:$Q$29, 10, FALSE)+VLOOKUP(DJ$4, Rates_current!$G$6:$Q$29, 11, FALSE))</f>
        <v>11429.972092128412</v>
      </c>
      <c r="DK82" s="192">
        <f>$BS82*(VLOOKUP(DK$4, Rates_current!$G$6:$Q$29, 10, FALSE)+VLOOKUP(DK$4, Rates_current!$G$6:$Q$29, 11, FALSE))</f>
        <v>11187.659161612832</v>
      </c>
      <c r="DL82" s="192">
        <f>$BS82*(VLOOKUP(DL$4, Rates_current!$G$6:$Q$29, 10, FALSE)+VLOOKUP(DL$4, Rates_current!$G$6:$Q$29, 11, FALSE))</f>
        <v>9240.5307140551267</v>
      </c>
      <c r="DM82" s="192">
        <f>$BS82*(VLOOKUP(DM$4, Rates_current!$G$6:$Q$29, 10, FALSE)+VLOOKUP(DM$4, Rates_current!$G$6:$Q$29, 11, FALSE))</f>
        <v>8008.9704953986475</v>
      </c>
      <c r="DN82" s="192">
        <f>$BS82*(VLOOKUP(DN$4, Rates_current!$G$6:$Q$29, 10, FALSE)+VLOOKUP(DN$4, Rates_current!$G$6:$Q$29, 11, FALSE))</f>
        <v>9561.0934460354783</v>
      </c>
      <c r="DO82" s="192">
        <f>$BS82*(VLOOKUP(DO$4, Rates_current!$G$6:$Q$29, 10, FALSE)+VLOOKUP(DO$4, Rates_current!$G$6:$Q$29, 11, FALSE))</f>
        <v>7422.916202999163</v>
      </c>
      <c r="DP82" s="192">
        <f>$BS82*(VLOOKUP(DP$4, Rates_current!$G$6:$Q$29, 10, FALSE)+VLOOKUP(DP$4, Rates_current!$G$6:$Q$29, 11, FALSE))</f>
        <v>10284.505024377837</v>
      </c>
      <c r="DQ82" s="192">
        <f>$BS82*(VLOOKUP(DQ$4, Rates_current!$G$6:$Q$29, 10, FALSE)+VLOOKUP(DQ$4, Rates_current!$G$6:$Q$29, 11, FALSE))</f>
        <v>10989.208967354263</v>
      </c>
      <c r="DR82" s="192">
        <f>$BS82*(VLOOKUP(DR$4, Rates_current!$G$6:$Q$29, 10, FALSE)+VLOOKUP(DR$4, Rates_current!$G$6:$Q$29, 11, FALSE))</f>
        <v>10433.756305552044</v>
      </c>
      <c r="DS82" s="192">
        <f>$BS82*(VLOOKUP(DS$4, Rates_current!$G$6:$Q$29, 10, FALSE)+VLOOKUP(DS$4, Rates_current!$G$6:$Q$29, 11, FALSE))</f>
        <v>10083.420546897114</v>
      </c>
      <c r="DT82" s="192">
        <f>$BS82*(VLOOKUP(DT$4, Rates_current!$G$6:$Q$29, 10, FALSE)+VLOOKUP(DT$4, Rates_current!$G$6:$Q$29, 11, FALSE))</f>
        <v>9318.1317402676741</v>
      </c>
      <c r="DU82" s="418">
        <f>IF(D82=0,IF(C82=0,MAX(0,DW82 - (VLOOKUP($A82,TOCA_current!$A$2:$AI$137,MATCH("RHWM 2022",TOCA_current!$A$2:$AI$2,0),FALSE)*$BS$2)), 0),0)</f>
        <v>0</v>
      </c>
      <c r="DV82" s="419">
        <f>MIN(VLOOKUP($A82,TOCA_current!$A$2:$AI$137,MATCH("TRL - NLSL - Existing Resource "&amp;$BS$1,TOCA_current!$A$2:$AI$2,0),FALSE)*$BS$2, VLOOKUP($A82,TOCA_current!$A$2:$AI$137,MATCH("RHWM 2022",TOCA_current!$A$2:$AI$2,0),FALSE)*$BS$2)</f>
        <v>116989.8</v>
      </c>
      <c r="DW82" s="419">
        <f>SUM(BY82:CV82)+(BS82*RT1SC!$C$4*$BS$2)</f>
        <v>116988.3258453</v>
      </c>
      <c r="DX82" s="419">
        <f>VLOOKUP($A82,TOCA_current!$A$2:$AI$137,MATCH("Above RHWM Not Served with LS "&amp;$BS$1,TOCA_current!$A$2:$AI$2,0),FALSE)*$BS$2</f>
        <v>11405.52</v>
      </c>
      <c r="DY82" s="419">
        <f t="shared" si="32"/>
        <v>-1.4741547000012361</v>
      </c>
      <c r="DZ82" s="419">
        <f>(VLOOKUP($A82,TOCA_current!$A$2:$AI$137,MATCH("RHWM 2022",TOCA_current!$A$2:$AI$2,0),FALSE)*$BS$2) - $DV82</f>
        <v>0</v>
      </c>
      <c r="EA82" s="419">
        <f t="shared" si="33"/>
        <v>0</v>
      </c>
      <c r="EB82" s="419">
        <f t="shared" si="34"/>
        <v>0</v>
      </c>
      <c r="EC82" s="419">
        <f t="shared" si="35"/>
        <v>0</v>
      </c>
      <c r="ED82" s="419">
        <f t="shared" si="36"/>
        <v>0</v>
      </c>
    </row>
    <row r="83" spans="1:134">
      <c r="A83" s="135">
        <v>10242</v>
      </c>
      <c r="B83" s="136" t="s">
        <v>84</v>
      </c>
      <c r="C83" s="244">
        <f>VLOOKUP(A83, TOCA_current!$A$3:$D$137, 4, FALSE)</f>
        <v>0</v>
      </c>
      <c r="D83" s="203">
        <v>0</v>
      </c>
      <c r="E83" s="119">
        <f>VLOOKUP($A83,TOCA_previous!$A$2:$AI$137,MATCH(E$4,TOCA_previous!$A$2:$AI$2,0),FALSE)</f>
        <v>1.3488E-3</v>
      </c>
      <c r="F83" s="120">
        <f>VLOOKUP($A83,TOCA_previous!$A$2:$AI$137,MATCH(F$4,TOCA_previous!$A$2:$AI$2,0),FALSE)</f>
        <v>1.3488E-3</v>
      </c>
      <c r="G83" s="120">
        <f t="shared" si="24"/>
        <v>0</v>
      </c>
      <c r="H83" s="120">
        <f>VLOOKUP($A83,TOCA_previous!$A$2:$AI$137,MATCH(H$4,TOCA_previous!$A$2:$AI$2,0),FALSE)</f>
        <v>7.3265435356200531E-2</v>
      </c>
      <c r="I83" s="120">
        <f t="shared" si="25"/>
        <v>0</v>
      </c>
      <c r="J83" s="120">
        <f t="shared" si="26"/>
        <v>0</v>
      </c>
      <c r="K83" s="191">
        <f>VLOOKUP(A83, IRD!$A$5:$C$139, 3, FALSE)</f>
        <v>37558.894</v>
      </c>
      <c r="L83" s="192">
        <f t="array" ref="L83">IF($G83=0, INDEX(LS_previous!$D$4:$AY$138, MATCH('Staging Table'!$A83, LS_previous!$B$4:$B$138, 0), MATCH(L$4&amp;L$5, LS_previous!$D$2:$AY$2&amp;LS_previous!$D$3:$AY$3, 0)),SUM(VLOOKUP($A83, LS_previous!$B$4:$AY$138, LS_previous!D$149, FALSE), VLOOKUP('Staging Table'!$A83, LS_previous!$B$4:$AY$138,LS_previous!AB$149, FALSE))/2)</f>
        <v>-1935.5573953343996</v>
      </c>
      <c r="M83" s="192">
        <f t="array" ref="M83">IF($G83=0, INDEX(LS_previous!$D$4:$AY$138, MATCH('Staging Table'!$A83, LS_previous!$B$4:$B$138, 0), MATCH(M$4&amp;M$5, LS_previous!$D$2:$AY$2&amp;LS_previous!$D$3:$AY$3, 0)),SUM(VLOOKUP($A83, LS_previous!$B$4:$AY$138, LS_previous!E$149, FALSE), VLOOKUP('Staging Table'!$A83, LS_previous!$B$4:$AY$138,LS_previous!AC$149, FALSE))/2)</f>
        <v>-741.98603863040012</v>
      </c>
      <c r="N83" s="192">
        <f t="array" ref="N83">IF($G83=0, INDEX(LS_previous!$D$4:$AY$138, MATCH('Staging Table'!$A83, LS_previous!$B$4:$B$138, 0), MATCH(N$4&amp;N$5, LS_previous!$D$2:$AY$2&amp;LS_previous!$D$3:$AY$3, 0)),SUM(VLOOKUP($A83, LS_previous!$B$4:$AY$138, LS_previous!F$149, FALSE), VLOOKUP('Staging Table'!$A83, LS_previous!$B$4:$AY$138,LS_previous!AD$149, FALSE))/2)</f>
        <v>-2786.4163217664</v>
      </c>
      <c r="O83" s="192">
        <f t="array" ref="O83">IF($G83=0, INDEX(LS_previous!$D$4:$AY$138, MATCH('Staging Table'!$A83, LS_previous!$B$4:$B$138, 0), MATCH(O$4&amp;O$5, LS_previous!$D$2:$AY$2&amp;LS_previous!$D$3:$AY$3, 0)),SUM(VLOOKUP($A83, LS_previous!$B$4:$AY$138, LS_previous!G$149, FALSE), VLOOKUP('Staging Table'!$A83, LS_previous!$B$4:$AY$138,LS_previous!AE$149, FALSE))/2)</f>
        <v>-1225.8710309968003</v>
      </c>
      <c r="P83" s="192">
        <f t="array" ref="P83">IF($G83=0, INDEX(LS_previous!$D$4:$AY$138, MATCH('Staging Table'!$A83, LS_previous!$B$4:$B$138, 0), MATCH(P$4&amp;P$5, LS_previous!$D$2:$AY$2&amp;LS_previous!$D$3:$AY$3, 0)),SUM(VLOOKUP($A83, LS_previous!$B$4:$AY$138, LS_previous!H$149, FALSE), VLOOKUP('Staging Table'!$A83, LS_previous!$B$4:$AY$138,LS_previous!AF$149, FALSE))/2)</f>
        <v>-2000.3733591936002</v>
      </c>
      <c r="Q83" s="192">
        <f t="array" ref="Q83">IF($G83=0, INDEX(LS_previous!$D$4:$AY$138, MATCH('Staging Table'!$A83, LS_previous!$B$4:$B$138, 0), MATCH(Q$4&amp;Q$5, LS_previous!$D$2:$AY$2&amp;LS_previous!$D$3:$AY$3, 0)),SUM(VLOOKUP($A83, LS_previous!$B$4:$AY$138, LS_previous!I$149, FALSE), VLOOKUP('Staging Table'!$A83, LS_previous!$B$4:$AY$138,LS_previous!AG$149, FALSE))/2)</f>
        <v>-699.61838517120032</v>
      </c>
      <c r="R83" s="192">
        <f t="array" ref="R83">IF($G83=0, INDEX(LS_previous!$D$4:$AY$138, MATCH('Staging Table'!$A83, LS_previous!$B$4:$B$138, 0), MATCH(R$4&amp;R$5, LS_previous!$D$2:$AY$2&amp;LS_previous!$D$3:$AY$3, 0)),SUM(VLOOKUP($A83, LS_previous!$B$4:$AY$138, LS_previous!J$149, FALSE), VLOOKUP('Staging Table'!$A83, LS_previous!$B$4:$AY$138,LS_previous!AH$149, FALSE))/2)</f>
        <v>-1243.4942103936005</v>
      </c>
      <c r="S83" s="192">
        <f t="array" ref="S83">IF($G83=0, INDEX(LS_previous!$D$4:$AY$138, MATCH('Staging Table'!$A83, LS_previous!$B$4:$B$138, 0), MATCH(S$4&amp;S$5, LS_previous!$D$2:$AY$2&amp;LS_previous!$D$3:$AY$3, 0)),SUM(VLOOKUP($A83, LS_previous!$B$4:$AY$138, LS_previous!K$149, FALSE), VLOOKUP('Staging Table'!$A83, LS_previous!$B$4:$AY$138,LS_previous!AI$149, FALSE))/2)</f>
        <v>-125.35807157120007</v>
      </c>
      <c r="T83" s="192">
        <f t="array" ref="T83">IF($G83=0, INDEX(LS_previous!$D$4:$AY$138, MATCH('Staging Table'!$A83, LS_previous!$B$4:$B$138, 0), MATCH(T$4&amp;T$5, LS_previous!$D$2:$AY$2&amp;LS_previous!$D$3:$AY$3, 0)),SUM(VLOOKUP($A83, LS_previous!$B$4:$AY$138, LS_previous!L$149, FALSE), VLOOKUP('Staging Table'!$A83, LS_previous!$B$4:$AY$138,LS_previous!AJ$149, FALSE))/2)</f>
        <v>-1311.6604008511999</v>
      </c>
      <c r="U83" s="192">
        <f t="array" ref="U83">IF($G83=0, INDEX(LS_previous!$D$4:$AY$138, MATCH('Staging Table'!$A83, LS_previous!$B$4:$B$138, 0), MATCH(U$4&amp;U$5, LS_previous!$D$2:$AY$2&amp;LS_previous!$D$3:$AY$3, 0)),SUM(VLOOKUP($A83, LS_previous!$B$4:$AY$138, LS_previous!M$149, FALSE), VLOOKUP('Staging Table'!$A83, LS_previous!$B$4:$AY$138,LS_previous!AK$149, FALSE))/2)</f>
        <v>-322.6895389888</v>
      </c>
      <c r="V83" s="192">
        <f t="array" ref="V83">IF($G83=0, INDEX(LS_previous!$D$4:$AY$138, MATCH('Staging Table'!$A83, LS_previous!$B$4:$B$138, 0), MATCH(V$4&amp;V$5, LS_previous!$D$2:$AY$2&amp;LS_previous!$D$3:$AY$3, 0)),SUM(VLOOKUP($A83, LS_previous!$B$4:$AY$138, LS_previous!N$149, FALSE), VLOOKUP('Staging Table'!$A83, LS_previous!$B$4:$AY$138,LS_previous!AL$149, FALSE))/2)</f>
        <v>-1984.0461390207993</v>
      </c>
      <c r="W83" s="192">
        <f t="array" ref="W83">IF($G83=0, INDEX(LS_previous!$D$4:$AY$138, MATCH('Staging Table'!$A83, LS_previous!$B$4:$B$138, 0), MATCH(W$4&amp;W$5, LS_previous!$D$2:$AY$2&amp;LS_previous!$D$3:$AY$3, 0)),SUM(VLOOKUP($A83, LS_previous!$B$4:$AY$138, LS_previous!O$149, FALSE), VLOOKUP('Staging Table'!$A83, LS_previous!$B$4:$AY$138,LS_previous!AM$149, FALSE))/2)</f>
        <v>-743.46488480480002</v>
      </c>
      <c r="X83" s="192">
        <f t="array" ref="X83">IF($G83=0, INDEX(LS_previous!$D$4:$AY$138, MATCH('Staging Table'!$A83, LS_previous!$B$4:$B$138, 0), MATCH(X$4&amp;X$5, LS_previous!$D$2:$AY$2&amp;LS_previous!$D$3:$AY$3, 0)),SUM(VLOOKUP($A83, LS_previous!$B$4:$AY$138, LS_previous!P$149, FALSE), VLOOKUP('Staging Table'!$A83, LS_previous!$B$4:$AY$138,LS_previous!AN$149, FALSE))/2)</f>
        <v>-1279.6011027072</v>
      </c>
      <c r="Y83" s="192">
        <f t="array" ref="Y83">IF($G83=0, INDEX(LS_previous!$D$4:$AY$138, MATCH('Staging Table'!$A83, LS_previous!$B$4:$B$138, 0), MATCH(Y$4&amp;Y$5, LS_previous!$D$2:$AY$2&amp;LS_previous!$D$3:$AY$3, 0)),SUM(VLOOKUP($A83, LS_previous!$B$4:$AY$138, LS_previous!Q$149, FALSE), VLOOKUP('Staging Table'!$A83, LS_previous!$B$4:$AY$138,LS_previous!AO$149, FALSE))/2)</f>
        <v>-513.34851111680018</v>
      </c>
      <c r="Z83" s="192">
        <f t="array" ref="Z83">IF($G83=0, INDEX(LS_previous!$D$4:$AY$138, MATCH('Staging Table'!$A83, LS_previous!$B$4:$B$138, 0), MATCH(Z$4&amp;Z$5, LS_previous!$D$2:$AY$2&amp;LS_previous!$D$3:$AY$3, 0)),SUM(VLOOKUP($A83, LS_previous!$B$4:$AY$138, LS_previous!R$149, FALSE), VLOOKUP('Staging Table'!$A83, LS_previous!$B$4:$AY$138,LS_previous!AP$149, FALSE))/2)</f>
        <v>380.95111952000025</v>
      </c>
      <c r="AA83" s="192">
        <f t="array" ref="AA83">IF($G83=0, INDEX(LS_previous!$D$4:$AY$138, MATCH('Staging Table'!$A83, LS_previous!$B$4:$B$138, 0), MATCH(AA$4&amp;AA$5, LS_previous!$D$2:$AY$2&amp;LS_previous!$D$3:$AY$3, 0)),SUM(VLOOKUP($A83, LS_previous!$B$4:$AY$138, LS_previous!S$149, FALSE), VLOOKUP('Staging Table'!$A83, LS_previous!$B$4:$AY$138,LS_previous!AQ$149, FALSE))/2)</f>
        <v>1388.1472681151999</v>
      </c>
      <c r="AB83" s="192">
        <f t="array" ref="AB83">IF($G83=0, INDEX(LS_previous!$D$4:$AY$138, MATCH('Staging Table'!$A83, LS_previous!$B$4:$B$138, 0), MATCH(AB$4&amp;AB$5, LS_previous!$D$2:$AY$2&amp;LS_previous!$D$3:$AY$3, 0)),SUM(VLOOKUP($A83, LS_previous!$B$4:$AY$138, LS_previous!T$149, FALSE), VLOOKUP('Staging Table'!$A83, LS_previous!$B$4:$AY$138,LS_previous!AR$149, FALSE))/2)</f>
        <v>1453.2006004927998</v>
      </c>
      <c r="AC83" s="192">
        <f t="array" ref="AC83">IF($G83=0, INDEX(LS_previous!$D$4:$AY$138, MATCH('Staging Table'!$A83, LS_previous!$B$4:$B$138, 0), MATCH(AC$4&amp;AC$5, LS_previous!$D$2:$AY$2&amp;LS_previous!$D$3:$AY$3, 0)),SUM(VLOOKUP($A83, LS_previous!$B$4:$AY$138, LS_previous!U$149, FALSE), VLOOKUP('Staging Table'!$A83, LS_previous!$B$4:$AY$138,LS_previous!AS$149, FALSE))/2)</f>
        <v>2045.7135320831994</v>
      </c>
      <c r="AD83" s="192">
        <f t="array" ref="AD83">IF($G83=0, INDEX(LS_previous!$D$4:$AY$138, MATCH('Staging Table'!$A83, LS_previous!$B$4:$B$138, 0), MATCH(AD$4&amp;AD$5, LS_previous!$D$2:$AY$2&amp;LS_previous!$D$3:$AY$3, 0)),SUM(VLOOKUP($A83, LS_previous!$B$4:$AY$138, LS_previous!V$149, FALSE), VLOOKUP('Staging Table'!$A83, LS_previous!$B$4:$AY$138,LS_previous!AT$149, FALSE))/2)</f>
        <v>3970.8844964927994</v>
      </c>
      <c r="AE83" s="192">
        <f t="array" ref="AE83">IF($G83=0, INDEX(LS_previous!$D$4:$AY$138, MATCH('Staging Table'!$A83, LS_previous!$B$4:$B$138, 0), MATCH(AE$4&amp;AE$5, LS_previous!$D$2:$AY$2&amp;LS_previous!$D$3:$AY$3, 0)),SUM(VLOOKUP($A83, LS_previous!$B$4:$AY$138, LS_previous!W$149, FALSE), VLOOKUP('Staging Table'!$A83, LS_previous!$B$4:$AY$138,LS_previous!AU$149, FALSE))/2)</f>
        <v>4772.2155463424006</v>
      </c>
      <c r="AF83" s="192">
        <f t="array" ref="AF83">IF($G83=0, INDEX(LS_previous!$D$4:$AY$138, MATCH('Staging Table'!$A83, LS_previous!$B$4:$B$138, 0), MATCH(AF$4&amp;AF$5, LS_previous!$D$2:$AY$2&amp;LS_previous!$D$3:$AY$3, 0)),SUM(VLOOKUP($A83, LS_previous!$B$4:$AY$138, LS_previous!X$149, FALSE), VLOOKUP('Staging Table'!$A83, LS_previous!$B$4:$AY$138,LS_previous!AV$149, FALSE))/2)</f>
        <v>2809.2956108927992</v>
      </c>
      <c r="AG83" s="192">
        <f t="array" ref="AG83">IF($G83=0, INDEX(LS_previous!$D$4:$AY$138, MATCH('Staging Table'!$A83, LS_previous!$B$4:$B$138, 0), MATCH(AG$4&amp;AG$5, LS_previous!$D$2:$AY$2&amp;LS_previous!$D$3:$AY$3, 0)),SUM(VLOOKUP($A83, LS_previous!$B$4:$AY$138, LS_previous!Y$149, FALSE), VLOOKUP('Staging Table'!$A83, LS_previous!$B$4:$AY$138,LS_previous!AW$149, FALSE))/2)</f>
        <v>3240.1765223423999</v>
      </c>
      <c r="AH83" s="192">
        <f t="array" ref="AH83">IF($G83=0, INDEX(LS_previous!$D$4:$AY$138, MATCH('Staging Table'!$A83, LS_previous!$B$4:$B$138, 0), MATCH(AH$4&amp;AH$5, LS_previous!$D$2:$AY$2&amp;LS_previous!$D$3:$AY$3, 0)),SUM(VLOOKUP($A83, LS_previous!$B$4:$AY$138, LS_previous!Z$149, FALSE), VLOOKUP('Staging Table'!$A83, LS_previous!$B$4:$AY$138,LS_previous!AX$149, FALSE))/2)</f>
        <v>250.67950272000007</v>
      </c>
      <c r="AI83" s="192">
        <f t="array" ref="AI83">IF($G83=0, INDEX(LS_previous!$D$4:$AY$138, MATCH('Staging Table'!$A83, LS_previous!$B$4:$B$138, 0), MATCH(AI$4&amp;AI$5, LS_previous!$D$2:$AY$2&amp;LS_previous!$D$3:$AY$3, 0)),SUM(VLOOKUP($A83, LS_previous!$B$4:$AY$138, LS_previous!AA$149, FALSE), VLOOKUP('Staging Table'!$A83, LS_previous!$B$4:$AY$138,LS_previous!AY$149, FALSE))/2)</f>
        <v>1097.0161906560002</v>
      </c>
      <c r="AJ83" s="314">
        <f t="array" ref="AJ83">INDEX(Demand_previous!$D$4:$AY$138, MATCH('Staging Table'!$A83, Demand_previous!$B$4:$B$138, 0), MATCH(AJ$4&amp;AJ$5,Demand_previous!$D$2:$AY$2&amp;Demand_previous!$D$3:$AY$3, 0))/1000</f>
        <v>1.7964861111111103</v>
      </c>
      <c r="AK83" s="314">
        <f t="array" ref="AK83">INDEX(Demand_previous!$D$4:$AY$138, MATCH('Staging Table'!$A83, Demand_previous!$B$4:$B$138, 0), MATCH(AK$4&amp;AK$5,Demand_previous!$D$2:$AY$2&amp;Demand_previous!$D$3:$AY$3, 0))/1000</f>
        <v>0.43695749999999967</v>
      </c>
      <c r="AL83" s="314">
        <f t="array" ref="AL83">INDEX(Demand_previous!$D$4:$AY$138, MATCH('Staging Table'!$A83, Demand_previous!$B$4:$B$138, 0), MATCH(AL$4&amp;AL$5,Demand_previous!$D$2:$AY$2&amp;Demand_previous!$D$3:$AY$3, 0))/1000</f>
        <v>0.33093750000000055</v>
      </c>
      <c r="AM83" s="314">
        <f t="array" ref="AM83">INDEX(Demand_previous!$D$4:$AY$138, MATCH('Staging Table'!$A83, Demand_previous!$B$4:$B$138, 0), MATCH(AM$4&amp;AM$5,Demand_previous!$D$2:$AY$2&amp;Demand_previous!$D$3:$AY$3, 0))/1000</f>
        <v>0.85788221153846234</v>
      </c>
      <c r="AN83" s="314">
        <f t="array" ref="AN83">INDEX(Demand_previous!$D$4:$AY$138, MATCH('Staging Table'!$A83, Demand_previous!$B$4:$B$138, 0), MATCH(AN$4&amp;AN$5,Demand_previous!$D$2:$AY$2&amp;Demand_previous!$D$3:$AY$3, 0))/1000</f>
        <v>0.5814174999999997</v>
      </c>
      <c r="AO83" s="314">
        <f t="array" ref="AO83">INDEX(Demand_previous!$D$4:$AY$138, MATCH('Staging Table'!$A83, Demand_previous!$B$4:$B$138, 0), MATCH(AO$4&amp;AO$5,Demand_previous!$D$2:$AY$2&amp;Demand_previous!$D$3:$AY$3, 0))/1000</f>
        <v>0.18771634615384603</v>
      </c>
      <c r="AP83" s="314">
        <f t="array" ref="AP83">INDEX(Demand_previous!$D$4:$AY$138, MATCH('Staging Table'!$A83, Demand_previous!$B$4:$B$138, 0), MATCH(AP$4&amp;AP$5,Demand_previous!$D$2:$AY$2&amp;Demand_previous!$D$3:$AY$3, 0))/1000</f>
        <v>1.1199951923076925</v>
      </c>
      <c r="AQ83" s="314">
        <f t="array" ref="AQ83">INDEX(Demand_previous!$D$4:$AY$138, MATCH('Staging Table'!$A83, Demand_previous!$B$4:$B$138, 0), MATCH(AQ$4&amp;AQ$5,Demand_previous!$D$2:$AY$2&amp;Demand_previous!$D$3:$AY$3, 0))/1000</f>
        <v>0</v>
      </c>
      <c r="AR83" s="314">
        <f t="array" ref="AR83">INDEX(Demand_previous!$D$4:$AY$138, MATCH('Staging Table'!$A83, Demand_previous!$B$4:$B$138, 0), MATCH(AR$4&amp;AR$5,Demand_previous!$D$2:$AY$2&amp;Demand_previous!$D$3:$AY$3, 0))/1000</f>
        <v>3.8865456730769203</v>
      </c>
      <c r="AS83" s="314">
        <f t="array" ref="AS83">INDEX(Demand_previous!$D$4:$AY$138, MATCH('Staging Table'!$A83, Demand_previous!$B$4:$B$138, 0), MATCH(AS$4&amp;AS$5,Demand_previous!$D$2:$AY$2&amp;Demand_previous!$D$3:$AY$3, 0))/1000</f>
        <v>3.4448966346153829</v>
      </c>
      <c r="AT83" s="314">
        <f t="array" ref="AT83">INDEX(Demand_previous!$D$4:$AY$138, MATCH('Staging Table'!$A83, Demand_previous!$B$4:$B$138, 0), MATCH(AT$4&amp;AT$5,Demand_previous!$D$2:$AY$2&amp;Demand_previous!$D$3:$AY$3, 0))/1000</f>
        <v>2.9961009615384642</v>
      </c>
      <c r="AU83" s="314">
        <f t="array" ref="AU83">INDEX(Demand_previous!$D$4:$AY$138, MATCH('Staging Table'!$A83, Demand_previous!$B$4:$B$138, 0), MATCH(AU$4&amp;AU$5,Demand_previous!$D$2:$AY$2&amp;Demand_previous!$D$3:$AY$3, 0))/1000</f>
        <v>2.1416049999999989</v>
      </c>
      <c r="AV83" s="192">
        <f>$F83*(VLOOKUP(AV$4, Rates_previous!$G$6:$Q$29, 10, FALSE)+VLOOKUP(AV$4, Rates_previous!$G$6:$Q$29, 11, FALSE))</f>
        <v>6227.8374339647999</v>
      </c>
      <c r="AW83" s="192">
        <f>$F83*(VLOOKUP(AW$4, Rates_previous!$G$6:$Q$29, 10, FALSE)+VLOOKUP(AW$4, Rates_previous!$G$6:$Q$29, 11, FALSE))</f>
        <v>7911.2963527632</v>
      </c>
      <c r="AX83" s="192">
        <f>$F83*(VLOOKUP(AX$4, Rates_previous!$G$6:$Q$29, 10, FALSE)+VLOOKUP(AX$4, Rates_previous!$G$6:$Q$29, 11, FALSE))</f>
        <v>7815.7567443648013</v>
      </c>
      <c r="AY83" s="192">
        <f>$F83*(VLOOKUP(AY$4, Rates_previous!$G$6:$Q$29, 10, FALSE)+VLOOKUP(AY$4, Rates_previous!$G$6:$Q$29, 11, FALSE))</f>
        <v>6514.9092819648013</v>
      </c>
      <c r="AZ83" s="192">
        <f>$F83*(VLOOKUP(AZ$4, Rates_previous!$G$6:$Q$29, 10, FALSE)+VLOOKUP(AZ$4, Rates_previous!$G$6:$Q$29, 11, FALSE))</f>
        <v>5901.8319398399999</v>
      </c>
      <c r="BA83" s="192">
        <f>$F83*(VLOOKUP(BA$4, Rates_previous!$G$6:$Q$29, 10, FALSE)+VLOOKUP(BA$4, Rates_previous!$G$6:$Q$29, 11, FALSE))</f>
        <v>6564.7120238256002</v>
      </c>
      <c r="BB83" s="192">
        <f>$F83*(VLOOKUP(BB$4, Rates_previous!$G$6:$Q$29, 10, FALSE)+VLOOKUP(BB$4, Rates_previous!$G$6:$Q$29, 11, FALSE))</f>
        <v>5344.9956138240004</v>
      </c>
      <c r="BC83" s="192">
        <f>$F83*(VLOOKUP(BC$4, Rates_previous!$G$6:$Q$29, 10, FALSE)+VLOOKUP(BC$4, Rates_previous!$G$6:$Q$29, 11, FALSE))</f>
        <v>7208.523612364801</v>
      </c>
      <c r="BD83" s="192">
        <f>$F83*(VLOOKUP(BD$4, Rates_previous!$G$6:$Q$29, 10, FALSE)+VLOOKUP(BD$4, Rates_previous!$G$6:$Q$29, 11, FALSE))</f>
        <v>9197.5858674240008</v>
      </c>
      <c r="BE83" s="192">
        <f>$F83*(VLOOKUP(BE$4, Rates_previous!$G$6:$Q$29, 10, FALSE)+VLOOKUP(BE$4, Rates_previous!$G$6:$Q$29, 11, FALSE))</f>
        <v>7211.198957164801</v>
      </c>
      <c r="BF83" s="192">
        <f>$F83*(VLOOKUP(BF$4, Rates_previous!$G$6:$Q$29, 10, FALSE)+VLOOKUP(BF$4, Rates_previous!$G$6:$Q$29, 11, FALSE))</f>
        <v>7022.2718667648005</v>
      </c>
      <c r="BG83" s="192">
        <f>$F83*(VLOOKUP(BG$4, Rates_previous!$G$6:$Q$29, 10, FALSE)+VLOOKUP(BG$4, Rates_previous!$G$6:$Q$29, 11, FALSE))</f>
        <v>6304.5063066240009</v>
      </c>
      <c r="BH83" s="314">
        <f>IF($D83=0,IF(C83=0, MAX(BJ83 - (VLOOKUP($A83,TOCA_previous!$A$2:$AI$137,MATCH("RHWM 2020",TOCA_previous!$A$2:$AI$2,0),FALSE)*$F$2*TOCA_previous!C80),0),0), 0)</f>
        <v>4491.8241238207993</v>
      </c>
      <c r="BI83" s="204">
        <f>MIN(VLOOKUP($A83,TOCA_previous!$A$2:$AI$137,MATCH("TRL - NLSL - Existing Resource "&amp;$F$1,TOCA_previous!$A$2:$AI$2,0),FALSE)*$F$2,(VLOOKUP($A83,TOCA_previous!$A$2:$AI$137,MATCH("RHWM 2020",TOCA_previous!$A$2:$AI$2,0),FALSE)*$F$2))</f>
        <v>83228.399999999994</v>
      </c>
      <c r="BJ83" s="418">
        <f>SUM(L83:AI83)+(F83*RT1SC!$C$3*$F$2)</f>
        <v>87720.224123820793</v>
      </c>
      <c r="BK83" s="417">
        <f>VLOOKUP($A83,TOCA_previous!$A$2:$AI$137,MATCH("Above RHWM Not Served with LS "&amp;$F$1,TOCA_previous!$A$2:$AI$2,0),FALSE)*$F$2</f>
        <v>0</v>
      </c>
      <c r="BL83" s="418">
        <f t="shared" si="27"/>
        <v>4491.8241238207993</v>
      </c>
      <c r="BM83" s="417">
        <f>(VLOOKUP($A83,TOCA_previous!$A$2:$AI$137,MATCH("RHWM 2020",TOCA_previous!$A$2:$AI$2,0),FALSE)*$F$2) - $BI83</f>
        <v>0</v>
      </c>
      <c r="BN83" s="418">
        <f t="shared" si="28"/>
        <v>0</v>
      </c>
      <c r="BO83" s="417">
        <f t="shared" si="29"/>
        <v>0</v>
      </c>
      <c r="BP83" s="418">
        <f t="shared" si="30"/>
        <v>0</v>
      </c>
      <c r="BQ83" s="417">
        <f t="shared" si="21"/>
        <v>0</v>
      </c>
      <c r="BR83" s="120">
        <f>VLOOKUP($A83,TOCA_current!$A$2:$AI$137,MATCH(BR$4,TOCA_current!$A$2:$AI$2,0),FALSE)</f>
        <v>1.3489000000000001E-3</v>
      </c>
      <c r="BS83" s="120">
        <f>VLOOKUP($A83,TOCA_current!$A$2:$AI$137,MATCH(BS$4,TOCA_current!$A$2:$AI$2,0),FALSE)</f>
        <v>1.3489000000000001E-3</v>
      </c>
      <c r="BT83" s="201">
        <f t="shared" si="31"/>
        <v>0</v>
      </c>
      <c r="BU83" s="120">
        <f>VLOOKUP($A83,TOCA_current!A79:BG214,MATCH(BU$4,TOCA_current!$A$2:$BG$2,0),FALSE)</f>
        <v>7.4244525145812715E-2</v>
      </c>
      <c r="BV83" s="120">
        <f t="shared" si="22"/>
        <v>0</v>
      </c>
      <c r="BW83" s="120">
        <f t="shared" si="23"/>
        <v>0</v>
      </c>
      <c r="BX83" s="191">
        <f>VLOOKUP($A83,IRD!$A$4:$G$139, 7, FALSE)</f>
        <v>37558.894</v>
      </c>
      <c r="BY83" s="192">
        <f t="array" ref="BY83">IF($BT83=0, INDEX(LS_current!$D$4:$AY$138, MATCH('Staging Table'!$A83, LS_current!$B$4:$B$138, 0), MATCH(BY$4&amp;BY$5, LS_current!$D$2:$AY$2&amp;LS_current!$D$3:$AY$3, 0)),SUM(VLOOKUP($A83, LS_current!$B$4:$AY$138, LS_current!D$148, FALSE), VLOOKUP($A83, LS_current!$B$4:$AY$138,LS_current!AB$148, FALSE))/2)</f>
        <v>-1816.7839878319355</v>
      </c>
      <c r="BZ83" s="192">
        <f t="array" ref="BZ83">IF($BT83=0, INDEX(LS_current!$D$4:$AY$138, MATCH('Staging Table'!$A83, LS_current!$B$4:$B$138, 0), MATCH(BZ$4&amp;BZ$5, LS_current!$D$2:$AY$2&amp;LS_current!$D$3:$AY$3, 0)),SUM(VLOOKUP($A83, LS_current!$B$4:$AY$138, LS_current!E$148, FALSE), VLOOKUP($A83, LS_current!$B$4:$AY$138,LS_current!AC$148, FALSE))/2)</f>
        <v>-775.71066333527529</v>
      </c>
      <c r="CA83" s="192">
        <f t="array" ref="CA83">IF($BT83=0, INDEX(LS_current!$D$4:$AY$138, MATCH('Staging Table'!$A83, LS_current!$B$4:$B$138, 0), MATCH(CA$4&amp;CA$5, LS_current!$D$2:$AY$2&amp;LS_current!$D$3:$AY$3, 0)),SUM(VLOOKUP($A83, LS_current!$B$4:$AY$138, LS_current!F$148, FALSE), VLOOKUP($A83, LS_current!$B$4:$AY$138,LS_current!AD$148, FALSE))/2)</f>
        <v>-2598.7172405623141</v>
      </c>
      <c r="CB83" s="192">
        <f t="array" ref="CB83">IF($BT83=0, INDEX(LS_current!$D$4:$AY$138, MATCH('Staging Table'!$A83, LS_current!$B$4:$B$138, 0), MATCH(CB$4&amp;CB$5, LS_current!$D$2:$AY$2&amp;LS_current!$D$3:$AY$3, 0)),SUM(VLOOKUP($A83, LS_current!$B$4:$AY$138, LS_current!G$148, FALSE), VLOOKUP($A83, LS_current!$B$4:$AY$138,LS_current!AE$148, FALSE))/2)</f>
        <v>-1279.2671289569869</v>
      </c>
      <c r="CC83" s="192">
        <f t="array" ref="CC83">IF($BT83=0, INDEX(LS_current!$D$4:$AY$138, MATCH('Staging Table'!$A83, LS_current!$B$4:$B$138, 0), MATCH(CC$4&amp;CC$5, LS_current!$D$2:$AY$2&amp;LS_current!$D$3:$AY$3, 0)),SUM(VLOOKUP($A83, LS_current!$B$4:$AY$138, LS_current!H$148, FALSE), VLOOKUP($A83, LS_current!$B$4:$AY$138,LS_current!AF$148, FALSE))/2)</f>
        <v>-1495.4569331567295</v>
      </c>
      <c r="CD83" s="192">
        <f t="array" ref="CD83">IF($BT83=0, INDEX(LS_current!$D$4:$AY$138, MATCH('Staging Table'!$A83, LS_current!$B$4:$B$138, 0), MATCH(CD$4&amp;CD$5, LS_current!$D$2:$AY$2&amp;LS_current!$D$3:$AY$3, 0)),SUM(VLOOKUP($A83, LS_current!$B$4:$AY$138, LS_current!I$148, FALSE), VLOOKUP($A83, LS_current!$B$4:$AY$138,LS_current!AG$148, FALSE))/2)</f>
        <v>-1000.9008628581755</v>
      </c>
      <c r="CE83" s="192">
        <f t="array" ref="CE83">IF($BT83=0, INDEX(LS_current!$D$4:$AY$138, MATCH('Staging Table'!$A83, LS_current!$B$4:$B$138, 0), MATCH(CE$4&amp;CE$5, LS_current!$D$2:$AY$2&amp;LS_current!$D$3:$AY$3, 0)),SUM(VLOOKUP($A83, LS_current!$B$4:$AY$138, LS_current!J$148, FALSE), VLOOKUP($A83, LS_current!$B$4:$AY$138,LS_current!AH$148, FALSE))/2)</f>
        <v>-725.8188913256522</v>
      </c>
      <c r="CF83" s="192">
        <f t="array" ref="CF83">IF($BT83=0, INDEX(LS_current!$D$4:$AY$138, MATCH('Staging Table'!$A83, LS_current!$B$4:$B$138, 0), MATCH(CF$4&amp;CF$5, LS_current!$D$2:$AY$2&amp;LS_current!$D$3:$AY$3, 0)),SUM(VLOOKUP($A83, LS_current!$B$4:$AY$138, LS_current!K$148, FALSE), VLOOKUP($A83, LS_current!$B$4:$AY$138,LS_current!AI$148, FALSE))/2)</f>
        <v>-415.41383386424059</v>
      </c>
      <c r="CG83" s="192">
        <f t="array" ref="CG83">IF($BT83=0, INDEX(LS_current!$D$4:$AY$138, MATCH('Staging Table'!$A83, LS_current!$B$4:$B$138, 0), MATCH(CG$4&amp;CG$5, LS_current!$D$2:$AY$2&amp;LS_current!$D$3:$AY$3, 0)),SUM(VLOOKUP($A83, LS_current!$B$4:$AY$138, LS_current!L$148, FALSE), VLOOKUP($A83, LS_current!$B$4:$AY$138,LS_current!AJ$148, FALSE))/2)</f>
        <v>-753.61730511122005</v>
      </c>
      <c r="CH83" s="192">
        <f t="array" ref="CH83">IF($BT83=0, INDEX(LS_current!$D$4:$AY$138, MATCH('Staging Table'!$A83, LS_current!$B$4:$B$138, 0), MATCH(CH$4&amp;CH$5, LS_current!$D$2:$AY$2&amp;LS_current!$D$3:$AY$3, 0)),SUM(VLOOKUP($A83, LS_current!$B$4:$AY$138, LS_current!M$148, FALSE), VLOOKUP($A83, LS_current!$B$4:$AY$138,LS_current!AK$148, FALSE))/2)</f>
        <v>-428.23249879457398</v>
      </c>
      <c r="CI83" s="192">
        <f t="array" ref="CI83">IF($BT83=0, INDEX(LS_current!$D$4:$AY$138, MATCH('Staging Table'!$A83, LS_current!$B$4:$B$138, 0), MATCH(CI$4&amp;CI$5, LS_current!$D$2:$AY$2&amp;LS_current!$D$3:$AY$3, 0)),SUM(VLOOKUP($A83, LS_current!$B$4:$AY$138, LS_current!N$148, FALSE), VLOOKUP($A83, LS_current!$B$4:$AY$138,LS_current!AL$148, FALSE))/2)</f>
        <v>-1805.282966094082</v>
      </c>
      <c r="CJ83" s="192">
        <f t="array" ref="CJ83">IF($BT83=0, INDEX(LS_current!$D$4:$AY$138, MATCH('Staging Table'!$A83, LS_current!$B$4:$B$138, 0), MATCH(CJ$4&amp;CJ$5, LS_current!$D$2:$AY$2&amp;LS_current!$D$3:$AY$3, 0)),SUM(VLOOKUP($A83, LS_current!$B$4:$AY$138, LS_current!O$148, FALSE), VLOOKUP($A83, LS_current!$B$4:$AY$138,LS_current!AM$148, FALSE))/2)</f>
        <v>-862.91777380869598</v>
      </c>
      <c r="CK83" s="192">
        <f t="array" ref="CK83">IF($BT83=0, INDEX(LS_current!$D$4:$AY$138, MATCH('Staging Table'!$A83, LS_current!$B$4:$B$138, 0), MATCH(CK$4&amp;CK$5, LS_current!$D$2:$AY$2&amp;LS_current!$D$3:$AY$3, 0)),SUM(VLOOKUP($A83, LS_current!$B$4:$AY$138, LS_current!P$148, FALSE), VLOOKUP($A83, LS_current!$B$4:$AY$138,LS_current!AN$148, FALSE))/2)</f>
        <v>-1028.5893588947624</v>
      </c>
      <c r="CL83" s="192">
        <f t="array" ref="CL83">IF($BT83=0, INDEX(LS_current!$D$4:$AY$138, MATCH('Staging Table'!$A83, LS_current!$B$4:$B$138, 0), MATCH(CL$4&amp;CL$5, LS_current!$D$2:$AY$2&amp;LS_current!$D$3:$AY$3, 0)),SUM(VLOOKUP($A83, LS_current!$B$4:$AY$138, LS_current!Q$148, FALSE), VLOOKUP($A83, LS_current!$B$4:$AY$138,LS_current!AO$148, FALSE))/2)</f>
        <v>-469.94303516605623</v>
      </c>
      <c r="CM83" s="192">
        <f t="array" ref="CM83">IF($BT83=0, INDEX(LS_current!$D$4:$AY$138, MATCH('Staging Table'!$A83, LS_current!$B$4:$B$138, 0), MATCH(CM$4&amp;CM$5, LS_current!$D$2:$AY$2&amp;LS_current!$D$3:$AY$3, 0)),SUM(VLOOKUP($A83, LS_current!$B$4:$AY$138, LS_current!R$148, FALSE), VLOOKUP($A83, LS_current!$B$4:$AY$138,LS_current!AP$148, FALSE))/2)</f>
        <v>343.34422056671701</v>
      </c>
      <c r="CN83" s="192">
        <f t="array" ref="CN83">IF($BT83=0, INDEX(LS_current!$D$4:$AY$138, MATCH('Staging Table'!$A83, LS_current!$B$4:$B$138, 0), MATCH(CN$4&amp;CN$5, LS_current!$D$2:$AY$2&amp;LS_current!$D$3:$AY$3, 0)),SUM(VLOOKUP($A83, LS_current!$B$4:$AY$138, LS_current!S$148, FALSE), VLOOKUP($A83, LS_current!$B$4:$AY$138,LS_current!AQ$148, FALSE))/2)</f>
        <v>1636.664247335797</v>
      </c>
      <c r="CO83" s="192">
        <f t="array" ref="CO83">IF($BT83=0, INDEX(LS_current!$D$4:$AY$138, MATCH('Staging Table'!$A83, LS_current!$B$4:$B$138, 0), MATCH(CO$4&amp;CO$5, LS_current!$D$2:$AY$2&amp;LS_current!$D$3:$AY$3, 0)),SUM(VLOOKUP($A83, LS_current!$B$4:$AY$138, LS_current!T$148, FALSE), VLOOKUP($A83, LS_current!$B$4:$AY$138,LS_current!AR$148, FALSE))/2)</f>
        <v>2090.3497937608627</v>
      </c>
      <c r="CP83" s="192">
        <f t="array" ref="CP83">IF($BT83=0, INDEX(LS_current!$D$4:$AY$138, MATCH('Staging Table'!$A83, LS_current!$B$4:$B$138, 0), MATCH(CP$4&amp;CP$5, LS_current!$D$2:$AY$2&amp;LS_current!$D$3:$AY$3, 0)),SUM(VLOOKUP($A83, LS_current!$B$4:$AY$138, LS_current!U$148, FALSE), VLOOKUP($A83, LS_current!$B$4:$AY$138,LS_current!AS$148, FALSE))/2)</f>
        <v>3129.0536231046262</v>
      </c>
      <c r="CQ83" s="192">
        <f t="array" ref="CQ83">IF($BT83=0, INDEX(LS_current!$D$4:$AY$138, MATCH('Staging Table'!$A83, LS_current!$B$4:$B$138, 0), MATCH(CQ$4&amp;CQ$5, LS_current!$D$2:$AY$2&amp;LS_current!$D$3:$AY$3, 0)),SUM(VLOOKUP($A83, LS_current!$B$4:$AY$138, LS_current!V$148, FALSE), VLOOKUP($A83, LS_current!$B$4:$AY$138,LS_current!AT$148, FALSE))/2)</f>
        <v>4206.5388046297148</v>
      </c>
      <c r="CR83" s="192">
        <f t="array" ref="CR83">IF($BT83=0, INDEX(LS_current!$D$4:$AY$138, MATCH('Staging Table'!$A83, LS_current!$B$4:$B$138, 0), MATCH(CR$4&amp;CR$5, LS_current!$D$2:$AY$2&amp;LS_current!$D$3:$AY$3, 0)),SUM(VLOOKUP($A83, LS_current!$B$4:$AY$138, LS_current!W$148, FALSE), VLOOKUP($A83, LS_current!$B$4:$AY$138,LS_current!AU$148, FALSE))/2)</f>
        <v>4648.5955645712165</v>
      </c>
      <c r="CS83" s="192">
        <f t="array" ref="CS83">IF($BT83=0, INDEX(LS_current!$D$4:$AY$138, MATCH('Staging Table'!$A83, LS_current!$B$4:$B$138, 0), MATCH(CS$4&amp;CS$5, LS_current!$D$2:$AY$2&amp;LS_current!$D$3:$AY$3, 0)),SUM(VLOOKUP($A83, LS_current!$B$4:$AY$138, LS_current!X$148, FALSE), VLOOKUP($A83, LS_current!$B$4:$AY$138,LS_current!AV$148, FALSE))/2)</f>
        <v>3001.1619275814883</v>
      </c>
      <c r="CT83" s="192">
        <f t="array" ref="CT83">IF($BT83=0, INDEX(LS_current!$D$4:$AY$138, MATCH('Staging Table'!$A83, LS_current!$B$4:$B$138, 0), MATCH(CT$4&amp;CT$5, LS_current!$D$2:$AY$2&amp;LS_current!$D$3:$AY$3, 0)),SUM(VLOOKUP($A83, LS_current!$B$4:$AY$138, LS_current!Y$148, FALSE), VLOOKUP($A83, LS_current!$B$4:$AY$138,LS_current!AW$148, FALSE))/2)</f>
        <v>3209.7871288071515</v>
      </c>
      <c r="CU83" s="192">
        <f t="array" ref="CU83">IF($BT83=0, INDEX(LS_current!$D$4:$AY$138, MATCH('Staging Table'!$A83, LS_current!$B$4:$B$138, 0), MATCH(CU$4&amp;CU$5, LS_current!$D$2:$AY$2&amp;LS_current!$D$3:$AY$3, 0)),SUM(VLOOKUP($A83, LS_current!$B$4:$AY$138, LS_current!Z$148, FALSE), VLOOKUP($A83, LS_current!$B$4:$AY$138,LS_current!AX$148, FALSE))/2)</f>
        <v>241.88291188948324</v>
      </c>
      <c r="CV83" s="192">
        <f t="array" ref="CV83">IF($BT83=0, INDEX(LS_current!$D$4:$AY$138, MATCH('Staging Table'!$A83, LS_current!$B$4:$B$138, 0), MATCH(CV$4&amp;CV$5, LS_current!$D$2:$AY$2&amp;LS_current!$D$3:$AY$3, 0)),SUM(VLOOKUP($A83, LS_current!$B$4:$AY$138, LS_current!AA$148, FALSE), VLOOKUP($A83, LS_current!$B$4:$AY$138,LS_current!AY$148, FALSE))/2)</f>
        <v>1070.2293506845053</v>
      </c>
      <c r="CW83" s="194">
        <f t="array" ref="CW83">INDEX(Demand_current!$D$4:$AY$138, MATCH($A83, Demand_current!$B$4:$B$138, 0), MATCH(CW$4&amp;CW$5,Demand_current!$D$2:$AY$2&amp;Demand_current!$D$3:$AY$3, 0))/1000</f>
        <v>1.6074663461538448</v>
      </c>
      <c r="CX83" s="194">
        <f t="array" ref="CX83">INDEX(Demand_current!$D$4:$AY$138, MATCH($A83, Demand_current!$B$4:$B$138, 0), MATCH(CX$4&amp;CX$5,Demand_current!$D$2:$AY$2&amp;Demand_current!$D$3:$AY$3, 0))/1000</f>
        <v>0.43695749999999967</v>
      </c>
      <c r="CY83" s="194">
        <f t="array" ref="CY83">INDEX(Demand_current!$D$4:$AY$138, MATCH($A83, Demand_current!$B$4:$B$138, 0), MATCH(CY$4&amp;CY$5,Demand_current!$D$2:$AY$2&amp;Demand_current!$D$3:$AY$3, 0))/1000</f>
        <v>0.60528605769230781</v>
      </c>
      <c r="CZ83" s="194">
        <f t="array" ref="CZ83">INDEX(Demand_current!$D$4:$AY$138, MATCH($A83, Demand_current!$B$4:$B$138, 0), MATCH(CZ$4&amp;CZ$5,Demand_current!$D$2:$AY$2&amp;Demand_current!$D$3:$AY$3, 0))/1000</f>
        <v>0.58375750000000082</v>
      </c>
      <c r="DA83" s="194">
        <f t="array" ref="DA83">INDEX(Demand_current!$D$4:$AY$138, MATCH($A83, Demand_current!$B$4:$B$138, 0), MATCH(DA$4&amp;DA$5,Demand_current!$D$2:$AY$2&amp;Demand_current!$D$3:$AY$3, 0))/1000</f>
        <v>0.33018489583333288</v>
      </c>
      <c r="DB83" s="194">
        <f t="array" ref="DB83">INDEX(Demand_current!$D$4:$AY$138, MATCH($A83, Demand_current!$B$4:$B$138, 0), MATCH(DB$4&amp;DB$5,Demand_current!$D$2:$AY$2&amp;Demand_current!$D$3:$AY$3, 0))/1000</f>
        <v>0.38268981481481479</v>
      </c>
      <c r="DC83" s="194">
        <f t="array" ref="DC83">INDEX(Demand_current!$D$4:$AY$138, MATCH($A83, Demand_current!$B$4:$B$138, 0), MATCH(DC$4&amp;DC$5,Demand_current!$D$2:$AY$2&amp;Demand_current!$D$3:$AY$3, 0))/1000</f>
        <v>1.1199951923076925</v>
      </c>
      <c r="DD83" s="194">
        <f t="array" ref="DD83">INDEX(Demand_current!$D$4:$AY$138, MATCH($A83, Demand_current!$B$4:$B$138, 0), MATCH(DD$4&amp;DD$5,Demand_current!$D$2:$AY$2&amp;Demand_current!$D$3:$AY$3, 0))/1000</f>
        <v>0</v>
      </c>
      <c r="DE83" s="194">
        <f t="array" ref="DE83">INDEX(Demand_current!$D$4:$AY$138, MATCH($A83, Demand_current!$B$4:$B$138, 0), MATCH(DE$4&amp;DE$5,Demand_current!$D$2:$AY$2&amp;Demand_current!$D$3:$AY$3, 0))/1000</f>
        <v>3.8865456730769203</v>
      </c>
      <c r="DF83" s="194">
        <f t="array" ref="DF83">INDEX(Demand_current!$D$4:$AY$138, MATCH($A83, Demand_current!$B$4:$B$138, 0), MATCH(DF$4&amp;DF$5,Demand_current!$D$2:$AY$2&amp;Demand_current!$D$3:$AY$3, 0))/1000</f>
        <v>2.5857725000000014</v>
      </c>
      <c r="DG83" s="194">
        <f t="array" ref="DG83">INDEX(Demand_current!$D$4:$AY$138, MATCH($A83, Demand_current!$B$4:$B$138, 0), MATCH(DG$4&amp;DG$5,Demand_current!$D$2:$AY$2&amp;Demand_current!$D$3:$AY$3, 0))/1000</f>
        <v>3.6746527777777809</v>
      </c>
      <c r="DH83" s="194">
        <f t="array" ref="DH83">INDEX(Demand_current!$D$4:$AY$138, MATCH($A83, Demand_current!$B$4:$B$138, 0), MATCH(DH$4&amp;DH$5,Demand_current!$D$2:$AY$2&amp;Demand_current!$D$3:$AY$3, 0))/1000</f>
        <v>2.1416049999999989</v>
      </c>
      <c r="DI83" s="192">
        <f>$BS83*(VLOOKUP(DI$4, Rates_current!$G$6:$Q$29, 10, FALSE)+VLOOKUP(DI$4, Rates_current!$G$6:$Q$29, 11, FALSE))</f>
        <v>6142.7886511672114</v>
      </c>
      <c r="DJ83" s="192">
        <f>$BS83*(VLOOKUP(DJ$4, Rates_current!$G$6:$Q$29, 10, FALSE)+VLOOKUP(DJ$4, Rates_current!$G$6:$Q$29, 11, FALSE))</f>
        <v>7776.9933695193022</v>
      </c>
      <c r="DK83" s="192">
        <f>$BS83*(VLOOKUP(DK$4, Rates_current!$G$6:$Q$29, 10, FALSE)+VLOOKUP(DK$4, Rates_current!$G$6:$Q$29, 11, FALSE))</f>
        <v>7612.1227960149054</v>
      </c>
      <c r="DL83" s="192">
        <f>$BS83*(VLOOKUP(DL$4, Rates_current!$G$6:$Q$29, 10, FALSE)+VLOOKUP(DL$4, Rates_current!$G$6:$Q$29, 11, FALSE))</f>
        <v>6287.289725189893</v>
      </c>
      <c r="DM83" s="192">
        <f>$BS83*(VLOOKUP(DM$4, Rates_current!$G$6:$Q$29, 10, FALSE)+VLOOKUP(DM$4, Rates_current!$G$6:$Q$29, 11, FALSE))</f>
        <v>5449.331803905794</v>
      </c>
      <c r="DN83" s="192">
        <f>$BS83*(VLOOKUP(DN$4, Rates_current!$G$6:$Q$29, 10, FALSE)+VLOOKUP(DN$4, Rates_current!$G$6:$Q$29, 11, FALSE))</f>
        <v>6505.4017399027789</v>
      </c>
      <c r="DO83" s="192">
        <f>$BS83*(VLOOKUP(DO$4, Rates_current!$G$6:$Q$29, 10, FALSE)+VLOOKUP(DO$4, Rates_current!$G$6:$Q$29, 11, FALSE))</f>
        <v>5050.578394060818</v>
      </c>
      <c r="DP83" s="192">
        <f>$BS83*(VLOOKUP(DP$4, Rates_current!$G$6:$Q$29, 10, FALSE)+VLOOKUP(DP$4, Rates_current!$G$6:$Q$29, 11, FALSE))</f>
        <v>6997.6135320974854</v>
      </c>
      <c r="DQ83" s="192">
        <f>$BS83*(VLOOKUP(DQ$4, Rates_current!$G$6:$Q$29, 10, FALSE)+VLOOKUP(DQ$4, Rates_current!$G$6:$Q$29, 11, FALSE))</f>
        <v>7477.0965831345102</v>
      </c>
      <c r="DR83" s="192">
        <f>$BS83*(VLOOKUP(DR$4, Rates_current!$G$6:$Q$29, 10, FALSE)+VLOOKUP(DR$4, Rates_current!$G$6:$Q$29, 11, FALSE))</f>
        <v>7099.1646307990686</v>
      </c>
      <c r="DS83" s="192">
        <f>$BS83*(VLOOKUP(DS$4, Rates_current!$G$6:$Q$29, 10, FALSE)+VLOOKUP(DS$4, Rates_current!$G$6:$Q$29, 11, FALSE))</f>
        <v>6860.7949436113595</v>
      </c>
      <c r="DT83" s="192">
        <f>$BS83*(VLOOKUP(DT$4, Rates_current!$G$6:$Q$29, 10, FALSE)+VLOOKUP(DT$4, Rates_current!$G$6:$Q$29, 11, FALSE))</f>
        <v>6340.0897374260112</v>
      </c>
      <c r="DU83" s="418">
        <f>IF(D83=0,IF(C83=0,MAX(0,DW83 - (VLOOKUP($A83,TOCA_current!$A$2:$AI$137,MATCH("RHWM 2022",TOCA_current!$A$2:$AI$2,0),FALSE)*$BS$2)), 0),0)</f>
        <v>8118.1050718468759</v>
      </c>
      <c r="DV83" s="419">
        <f>MIN(VLOOKUP($A83,TOCA_current!$A$2:$AI$137,MATCH("TRL - NLSL - Existing Resource "&amp;$BS$1,TOCA_current!$A$2:$AI$2,0),FALSE)*$BS$2, VLOOKUP($A83,TOCA_current!$A$2:$AI$137,MATCH("RHWM 2022",TOCA_current!$A$2:$AI$2,0),FALSE)*$BS$2)</f>
        <v>79602.12</v>
      </c>
      <c r="DW83" s="419">
        <f>SUM(BY83:CV83)+(BS83*RT1SC!$C$4*$BS$2)</f>
        <v>87720.225071846871</v>
      </c>
      <c r="DX83" s="419">
        <f>VLOOKUP($A83,TOCA_current!$A$2:$AI$137,MATCH("Above RHWM Not Served with LS "&amp;$BS$1,TOCA_current!$A$2:$AI$2,0),FALSE)*$BS$2</f>
        <v>0</v>
      </c>
      <c r="DY83" s="419">
        <f t="shared" si="32"/>
        <v>8118.1050718468759</v>
      </c>
      <c r="DZ83" s="419">
        <f>(VLOOKUP($A83,TOCA_current!$A$2:$AI$137,MATCH("RHWM 2022",TOCA_current!$A$2:$AI$2,0),FALSE)*$BS$2) - $DV83</f>
        <v>0</v>
      </c>
      <c r="EA83" s="419">
        <f t="shared" si="33"/>
        <v>0</v>
      </c>
      <c r="EB83" s="419">
        <f t="shared" si="34"/>
        <v>0</v>
      </c>
      <c r="EC83" s="419">
        <f t="shared" si="35"/>
        <v>0</v>
      </c>
      <c r="ED83" s="419">
        <f t="shared" si="36"/>
        <v>0</v>
      </c>
    </row>
    <row r="84" spans="1:134">
      <c r="A84" s="135">
        <v>10244</v>
      </c>
      <c r="B84" s="136" t="s">
        <v>85</v>
      </c>
      <c r="C84" s="244">
        <f>VLOOKUP(A84, TOCA_current!$A$3:$D$137, 4, FALSE)</f>
        <v>0</v>
      </c>
      <c r="D84" s="203">
        <v>0</v>
      </c>
      <c r="E84" s="119">
        <f>VLOOKUP($A84,TOCA_previous!$A$2:$AI$137,MATCH(E$4,TOCA_previous!$A$2:$AI$2,0),FALSE)</f>
        <v>1.2183299999999999E-2</v>
      </c>
      <c r="F84" s="120">
        <f>VLOOKUP($A84,TOCA_previous!$A$2:$AI$137,MATCH(F$4,TOCA_previous!$A$2:$AI$2,0),FALSE)</f>
        <v>1.2183299999999999E-2</v>
      </c>
      <c r="G84" s="120">
        <f t="shared" si="24"/>
        <v>0</v>
      </c>
      <c r="H84" s="120">
        <f>VLOOKUP($A84,TOCA_previous!$A$2:$AI$137,MATCH(H$4,TOCA_previous!$A$2:$AI$2,0),FALSE)</f>
        <v>6.2080168727068785E-2</v>
      </c>
      <c r="I84" s="120">
        <f t="shared" si="25"/>
        <v>0</v>
      </c>
      <c r="J84" s="120">
        <f t="shared" si="26"/>
        <v>0</v>
      </c>
      <c r="K84" s="191">
        <f>VLOOKUP(A84, IRD!$A$5:$C$139, 3, FALSE)</f>
        <v>0</v>
      </c>
      <c r="L84" s="192">
        <f t="array" ref="L84">IF($G84=0, INDEX(LS_previous!$D$4:$AY$138, MATCH('Staging Table'!$A84, LS_previous!$B$4:$B$138, 0), MATCH(L$4&amp;L$5, LS_previous!$D$2:$AY$2&amp;LS_previous!$D$3:$AY$3, 0)),SUM(VLOOKUP($A84, LS_previous!$B$4:$AY$138, LS_previous!D$149, FALSE), VLOOKUP('Staging Table'!$A84, LS_previous!$B$4:$AY$138,LS_previous!AB$149, FALSE))/2)</f>
        <v>-3948.3383416203942</v>
      </c>
      <c r="M84" s="192">
        <f t="array" ref="M84">IF($G84=0, INDEX(LS_previous!$D$4:$AY$138, MATCH('Staging Table'!$A84, LS_previous!$B$4:$B$138, 0), MATCH(M$4&amp;M$5, LS_previous!$D$2:$AY$2&amp;LS_previous!$D$3:$AY$3, 0)),SUM(VLOOKUP($A84, LS_previous!$B$4:$AY$138, LS_previous!E$149, FALSE), VLOOKUP('Staging Table'!$A84, LS_previous!$B$4:$AY$138,LS_previous!AC$149, FALSE))/2)</f>
        <v>1395.3057475936002</v>
      </c>
      <c r="N84" s="192">
        <f t="array" ref="N84">IF($G84=0, INDEX(LS_previous!$D$4:$AY$138, MATCH('Staging Table'!$A84, LS_previous!$B$4:$B$138, 0), MATCH(N$4&amp;N$5, LS_previous!$D$2:$AY$2&amp;LS_previous!$D$3:$AY$3, 0)),SUM(VLOOKUP($A84, LS_previous!$B$4:$AY$138, LS_previous!F$149, FALSE), VLOOKUP('Staging Table'!$A84, LS_previous!$B$4:$AY$138,LS_previous!AD$149, FALSE))/2)</f>
        <v>-2736.052803882405</v>
      </c>
      <c r="O84" s="192">
        <f t="array" ref="O84">IF($G84=0, INDEX(LS_previous!$D$4:$AY$138, MATCH('Staging Table'!$A84, LS_previous!$B$4:$B$138, 0), MATCH(O$4&amp;O$5, LS_previous!$D$2:$AY$2&amp;LS_previous!$D$3:$AY$3, 0)),SUM(VLOOKUP($A84, LS_previous!$B$4:$AY$138, LS_previous!G$149, FALSE), VLOOKUP('Staging Table'!$A84, LS_previous!$B$4:$AY$138,LS_previous!AE$149, FALSE))/2)</f>
        <v>5242.1660231736969</v>
      </c>
      <c r="P84" s="192">
        <f t="array" ref="P84">IF($G84=0, INDEX(LS_previous!$D$4:$AY$138, MATCH('Staging Table'!$A84, LS_previous!$B$4:$B$138, 0), MATCH(P$4&amp;P$5, LS_previous!$D$2:$AY$2&amp;LS_previous!$D$3:$AY$3, 0)),SUM(VLOOKUP($A84, LS_previous!$B$4:$AY$138, LS_previous!H$149, FALSE), VLOOKUP('Staging Table'!$A84, LS_previous!$B$4:$AY$138,LS_previous!AF$149, FALSE))/2)</f>
        <v>14771.759828022397</v>
      </c>
      <c r="Q84" s="192">
        <f t="array" ref="Q84">IF($G84=0, INDEX(LS_previous!$D$4:$AY$138, MATCH('Staging Table'!$A84, LS_previous!$B$4:$B$138, 0), MATCH(Q$4&amp;Q$5, LS_previous!$D$2:$AY$2&amp;LS_previous!$D$3:$AY$3, 0)),SUM(VLOOKUP($A84, LS_previous!$B$4:$AY$138, LS_previous!I$149, FALSE), VLOOKUP('Staging Table'!$A84, LS_previous!$B$4:$AY$138,LS_previous!AG$149, FALSE))/2)</f>
        <v>16964.970604050799</v>
      </c>
      <c r="R84" s="192">
        <f t="array" ref="R84">IF($G84=0, INDEX(LS_previous!$D$4:$AY$138, MATCH('Staging Table'!$A84, LS_previous!$B$4:$B$138, 0), MATCH(R$4&amp;R$5, LS_previous!$D$2:$AY$2&amp;LS_previous!$D$3:$AY$3, 0)),SUM(VLOOKUP($A84, LS_previous!$B$4:$AY$138, LS_previous!J$149, FALSE), VLOOKUP('Staging Table'!$A84, LS_previous!$B$4:$AY$138,LS_previous!AH$149, FALSE))/2)</f>
        <v>16863.6549988224</v>
      </c>
      <c r="S84" s="192">
        <f t="array" ref="S84">IF($G84=0, INDEX(LS_previous!$D$4:$AY$138, MATCH('Staging Table'!$A84, LS_previous!$B$4:$B$138, 0), MATCH(S$4&amp;S$5, LS_previous!$D$2:$AY$2&amp;LS_previous!$D$3:$AY$3, 0)),SUM(VLOOKUP($A84, LS_previous!$B$4:$AY$138, LS_previous!K$149, FALSE), VLOOKUP('Staging Table'!$A84, LS_previous!$B$4:$AY$138,LS_previous!AI$149, FALSE))/2)</f>
        <v>18314.311751650799</v>
      </c>
      <c r="T84" s="192">
        <f t="array" ref="T84">IF($G84=0, INDEX(LS_previous!$D$4:$AY$138, MATCH('Staging Table'!$A84, LS_previous!$B$4:$B$138, 0), MATCH(T$4&amp;T$5, LS_previous!$D$2:$AY$2&amp;LS_previous!$D$3:$AY$3, 0)),SUM(VLOOKUP($A84, LS_previous!$B$4:$AY$138, LS_previous!L$149, FALSE), VLOOKUP('Staging Table'!$A84, LS_previous!$B$4:$AY$138,LS_previous!AJ$149, FALSE))/2)</f>
        <v>18534.130059170799</v>
      </c>
      <c r="U84" s="192">
        <f t="array" ref="U84">IF($G84=0, INDEX(LS_previous!$D$4:$AY$138, MATCH('Staging Table'!$A84, LS_previous!$B$4:$B$138, 0), MATCH(U$4&amp;U$5, LS_previous!$D$2:$AY$2&amp;LS_previous!$D$3:$AY$3, 0)),SUM(VLOOKUP($A84, LS_previous!$B$4:$AY$138, LS_previous!M$149, FALSE), VLOOKUP('Staging Table'!$A84, LS_previous!$B$4:$AY$138,LS_previous!AK$149, FALSE))/2)</f>
        <v>18562.417781389198</v>
      </c>
      <c r="V84" s="192">
        <f t="array" ref="V84">IF($G84=0, INDEX(LS_previous!$D$4:$AY$138, MATCH('Staging Table'!$A84, LS_previous!$B$4:$B$138, 0), MATCH(V$4&amp;V$5, LS_previous!$D$2:$AY$2&amp;LS_previous!$D$3:$AY$3, 0)),SUM(VLOOKUP($A84, LS_previous!$B$4:$AY$138, LS_previous!N$149, FALSE), VLOOKUP('Staging Table'!$A84, LS_previous!$B$4:$AY$138,LS_previous!AL$149, FALSE))/2)</f>
        <v>7370.9691615272095</v>
      </c>
      <c r="W84" s="192">
        <f t="array" ref="W84">IF($G84=0, INDEX(LS_previous!$D$4:$AY$138, MATCH('Staging Table'!$A84, LS_previous!$B$4:$B$138, 0), MATCH(W$4&amp;W$5, LS_previous!$D$2:$AY$2&amp;LS_previous!$D$3:$AY$3, 0)),SUM(VLOOKUP($A84, LS_previous!$B$4:$AY$138, LS_previous!O$149, FALSE), VLOOKUP('Staging Table'!$A84, LS_previous!$B$4:$AY$138,LS_previous!AM$149, FALSE))/2)</f>
        <v>9614.7555752206972</v>
      </c>
      <c r="X84" s="192">
        <f t="array" ref="X84">IF($G84=0, INDEX(LS_previous!$D$4:$AY$138, MATCH('Staging Table'!$A84, LS_previous!$B$4:$B$138, 0), MATCH(X$4&amp;X$5, LS_previous!$D$2:$AY$2&amp;LS_previous!$D$3:$AY$3, 0)),SUM(VLOOKUP($A84, LS_previous!$B$4:$AY$138, LS_previous!P$149, FALSE), VLOOKUP('Staging Table'!$A84, LS_previous!$B$4:$AY$138,LS_previous!AN$149, FALSE))/2)</f>
        <v>3667.3099884248004</v>
      </c>
      <c r="Y84" s="192">
        <f t="array" ref="Y84">IF($G84=0, INDEX(LS_previous!$D$4:$AY$138, MATCH('Staging Table'!$A84, LS_previous!$B$4:$B$138, 0), MATCH(Y$4&amp;Y$5, LS_previous!$D$2:$AY$2&amp;LS_previous!$D$3:$AY$3, 0)),SUM(VLOOKUP($A84, LS_previous!$B$4:$AY$138, LS_previous!Q$149, FALSE), VLOOKUP('Staging Table'!$A84, LS_previous!$B$4:$AY$138,LS_previous!AO$149, FALSE))/2)</f>
        <v>5729.1959561912008</v>
      </c>
      <c r="Z84" s="192">
        <f t="array" ref="Z84">IF($G84=0, INDEX(LS_previous!$D$4:$AY$138, MATCH('Staging Table'!$A84, LS_previous!$B$4:$B$138, 0), MATCH(Z$4&amp;Z$5, LS_previous!$D$2:$AY$2&amp;LS_previous!$D$3:$AY$3, 0)),SUM(VLOOKUP($A84, LS_previous!$B$4:$AY$138, LS_previous!R$149, FALSE), VLOOKUP('Staging Table'!$A84, LS_previous!$B$4:$AY$138,LS_previous!AP$149, FALSE))/2)</f>
        <v>-16835.180565429997</v>
      </c>
      <c r="AA84" s="192">
        <f t="array" ref="AA84">IF($G84=0, INDEX(LS_previous!$D$4:$AY$138, MATCH('Staging Table'!$A84, LS_previous!$B$4:$B$138, 0), MATCH(AA$4&amp;AA$5, LS_previous!$D$2:$AY$2&amp;LS_previous!$D$3:$AY$3, 0)),SUM(VLOOKUP($A84, LS_previous!$B$4:$AY$138, LS_previous!S$149, FALSE), VLOOKUP('Staging Table'!$A84, LS_previous!$B$4:$AY$138,LS_previous!AQ$149, FALSE))/2)</f>
        <v>-5412.527884246796</v>
      </c>
      <c r="AB84" s="192">
        <f t="array" ref="AB84">IF($G84=0, INDEX(LS_previous!$D$4:$AY$138, MATCH('Staging Table'!$A84, LS_previous!$B$4:$B$138, 0), MATCH(AB$4&amp;AB$5, LS_previous!$D$2:$AY$2&amp;LS_previous!$D$3:$AY$3, 0)),SUM(VLOOKUP($A84, LS_previous!$B$4:$AY$138, LS_previous!T$149, FALSE), VLOOKUP('Staging Table'!$A84, LS_previous!$B$4:$AY$138,LS_previous!AR$149, FALSE))/2)</f>
        <v>-26335.650919125197</v>
      </c>
      <c r="AC84" s="192">
        <f t="array" ref="AC84">IF($G84=0, INDEX(LS_previous!$D$4:$AY$138, MATCH('Staging Table'!$A84, LS_previous!$B$4:$B$138, 0), MATCH(AC$4&amp;AC$5, LS_previous!$D$2:$AY$2&amp;LS_previous!$D$3:$AY$3, 0)),SUM(VLOOKUP($A84, LS_previous!$B$4:$AY$138, LS_previous!U$149, FALSE), VLOOKUP('Staging Table'!$A84, LS_previous!$B$4:$AY$138,LS_previous!AS$149, FALSE))/2)</f>
        <v>-13597.297667608796</v>
      </c>
      <c r="AD84" s="192">
        <f t="array" ref="AD84">IF($G84=0, INDEX(LS_previous!$D$4:$AY$138, MATCH('Staging Table'!$A84, LS_previous!$B$4:$B$138, 0), MATCH(AD$4&amp;AD$5, LS_previous!$D$2:$AY$2&amp;LS_previous!$D$3:$AY$3, 0)),SUM(VLOOKUP($A84, LS_previous!$B$4:$AY$138, LS_previous!V$149, FALSE), VLOOKUP('Staging Table'!$A84, LS_previous!$B$4:$AY$138,LS_previous!AT$149, FALSE))/2)</f>
        <v>-18427.311345625196</v>
      </c>
      <c r="AE84" s="192">
        <f t="array" ref="AE84">IF($G84=0, INDEX(LS_previous!$D$4:$AY$138, MATCH('Staging Table'!$A84, LS_previous!$B$4:$B$138, 0), MATCH(AE$4&amp;AE$5, LS_previous!$D$2:$AY$2&amp;LS_previous!$D$3:$AY$3, 0)),SUM(VLOOKUP($A84, LS_previous!$B$4:$AY$138, LS_previous!W$149, FALSE), VLOOKUP('Staging Table'!$A84, LS_previous!$B$4:$AY$138,LS_previous!AU$149, FALSE))/2)</f>
        <v>-4001.8836796016003</v>
      </c>
      <c r="AF84" s="192">
        <f t="array" ref="AF84">IF($G84=0, INDEX(LS_previous!$D$4:$AY$138, MATCH('Staging Table'!$A84, LS_previous!$B$4:$B$138, 0), MATCH(AF$4&amp;AF$5, LS_previous!$D$2:$AY$2&amp;LS_previous!$D$3:$AY$3, 0)),SUM(VLOOKUP($A84, LS_previous!$B$4:$AY$138, LS_previous!X$149, FALSE), VLOOKUP('Staging Table'!$A84, LS_previous!$B$4:$AY$138,LS_previous!AV$149, FALSE))/2)</f>
        <v>-16021.222838975198</v>
      </c>
      <c r="AG84" s="192">
        <f t="array" ref="AG84">IF($G84=0, INDEX(LS_previous!$D$4:$AY$138, MATCH('Staging Table'!$A84, LS_previous!$B$4:$B$138, 0), MATCH(AG$4&amp;AG$5, LS_previous!$D$2:$AY$2&amp;LS_previous!$D$3:$AY$3, 0)),SUM(VLOOKUP($A84, LS_previous!$B$4:$AY$138, LS_previous!Y$149, FALSE), VLOOKUP('Staging Table'!$A84, LS_previous!$B$4:$AY$138,LS_previous!AW$149, FALSE))/2)</f>
        <v>-5074.7862636015998</v>
      </c>
      <c r="AH84" s="192">
        <f t="array" ref="AH84">IF($G84=0, INDEX(LS_previous!$D$4:$AY$138, MATCH('Staging Table'!$A84, LS_previous!$B$4:$B$138, 0), MATCH(AH$4&amp;AH$5, LS_previous!$D$2:$AY$2&amp;LS_previous!$D$3:$AY$3, 0)),SUM(VLOOKUP($A84, LS_previous!$B$4:$AY$138, LS_previous!Z$149, FALSE), VLOOKUP('Staging Table'!$A84, LS_previous!$B$4:$AY$138,LS_previous!AX$149, FALSE))/2)</f>
        <v>-10089.149780479995</v>
      </c>
      <c r="AI84" s="192">
        <f t="array" ref="AI84">IF($G84=0, INDEX(LS_previous!$D$4:$AY$138, MATCH('Staging Table'!$A84, LS_previous!$B$4:$B$138, 0), MATCH(AI$4&amp;AI$5, LS_previous!$D$2:$AY$2&amp;LS_previous!$D$3:$AY$3, 0)),SUM(VLOOKUP($A84, LS_previous!$B$4:$AY$138, LS_previous!AA$149, FALSE), VLOOKUP('Staging Table'!$A84, LS_previous!$B$4:$AY$138,LS_previous!AY$149, FALSE))/2)</f>
        <v>-3381.5314122039963</v>
      </c>
      <c r="AJ84" s="314">
        <f t="array" ref="AJ84">INDEX(Demand_previous!$D$4:$AY$138, MATCH('Staging Table'!$A84, Demand_previous!$B$4:$B$138, 0), MATCH(AJ$4&amp;AJ$5,Demand_previous!$D$2:$AY$2&amp;Demand_previous!$D$3:$AY$3, 0))/1000</f>
        <v>13.892185185185188</v>
      </c>
      <c r="AK84" s="314">
        <f t="array" ref="AK84">INDEX(Demand_previous!$D$4:$AY$138, MATCH('Staging Table'!$A84, Demand_previous!$B$4:$B$138, 0), MATCH(AK$4&amp;AK$5,Demand_previous!$D$2:$AY$2&amp;Demand_previous!$D$3:$AY$3, 0))/1000</f>
        <v>15.963952500000012</v>
      </c>
      <c r="AL84" s="314">
        <f t="array" ref="AL84">INDEX(Demand_previous!$D$4:$AY$138, MATCH('Staging Table'!$A84, Demand_previous!$B$4:$B$138, 0), MATCH(AL$4&amp;AL$5,Demand_previous!$D$2:$AY$2&amp;Demand_previous!$D$3:$AY$3, 0))/1000</f>
        <v>26.093907499999993</v>
      </c>
      <c r="AM84" s="314">
        <f t="array" ref="AM84">INDEX(Demand_previous!$D$4:$AY$138, MATCH('Staging Table'!$A84, Demand_previous!$B$4:$B$138, 0), MATCH(AM$4&amp;AM$5,Demand_previous!$D$2:$AY$2&amp;Demand_previous!$D$3:$AY$3, 0))/1000</f>
        <v>44.472468750000004</v>
      </c>
      <c r="AN84" s="314">
        <f t="array" ref="AN84">INDEX(Demand_previous!$D$4:$AY$138, MATCH('Staging Table'!$A84, Demand_previous!$B$4:$B$138, 0), MATCH(AN$4&amp;AN$5,Demand_previous!$D$2:$AY$2&amp;Demand_previous!$D$3:$AY$3, 0))/1000</f>
        <v>18.664217500000021</v>
      </c>
      <c r="AO84" s="314">
        <f t="array" ref="AO84">INDEX(Demand_previous!$D$4:$AY$138, MATCH('Staging Table'!$A84, Demand_previous!$B$4:$B$138, 0), MATCH(AO$4&amp;AO$5,Demand_previous!$D$2:$AY$2&amp;Demand_previous!$D$3:$AY$3, 0))/1000</f>
        <v>22.490947115384614</v>
      </c>
      <c r="AP84" s="314">
        <f t="array" ref="AP84">INDEX(Demand_previous!$D$4:$AY$138, MATCH('Staging Table'!$A84, Demand_previous!$B$4:$B$138, 0), MATCH(AP$4&amp;AP$5,Demand_previous!$D$2:$AY$2&amp;Demand_previous!$D$3:$AY$3, 0))/1000</f>
        <v>21.485555288461548</v>
      </c>
      <c r="AQ84" s="314">
        <f t="array" ref="AQ84">INDEX(Demand_previous!$D$4:$AY$138, MATCH('Staging Table'!$A84, Demand_previous!$B$4:$B$138, 0), MATCH(AQ$4&amp;AQ$5,Demand_previous!$D$2:$AY$2&amp;Demand_previous!$D$3:$AY$3, 0))/1000</f>
        <v>14.335587499999981</v>
      </c>
      <c r="AR84" s="314">
        <f t="array" ref="AR84">INDEX(Demand_previous!$D$4:$AY$138, MATCH('Staging Table'!$A84, Demand_previous!$B$4:$B$138, 0), MATCH(AR$4&amp;AR$5,Demand_previous!$D$2:$AY$2&amp;Demand_previous!$D$3:$AY$3, 0))/1000</f>
        <v>6.8968317307692288</v>
      </c>
      <c r="AS84" s="314">
        <f t="array" ref="AS84">INDEX(Demand_previous!$D$4:$AY$138, MATCH('Staging Table'!$A84, Demand_previous!$B$4:$B$138, 0), MATCH(AS$4&amp;AS$5,Demand_previous!$D$2:$AY$2&amp;Demand_previous!$D$3:$AY$3, 0))/1000</f>
        <v>9.4860745192307778</v>
      </c>
      <c r="AT84" s="314">
        <f t="array" ref="AT84">INDEX(Demand_previous!$D$4:$AY$138, MATCH('Staging Table'!$A84, Demand_previous!$B$4:$B$138, 0), MATCH(AT$4&amp;AT$5,Demand_previous!$D$2:$AY$2&amp;Demand_previous!$D$3:$AY$3, 0))/1000</f>
        <v>4.8014879807692363</v>
      </c>
      <c r="AU84" s="314">
        <f t="array" ref="AU84">INDEX(Demand_previous!$D$4:$AY$138, MATCH('Staging Table'!$A84, Demand_previous!$B$4:$B$138, 0), MATCH(AU$4&amp;AU$5,Demand_previous!$D$2:$AY$2&amp;Demand_previous!$D$3:$AY$3, 0))/1000</f>
        <v>11.056587500000003</v>
      </c>
      <c r="AV84" s="192">
        <f>$F84*(VLOOKUP(AV$4, Rates_previous!$G$6:$Q$29, 10, FALSE)+VLOOKUP(AV$4, Rates_previous!$G$6:$Q$29, 11, FALSE))</f>
        <v>56254.160594026791</v>
      </c>
      <c r="AW84" s="192">
        <f>$F84*(VLOOKUP(AW$4, Rates_previous!$G$6:$Q$29, 10, FALSE)+VLOOKUP(AW$4, Rates_previous!$G$6:$Q$29, 11, FALSE))</f>
        <v>71460.33278070869</v>
      </c>
      <c r="AX84" s="192">
        <f>$F84*(VLOOKUP(AX$4, Rates_previous!$G$6:$Q$29, 10, FALSE)+VLOOKUP(AX$4, Rates_previous!$G$6:$Q$29, 11, FALSE))</f>
        <v>70597.352567926806</v>
      </c>
      <c r="AY84" s="192">
        <f>$F84*(VLOOKUP(AY$4, Rates_previous!$G$6:$Q$29, 10, FALSE)+VLOOKUP(AY$4, Rates_previous!$G$6:$Q$29, 11, FALSE))</f>
        <v>58847.193249526805</v>
      </c>
      <c r="AZ84" s="192">
        <f>$F84*(VLOOKUP(AZ$4, Rates_previous!$G$6:$Q$29, 10, FALSE)+VLOOKUP(AZ$4, Rates_previous!$G$6:$Q$29, 11, FALSE))</f>
        <v>53309.452159439992</v>
      </c>
      <c r="BA84" s="192">
        <f>$F84*(VLOOKUP(BA$4, Rates_previous!$G$6:$Q$29, 10, FALSE)+VLOOKUP(BA$4, Rates_previous!$G$6:$Q$29, 11, FALSE))</f>
        <v>59297.046263252094</v>
      </c>
      <c r="BB84" s="192">
        <f>$F84*(VLOOKUP(BB$4, Rates_previous!$G$6:$Q$29, 10, FALSE)+VLOOKUP(BB$4, Rates_previous!$G$6:$Q$29, 11, FALSE))</f>
        <v>48279.719055383997</v>
      </c>
      <c r="BC84" s="192">
        <f>$F84*(VLOOKUP(BC$4, Rates_previous!$G$6:$Q$29, 10, FALSE)+VLOOKUP(BC$4, Rates_previous!$G$6:$Q$29, 11, FALSE))</f>
        <v>65112.400449676803</v>
      </c>
      <c r="BD84" s="192">
        <f>$F84*(VLOOKUP(BD$4, Rates_previous!$G$6:$Q$29, 10, FALSE)+VLOOKUP(BD$4, Rates_previous!$G$6:$Q$29, 11, FALSE))</f>
        <v>83078.994586733999</v>
      </c>
      <c r="BE84" s="192">
        <f>$F84*(VLOOKUP(BE$4, Rates_previous!$G$6:$Q$29, 10, FALSE)+VLOOKUP(BE$4, Rates_previous!$G$6:$Q$29, 11, FALSE))</f>
        <v>65136.566025226799</v>
      </c>
      <c r="BF84" s="192">
        <f>$F84*(VLOOKUP(BF$4, Rates_previous!$G$6:$Q$29, 10, FALSE)+VLOOKUP(BF$4, Rates_previous!$G$6:$Q$29, 11, FALSE))</f>
        <v>63430.045102576805</v>
      </c>
      <c r="BG84" s="192">
        <f>$F84*(VLOOKUP(BG$4, Rates_previous!$G$6:$Q$29, 10, FALSE)+VLOOKUP(BG$4, Rates_previous!$G$6:$Q$29, 11, FALSE))</f>
        <v>56946.687192684003</v>
      </c>
      <c r="BH84" s="314">
        <f>IF($D84=0,IF(C84=0, MAX(BJ84 - (VLOOKUP($A84,TOCA_previous!$A$2:$AI$137,MATCH("RHWM 2020",TOCA_previous!$A$2:$AI$2,0),FALSE)*$F$2*TOCA_previous!C81),0),0), 0)</f>
        <v>11167.704216522863</v>
      </c>
      <c r="BI84" s="204">
        <f>MIN(VLOOKUP($A84,TOCA_previous!$A$2:$AI$137,MATCH("TRL - NLSL - Existing Resource "&amp;$F$1,TOCA_previous!$A$2:$AI$2,0),FALSE)*$F$2,(VLOOKUP($A84,TOCA_previous!$A$2:$AI$137,MATCH("RHWM 2020",TOCA_previous!$A$2:$AI$2,0),FALSE)*$F$2))</f>
        <v>751752.28799999994</v>
      </c>
      <c r="BJ84" s="418">
        <f>SUM(L84:AI84)+(F84*RT1SC!$C$3*$F$2)</f>
        <v>762919.99221652281</v>
      </c>
      <c r="BK84" s="417">
        <f>VLOOKUP($A84,TOCA_previous!$A$2:$AI$137,MATCH("Above RHWM Not Served with LS "&amp;$F$1,TOCA_previous!$A$2:$AI$2,0),FALSE)*$F$2</f>
        <v>96773.327999999994</v>
      </c>
      <c r="BL84" s="418">
        <f t="shared" si="27"/>
        <v>11167.704216522863</v>
      </c>
      <c r="BM84" s="417">
        <f>(VLOOKUP($A84,TOCA_previous!$A$2:$AI$137,MATCH("RHWM 2020",TOCA_previous!$A$2:$AI$2,0),FALSE)*$F$2) - $BI84</f>
        <v>0</v>
      </c>
      <c r="BN84" s="418">
        <f t="shared" si="28"/>
        <v>0</v>
      </c>
      <c r="BO84" s="417">
        <f t="shared" si="29"/>
        <v>0</v>
      </c>
      <c r="BP84" s="418">
        <f t="shared" si="30"/>
        <v>0</v>
      </c>
      <c r="BQ84" s="417">
        <f t="shared" si="21"/>
        <v>0</v>
      </c>
      <c r="BR84" s="120">
        <f>VLOOKUP($A84,TOCA_current!$A$2:$AI$137,MATCH(BR$4,TOCA_current!$A$2:$AI$2,0),FALSE)</f>
        <v>1.2183299999999999E-2</v>
      </c>
      <c r="BS84" s="120">
        <f>VLOOKUP($A84,TOCA_current!$A$2:$AI$137,MATCH(BS$4,TOCA_current!$A$2:$AI$2,0),FALSE)</f>
        <v>1.2183299999999999E-2</v>
      </c>
      <c r="BT84" s="201">
        <f t="shared" si="31"/>
        <v>0</v>
      </c>
      <c r="BU84" s="120">
        <f>VLOOKUP($A84,TOCA_current!A80:BG215,MATCH(BU$4,TOCA_current!$A$2:$BG$2,0),FALSE)</f>
        <v>7.1746170998281997E-2</v>
      </c>
      <c r="BV84" s="120">
        <f t="shared" si="22"/>
        <v>0</v>
      </c>
      <c r="BW84" s="120">
        <f t="shared" si="23"/>
        <v>0</v>
      </c>
      <c r="BX84" s="191">
        <f>VLOOKUP($A84,IRD!$A$4:$G$139, 7, FALSE)</f>
        <v>0</v>
      </c>
      <c r="BY84" s="192">
        <f t="array" ref="BY84">IF($BT84=0, INDEX(LS_current!$D$4:$AY$138, MATCH('Staging Table'!$A84, LS_current!$B$4:$B$138, 0), MATCH(BY$4&amp;BY$5, LS_current!$D$2:$AY$2&amp;LS_current!$D$3:$AY$3, 0)),SUM(VLOOKUP($A84, LS_current!$B$4:$AY$138, LS_current!D$148, FALSE), VLOOKUP($A84, LS_current!$B$4:$AY$138,LS_current!AB$148, FALSE))/2)</f>
        <v>-4797.3840299153489</v>
      </c>
      <c r="BZ84" s="192">
        <f t="array" ref="BZ84">IF($BT84=0, INDEX(LS_current!$D$4:$AY$138, MATCH('Staging Table'!$A84, LS_current!$B$4:$B$138, 0), MATCH(BZ$4&amp;BZ$5, LS_current!$D$2:$AY$2&amp;LS_current!$D$3:$AY$3, 0)),SUM(VLOOKUP($A84, LS_current!$B$4:$AY$138, LS_current!E$148, FALSE), VLOOKUP($A84, LS_current!$B$4:$AY$138,LS_current!AC$148, FALSE))/2)</f>
        <v>-740.51536556650171</v>
      </c>
      <c r="CA84" s="192">
        <f t="array" ref="CA84">IF($BT84=0, INDEX(LS_current!$D$4:$AY$138, MATCH('Staging Table'!$A84, LS_current!$B$4:$B$138, 0), MATCH(CA$4&amp;CA$5, LS_current!$D$2:$AY$2&amp;LS_current!$D$3:$AY$3, 0)),SUM(VLOOKUP($A84, LS_current!$B$4:$AY$138, LS_current!F$148, FALSE), VLOOKUP($A84, LS_current!$B$4:$AY$138,LS_current!AD$148, FALSE))/2)</f>
        <v>-3057.4283964288334</v>
      </c>
      <c r="CB84" s="192">
        <f t="array" ref="CB84">IF($BT84=0, INDEX(LS_current!$D$4:$AY$138, MATCH('Staging Table'!$A84, LS_current!$B$4:$B$138, 0), MATCH(CB$4&amp;CB$5, LS_current!$D$2:$AY$2&amp;LS_current!$D$3:$AY$3, 0)),SUM(VLOOKUP($A84, LS_current!$B$4:$AY$138, LS_current!G$148, FALSE), VLOOKUP($A84, LS_current!$B$4:$AY$138,LS_current!AE$148, FALSE))/2)</f>
        <v>3140.8173396681304</v>
      </c>
      <c r="CC84" s="192">
        <f t="array" ref="CC84">IF($BT84=0, INDEX(LS_current!$D$4:$AY$138, MATCH('Staging Table'!$A84, LS_current!$B$4:$B$138, 0), MATCH(CC$4&amp;CC$5, LS_current!$D$2:$AY$2&amp;LS_current!$D$3:$AY$3, 0)),SUM(VLOOKUP($A84, LS_current!$B$4:$AY$138, LS_current!H$148, FALSE), VLOOKUP($A84, LS_current!$B$4:$AY$138,LS_current!AF$148, FALSE))/2)</f>
        <v>17058.356299408129</v>
      </c>
      <c r="CD84" s="192">
        <f t="array" ref="CD84">IF($BT84=0, INDEX(LS_current!$D$4:$AY$138, MATCH('Staging Table'!$A84, LS_current!$B$4:$B$138, 0), MATCH(CD$4&amp;CD$5, LS_current!$D$2:$AY$2&amp;LS_current!$D$3:$AY$3, 0)),SUM(VLOOKUP($A84, LS_current!$B$4:$AY$138, LS_current!I$148, FALSE), VLOOKUP($A84, LS_current!$B$4:$AY$138,LS_current!AG$148, FALSE))/2)</f>
        <v>12765.634966076053</v>
      </c>
      <c r="CE84" s="192">
        <f t="array" ref="CE84">IF($BT84=0, INDEX(LS_current!$D$4:$AY$138, MATCH('Staging Table'!$A84, LS_current!$B$4:$B$138, 0), MATCH(CE$4&amp;CE$5, LS_current!$D$2:$AY$2&amp;LS_current!$D$3:$AY$3, 0)),SUM(VLOOKUP($A84, LS_current!$B$4:$AY$138, LS_current!J$148, FALSE), VLOOKUP($A84, LS_current!$B$4:$AY$138,LS_current!AH$148, FALSE))/2)</f>
        <v>19698.325733940379</v>
      </c>
      <c r="CF84" s="192">
        <f t="array" ref="CF84">IF($BT84=0, INDEX(LS_current!$D$4:$AY$138, MATCH('Staging Table'!$A84, LS_current!$B$4:$B$138, 0), MATCH(CF$4&amp;CF$5, LS_current!$D$2:$AY$2&amp;LS_current!$D$3:$AY$3, 0)),SUM(VLOOKUP($A84, LS_current!$B$4:$AY$138, LS_current!K$148, FALSE), VLOOKUP($A84, LS_current!$B$4:$AY$138,LS_current!AI$148, FALSE))/2)</f>
        <v>13782.669399200684</v>
      </c>
      <c r="CG84" s="192">
        <f t="array" ref="CG84">IF($BT84=0, INDEX(LS_current!$D$4:$AY$138, MATCH('Staging Table'!$A84, LS_current!$B$4:$B$138, 0), MATCH(CG$4&amp;CG$5, LS_current!$D$2:$AY$2&amp;LS_current!$D$3:$AY$3, 0)),SUM(VLOOKUP($A84, LS_current!$B$4:$AY$138, LS_current!L$148, FALSE), VLOOKUP($A84, LS_current!$B$4:$AY$138,LS_current!AJ$148, FALSE))/2)</f>
        <v>21813.955240743173</v>
      </c>
      <c r="CH84" s="192">
        <f t="array" ref="CH84">IF($BT84=0, INDEX(LS_current!$D$4:$AY$138, MATCH('Staging Table'!$A84, LS_current!$B$4:$B$138, 0), MATCH(CH$4&amp;CH$5, LS_current!$D$2:$AY$2&amp;LS_current!$D$3:$AY$3, 0)),SUM(VLOOKUP($A84, LS_current!$B$4:$AY$138, LS_current!M$148, FALSE), VLOOKUP($A84, LS_current!$B$4:$AY$138,LS_current!AK$148, FALSE))/2)</f>
        <v>16244.345704230163</v>
      </c>
      <c r="CI84" s="192">
        <f t="array" ref="CI84">IF($BT84=0, INDEX(LS_current!$D$4:$AY$138, MATCH('Staging Table'!$A84, LS_current!$B$4:$B$138, 0), MATCH(CI$4&amp;CI$5, LS_current!$D$2:$AY$2&amp;LS_current!$D$3:$AY$3, 0)),SUM(VLOOKUP($A84, LS_current!$B$4:$AY$138, LS_current!N$148, FALSE), VLOOKUP($A84, LS_current!$B$4:$AY$138,LS_current!AL$148, FALSE))/2)</f>
        <v>6630.4858494966102</v>
      </c>
      <c r="CJ84" s="192">
        <f t="array" ref="CJ84">IF($BT84=0, INDEX(LS_current!$D$4:$AY$138, MATCH('Staging Table'!$A84, LS_current!$B$4:$B$138, 0), MATCH(CJ$4&amp;CJ$5, LS_current!$D$2:$AY$2&amp;LS_current!$D$3:$AY$3, 0)),SUM(VLOOKUP($A84, LS_current!$B$4:$AY$138, LS_current!O$148, FALSE), VLOOKUP($A84, LS_current!$B$4:$AY$138,LS_current!AM$148, FALSE))/2)</f>
        <v>7143.1768750511692</v>
      </c>
      <c r="CK84" s="192">
        <f t="array" ref="CK84">IF($BT84=0, INDEX(LS_current!$D$4:$AY$138, MATCH('Staging Table'!$A84, LS_current!$B$4:$B$138, 0), MATCH(CK$4&amp;CK$5, LS_current!$D$2:$AY$2&amp;LS_current!$D$3:$AY$3, 0)),SUM(VLOOKUP($A84, LS_current!$B$4:$AY$138, LS_current!P$148, FALSE), VLOOKUP($A84, LS_current!$B$4:$AY$138,LS_current!AN$148, FALSE))/2)</f>
        <v>3835.9068210226433</v>
      </c>
      <c r="CL84" s="192">
        <f t="array" ref="CL84">IF($BT84=0, INDEX(LS_current!$D$4:$AY$138, MATCH('Staging Table'!$A84, LS_current!$B$4:$B$138, 0), MATCH(CL$4&amp;CL$5, LS_current!$D$2:$AY$2&amp;LS_current!$D$3:$AY$3, 0)),SUM(VLOOKUP($A84, LS_current!$B$4:$AY$138, LS_current!Q$148, FALSE), VLOOKUP($A84, LS_current!$B$4:$AY$138,LS_current!AO$148, FALSE))/2)</f>
        <v>4587.3623272751029</v>
      </c>
      <c r="CM84" s="192">
        <f t="array" ref="CM84">IF($BT84=0, INDEX(LS_current!$D$4:$AY$138, MATCH('Staging Table'!$A84, LS_current!$B$4:$B$138, 0), MATCH(CM$4&amp;CM$5, LS_current!$D$2:$AY$2&amp;LS_current!$D$3:$AY$3, 0)),SUM(VLOOKUP($A84, LS_current!$B$4:$AY$138, LS_current!R$148, FALSE), VLOOKUP($A84, LS_current!$B$4:$AY$138,LS_current!AP$148, FALSE))/2)</f>
        <v>-19191.71467282193</v>
      </c>
      <c r="CN84" s="192">
        <f t="array" ref="CN84">IF($BT84=0, INDEX(LS_current!$D$4:$AY$138, MATCH('Staging Table'!$A84, LS_current!$B$4:$B$138, 0), MATCH(CN$4&amp;CN$5, LS_current!$D$2:$AY$2&amp;LS_current!$D$3:$AY$3, 0)),SUM(VLOOKUP($A84, LS_current!$B$4:$AY$138, LS_current!S$148, FALSE), VLOOKUP($A84, LS_current!$B$4:$AY$138,LS_current!AQ$148, FALSE))/2)</f>
        <v>-4903.4213541654572</v>
      </c>
      <c r="CO84" s="192">
        <f t="array" ref="CO84">IF($BT84=0, INDEX(LS_current!$D$4:$AY$138, MATCH('Staging Table'!$A84, LS_current!$B$4:$B$138, 0), MATCH(CO$4&amp;CO$5, LS_current!$D$2:$AY$2&amp;LS_current!$D$3:$AY$3, 0)),SUM(VLOOKUP($A84, LS_current!$B$4:$AY$138, LS_current!T$148, FALSE), VLOOKUP($A84, LS_current!$B$4:$AY$138,LS_current!AR$148, FALSE))/2)</f>
        <v>-22677.705557990415</v>
      </c>
      <c r="CP84" s="192">
        <f t="array" ref="CP84">IF($BT84=0, INDEX(LS_current!$D$4:$AY$138, MATCH('Staging Table'!$A84, LS_current!$B$4:$B$138, 0), MATCH(CP$4&amp;CP$5, LS_current!$D$2:$AY$2&amp;LS_current!$D$3:$AY$3, 0)),SUM(VLOOKUP($A84, LS_current!$B$4:$AY$138, LS_current!U$148, FALSE), VLOOKUP($A84, LS_current!$B$4:$AY$138,LS_current!AS$148, FALSE))/2)</f>
        <v>-5345.5798982351571</v>
      </c>
      <c r="CQ84" s="192">
        <f t="array" ref="CQ84">IF($BT84=0, INDEX(LS_current!$D$4:$AY$138, MATCH('Staging Table'!$A84, LS_current!$B$4:$B$138, 0), MATCH(CQ$4&amp;CQ$5, LS_current!$D$2:$AY$2&amp;LS_current!$D$3:$AY$3, 0)),SUM(VLOOKUP($A84, LS_current!$B$4:$AY$138, LS_current!V$148, FALSE), VLOOKUP($A84, LS_current!$B$4:$AY$138,LS_current!AT$148, FALSE))/2)</f>
        <v>-18139.279416528119</v>
      </c>
      <c r="CR84" s="192">
        <f t="array" ref="CR84">IF($BT84=0, INDEX(LS_current!$D$4:$AY$138, MATCH('Staging Table'!$A84, LS_current!$B$4:$B$138, 0), MATCH(CR$4&amp;CR$5, LS_current!$D$2:$AY$2&amp;LS_current!$D$3:$AY$3, 0)),SUM(VLOOKUP($A84, LS_current!$B$4:$AY$138, LS_current!W$148, FALSE), VLOOKUP($A84, LS_current!$B$4:$AY$138,LS_current!AU$148, FALSE))/2)</f>
        <v>-7030.389783942097</v>
      </c>
      <c r="CS84" s="192">
        <f t="array" ref="CS84">IF($BT84=0, INDEX(LS_current!$D$4:$AY$138, MATCH('Staging Table'!$A84, LS_current!$B$4:$B$138, 0), MATCH(CS$4&amp;CS$5, LS_current!$D$2:$AY$2&amp;LS_current!$D$3:$AY$3, 0)),SUM(VLOOKUP($A84, LS_current!$B$4:$AY$138, LS_current!X$148, FALSE), VLOOKUP($A84, LS_current!$B$4:$AY$138,LS_current!AV$148, FALSE))/2)</f>
        <v>-16642.9308472062</v>
      </c>
      <c r="CT84" s="192">
        <f t="array" ref="CT84">IF($BT84=0, INDEX(LS_current!$D$4:$AY$138, MATCH('Staging Table'!$A84, LS_current!$B$4:$B$138, 0), MATCH(CT$4&amp;CT$5, LS_current!$D$2:$AY$2&amp;LS_current!$D$3:$AY$3, 0)),SUM(VLOOKUP($A84, LS_current!$B$4:$AY$138, LS_current!Y$148, FALSE), VLOOKUP($A84, LS_current!$B$4:$AY$138,LS_current!AW$148, FALSE))/2)</f>
        <v>-6747.1121182473307</v>
      </c>
      <c r="CU84" s="192">
        <f t="array" ref="CU84">IF($BT84=0, INDEX(LS_current!$D$4:$AY$138, MATCH('Staging Table'!$A84, LS_current!$B$4:$B$138, 0), MATCH(CU$4&amp;CU$5, LS_current!$D$2:$AY$2&amp;LS_current!$D$3:$AY$3, 0)),SUM(VLOOKUP($A84, LS_current!$B$4:$AY$138, LS_current!Z$148, FALSE), VLOOKUP($A84, LS_current!$B$4:$AY$138,LS_current!AX$148, FALSE))/2)</f>
        <v>-12185.897184725967</v>
      </c>
      <c r="CV84" s="192">
        <f t="array" ref="CV84">IF($BT84=0, INDEX(LS_current!$D$4:$AY$138, MATCH('Staging Table'!$A84, LS_current!$B$4:$B$138, 0), MATCH(CV$4&amp;CV$5, LS_current!$D$2:$AY$2&amp;LS_current!$D$3:$AY$3, 0)),SUM(VLOOKUP($A84, LS_current!$B$4:$AY$138, LS_current!AA$148, FALSE), VLOOKUP($A84, LS_current!$B$4:$AY$138,LS_current!AY$148, FALSE))/2)</f>
        <v>-5237.9527704837001</v>
      </c>
      <c r="CW84" s="194">
        <f t="array" ref="CW84">INDEX(Demand_current!$D$4:$AY$138, MATCH($A84, Demand_current!$B$4:$B$138, 0), MATCH(CW$4&amp;CW$5,Demand_current!$D$2:$AY$2&amp;Demand_current!$D$3:$AY$3, 0))/1000</f>
        <v>10.49792307692309</v>
      </c>
      <c r="CX84" s="194">
        <f t="array" ref="CX84">INDEX(Demand_current!$D$4:$AY$138, MATCH($A84, Demand_current!$B$4:$B$138, 0), MATCH(CX$4&amp;CX$5,Demand_current!$D$2:$AY$2&amp;Demand_current!$D$3:$AY$3, 0))/1000</f>
        <v>15.963952500000012</v>
      </c>
      <c r="CY84" s="194">
        <f t="array" ref="CY84">INDEX(Demand_current!$D$4:$AY$138, MATCH($A84, Demand_current!$B$4:$B$138, 0), MATCH(CY$4&amp;CY$5,Demand_current!$D$2:$AY$2&amp;Demand_current!$D$3:$AY$3, 0))/1000</f>
        <v>32.203487980769232</v>
      </c>
      <c r="CZ84" s="194">
        <f t="array" ref="CZ84">INDEX(Demand_current!$D$4:$AY$138, MATCH($A84, Demand_current!$B$4:$B$138, 0), MATCH(CZ$4&amp;CZ$5,Demand_current!$D$2:$AY$2&amp;Demand_current!$D$3:$AY$3, 0))/1000</f>
        <v>38.811207500000009</v>
      </c>
      <c r="DA84" s="194">
        <f t="array" ref="DA84">INDEX(Demand_current!$D$4:$AY$138, MATCH($A84, Demand_current!$B$4:$B$138, 0), MATCH(DA$4&amp;DA$5,Demand_current!$D$2:$AY$2&amp;Demand_current!$D$3:$AY$3, 0))/1000</f>
        <v>12.729934895833352</v>
      </c>
      <c r="DB84" s="194">
        <f t="array" ref="DB84">INDEX(Demand_current!$D$4:$AY$138, MATCH($A84, Demand_current!$B$4:$B$138, 0), MATCH(DB$4&amp;DB$5,Demand_current!$D$2:$AY$2&amp;Demand_current!$D$3:$AY$3, 0))/1000</f>
        <v>26.951097222222216</v>
      </c>
      <c r="DC84" s="194">
        <f t="array" ref="DC84">INDEX(Demand_current!$D$4:$AY$138, MATCH($A84, Demand_current!$B$4:$B$138, 0), MATCH(DC$4&amp;DC$5,Demand_current!$D$2:$AY$2&amp;Demand_current!$D$3:$AY$3, 0))/1000</f>
        <v>21.485555288461548</v>
      </c>
      <c r="DD84" s="194">
        <f t="array" ref="DD84">INDEX(Demand_current!$D$4:$AY$138, MATCH($A84, Demand_current!$B$4:$B$138, 0), MATCH(DD$4&amp;DD$5,Demand_current!$D$2:$AY$2&amp;Demand_current!$D$3:$AY$3, 0))/1000</f>
        <v>14.335587499999981</v>
      </c>
      <c r="DE84" s="194">
        <f t="array" ref="DE84">INDEX(Demand_current!$D$4:$AY$138, MATCH($A84, Demand_current!$B$4:$B$138, 0), MATCH(DE$4&amp;DE$5,Demand_current!$D$2:$AY$2&amp;Demand_current!$D$3:$AY$3, 0))/1000</f>
        <v>6.8968317307692288</v>
      </c>
      <c r="DF84" s="194">
        <f t="array" ref="DF84">INDEX(Demand_current!$D$4:$AY$138, MATCH($A84, Demand_current!$B$4:$B$138, 0), MATCH(DF$4&amp;DF$5,Demand_current!$D$2:$AY$2&amp;Demand_current!$D$3:$AY$3, 0))/1000</f>
        <v>6.3951975000000045</v>
      </c>
      <c r="DG84" s="194">
        <f t="array" ref="DG84">INDEX(Demand_current!$D$4:$AY$138, MATCH($A84, Demand_current!$B$4:$B$138, 0), MATCH(DG$4&amp;DG$5,Demand_current!$D$2:$AY$2&amp;Demand_current!$D$3:$AY$3, 0))/1000</f>
        <v>7.7407662037037124</v>
      </c>
      <c r="DH84" s="194">
        <f t="array" ref="DH84">INDEX(Demand_current!$D$4:$AY$138, MATCH($A84, Demand_current!$B$4:$B$138, 0), MATCH(DH$4&amp;DH$5,Demand_current!$D$2:$AY$2&amp;Demand_current!$D$3:$AY$3, 0))/1000</f>
        <v>11.056587500000003</v>
      </c>
      <c r="DI84" s="192">
        <f>$BS84*(VLOOKUP(DI$4, Rates_current!$G$6:$Q$29, 10, FALSE)+VLOOKUP(DI$4, Rates_current!$G$6:$Q$29, 11, FALSE))</f>
        <v>55481.827395481851</v>
      </c>
      <c r="DJ84" s="192">
        <f>$BS84*(VLOOKUP(DJ$4, Rates_current!$G$6:$Q$29, 10, FALSE)+VLOOKUP(DJ$4, Rates_current!$G$6:$Q$29, 11, FALSE))</f>
        <v>70242.007056760704</v>
      </c>
      <c r="DK84" s="192">
        <f>$BS84*(VLOOKUP(DK$4, Rates_current!$G$6:$Q$29, 10, FALSE)+VLOOKUP(DK$4, Rates_current!$G$6:$Q$29, 11, FALSE))</f>
        <v>68752.891734515812</v>
      </c>
      <c r="DL84" s="192">
        <f>$BS84*(VLOOKUP(DL$4, Rates_current!$G$6:$Q$29, 10, FALSE)+VLOOKUP(DL$4, Rates_current!$G$6:$Q$29, 11, FALSE))</f>
        <v>56786.964866858929</v>
      </c>
      <c r="DM84" s="192">
        <f>$BS84*(VLOOKUP(DM$4, Rates_current!$G$6:$Q$29, 10, FALSE)+VLOOKUP(DM$4, Rates_current!$G$6:$Q$29, 11, FALSE))</f>
        <v>49218.507055026654</v>
      </c>
      <c r="DN84" s="192">
        <f>$BS84*(VLOOKUP(DN$4, Rates_current!$G$6:$Q$29, 10, FALSE)+VLOOKUP(DN$4, Rates_current!$G$6:$Q$29, 11, FALSE))</f>
        <v>58756.958275452227</v>
      </c>
      <c r="DO84" s="192">
        <f>$BS84*(VLOOKUP(DO$4, Rates_current!$G$6:$Q$29, 10, FALSE)+VLOOKUP(DO$4, Rates_current!$G$6:$Q$29, 11, FALSE))</f>
        <v>45616.955851702245</v>
      </c>
      <c r="DP84" s="192">
        <f>$BS84*(VLOOKUP(DP$4, Rates_current!$G$6:$Q$29, 10, FALSE)+VLOOKUP(DP$4, Rates_current!$G$6:$Q$29, 11, FALSE))</f>
        <v>63202.62802698739</v>
      </c>
      <c r="DQ84" s="192">
        <f>$BS84*(VLOOKUP(DQ$4, Rates_current!$G$6:$Q$29, 10, FALSE)+VLOOKUP(DQ$4, Rates_current!$G$6:$Q$29, 11, FALSE))</f>
        <v>67533.331456225569</v>
      </c>
      <c r="DR84" s="192">
        <f>$BS84*(VLOOKUP(DR$4, Rates_current!$G$6:$Q$29, 10, FALSE)+VLOOKUP(DR$4, Rates_current!$G$6:$Q$29, 11, FALSE))</f>
        <v>64119.840200470222</v>
      </c>
      <c r="DS84" s="192">
        <f>$BS84*(VLOOKUP(DS$4, Rates_current!$G$6:$Q$29, 10, FALSE)+VLOOKUP(DS$4, Rates_current!$G$6:$Q$29, 11, FALSE))</f>
        <v>61966.878965453529</v>
      </c>
      <c r="DT84" s="192">
        <f>$BS84*(VLOOKUP(DT$4, Rates_current!$G$6:$Q$29, 10, FALSE)+VLOOKUP(DT$4, Rates_current!$G$6:$Q$29, 11, FALSE))</f>
        <v>57263.855955209663</v>
      </c>
      <c r="DU84" s="418">
        <f>IF(D84=0,IF(C84=0,MAX(0,DW84 - (VLOOKUP($A84,TOCA_current!$A$2:$AI$137,MATCH("RHWM 2022",TOCA_current!$A$2:$AI$2,0),FALSE)*$BS$2)), 0),0)</f>
        <v>4.4487770271953195</v>
      </c>
      <c r="DV84" s="419">
        <f>MIN(VLOOKUP($A84,TOCA_current!$A$2:$AI$137,MATCH("TRL - NLSL - Existing Resource "&amp;$BS$1,TOCA_current!$A$2:$AI$2,0),FALSE)*$BS$2, VLOOKUP($A84,TOCA_current!$A$2:$AI$137,MATCH("RHWM 2022",TOCA_current!$A$2:$AI$2,0),FALSE)*$BS$2)</f>
        <v>718941.96</v>
      </c>
      <c r="DW84" s="419">
        <f>SUM(BY84:CV84)+(BS84*RT1SC!$C$4*$BS$2)</f>
        <v>718946.40877702716</v>
      </c>
      <c r="DX84" s="419">
        <f>VLOOKUP($A84,TOCA_current!$A$2:$AI$137,MATCH("Above RHWM Not Served with LS "&amp;$BS$1,TOCA_current!$A$2:$AI$2,0),FALSE)*$BS$2</f>
        <v>140746.92000000001</v>
      </c>
      <c r="DY84" s="419">
        <f t="shared" si="32"/>
        <v>4.4487770271953195</v>
      </c>
      <c r="DZ84" s="419">
        <f>(VLOOKUP($A84,TOCA_current!$A$2:$AI$137,MATCH("RHWM 2022",TOCA_current!$A$2:$AI$2,0),FALSE)*$BS$2) - $DV84</f>
        <v>0</v>
      </c>
      <c r="EA84" s="419">
        <f t="shared" si="33"/>
        <v>0</v>
      </c>
      <c r="EB84" s="419">
        <f t="shared" si="34"/>
        <v>0</v>
      </c>
      <c r="EC84" s="419">
        <f t="shared" si="35"/>
        <v>0</v>
      </c>
      <c r="ED84" s="419">
        <f t="shared" si="36"/>
        <v>0</v>
      </c>
    </row>
    <row r="85" spans="1:134">
      <c r="A85" s="135">
        <v>10246</v>
      </c>
      <c r="B85" s="136" t="s">
        <v>86</v>
      </c>
      <c r="C85" s="244">
        <f>VLOOKUP(A85, TOCA_current!$A$3:$D$137, 4, FALSE)</f>
        <v>0</v>
      </c>
      <c r="D85" s="203">
        <v>0</v>
      </c>
      <c r="E85" s="119">
        <f>VLOOKUP($A85,TOCA_previous!$A$2:$AI$137,MATCH(E$4,TOCA_previous!$A$2:$AI$2,0),FALSE)</f>
        <v>1.2505999999999999E-3</v>
      </c>
      <c r="F85" s="120">
        <f>VLOOKUP($A85,TOCA_previous!$A$2:$AI$137,MATCH(F$4,TOCA_previous!$A$2:$AI$2,0),FALSE)</f>
        <v>1.2505999999999999E-3</v>
      </c>
      <c r="G85" s="120">
        <f t="shared" si="24"/>
        <v>0</v>
      </c>
      <c r="H85" s="120">
        <f>VLOOKUP($A85,TOCA_previous!$A$2:$AI$137,MATCH(H$4,TOCA_previous!$A$2:$AI$2,0),FALSE)</f>
        <v>5.5000000000000007E-2</v>
      </c>
      <c r="I85" s="120">
        <f t="shared" si="25"/>
        <v>0</v>
      </c>
      <c r="J85" s="120">
        <f t="shared" si="26"/>
        <v>0</v>
      </c>
      <c r="K85" s="191">
        <f>VLOOKUP(A85, IRD!$A$5:$C$139, 3, FALSE)</f>
        <v>0</v>
      </c>
      <c r="L85" s="192">
        <f t="array" ref="L85">IF($G85=0, INDEX(LS_previous!$D$4:$AY$138, MATCH('Staging Table'!$A85, LS_previous!$B$4:$B$138, 0), MATCH(L$4&amp;L$5, LS_previous!$D$2:$AY$2&amp;LS_previous!$D$3:$AY$3, 0)),SUM(VLOOKUP($A85, LS_previous!$B$4:$AY$138, LS_previous!D$149, FALSE), VLOOKUP('Staging Table'!$A85, LS_previous!$B$4:$AY$138,LS_previous!AB$149, FALSE))/2)</f>
        <v>-32.449174232799578</v>
      </c>
      <c r="M85" s="192">
        <f t="array" ref="M85">IF($G85=0, INDEX(LS_previous!$D$4:$AY$138, MATCH('Staging Table'!$A85, LS_previous!$B$4:$B$138, 0), MATCH(M$4&amp;M$5, LS_previous!$D$2:$AY$2&amp;LS_previous!$D$3:$AY$3, 0)),SUM(VLOOKUP($A85, LS_previous!$B$4:$AY$138, LS_previous!E$149, FALSE), VLOOKUP('Staging Table'!$A85, LS_previous!$B$4:$AY$138,LS_previous!AC$149, FALSE))/2)</f>
        <v>497.89828891520006</v>
      </c>
      <c r="N85" s="192">
        <f t="array" ref="N85">IF($G85=0, INDEX(LS_previous!$D$4:$AY$138, MATCH('Staging Table'!$A85, LS_previous!$B$4:$B$138, 0), MATCH(N$4&amp;N$5, LS_previous!$D$2:$AY$2&amp;LS_previous!$D$3:$AY$3, 0)),SUM(VLOOKUP($A85, LS_previous!$B$4:$AY$138, LS_previous!F$149, FALSE), VLOOKUP('Staging Table'!$A85, LS_previous!$B$4:$AY$138,LS_previous!AD$149, FALSE))/2)</f>
        <v>-92.692830516799404</v>
      </c>
      <c r="O85" s="192">
        <f t="array" ref="O85">IF($G85=0, INDEX(LS_previous!$D$4:$AY$138, MATCH('Staging Table'!$A85, LS_previous!$B$4:$B$138, 0), MATCH(O$4&amp;O$5, LS_previous!$D$2:$AY$2&amp;LS_previous!$D$3:$AY$3, 0)),SUM(VLOOKUP($A85, LS_previous!$B$4:$AY$138, LS_previous!G$149, FALSE), VLOOKUP('Staging Table'!$A85, LS_previous!$B$4:$AY$138,LS_previous!AE$149, FALSE))/2)</f>
        <v>400.00402182339985</v>
      </c>
      <c r="P85" s="192">
        <f t="array" ref="P85">IF($G85=0, INDEX(LS_previous!$D$4:$AY$138, MATCH('Staging Table'!$A85, LS_previous!$B$4:$B$138, 0), MATCH(P$4&amp;P$5, LS_previous!$D$2:$AY$2&amp;LS_previous!$D$3:$AY$3, 0)),SUM(VLOOKUP($A85, LS_previous!$B$4:$AY$138, LS_previous!H$149, FALSE), VLOOKUP('Staging Table'!$A85, LS_previous!$B$4:$AY$138,LS_previous!AF$149, FALSE))/2)</f>
        <v>1090.7630859968003</v>
      </c>
      <c r="Q85" s="192">
        <f t="array" ref="Q85">IF($G85=0, INDEX(LS_previous!$D$4:$AY$138, MATCH('Staging Table'!$A85, LS_previous!$B$4:$B$138, 0), MATCH(Q$4&amp;Q$5, LS_previous!$D$2:$AY$2&amp;LS_previous!$D$3:$AY$3, 0)),SUM(VLOOKUP($A85, LS_previous!$B$4:$AY$138, LS_previous!I$149, FALSE), VLOOKUP('Staging Table'!$A85, LS_previous!$B$4:$AY$138,LS_previous!AG$149, FALSE))/2)</f>
        <v>1025.4859088856001</v>
      </c>
      <c r="R85" s="192">
        <f t="array" ref="R85">IF($G85=0, INDEX(LS_previous!$D$4:$AY$138, MATCH('Staging Table'!$A85, LS_previous!$B$4:$B$138, 0), MATCH(R$4&amp;R$5, LS_previous!$D$2:$AY$2&amp;LS_previous!$D$3:$AY$3, 0)),SUM(VLOOKUP($A85, LS_previous!$B$4:$AY$138, LS_previous!J$149, FALSE), VLOOKUP('Staging Table'!$A85, LS_previous!$B$4:$AY$138,LS_previous!AH$149, FALSE))/2)</f>
        <v>1419.3388115968005</v>
      </c>
      <c r="S85" s="192">
        <f t="array" ref="S85">IF($G85=0, INDEX(LS_previous!$D$4:$AY$138, MATCH('Staging Table'!$A85, LS_previous!$B$4:$B$138, 0), MATCH(S$4&amp;S$5, LS_previous!$D$2:$AY$2&amp;LS_previous!$D$3:$AY$3, 0)),SUM(VLOOKUP($A85, LS_previous!$B$4:$AY$138, LS_previous!K$149, FALSE), VLOOKUP('Staging Table'!$A85, LS_previous!$B$4:$AY$138,LS_previous!AI$149, FALSE))/2)</f>
        <v>1798.5478520856</v>
      </c>
      <c r="T85" s="192">
        <f t="array" ref="T85">IF($G85=0, INDEX(LS_previous!$D$4:$AY$138, MATCH('Staging Table'!$A85, LS_previous!$B$4:$B$138, 0), MATCH(T$4&amp;T$5, LS_previous!$D$2:$AY$2&amp;LS_previous!$D$3:$AY$3, 0)),SUM(VLOOKUP($A85, LS_previous!$B$4:$AY$138, LS_previous!L$149, FALSE), VLOOKUP('Staging Table'!$A85, LS_previous!$B$4:$AY$138,LS_previous!AJ$149, FALSE))/2)</f>
        <v>1070.7332367256008</v>
      </c>
      <c r="U85" s="192">
        <f t="array" ref="U85">IF($G85=0, INDEX(LS_previous!$D$4:$AY$138, MATCH('Staging Table'!$A85, LS_previous!$B$4:$B$138, 0), MATCH(U$4&amp;U$5, LS_previous!$D$2:$AY$2&amp;LS_previous!$D$3:$AY$3, 0)),SUM(VLOOKUP($A85, LS_previous!$B$4:$AY$138, LS_previous!M$149, FALSE), VLOOKUP('Staging Table'!$A85, LS_previous!$B$4:$AY$138,LS_previous!AK$149, FALSE))/2)</f>
        <v>982.23039319440022</v>
      </c>
      <c r="V85" s="192">
        <f t="array" ref="V85">IF($G85=0, INDEX(LS_previous!$D$4:$AY$138, MATCH('Staging Table'!$A85, LS_previous!$B$4:$B$138, 0), MATCH(V$4&amp;V$5, LS_previous!$D$2:$AY$2&amp;LS_previous!$D$3:$AY$3, 0)),SUM(VLOOKUP($A85, LS_previous!$B$4:$AY$138, LS_previous!N$149, FALSE), VLOOKUP('Staging Table'!$A85, LS_previous!$B$4:$AY$138,LS_previous!AL$149, FALSE))/2)</f>
        <v>415.22397371040097</v>
      </c>
      <c r="W85" s="192">
        <f t="array" ref="W85">IF($G85=0, INDEX(LS_previous!$D$4:$AY$138, MATCH('Staging Table'!$A85, LS_previous!$B$4:$B$138, 0), MATCH(W$4&amp;W$5, LS_previous!$D$2:$AY$2&amp;LS_previous!$D$3:$AY$3, 0)),SUM(VLOOKUP($A85, LS_previous!$B$4:$AY$138, LS_previous!O$149, FALSE), VLOOKUP('Staging Table'!$A85, LS_previous!$B$4:$AY$138,LS_previous!AM$149, FALSE))/2)</f>
        <v>523.04585947739997</v>
      </c>
      <c r="X85" s="192">
        <f t="array" ref="X85">IF($G85=0, INDEX(LS_previous!$D$4:$AY$138, MATCH('Staging Table'!$A85, LS_previous!$B$4:$B$138, 0), MATCH(X$4&amp;X$5, LS_previous!$D$2:$AY$2&amp;LS_previous!$D$3:$AY$3, 0)),SUM(VLOOKUP($A85, LS_previous!$B$4:$AY$138, LS_previous!P$149, FALSE), VLOOKUP('Staging Table'!$A85, LS_previous!$B$4:$AY$138,LS_previous!AN$149, FALSE))/2)</f>
        <v>651.36791915359981</v>
      </c>
      <c r="Y85" s="192">
        <f t="array" ref="Y85">IF($G85=0, INDEX(LS_previous!$D$4:$AY$138, MATCH('Staging Table'!$A85, LS_previous!$B$4:$B$138, 0), MATCH(Y$4&amp;Y$5, LS_previous!$D$2:$AY$2&amp;LS_previous!$D$3:$AY$3, 0)),SUM(VLOOKUP($A85, LS_previous!$B$4:$AY$138, LS_previous!Q$149, FALSE), VLOOKUP('Staging Table'!$A85, LS_previous!$B$4:$AY$138,LS_previous!AO$149, FALSE))/2)</f>
        <v>588.29731375839992</v>
      </c>
      <c r="Z85" s="192">
        <f t="array" ref="Z85">IF($G85=0, INDEX(LS_previous!$D$4:$AY$138, MATCH('Staging Table'!$A85, LS_previous!$B$4:$B$138, 0), MATCH(Z$4&amp;Z$5, LS_previous!$D$2:$AY$2&amp;LS_previous!$D$3:$AY$3, 0)),SUM(VLOOKUP($A85, LS_previous!$B$4:$AY$138, LS_previous!R$149, FALSE), VLOOKUP('Staging Table'!$A85, LS_previous!$B$4:$AY$138,LS_previous!AP$149, FALSE))/2)</f>
        <v>-1694.2017272600001</v>
      </c>
      <c r="AA85" s="192">
        <f t="array" ref="AA85">IF($G85=0, INDEX(LS_previous!$D$4:$AY$138, MATCH('Staging Table'!$A85, LS_previous!$B$4:$B$138, 0), MATCH(AA$4&amp;AA$5, LS_previous!$D$2:$AY$2&amp;LS_previous!$D$3:$AY$3, 0)),SUM(VLOOKUP($A85, LS_previous!$B$4:$AY$138, LS_previous!S$149, FALSE), VLOOKUP('Staging Table'!$A85, LS_previous!$B$4:$AY$138,LS_previous!AQ$149, FALSE))/2)</f>
        <v>-331.96003135759975</v>
      </c>
      <c r="AB85" s="192">
        <f t="array" ref="AB85">IF($G85=0, INDEX(LS_previous!$D$4:$AY$138, MATCH('Staging Table'!$A85, LS_previous!$B$4:$B$138, 0), MATCH(AB$4&amp;AB$5, LS_previous!$D$2:$AY$2&amp;LS_previous!$D$3:$AY$3, 0)),SUM(VLOOKUP($A85, LS_previous!$B$4:$AY$138, LS_previous!T$149, FALSE), VLOOKUP('Staging Table'!$A85, LS_previous!$B$4:$AY$138,LS_previous!AR$149, FALSE))/2)</f>
        <v>-2669.6966699463992</v>
      </c>
      <c r="AC85" s="192">
        <f t="array" ref="AC85">IF($G85=0, INDEX(LS_previous!$D$4:$AY$138, MATCH('Staging Table'!$A85, LS_previous!$B$4:$B$138, 0), MATCH(AC$4&amp;AC$5, LS_previous!$D$2:$AY$2&amp;LS_previous!$D$3:$AY$3, 0)),SUM(VLOOKUP($A85, LS_previous!$B$4:$AY$138, LS_previous!U$149, FALSE), VLOOKUP('Staging Table'!$A85, LS_previous!$B$4:$AY$138,LS_previous!AS$149, FALSE))/2)</f>
        <v>-1223.6617578415996</v>
      </c>
      <c r="AD85" s="192">
        <f t="array" ref="AD85">IF($G85=0, INDEX(LS_previous!$D$4:$AY$138, MATCH('Staging Table'!$A85, LS_previous!$B$4:$B$138, 0), MATCH(AD$4&amp;AD$5, LS_previous!$D$2:$AY$2&amp;LS_previous!$D$3:$AY$3, 0)),SUM(VLOOKUP($A85, LS_previous!$B$4:$AY$138, LS_previous!V$149, FALSE), VLOOKUP('Staging Table'!$A85, LS_previous!$B$4:$AY$138,LS_previous!AT$149, FALSE))/2)</f>
        <v>-1759.5477429463995</v>
      </c>
      <c r="AE85" s="192">
        <f t="array" ref="AE85">IF($G85=0, INDEX(LS_previous!$D$4:$AY$138, MATCH('Staging Table'!$A85, LS_previous!$B$4:$B$138, 0), MATCH(AE$4&amp;AE$5, LS_previous!$D$2:$AY$2&amp;LS_previous!$D$3:$AY$3, 0)),SUM(VLOOKUP($A85, LS_previous!$B$4:$AY$138, LS_previous!W$149, FALSE), VLOOKUP('Staging Table'!$A85, LS_previous!$B$4:$AY$138,LS_previous!AU$149, FALSE))/2)</f>
        <v>-9.8395807711999623</v>
      </c>
      <c r="AF85" s="192">
        <f t="array" ref="AF85">IF($G85=0, INDEX(LS_previous!$D$4:$AY$138, MATCH('Staging Table'!$A85, LS_previous!$B$4:$B$138, 0), MATCH(AF$4&amp;AF$5, LS_previous!$D$2:$AY$2&amp;LS_previous!$D$3:$AY$3, 0)),SUM(VLOOKUP($A85, LS_previous!$B$4:$AY$138, LS_previous!X$149, FALSE), VLOOKUP('Staging Table'!$A85, LS_previous!$B$4:$AY$138,LS_previous!AV$149, FALSE))/2)</f>
        <v>-1352.1530876464003</v>
      </c>
      <c r="AG85" s="192">
        <f t="array" ref="AG85">IF($G85=0, INDEX(LS_previous!$D$4:$AY$138, MATCH('Staging Table'!$A85, LS_previous!$B$4:$B$138, 0), MATCH(AG$4&amp;AG$5, LS_previous!$D$2:$AY$2&amp;LS_previous!$D$3:$AY$3, 0)),SUM(VLOOKUP($A85, LS_previous!$B$4:$AY$138, LS_previous!Y$149, FALSE), VLOOKUP('Staging Table'!$A85, LS_previous!$B$4:$AY$138,LS_previous!AW$149, FALSE))/2)</f>
        <v>-232.53506877120003</v>
      </c>
      <c r="AH85" s="192">
        <f t="array" ref="AH85">IF($G85=0, INDEX(LS_previous!$D$4:$AY$138, MATCH('Staging Table'!$A85, LS_previous!$B$4:$B$138, 0), MATCH(AH$4&amp;AH$5, LS_previous!$D$2:$AY$2&amp;LS_previous!$D$3:$AY$3, 0)),SUM(VLOOKUP($A85, LS_previous!$B$4:$AY$138, LS_previous!Z$149, FALSE), VLOOKUP('Staging Table'!$A85, LS_previous!$B$4:$AY$138,LS_previous!AX$149, FALSE))/2)</f>
        <v>-909.37703136000027</v>
      </c>
      <c r="AI85" s="192">
        <f t="array" ref="AI85">IF($G85=0, INDEX(LS_previous!$D$4:$AY$138, MATCH('Staging Table'!$A85, LS_previous!$B$4:$B$138, 0), MATCH(AI$4&amp;AI$5, LS_previous!$D$2:$AY$2&amp;LS_previous!$D$3:$AY$3, 0)),SUM(VLOOKUP($A85, LS_previous!$B$4:$AY$138, LS_previous!AA$149, FALSE), VLOOKUP('Staging Table'!$A85, LS_previous!$B$4:$AY$138,LS_previous!AY$149, FALSE))/2)</f>
        <v>-175.5778143279997</v>
      </c>
      <c r="AJ85" s="314">
        <f t="array" ref="AJ85">INDEX(Demand_previous!$D$4:$AY$138, MATCH('Staging Table'!$A85, Demand_previous!$B$4:$B$138, 0), MATCH(AJ$4&amp;AJ$5,Demand_previous!$D$2:$AY$2&amp;Demand_previous!$D$3:$AY$3, 0))/1000</f>
        <v>0.74290740740740813</v>
      </c>
      <c r="AK85" s="314">
        <f t="array" ref="AK85">INDEX(Demand_previous!$D$4:$AY$138, MATCH('Staging Table'!$A85, Demand_previous!$B$4:$B$138, 0), MATCH(AK$4&amp;AK$5,Demand_previous!$D$2:$AY$2&amp;Demand_previous!$D$3:$AY$3, 0))/1000</f>
        <v>0.83844250000000198</v>
      </c>
      <c r="AL85" s="314">
        <f t="array" ref="AL85">INDEX(Demand_previous!$D$4:$AY$138, MATCH('Staging Table'!$A85, Demand_previous!$B$4:$B$138, 0), MATCH(AL$4&amp;AL$5,Demand_previous!$D$2:$AY$2&amp;Demand_previous!$D$3:$AY$3, 0))/1000</f>
        <v>2.4660174999999982</v>
      </c>
      <c r="AM85" s="314">
        <f t="array" ref="AM85">INDEX(Demand_previous!$D$4:$AY$138, MATCH('Staging Table'!$A85, Demand_previous!$B$4:$B$138, 0), MATCH(AM$4&amp;AM$5,Demand_previous!$D$2:$AY$2&amp;Demand_previous!$D$3:$AY$3, 0))/1000</f>
        <v>3.2854134615384605</v>
      </c>
      <c r="AN85" s="314">
        <f t="array" ref="AN85">INDEX(Demand_previous!$D$4:$AY$138, MATCH('Staging Table'!$A85, Demand_previous!$B$4:$B$138, 0), MATCH(AN$4&amp;AN$5,Demand_previous!$D$2:$AY$2&amp;Demand_previous!$D$3:$AY$3, 0))/1000</f>
        <v>2.4651600000000009</v>
      </c>
      <c r="AO85" s="314">
        <f t="array" ref="AO85">INDEX(Demand_previous!$D$4:$AY$138, MATCH('Staging Table'!$A85, Demand_previous!$B$4:$B$138, 0), MATCH(AO$4&amp;AO$5,Demand_previous!$D$2:$AY$2&amp;Demand_previous!$D$3:$AY$3, 0))/1000</f>
        <v>2.604935096153846</v>
      </c>
      <c r="AP85" s="314">
        <f t="array" ref="AP85">INDEX(Demand_previous!$D$4:$AY$138, MATCH('Staging Table'!$A85, Demand_previous!$B$4:$B$138, 0), MATCH(AP$4&amp;AP$5,Demand_previous!$D$2:$AY$2&amp;Demand_previous!$D$3:$AY$3, 0))/1000</f>
        <v>2.1411033653846157</v>
      </c>
      <c r="AQ85" s="314">
        <f t="array" ref="AQ85">INDEX(Demand_previous!$D$4:$AY$138, MATCH('Staging Table'!$A85, Demand_previous!$B$4:$B$138, 0), MATCH(AQ$4&amp;AQ$5,Demand_previous!$D$2:$AY$2&amp;Demand_previous!$D$3:$AY$3, 0))/1000</f>
        <v>1.3725300000000011</v>
      </c>
      <c r="AR85" s="314">
        <f t="array" ref="AR85">INDEX(Demand_previous!$D$4:$AY$138, MATCH('Staging Table'!$A85, Demand_previous!$B$4:$B$138, 0), MATCH(AR$4&amp;AR$5,Demand_previous!$D$2:$AY$2&amp;Demand_previous!$D$3:$AY$3, 0))/1000</f>
        <v>2.0673245192307697</v>
      </c>
      <c r="AS85" s="314">
        <f t="array" ref="AS85">INDEX(Demand_previous!$D$4:$AY$138, MATCH('Staging Table'!$A85, Demand_previous!$B$4:$B$138, 0), MATCH(AS$4&amp;AS$5,Demand_previous!$D$2:$AY$2&amp;Demand_previous!$D$3:$AY$3, 0))/1000</f>
        <v>1.6885096153846157</v>
      </c>
      <c r="AT85" s="314">
        <f t="array" ref="AT85">INDEX(Demand_previous!$D$4:$AY$138, MATCH('Staging Table'!$A85, Demand_previous!$B$4:$B$138, 0), MATCH(AT$4&amp;AT$5,Demand_previous!$D$2:$AY$2&amp;Demand_previous!$D$3:$AY$3, 0))/1000</f>
        <v>1.6976466346153856</v>
      </c>
      <c r="AU85" s="314">
        <f t="array" ref="AU85">INDEX(Demand_previous!$D$4:$AY$138, MATCH('Staging Table'!$A85, Demand_previous!$B$4:$B$138, 0), MATCH(AU$4&amp;AU$5,Demand_previous!$D$2:$AY$2&amp;Demand_previous!$D$3:$AY$3, 0))/1000</f>
        <v>1.1746225000000003</v>
      </c>
      <c r="AV85" s="192">
        <f>$F85*(VLOOKUP(AV$4, Rates_previous!$G$6:$Q$29, 10, FALSE)+VLOOKUP(AV$4, Rates_previous!$G$6:$Q$29, 11, FALSE))</f>
        <v>5774.4168853175988</v>
      </c>
      <c r="AW85" s="192">
        <f>$F85*(VLOOKUP(AW$4, Rates_previous!$G$6:$Q$29, 10, FALSE)+VLOOKUP(AW$4, Rates_previous!$G$6:$Q$29, 11, FALSE))</f>
        <v>7335.3108086933998</v>
      </c>
      <c r="AX85" s="192">
        <f>$F85*(VLOOKUP(AX$4, Rates_previous!$G$6:$Q$29, 10, FALSE)+VLOOKUP(AX$4, Rates_previous!$G$6:$Q$29, 11, FALSE))</f>
        <v>7246.7270051176001</v>
      </c>
      <c r="AY85" s="192">
        <f>$F85*(VLOOKUP(AY$4, Rates_previous!$G$6:$Q$29, 10, FALSE)+VLOOKUP(AY$4, Rates_previous!$G$6:$Q$29, 11, FALSE))</f>
        <v>6040.5883363175999</v>
      </c>
      <c r="AZ85" s="192">
        <f>$F85*(VLOOKUP(AZ$4, Rates_previous!$G$6:$Q$29, 10, FALSE)+VLOOKUP(AZ$4, Rates_previous!$G$6:$Q$29, 11, FALSE))</f>
        <v>5472.1463700799995</v>
      </c>
      <c r="BA85" s="192">
        <f>$F85*(VLOOKUP(BA$4, Rates_previous!$G$6:$Q$29, 10, FALSE)+VLOOKUP(BA$4, Rates_previous!$G$6:$Q$29, 11, FALSE))</f>
        <v>6086.7651668121998</v>
      </c>
      <c r="BB85" s="192">
        <f>$F85*(VLOOKUP(BB$4, Rates_previous!$G$6:$Q$29, 10, FALSE)+VLOOKUP(BB$4, Rates_previous!$G$6:$Q$29, 11, FALSE))</f>
        <v>4955.8507670879999</v>
      </c>
      <c r="BC85" s="192">
        <f>$F85*(VLOOKUP(BC$4, Rates_previous!$G$6:$Q$29, 10, FALSE)+VLOOKUP(BC$4, Rates_previous!$G$6:$Q$29, 11, FALSE))</f>
        <v>6683.7037586176002</v>
      </c>
      <c r="BD85" s="192">
        <f>$F85*(VLOOKUP(BD$4, Rates_previous!$G$6:$Q$29, 10, FALSE)+VLOOKUP(BD$4, Rates_previous!$G$6:$Q$29, 11, FALSE))</f>
        <v>8527.9514277880007</v>
      </c>
      <c r="BE85" s="192">
        <f>$F85*(VLOOKUP(BE$4, Rates_previous!$G$6:$Q$29, 10, FALSE)+VLOOKUP(BE$4, Rates_previous!$G$6:$Q$29, 11, FALSE))</f>
        <v>6686.1843237175999</v>
      </c>
      <c r="BF85" s="192">
        <f>$F85*(VLOOKUP(BF$4, Rates_previous!$G$6:$Q$29, 10, FALSE)+VLOOKUP(BF$4, Rates_previous!$G$6:$Q$29, 11, FALSE))</f>
        <v>6511.0121564176006</v>
      </c>
      <c r="BG85" s="192">
        <f>$F85*(VLOOKUP(BG$4, Rates_previous!$G$6:$Q$29, 10, FALSE)+VLOOKUP(BG$4, Rates_previous!$G$6:$Q$29, 11, FALSE))</f>
        <v>5845.5038456880002</v>
      </c>
      <c r="BH85" s="314">
        <f>IF($D85=0,IF(C85=0, MAX(BJ85 - (VLOOKUP($A85,TOCA_previous!$A$2:$AI$137,MATCH("RHWM 2020",TOCA_previous!$A$2:$AI$2,0),FALSE)*$F$2*TOCA_previous!C82),0),0), 0)</f>
        <v>0</v>
      </c>
      <c r="BI85" s="204">
        <f>MIN(VLOOKUP($A85,TOCA_previous!$A$2:$AI$137,MATCH("TRL - NLSL - Existing Resource "&amp;$F$1,TOCA_previous!$A$2:$AI$2,0),FALSE)*$F$2,(VLOOKUP($A85,TOCA_previous!$A$2:$AI$137,MATCH("RHWM 2020",TOCA_previous!$A$2:$AI$2,0),FALSE)*$F$2))</f>
        <v>77167.44</v>
      </c>
      <c r="BJ85" s="418">
        <f>SUM(L85:AI85)+(F85*RT1SC!$C$3*$F$2)</f>
        <v>77145.407896389603</v>
      </c>
      <c r="BK85" s="417">
        <f>VLOOKUP($A85,TOCA_previous!$A$2:$AI$137,MATCH("Above RHWM Not Served with LS "&amp;$F$1,TOCA_previous!$A$2:$AI$2,0),FALSE)*$F$2</f>
        <v>0</v>
      </c>
      <c r="BL85" s="418">
        <f t="shared" si="27"/>
        <v>-22.032103610399645</v>
      </c>
      <c r="BM85" s="417">
        <f>(VLOOKUP($A85,TOCA_previous!$A$2:$AI$137,MATCH("RHWM 2020",TOCA_previous!$A$2:$AI$2,0),FALSE)*$F$2) - $BI85</f>
        <v>1352.7360000000044</v>
      </c>
      <c r="BN85" s="418">
        <f t="shared" si="28"/>
        <v>0</v>
      </c>
      <c r="BO85" s="417">
        <f t="shared" si="29"/>
        <v>22.032103610399645</v>
      </c>
      <c r="BP85" s="418">
        <f t="shared" si="30"/>
        <v>0</v>
      </c>
      <c r="BQ85" s="417">
        <f t="shared" si="21"/>
        <v>22.032103610399645</v>
      </c>
      <c r="BR85" s="120">
        <f>VLOOKUP($A85,TOCA_current!$A$2:$AI$137,MATCH(BR$4,TOCA_current!$A$2:$AI$2,0),FALSE)</f>
        <v>1.2726E-3</v>
      </c>
      <c r="BS85" s="120">
        <f>VLOOKUP($A85,TOCA_current!$A$2:$AI$137,MATCH(BS$4,TOCA_current!$A$2:$AI$2,0),FALSE)</f>
        <v>1.2726E-3</v>
      </c>
      <c r="BT85" s="201">
        <f t="shared" si="31"/>
        <v>0</v>
      </c>
      <c r="BU85" s="120">
        <f>VLOOKUP($A85,TOCA_current!A81:BG216,MATCH(BU$4,TOCA_current!$A$2:$BG$2,0),FALSE)</f>
        <v>6.1947976204362536E-2</v>
      </c>
      <c r="BV85" s="120">
        <f t="shared" si="22"/>
        <v>0</v>
      </c>
      <c r="BW85" s="120">
        <f t="shared" si="23"/>
        <v>0</v>
      </c>
      <c r="BX85" s="191">
        <f>VLOOKUP($A85,IRD!$A$4:$G$139, 7, FALSE)</f>
        <v>0</v>
      </c>
      <c r="BY85" s="192">
        <f t="array" ref="BY85">IF($BT85=0, INDEX(LS_current!$D$4:$AY$138, MATCH('Staging Table'!$A85, LS_current!$B$4:$B$138, 0), MATCH(BY$4&amp;BY$5, LS_current!$D$2:$AY$2&amp;LS_current!$D$3:$AY$3, 0)),SUM(VLOOKUP($A85, LS_current!$B$4:$AY$138, LS_current!D$148, FALSE), VLOOKUP($A85, LS_current!$B$4:$AY$138,LS_current!AB$148, FALSE))/2)</f>
        <v>-436.83769064787657</v>
      </c>
      <c r="BZ85" s="192">
        <f t="array" ref="BZ85">IF($BT85=0, INDEX(LS_current!$D$4:$AY$138, MATCH('Staging Table'!$A85, LS_current!$B$4:$B$138, 0), MATCH(BZ$4&amp;BZ$5, LS_current!$D$2:$AY$2&amp;LS_current!$D$3:$AY$3, 0)),SUM(VLOOKUP($A85, LS_current!$B$4:$AY$138, LS_current!E$148, FALSE), VLOOKUP($A85, LS_current!$B$4:$AY$138,LS_current!AC$148, FALSE))/2)</f>
        <v>75.627472784883139</v>
      </c>
      <c r="CA85" s="192">
        <f t="array" ref="CA85">IF($BT85=0, INDEX(LS_current!$D$4:$AY$138, MATCH('Staging Table'!$A85, LS_current!$B$4:$B$138, 0), MATCH(CA$4&amp;CA$5, LS_current!$D$2:$AY$2&amp;LS_current!$D$3:$AY$3, 0)),SUM(VLOOKUP($A85, LS_current!$B$4:$AY$138, LS_current!F$148, FALSE), VLOOKUP($A85, LS_current!$B$4:$AY$138,LS_current!AD$148, FALSE))/2)</f>
        <v>-429.36602404892983</v>
      </c>
      <c r="CB85" s="192">
        <f t="array" ref="CB85">IF($BT85=0, INDEX(LS_current!$D$4:$AY$138, MATCH('Staging Table'!$A85, LS_current!$B$4:$B$138, 0), MATCH(CB$4&amp;CB$5, LS_current!$D$2:$AY$2&amp;LS_current!$D$3:$AY$3, 0)),SUM(VLOOKUP($A85, LS_current!$B$4:$AY$138, LS_current!G$148, FALSE), VLOOKUP($A85, LS_current!$B$4:$AY$138,LS_current!AE$148, FALSE))/2)</f>
        <v>-45.945762555164947</v>
      </c>
      <c r="CC85" s="192">
        <f t="array" ref="CC85">IF($BT85=0, INDEX(LS_current!$D$4:$AY$138, MATCH('Staging Table'!$A85, LS_current!$B$4:$B$138, 0), MATCH(CC$4&amp;CC$5, LS_current!$D$2:$AY$2&amp;LS_current!$D$3:$AY$3, 0)),SUM(VLOOKUP($A85, LS_current!$B$4:$AY$138, LS_current!H$148, FALSE), VLOOKUP($A85, LS_current!$B$4:$AY$138,LS_current!AF$148, FALSE))/2)</f>
        <v>1037.7645565755411</v>
      </c>
      <c r="CD85" s="192">
        <f t="array" ref="CD85">IF($BT85=0, INDEX(LS_current!$D$4:$AY$138, MATCH('Staging Table'!$A85, LS_current!$B$4:$B$138, 0), MATCH(CD$4&amp;CD$5, LS_current!$D$2:$AY$2&amp;LS_current!$D$3:$AY$3, 0)),SUM(VLOOKUP($A85, LS_current!$B$4:$AY$138, LS_current!I$148, FALSE), VLOOKUP($A85, LS_current!$B$4:$AY$138,LS_current!AG$148, FALSE))/2)</f>
        <v>337.91339093089618</v>
      </c>
      <c r="CE85" s="192">
        <f t="array" ref="CE85">IF($BT85=0, INDEX(LS_current!$D$4:$AY$138, MATCH('Staging Table'!$A85, LS_current!$B$4:$B$138, 0), MATCH(CE$4&amp;CE$5, LS_current!$D$2:$AY$2&amp;LS_current!$D$3:$AY$3, 0)),SUM(VLOOKUP($A85, LS_current!$B$4:$AY$138, LS_current!J$148, FALSE), VLOOKUP($A85, LS_current!$B$4:$AY$138,LS_current!AH$148, FALSE))/2)</f>
        <v>1408.035641707299</v>
      </c>
      <c r="CF85" s="192">
        <f t="array" ref="CF85">IF($BT85=0, INDEX(LS_current!$D$4:$AY$138, MATCH('Staging Table'!$A85, LS_current!$B$4:$B$138, 0), MATCH(CF$4&amp;CF$5, LS_current!$D$2:$AY$2&amp;LS_current!$D$3:$AY$3, 0)),SUM(VLOOKUP($A85, LS_current!$B$4:$AY$138, LS_current!K$148, FALSE), VLOOKUP($A85, LS_current!$B$4:$AY$138,LS_current!AI$148, FALSE))/2)</f>
        <v>1113.0357130434932</v>
      </c>
      <c r="CG85" s="192">
        <f t="array" ref="CG85">IF($BT85=0, INDEX(LS_current!$D$4:$AY$138, MATCH('Staging Table'!$A85, LS_current!$B$4:$B$138, 0), MATCH(CG$4&amp;CG$5, LS_current!$D$2:$AY$2&amp;LS_current!$D$3:$AY$3, 0)),SUM(VLOOKUP($A85, LS_current!$B$4:$AY$138, LS_current!L$148, FALSE), VLOOKUP($A85, LS_current!$B$4:$AY$138,LS_current!AJ$148, FALSE))/2)</f>
        <v>1120.8661511716668</v>
      </c>
      <c r="CH85" s="192">
        <f t="array" ref="CH85">IF($BT85=0, INDEX(LS_current!$D$4:$AY$138, MATCH('Staging Table'!$A85, LS_current!$B$4:$B$138, 0), MATCH(CH$4&amp;CH$5, LS_current!$D$2:$AY$2&amp;LS_current!$D$3:$AY$3, 0)),SUM(VLOOKUP($A85, LS_current!$B$4:$AY$138, LS_current!M$148, FALSE), VLOOKUP($A85, LS_current!$B$4:$AY$138,LS_current!AK$148, FALSE))/2)</f>
        <v>535.37536335831101</v>
      </c>
      <c r="CI85" s="192">
        <f t="array" ref="CI85">IF($BT85=0, INDEX(LS_current!$D$4:$AY$138, MATCH('Staging Table'!$A85, LS_current!$B$4:$B$138, 0), MATCH(CI$4&amp;CI$5, LS_current!$D$2:$AY$2&amp;LS_current!$D$3:$AY$3, 0)),SUM(VLOOKUP($A85, LS_current!$B$4:$AY$138, LS_current!N$148, FALSE), VLOOKUP($A85, LS_current!$B$4:$AY$138,LS_current!AL$148, FALSE))/2)</f>
        <v>48.230368780985827</v>
      </c>
      <c r="CJ85" s="192">
        <f t="array" ref="CJ85">IF($BT85=0, INDEX(LS_current!$D$4:$AY$138, MATCH('Staging Table'!$A85, LS_current!$B$4:$B$138, 0), MATCH(CJ$4&amp;CJ$5, LS_current!$D$2:$AY$2&amp;LS_current!$D$3:$AY$3, 0)),SUM(VLOOKUP($A85, LS_current!$B$4:$AY$138, LS_current!O$148, FALSE), VLOOKUP($A85, LS_current!$B$4:$AY$138,LS_current!AM$148, FALSE))/2)</f>
        <v>34.709391912709634</v>
      </c>
      <c r="CK85" s="192">
        <f t="array" ref="CK85">IF($BT85=0, INDEX(LS_current!$D$4:$AY$138, MATCH('Staging Table'!$A85, LS_current!$B$4:$B$138, 0), MATCH(CK$4&amp;CK$5, LS_current!$D$2:$AY$2&amp;LS_current!$D$3:$AY$3, 0)),SUM(VLOOKUP($A85, LS_current!$B$4:$AY$138, LS_current!P$148, FALSE), VLOOKUP($A85, LS_current!$B$4:$AY$138,LS_current!AN$148, FALSE))/2)</f>
        <v>383.02967126586509</v>
      </c>
      <c r="CL85" s="192">
        <f t="array" ref="CL85">IF($BT85=0, INDEX(LS_current!$D$4:$AY$138, MATCH('Staging Table'!$A85, LS_current!$B$4:$B$138, 0), MATCH(CL$4&amp;CL$5, LS_current!$D$2:$AY$2&amp;LS_current!$D$3:$AY$3, 0)),SUM(VLOOKUP($A85, LS_current!$B$4:$AY$138, LS_current!Q$148, FALSE), VLOOKUP($A85, LS_current!$B$4:$AY$138,LS_current!AO$148, FALSE))/2)</f>
        <v>267.83192271308235</v>
      </c>
      <c r="CM85" s="192">
        <f t="array" ref="CM85">IF($BT85=0, INDEX(LS_current!$D$4:$AY$138, MATCH('Staging Table'!$A85, LS_current!$B$4:$B$138, 0), MATCH(CM$4&amp;CM$5, LS_current!$D$2:$AY$2&amp;LS_current!$D$3:$AY$3, 0)),SUM(VLOOKUP($A85, LS_current!$B$4:$AY$138, LS_current!R$148, FALSE), VLOOKUP($A85, LS_current!$B$4:$AY$138,LS_current!AP$148, FALSE))/2)</f>
        <v>-2238.852131297202</v>
      </c>
      <c r="CN85" s="192">
        <f t="array" ref="CN85">IF($BT85=0, INDEX(LS_current!$D$4:$AY$138, MATCH('Staging Table'!$A85, LS_current!$B$4:$B$138, 0), MATCH(CN$4&amp;CN$5, LS_current!$D$2:$AY$2&amp;LS_current!$D$3:$AY$3, 0)),SUM(VLOOKUP($A85, LS_current!$B$4:$AY$138, LS_current!S$148, FALSE), VLOOKUP($A85, LS_current!$B$4:$AY$138,LS_current!AQ$148, FALSE))/2)</f>
        <v>-511.15413302725506</v>
      </c>
      <c r="CO85" s="192">
        <f t="array" ref="CO85">IF($BT85=0, INDEX(LS_current!$D$4:$AY$138, MATCH('Staging Table'!$A85, LS_current!$B$4:$B$138, 0), MATCH(CO$4&amp;CO$5, LS_current!$D$2:$AY$2&amp;LS_current!$D$3:$AY$3, 0)),SUM(VLOOKUP($A85, LS_current!$B$4:$AY$138, LS_current!T$148, FALSE), VLOOKUP($A85, LS_current!$B$4:$AY$138,LS_current!AR$148, FALSE))/2)</f>
        <v>-2616.0614249832647</v>
      </c>
      <c r="CP85" s="192">
        <f t="array" ref="CP85">IF($BT85=0, INDEX(LS_current!$D$4:$AY$138, MATCH('Staging Table'!$A85, LS_current!$B$4:$B$138, 0), MATCH(CP$4&amp;CP$5, LS_current!$D$2:$AY$2&amp;LS_current!$D$3:$AY$3, 0)),SUM(VLOOKUP($A85, LS_current!$B$4:$AY$138, LS_current!U$148, FALSE), VLOOKUP($A85, LS_current!$B$4:$AY$138,LS_current!AS$148, FALSE))/2)</f>
        <v>-583.26311945811563</v>
      </c>
      <c r="CQ85" s="192">
        <f t="array" ref="CQ85">IF($BT85=0, INDEX(LS_current!$D$4:$AY$138, MATCH('Staging Table'!$A85, LS_current!$B$4:$B$138, 0), MATCH(CQ$4&amp;CQ$5, LS_current!$D$2:$AY$2&amp;LS_current!$D$3:$AY$3, 0)),SUM(VLOOKUP($A85, LS_current!$B$4:$AY$138, LS_current!V$148, FALSE), VLOOKUP($A85, LS_current!$B$4:$AY$138,LS_current!AT$148, FALSE))/2)</f>
        <v>-2051.0428060109894</v>
      </c>
      <c r="CR85" s="192">
        <f t="array" ref="CR85">IF($BT85=0, INDEX(LS_current!$D$4:$AY$138, MATCH('Staging Table'!$A85, LS_current!$B$4:$B$138, 0), MATCH(CR$4&amp;CR$5, LS_current!$D$2:$AY$2&amp;LS_current!$D$3:$AY$3, 0)),SUM(VLOOKUP($A85, LS_current!$B$4:$AY$138, LS_current!W$148, FALSE), VLOOKUP($A85, LS_current!$B$4:$AY$138,LS_current!AU$148, FALSE))/2)</f>
        <v>-535.51535890478885</v>
      </c>
      <c r="CS85" s="192">
        <f t="array" ref="CS85">IF($BT85=0, INDEX(LS_current!$D$4:$AY$138, MATCH('Staging Table'!$A85, LS_current!$B$4:$B$138, 0), MATCH(CS$4&amp;CS$5, LS_current!$D$2:$AY$2&amp;LS_current!$D$3:$AY$3, 0)),SUM(VLOOKUP($A85, LS_current!$B$4:$AY$138, LS_current!X$148, FALSE), VLOOKUP($A85, LS_current!$B$4:$AY$138,LS_current!AV$148, FALSE))/2)</f>
        <v>-1717.1497989916206</v>
      </c>
      <c r="CT85" s="192">
        <f t="array" ref="CT85">IF($BT85=0, INDEX(LS_current!$D$4:$AY$138, MATCH('Staging Table'!$A85, LS_current!$B$4:$B$138, 0), MATCH(CT$4&amp;CT$5, LS_current!$D$2:$AY$2&amp;LS_current!$D$3:$AY$3, 0)),SUM(VLOOKUP($A85, LS_current!$B$4:$AY$138, LS_current!Y$148, FALSE), VLOOKUP($A85, LS_current!$B$4:$AY$138,LS_current!AW$148, FALSE))/2)</f>
        <v>-634.99496669880546</v>
      </c>
      <c r="CU85" s="192">
        <f t="array" ref="CU85">IF($BT85=0, INDEX(LS_current!$D$4:$AY$138, MATCH('Staging Table'!$A85, LS_current!$B$4:$B$138, 0), MATCH(CU$4&amp;CU$5, LS_current!$D$2:$AY$2&amp;LS_current!$D$3:$AY$3, 0)),SUM(VLOOKUP($A85, LS_current!$B$4:$AY$138, LS_current!Z$148, FALSE), VLOOKUP($A85, LS_current!$B$4:$AY$138,LS_current!AX$148, FALSE))/2)</f>
        <v>-1416.4481230850647</v>
      </c>
      <c r="CV85" s="192">
        <f t="array" ref="CV85">IF($BT85=0, INDEX(LS_current!$D$4:$AY$138, MATCH('Staging Table'!$A85, LS_current!$B$4:$B$138, 0), MATCH(CV$4&amp;CV$5, LS_current!$D$2:$AY$2&amp;LS_current!$D$3:$AY$3, 0)),SUM(VLOOKUP($A85, LS_current!$B$4:$AY$138, LS_current!AA$148, FALSE), VLOOKUP($A85, LS_current!$B$4:$AY$138,LS_current!AY$148, FALSE))/2)</f>
        <v>-584.22792239520936</v>
      </c>
      <c r="CW85" s="194">
        <f t="array" ref="CW85">INDEX(Demand_current!$D$4:$AY$138, MATCH($A85, Demand_current!$B$4:$B$138, 0), MATCH(CW$4&amp;CW$5,Demand_current!$D$2:$AY$2&amp;Demand_current!$D$3:$AY$3, 0))/1000</f>
        <v>0.40871153846153874</v>
      </c>
      <c r="CX85" s="194">
        <f t="array" ref="CX85">INDEX(Demand_current!$D$4:$AY$138, MATCH($A85, Demand_current!$B$4:$B$138, 0), MATCH(CX$4&amp;CX$5,Demand_current!$D$2:$AY$2&amp;Demand_current!$D$3:$AY$3, 0))/1000</f>
        <v>0.83844250000000198</v>
      </c>
      <c r="CY85" s="194">
        <f t="array" ref="CY85">INDEX(Demand_current!$D$4:$AY$138, MATCH($A85, Demand_current!$B$4:$B$138, 0), MATCH(CY$4&amp;CY$5,Demand_current!$D$2:$AY$2&amp;Demand_current!$D$3:$AY$3, 0))/1000</f>
        <v>3.0365937499999984</v>
      </c>
      <c r="CZ85" s="194">
        <f t="array" ref="CZ85">INDEX(Demand_current!$D$4:$AY$138, MATCH($A85, Demand_current!$B$4:$B$138, 0), MATCH(CZ$4&amp;CZ$5,Demand_current!$D$2:$AY$2&amp;Demand_current!$D$3:$AY$3, 0))/1000</f>
        <v>2.7339099999999994</v>
      </c>
      <c r="DA85" s="194">
        <f t="array" ref="DA85">INDEX(Demand_current!$D$4:$AY$138, MATCH($A85, Demand_current!$B$4:$B$138, 0), MATCH(DA$4&amp;DA$5,Demand_current!$D$2:$AY$2&amp;Demand_current!$D$3:$AY$3, 0))/1000</f>
        <v>1.9489999999999998</v>
      </c>
      <c r="DB85" s="194">
        <f t="array" ref="DB85">INDEX(Demand_current!$D$4:$AY$138, MATCH($A85, Demand_current!$B$4:$B$138, 0), MATCH(DB$4&amp;DB$5,Demand_current!$D$2:$AY$2&amp;Demand_current!$D$3:$AY$3, 0))/1000</f>
        <v>3.0190486111111108</v>
      </c>
      <c r="DC85" s="194">
        <f t="array" ref="DC85">INDEX(Demand_current!$D$4:$AY$138, MATCH($A85, Demand_current!$B$4:$B$138, 0), MATCH(DC$4&amp;DC$5,Demand_current!$D$2:$AY$2&amp;Demand_current!$D$3:$AY$3, 0))/1000</f>
        <v>2.1411033653846157</v>
      </c>
      <c r="DD85" s="194">
        <f t="array" ref="DD85">INDEX(Demand_current!$D$4:$AY$138, MATCH($A85, Demand_current!$B$4:$B$138, 0), MATCH(DD$4&amp;DD$5,Demand_current!$D$2:$AY$2&amp;Demand_current!$D$3:$AY$3, 0))/1000</f>
        <v>1.3725300000000011</v>
      </c>
      <c r="DE85" s="194">
        <f t="array" ref="DE85">INDEX(Demand_current!$D$4:$AY$138, MATCH($A85, Demand_current!$B$4:$B$138, 0), MATCH(DE$4&amp;DE$5,Demand_current!$D$2:$AY$2&amp;Demand_current!$D$3:$AY$3, 0))/1000</f>
        <v>2.0673245192307697</v>
      </c>
      <c r="DF85" s="194">
        <f t="array" ref="DF85">INDEX(Demand_current!$D$4:$AY$138, MATCH($A85, Demand_current!$B$4:$B$138, 0), MATCH(DF$4&amp;DF$5,Demand_current!$D$2:$AY$2&amp;Demand_current!$D$3:$AY$3, 0))/1000</f>
        <v>1.4093699999999998</v>
      </c>
      <c r="DG85" s="194">
        <f t="array" ref="DG85">INDEX(Demand_current!$D$4:$AY$138, MATCH($A85, Demand_current!$B$4:$B$138, 0), MATCH(DG$4&amp;DG$5,Demand_current!$D$2:$AY$2&amp;Demand_current!$D$3:$AY$3, 0))/1000</f>
        <v>1.9776226851851859</v>
      </c>
      <c r="DH85" s="194">
        <f t="array" ref="DH85">INDEX(Demand_current!$D$4:$AY$138, MATCH($A85, Demand_current!$B$4:$B$138, 0), MATCH(DH$4&amp;DH$5,Demand_current!$D$2:$AY$2&amp;Demand_current!$D$3:$AY$3, 0))/1000</f>
        <v>1.1746225000000003</v>
      </c>
      <c r="DI85" s="192">
        <f>$BS85*(VLOOKUP(DI$4, Rates_current!$G$6:$Q$29, 10, FALSE)+VLOOKUP(DI$4, Rates_current!$G$6:$Q$29, 11, FALSE))</f>
        <v>5795.3242178629935</v>
      </c>
      <c r="DJ85" s="192">
        <f>$BS85*(VLOOKUP(DJ$4, Rates_current!$G$6:$Q$29, 10, FALSE)+VLOOKUP(DJ$4, Rates_current!$G$6:$Q$29, 11, FALSE))</f>
        <v>7337.0907866040952</v>
      </c>
      <c r="DK85" s="192">
        <f>$BS85*(VLOOKUP(DK$4, Rates_current!$G$6:$Q$29, 10, FALSE)+VLOOKUP(DK$4, Rates_current!$G$6:$Q$29, 11, FALSE))</f>
        <v>7181.5460524935634</v>
      </c>
      <c r="DL85" s="192">
        <f>$BS85*(VLOOKUP(DL$4, Rates_current!$G$6:$Q$29, 10, FALSE)+VLOOKUP(DL$4, Rates_current!$G$6:$Q$29, 11, FALSE))</f>
        <v>5931.6516452492078</v>
      </c>
      <c r="DM85" s="192">
        <f>$BS85*(VLOOKUP(DM$4, Rates_current!$G$6:$Q$29, 10, FALSE)+VLOOKUP(DM$4, Rates_current!$G$6:$Q$29, 11, FALSE))</f>
        <v>5141.0924854700224</v>
      </c>
      <c r="DN85" s="192">
        <f>$BS85*(VLOOKUP(DN$4, Rates_current!$G$6:$Q$29, 10, FALSE)+VLOOKUP(DN$4, Rates_current!$G$6:$Q$29, 11, FALSE))</f>
        <v>6137.4262393063054</v>
      </c>
      <c r="DO85" s="192">
        <f>$BS85*(VLOOKUP(DO$4, Rates_current!$G$6:$Q$29, 10, FALSE)+VLOOKUP(DO$4, Rates_current!$G$6:$Q$29, 11, FALSE))</f>
        <v>4764.8944060210524</v>
      </c>
      <c r="DP85" s="192">
        <f>$BS85*(VLOOKUP(DP$4, Rates_current!$G$6:$Q$29, 10, FALSE)+VLOOKUP(DP$4, Rates_current!$G$6:$Q$29, 11, FALSE))</f>
        <v>6601.7962643244573</v>
      </c>
      <c r="DQ85" s="192">
        <f>$BS85*(VLOOKUP(DQ$4, Rates_current!$G$6:$Q$29, 10, FALSE)+VLOOKUP(DQ$4, Rates_current!$G$6:$Q$29, 11, FALSE))</f>
        <v>7054.1575444413802</v>
      </c>
      <c r="DR85" s="192">
        <f>$BS85*(VLOOKUP(DR$4, Rates_current!$G$6:$Q$29, 10, FALSE)+VLOOKUP(DR$4, Rates_current!$G$6:$Q$29, 11, FALSE))</f>
        <v>6697.6031649157794</v>
      </c>
      <c r="DS85" s="192">
        <f>$BS85*(VLOOKUP(DS$4, Rates_current!$G$6:$Q$29, 10, FALSE)+VLOOKUP(DS$4, Rates_current!$G$6:$Q$29, 11, FALSE))</f>
        <v>6472.7167656904257</v>
      </c>
      <c r="DT85" s="192">
        <f>$BS85*(VLOOKUP(DT$4, Rates_current!$G$6:$Q$29, 10, FALSE)+VLOOKUP(DT$4, Rates_current!$G$6:$Q$29, 11, FALSE))</f>
        <v>5981.4650454802741</v>
      </c>
      <c r="DU85" s="418">
        <f>IF(D85=0,IF(C85=0,MAX(0,DW85 - (VLOOKUP($A85,TOCA_current!$A$2:$AI$137,MATCH("RHWM 2022",TOCA_current!$A$2:$AI$2,0),FALSE)*$BS$2)), 0),0)</f>
        <v>0</v>
      </c>
      <c r="DV85" s="419">
        <f>MIN(VLOOKUP($A85,TOCA_current!$A$2:$AI$137,MATCH("TRL - NLSL - Existing Resource "&amp;$BS$1,TOCA_current!$A$2:$AI$2,0),FALSE)*$BS$2, VLOOKUP($A85,TOCA_current!$A$2:$AI$137,MATCH("RHWM 2022",TOCA_current!$A$2:$AI$2,0),FALSE)*$BS$2)</f>
        <v>75099.48000000001</v>
      </c>
      <c r="DW85" s="419">
        <f>SUM(BY85:CV85)+(BS85*RT1SC!$C$4*$BS$2)</f>
        <v>67658.328841524461</v>
      </c>
      <c r="DX85" s="419">
        <f>VLOOKUP($A85,TOCA_current!$A$2:$AI$137,MATCH("Above RHWM Not Served with LS "&amp;$BS$1,TOCA_current!$A$2:$AI$2,0),FALSE)*$BS$2</f>
        <v>9487.08</v>
      </c>
      <c r="DY85" s="419">
        <f t="shared" si="32"/>
        <v>-7441.1511584755499</v>
      </c>
      <c r="DZ85" s="419">
        <f>(VLOOKUP($A85,TOCA_current!$A$2:$AI$137,MATCH("RHWM 2022",TOCA_current!$A$2:$AI$2,0),FALSE)*$BS$2) - $DV85</f>
        <v>0</v>
      </c>
      <c r="EA85" s="419">
        <f t="shared" si="33"/>
        <v>0</v>
      </c>
      <c r="EB85" s="419">
        <f t="shared" si="34"/>
        <v>0</v>
      </c>
      <c r="EC85" s="419">
        <f t="shared" si="35"/>
        <v>0</v>
      </c>
      <c r="ED85" s="419">
        <f t="shared" si="36"/>
        <v>0</v>
      </c>
    </row>
    <row r="86" spans="1:134">
      <c r="A86" s="135">
        <v>10247</v>
      </c>
      <c r="B86" s="136" t="s">
        <v>87</v>
      </c>
      <c r="C86" s="244">
        <f>VLOOKUP(A86, TOCA_current!$A$3:$D$137, 4, FALSE)</f>
        <v>0</v>
      </c>
      <c r="D86" s="203">
        <v>0</v>
      </c>
      <c r="E86" s="119">
        <f>VLOOKUP($A86,TOCA_previous!$A$2:$AI$137,MATCH(E$4,TOCA_previous!$A$2:$AI$2,0),FALSE)</f>
        <v>1.1278099999999999E-2</v>
      </c>
      <c r="F86" s="120">
        <f>VLOOKUP($A86,TOCA_previous!$A$2:$AI$137,MATCH(F$4,TOCA_previous!$A$2:$AI$2,0),FALSE)</f>
        <v>1.1278099999999999E-2</v>
      </c>
      <c r="G86" s="120">
        <f t="shared" si="24"/>
        <v>0</v>
      </c>
      <c r="H86" s="120">
        <f>VLOOKUP($A86,TOCA_previous!$A$2:$AI$137,MATCH(H$4,TOCA_previous!$A$2:$AI$2,0),FALSE)</f>
        <v>0.05</v>
      </c>
      <c r="I86" s="120">
        <f t="shared" si="25"/>
        <v>0</v>
      </c>
      <c r="J86" s="120">
        <f t="shared" si="26"/>
        <v>0</v>
      </c>
      <c r="K86" s="191">
        <f>VLOOKUP(A86, IRD!$A$5:$C$139, 3, FALSE)</f>
        <v>0</v>
      </c>
      <c r="L86" s="192">
        <f t="array" ref="L86">IF($G86=0, INDEX(LS_previous!$D$4:$AY$138, MATCH('Staging Table'!$A86, LS_previous!$B$4:$B$138, 0), MATCH(L$4&amp;L$5, LS_previous!$D$2:$AY$2&amp;LS_previous!$D$3:$AY$3, 0)),SUM(VLOOKUP($A86, LS_previous!$B$4:$AY$138, LS_previous!D$149, FALSE), VLOOKUP('Staging Table'!$A86, LS_previous!$B$4:$AY$138,LS_previous!AB$149, FALSE))/2)</f>
        <v>-435.22035240279365</v>
      </c>
      <c r="M86" s="192">
        <f t="array" ref="M86">IF($G86=0, INDEX(LS_previous!$D$4:$AY$138, MATCH('Staging Table'!$A86, LS_previous!$B$4:$B$138, 0), MATCH(M$4&amp;M$5, LS_previous!$D$2:$AY$2&amp;LS_previous!$D$3:$AY$3, 0)),SUM(VLOOKUP($A86, LS_previous!$B$4:$AY$138, LS_previous!E$149, FALSE), VLOOKUP('Staging Table'!$A86, LS_previous!$B$4:$AY$138,LS_previous!AC$149, FALSE))/2)</f>
        <v>3714.0532841952045</v>
      </c>
      <c r="N86" s="192">
        <f t="array" ref="N86">IF($G86=0, INDEX(LS_previous!$D$4:$AY$138, MATCH('Staging Table'!$A86, LS_previous!$B$4:$B$138, 0), MATCH(N$4&amp;N$5, LS_previous!$D$2:$AY$2&amp;LS_previous!$D$3:$AY$3, 0)),SUM(VLOOKUP($A86, LS_previous!$B$4:$AY$138, LS_previous!F$149, FALSE), VLOOKUP('Staging Table'!$A86, LS_previous!$B$4:$AY$138,LS_previous!AD$149, FALSE))/2)</f>
        <v>-683.73471753679769</v>
      </c>
      <c r="O86" s="192">
        <f t="array" ref="O86">IF($G86=0, INDEX(LS_previous!$D$4:$AY$138, MATCH('Staging Table'!$A86, LS_previous!$B$4:$B$138, 0), MATCH(O$4&amp;O$5, LS_previous!$D$2:$AY$2&amp;LS_previous!$D$3:$AY$3, 0)),SUM(VLOOKUP($A86, LS_previous!$B$4:$AY$138, LS_previous!G$149, FALSE), VLOOKUP('Staging Table'!$A86, LS_previous!$B$4:$AY$138,LS_previous!AE$149, FALSE))/2)</f>
        <v>1928.5031047708981</v>
      </c>
      <c r="P86" s="192">
        <f t="array" ref="P86">IF($G86=0, INDEX(LS_previous!$D$4:$AY$138, MATCH('Staging Table'!$A86, LS_previous!$B$4:$B$138, 0), MATCH(P$4&amp;P$5, LS_previous!$D$2:$AY$2&amp;LS_previous!$D$3:$AY$3, 0)),SUM(VLOOKUP($A86, LS_previous!$B$4:$AY$138, LS_previous!H$149, FALSE), VLOOKUP('Staging Table'!$A86, LS_previous!$B$4:$AY$138,LS_previous!AF$149, FALSE))/2)</f>
        <v>6738.3048075168044</v>
      </c>
      <c r="Q86" s="192">
        <f t="array" ref="Q86">IF($G86=0, INDEX(LS_previous!$D$4:$AY$138, MATCH('Staging Table'!$A86, LS_previous!$B$4:$B$138, 0), MATCH(Q$4&amp;Q$5, LS_previous!$D$2:$AY$2&amp;LS_previous!$D$3:$AY$3, 0)),SUM(VLOOKUP($A86, LS_previous!$B$4:$AY$138, LS_previous!I$149, FALSE), VLOOKUP('Staging Table'!$A86, LS_previous!$B$4:$AY$138,LS_previous!AG$149, FALSE))/2)</f>
        <v>6083.9297219756008</v>
      </c>
      <c r="R86" s="192">
        <f t="array" ref="R86">IF($G86=0, INDEX(LS_previous!$D$4:$AY$138, MATCH('Staging Table'!$A86, LS_previous!$B$4:$B$138, 0), MATCH(R$4&amp;R$5, LS_previous!$D$2:$AY$2&amp;LS_previous!$D$3:$AY$3, 0)),SUM(VLOOKUP($A86, LS_previous!$B$4:$AY$138, LS_previous!J$149, FALSE), VLOOKUP('Staging Table'!$A86, LS_previous!$B$4:$AY$138,LS_previous!AH$149, FALSE))/2)</f>
        <v>14732.608623116801</v>
      </c>
      <c r="S86" s="192">
        <f t="array" ref="S86">IF($G86=0, INDEX(LS_previous!$D$4:$AY$138, MATCH('Staging Table'!$A86, LS_previous!$B$4:$B$138, 0), MATCH(S$4&amp;S$5, LS_previous!$D$2:$AY$2&amp;LS_previous!$D$3:$AY$3, 0)),SUM(VLOOKUP($A86, LS_previous!$B$4:$AY$138, LS_previous!K$149, FALSE), VLOOKUP('Staging Table'!$A86, LS_previous!$B$4:$AY$138,LS_previous!AI$149, FALSE))/2)</f>
        <v>11683.542895175604</v>
      </c>
      <c r="T86" s="192">
        <f t="array" ref="T86">IF($G86=0, INDEX(LS_previous!$D$4:$AY$138, MATCH('Staging Table'!$A86, LS_previous!$B$4:$B$138, 0), MATCH(T$4&amp;T$5, LS_previous!$D$2:$AY$2&amp;LS_previous!$D$3:$AY$3, 0)),SUM(VLOOKUP($A86, LS_previous!$B$4:$AY$138, LS_previous!L$149, FALSE), VLOOKUP('Staging Table'!$A86, LS_previous!$B$4:$AY$138,LS_previous!AJ$149, FALSE))/2)</f>
        <v>10829.041575815605</v>
      </c>
      <c r="U86" s="192">
        <f t="array" ref="U86">IF($G86=0, INDEX(LS_previous!$D$4:$AY$138, MATCH('Staging Table'!$A86, LS_previous!$B$4:$B$138, 0), MATCH(U$4&amp;U$5, LS_previous!$D$2:$AY$2&amp;LS_previous!$D$3:$AY$3, 0)),SUM(VLOOKUP($A86, LS_previous!$B$4:$AY$138, LS_previous!M$149, FALSE), VLOOKUP('Staging Table'!$A86, LS_previous!$B$4:$AY$138,LS_previous!AK$149, FALSE))/2)</f>
        <v>9167.5235921044004</v>
      </c>
      <c r="V86" s="192">
        <f t="array" ref="V86">IF($G86=0, INDEX(LS_previous!$D$4:$AY$138, MATCH('Staging Table'!$A86, LS_previous!$B$4:$B$138, 0), MATCH(V$4&amp;V$5, LS_previous!$D$2:$AY$2&amp;LS_previous!$D$3:$AY$3, 0)),SUM(VLOOKUP($A86, LS_previous!$B$4:$AY$138, LS_previous!N$149, FALSE), VLOOKUP('Staging Table'!$A86, LS_previous!$B$4:$AY$138,LS_previous!AL$149, FALSE))/2)</f>
        <v>4215.0954837704048</v>
      </c>
      <c r="W86" s="192">
        <f t="array" ref="W86">IF($G86=0, INDEX(LS_previous!$D$4:$AY$138, MATCH('Staging Table'!$A86, LS_previous!$B$4:$B$138, 0), MATCH(W$4&amp;W$5, LS_previous!$D$2:$AY$2&amp;LS_previous!$D$3:$AY$3, 0)),SUM(VLOOKUP($A86, LS_previous!$B$4:$AY$138, LS_previous!O$149, FALSE), VLOOKUP('Staging Table'!$A86, LS_previous!$B$4:$AY$138,LS_previous!AM$149, FALSE))/2)</f>
        <v>5539.3083911499016</v>
      </c>
      <c r="X86" s="192">
        <f t="array" ref="X86">IF($G86=0, INDEX(LS_previous!$D$4:$AY$138, MATCH('Staging Table'!$A86, LS_previous!$B$4:$B$138, 0), MATCH(X$4&amp;X$5, LS_previous!$D$2:$AY$2&amp;LS_previous!$D$3:$AY$3, 0)),SUM(VLOOKUP($A86, LS_previous!$B$4:$AY$138, LS_previous!P$149, FALSE), VLOOKUP('Staging Table'!$A86, LS_previous!$B$4:$AY$138,LS_previous!AN$149, FALSE))/2)</f>
        <v>6385.4688986936017</v>
      </c>
      <c r="Y86" s="192">
        <f t="array" ref="Y86">IF($G86=0, INDEX(LS_previous!$D$4:$AY$138, MATCH('Staging Table'!$A86, LS_previous!$B$4:$B$138, 0), MATCH(Y$4&amp;Y$5, LS_previous!$D$2:$AY$2&amp;LS_previous!$D$3:$AY$3, 0)),SUM(VLOOKUP($A86, LS_previous!$B$4:$AY$138, LS_previous!Q$149, FALSE), VLOOKUP('Staging Table'!$A86, LS_previous!$B$4:$AY$138,LS_previous!AO$149, FALSE))/2)</f>
        <v>5943.0161260183995</v>
      </c>
      <c r="Z86" s="192">
        <f t="array" ref="Z86">IF($G86=0, INDEX(LS_previous!$D$4:$AY$138, MATCH('Staging Table'!$A86, LS_previous!$B$4:$B$138, 0), MATCH(Z$4&amp;Z$5, LS_previous!$D$2:$AY$2&amp;LS_previous!$D$3:$AY$3, 0)),SUM(VLOOKUP($A86, LS_previous!$B$4:$AY$138, LS_previous!R$149, FALSE), VLOOKUP('Staging Table'!$A86, LS_previous!$B$4:$AY$138,LS_previous!AP$149, FALSE))/2)</f>
        <v>-10760.349122509997</v>
      </c>
      <c r="AA86" s="192">
        <f t="array" ref="AA86">IF($G86=0, INDEX(LS_previous!$D$4:$AY$138, MATCH('Staging Table'!$A86, LS_previous!$B$4:$B$138, 0), MATCH(AA$4&amp;AA$5, LS_previous!$D$2:$AY$2&amp;LS_previous!$D$3:$AY$3, 0)),SUM(VLOOKUP($A86, LS_previous!$B$4:$AY$138, LS_previous!S$149, FALSE), VLOOKUP('Staging Table'!$A86, LS_previous!$B$4:$AY$138,LS_previous!AQ$149, FALSE))/2)</f>
        <v>-3687.726532747598</v>
      </c>
      <c r="AB86" s="192">
        <f t="array" ref="AB86">IF($G86=0, INDEX(LS_previous!$D$4:$AY$138, MATCH('Staging Table'!$A86, LS_previous!$B$4:$B$138, 0), MATCH(AB$4&amp;AB$5, LS_previous!$D$2:$AY$2&amp;LS_previous!$D$3:$AY$3, 0)),SUM(VLOOKUP($A86, LS_previous!$B$4:$AY$138, LS_previous!T$149, FALSE), VLOOKUP('Staging Table'!$A86, LS_previous!$B$4:$AY$138,LS_previous!AR$149, FALSE))/2)</f>
        <v>-23714.610336656395</v>
      </c>
      <c r="AC86" s="192">
        <f t="array" ref="AC86">IF($G86=0, INDEX(LS_previous!$D$4:$AY$138, MATCH('Staging Table'!$A86, LS_previous!$B$4:$B$138, 0), MATCH(AC$4&amp;AC$5, LS_previous!$D$2:$AY$2&amp;LS_previous!$D$3:$AY$3, 0)),SUM(VLOOKUP($A86, LS_previous!$B$4:$AY$138, LS_previous!U$149, FALSE), VLOOKUP('Staging Table'!$A86, LS_previous!$B$4:$AY$138,LS_previous!AS$149, FALSE))/2)</f>
        <v>-10797.0128105816</v>
      </c>
      <c r="AD86" s="192">
        <f t="array" ref="AD86">IF($G86=0, INDEX(LS_previous!$D$4:$AY$138, MATCH('Staging Table'!$A86, LS_previous!$B$4:$B$138, 0), MATCH(AD$4&amp;AD$5, LS_previous!$D$2:$AY$2&amp;LS_previous!$D$3:$AY$3, 0)),SUM(VLOOKUP($A86, LS_previous!$B$4:$AY$138, LS_previous!V$149, FALSE), VLOOKUP('Staging Table'!$A86, LS_previous!$B$4:$AY$138,LS_previous!AT$149, FALSE))/2)</f>
        <v>-13748.526797156399</v>
      </c>
      <c r="AE86" s="192">
        <f t="array" ref="AE86">IF($G86=0, INDEX(LS_previous!$D$4:$AY$138, MATCH('Staging Table'!$A86, LS_previous!$B$4:$B$138, 0), MATCH(AE$4&amp;AE$5, LS_previous!$D$2:$AY$2&amp;LS_previous!$D$3:$AY$3, 0)),SUM(VLOOKUP($A86, LS_previous!$B$4:$AY$138, LS_previous!W$149, FALSE), VLOOKUP('Staging Table'!$A86, LS_previous!$B$4:$AY$138,LS_previous!AU$149, FALSE))/2)</f>
        <v>-1643.6179694511993</v>
      </c>
      <c r="AF86" s="192">
        <f t="array" ref="AF86">IF($G86=0, INDEX(LS_previous!$D$4:$AY$138, MATCH('Staging Table'!$A86, LS_previous!$B$4:$B$138, 0), MATCH(AF$4&amp;AF$5, LS_previous!$D$2:$AY$2&amp;LS_previous!$D$3:$AY$3, 0)),SUM(VLOOKUP($A86, LS_previous!$B$4:$AY$138, LS_previous!X$149, FALSE), VLOOKUP('Staging Table'!$A86, LS_previous!$B$4:$AY$138,LS_previous!AV$149, FALSE))/2)</f>
        <v>-12426.384003106396</v>
      </c>
      <c r="AG86" s="192">
        <f t="array" ref="AG86">IF($G86=0, INDEX(LS_previous!$D$4:$AY$138, MATCH('Staging Table'!$A86, LS_previous!$B$4:$B$138, 0), MATCH(AG$4&amp;AG$5, LS_previous!$D$2:$AY$2&amp;LS_previous!$D$3:$AY$3, 0)),SUM(VLOOKUP($A86, LS_previous!$B$4:$AY$138, LS_previous!Y$149, FALSE), VLOOKUP('Staging Table'!$A86, LS_previous!$B$4:$AY$138,LS_previous!AW$149, FALSE))/2)</f>
        <v>-1252.0596574511983</v>
      </c>
      <c r="AH86" s="192">
        <f t="array" ref="AH86">IF($G86=0, INDEX(LS_previous!$D$4:$AY$138, MATCH('Staging Table'!$A86, LS_previous!$B$4:$B$138, 0), MATCH(AH$4&amp;AH$5, LS_previous!$D$2:$AY$2&amp;LS_previous!$D$3:$AY$3, 0)),SUM(VLOOKUP($A86, LS_previous!$B$4:$AY$138, LS_previous!Z$149, FALSE), VLOOKUP('Staging Table'!$A86, LS_previous!$B$4:$AY$138,LS_previous!AX$149, FALSE))/2)</f>
        <v>-7275.5481353600007</v>
      </c>
      <c r="AI86" s="192">
        <f t="array" ref="AI86">IF($G86=0, INDEX(LS_previous!$D$4:$AY$138, MATCH('Staging Table'!$A86, LS_previous!$B$4:$B$138, 0), MATCH(AI$4&amp;AI$5, LS_previous!$D$2:$AY$2&amp;LS_previous!$D$3:$AY$3, 0)),SUM(VLOOKUP($A86, LS_previous!$B$4:$AY$138, LS_previous!AA$149, FALSE), VLOOKUP('Staging Table'!$A86, LS_previous!$B$4:$AY$138,LS_previous!AY$149, FALSE))/2)</f>
        <v>-2557.7388960279968</v>
      </c>
      <c r="AJ86" s="314">
        <f t="array" ref="AJ86">INDEX(Demand_previous!$D$4:$AY$138, MATCH('Staging Table'!$A86, Demand_previous!$B$4:$B$138, 0), MATCH(AJ$4&amp;AJ$5,Demand_previous!$D$2:$AY$2&amp;Demand_previous!$D$3:$AY$3, 0))/1000</f>
        <v>0</v>
      </c>
      <c r="AK86" s="314">
        <f t="array" ref="AK86">INDEX(Demand_previous!$D$4:$AY$138, MATCH('Staging Table'!$A86, Demand_previous!$B$4:$B$138, 0), MATCH(AK$4&amp;AK$5,Demand_previous!$D$2:$AY$2&amp;Demand_previous!$D$3:$AY$3, 0))/1000</f>
        <v>2.1400400000000133</v>
      </c>
      <c r="AL86" s="314">
        <f t="array" ref="AL86">INDEX(Demand_previous!$D$4:$AY$138, MATCH('Staging Table'!$A86, Demand_previous!$B$4:$B$138, 0), MATCH(AL$4&amp;AL$5,Demand_previous!$D$2:$AY$2&amp;Demand_previous!$D$3:$AY$3, 0))/1000</f>
        <v>15.705852499999978</v>
      </c>
      <c r="AM86" s="314">
        <f t="array" ref="AM86">INDEX(Demand_previous!$D$4:$AY$138, MATCH('Staging Table'!$A86, Demand_previous!$B$4:$B$138, 0), MATCH(AM$4&amp;AM$5,Demand_previous!$D$2:$AY$2&amp;Demand_previous!$D$3:$AY$3, 0))/1000</f>
        <v>18.571848557692302</v>
      </c>
      <c r="AN86" s="314">
        <f t="array" ref="AN86">INDEX(Demand_previous!$D$4:$AY$138, MATCH('Staging Table'!$A86, Demand_previous!$B$4:$B$138, 0), MATCH(AN$4&amp;AN$5,Demand_previous!$D$2:$AY$2&amp;Demand_previous!$D$3:$AY$3, 0))/1000</f>
        <v>18.65566999999999</v>
      </c>
      <c r="AO86" s="314">
        <f t="array" ref="AO86">INDEX(Demand_previous!$D$4:$AY$138, MATCH('Staging Table'!$A86, Demand_previous!$B$4:$B$138, 0), MATCH(AO$4&amp;AO$5,Demand_previous!$D$2:$AY$2&amp;Demand_previous!$D$3:$AY$3, 0))/1000</f>
        <v>16.369475961538463</v>
      </c>
      <c r="AP86" s="314">
        <f t="array" ref="AP86">INDEX(Demand_previous!$D$4:$AY$138, MATCH('Staging Table'!$A86, Demand_previous!$B$4:$B$138, 0), MATCH(AP$4&amp;AP$5,Demand_previous!$D$2:$AY$2&amp;Demand_previous!$D$3:$AY$3, 0))/1000</f>
        <v>11.704867788461549</v>
      </c>
      <c r="AQ86" s="314">
        <f t="array" ref="AQ86">INDEX(Demand_previous!$D$4:$AY$138, MATCH('Staging Table'!$A86, Demand_previous!$B$4:$B$138, 0), MATCH(AQ$4&amp;AQ$5,Demand_previous!$D$2:$AY$2&amp;Demand_previous!$D$3:$AY$3, 0))/1000</f>
        <v>0</v>
      </c>
      <c r="AR86" s="314">
        <f t="array" ref="AR86">INDEX(Demand_previous!$D$4:$AY$138, MATCH('Staging Table'!$A86, Demand_previous!$B$4:$B$138, 0), MATCH(AR$4&amp;AR$5,Demand_previous!$D$2:$AY$2&amp;Demand_previous!$D$3:$AY$3, 0))/1000</f>
        <v>6.0799951923076785</v>
      </c>
      <c r="AS86" s="314">
        <f t="array" ref="AS86">INDEX(Demand_previous!$D$4:$AY$138, MATCH('Staging Table'!$A86, Demand_previous!$B$4:$B$138, 0), MATCH(AS$4&amp;AS$5,Demand_previous!$D$2:$AY$2&amp;Demand_previous!$D$3:$AY$3, 0))/1000</f>
        <v>14.353504807692302</v>
      </c>
      <c r="AT86" s="314">
        <f t="array" ref="AT86">INDEX(Demand_previous!$D$4:$AY$138, MATCH('Staging Table'!$A86, Demand_previous!$B$4:$B$138, 0), MATCH(AT$4&amp;AT$5,Demand_previous!$D$2:$AY$2&amp;Demand_previous!$D$3:$AY$3, 0))/1000</f>
        <v>19.218670673076922</v>
      </c>
      <c r="AU86" s="314">
        <f t="array" ref="AU86">INDEX(Demand_previous!$D$4:$AY$138, MATCH('Staging Table'!$A86, Demand_previous!$B$4:$B$138, 0), MATCH(AU$4&amp;AU$5,Demand_previous!$D$2:$AY$2&amp;Demand_previous!$D$3:$AY$3, 0))/1000</f>
        <v>0.21361500000000078</v>
      </c>
      <c r="AV86" s="192">
        <f>$F86*(VLOOKUP(AV$4, Rates_previous!$G$6:$Q$29, 10, FALSE)+VLOOKUP(AV$4, Rates_previous!$G$6:$Q$29, 11, FALSE))</f>
        <v>52074.565068207594</v>
      </c>
      <c r="AW86" s="192">
        <f>$F86*(VLOOKUP(AW$4, Rates_previous!$G$6:$Q$29, 10, FALSE)+VLOOKUP(AW$4, Rates_previous!$G$6:$Q$29, 11, FALSE))</f>
        <v>66150.942612765895</v>
      </c>
      <c r="AX86" s="192">
        <f>$F86*(VLOOKUP(AX$4, Rates_previous!$G$6:$Q$29, 10, FALSE)+VLOOKUP(AX$4, Rates_previous!$G$6:$Q$29, 11, FALSE))</f>
        <v>65352.080470507601</v>
      </c>
      <c r="AY86" s="192">
        <f>$F86*(VLOOKUP(AY$4, Rates_previous!$G$6:$Q$29, 10, FALSE)+VLOOKUP(AY$4, Rates_previous!$G$6:$Q$29, 11, FALSE))</f>
        <v>54474.939481707603</v>
      </c>
      <c r="AZ86" s="192">
        <f>$F86*(VLOOKUP(AZ$4, Rates_previous!$G$6:$Q$29, 10, FALSE)+VLOOKUP(AZ$4, Rates_previous!$G$6:$Q$29, 11, FALSE))</f>
        <v>49348.643832079993</v>
      </c>
      <c r="BA86" s="192">
        <f>$F86*(VLOOKUP(BA$4, Rates_previous!$G$6:$Q$29, 10, FALSE)+VLOOKUP(BA$4, Rates_previous!$G$6:$Q$29, 11, FALSE))</f>
        <v>54891.369125079698</v>
      </c>
      <c r="BB86" s="192">
        <f>$F86*(VLOOKUP(BB$4, Rates_previous!$G$6:$Q$29, 10, FALSE)+VLOOKUP(BB$4, Rates_previous!$G$6:$Q$29, 11, FALSE))</f>
        <v>44692.611975287997</v>
      </c>
      <c r="BC86" s="192">
        <f>$F86*(VLOOKUP(BC$4, Rates_previous!$G$6:$Q$29, 10, FALSE)+VLOOKUP(BC$4, Rates_previous!$G$6:$Q$29, 11, FALSE))</f>
        <v>60274.651655257599</v>
      </c>
      <c r="BD86" s="192">
        <f>$F86*(VLOOKUP(BD$4, Rates_previous!$G$6:$Q$29, 10, FALSE)+VLOOKUP(BD$4, Rates_previous!$G$6:$Q$29, 11, FALSE))</f>
        <v>76906.356147237995</v>
      </c>
      <c r="BE86" s="192">
        <f>$F86*(VLOOKUP(BE$4, Rates_previous!$G$6:$Q$29, 10, FALSE)+VLOOKUP(BE$4, Rates_previous!$G$6:$Q$29, 11, FALSE))</f>
        <v>60297.021766607599</v>
      </c>
      <c r="BF86" s="192">
        <f>$F86*(VLOOKUP(BF$4, Rates_previous!$G$6:$Q$29, 10, FALSE)+VLOOKUP(BF$4, Rates_previous!$G$6:$Q$29, 11, FALSE))</f>
        <v>58717.292660557599</v>
      </c>
      <c r="BG86" s="192">
        <f>$F86*(VLOOKUP(BG$4, Rates_previous!$G$6:$Q$29, 10, FALSE)+VLOOKUP(BG$4, Rates_previous!$G$6:$Q$29, 11, FALSE))</f>
        <v>52715.638031388</v>
      </c>
      <c r="BH86" s="314">
        <f>IF($D86=0,IF(C86=0, MAX(BJ86 - (VLOOKUP($A86,TOCA_previous!$A$2:$AI$137,MATCH("RHWM 2020",TOCA_previous!$A$2:$AI$2,0),FALSE)*$F$2*TOCA_previous!C83),0),0), 0)</f>
        <v>0</v>
      </c>
      <c r="BI86" s="204">
        <f>MIN(VLOOKUP($A86,TOCA_previous!$A$2:$AI$137,MATCH("TRL - NLSL - Existing Resource "&amp;$F$1,TOCA_previous!$A$2:$AI$2,0),FALSE)*$F$2,(VLOOKUP($A86,TOCA_previous!$A$2:$AI$137,MATCH("RHWM 2020",TOCA_previous!$A$2:$AI$2,0),FALSE)*$F$2))</f>
        <v>695894.83199999994</v>
      </c>
      <c r="BJ86" s="418">
        <f>SUM(L86:AI86)+(F86*RT1SC!$C$3*$F$2)</f>
        <v>693874.00612007966</v>
      </c>
      <c r="BK86" s="417">
        <f>VLOOKUP($A86,TOCA_previous!$A$2:$AI$137,MATCH("Above RHWM Not Served with LS "&amp;$F$1,TOCA_previous!$A$2:$AI$2,0),FALSE)*$F$2</f>
        <v>0</v>
      </c>
      <c r="BL86" s="418">
        <f t="shared" si="27"/>
        <v>-2020.825879920274</v>
      </c>
      <c r="BM86" s="417">
        <f>(VLOOKUP($A86,TOCA_previous!$A$2:$AI$137,MATCH("RHWM 2020",TOCA_previous!$A$2:$AI$2,0),FALSE)*$F$2) - $BI86</f>
        <v>2477.0879999999888</v>
      </c>
      <c r="BN86" s="418">
        <f t="shared" si="28"/>
        <v>0</v>
      </c>
      <c r="BO86" s="417">
        <f t="shared" si="29"/>
        <v>2020.825879920274</v>
      </c>
      <c r="BP86" s="418">
        <f t="shared" si="30"/>
        <v>0</v>
      </c>
      <c r="BQ86" s="417">
        <f t="shared" si="21"/>
        <v>2020.825879920274</v>
      </c>
      <c r="BR86" s="120">
        <f>VLOOKUP($A86,TOCA_current!$A$2:$AI$137,MATCH(BR$4,TOCA_current!$A$2:$AI$2,0),FALSE)</f>
        <v>1.13183E-2</v>
      </c>
      <c r="BS86" s="120">
        <f>VLOOKUP($A86,TOCA_current!$A$2:$AI$137,MATCH(BS$4,TOCA_current!$A$2:$AI$2,0),FALSE)</f>
        <v>1.13183E-2</v>
      </c>
      <c r="BT86" s="201">
        <f t="shared" si="31"/>
        <v>0</v>
      </c>
      <c r="BU86" s="120">
        <f>VLOOKUP($A86,TOCA_current!A82:BG217,MATCH(BU$4,TOCA_current!$A$2:$BG$2,0),FALSE)</f>
        <v>5.1082052358218361E-2</v>
      </c>
      <c r="BV86" s="120">
        <f t="shared" si="22"/>
        <v>0</v>
      </c>
      <c r="BW86" s="120">
        <f t="shared" si="23"/>
        <v>0</v>
      </c>
      <c r="BX86" s="191">
        <f>VLOOKUP($A86,IRD!$A$4:$G$139, 7, FALSE)</f>
        <v>0</v>
      </c>
      <c r="BY86" s="192">
        <f t="array" ref="BY86">IF($BT86=0, INDEX(LS_current!$D$4:$AY$138, MATCH('Staging Table'!$A86, LS_current!$B$4:$B$138, 0), MATCH(BY$4&amp;BY$5, LS_current!$D$2:$AY$2&amp;LS_current!$D$3:$AY$3, 0)),SUM(VLOOKUP($A86, LS_current!$B$4:$AY$138, LS_current!D$148, FALSE), VLOOKUP($A86, LS_current!$B$4:$AY$138,LS_current!AB$148, FALSE))/2)</f>
        <v>-243.46045109214901</v>
      </c>
      <c r="BZ86" s="192">
        <f t="array" ref="BZ86">IF($BT86=0, INDEX(LS_current!$D$4:$AY$138, MATCH('Staging Table'!$A86, LS_current!$B$4:$B$138, 0), MATCH(BZ$4&amp;BZ$5, LS_current!$D$2:$AY$2&amp;LS_current!$D$3:$AY$3, 0)),SUM(VLOOKUP($A86, LS_current!$B$4:$AY$138, LS_current!E$148, FALSE), VLOOKUP($A86, LS_current!$B$4:$AY$138,LS_current!AC$148, FALSE))/2)</f>
        <v>2826.5756795702873</v>
      </c>
      <c r="CA86" s="192">
        <f t="array" ref="CA86">IF($BT86=0, INDEX(LS_current!$D$4:$AY$138, MATCH('Staging Table'!$A86, LS_current!$B$4:$B$138, 0), MATCH(CA$4&amp;CA$5, LS_current!$D$2:$AY$2&amp;LS_current!$D$3:$AY$3, 0)),SUM(VLOOKUP($A86, LS_current!$B$4:$AY$138, LS_current!F$148, FALSE), VLOOKUP($A86, LS_current!$B$4:$AY$138,LS_current!AD$148, FALSE))/2)</f>
        <v>86.459176101678167</v>
      </c>
      <c r="CB86" s="192">
        <f t="array" ref="CB86">IF($BT86=0, INDEX(LS_current!$D$4:$AY$138, MATCH('Staging Table'!$A86, LS_current!$B$4:$B$138, 0), MATCH(CB$4&amp;CB$5, LS_current!$D$2:$AY$2&amp;LS_current!$D$3:$AY$3, 0)),SUM(VLOOKUP($A86, LS_current!$B$4:$AY$138, LS_current!G$148, FALSE), VLOOKUP($A86, LS_current!$B$4:$AY$138,LS_current!AE$148, FALSE))/2)</f>
        <v>864.6948224672924</v>
      </c>
      <c r="CC86" s="192">
        <f t="array" ref="CC86">IF($BT86=0, INDEX(LS_current!$D$4:$AY$138, MATCH('Staging Table'!$A86, LS_current!$B$4:$B$138, 0), MATCH(CC$4&amp;CC$5, LS_current!$D$2:$AY$2&amp;LS_current!$D$3:$AY$3, 0)),SUM(VLOOKUP($A86, LS_current!$B$4:$AY$138, LS_current!H$148, FALSE), VLOOKUP($A86, LS_current!$B$4:$AY$138,LS_current!AF$148, FALSE))/2)</f>
        <v>10146.900215770031</v>
      </c>
      <c r="CD86" s="192">
        <f t="array" ref="CD86">IF($BT86=0, INDEX(LS_current!$D$4:$AY$138, MATCH('Staging Table'!$A86, LS_current!$B$4:$B$138, 0), MATCH(CD$4&amp;CD$5, LS_current!$D$2:$AY$2&amp;LS_current!$D$3:$AY$3, 0)),SUM(VLOOKUP($A86, LS_current!$B$4:$AY$138, LS_current!I$148, FALSE), VLOOKUP($A86, LS_current!$B$4:$AY$138,LS_current!AG$148, FALSE))/2)</f>
        <v>2928.2976649954144</v>
      </c>
      <c r="CE86" s="192">
        <f t="array" ref="CE86">IF($BT86=0, INDEX(LS_current!$D$4:$AY$138, MATCH('Staging Table'!$A86, LS_current!$B$4:$B$138, 0), MATCH(CE$4&amp;CE$5, LS_current!$D$2:$AY$2&amp;LS_current!$D$3:$AY$3, 0)),SUM(VLOOKUP($A86, LS_current!$B$4:$AY$138, LS_current!J$148, FALSE), VLOOKUP($A86, LS_current!$B$4:$AY$138,LS_current!AH$148, FALSE))/2)</f>
        <v>18296.816196240543</v>
      </c>
      <c r="CF86" s="192">
        <f t="array" ref="CF86">IF($BT86=0, INDEX(LS_current!$D$4:$AY$138, MATCH('Staging Table'!$A86, LS_current!$B$4:$B$138, 0), MATCH(CF$4&amp;CF$5, LS_current!$D$2:$AY$2&amp;LS_current!$D$3:$AY$3, 0)),SUM(VLOOKUP($A86, LS_current!$B$4:$AY$138, LS_current!K$148, FALSE), VLOOKUP($A86, LS_current!$B$4:$AY$138,LS_current!AI$148, FALSE))/2)</f>
        <v>8611.5177894390799</v>
      </c>
      <c r="CG86" s="192">
        <f t="array" ref="CG86">IF($BT86=0, INDEX(LS_current!$D$4:$AY$138, MATCH('Staging Table'!$A86, LS_current!$B$4:$B$138, 0), MATCH(CG$4&amp;CG$5, LS_current!$D$2:$AY$2&amp;LS_current!$D$3:$AY$3, 0)),SUM(VLOOKUP($A86, LS_current!$B$4:$AY$138, LS_current!L$148, FALSE), VLOOKUP($A86, LS_current!$B$4:$AY$138,LS_current!AJ$148, FALSE))/2)</f>
        <v>14769.189195981675</v>
      </c>
      <c r="CH86" s="192">
        <f t="array" ref="CH86">IF($BT86=0, INDEX(LS_current!$D$4:$AY$138, MATCH('Staging Table'!$A86, LS_current!$B$4:$B$138, 0), MATCH(CH$4&amp;CH$5, LS_current!$D$2:$AY$2&amp;LS_current!$D$3:$AY$3, 0)),SUM(VLOOKUP($A86, LS_current!$B$4:$AY$138, LS_current!M$148, FALSE), VLOOKUP($A86, LS_current!$B$4:$AY$138,LS_current!AK$148, FALSE))/2)</f>
        <v>7743.1689802753208</v>
      </c>
      <c r="CI86" s="192">
        <f t="array" ref="CI86">IF($BT86=0, INDEX(LS_current!$D$4:$AY$138, MATCH('Staging Table'!$A86, LS_current!$B$4:$B$138, 0), MATCH(CI$4&amp;CI$5, LS_current!$D$2:$AY$2&amp;LS_current!$D$3:$AY$3, 0)),SUM(VLOOKUP($A86, LS_current!$B$4:$AY$138, LS_current!N$148, FALSE), VLOOKUP($A86, LS_current!$B$4:$AY$138,LS_current!AL$148, FALSE))/2)</f>
        <v>4880.4488018810443</v>
      </c>
      <c r="CJ86" s="192">
        <f t="array" ref="CJ86">IF($BT86=0, INDEX(LS_current!$D$4:$AY$138, MATCH('Staging Table'!$A86, LS_current!$B$4:$B$138, 0), MATCH(CJ$4&amp;CJ$5, LS_current!$D$2:$AY$2&amp;LS_current!$D$3:$AY$3, 0)),SUM(VLOOKUP($A86, LS_current!$B$4:$AY$138, LS_current!O$148, FALSE), VLOOKUP($A86, LS_current!$B$4:$AY$138,LS_current!AM$148, FALSE))/2)</f>
        <v>3954.0909949596244</v>
      </c>
      <c r="CK86" s="192">
        <f t="array" ref="CK86">IF($BT86=0, INDEX(LS_current!$D$4:$AY$138, MATCH('Staging Table'!$A86, LS_current!$B$4:$B$138, 0), MATCH(CK$4&amp;CK$5, LS_current!$D$2:$AY$2&amp;LS_current!$D$3:$AY$3, 0)),SUM(VLOOKUP($A86, LS_current!$B$4:$AY$138, LS_current!P$148, FALSE), VLOOKUP($A86, LS_current!$B$4:$AY$138,LS_current!AN$148, FALSE))/2)</f>
        <v>7707.0991131450901</v>
      </c>
      <c r="CL86" s="192">
        <f t="array" ref="CL86">IF($BT86=0, INDEX(LS_current!$D$4:$AY$138, MATCH('Staging Table'!$A86, LS_current!$B$4:$B$138, 0), MATCH(CL$4&amp;CL$5, LS_current!$D$2:$AY$2&amp;LS_current!$D$3:$AY$3, 0)),SUM(VLOOKUP($A86, LS_current!$B$4:$AY$138, LS_current!Q$148, FALSE), VLOOKUP($A86, LS_current!$B$4:$AY$138,LS_current!AO$148, FALSE))/2)</f>
        <v>5747.7923582771364</v>
      </c>
      <c r="CM86" s="192">
        <f t="array" ref="CM86">IF($BT86=0, INDEX(LS_current!$D$4:$AY$138, MATCH('Staging Table'!$A86, LS_current!$B$4:$B$138, 0), MATCH(CM$4&amp;CM$5, LS_current!$D$2:$AY$2&amp;LS_current!$D$3:$AY$3, 0)),SUM(VLOOKUP($A86, LS_current!$B$4:$AY$138, LS_current!R$148, FALSE), VLOOKUP($A86, LS_current!$B$4:$AY$138,LS_current!AP$148, FALSE))/2)</f>
        <v>-11872.40680469992</v>
      </c>
      <c r="CN86" s="192">
        <f t="array" ref="CN86">IF($BT86=0, INDEX(LS_current!$D$4:$AY$138, MATCH('Staging Table'!$A86, LS_current!$B$4:$B$138, 0), MATCH(CN$4&amp;CN$5, LS_current!$D$2:$AY$2&amp;LS_current!$D$3:$AY$3, 0)),SUM(VLOOKUP($A86, LS_current!$B$4:$AY$138, LS_current!S$148, FALSE), VLOOKUP($A86, LS_current!$B$4:$AY$138,LS_current!AQ$148, FALSE))/2)</f>
        <v>-2243.9328156862975</v>
      </c>
      <c r="CO86" s="192">
        <f t="array" ref="CO86">IF($BT86=0, INDEX(LS_current!$D$4:$AY$138, MATCH('Staging Table'!$A86, LS_current!$B$4:$B$138, 0), MATCH(CO$4&amp;CO$5, LS_current!$D$2:$AY$2&amp;LS_current!$D$3:$AY$3, 0)),SUM(VLOOKUP($A86, LS_current!$B$4:$AY$138, LS_current!T$148, FALSE), VLOOKUP($A86, LS_current!$B$4:$AY$138,LS_current!AR$148, FALSE))/2)</f>
        <v>-19229.038588313761</v>
      </c>
      <c r="CP86" s="192">
        <f t="array" ref="CP86">IF($BT86=0, INDEX(LS_current!$D$4:$AY$138, MATCH('Staging Table'!$A86, LS_current!$B$4:$B$138, 0), MATCH(CP$4&amp;CP$5, LS_current!$D$2:$AY$2&amp;LS_current!$D$3:$AY$3, 0)),SUM(VLOOKUP($A86, LS_current!$B$4:$AY$138, LS_current!U$148, FALSE), VLOOKUP($A86, LS_current!$B$4:$AY$138,LS_current!AS$148, FALSE))/2)</f>
        <v>-2302.7726009451453</v>
      </c>
      <c r="CQ86" s="192">
        <f t="array" ref="CQ86">IF($BT86=0, INDEX(LS_current!$D$4:$AY$138, MATCH('Staging Table'!$A86, LS_current!$B$4:$B$138, 0), MATCH(CQ$4&amp;CQ$5, LS_current!$D$2:$AY$2&amp;LS_current!$D$3:$AY$3, 0)),SUM(VLOOKUP($A86, LS_current!$B$4:$AY$138, LS_current!V$148, FALSE), VLOOKUP($A86, LS_current!$B$4:$AY$138,LS_current!AT$148, FALSE))/2)</f>
        <v>-12576.067913306757</v>
      </c>
      <c r="CR86" s="192">
        <f t="array" ref="CR86">IF($BT86=0, INDEX(LS_current!$D$4:$AY$138, MATCH('Staging Table'!$A86, LS_current!$B$4:$B$138, 0), MATCH(CR$4&amp;CR$5, LS_current!$D$2:$AY$2&amp;LS_current!$D$3:$AY$3, 0)),SUM(VLOOKUP($A86, LS_current!$B$4:$AY$138, LS_current!W$148, FALSE), VLOOKUP($A86, LS_current!$B$4:$AY$138,LS_current!AU$148, FALSE))/2)</f>
        <v>-3314.0618928116237</v>
      </c>
      <c r="CS86" s="192">
        <f t="array" ref="CS86">IF($BT86=0, INDEX(LS_current!$D$4:$AY$138, MATCH('Staging Table'!$A86, LS_current!$B$4:$B$138, 0), MATCH(CS$4&amp;CS$5, LS_current!$D$2:$AY$2&amp;LS_current!$D$3:$AY$3, 0)),SUM(VLOOKUP($A86, LS_current!$B$4:$AY$138, LS_current!X$148, FALSE), VLOOKUP($A86, LS_current!$B$4:$AY$138,LS_current!AV$148, FALSE))/2)</f>
        <v>-11669.709679260453</v>
      </c>
      <c r="CT86" s="192">
        <f t="array" ref="CT86">IF($BT86=0, INDEX(LS_current!$D$4:$AY$138, MATCH('Staging Table'!$A86, LS_current!$B$4:$B$138, 0), MATCH(CT$4&amp;CT$5, LS_current!$D$2:$AY$2&amp;LS_current!$D$3:$AY$3, 0)),SUM(VLOOKUP($A86, LS_current!$B$4:$AY$138, LS_current!Y$148, FALSE), VLOOKUP($A86, LS_current!$B$4:$AY$138,LS_current!AW$148, FALSE))/2)</f>
        <v>-2086.3446125153896</v>
      </c>
      <c r="CU86" s="192">
        <f t="array" ref="CU86">IF($BT86=0, INDEX(LS_current!$D$4:$AY$138, MATCH('Staging Table'!$A86, LS_current!$B$4:$B$138, 0), MATCH(CU$4&amp;CU$5, LS_current!$D$2:$AY$2&amp;LS_current!$D$3:$AY$3, 0)),SUM(VLOOKUP($A86, LS_current!$B$4:$AY$138, LS_current!Z$148, FALSE), VLOOKUP($A86, LS_current!$B$4:$AY$138,LS_current!AX$148, FALSE))/2)</f>
        <v>-8127.1806651058396</v>
      </c>
      <c r="CV86" s="192">
        <f t="array" ref="CV86">IF($BT86=0, INDEX(LS_current!$D$4:$AY$138, MATCH('Staging Table'!$A86, LS_current!$B$4:$B$138, 0), MATCH(CV$4&amp;CV$5, LS_current!$D$2:$AY$2&amp;LS_current!$D$3:$AY$3, 0)),SUM(VLOOKUP($A86, LS_current!$B$4:$AY$138, LS_current!AA$148, FALSE), VLOOKUP($A86, LS_current!$B$4:$AY$138,LS_current!AY$148, FALSE))/2)</f>
        <v>-3376.6577300374811</v>
      </c>
      <c r="CW86" s="194">
        <f t="array" ref="CW86">INDEX(Demand_current!$D$4:$AY$138, MATCH($A86, Demand_current!$B$4:$B$138, 0), MATCH(CW$4&amp;CW$5,Demand_current!$D$2:$AY$2&amp;Demand_current!$D$3:$AY$3, 0))/1000</f>
        <v>0</v>
      </c>
      <c r="CX86" s="194">
        <f t="array" ref="CX86">INDEX(Demand_current!$D$4:$AY$138, MATCH($A86, Demand_current!$B$4:$B$138, 0), MATCH(CX$4&amp;CX$5,Demand_current!$D$2:$AY$2&amp;Demand_current!$D$3:$AY$3, 0))/1000</f>
        <v>2.1400400000000133</v>
      </c>
      <c r="CY86" s="194">
        <f t="array" ref="CY86">INDEX(Demand_current!$D$4:$AY$138, MATCH($A86, Demand_current!$B$4:$B$138, 0), MATCH(CY$4&amp;CY$5,Demand_current!$D$2:$AY$2&amp;Demand_current!$D$3:$AY$3, 0))/1000</f>
        <v>20.290088942307676</v>
      </c>
      <c r="CZ86" s="194">
        <f t="array" ref="CZ86">INDEX(Demand_current!$D$4:$AY$138, MATCH($A86, Demand_current!$B$4:$B$138, 0), MATCH(CZ$4&amp;CZ$5,Demand_current!$D$2:$AY$2&amp;Demand_current!$D$3:$AY$3, 0))/1000</f>
        <v>13.839522499999998</v>
      </c>
      <c r="DA86" s="194">
        <f t="array" ref="DA86">INDEX(Demand_current!$D$4:$AY$138, MATCH($A86, Demand_current!$B$4:$B$138, 0), MATCH(DA$4&amp;DA$5,Demand_current!$D$2:$AY$2&amp;Demand_current!$D$3:$AY$3, 0))/1000</f>
        <v>14.264906249999985</v>
      </c>
      <c r="DB86" s="194">
        <f t="array" ref="DB86">INDEX(Demand_current!$D$4:$AY$138, MATCH($A86, Demand_current!$B$4:$B$138, 0), MATCH(DB$4&amp;DB$5,Demand_current!$D$2:$AY$2&amp;Demand_current!$D$3:$AY$3, 0))/1000</f>
        <v>19.868606481481486</v>
      </c>
      <c r="DC86" s="194">
        <f t="array" ref="DC86">INDEX(Demand_current!$D$4:$AY$138, MATCH($A86, Demand_current!$B$4:$B$138, 0), MATCH(DC$4&amp;DC$5,Demand_current!$D$2:$AY$2&amp;Demand_current!$D$3:$AY$3, 0))/1000</f>
        <v>11.704867788461549</v>
      </c>
      <c r="DD86" s="194">
        <f t="array" ref="DD86">INDEX(Demand_current!$D$4:$AY$138, MATCH($A86, Demand_current!$B$4:$B$138, 0), MATCH(DD$4&amp;DD$5,Demand_current!$D$2:$AY$2&amp;Demand_current!$D$3:$AY$3, 0))/1000</f>
        <v>0</v>
      </c>
      <c r="DE86" s="194">
        <f t="array" ref="DE86">INDEX(Demand_current!$D$4:$AY$138, MATCH($A86, Demand_current!$B$4:$B$138, 0), MATCH(DE$4&amp;DE$5,Demand_current!$D$2:$AY$2&amp;Demand_current!$D$3:$AY$3, 0))/1000</f>
        <v>6.0799951923076785</v>
      </c>
      <c r="DF86" s="194">
        <f t="array" ref="DF86">INDEX(Demand_current!$D$4:$AY$138, MATCH($A86, Demand_current!$B$4:$B$138, 0), MATCH(DF$4&amp;DF$5,Demand_current!$D$2:$AY$2&amp;Demand_current!$D$3:$AY$3, 0))/1000</f>
        <v>11.655964999999993</v>
      </c>
      <c r="DG86" s="194">
        <f t="array" ref="DG86">INDEX(Demand_current!$D$4:$AY$138, MATCH($A86, Demand_current!$B$4:$B$138, 0), MATCH(DG$4&amp;DG$5,Demand_current!$D$2:$AY$2&amp;Demand_current!$D$3:$AY$3, 0))/1000</f>
        <v>21.715127314814815</v>
      </c>
      <c r="DH86" s="194">
        <f t="array" ref="DH86">INDEX(Demand_current!$D$4:$AY$138, MATCH($A86, Demand_current!$B$4:$B$138, 0), MATCH(DH$4&amp;DH$5,Demand_current!$D$2:$AY$2&amp;Demand_current!$D$3:$AY$3, 0))/1000</f>
        <v>0.21361500000000078</v>
      </c>
      <c r="DI86" s="192">
        <f>$BS86*(VLOOKUP(DI$4, Rates_current!$G$6:$Q$29, 10, FALSE)+VLOOKUP(DI$4, Rates_current!$G$6:$Q$29, 11, FALSE))</f>
        <v>51542.682771521861</v>
      </c>
      <c r="DJ86" s="192">
        <f>$BS86*(VLOOKUP(DJ$4, Rates_current!$G$6:$Q$29, 10, FALSE)+VLOOKUP(DJ$4, Rates_current!$G$6:$Q$29, 11, FALSE))</f>
        <v>65254.907001431027</v>
      </c>
      <c r="DK86" s="192">
        <f>$BS86*(VLOOKUP(DK$4, Rates_current!$G$6:$Q$29, 10, FALSE)+VLOOKUP(DK$4, Rates_current!$G$6:$Q$29, 11, FALSE))</f>
        <v>63871.517119234559</v>
      </c>
      <c r="DL86" s="192">
        <f>$BS86*(VLOOKUP(DL$4, Rates_current!$G$6:$Q$29, 10, FALSE)+VLOOKUP(DL$4, Rates_current!$G$6:$Q$29, 11, FALSE))</f>
        <v>52755.157014320379</v>
      </c>
      <c r="DM86" s="192">
        <f>$BS86*(VLOOKUP(DM$4, Rates_current!$G$6:$Q$29, 10, FALSE)+VLOOKUP(DM$4, Rates_current!$G$6:$Q$29, 11, FALSE))</f>
        <v>45724.050823743011</v>
      </c>
      <c r="DN86" s="192">
        <f>$BS86*(VLOOKUP(DN$4, Rates_current!$G$6:$Q$29, 10, FALSE)+VLOOKUP(DN$4, Rates_current!$G$6:$Q$29, 11, FALSE))</f>
        <v>54585.283203159321</v>
      </c>
      <c r="DO86" s="192">
        <f>$BS86*(VLOOKUP(DO$4, Rates_current!$G$6:$Q$29, 10, FALSE)+VLOOKUP(DO$4, Rates_current!$G$6:$Q$29, 11, FALSE))</f>
        <v>42378.205528577775</v>
      </c>
      <c r="DP86" s="192">
        <f>$BS86*(VLOOKUP(DP$4, Rates_current!$G$6:$Q$29, 10, FALSE)+VLOOKUP(DP$4, Rates_current!$G$6:$Q$29, 11, FALSE))</f>
        <v>58715.315620386216</v>
      </c>
      <c r="DQ86" s="192">
        <f>$BS86*(VLOOKUP(DQ$4, Rates_current!$G$6:$Q$29, 10, FALSE)+VLOOKUP(DQ$4, Rates_current!$G$6:$Q$29, 11, FALSE))</f>
        <v>62738.544189258893</v>
      </c>
      <c r="DR86" s="192">
        <f>$BS86*(VLOOKUP(DR$4, Rates_current!$G$6:$Q$29, 10, FALSE)+VLOOKUP(DR$4, Rates_current!$G$6:$Q$29, 11, FALSE))</f>
        <v>59567.406806118386</v>
      </c>
      <c r="DS86" s="192">
        <f>$BS86*(VLOOKUP(DS$4, Rates_current!$G$6:$Q$29, 10, FALSE)+VLOOKUP(DS$4, Rates_current!$G$6:$Q$29, 11, FALSE))</f>
        <v>57567.303291775846</v>
      </c>
      <c r="DT86" s="192">
        <f>$BS86*(VLOOKUP(DT$4, Rates_current!$G$6:$Q$29, 10, FALSE)+VLOOKUP(DT$4, Rates_current!$G$6:$Q$29, 11, FALSE))</f>
        <v>53198.189395143316</v>
      </c>
      <c r="DU86" s="418">
        <f>IF(D86=0,IF(C86=0,MAX(0,DW86 - (VLOOKUP($A86,TOCA_current!$A$2:$AI$137,MATCH("RHWM 2022",TOCA_current!$A$2:$AI$2,0),FALSE)*$BS$2)), 0),0)</f>
        <v>11522.574165901518</v>
      </c>
      <c r="DV86" s="419">
        <f>MIN(VLOOKUP($A86,TOCA_current!$A$2:$AI$137,MATCH("TRL - NLSL - Existing Resource "&amp;$BS$1,TOCA_current!$A$2:$AI$2,0),FALSE)*$BS$2, VLOOKUP($A86,TOCA_current!$A$2:$AI$137,MATCH("RHWM 2022",TOCA_current!$A$2:$AI$2,0),FALSE)*$BS$2)</f>
        <v>667897.43999999994</v>
      </c>
      <c r="DW86" s="419">
        <f>SUM(BY86:CV86)+(BS86*RT1SC!$C$4*$BS$2)</f>
        <v>679420.01416590146</v>
      </c>
      <c r="DX86" s="419">
        <f>VLOOKUP($A86,TOCA_current!$A$2:$AI$137,MATCH("Above RHWM Not Served with LS "&amp;$BS$1,TOCA_current!$A$2:$AI$2,0),FALSE)*$BS$2</f>
        <v>14454</v>
      </c>
      <c r="DY86" s="419">
        <f t="shared" si="32"/>
        <v>11522.574165901518</v>
      </c>
      <c r="DZ86" s="419">
        <f>(VLOOKUP($A86,TOCA_current!$A$2:$AI$137,MATCH("RHWM 2022",TOCA_current!$A$2:$AI$2,0),FALSE)*$BS$2) - $DV86</f>
        <v>0</v>
      </c>
      <c r="EA86" s="419">
        <f t="shared" si="33"/>
        <v>0</v>
      </c>
      <c r="EB86" s="419">
        <f t="shared" si="34"/>
        <v>0</v>
      </c>
      <c r="EC86" s="419">
        <f t="shared" si="35"/>
        <v>0</v>
      </c>
      <c r="ED86" s="419">
        <f t="shared" si="36"/>
        <v>0</v>
      </c>
    </row>
    <row r="87" spans="1:134">
      <c r="A87" s="135">
        <v>10256</v>
      </c>
      <c r="B87" s="136" t="s">
        <v>88</v>
      </c>
      <c r="C87" s="244">
        <f>VLOOKUP(A87, TOCA_current!$A$3:$D$137, 4, FALSE)</f>
        <v>0</v>
      </c>
      <c r="D87" s="203">
        <v>0</v>
      </c>
      <c r="E87" s="119">
        <f>VLOOKUP($A87,TOCA_previous!$A$2:$AI$137,MATCH(E$4,TOCA_previous!$A$2:$AI$2,0),FALSE)</f>
        <v>6.5953000000000001E-3</v>
      </c>
      <c r="F87" s="120">
        <f>VLOOKUP($A87,TOCA_previous!$A$2:$AI$137,MATCH(F$4,TOCA_previous!$A$2:$AI$2,0),FALSE)</f>
        <v>6.5953000000000001E-3</v>
      </c>
      <c r="G87" s="120">
        <f t="shared" si="24"/>
        <v>0</v>
      </c>
      <c r="H87" s="120">
        <f>VLOOKUP($A87,TOCA_previous!$A$2:$AI$137,MATCH(H$4,TOCA_previous!$A$2:$AI$2,0),FALSE)</f>
        <v>6.5000000000000002E-2</v>
      </c>
      <c r="I87" s="120">
        <f t="shared" si="25"/>
        <v>0</v>
      </c>
      <c r="J87" s="120">
        <f t="shared" si="26"/>
        <v>0</v>
      </c>
      <c r="K87" s="191">
        <f>VLOOKUP(A87, IRD!$A$5:$C$139, 3, FALSE)</f>
        <v>41489.314000000006</v>
      </c>
      <c r="L87" s="192">
        <f t="array" ref="L87">IF($G87=0, INDEX(LS_previous!$D$4:$AY$138, MATCH('Staging Table'!$A87, LS_previous!$B$4:$B$138, 0), MATCH(L$4&amp;L$5, LS_previous!$D$2:$AY$2&amp;LS_previous!$D$3:$AY$3, 0)),SUM(VLOOKUP($A87, LS_previous!$B$4:$AY$138, LS_previous!D$149, FALSE), VLOOKUP('Staging Table'!$A87, LS_previous!$B$4:$AY$138,LS_previous!AB$149, FALSE))/2)</f>
        <v>-1465.840953476396</v>
      </c>
      <c r="M87" s="192">
        <f t="array" ref="M87">IF($G87=0, INDEX(LS_previous!$D$4:$AY$138, MATCH('Staging Table'!$A87, LS_previous!$B$4:$B$138, 0), MATCH(M$4&amp;M$5, LS_previous!$D$2:$AY$2&amp;LS_previous!$D$3:$AY$3, 0)),SUM(VLOOKUP($A87, LS_previous!$B$4:$AY$138, LS_previous!E$149, FALSE), VLOOKUP('Staging Table'!$A87, LS_previous!$B$4:$AY$138,LS_previous!AC$149, FALSE))/2)</f>
        <v>2254.5048506976</v>
      </c>
      <c r="N87" s="192">
        <f t="array" ref="N87">IF($G87=0, INDEX(LS_previous!$D$4:$AY$138, MATCH('Staging Table'!$A87, LS_previous!$B$4:$B$138, 0), MATCH(N$4&amp;N$5, LS_previous!$D$2:$AY$2&amp;LS_previous!$D$3:$AY$3, 0)),SUM(VLOOKUP($A87, LS_previous!$B$4:$AY$138, LS_previous!F$149, FALSE), VLOOKUP('Staging Table'!$A87, LS_previous!$B$4:$AY$138,LS_previous!AD$149, FALSE))/2)</f>
        <v>-2283.4280574183977</v>
      </c>
      <c r="O87" s="192">
        <f t="array" ref="O87">IF($G87=0, INDEX(LS_previous!$D$4:$AY$138, MATCH('Staging Table'!$A87, LS_previous!$B$4:$B$138, 0), MATCH(O$4&amp;O$5, LS_previous!$D$2:$AY$2&amp;LS_previous!$D$3:$AY$3, 0)),SUM(VLOOKUP($A87, LS_previous!$B$4:$AY$138, LS_previous!G$149, FALSE), VLOOKUP('Staging Table'!$A87, LS_previous!$B$4:$AY$138,LS_previous!AE$149, FALSE))/2)</f>
        <v>1482.1712162416989</v>
      </c>
      <c r="P87" s="192">
        <f t="array" ref="P87">IF($G87=0, INDEX(LS_previous!$D$4:$AY$138, MATCH('Staging Table'!$A87, LS_previous!$B$4:$B$138, 0), MATCH(P$4&amp;P$5, LS_previous!$D$2:$AY$2&amp;LS_previous!$D$3:$AY$3, 0)),SUM(VLOOKUP($A87, LS_previous!$B$4:$AY$138, LS_previous!H$149, FALSE), VLOOKUP('Staging Table'!$A87, LS_previous!$B$4:$AY$138,LS_previous!AF$149, FALSE))/2)</f>
        <v>3185.8077111583953</v>
      </c>
      <c r="Q87" s="192">
        <f t="array" ref="Q87">IF($G87=0, INDEX(LS_previous!$D$4:$AY$138, MATCH('Staging Table'!$A87, LS_previous!$B$4:$B$138, 0), MATCH(Q$4&amp;Q$5, LS_previous!$D$2:$AY$2&amp;LS_previous!$D$3:$AY$3, 0)),SUM(VLOOKUP($A87, LS_previous!$B$4:$AY$138, LS_previous!I$149, FALSE), VLOOKUP('Staging Table'!$A87, LS_previous!$B$4:$AY$138,LS_previous!AG$149, FALSE))/2)</f>
        <v>6257.7826161628</v>
      </c>
      <c r="R87" s="192">
        <f t="array" ref="R87">IF($G87=0, INDEX(LS_previous!$D$4:$AY$138, MATCH('Staging Table'!$A87, LS_previous!$B$4:$B$138, 0), MATCH(R$4&amp;R$5, LS_previous!$D$2:$AY$2&amp;LS_previous!$D$3:$AY$3, 0)),SUM(VLOOKUP($A87, LS_previous!$B$4:$AY$138, LS_previous!J$149, FALSE), VLOOKUP('Staging Table'!$A87, LS_previous!$B$4:$AY$138,LS_previous!AH$149, FALSE))/2)</f>
        <v>5524.0307939583981</v>
      </c>
      <c r="S87" s="192">
        <f t="array" ref="S87">IF($G87=0, INDEX(LS_previous!$D$4:$AY$138, MATCH('Staging Table'!$A87, LS_previous!$B$4:$B$138, 0), MATCH(S$4&amp;S$5, LS_previous!$D$2:$AY$2&amp;LS_previous!$D$3:$AY$3, 0)),SUM(VLOOKUP($A87, LS_previous!$B$4:$AY$138, LS_previous!K$149, FALSE), VLOOKUP('Staging Table'!$A87, LS_previous!$B$4:$AY$138,LS_previous!AI$149, FALSE))/2)</f>
        <v>6675.3934277628014</v>
      </c>
      <c r="T87" s="192">
        <f t="array" ref="T87">IF($G87=0, INDEX(LS_previous!$D$4:$AY$138, MATCH('Staging Table'!$A87, LS_previous!$B$4:$B$138, 0), MATCH(T$4&amp;T$5, LS_previous!$D$2:$AY$2&amp;LS_previous!$D$3:$AY$3, 0)),SUM(VLOOKUP($A87, LS_previous!$B$4:$AY$138, LS_previous!L$149, FALSE), VLOOKUP('Staging Table'!$A87, LS_previous!$B$4:$AY$138,LS_previous!AJ$149, FALSE))/2)</f>
        <v>4694.0767880828025</v>
      </c>
      <c r="U87" s="192">
        <f t="array" ref="U87">IF($G87=0, INDEX(LS_previous!$D$4:$AY$138, MATCH('Staging Table'!$A87, LS_previous!$B$4:$B$138, 0), MATCH(U$4&amp;U$5, LS_previous!$D$2:$AY$2&amp;LS_previous!$D$3:$AY$3, 0)),SUM(VLOOKUP($A87, LS_previous!$B$4:$AY$138, LS_previous!M$149, FALSE), VLOOKUP('Staging Table'!$A87, LS_previous!$B$4:$AY$138,LS_previous!AK$149, FALSE))/2)</f>
        <v>4977.1857308771996</v>
      </c>
      <c r="V87" s="192">
        <f t="array" ref="V87">IF($G87=0, INDEX(LS_previous!$D$4:$AY$138, MATCH('Staging Table'!$A87, LS_previous!$B$4:$B$138, 0), MATCH(V$4&amp;V$5, LS_previous!$D$2:$AY$2&amp;LS_previous!$D$3:$AY$3, 0)),SUM(VLOOKUP($A87, LS_previous!$B$4:$AY$138, LS_previous!N$149, FALSE), VLOOKUP('Staging Table'!$A87, LS_previous!$B$4:$AY$138,LS_previous!AL$149, FALSE))/2)</f>
        <v>1311.2434053352008</v>
      </c>
      <c r="W87" s="192">
        <f t="array" ref="W87">IF($G87=0, INDEX(LS_previous!$D$4:$AY$138, MATCH('Staging Table'!$A87, LS_previous!$B$4:$B$138, 0), MATCH(W$4&amp;W$5, LS_previous!$D$2:$AY$2&amp;LS_previous!$D$3:$AY$3, 0)),SUM(VLOOKUP($A87, LS_previous!$B$4:$AY$138, LS_previous!O$149, FALSE), VLOOKUP('Staging Table'!$A87, LS_previous!$B$4:$AY$138,LS_previous!AM$149, FALSE))/2)</f>
        <v>3543.6436673686985</v>
      </c>
      <c r="X87" s="192">
        <f t="array" ref="X87">IF($G87=0, INDEX(LS_previous!$D$4:$AY$138, MATCH('Staging Table'!$A87, LS_previous!$B$4:$B$138, 0), MATCH(X$4&amp;X$5, LS_previous!$D$2:$AY$2&amp;LS_previous!$D$3:$AY$3, 0)),SUM(VLOOKUP($A87, LS_previous!$B$4:$AY$138, LS_previous!P$149, FALSE), VLOOKUP('Staging Table'!$A87, LS_previous!$B$4:$AY$138,LS_previous!AN$149, FALSE))/2)</f>
        <v>3579.5015378967983</v>
      </c>
      <c r="Y87" s="192">
        <f t="array" ref="Y87">IF($G87=0, INDEX(LS_previous!$D$4:$AY$138, MATCH('Staging Table'!$A87, LS_previous!$B$4:$B$138, 0), MATCH(Y$4&amp;Y$5, LS_previous!$D$2:$AY$2&amp;LS_previous!$D$3:$AY$3, 0)),SUM(VLOOKUP($A87, LS_previous!$B$4:$AY$138, LS_previous!Q$149, FALSE), VLOOKUP('Staging Table'!$A87, LS_previous!$B$4:$AY$138,LS_previous!AO$149, FALSE))/2)</f>
        <v>3951.0805529591998</v>
      </c>
      <c r="Z87" s="192">
        <f t="array" ref="Z87">IF($G87=0, INDEX(LS_previous!$D$4:$AY$138, MATCH('Staging Table'!$A87, LS_previous!$B$4:$B$138, 0), MATCH(Z$4&amp;Z$5, LS_previous!$D$2:$AY$2&amp;LS_previous!$D$3:$AY$3, 0)),SUM(VLOOKUP($A87, LS_previous!$B$4:$AY$138, LS_previous!R$149, FALSE), VLOOKUP('Staging Table'!$A87, LS_previous!$B$4:$AY$138,LS_previous!AP$149, FALSE))/2)</f>
        <v>-743.85185062999881</v>
      </c>
      <c r="AA87" s="192">
        <f t="array" ref="AA87">IF($G87=0, INDEX(LS_previous!$D$4:$AY$138, MATCH('Staging Table'!$A87, LS_previous!$B$4:$B$138, 0), MATCH(AA$4&amp;AA$5, LS_previous!$D$2:$AY$2&amp;LS_previous!$D$3:$AY$3, 0)),SUM(VLOOKUP($A87, LS_previous!$B$4:$AY$138, LS_previous!S$149, FALSE), VLOOKUP('Staging Table'!$A87, LS_previous!$B$4:$AY$138,LS_previous!AQ$149, FALSE))/2)</f>
        <v>2533.1717262012007</v>
      </c>
      <c r="AB87" s="192">
        <f t="array" ref="AB87">IF($G87=0, INDEX(LS_previous!$D$4:$AY$138, MATCH('Staging Table'!$A87, LS_previous!$B$4:$B$138, 0), MATCH(AB$4&amp;AB$5, LS_previous!$D$2:$AY$2&amp;LS_previous!$D$3:$AY$3, 0)),SUM(VLOOKUP($A87, LS_previous!$B$4:$AY$138, LS_previous!T$149, FALSE), VLOOKUP('Staging Table'!$A87, LS_previous!$B$4:$AY$138,LS_previous!AR$149, FALSE))/2)</f>
        <v>-8770.1650516532027</v>
      </c>
      <c r="AC87" s="192">
        <f t="array" ref="AC87">IF($G87=0, INDEX(LS_previous!$D$4:$AY$138, MATCH('Staging Table'!$A87, LS_previous!$B$4:$B$138, 0), MATCH(AC$4&amp;AC$5, LS_previous!$D$2:$AY$2&amp;LS_previous!$D$3:$AY$3, 0)),SUM(VLOOKUP($A87, LS_previous!$B$4:$AY$138, LS_previous!U$149, FALSE), VLOOKUP('Staging Table'!$A87, LS_previous!$B$4:$AY$138,LS_previous!AS$149, FALSE))/2)</f>
        <v>-2647.4569028408005</v>
      </c>
      <c r="AD87" s="192">
        <f t="array" ref="AD87">IF($G87=0, INDEX(LS_previous!$D$4:$AY$138, MATCH('Staging Table'!$A87, LS_previous!$B$4:$B$138, 0), MATCH(AD$4&amp;AD$5, LS_previous!$D$2:$AY$2&amp;LS_previous!$D$3:$AY$3, 0)),SUM(VLOOKUP($A87, LS_previous!$B$4:$AY$138, LS_previous!V$149, FALSE), VLOOKUP('Staging Table'!$A87, LS_previous!$B$4:$AY$138,LS_previous!AT$149, FALSE))/2)</f>
        <v>-2553.2289381531991</v>
      </c>
      <c r="AE87" s="192">
        <f t="array" ref="AE87">IF($G87=0, INDEX(LS_previous!$D$4:$AY$138, MATCH('Staging Table'!$A87, LS_previous!$B$4:$B$138, 0), MATCH(AE$4&amp;AE$5, LS_previous!$D$2:$AY$2&amp;LS_previous!$D$3:$AY$3, 0)),SUM(VLOOKUP($A87, LS_previous!$B$4:$AY$138, LS_previous!W$149, FALSE), VLOOKUP('Staging Table'!$A87, LS_previous!$B$4:$AY$138,LS_previous!AU$149, FALSE))/2)</f>
        <v>5584.4010361743985</v>
      </c>
      <c r="AF87" s="192">
        <f t="array" ref="AF87">IF($G87=0, INDEX(LS_previous!$D$4:$AY$138, MATCH('Staging Table'!$A87, LS_previous!$B$4:$B$138, 0), MATCH(AF$4&amp;AF$5, LS_previous!$D$2:$AY$2&amp;LS_previous!$D$3:$AY$3, 0)),SUM(VLOOKUP($A87, LS_previous!$B$4:$AY$138, LS_previous!X$149, FALSE), VLOOKUP('Staging Table'!$A87, LS_previous!$B$4:$AY$138,LS_previous!AV$149, FALSE))/2)</f>
        <v>-888.4246255031976</v>
      </c>
      <c r="AG87" s="192">
        <f t="array" ref="AG87">IF($G87=0, INDEX(LS_previous!$D$4:$AY$138, MATCH('Staging Table'!$A87, LS_previous!$B$4:$B$138, 0), MATCH(AG$4&amp;AG$5, LS_previous!$D$2:$AY$2&amp;LS_previous!$D$3:$AY$3, 0)),SUM(VLOOKUP($A87, LS_previous!$B$4:$AY$138, LS_previous!Y$149, FALSE), VLOOKUP('Staging Table'!$A87, LS_previous!$B$4:$AY$138,LS_previous!AW$149, FALSE))/2)</f>
        <v>4323.8076921743996</v>
      </c>
      <c r="AH87" s="192">
        <f t="array" ref="AH87">IF($G87=0, INDEX(LS_previous!$D$4:$AY$138, MATCH('Staging Table'!$A87, LS_previous!$B$4:$B$138, 0), MATCH(AH$4&amp;AH$5, LS_previous!$D$2:$AY$2&amp;LS_previous!$D$3:$AY$3, 0)),SUM(VLOOKUP($A87, LS_previous!$B$4:$AY$138, LS_previous!Z$149, FALSE), VLOOKUP('Staging Table'!$A87, LS_previous!$B$4:$AY$138,LS_previous!AX$149, FALSE))/2)</f>
        <v>-2179.4460476799977</v>
      </c>
      <c r="AI87" s="192">
        <f t="array" ref="AI87">IF($G87=0, INDEX(LS_previous!$D$4:$AY$138, MATCH('Staging Table'!$A87, LS_previous!$B$4:$B$138, 0), MATCH(AI$4&amp;AI$5, LS_previous!$D$2:$AY$2&amp;LS_previous!$D$3:$AY$3, 0)),SUM(VLOOKUP($A87, LS_previous!$B$4:$AY$138, LS_previous!AA$149, FALSE), VLOOKUP('Staging Table'!$A87, LS_previous!$B$4:$AY$138,LS_previous!AY$149, FALSE))/2)</f>
        <v>2340.6530292360021</v>
      </c>
      <c r="AJ87" s="314">
        <f t="array" ref="AJ87">INDEX(Demand_previous!$D$4:$AY$138, MATCH('Staging Table'!$A87, Demand_previous!$B$4:$B$138, 0), MATCH(AJ$4&amp;AJ$5,Demand_previous!$D$2:$AY$2&amp;Demand_previous!$D$3:$AY$3, 0))/1000</f>
        <v>10.012740740740732</v>
      </c>
      <c r="AK87" s="314">
        <f t="array" ref="AK87">INDEX(Demand_previous!$D$4:$AY$138, MATCH('Staging Table'!$A87, Demand_previous!$B$4:$B$138, 0), MATCH(AK$4&amp;AK$5,Demand_previous!$D$2:$AY$2&amp;Demand_previous!$D$3:$AY$3, 0))/1000</f>
        <v>8.5857150000000004</v>
      </c>
      <c r="AL87" s="314">
        <f t="array" ref="AL87">INDEX(Demand_previous!$D$4:$AY$138, MATCH('Staging Table'!$A87, Demand_previous!$B$4:$B$138, 0), MATCH(AL$4&amp;AL$5,Demand_previous!$D$2:$AY$2&amp;Demand_previous!$D$3:$AY$3, 0))/1000</f>
        <v>19.185727500000013</v>
      </c>
      <c r="AM87" s="314">
        <f t="array" ref="AM87">INDEX(Demand_previous!$D$4:$AY$138, MATCH('Staging Table'!$A87, Demand_previous!$B$4:$B$138, 0), MATCH(AM$4&amp;AM$5,Demand_previous!$D$2:$AY$2&amp;Demand_previous!$D$3:$AY$3, 0))/1000</f>
        <v>16.057317307692308</v>
      </c>
      <c r="AN87" s="314">
        <f t="array" ref="AN87">INDEX(Demand_previous!$D$4:$AY$138, MATCH('Staging Table'!$A87, Demand_previous!$B$4:$B$138, 0), MATCH(AN$4&amp;AN$5,Demand_previous!$D$2:$AY$2&amp;Demand_previous!$D$3:$AY$3, 0))/1000</f>
        <v>12.309392499999991</v>
      </c>
      <c r="AO87" s="314">
        <f t="array" ref="AO87">INDEX(Demand_previous!$D$4:$AY$138, MATCH('Staging Table'!$A87, Demand_previous!$B$4:$B$138, 0), MATCH(AO$4&amp;AO$5,Demand_previous!$D$2:$AY$2&amp;Demand_previous!$D$3:$AY$3, 0))/1000</f>
        <v>10.32074519230769</v>
      </c>
      <c r="AP87" s="314">
        <f t="array" ref="AP87">INDEX(Demand_previous!$D$4:$AY$138, MATCH('Staging Table'!$A87, Demand_previous!$B$4:$B$138, 0), MATCH(AP$4&amp;AP$5,Demand_previous!$D$2:$AY$2&amp;Demand_previous!$D$3:$AY$3, 0))/1000</f>
        <v>10.645286057692317</v>
      </c>
      <c r="AQ87" s="314">
        <f t="array" ref="AQ87">INDEX(Demand_previous!$D$4:$AY$138, MATCH('Staging Table'!$A87, Demand_previous!$B$4:$B$138, 0), MATCH(AQ$4&amp;AQ$5,Demand_previous!$D$2:$AY$2&amp;Demand_previous!$D$3:$AY$3, 0))/1000</f>
        <v>5.6664424999999987</v>
      </c>
      <c r="AR87" s="314">
        <f t="array" ref="AR87">INDEX(Demand_previous!$D$4:$AY$138, MATCH('Staging Table'!$A87, Demand_previous!$B$4:$B$138, 0), MATCH(AR$4&amp;AR$5,Demand_previous!$D$2:$AY$2&amp;Demand_previous!$D$3:$AY$3, 0))/1000</f>
        <v>8.7505168269230715</v>
      </c>
      <c r="AS87" s="314">
        <f t="array" ref="AS87">INDEX(Demand_previous!$D$4:$AY$138, MATCH('Staging Table'!$A87, Demand_previous!$B$4:$B$138, 0), MATCH(AS$4&amp;AS$5,Demand_previous!$D$2:$AY$2&amp;Demand_previous!$D$3:$AY$3, 0))/1000</f>
        <v>10.279161057692306</v>
      </c>
      <c r="AT87" s="314">
        <f t="array" ref="AT87">INDEX(Demand_previous!$D$4:$AY$138, MATCH('Staging Table'!$A87, Demand_previous!$B$4:$B$138, 0), MATCH(AT$4&amp;AT$5,Demand_previous!$D$2:$AY$2&amp;Demand_previous!$D$3:$AY$3, 0))/1000</f>
        <v>7.644747596153846</v>
      </c>
      <c r="AU87" s="314">
        <f t="array" ref="AU87">INDEX(Demand_previous!$D$4:$AY$138, MATCH('Staging Table'!$A87, Demand_previous!$B$4:$B$138, 0), MATCH(AU$4&amp;AU$5,Demand_previous!$D$2:$AY$2&amp;Demand_previous!$D$3:$AY$3, 0))/1000</f>
        <v>7.6744249999999905</v>
      </c>
      <c r="AV87" s="192">
        <f>$F87*(VLOOKUP(AV$4, Rates_previous!$G$6:$Q$29, 10, FALSE)+VLOOKUP(AV$4, Rates_previous!$G$6:$Q$29, 11, FALSE))</f>
        <v>30452.592102778799</v>
      </c>
      <c r="AW87" s="192">
        <f>$F87*(VLOOKUP(AW$4, Rates_previous!$G$6:$Q$29, 10, FALSE)+VLOOKUP(AW$4, Rates_previous!$G$6:$Q$29, 11, FALSE))</f>
        <v>38684.291841176702</v>
      </c>
      <c r="AX87" s="192">
        <f>$F87*(VLOOKUP(AX$4, Rates_previous!$G$6:$Q$29, 10, FALSE)+VLOOKUP(AX$4, Rates_previous!$G$6:$Q$29, 11, FALSE))</f>
        <v>38217.126672678802</v>
      </c>
      <c r="AY87" s="192">
        <f>$F87*(VLOOKUP(AY$4, Rates_previous!$G$6:$Q$29, 10, FALSE)+VLOOKUP(AY$4, Rates_previous!$G$6:$Q$29, 11, FALSE))</f>
        <v>31856.302778278805</v>
      </c>
      <c r="AZ87" s="192">
        <f>$F87*(VLOOKUP(AZ$4, Rates_previous!$G$6:$Q$29, 10, FALSE)+VLOOKUP(AZ$4, Rates_previous!$G$6:$Q$29, 11, FALSE))</f>
        <v>28858.50548104</v>
      </c>
      <c r="BA87" s="192">
        <f>$F87*(VLOOKUP(BA$4, Rates_previous!$G$6:$Q$29, 10, FALSE)+VLOOKUP(BA$4, Rates_previous!$G$6:$Q$29, 11, FALSE))</f>
        <v>32099.8259272961</v>
      </c>
      <c r="BB87" s="192">
        <f>$F87*(VLOOKUP(BB$4, Rates_previous!$G$6:$Q$29, 10, FALSE)+VLOOKUP(BB$4, Rates_previous!$G$6:$Q$29, 11, FALSE))</f>
        <v>26135.712909144</v>
      </c>
      <c r="BC87" s="192">
        <f>$F87*(VLOOKUP(BC$4, Rates_previous!$G$6:$Q$29, 10, FALSE)+VLOOKUP(BC$4, Rates_previous!$G$6:$Q$29, 11, FALSE))</f>
        <v>35247.906124428802</v>
      </c>
      <c r="BD87" s="192">
        <f>$F87*(VLOOKUP(BD$4, Rates_previous!$G$6:$Q$29, 10, FALSE)+VLOOKUP(BD$4, Rates_previous!$G$6:$Q$29, 11, FALSE))</f>
        <v>44973.930954494004</v>
      </c>
      <c r="BE87" s="192">
        <f>$F87*(VLOOKUP(BE$4, Rates_previous!$G$6:$Q$29, 10, FALSE)+VLOOKUP(BE$4, Rates_previous!$G$6:$Q$29, 11, FALSE))</f>
        <v>35260.987901978806</v>
      </c>
      <c r="BF87" s="192">
        <f>$F87*(VLOOKUP(BF$4, Rates_previous!$G$6:$Q$29, 10, FALSE)+VLOOKUP(BF$4, Rates_previous!$G$6:$Q$29, 11, FALSE))</f>
        <v>34337.180933328804</v>
      </c>
      <c r="BG87" s="192">
        <f>$F87*(VLOOKUP(BG$4, Rates_previous!$G$6:$Q$29, 10, FALSE)+VLOOKUP(BG$4, Rates_previous!$G$6:$Q$29, 11, FALSE))</f>
        <v>30827.484018444004</v>
      </c>
      <c r="BH87" s="314">
        <f>IF($D87=0,IF(C87=0, MAX(BJ87 - (VLOOKUP($A87,TOCA_previous!$A$2:$AI$137,MATCH("RHWM 2020",TOCA_previous!$A$2:$AI$2,0),FALSE)*$F$2*TOCA_previous!C84),0),0), 0)</f>
        <v>39200.044274714834</v>
      </c>
      <c r="BI87" s="204">
        <f>MIN(VLOOKUP($A87,TOCA_previous!$A$2:$AI$137,MATCH("TRL - NLSL - Existing Resource "&amp;$F$1,TOCA_previous!$A$2:$AI$2,0),FALSE)*$F$2,(VLOOKUP($A87,TOCA_previous!$A$2:$AI$137,MATCH("RHWM 2020",TOCA_previous!$A$2:$AI$2,0),FALSE)*$F$2))</f>
        <v>406953.93599999999</v>
      </c>
      <c r="BJ87" s="418">
        <f>SUM(L87:AI87)+(F87*RT1SC!$C$3*$F$2)</f>
        <v>447638.47627471481</v>
      </c>
      <c r="BK87" s="417">
        <f>VLOOKUP($A87,TOCA_previous!$A$2:$AI$137,MATCH("Above RHWM Not Served with LS "&amp;$F$1,TOCA_previous!$A$2:$AI$2,0),FALSE)*$F$2</f>
        <v>0</v>
      </c>
      <c r="BL87" s="418">
        <f t="shared" si="27"/>
        <v>40684.540274714818</v>
      </c>
      <c r="BM87" s="417">
        <f>(VLOOKUP($A87,TOCA_previous!$A$2:$AI$137,MATCH("RHWM 2020",TOCA_previous!$A$2:$AI$2,0),FALSE)*$F$2) - $BI87</f>
        <v>1484.4959999999846</v>
      </c>
      <c r="BN87" s="418">
        <f t="shared" si="28"/>
        <v>-1484.4959999999846</v>
      </c>
      <c r="BO87" s="417">
        <f t="shared" si="29"/>
        <v>0</v>
      </c>
      <c r="BP87" s="418">
        <f t="shared" si="30"/>
        <v>0</v>
      </c>
      <c r="BQ87" s="417">
        <f t="shared" si="21"/>
        <v>-1484.4959999999846</v>
      </c>
      <c r="BR87" s="120">
        <f>VLOOKUP($A87,TOCA_current!$A$2:$AI$137,MATCH(BR$4,TOCA_current!$A$2:$AI$2,0),FALSE)</f>
        <v>6.6194000000000001E-3</v>
      </c>
      <c r="BS87" s="120">
        <f>VLOOKUP($A87,TOCA_current!$A$2:$AI$137,MATCH(BS$4,TOCA_current!$A$2:$AI$2,0),FALSE)</f>
        <v>6.6194000000000001E-3</v>
      </c>
      <c r="BT87" s="201">
        <f t="shared" si="31"/>
        <v>0</v>
      </c>
      <c r="BU87" s="120">
        <f>VLOOKUP($A87,TOCA_current!A83:BG218,MATCH(BU$4,TOCA_current!$A$2:$BG$2,0),FALSE)</f>
        <v>6.8758269605974309E-2</v>
      </c>
      <c r="BV87" s="120">
        <f t="shared" si="22"/>
        <v>0</v>
      </c>
      <c r="BW87" s="120">
        <f t="shared" si="23"/>
        <v>0</v>
      </c>
      <c r="BX87" s="191">
        <f>VLOOKUP($A87,IRD!$A$4:$G$139, 7, FALSE)</f>
        <v>41489.314000000006</v>
      </c>
      <c r="BY87" s="192">
        <f t="array" ref="BY87">IF($BT87=0, INDEX(LS_current!$D$4:$AY$138, MATCH('Staging Table'!$A87, LS_current!$B$4:$B$138, 0), MATCH(BY$4&amp;BY$5, LS_current!$D$2:$AY$2&amp;LS_current!$D$3:$AY$3, 0)),SUM(VLOOKUP($A87, LS_current!$B$4:$AY$138, LS_current!D$148, FALSE), VLOOKUP($A87, LS_current!$B$4:$AY$138,LS_current!AB$148, FALSE))/2)</f>
        <v>-3661.7750770662878</v>
      </c>
      <c r="BZ87" s="192">
        <f t="array" ref="BZ87">IF($BT87=0, INDEX(LS_current!$D$4:$AY$138, MATCH('Staging Table'!$A87, LS_current!$B$4:$B$138, 0), MATCH(BZ$4&amp;BZ$5, LS_current!$D$2:$AY$2&amp;LS_current!$D$3:$AY$3, 0)),SUM(VLOOKUP($A87, LS_current!$B$4:$AY$138, LS_current!E$148, FALSE), VLOOKUP($A87, LS_current!$B$4:$AY$138,LS_current!AC$148, FALSE))/2)</f>
        <v>-83.912233732316963</v>
      </c>
      <c r="CA87" s="192">
        <f t="array" ref="CA87">IF($BT87=0, INDEX(LS_current!$D$4:$AY$138, MATCH('Staging Table'!$A87, LS_current!$B$4:$B$138, 0), MATCH(CA$4&amp;CA$5, LS_current!$D$2:$AY$2&amp;LS_current!$D$3:$AY$3, 0)),SUM(VLOOKUP($A87, LS_current!$B$4:$AY$138, LS_current!F$148, FALSE), VLOOKUP($A87, LS_current!$B$4:$AY$138,LS_current!AD$148, FALSE))/2)</f>
        <v>-4052.7602619750796</v>
      </c>
      <c r="CB87" s="192">
        <f t="array" ref="CB87">IF($BT87=0, INDEX(LS_current!$D$4:$AY$138, MATCH('Staging Table'!$A87, LS_current!$B$4:$B$138, 0), MATCH(CB$4&amp;CB$5, LS_current!$D$2:$AY$2&amp;LS_current!$D$3:$AY$3, 0)),SUM(VLOOKUP($A87, LS_current!$B$4:$AY$138, LS_current!G$148, FALSE), VLOOKUP($A87, LS_current!$B$4:$AY$138,LS_current!AE$148, FALSE))/2)</f>
        <v>-920.90484351536725</v>
      </c>
      <c r="CC87" s="192">
        <f t="array" ref="CC87">IF($BT87=0, INDEX(LS_current!$D$4:$AY$138, MATCH('Staging Table'!$A87, LS_current!$B$4:$B$138, 0), MATCH(CC$4&amp;CC$5, LS_current!$D$2:$AY$2&amp;LS_current!$D$3:$AY$3, 0)),SUM(VLOOKUP($A87, LS_current!$B$4:$AY$138, LS_current!H$148, FALSE), VLOOKUP($A87, LS_current!$B$4:$AY$138,LS_current!AF$148, FALSE))/2)</f>
        <v>2870.8618134497374</v>
      </c>
      <c r="CD87" s="192">
        <f t="array" ref="CD87">IF($BT87=0, INDEX(LS_current!$D$4:$AY$138, MATCH('Staging Table'!$A87, LS_current!$B$4:$B$138, 0), MATCH(CD$4&amp;CD$5, LS_current!$D$2:$AY$2&amp;LS_current!$D$3:$AY$3, 0)),SUM(VLOOKUP($A87, LS_current!$B$4:$AY$138, LS_current!I$148, FALSE), VLOOKUP($A87, LS_current!$B$4:$AY$138,LS_current!AG$148, FALSE))/2)</f>
        <v>2592.5104832060151</v>
      </c>
      <c r="CE87" s="192">
        <f t="array" ref="CE87">IF($BT87=0, INDEX(LS_current!$D$4:$AY$138, MATCH('Staging Table'!$A87, LS_current!$B$4:$B$138, 0), MATCH(CE$4&amp;CE$5, LS_current!$D$2:$AY$2&amp;LS_current!$D$3:$AY$3, 0)),SUM(VLOOKUP($A87, LS_current!$B$4:$AY$138, LS_current!J$148, FALSE), VLOOKUP($A87, LS_current!$B$4:$AY$138,LS_current!AH$148, FALSE))/2)</f>
        <v>5389.1291669945713</v>
      </c>
      <c r="CF87" s="192">
        <f t="array" ref="CF87">IF($BT87=0, INDEX(LS_current!$D$4:$AY$138, MATCH('Staging Table'!$A87, LS_current!$B$4:$B$138, 0), MATCH(CF$4&amp;CF$5, LS_current!$D$2:$AY$2&amp;LS_current!$D$3:$AY$3, 0)),SUM(VLOOKUP($A87, LS_current!$B$4:$AY$138, LS_current!K$148, FALSE), VLOOKUP($A87, LS_current!$B$4:$AY$138,LS_current!AI$148, FALSE))/2)</f>
        <v>2970.5505045733917</v>
      </c>
      <c r="CG87" s="192">
        <f t="array" ref="CG87">IF($BT87=0, INDEX(LS_current!$D$4:$AY$138, MATCH('Staging Table'!$A87, LS_current!$B$4:$B$138, 0), MATCH(CG$4&amp;CG$5, LS_current!$D$2:$AY$2&amp;LS_current!$D$3:$AY$3, 0)),SUM(VLOOKUP($A87, LS_current!$B$4:$AY$138, LS_current!L$148, FALSE), VLOOKUP($A87, LS_current!$B$4:$AY$138,LS_current!AJ$148, FALSE))/2)</f>
        <v>4867.906408663941</v>
      </c>
      <c r="CH87" s="192">
        <f t="array" ref="CH87">IF($BT87=0, INDEX(LS_current!$D$4:$AY$138, MATCH('Staging Table'!$A87, LS_current!$B$4:$B$138, 0), MATCH(CH$4&amp;CH$5, LS_current!$D$2:$AY$2&amp;LS_current!$D$3:$AY$3, 0)),SUM(VLOOKUP($A87, LS_current!$B$4:$AY$138, LS_current!M$148, FALSE), VLOOKUP($A87, LS_current!$B$4:$AY$138,LS_current!AK$148, FALSE))/2)</f>
        <v>2546.5377793603675</v>
      </c>
      <c r="CI87" s="192">
        <f t="array" ref="CI87">IF($BT87=0, INDEX(LS_current!$D$4:$AY$138, MATCH('Staging Table'!$A87, LS_current!$B$4:$B$138, 0), MATCH(CI$4&amp;CI$5, LS_current!$D$2:$AY$2&amp;LS_current!$D$3:$AY$3, 0)),SUM(VLOOKUP($A87, LS_current!$B$4:$AY$138, LS_current!N$148, FALSE), VLOOKUP($A87, LS_current!$B$4:$AY$138,LS_current!AL$148, FALSE))/2)</f>
        <v>-696.46874013133856</v>
      </c>
      <c r="CJ87" s="192">
        <f t="array" ref="CJ87">IF($BT87=0, INDEX(LS_current!$D$4:$AY$138, MATCH('Staging Table'!$A87, LS_current!$B$4:$B$138, 0), MATCH(CJ$4&amp;CJ$5, LS_current!$D$2:$AY$2&amp;LS_current!$D$3:$AY$3, 0)),SUM(VLOOKUP($A87, LS_current!$B$4:$AY$138, LS_current!O$148, FALSE), VLOOKUP($A87, LS_current!$B$4:$AY$138,LS_current!AM$148, FALSE))/2)</f>
        <v>891.31153373172128</v>
      </c>
      <c r="CK87" s="192">
        <f t="array" ref="CK87">IF($BT87=0, INDEX(LS_current!$D$4:$AY$138, MATCH('Staging Table'!$A87, LS_current!$B$4:$B$138, 0), MATCH(CK$4&amp;CK$5, LS_current!$D$2:$AY$2&amp;LS_current!$D$3:$AY$3, 0)),SUM(VLOOKUP($A87, LS_current!$B$4:$AY$138, LS_current!P$148, FALSE), VLOOKUP($A87, LS_current!$B$4:$AY$138,LS_current!AN$148, FALSE))/2)</f>
        <v>2044.6651409533788</v>
      </c>
      <c r="CL87" s="192">
        <f t="array" ref="CL87">IF($BT87=0, INDEX(LS_current!$D$4:$AY$138, MATCH('Staging Table'!$A87, LS_current!$B$4:$B$138, 0), MATCH(CL$4&amp;CL$5, LS_current!$D$2:$AY$2&amp;LS_current!$D$3:$AY$3, 0)),SUM(VLOOKUP($A87, LS_current!$B$4:$AY$138, LS_current!Q$148, FALSE), VLOOKUP($A87, LS_current!$B$4:$AY$138,LS_current!AO$148, FALSE))/2)</f>
        <v>2150.65981408689</v>
      </c>
      <c r="CM87" s="192">
        <f t="array" ref="CM87">IF($BT87=0, INDEX(LS_current!$D$4:$AY$138, MATCH('Staging Table'!$A87, LS_current!$B$4:$B$138, 0), MATCH(CM$4&amp;CM$5, LS_current!$D$2:$AY$2&amp;LS_current!$D$3:$AY$3, 0)),SUM(VLOOKUP($A87, LS_current!$B$4:$AY$138, LS_current!R$148, FALSE), VLOOKUP($A87, LS_current!$B$4:$AY$138,LS_current!AP$148, FALSE))/2)</f>
        <v>-3613.8776169328121</v>
      </c>
      <c r="CN87" s="192">
        <f t="array" ref="CN87">IF($BT87=0, INDEX(LS_current!$D$4:$AY$138, MATCH('Staging Table'!$A87, LS_current!$B$4:$B$138, 0), MATCH(CN$4&amp;CN$5, LS_current!$D$2:$AY$2&amp;LS_current!$D$3:$AY$3, 0)),SUM(VLOOKUP($A87, LS_current!$B$4:$AY$138, LS_current!S$148, FALSE), VLOOKUP($A87, LS_current!$B$4:$AY$138,LS_current!AQ$148, FALSE))/2)</f>
        <v>1469.3142709723306</v>
      </c>
      <c r="CO87" s="192">
        <f t="array" ref="CO87">IF($BT87=0, INDEX(LS_current!$D$4:$AY$138, MATCH('Staging Table'!$A87, LS_current!$B$4:$B$138, 0), MATCH(CO$4&amp;CO$5, LS_current!$D$2:$AY$2&amp;LS_current!$D$3:$AY$3, 0)),SUM(VLOOKUP($A87, LS_current!$B$4:$AY$138, LS_current!T$148, FALSE), VLOOKUP($A87, LS_current!$B$4:$AY$138,LS_current!AR$148, FALSE))/2)</f>
        <v>-8455.7391237892698</v>
      </c>
      <c r="CP87" s="192">
        <f t="array" ref="CP87">IF($BT87=0, INDEX(LS_current!$D$4:$AY$138, MATCH('Staging Table'!$A87, LS_current!$B$4:$B$138, 0), MATCH(CP$4&amp;CP$5, LS_current!$D$2:$AY$2&amp;LS_current!$D$3:$AY$3, 0)),SUM(VLOOKUP($A87, LS_current!$B$4:$AY$138, LS_current!U$148, FALSE), VLOOKUP($A87, LS_current!$B$4:$AY$138,LS_current!AS$148, FALSE))/2)</f>
        <v>633.52785216010489</v>
      </c>
      <c r="CQ87" s="192">
        <f t="array" ref="CQ87">IF($BT87=0, INDEX(LS_current!$D$4:$AY$138, MATCH('Staging Table'!$A87, LS_current!$B$4:$B$138, 0), MATCH(CQ$4&amp;CQ$5, LS_current!$D$2:$AY$2&amp;LS_current!$D$3:$AY$3, 0)),SUM(VLOOKUP($A87, LS_current!$B$4:$AY$138, LS_current!V$148, FALSE), VLOOKUP($A87, LS_current!$B$4:$AY$138,LS_current!AT$148, FALSE))/2)</f>
        <v>-4087.3020291601024</v>
      </c>
      <c r="CR87" s="192">
        <f t="array" ref="CR87">IF($BT87=0, INDEX(LS_current!$D$4:$AY$138, MATCH('Staging Table'!$A87, LS_current!$B$4:$B$138, 0), MATCH(CR$4&amp;CR$5, LS_current!$D$2:$AY$2&amp;LS_current!$D$3:$AY$3, 0)),SUM(VLOOKUP($A87, LS_current!$B$4:$AY$138, LS_current!W$148, FALSE), VLOOKUP($A87, LS_current!$B$4:$AY$138,LS_current!AU$148, FALSE))/2)</f>
        <v>2699.3352654924074</v>
      </c>
      <c r="CS87" s="192">
        <f t="array" ref="CS87">IF($BT87=0, INDEX(LS_current!$D$4:$AY$138, MATCH('Staging Table'!$A87, LS_current!$B$4:$B$138, 0), MATCH(CS$4&amp;CS$5, LS_current!$D$2:$AY$2&amp;LS_current!$D$3:$AY$3, 0)),SUM(VLOOKUP($A87, LS_current!$B$4:$AY$138, LS_current!X$148, FALSE), VLOOKUP($A87, LS_current!$B$4:$AY$138,LS_current!AV$148, FALSE))/2)</f>
        <v>-2843.0074419653683</v>
      </c>
      <c r="CT87" s="192">
        <f t="array" ref="CT87">IF($BT87=0, INDEX(LS_current!$D$4:$AY$138, MATCH('Staging Table'!$A87, LS_current!$B$4:$B$138, 0), MATCH(CT$4&amp;CT$5, LS_current!$D$2:$AY$2&amp;LS_current!$D$3:$AY$3, 0)),SUM(VLOOKUP($A87, LS_current!$B$4:$AY$138, LS_current!Y$148, FALSE), VLOOKUP($A87, LS_current!$B$4:$AY$138,LS_current!AW$148, FALSE))/2)</f>
        <v>2105.186176830055</v>
      </c>
      <c r="CU87" s="192">
        <f t="array" ref="CU87">IF($BT87=0, INDEX(LS_current!$D$4:$AY$138, MATCH('Staging Table'!$A87, LS_current!$B$4:$B$138, 0), MATCH(CU$4&amp;CU$5, LS_current!$D$2:$AY$2&amp;LS_current!$D$3:$AY$3, 0)),SUM(VLOOKUP($A87, LS_current!$B$4:$AY$138, LS_current!Z$148, FALSE), VLOOKUP($A87, LS_current!$B$4:$AY$138,LS_current!AX$148, FALSE))/2)</f>
        <v>-4896.8848478306409</v>
      </c>
      <c r="CV87" s="192">
        <f t="array" ref="CV87">IF($BT87=0, INDEX(LS_current!$D$4:$AY$138, MATCH('Staging Table'!$A87, LS_current!$B$4:$B$138, 0), MATCH(CV$4&amp;CV$5, LS_current!$D$2:$AY$2&amp;LS_current!$D$3:$AY$3, 0)),SUM(VLOOKUP($A87, LS_current!$B$4:$AY$138, LS_current!AA$148, FALSE), VLOOKUP($A87, LS_current!$B$4:$AY$138,LS_current!AY$148, FALSE))/2)</f>
        <v>86.641249329835773</v>
      </c>
      <c r="CW87" s="194">
        <f t="array" ref="CW87">INDEX(Demand_current!$D$4:$AY$138, MATCH($A87, Demand_current!$B$4:$B$138, 0), MATCH(CW$4&amp;CW$5,Demand_current!$D$2:$AY$2&amp;Demand_current!$D$3:$AY$3, 0))/1000</f>
        <v>8.3570384615384512</v>
      </c>
      <c r="CX87" s="194">
        <f t="array" ref="CX87">INDEX(Demand_current!$D$4:$AY$138, MATCH($A87, Demand_current!$B$4:$B$138, 0), MATCH(CX$4&amp;CX$5,Demand_current!$D$2:$AY$2&amp;Demand_current!$D$3:$AY$3, 0))/1000</f>
        <v>8.5857150000000075</v>
      </c>
      <c r="CY87" s="194">
        <f t="array" ref="CY87">INDEX(Demand_current!$D$4:$AY$138, MATCH($A87, Demand_current!$B$4:$B$138, 0), MATCH(CY$4&amp;CY$5,Demand_current!$D$2:$AY$2&amp;Demand_current!$D$3:$AY$3, 0))/1000</f>
        <v>21.794930288461543</v>
      </c>
      <c r="CZ87" s="194">
        <f t="array" ref="CZ87">INDEX(Demand_current!$D$4:$AY$138, MATCH($A87, Demand_current!$B$4:$B$138, 0), MATCH(CZ$4&amp;CZ$5,Demand_current!$D$2:$AY$2&amp;Demand_current!$D$3:$AY$3, 0))/1000</f>
        <v>13.581010000000006</v>
      </c>
      <c r="DA87" s="194">
        <f t="array" ref="DA87">INDEX(Demand_current!$D$4:$AY$138, MATCH($A87, Demand_current!$B$4:$B$138, 0), MATCH(DA$4&amp;DA$5,Demand_current!$D$2:$AY$2&amp;Demand_current!$D$3:$AY$3, 0))/1000</f>
        <v>9.9030338541666687</v>
      </c>
      <c r="DB87" s="194">
        <f t="array" ref="DB87">INDEX(Demand_current!$D$4:$AY$138, MATCH($A87, Demand_current!$B$4:$B$138, 0), MATCH(DB$4&amp;DB$5,Demand_current!$D$2:$AY$2&amp;Demand_current!$D$3:$AY$3, 0))/1000</f>
        <v>12.274717592592587</v>
      </c>
      <c r="DC87" s="194">
        <f t="array" ref="DC87">INDEX(Demand_current!$D$4:$AY$138, MATCH($A87, Demand_current!$B$4:$B$138, 0), MATCH(DC$4&amp;DC$5,Demand_current!$D$2:$AY$2&amp;Demand_current!$D$3:$AY$3, 0))/1000</f>
        <v>10.645286057692317</v>
      </c>
      <c r="DD87" s="194">
        <f t="array" ref="DD87">INDEX(Demand_current!$D$4:$AY$138, MATCH($A87, Demand_current!$B$4:$B$138, 0), MATCH(DD$4&amp;DD$5,Demand_current!$D$2:$AY$2&amp;Demand_current!$D$3:$AY$3, 0))/1000</f>
        <v>5.6664425000000058</v>
      </c>
      <c r="DE87" s="194">
        <f t="array" ref="DE87">INDEX(Demand_current!$D$4:$AY$138, MATCH($A87, Demand_current!$B$4:$B$138, 0), MATCH(DE$4&amp;DE$5,Demand_current!$D$2:$AY$2&amp;Demand_current!$D$3:$AY$3, 0))/1000</f>
        <v>8.7505168269230715</v>
      </c>
      <c r="DF87" s="194">
        <f t="array" ref="DF87">INDEX(Demand_current!$D$4:$AY$138, MATCH($A87, Demand_current!$B$4:$B$138, 0), MATCH(DF$4&amp;DF$5,Demand_current!$D$2:$AY$2&amp;Demand_current!$D$3:$AY$3, 0))/1000</f>
        <v>8.1706475000000083</v>
      </c>
      <c r="DG87" s="194">
        <f t="array" ref="DG87">INDEX(Demand_current!$D$4:$AY$138, MATCH($A87, Demand_current!$B$4:$B$138, 0), MATCH(DG$4&amp;DG$5,Demand_current!$D$2:$AY$2&amp;Demand_current!$D$3:$AY$3, 0))/1000</f>
        <v>9.6807199074074113</v>
      </c>
      <c r="DH87" s="194">
        <f t="array" ref="DH87">INDEX(Demand_current!$D$4:$AY$138, MATCH($A87, Demand_current!$B$4:$B$138, 0), MATCH(DH$4&amp;DH$5,Demand_current!$D$2:$AY$2&amp;Demand_current!$D$3:$AY$3, 0))/1000</f>
        <v>7.6744249999999905</v>
      </c>
      <c r="DI87" s="192">
        <f>$BS87*(VLOOKUP(DI$4, Rates_current!$G$6:$Q$29, 10, FALSE)+VLOOKUP(DI$4, Rates_current!$G$6:$Q$29, 11, FALSE))</f>
        <v>30144.247310798601</v>
      </c>
      <c r="DJ87" s="192">
        <f>$BS87*(VLOOKUP(DJ$4, Rates_current!$G$6:$Q$29, 10, FALSE)+VLOOKUP(DJ$4, Rates_current!$G$6:$Q$29, 11, FALSE))</f>
        <v>38163.711105490453</v>
      </c>
      <c r="DK87" s="192">
        <f>$BS87*(VLOOKUP(DK$4, Rates_current!$G$6:$Q$29, 10, FALSE)+VLOOKUP(DK$4, Rates_current!$G$6:$Q$29, 11, FALSE))</f>
        <v>37354.648703344254</v>
      </c>
      <c r="DL87" s="192">
        <f>$BS87*(VLOOKUP(DL$4, Rates_current!$G$6:$Q$29, 10, FALSE)+VLOOKUP(DL$4, Rates_current!$G$6:$Q$29, 11, FALSE))</f>
        <v>30853.351328432036</v>
      </c>
      <c r="DM87" s="192">
        <f>$BS87*(VLOOKUP(DM$4, Rates_current!$G$6:$Q$29, 10, FALSE)+VLOOKUP(DM$4, Rates_current!$G$6:$Q$29, 11, FALSE))</f>
        <v>26741.275811975695</v>
      </c>
      <c r="DN87" s="192">
        <f>$BS87*(VLOOKUP(DN$4, Rates_current!$G$6:$Q$29, 10, FALSE)+VLOOKUP(DN$4, Rates_current!$G$6:$Q$29, 11, FALSE))</f>
        <v>31923.683206399623</v>
      </c>
      <c r="DO87" s="192">
        <f>$BS87*(VLOOKUP(DO$4, Rates_current!$G$6:$Q$29, 10, FALSE)+VLOOKUP(DO$4, Rates_current!$G$6:$Q$29, 11, FALSE))</f>
        <v>24784.49004495973</v>
      </c>
      <c r="DP87" s="192">
        <f>$BS87*(VLOOKUP(DP$4, Rates_current!$G$6:$Q$29, 10, FALSE)+VLOOKUP(DP$4, Rates_current!$G$6:$Q$29, 11, FALSE))</f>
        <v>34339.093345960486</v>
      </c>
      <c r="DQ87" s="192">
        <f>$BS87*(VLOOKUP(DQ$4, Rates_current!$G$6:$Q$29, 10, FALSE)+VLOOKUP(DQ$4, Rates_current!$G$6:$Q$29, 11, FALSE))</f>
        <v>36692.040271629165</v>
      </c>
      <c r="DR87" s="192">
        <f>$BS87*(VLOOKUP(DR$4, Rates_current!$G$6:$Q$29, 10, FALSE)+VLOOKUP(DR$4, Rates_current!$G$6:$Q$29, 11, FALSE))</f>
        <v>34837.430763667697</v>
      </c>
      <c r="DS87" s="192">
        <f>$BS87*(VLOOKUP(DS$4, Rates_current!$G$6:$Q$29, 10, FALSE)+VLOOKUP(DS$4, Rates_current!$G$6:$Q$29, 11, FALSE))</f>
        <v>33667.689265135319</v>
      </c>
      <c r="DT87" s="192">
        <f>$BS87*(VLOOKUP(DT$4, Rates_current!$G$6:$Q$29, 10, FALSE)+VLOOKUP(DT$4, Rates_current!$G$6:$Q$29, 11, FALSE))</f>
        <v>31112.454598500808</v>
      </c>
      <c r="DU87" s="418">
        <f>IF(D87=0,IF(C87=0,MAX(0,DW87 - (VLOOKUP($A87,TOCA_current!$A$2:$AI$137,MATCH("RHWM 2022",TOCA_current!$A$2:$AI$2,0),FALSE)*$BS$2)), 0),0)</f>
        <v>2.4809816021588631</v>
      </c>
      <c r="DV87" s="419">
        <f>MIN(VLOOKUP($A87,TOCA_current!$A$2:$AI$137,MATCH("TRL - NLSL - Existing Resource "&amp;$BS$1,TOCA_current!$A$2:$AI$2,0),FALSE)*$BS$2, VLOOKUP($A87,TOCA_current!$A$2:$AI$137,MATCH("RHWM 2022",TOCA_current!$A$2:$AI$2,0),FALSE)*$BS$2)</f>
        <v>390617.16000000003</v>
      </c>
      <c r="DW87" s="419">
        <f>SUM(BY87:CV87)+(BS87*RT1SC!$C$4*$BS$2)</f>
        <v>390619.64098160219</v>
      </c>
      <c r="DX87" s="419">
        <f>VLOOKUP($A87,TOCA_current!$A$2:$AI$137,MATCH("Above RHWM Not Served with LS "&amp;$BS$1,TOCA_current!$A$2:$AI$2,0),FALSE)*$BS$2</f>
        <v>57018.840000000004</v>
      </c>
      <c r="DY87" s="419">
        <f t="shared" si="32"/>
        <v>2.4809816021588631</v>
      </c>
      <c r="DZ87" s="419">
        <f>(VLOOKUP($A87,TOCA_current!$A$2:$AI$137,MATCH("RHWM 2022",TOCA_current!$A$2:$AI$2,0),FALSE)*$BS$2) - $DV87</f>
        <v>0</v>
      </c>
      <c r="EA87" s="419">
        <f t="shared" si="33"/>
        <v>0</v>
      </c>
      <c r="EB87" s="419">
        <f t="shared" si="34"/>
        <v>0</v>
      </c>
      <c r="EC87" s="419">
        <f t="shared" si="35"/>
        <v>0</v>
      </c>
      <c r="ED87" s="419">
        <f t="shared" si="36"/>
        <v>0</v>
      </c>
    </row>
    <row r="88" spans="1:134">
      <c r="A88" s="135">
        <v>10258</v>
      </c>
      <c r="B88" s="136" t="s">
        <v>89</v>
      </c>
      <c r="C88" s="244">
        <f>VLOOKUP(A88, TOCA_current!$A$3:$D$137, 4, FALSE)</f>
        <v>0</v>
      </c>
      <c r="D88" s="203">
        <v>0</v>
      </c>
      <c r="E88" s="119">
        <f>VLOOKUP($A88,TOCA_previous!$A$2:$AI$137,MATCH(E$4,TOCA_previous!$A$2:$AI$2,0),FALSE)</f>
        <v>5.3742E-3</v>
      </c>
      <c r="F88" s="120">
        <f>VLOOKUP($A88,TOCA_previous!$A$2:$AI$137,MATCH(F$4,TOCA_previous!$A$2:$AI$2,0),FALSE)</f>
        <v>5.3742E-3</v>
      </c>
      <c r="G88" s="120">
        <f t="shared" si="24"/>
        <v>0</v>
      </c>
      <c r="H88" s="120">
        <f>VLOOKUP($A88,TOCA_previous!$A$2:$AI$137,MATCH(H$4,TOCA_previous!$A$2:$AI$2,0),FALSE)</f>
        <v>6.0308336203014491E-2</v>
      </c>
      <c r="I88" s="120">
        <f t="shared" si="25"/>
        <v>0</v>
      </c>
      <c r="J88" s="120">
        <f t="shared" si="26"/>
        <v>0</v>
      </c>
      <c r="K88" s="191">
        <f>VLOOKUP(A88, IRD!$A$5:$C$139, 3, FALSE)</f>
        <v>18387.022000000001</v>
      </c>
      <c r="L88" s="192">
        <f t="array" ref="L88">IF($G88=0, INDEX(LS_previous!$D$4:$AY$138, MATCH('Staging Table'!$A88, LS_previous!$B$4:$B$138, 0), MATCH(L$4&amp;L$5, LS_previous!$D$2:$AY$2&amp;LS_previous!$D$3:$AY$3, 0)),SUM(VLOOKUP($A88, LS_previous!$B$4:$AY$138, LS_previous!D$149, FALSE), VLOOKUP('Staging Table'!$A88, LS_previous!$B$4:$AY$138,LS_previous!AB$149, FALSE))/2)</f>
        <v>-1592.6822081896007</v>
      </c>
      <c r="M88" s="192">
        <f t="array" ref="M88">IF($G88=0, INDEX(LS_previous!$D$4:$AY$138, MATCH('Staging Table'!$A88, LS_previous!$B$4:$B$138, 0), MATCH(M$4&amp;M$5, LS_previous!$D$2:$AY$2&amp;LS_previous!$D$3:$AY$3, 0)),SUM(VLOOKUP($A88, LS_previous!$B$4:$AY$138, LS_previous!E$149, FALSE), VLOOKUP('Staging Table'!$A88, LS_previous!$B$4:$AY$138,LS_previous!AC$149, FALSE))/2)</f>
        <v>4.9271334464010579</v>
      </c>
      <c r="N88" s="192">
        <f t="array" ref="N88">IF($G88=0, INDEX(LS_previous!$D$4:$AY$138, MATCH('Staging Table'!$A88, LS_previous!$B$4:$B$138, 0), MATCH(N$4&amp;N$5, LS_previous!$D$2:$AY$2&amp;LS_previous!$D$3:$AY$3, 0)),SUM(VLOOKUP($A88, LS_previous!$B$4:$AY$138, LS_previous!F$149, FALSE), VLOOKUP('Staging Table'!$A88, LS_previous!$B$4:$AY$138,LS_previous!AD$149, FALSE))/2)</f>
        <v>-2941.2605689775992</v>
      </c>
      <c r="O88" s="192">
        <f t="array" ref="O88">IF($G88=0, INDEX(LS_previous!$D$4:$AY$138, MATCH('Staging Table'!$A88, LS_previous!$B$4:$B$138, 0), MATCH(O$4&amp;O$5, LS_previous!$D$2:$AY$2&amp;LS_previous!$D$3:$AY$3, 0)),SUM(VLOOKUP($A88, LS_previous!$B$4:$AY$138, LS_previous!G$149, FALSE), VLOOKUP('Staging Table'!$A88, LS_previous!$B$4:$AY$138,LS_previous!AE$149, FALSE))/2)</f>
        <v>704.02925594379849</v>
      </c>
      <c r="P88" s="192">
        <f t="array" ref="P88">IF($G88=0, INDEX(LS_previous!$D$4:$AY$138, MATCH('Staging Table'!$A88, LS_previous!$B$4:$B$138, 0), MATCH(P$4&amp;P$5, LS_previous!$D$2:$AY$2&amp;LS_previous!$D$3:$AY$3, 0)),SUM(VLOOKUP($A88, LS_previous!$B$4:$AY$138, LS_previous!H$149, FALSE), VLOOKUP('Staging Table'!$A88, LS_previous!$B$4:$AY$138,LS_previous!AF$149, FALSE))/2)</f>
        <v>6189.6701533375963</v>
      </c>
      <c r="Q88" s="192">
        <f t="array" ref="Q88">IF($G88=0, INDEX(LS_previous!$D$4:$AY$138, MATCH('Staging Table'!$A88, LS_previous!$B$4:$B$138, 0), MATCH(Q$4&amp;Q$5, LS_previous!$D$2:$AY$2&amp;LS_previous!$D$3:$AY$3, 0)),SUM(VLOOKUP($A88, LS_previous!$B$4:$AY$138, LS_previous!I$149, FALSE), VLOOKUP('Staging Table'!$A88, LS_previous!$B$4:$AY$138,LS_previous!AG$149, FALSE))/2)</f>
        <v>7286.0054733191992</v>
      </c>
      <c r="R88" s="192">
        <f t="array" ref="R88">IF($G88=0, INDEX(LS_previous!$D$4:$AY$138, MATCH('Staging Table'!$A88, LS_previous!$B$4:$B$138, 0), MATCH(R$4&amp;R$5, LS_previous!$D$2:$AY$2&amp;LS_previous!$D$3:$AY$3, 0)),SUM(VLOOKUP($A88, LS_previous!$B$4:$AY$138, LS_previous!J$149, FALSE), VLOOKUP('Staging Table'!$A88, LS_previous!$B$4:$AY$138,LS_previous!AH$149, FALSE))/2)</f>
        <v>10147.575352537599</v>
      </c>
      <c r="S88" s="192">
        <f t="array" ref="S88">IF($G88=0, INDEX(LS_previous!$D$4:$AY$138, MATCH('Staging Table'!$A88, LS_previous!$B$4:$B$138, 0), MATCH(S$4&amp;S$5, LS_previous!$D$2:$AY$2&amp;LS_previous!$D$3:$AY$3, 0)),SUM(VLOOKUP($A88, LS_previous!$B$4:$AY$138, LS_previous!K$149, FALSE), VLOOKUP('Staging Table'!$A88, LS_previous!$B$4:$AY$138,LS_previous!AI$149, FALSE))/2)</f>
        <v>9585.8147157192016</v>
      </c>
      <c r="T88" s="192">
        <f t="array" ref="T88">IF($G88=0, INDEX(LS_previous!$D$4:$AY$138, MATCH('Staging Table'!$A88, LS_previous!$B$4:$B$138, 0), MATCH(T$4&amp;T$5, LS_previous!$D$2:$AY$2&amp;LS_previous!$D$3:$AY$3, 0)),SUM(VLOOKUP($A88, LS_previous!$B$4:$AY$138, LS_previous!L$149, FALSE), VLOOKUP('Staging Table'!$A88, LS_previous!$B$4:$AY$138,LS_previous!AJ$149, FALSE))/2)</f>
        <v>4351.6669361992026</v>
      </c>
      <c r="U88" s="192">
        <f t="array" ref="U88">IF($G88=0, INDEX(LS_previous!$D$4:$AY$138, MATCH('Staging Table'!$A88, LS_previous!$B$4:$B$138, 0), MATCH(U$4&amp;U$5, LS_previous!$D$2:$AY$2&amp;LS_previous!$D$3:$AY$3, 0)),SUM(VLOOKUP($A88, LS_previous!$B$4:$AY$138, LS_previous!M$149, FALSE), VLOOKUP('Staging Table'!$A88, LS_previous!$B$4:$AY$138,LS_previous!AK$149, FALSE))/2)</f>
        <v>4974.0632572408012</v>
      </c>
      <c r="V88" s="192">
        <f t="array" ref="V88">IF($G88=0, INDEX(LS_previous!$D$4:$AY$138, MATCH('Staging Table'!$A88, LS_previous!$B$4:$B$138, 0), MATCH(V$4&amp;V$5, LS_previous!$D$2:$AY$2&amp;LS_previous!$D$3:$AY$3, 0)),SUM(VLOOKUP($A88, LS_previous!$B$4:$AY$138, LS_previous!N$149, FALSE), VLOOKUP('Staging Table'!$A88, LS_previous!$B$4:$AY$138,LS_previous!AL$149, FALSE))/2)</f>
        <v>1721.131914052803</v>
      </c>
      <c r="W88" s="192">
        <f t="array" ref="W88">IF($G88=0, INDEX(LS_previous!$D$4:$AY$138, MATCH('Staging Table'!$A88, LS_previous!$B$4:$B$138, 0), MATCH(W$4&amp;W$5, LS_previous!$D$2:$AY$2&amp;LS_previous!$D$3:$AY$3, 0)),SUM(VLOOKUP($A88, LS_previous!$B$4:$AY$138, LS_previous!O$149, FALSE), VLOOKUP('Staging Table'!$A88, LS_previous!$B$4:$AY$138,LS_previous!AM$149, FALSE))/2)</f>
        <v>3419.1365853217994</v>
      </c>
      <c r="X88" s="192">
        <f t="array" ref="X88">IF($G88=0, INDEX(LS_previous!$D$4:$AY$138, MATCH('Staging Table'!$A88, LS_previous!$B$4:$B$138, 0), MATCH(X$4&amp;X$5, LS_previous!$D$2:$AY$2&amp;LS_previous!$D$3:$AY$3, 0)),SUM(VLOOKUP($A88, LS_previous!$B$4:$AY$138, LS_previous!P$149, FALSE), VLOOKUP('Staging Table'!$A88, LS_previous!$B$4:$AY$138,LS_previous!AN$149, FALSE))/2)</f>
        <v>504.56886879520061</v>
      </c>
      <c r="Y88" s="192">
        <f t="array" ref="Y88">IF($G88=0, INDEX(LS_previous!$D$4:$AY$138, MATCH('Staging Table'!$A88, LS_previous!$B$4:$B$138, 0), MATCH(Y$4&amp;Y$5, LS_previous!$D$2:$AY$2&amp;LS_previous!$D$3:$AY$3, 0)),SUM(VLOOKUP($A88, LS_previous!$B$4:$AY$138, LS_previous!Q$149, FALSE), VLOOKUP('Staging Table'!$A88, LS_previous!$B$4:$AY$138,LS_previous!AO$149, FALSE))/2)</f>
        <v>1375.3480239887995</v>
      </c>
      <c r="Z88" s="192">
        <f t="array" ref="Z88">IF($G88=0, INDEX(LS_previous!$D$4:$AY$138, MATCH('Staging Table'!$A88, LS_previous!$B$4:$B$138, 0), MATCH(Z$4&amp;Z$5, LS_previous!$D$2:$AY$2&amp;LS_previous!$D$3:$AY$3, 0)),SUM(VLOOKUP($A88, LS_previous!$B$4:$AY$138, LS_previous!R$149, FALSE), VLOOKUP('Staging Table'!$A88, LS_previous!$B$4:$AY$138,LS_previous!AP$149, FALSE))/2)</f>
        <v>-7387.1256928200019</v>
      </c>
      <c r="AA88" s="192">
        <f t="array" ref="AA88">IF($G88=0, INDEX(LS_previous!$D$4:$AY$138, MATCH('Staging Table'!$A88, LS_previous!$B$4:$B$138, 0), MATCH(AA$4&amp;AA$5, LS_previous!$D$2:$AY$2&amp;LS_previous!$D$3:$AY$3, 0)),SUM(VLOOKUP($A88, LS_previous!$B$4:$AY$138, LS_previous!S$149, FALSE), VLOOKUP('Staging Table'!$A88, LS_previous!$B$4:$AY$138,LS_previous!AQ$149, FALSE))/2)</f>
        <v>-2894.4644050232</v>
      </c>
      <c r="AB88" s="192">
        <f t="array" ref="AB88">IF($G88=0, INDEX(LS_previous!$D$4:$AY$138, MATCH('Staging Table'!$A88, LS_previous!$B$4:$B$138, 0), MATCH(AB$4&amp;AB$5, LS_previous!$D$2:$AY$2&amp;LS_previous!$D$3:$AY$3, 0)),SUM(VLOOKUP($A88, LS_previous!$B$4:$AY$138, LS_previous!T$149, FALSE), VLOOKUP('Staging Table'!$A88, LS_previous!$B$4:$AY$138,LS_previous!AR$149, FALSE))/2)</f>
        <v>-12336.403824904799</v>
      </c>
      <c r="AC88" s="192">
        <f t="array" ref="AC88">IF($G88=0, INDEX(LS_previous!$D$4:$AY$138, MATCH('Staging Table'!$A88, LS_previous!$B$4:$B$138, 0), MATCH(AC$4&amp;AC$5, LS_previous!$D$2:$AY$2&amp;LS_previous!$D$3:$AY$3, 0)),SUM(VLOOKUP($A88, LS_previous!$B$4:$AY$138, LS_previous!U$149, FALSE), VLOOKUP('Staging Table'!$A88, LS_previous!$B$4:$AY$138,LS_previous!AS$149, FALSE))/2)</f>
        <v>-6299.9097972111995</v>
      </c>
      <c r="AD88" s="192">
        <f t="array" ref="AD88">IF($G88=0, INDEX(LS_previous!$D$4:$AY$138, MATCH('Staging Table'!$A88, LS_previous!$B$4:$B$138, 0), MATCH(AD$4&amp;AD$5, LS_previous!$D$2:$AY$2&amp;LS_previous!$D$3:$AY$3, 0)),SUM(VLOOKUP($A88, LS_previous!$B$4:$AY$138, LS_previous!V$149, FALSE), VLOOKUP('Staging Table'!$A88, LS_previous!$B$4:$AY$138,LS_previous!AT$149, FALSE))/2)</f>
        <v>-4052.8484359048016</v>
      </c>
      <c r="AE88" s="192">
        <f t="array" ref="AE88">IF($G88=0, INDEX(LS_previous!$D$4:$AY$138, MATCH('Staging Table'!$A88, LS_previous!$B$4:$B$138, 0), MATCH(AE$4&amp;AE$5, LS_previous!$D$2:$AY$2&amp;LS_previous!$D$3:$AY$3, 0)),SUM(VLOOKUP($A88, LS_previous!$B$4:$AY$138, LS_previous!W$149, FALSE), VLOOKUP('Staging Table'!$A88, LS_previous!$B$4:$AY$138,LS_previous!AU$149, FALSE))/2)</f>
        <v>606.65861236159981</v>
      </c>
      <c r="AF88" s="192">
        <f t="array" ref="AF88">IF($G88=0, INDEX(LS_previous!$D$4:$AY$138, MATCH('Staging Table'!$A88, LS_previous!$B$4:$B$138, 0), MATCH(AF$4&amp;AF$5, LS_previous!$D$2:$AY$2&amp;LS_previous!$D$3:$AY$3, 0)),SUM(VLOOKUP($A88, LS_previous!$B$4:$AY$138, LS_previous!X$149, FALSE), VLOOKUP('Staging Table'!$A88, LS_previous!$B$4:$AY$138,LS_previous!AV$149, FALSE))/2)</f>
        <v>-2793.2045388047991</v>
      </c>
      <c r="AG88" s="192">
        <f t="array" ref="AG88">IF($G88=0, INDEX(LS_previous!$D$4:$AY$138, MATCH('Staging Table'!$A88, LS_previous!$B$4:$B$138, 0), MATCH(AG$4&amp;AG$5, LS_previous!$D$2:$AY$2&amp;LS_previous!$D$3:$AY$3, 0)),SUM(VLOOKUP($A88, LS_previous!$B$4:$AY$138, LS_previous!Y$149, FALSE), VLOOKUP('Staging Table'!$A88, LS_previous!$B$4:$AY$138,LS_previous!AW$149, FALSE))/2)</f>
        <v>688.59459636159954</v>
      </c>
      <c r="AH88" s="192">
        <f t="array" ref="AH88">IF($G88=0, INDEX(LS_previous!$D$4:$AY$138, MATCH('Staging Table'!$A88, LS_previous!$B$4:$B$138, 0), MATCH(AH$4&amp;AH$5, LS_previous!$D$2:$AY$2&amp;LS_previous!$D$3:$AY$3, 0)),SUM(VLOOKUP($A88, LS_previous!$B$4:$AY$138, LS_previous!Z$149, FALSE), VLOOKUP('Staging Table'!$A88, LS_previous!$B$4:$AY$138,LS_previous!AX$149, FALSE))/2)</f>
        <v>-4543.9688915200004</v>
      </c>
      <c r="AI88" s="192">
        <f t="array" ref="AI88">IF($G88=0, INDEX(LS_previous!$D$4:$AY$138, MATCH('Staging Table'!$A88, LS_previous!$B$4:$B$138, 0), MATCH(AI$4&amp;AI$5, LS_previous!$D$2:$AY$2&amp;LS_previous!$D$3:$AY$3, 0)),SUM(VLOOKUP($A88, LS_previous!$B$4:$AY$138, LS_previous!AA$149, FALSE), VLOOKUP('Staging Table'!$A88, LS_previous!$B$4:$AY$138,LS_previous!AY$149, FALSE))/2)</f>
        <v>-1120.6819858959989</v>
      </c>
      <c r="AJ88" s="314">
        <f t="array" ref="AJ88">INDEX(Demand_previous!$D$4:$AY$138, MATCH('Staging Table'!$A88, Demand_previous!$B$4:$B$138, 0), MATCH(AJ$4&amp;AJ$5,Demand_previous!$D$2:$AY$2&amp;Demand_previous!$D$3:$AY$3, 0))/1000</f>
        <v>5.2007291666666706</v>
      </c>
      <c r="AK88" s="314">
        <f t="array" ref="AK88">INDEX(Demand_previous!$D$4:$AY$138, MATCH('Staging Table'!$A88, Demand_previous!$B$4:$B$138, 0), MATCH(AK$4&amp;AK$5,Demand_previous!$D$2:$AY$2&amp;Demand_previous!$D$3:$AY$3, 0))/1000</f>
        <v>5.6123799999999946</v>
      </c>
      <c r="AL88" s="314">
        <f t="array" ref="AL88">INDEX(Demand_previous!$D$4:$AY$138, MATCH('Staging Table'!$A88, Demand_previous!$B$4:$B$138, 0), MATCH(AL$4&amp;AL$5,Demand_previous!$D$2:$AY$2&amp;Demand_previous!$D$3:$AY$3, 0))/1000</f>
        <v>10.286760000000013</v>
      </c>
      <c r="AM88" s="314">
        <f t="array" ref="AM88">INDEX(Demand_previous!$D$4:$AY$138, MATCH('Staging Table'!$A88, Demand_previous!$B$4:$B$138, 0), MATCH(AM$4&amp;AM$5,Demand_previous!$D$2:$AY$2&amp;Demand_previous!$D$3:$AY$3, 0))/1000</f>
        <v>12.548459134615388</v>
      </c>
      <c r="AN88" s="314">
        <f t="array" ref="AN88">INDEX(Demand_previous!$D$4:$AY$138, MATCH('Staging Table'!$A88, Demand_previous!$B$4:$B$138, 0), MATCH(AN$4&amp;AN$5,Demand_previous!$D$2:$AY$2&amp;Demand_previous!$D$3:$AY$3, 0))/1000</f>
        <v>12.333829999999999</v>
      </c>
      <c r="AO88" s="314">
        <f t="array" ref="AO88">INDEX(Demand_previous!$D$4:$AY$138, MATCH('Staging Table'!$A88, Demand_previous!$B$4:$B$138, 0), MATCH(AO$4&amp;AO$5,Demand_previous!$D$2:$AY$2&amp;Demand_previous!$D$3:$AY$3, 0))/1000</f>
        <v>6.1635721153846124</v>
      </c>
      <c r="AP88" s="314">
        <f t="array" ref="AP88">INDEX(Demand_previous!$D$4:$AY$138, MATCH('Staging Table'!$A88, Demand_previous!$B$4:$B$138, 0), MATCH(AP$4&amp;AP$5,Demand_previous!$D$2:$AY$2&amp;Demand_previous!$D$3:$AY$3, 0))/1000</f>
        <v>10.116038461538452</v>
      </c>
      <c r="AQ88" s="314">
        <f t="array" ref="AQ88">INDEX(Demand_previous!$D$4:$AY$138, MATCH('Staging Table'!$A88, Demand_previous!$B$4:$B$138, 0), MATCH(AQ$4&amp;AQ$5,Demand_previous!$D$2:$AY$2&amp;Demand_previous!$D$3:$AY$3, 0))/1000</f>
        <v>0</v>
      </c>
      <c r="AR88" s="314">
        <f t="array" ref="AR88">INDEX(Demand_previous!$D$4:$AY$138, MATCH('Staging Table'!$A88, Demand_previous!$B$4:$B$138, 0), MATCH(AR$4&amp;AR$5,Demand_previous!$D$2:$AY$2&amp;Demand_previous!$D$3:$AY$3, 0))/1000</f>
        <v>5.9716634615384541</v>
      </c>
      <c r="AS88" s="314">
        <f t="array" ref="AS88">INDEX(Demand_previous!$D$4:$AY$138, MATCH('Staging Table'!$A88, Demand_previous!$B$4:$B$138, 0), MATCH(AS$4&amp;AS$5,Demand_previous!$D$2:$AY$2&amp;Demand_previous!$D$3:$AY$3, 0))/1000</f>
        <v>8.8260504807692364</v>
      </c>
      <c r="AT88" s="314">
        <f t="array" ref="AT88">INDEX(Demand_previous!$D$4:$AY$138, MATCH('Staging Table'!$A88, Demand_previous!$B$4:$B$138, 0), MATCH(AT$4&amp;AT$5,Demand_previous!$D$2:$AY$2&amp;Demand_previous!$D$3:$AY$3, 0))/1000</f>
        <v>4.5408221153846142</v>
      </c>
      <c r="AU88" s="314">
        <f t="array" ref="AU88">INDEX(Demand_previous!$D$4:$AY$138, MATCH('Staging Table'!$A88, Demand_previous!$B$4:$B$138, 0), MATCH(AU$4&amp;AU$5,Demand_previous!$D$2:$AY$2&amp;Demand_previous!$D$3:$AY$3, 0))/1000</f>
        <v>5.3557899999999936</v>
      </c>
      <c r="AV88" s="192">
        <f>$F88*(VLOOKUP(AV$4, Rates_previous!$G$6:$Q$29, 10, FALSE)+VLOOKUP(AV$4, Rates_previous!$G$6:$Q$29, 11, FALSE))</f>
        <v>24814.386074743197</v>
      </c>
      <c r="AW88" s="192">
        <f>$F88*(VLOOKUP(AW$4, Rates_previous!$G$6:$Q$29, 10, FALSE)+VLOOKUP(AW$4, Rates_previous!$G$6:$Q$29, 11, FALSE))</f>
        <v>31522.0113130338</v>
      </c>
      <c r="AX88" s="192">
        <f>$F88*(VLOOKUP(AX$4, Rates_previous!$G$6:$Q$29, 10, FALSE)+VLOOKUP(AX$4, Rates_previous!$G$6:$Q$29, 11, FALSE))</f>
        <v>31141.340373343202</v>
      </c>
      <c r="AY88" s="192">
        <f>$F88*(VLOOKUP(AY$4, Rates_previous!$G$6:$Q$29, 10, FALSE)+VLOOKUP(AY$4, Rates_previous!$G$6:$Q$29, 11, FALSE))</f>
        <v>25958.203931743203</v>
      </c>
      <c r="AZ88" s="192">
        <f>$F88*(VLOOKUP(AZ$4, Rates_previous!$G$6:$Q$29, 10, FALSE)+VLOOKUP(AZ$4, Rates_previous!$G$6:$Q$29, 11, FALSE))</f>
        <v>23515.43980656</v>
      </c>
      <c r="BA88" s="192">
        <f>$F88*(VLOOKUP(BA$4, Rates_previous!$G$6:$Q$29, 10, FALSE)+VLOOKUP(BA$4, Rates_previous!$G$6:$Q$29, 11, FALSE))</f>
        <v>26156.639500625399</v>
      </c>
      <c r="BB88" s="192">
        <f>$F88*(VLOOKUP(BB$4, Rates_previous!$G$6:$Q$29, 10, FALSE)+VLOOKUP(BB$4, Rates_previous!$G$6:$Q$29, 11, FALSE))</f>
        <v>21296.764107216</v>
      </c>
      <c r="BC88" s="192">
        <f>$F88*(VLOOKUP(BC$4, Rates_previous!$G$6:$Q$29, 10, FALSE)+VLOOKUP(BC$4, Rates_previous!$G$6:$Q$29, 11, FALSE))</f>
        <v>28721.862097843201</v>
      </c>
      <c r="BD88" s="192">
        <f>$F88*(VLOOKUP(BD$4, Rates_previous!$G$6:$Q$29, 10, FALSE)+VLOOKUP(BD$4, Rates_previous!$G$6:$Q$29, 11, FALSE))</f>
        <v>36647.142622116</v>
      </c>
      <c r="BE88" s="192">
        <f>$F88*(VLOOKUP(BE$4, Rates_previous!$G$6:$Q$29, 10, FALSE)+VLOOKUP(BE$4, Rates_previous!$G$6:$Q$29, 11, FALSE))</f>
        <v>28732.521823543204</v>
      </c>
      <c r="BF88" s="192">
        <f>$F88*(VLOOKUP(BF$4, Rates_previous!$G$6:$Q$29, 10, FALSE)+VLOOKUP(BF$4, Rates_previous!$G$6:$Q$29, 11, FALSE))</f>
        <v>27979.754942443204</v>
      </c>
      <c r="BG88" s="192">
        <f>$F88*(VLOOKUP(BG$4, Rates_previous!$G$6:$Q$29, 10, FALSE)+VLOOKUP(BG$4, Rates_previous!$G$6:$Q$29, 11, FALSE))</f>
        <v>25119.867877416003</v>
      </c>
      <c r="BH88" s="314">
        <f>IF($D88=0,IF(C88=0, MAX(BJ88 - (VLOOKUP($A88,TOCA_previous!$A$2:$AI$137,MATCH("RHWM 2020",TOCA_previous!$A$2:$AI$2,0),FALSE)*$F$2*TOCA_previous!C85),0),0), 0)</f>
        <v>5597.8034466471872</v>
      </c>
      <c r="BI88" s="204">
        <f>MIN(VLOOKUP($A88,TOCA_previous!$A$2:$AI$137,MATCH("TRL - NLSL - Existing Resource "&amp;$F$1,TOCA_previous!$A$2:$AI$2,0),FALSE)*$F$2,(VLOOKUP($A88,TOCA_previous!$A$2:$AI$137,MATCH("RHWM 2020",TOCA_previous!$A$2:$AI$2,0),FALSE)*$F$2))</f>
        <v>331604.78399999999</v>
      </c>
      <c r="BJ88" s="418">
        <f>SUM(L88:AI88)+(F88*RT1SC!$C$3*$F$2)</f>
        <v>337202.58744664717</v>
      </c>
      <c r="BK88" s="417">
        <f>VLOOKUP($A88,TOCA_previous!$A$2:$AI$137,MATCH("Above RHWM Not Served with LS "&amp;$F$1,TOCA_previous!$A$2:$AI$2,0),FALSE)*$F$2</f>
        <v>0</v>
      </c>
      <c r="BL88" s="418">
        <f t="shared" si="27"/>
        <v>5597.8034466471872</v>
      </c>
      <c r="BM88" s="417">
        <f>(VLOOKUP($A88,TOCA_previous!$A$2:$AI$137,MATCH("RHWM 2020",TOCA_previous!$A$2:$AI$2,0),FALSE)*$F$2) - $BI88</f>
        <v>0</v>
      </c>
      <c r="BN88" s="418">
        <f t="shared" si="28"/>
        <v>0</v>
      </c>
      <c r="BO88" s="417">
        <f t="shared" si="29"/>
        <v>0</v>
      </c>
      <c r="BP88" s="418">
        <f t="shared" si="30"/>
        <v>0</v>
      </c>
      <c r="BQ88" s="417">
        <f t="shared" si="21"/>
        <v>0</v>
      </c>
      <c r="BR88" s="120">
        <f>VLOOKUP($A88,TOCA_current!$A$2:$AI$137,MATCH(BR$4,TOCA_current!$A$2:$AI$2,0),FALSE)</f>
        <v>5.3740999999999997E-3</v>
      </c>
      <c r="BS88" s="120">
        <f>VLOOKUP($A88,TOCA_current!$A$2:$AI$137,MATCH(BS$4,TOCA_current!$A$2:$AI$2,0),FALSE)</f>
        <v>5.3740999999999997E-3</v>
      </c>
      <c r="BT88" s="201">
        <f t="shared" si="31"/>
        <v>0</v>
      </c>
      <c r="BU88" s="120">
        <f>VLOOKUP($A88,TOCA_current!A84:BG219,MATCH(BU$4,TOCA_current!$A$2:$BG$2,0),FALSE)</f>
        <v>5.8971327550964049E-2</v>
      </c>
      <c r="BV88" s="120">
        <f t="shared" si="22"/>
        <v>0</v>
      </c>
      <c r="BW88" s="120">
        <f t="shared" si="23"/>
        <v>0</v>
      </c>
      <c r="BX88" s="191">
        <f>VLOOKUP($A88,IRD!$A$4:$G$139, 7, FALSE)</f>
        <v>18387.022000000001</v>
      </c>
      <c r="BY88" s="192">
        <f t="array" ref="BY88">IF($BT88=0, INDEX(LS_current!$D$4:$AY$138, MATCH('Staging Table'!$A88, LS_current!$B$4:$B$138, 0), MATCH(BY$4&amp;BY$5, LS_current!$D$2:$AY$2&amp;LS_current!$D$3:$AY$3, 0)),SUM(VLOOKUP($A88, LS_current!$B$4:$AY$138, LS_current!D$148, FALSE), VLOOKUP($A88, LS_current!$B$4:$AY$138,LS_current!AB$148, FALSE))/2)</f>
        <v>-2205.4059606402279</v>
      </c>
      <c r="BZ88" s="192">
        <f t="array" ref="BZ88">IF($BT88=0, INDEX(LS_current!$D$4:$AY$138, MATCH('Staging Table'!$A88, LS_current!$B$4:$B$138, 0), MATCH(BZ$4&amp;BZ$5, LS_current!$D$2:$AY$2&amp;LS_current!$D$3:$AY$3, 0)),SUM(VLOOKUP($A88, LS_current!$B$4:$AY$138, LS_current!E$148, FALSE), VLOOKUP($A88, LS_current!$B$4:$AY$138,LS_current!AC$148, FALSE))/2)</f>
        <v>-986.02426898220801</v>
      </c>
      <c r="CA88" s="192">
        <f t="array" ref="CA88">IF($BT88=0, INDEX(LS_current!$D$4:$AY$138, MATCH('Staging Table'!$A88, LS_current!$B$4:$B$138, 0), MATCH(CA$4&amp;CA$5, LS_current!$D$2:$AY$2&amp;LS_current!$D$3:$AY$3, 0)),SUM(VLOOKUP($A88, LS_current!$B$4:$AY$138, LS_current!F$148, FALSE), VLOOKUP($A88, LS_current!$B$4:$AY$138,LS_current!AD$148, FALSE))/2)</f>
        <v>-3237.2231410823115</v>
      </c>
      <c r="CB88" s="192">
        <f t="array" ref="CB88">IF($BT88=0, INDEX(LS_current!$D$4:$AY$138, MATCH('Staging Table'!$A88, LS_current!$B$4:$B$138, 0), MATCH(CB$4&amp;CB$5, LS_current!$D$2:$AY$2&amp;LS_current!$D$3:$AY$3, 0)),SUM(VLOOKUP($A88, LS_current!$B$4:$AY$138, LS_current!G$148, FALSE), VLOOKUP($A88, LS_current!$B$4:$AY$138,LS_current!AE$148, FALSE))/2)</f>
        <v>-346.70751481039406</v>
      </c>
      <c r="CC88" s="192">
        <f t="array" ref="CC88">IF($BT88=0, INDEX(LS_current!$D$4:$AY$138, MATCH('Staging Table'!$A88, LS_current!$B$4:$B$138, 0), MATCH(CC$4&amp;CC$5, LS_current!$D$2:$AY$2&amp;LS_current!$D$3:$AY$3, 0)),SUM(VLOOKUP($A88, LS_current!$B$4:$AY$138, LS_current!H$148, FALSE), VLOOKUP($A88, LS_current!$B$4:$AY$138,LS_current!AF$148, FALSE))/2)</f>
        <v>7115.6575311901724</v>
      </c>
      <c r="CD88" s="192">
        <f t="array" ref="CD88">IF($BT88=0, INDEX(LS_current!$D$4:$AY$138, MATCH('Staging Table'!$A88, LS_current!$B$4:$B$138, 0), MATCH(CD$4&amp;CD$5, LS_current!$D$2:$AY$2&amp;LS_current!$D$3:$AY$3, 0)),SUM(VLOOKUP($A88, LS_current!$B$4:$AY$138, LS_current!I$148, FALSE), VLOOKUP($A88, LS_current!$B$4:$AY$138,LS_current!AG$148, FALSE))/2)</f>
        <v>5229.3802491762781</v>
      </c>
      <c r="CE88" s="192">
        <f t="array" ref="CE88">IF($BT88=0, INDEX(LS_current!$D$4:$AY$138, MATCH('Staging Table'!$A88, LS_current!$B$4:$B$138, 0), MATCH(CE$4&amp;CE$5, LS_current!$D$2:$AY$2&amp;LS_current!$D$3:$AY$3, 0)),SUM(VLOOKUP($A88, LS_current!$B$4:$AY$138, LS_current!J$148, FALSE), VLOOKUP($A88, LS_current!$B$4:$AY$138,LS_current!AH$148, FALSE))/2)</f>
        <v>11165.938398789247</v>
      </c>
      <c r="CF88" s="192">
        <f t="array" ref="CF88">IF($BT88=0, INDEX(LS_current!$D$4:$AY$138, MATCH('Staging Table'!$A88, LS_current!$B$4:$B$138, 0), MATCH(CF$4&amp;CF$5, LS_current!$D$2:$AY$2&amp;LS_current!$D$3:$AY$3, 0)),SUM(VLOOKUP($A88, LS_current!$B$4:$AY$138, LS_current!K$148, FALSE), VLOOKUP($A88, LS_current!$B$4:$AY$138,LS_current!AI$148, FALSE))/2)</f>
        <v>7531.8932655720873</v>
      </c>
      <c r="CG88" s="192">
        <f t="array" ref="CG88">IF($BT88=0, INDEX(LS_current!$D$4:$AY$138, MATCH('Staging Table'!$A88, LS_current!$B$4:$B$138, 0), MATCH(CG$4&amp;CG$5, LS_current!$D$2:$AY$2&amp;LS_current!$D$3:$AY$3, 0)),SUM(VLOOKUP($A88, LS_current!$B$4:$AY$138, LS_current!L$148, FALSE), VLOOKUP($A88, LS_current!$B$4:$AY$138,LS_current!AJ$148, FALSE))/2)</f>
        <v>5572.5446171708754</v>
      </c>
      <c r="CH88" s="192">
        <f t="array" ref="CH88">IF($BT88=0, INDEX(LS_current!$D$4:$AY$138, MATCH('Staging Table'!$A88, LS_current!$B$4:$B$138, 0), MATCH(CH$4&amp;CH$5, LS_current!$D$2:$AY$2&amp;LS_current!$D$3:$AY$3, 0)),SUM(VLOOKUP($A88, LS_current!$B$4:$AY$138, LS_current!M$148, FALSE), VLOOKUP($A88, LS_current!$B$4:$AY$138,LS_current!AK$148, FALSE))/2)</f>
        <v>3801.5465937638692</v>
      </c>
      <c r="CI88" s="192">
        <f t="array" ref="CI88">IF($BT88=0, INDEX(LS_current!$D$4:$AY$138, MATCH('Staging Table'!$A88, LS_current!$B$4:$B$138, 0), MATCH(CI$4&amp;CI$5, LS_current!$D$2:$AY$2&amp;LS_current!$D$3:$AY$3, 0)),SUM(VLOOKUP($A88, LS_current!$B$4:$AY$138, LS_current!N$148, FALSE), VLOOKUP($A88, LS_current!$B$4:$AY$138,LS_current!AL$148, FALSE))/2)</f>
        <v>1305.6296795268736</v>
      </c>
      <c r="CJ88" s="192">
        <f t="array" ref="CJ88">IF($BT88=0, INDEX(LS_current!$D$4:$AY$138, MATCH('Staging Table'!$A88, LS_current!$B$4:$B$138, 0), MATCH(CJ$4&amp;CJ$5, LS_current!$D$2:$AY$2&amp;LS_current!$D$3:$AY$3, 0)),SUM(VLOOKUP($A88, LS_current!$B$4:$AY$138, LS_current!O$148, FALSE), VLOOKUP($A88, LS_current!$B$4:$AY$138,LS_current!AM$148, FALSE))/2)</f>
        <v>2131.1583944508038</v>
      </c>
      <c r="CK88" s="192">
        <f t="array" ref="CK88">IF($BT88=0, INDEX(LS_current!$D$4:$AY$138, MATCH('Staging Table'!$A88, LS_current!$B$4:$B$138, 0), MATCH(CK$4&amp;CK$5, LS_current!$D$2:$AY$2&amp;LS_current!$D$3:$AY$3, 0)),SUM(VLOOKUP($A88, LS_current!$B$4:$AY$138, LS_current!P$148, FALSE), VLOOKUP($A88, LS_current!$B$4:$AY$138,LS_current!AN$148, FALSE))/2)</f>
        <v>418.43380751995028</v>
      </c>
      <c r="CL88" s="192">
        <f t="array" ref="CL88">IF($BT88=0, INDEX(LS_current!$D$4:$AY$138, MATCH('Staging Table'!$A88, LS_current!$B$4:$B$138, 0), MATCH(CL$4&amp;CL$5, LS_current!$D$2:$AY$2&amp;LS_current!$D$3:$AY$3, 0)),SUM(VLOOKUP($A88, LS_current!$B$4:$AY$138, LS_current!Q$148, FALSE), VLOOKUP($A88, LS_current!$B$4:$AY$138,LS_current!AO$148, FALSE))/2)</f>
        <v>754.35434681155039</v>
      </c>
      <c r="CM88" s="192">
        <f t="array" ref="CM88">IF($BT88=0, INDEX(LS_current!$D$4:$AY$138, MATCH('Staging Table'!$A88, LS_current!$B$4:$B$138, 0), MATCH(CM$4&amp;CM$5, LS_current!$D$2:$AY$2&amp;LS_current!$D$3:$AY$3, 0)),SUM(VLOOKUP($A88, LS_current!$B$4:$AY$138, LS_current!R$148, FALSE), VLOOKUP($A88, LS_current!$B$4:$AY$138,LS_current!AP$148, FALSE))/2)</f>
        <v>-8580.8253597393468</v>
      </c>
      <c r="CN88" s="192">
        <f t="array" ref="CN88">IF($BT88=0, INDEX(LS_current!$D$4:$AY$138, MATCH('Staging Table'!$A88, LS_current!$B$4:$B$138, 0), MATCH(CN$4&amp;CN$5, LS_current!$D$2:$AY$2&amp;LS_current!$D$3:$AY$3, 0)),SUM(VLOOKUP($A88, LS_current!$B$4:$AY$138, LS_current!S$148, FALSE), VLOOKUP($A88, LS_current!$B$4:$AY$138,LS_current!AQ$148, FALSE))/2)</f>
        <v>-2802.6384140356531</v>
      </c>
      <c r="CO88" s="192">
        <f t="array" ref="CO88">IF($BT88=0, INDEX(LS_current!$D$4:$AY$138, MATCH('Staging Table'!$A88, LS_current!$B$4:$B$138, 0), MATCH(CO$4&amp;CO$5, LS_current!$D$2:$AY$2&amp;LS_current!$D$3:$AY$3, 0)),SUM(VLOOKUP($A88, LS_current!$B$4:$AY$138, LS_current!T$148, FALSE), VLOOKUP($A88, LS_current!$B$4:$AY$138,LS_current!AR$148, FALSE))/2)</f>
        <v>-10883.180767328744</v>
      </c>
      <c r="CP88" s="192">
        <f t="array" ref="CP88">IF($BT88=0, INDEX(LS_current!$D$4:$AY$138, MATCH('Staging Table'!$A88, LS_current!$B$4:$B$138, 0), MATCH(CP$4&amp;CP$5, LS_current!$D$2:$AY$2&amp;LS_current!$D$3:$AY$3, 0)),SUM(VLOOKUP($A88, LS_current!$B$4:$AY$138, LS_current!U$148, FALSE), VLOOKUP($A88, LS_current!$B$4:$AY$138,LS_current!AS$148, FALSE))/2)</f>
        <v>-2777.2797718685033</v>
      </c>
      <c r="CQ88" s="192">
        <f t="array" ref="CQ88">IF($BT88=0, INDEX(LS_current!$D$4:$AY$138, MATCH('Staging Table'!$A88, LS_current!$B$4:$B$138, 0), MATCH(CQ$4&amp;CQ$5, LS_current!$D$2:$AY$2&amp;LS_current!$D$3:$AY$3, 0)),SUM(VLOOKUP($A88, LS_current!$B$4:$AY$138, LS_current!V$148, FALSE), VLOOKUP($A88, LS_current!$B$4:$AY$138,LS_current!AT$148, FALSE))/2)</f>
        <v>-4157.7529863143609</v>
      </c>
      <c r="CR88" s="192">
        <f t="array" ref="CR88">IF($BT88=0, INDEX(LS_current!$D$4:$AY$138, MATCH('Staging Table'!$A88, LS_current!$B$4:$B$138, 0), MATCH(CR$4&amp;CR$5, LS_current!$D$2:$AY$2&amp;LS_current!$D$3:$AY$3, 0)),SUM(VLOOKUP($A88, LS_current!$B$4:$AY$138, LS_current!W$148, FALSE), VLOOKUP($A88, LS_current!$B$4:$AY$138,LS_current!AU$148, FALSE))/2)</f>
        <v>-784.23656812056106</v>
      </c>
      <c r="CS88" s="192">
        <f t="array" ref="CS88">IF($BT88=0, INDEX(LS_current!$D$4:$AY$138, MATCH('Staging Table'!$A88, LS_current!$B$4:$B$138, 0), MATCH(CS$4&amp;CS$5, LS_current!$D$2:$AY$2&amp;LS_current!$D$3:$AY$3, 0)),SUM(VLOOKUP($A88, LS_current!$B$4:$AY$138, LS_current!X$148, FALSE), VLOOKUP($A88, LS_current!$B$4:$AY$138,LS_current!AV$148, FALSE))/2)</f>
        <v>-3156.2672178696084</v>
      </c>
      <c r="CT88" s="192">
        <f t="array" ref="CT88">IF($BT88=0, INDEX(LS_current!$D$4:$AY$138, MATCH('Staging Table'!$A88, LS_current!$B$4:$B$138, 0), MATCH(CT$4&amp;CT$5, LS_current!$D$2:$AY$2&amp;LS_current!$D$3:$AY$3, 0)),SUM(VLOOKUP($A88, LS_current!$B$4:$AY$138, LS_current!Y$148, FALSE), VLOOKUP($A88, LS_current!$B$4:$AY$138,LS_current!AW$148, FALSE))/2)</f>
        <v>-247.22994156533787</v>
      </c>
      <c r="CU88" s="192">
        <f t="array" ref="CU88">IF($BT88=0, INDEX(LS_current!$D$4:$AY$138, MATCH('Staging Table'!$A88, LS_current!$B$4:$B$138, 0), MATCH(CU$4&amp;CU$5, LS_current!$D$2:$AY$2&amp;LS_current!$D$3:$AY$3, 0)),SUM(VLOOKUP($A88, LS_current!$B$4:$AY$138, LS_current!Z$148, FALSE), VLOOKUP($A88, LS_current!$B$4:$AY$138,LS_current!AX$148, FALSE))/2)</f>
        <v>-5623.1231250757846</v>
      </c>
      <c r="CV88" s="192">
        <f t="array" ref="CV88">IF($BT88=0, INDEX(LS_current!$D$4:$AY$138, MATCH('Staging Table'!$A88, LS_current!$B$4:$B$138, 0), MATCH(CV$4&amp;CV$5, LS_current!$D$2:$AY$2&amp;LS_current!$D$3:$AY$3, 0)),SUM(VLOOKUP($A88, LS_current!$B$4:$AY$138, LS_current!AA$148, FALSE), VLOOKUP($A88, LS_current!$B$4:$AY$138,LS_current!AY$148, FALSE))/2)</f>
        <v>-2063.044684695973</v>
      </c>
      <c r="CW88" s="194">
        <f t="array" ref="CW88">INDEX(Demand_current!$D$4:$AY$138, MATCH($A88, Demand_current!$B$4:$B$138, 0), MATCH(CW$4&amp;CW$5,Demand_current!$D$2:$AY$2&amp;Demand_current!$D$3:$AY$3, 0))/1000</f>
        <v>3.4801418269230826</v>
      </c>
      <c r="CX88" s="194">
        <f t="array" ref="CX88">INDEX(Demand_current!$D$4:$AY$138, MATCH($A88, Demand_current!$B$4:$B$138, 0), MATCH(CX$4&amp;CX$5,Demand_current!$D$2:$AY$2&amp;Demand_current!$D$3:$AY$3, 0))/1000</f>
        <v>5.6123799999999946</v>
      </c>
      <c r="CY88" s="194">
        <f t="array" ref="CY88">INDEX(Demand_current!$D$4:$AY$138, MATCH($A88, Demand_current!$B$4:$B$138, 0), MATCH(CY$4&amp;CY$5,Demand_current!$D$2:$AY$2&amp;Demand_current!$D$3:$AY$3, 0))/1000</f>
        <v>13.05373076923078</v>
      </c>
      <c r="CZ88" s="194">
        <f t="array" ref="CZ88">INDEX(Demand_current!$D$4:$AY$138, MATCH($A88, Demand_current!$B$4:$B$138, 0), MATCH(CZ$4&amp;CZ$5,Demand_current!$D$2:$AY$2&amp;Demand_current!$D$3:$AY$3, 0))/1000</f>
        <v>9.7035175000000073</v>
      </c>
      <c r="DA88" s="194">
        <f t="array" ref="DA88">INDEX(Demand_current!$D$4:$AY$138, MATCH($A88, Demand_current!$B$4:$B$138, 0), MATCH(DA$4&amp;DA$5,Demand_current!$D$2:$AY$2&amp;Demand_current!$D$3:$AY$3, 0))/1000</f>
        <v>10.023447916666662</v>
      </c>
      <c r="DB88" s="194">
        <f t="array" ref="DB88">INDEX(Demand_current!$D$4:$AY$138, MATCH($A88, Demand_current!$B$4:$B$138, 0), MATCH(DB$4&amp;DB$5,Demand_current!$D$2:$AY$2&amp;Demand_current!$D$3:$AY$3, 0))/1000</f>
        <v>8.0985879629629611</v>
      </c>
      <c r="DC88" s="194">
        <f t="array" ref="DC88">INDEX(Demand_current!$D$4:$AY$138, MATCH($A88, Demand_current!$B$4:$B$138, 0), MATCH(DC$4&amp;DC$5,Demand_current!$D$2:$AY$2&amp;Demand_current!$D$3:$AY$3, 0))/1000</f>
        <v>10.116038461538452</v>
      </c>
      <c r="DD88" s="194">
        <f t="array" ref="DD88">INDEX(Demand_current!$D$4:$AY$138, MATCH($A88, Demand_current!$B$4:$B$138, 0), MATCH(DD$4&amp;DD$5,Demand_current!$D$2:$AY$2&amp;Demand_current!$D$3:$AY$3, 0))/1000</f>
        <v>0</v>
      </c>
      <c r="DE88" s="194">
        <f t="array" ref="DE88">INDEX(Demand_current!$D$4:$AY$138, MATCH($A88, Demand_current!$B$4:$B$138, 0), MATCH(DE$4&amp;DE$5,Demand_current!$D$2:$AY$2&amp;Demand_current!$D$3:$AY$3, 0))/1000</f>
        <v>5.9716634615384541</v>
      </c>
      <c r="DF88" s="194">
        <f t="array" ref="DF88">INDEX(Demand_current!$D$4:$AY$138, MATCH($A88, Demand_current!$B$4:$B$138, 0), MATCH(DF$4&amp;DF$5,Demand_current!$D$2:$AY$2&amp;Demand_current!$D$3:$AY$3, 0))/1000</f>
        <v>6.875772499999993</v>
      </c>
      <c r="DG88" s="194">
        <f t="array" ref="DG88">INDEX(Demand_current!$D$4:$AY$138, MATCH($A88, Demand_current!$B$4:$B$138, 0), MATCH(DG$4&amp;DG$5,Demand_current!$D$2:$AY$2&amp;Demand_current!$D$3:$AY$3, 0))/1000</f>
        <v>6.4384953703703687</v>
      </c>
      <c r="DH88" s="194">
        <f t="array" ref="DH88">INDEX(Demand_current!$D$4:$AY$138, MATCH($A88, Demand_current!$B$4:$B$138, 0), MATCH(DH$4&amp;DH$5,Demand_current!$D$2:$AY$2&amp;Demand_current!$D$3:$AY$3, 0))/1000</f>
        <v>5.3557899999999936</v>
      </c>
      <c r="DI88" s="192">
        <f>$BS88*(VLOOKUP(DI$4, Rates_current!$G$6:$Q$29, 10, FALSE)+VLOOKUP(DI$4, Rates_current!$G$6:$Q$29, 11, FALSE))</f>
        <v>24473.245229622436</v>
      </c>
      <c r="DJ88" s="192">
        <f>$BS88*(VLOOKUP(DJ$4, Rates_current!$G$6:$Q$29, 10, FALSE)+VLOOKUP(DJ$4, Rates_current!$G$6:$Q$29, 11, FALSE))</f>
        <v>30984.016655892712</v>
      </c>
      <c r="DK88" s="192">
        <f>$BS88*(VLOOKUP(DK$4, Rates_current!$G$6:$Q$29, 10, FALSE)+VLOOKUP(DK$4, Rates_current!$G$6:$Q$29, 11, FALSE))</f>
        <v>30327.162219633552</v>
      </c>
      <c r="DL88" s="192">
        <f>$BS88*(VLOOKUP(DL$4, Rates_current!$G$6:$Q$29, 10, FALSE)+VLOOKUP(DL$4, Rates_current!$G$6:$Q$29, 11, FALSE))</f>
        <v>25048.946335638666</v>
      </c>
      <c r="DM88" s="192">
        <f>$BS88*(VLOOKUP(DM$4, Rates_current!$G$6:$Q$29, 10, FALSE)+VLOOKUP(DM$4, Rates_current!$G$6:$Q$29, 11, FALSE))</f>
        <v>21710.470789065257</v>
      </c>
      <c r="DN88" s="192">
        <f>$BS88*(VLOOKUP(DN$4, Rates_current!$G$6:$Q$29, 10, FALSE)+VLOOKUP(DN$4, Rates_current!$G$6:$Q$29, 11, FALSE))</f>
        <v>25917.917926022328</v>
      </c>
      <c r="DO88" s="192">
        <f>$BS88*(VLOOKUP(DO$4, Rates_current!$G$6:$Q$29, 10, FALSE)+VLOOKUP(DO$4, Rates_current!$G$6:$Q$29, 11, FALSE))</f>
        <v>20121.812845668501</v>
      </c>
      <c r="DP88" s="192">
        <f>$BS88*(VLOOKUP(DP$4, Rates_current!$G$6:$Q$29, 10, FALSE)+VLOOKUP(DP$4, Rates_current!$G$6:$Q$29, 11, FALSE))</f>
        <v>27878.919773774996</v>
      </c>
      <c r="DQ88" s="192">
        <f>$BS88*(VLOOKUP(DQ$4, Rates_current!$G$6:$Q$29, 10, FALSE)+VLOOKUP(DQ$4, Rates_current!$G$6:$Q$29, 11, FALSE))</f>
        <v>29789.209539197247</v>
      </c>
      <c r="DR88" s="192">
        <f>$BS88*(VLOOKUP(DR$4, Rates_current!$G$6:$Q$29, 10, FALSE)+VLOOKUP(DR$4, Rates_current!$G$6:$Q$29, 11, FALSE))</f>
        <v>28283.505554434923</v>
      </c>
      <c r="DS88" s="192">
        <f>$BS88*(VLOOKUP(DS$4, Rates_current!$G$6:$Q$29, 10, FALSE)+VLOOKUP(DS$4, Rates_current!$G$6:$Q$29, 11, FALSE))</f>
        <v>27333.82615943495</v>
      </c>
      <c r="DT88" s="192">
        <f>$BS88*(VLOOKUP(DT$4, Rates_current!$G$6:$Q$29, 10, FALSE)+VLOOKUP(DT$4, Rates_current!$G$6:$Q$29, 11, FALSE))</f>
        <v>25259.304809771758</v>
      </c>
      <c r="DU88" s="418">
        <f>IF(D88=0,IF(C88=0,MAX(0,DW88 - (VLOOKUP($A88,TOCA_current!$A$2:$AI$137,MATCH("RHWM 2022",TOCA_current!$A$2:$AI$2,0),FALSE)*$BS$2)), 0),0)</f>
        <v>0</v>
      </c>
      <c r="DV88" s="419">
        <f>MIN(VLOOKUP($A88,TOCA_current!$A$2:$AI$137,MATCH("TRL - NLSL - Existing Resource "&amp;$BS$1,TOCA_current!$A$2:$AI$2,0),FALSE)*$BS$2, VLOOKUP($A88,TOCA_current!$A$2:$AI$137,MATCH("RHWM 2022",TOCA_current!$A$2:$AI$2,0),FALSE)*$BS$2)</f>
        <v>317129.51999999996</v>
      </c>
      <c r="DW88" s="419">
        <f>SUM(BY88:CV88)+(BS88*RT1SC!$C$4*$BS$2)</f>
        <v>314303.95122248668</v>
      </c>
      <c r="DX88" s="419">
        <f>VLOOKUP($A88,TOCA_current!$A$2:$AI$137,MATCH("Above RHWM Not Served with LS "&amp;$BS$1,TOCA_current!$A$2:$AI$2,0),FALSE)*$BS$2</f>
        <v>22898.639999999999</v>
      </c>
      <c r="DY88" s="419">
        <f t="shared" si="32"/>
        <v>-2825.5687775132828</v>
      </c>
      <c r="DZ88" s="419">
        <f>(VLOOKUP($A88,TOCA_current!$A$2:$AI$137,MATCH("RHWM 2022",TOCA_current!$A$2:$AI$2,0),FALSE)*$BS$2) - $DV88</f>
        <v>0</v>
      </c>
      <c r="EA88" s="419">
        <f t="shared" si="33"/>
        <v>0</v>
      </c>
      <c r="EB88" s="419">
        <f t="shared" si="34"/>
        <v>0</v>
      </c>
      <c r="EC88" s="419">
        <f t="shared" si="35"/>
        <v>0</v>
      </c>
      <c r="ED88" s="419">
        <f t="shared" si="36"/>
        <v>0</v>
      </c>
    </row>
    <row r="89" spans="1:134">
      <c r="A89" s="135">
        <v>10259</v>
      </c>
      <c r="B89" s="136" t="s">
        <v>90</v>
      </c>
      <c r="C89" s="244">
        <f>VLOOKUP(A89, TOCA_current!$A$3:$D$137, 4, FALSE)</f>
        <v>0</v>
      </c>
      <c r="D89" s="203">
        <v>0</v>
      </c>
      <c r="E89" s="119">
        <f>VLOOKUP($A89,TOCA_previous!$A$2:$AI$137,MATCH(E$4,TOCA_previous!$A$2:$AI$2,0),FALSE)</f>
        <v>3.8213000000000001E-3</v>
      </c>
      <c r="F89" s="120">
        <f>VLOOKUP($A89,TOCA_previous!$A$2:$AI$137,MATCH(F$4,TOCA_previous!$A$2:$AI$2,0),FALSE)</f>
        <v>3.8213000000000001E-3</v>
      </c>
      <c r="G89" s="120">
        <f t="shared" si="24"/>
        <v>0</v>
      </c>
      <c r="H89" s="120">
        <f>VLOOKUP($A89,TOCA_previous!$A$2:$AI$137,MATCH(H$4,TOCA_previous!$A$2:$AI$2,0),FALSE)</f>
        <v>6.5259099206497043E-2</v>
      </c>
      <c r="I89" s="120">
        <f t="shared" si="25"/>
        <v>0</v>
      </c>
      <c r="J89" s="120">
        <f t="shared" si="26"/>
        <v>0</v>
      </c>
      <c r="K89" s="191">
        <f>VLOOKUP(A89, IRD!$A$5:$C$139, 3, FALSE)</f>
        <v>0</v>
      </c>
      <c r="L89" s="192">
        <f t="array" ref="L89">IF($G89=0, INDEX(LS_previous!$D$4:$AY$138, MATCH('Staging Table'!$A89, LS_previous!$B$4:$B$138, 0), MATCH(L$4&amp;L$5, LS_previous!$D$2:$AY$2&amp;LS_previous!$D$3:$AY$3, 0)),SUM(VLOOKUP($A89, LS_previous!$B$4:$AY$138, LS_previous!D$149, FALSE), VLOOKUP('Staging Table'!$A89, LS_previous!$B$4:$AY$138,LS_previous!AB$149, FALSE))/2)</f>
        <v>834.6924328355999</v>
      </c>
      <c r="M89" s="192">
        <f t="array" ref="M89">IF($G89=0, INDEX(LS_previous!$D$4:$AY$138, MATCH('Staging Table'!$A89, LS_previous!$B$4:$B$138, 0), MATCH(M$4&amp;M$5, LS_previous!$D$2:$AY$2&amp;LS_previous!$D$3:$AY$3, 0)),SUM(VLOOKUP($A89, LS_previous!$B$4:$AY$138, LS_previous!E$149, FALSE), VLOOKUP('Staging Table'!$A89, LS_previous!$B$4:$AY$138,LS_previous!AC$149, FALSE))/2)</f>
        <v>1288.7743660895994</v>
      </c>
      <c r="N89" s="192">
        <f t="array" ref="N89">IF($G89=0, INDEX(LS_previous!$D$4:$AY$138, MATCH('Staging Table'!$A89, LS_previous!$B$4:$B$138, 0), MATCH(N$4&amp;N$5, LS_previous!$D$2:$AY$2&amp;LS_previous!$D$3:$AY$3, 0)),SUM(VLOOKUP($A89, LS_previous!$B$4:$AY$138, LS_previous!F$149, FALSE), VLOOKUP('Staging Table'!$A89, LS_previous!$B$4:$AY$138,LS_previous!AD$149, FALSE))/2)</f>
        <v>-1140.1025347464001</v>
      </c>
      <c r="O89" s="192">
        <f t="array" ref="O89">IF($G89=0, INDEX(LS_previous!$D$4:$AY$138, MATCH('Staging Table'!$A89, LS_previous!$B$4:$B$138, 0), MATCH(O$4&amp;O$5, LS_previous!$D$2:$AY$2&amp;LS_previous!$D$3:$AY$3, 0)),SUM(VLOOKUP($A89, LS_previous!$B$4:$AY$138, LS_previous!G$149, FALSE), VLOOKUP('Staging Table'!$A89, LS_previous!$B$4:$AY$138,LS_previous!AE$149, FALSE))/2)</f>
        <v>678.65149855569871</v>
      </c>
      <c r="P89" s="192">
        <f t="array" ref="P89">IF($G89=0, INDEX(LS_previous!$D$4:$AY$138, MATCH('Staging Table'!$A89, LS_previous!$B$4:$B$138, 0), MATCH(P$4&amp;P$5, LS_previous!$D$2:$AY$2&amp;LS_previous!$D$3:$AY$3, 0)),SUM(VLOOKUP($A89, LS_previous!$B$4:$AY$138, LS_previous!H$149, FALSE), VLOOKUP('Staging Table'!$A89, LS_previous!$B$4:$AY$138,LS_previous!AF$149, FALSE))/2)</f>
        <v>3060.1665192863984</v>
      </c>
      <c r="Q89" s="192">
        <f t="array" ref="Q89">IF($G89=0, INDEX(LS_previous!$D$4:$AY$138, MATCH('Staging Table'!$A89, LS_previous!$B$4:$B$138, 0), MATCH(Q$4&amp;Q$5, LS_previous!$D$2:$AY$2&amp;LS_previous!$D$3:$AY$3, 0)),SUM(VLOOKUP($A89, LS_previous!$B$4:$AY$138, LS_previous!I$149, FALSE), VLOOKUP('Staging Table'!$A89, LS_previous!$B$4:$AY$138,LS_previous!AG$149, FALSE))/2)</f>
        <v>3519.8957517387989</v>
      </c>
      <c r="R89" s="192">
        <f t="array" ref="R89">IF($G89=0, INDEX(LS_previous!$D$4:$AY$138, MATCH('Staging Table'!$A89, LS_previous!$B$4:$B$138, 0), MATCH(R$4&amp;R$5, LS_previous!$D$2:$AY$2&amp;LS_previous!$D$3:$AY$3, 0)),SUM(VLOOKUP($A89, LS_previous!$B$4:$AY$138, LS_previous!J$149, FALSE), VLOOKUP('Staging Table'!$A89, LS_previous!$B$4:$AY$138,LS_previous!AH$149, FALSE))/2)</f>
        <v>5117.9385780863977</v>
      </c>
      <c r="S89" s="192">
        <f t="array" ref="S89">IF($G89=0, INDEX(LS_previous!$D$4:$AY$138, MATCH('Staging Table'!$A89, LS_previous!$B$4:$B$138, 0), MATCH(S$4&amp;S$5, LS_previous!$D$2:$AY$2&amp;LS_previous!$D$3:$AY$3, 0)),SUM(VLOOKUP($A89, LS_previous!$B$4:$AY$138, LS_previous!K$149, FALSE), VLOOKUP('Staging Table'!$A89, LS_previous!$B$4:$AY$138,LS_previous!AI$149, FALSE))/2)</f>
        <v>5060.9868353388001</v>
      </c>
      <c r="T89" s="192">
        <f t="array" ref="T89">IF($G89=0, INDEX(LS_previous!$D$4:$AY$138, MATCH('Staging Table'!$A89, LS_previous!$B$4:$B$138, 0), MATCH(T$4&amp;T$5, LS_previous!$D$2:$AY$2&amp;LS_previous!$D$3:$AY$3, 0)),SUM(VLOOKUP($A89, LS_previous!$B$4:$AY$138, LS_previous!L$149, FALSE), VLOOKUP('Staging Table'!$A89, LS_previous!$B$4:$AY$138,LS_previous!AJ$149, FALSE))/2)</f>
        <v>2719.1392100588018</v>
      </c>
      <c r="U89" s="192">
        <f t="array" ref="U89">IF($G89=0, INDEX(LS_previous!$D$4:$AY$138, MATCH('Staging Table'!$A89, LS_previous!$B$4:$B$138, 0), MATCH(U$4&amp;U$5, LS_previous!$D$2:$AY$2&amp;LS_previous!$D$3:$AY$3, 0)),SUM(VLOOKUP($A89, LS_previous!$B$4:$AY$138, LS_previous!M$149, FALSE), VLOOKUP('Staging Table'!$A89, LS_previous!$B$4:$AY$138,LS_previous!AK$149, FALSE))/2)</f>
        <v>2657.440312101201</v>
      </c>
      <c r="V89" s="192">
        <f t="array" ref="V89">IF($G89=0, INDEX(LS_previous!$D$4:$AY$138, MATCH('Staging Table'!$A89, LS_previous!$B$4:$B$138, 0), MATCH(V$4&amp;V$5, LS_previous!$D$2:$AY$2&amp;LS_previous!$D$3:$AY$3, 0)),SUM(VLOOKUP($A89, LS_previous!$B$4:$AY$138, LS_previous!N$149, FALSE), VLOOKUP('Staging Table'!$A89, LS_previous!$B$4:$AY$138,LS_previous!AL$149, FALSE))/2)</f>
        <v>1985.608650919201</v>
      </c>
      <c r="W89" s="192">
        <f t="array" ref="W89">IF($G89=0, INDEX(LS_previous!$D$4:$AY$138, MATCH('Staging Table'!$A89, LS_previous!$B$4:$B$138, 0), MATCH(W$4&amp;W$5, LS_previous!$D$2:$AY$2&amp;LS_previous!$D$3:$AY$3, 0)),SUM(VLOOKUP($A89, LS_previous!$B$4:$AY$138, LS_previous!O$149, FALSE), VLOOKUP('Staging Table'!$A89, LS_previous!$B$4:$AY$138,LS_previous!AM$149, FALSE))/2)</f>
        <v>2179.6300710227006</v>
      </c>
      <c r="X89" s="192">
        <f t="array" ref="X89">IF($G89=0, INDEX(LS_previous!$D$4:$AY$138, MATCH('Staging Table'!$A89, LS_previous!$B$4:$B$138, 0), MATCH(X$4&amp;X$5, LS_previous!$D$2:$AY$2&amp;LS_previous!$D$3:$AY$3, 0)),SUM(VLOOKUP($A89, LS_previous!$B$4:$AY$138, LS_previous!P$149, FALSE), VLOOKUP('Staging Table'!$A89, LS_previous!$B$4:$AY$138,LS_previous!AN$149, FALSE))/2)</f>
        <v>2426.3386177528009</v>
      </c>
      <c r="Y89" s="192">
        <f t="array" ref="Y89">IF($G89=0, INDEX(LS_previous!$D$4:$AY$138, MATCH('Staging Table'!$A89, LS_previous!$B$4:$B$138, 0), MATCH(Y$4&amp;Y$5, LS_previous!$D$2:$AY$2&amp;LS_previous!$D$3:$AY$3, 0)),SUM(VLOOKUP($A89, LS_previous!$B$4:$AY$138, LS_previous!Q$149, FALSE), VLOOKUP('Staging Table'!$A89, LS_previous!$B$4:$AY$138,LS_previous!AO$149, FALSE))/2)</f>
        <v>2112.8889766231996</v>
      </c>
      <c r="Z89" s="192">
        <f t="array" ref="Z89">IF($G89=0, INDEX(LS_previous!$D$4:$AY$138, MATCH('Staging Table'!$A89, LS_previous!$B$4:$B$138, 0), MATCH(Z$4&amp;Z$5, LS_previous!$D$2:$AY$2&amp;LS_previous!$D$3:$AY$3, 0)),SUM(VLOOKUP($A89, LS_previous!$B$4:$AY$138, LS_previous!R$149, FALSE), VLOOKUP('Staging Table'!$A89, LS_previous!$B$4:$AY$138,LS_previous!AP$149, FALSE))/2)</f>
        <v>-2287.7912352300009</v>
      </c>
      <c r="AA89" s="192">
        <f t="array" ref="AA89">IF($G89=0, INDEX(LS_previous!$D$4:$AY$138, MATCH('Staging Table'!$A89, LS_previous!$B$4:$B$138, 0), MATCH(AA$4&amp;AA$5, LS_previous!$D$2:$AY$2&amp;LS_previous!$D$3:$AY$3, 0)),SUM(VLOOKUP($A89, LS_previous!$B$4:$AY$138, LS_previous!S$149, FALSE), VLOOKUP('Staging Table'!$A89, LS_previous!$B$4:$AY$138,LS_previous!AQ$149, FALSE))/2)</f>
        <v>184.4203195052005</v>
      </c>
      <c r="AB89" s="192">
        <f t="array" ref="AB89">IF($G89=0, INDEX(LS_previous!$D$4:$AY$138, MATCH('Staging Table'!$A89, LS_previous!$B$4:$B$138, 0), MATCH(AB$4&amp;AB$5, LS_previous!$D$2:$AY$2&amp;LS_previous!$D$3:$AY$3, 0)),SUM(VLOOKUP($A89, LS_previous!$B$4:$AY$138, LS_previous!T$149, FALSE), VLOOKUP('Staging Table'!$A89, LS_previous!$B$4:$AY$138,LS_previous!AR$149, FALSE))/2)</f>
        <v>-5094.0597827972015</v>
      </c>
      <c r="AC89" s="192">
        <f t="array" ref="AC89">IF($G89=0, INDEX(LS_previous!$D$4:$AY$138, MATCH('Staging Table'!$A89, LS_previous!$B$4:$B$138, 0), MATCH(AC$4&amp;AC$5, LS_previous!$D$2:$AY$2&amp;LS_previous!$D$3:$AY$3, 0)),SUM(VLOOKUP($A89, LS_previous!$B$4:$AY$138, LS_previous!U$149, FALSE), VLOOKUP('Staging Table'!$A89, LS_previous!$B$4:$AY$138,LS_previous!AS$149, FALSE))/2)</f>
        <v>-2085.3711151768011</v>
      </c>
      <c r="AD89" s="192">
        <f t="array" ref="AD89">IF($G89=0, INDEX(LS_previous!$D$4:$AY$138, MATCH('Staging Table'!$A89, LS_previous!$B$4:$B$138, 0), MATCH(AD$4&amp;AD$5, LS_previous!$D$2:$AY$2&amp;LS_previous!$D$3:$AY$3, 0)),SUM(VLOOKUP($A89, LS_previous!$B$4:$AY$138, LS_previous!V$149, FALSE), VLOOKUP('Staging Table'!$A89, LS_previous!$B$4:$AY$138,LS_previous!AT$149, FALSE))/2)</f>
        <v>-1321.5589992972</v>
      </c>
      <c r="AE89" s="192">
        <f t="array" ref="AE89">IF($G89=0, INDEX(LS_previous!$D$4:$AY$138, MATCH('Staging Table'!$A89, LS_previous!$B$4:$B$138, 0), MATCH(AE$4&amp;AE$5, LS_previous!$D$2:$AY$2&amp;LS_previous!$D$3:$AY$3, 0)),SUM(VLOOKUP($A89, LS_previous!$B$4:$AY$138, LS_previous!W$149, FALSE), VLOOKUP('Staging Table'!$A89, LS_previous!$B$4:$AY$138,LS_previous!AU$149, FALSE))/2)</f>
        <v>1786.8435350223999</v>
      </c>
      <c r="AF89" s="192">
        <f t="array" ref="AF89">IF($G89=0, INDEX(LS_previous!$D$4:$AY$138, MATCH('Staging Table'!$A89, LS_previous!$B$4:$B$138, 0), MATCH(AF$4&amp;AF$5, LS_previous!$D$2:$AY$2&amp;LS_previous!$D$3:$AY$3, 0)),SUM(VLOOKUP($A89, LS_previous!$B$4:$AY$138, LS_previous!X$149, FALSE), VLOOKUP('Staging Table'!$A89, LS_previous!$B$4:$AY$138,LS_previous!AV$149, FALSE))/2)</f>
        <v>-286.6767736471993</v>
      </c>
      <c r="AG89" s="192">
        <f t="array" ref="AG89">IF($G89=0, INDEX(LS_previous!$D$4:$AY$138, MATCH('Staging Table'!$A89, LS_previous!$B$4:$B$138, 0), MATCH(AG$4&amp;AG$5, LS_previous!$D$2:$AY$2&amp;LS_previous!$D$3:$AY$3, 0)),SUM(VLOOKUP($A89, LS_previous!$B$4:$AY$138, LS_previous!Y$149, FALSE), VLOOKUP('Staging Table'!$A89, LS_previous!$B$4:$AY$138,LS_previous!AW$149, FALSE))/2)</f>
        <v>1402.3117110223993</v>
      </c>
      <c r="AH89" s="192">
        <f t="array" ref="AH89">IF($G89=0, INDEX(LS_previous!$D$4:$AY$138, MATCH('Staging Table'!$A89, LS_previous!$B$4:$B$138, 0), MATCH(AH$4&amp;AH$5, LS_previous!$D$2:$AY$2&amp;LS_previous!$D$3:$AY$3, 0)),SUM(VLOOKUP($A89, LS_previous!$B$4:$AY$138, LS_previous!Z$149, FALSE), VLOOKUP('Staging Table'!$A89, LS_previous!$B$4:$AY$138,LS_previous!AX$149, FALSE))/2)</f>
        <v>-750.39539328000137</v>
      </c>
      <c r="AI89" s="192">
        <f t="array" ref="AI89">IF($G89=0, INDEX(LS_previous!$D$4:$AY$138, MATCH('Staging Table'!$A89, LS_previous!$B$4:$B$138, 0), MATCH(AI$4&amp;AI$5, LS_previous!$D$2:$AY$2&amp;LS_previous!$D$3:$AY$3, 0)),SUM(VLOOKUP($A89, LS_previous!$B$4:$AY$138, LS_previous!AA$149, FALSE), VLOOKUP('Staging Table'!$A89, LS_previous!$B$4:$AY$138,LS_previous!AY$149, FALSE))/2)</f>
        <v>760.36077235599987</v>
      </c>
      <c r="AJ89" s="314">
        <f t="array" ref="AJ89">INDEX(Demand_previous!$D$4:$AY$138, MATCH('Staging Table'!$A89, Demand_previous!$B$4:$B$138, 0), MATCH(AJ$4&amp;AJ$5,Demand_previous!$D$2:$AY$2&amp;Demand_previous!$D$3:$AY$3, 0))/1000</f>
        <v>2.3288472222222243</v>
      </c>
      <c r="AK89" s="314">
        <f t="array" ref="AK89">INDEX(Demand_previous!$D$4:$AY$138, MATCH('Staging Table'!$A89, Demand_previous!$B$4:$B$138, 0), MATCH(AK$4&amp;AK$5,Demand_previous!$D$2:$AY$2&amp;Demand_previous!$D$3:$AY$3, 0))/1000</f>
        <v>3.2574450000000006</v>
      </c>
      <c r="AL89" s="314">
        <f t="array" ref="AL89">INDEX(Demand_previous!$D$4:$AY$138, MATCH('Staging Table'!$A89, Demand_previous!$B$4:$B$138, 0), MATCH(AL$4&amp;AL$5,Demand_previous!$D$2:$AY$2&amp;Demand_previous!$D$3:$AY$3, 0))/1000</f>
        <v>1.863627499999998</v>
      </c>
      <c r="AM89" s="314">
        <f t="array" ref="AM89">INDEX(Demand_previous!$D$4:$AY$138, MATCH('Staging Table'!$A89, Demand_previous!$B$4:$B$138, 0), MATCH(AM$4&amp;AM$5,Demand_previous!$D$2:$AY$2&amp;Demand_previous!$D$3:$AY$3, 0))/1000</f>
        <v>4.251973557692307</v>
      </c>
      <c r="AN89" s="314">
        <f t="array" ref="AN89">INDEX(Demand_previous!$D$4:$AY$138, MATCH('Staging Table'!$A89, Demand_previous!$B$4:$B$138, 0), MATCH(AN$4&amp;AN$5,Demand_previous!$D$2:$AY$2&amp;Demand_previous!$D$3:$AY$3, 0))/1000</f>
        <v>4.2824774999999944</v>
      </c>
      <c r="AO89" s="314">
        <f t="array" ref="AO89">INDEX(Demand_previous!$D$4:$AY$138, MATCH('Staging Table'!$A89, Demand_previous!$B$4:$B$138, 0), MATCH(AO$4&amp;AO$5,Demand_previous!$D$2:$AY$2&amp;Demand_previous!$D$3:$AY$3, 0))/1000</f>
        <v>4.0015288461538425</v>
      </c>
      <c r="AP89" s="314">
        <f t="array" ref="AP89">INDEX(Demand_previous!$D$4:$AY$138, MATCH('Staging Table'!$A89, Demand_previous!$B$4:$B$138, 0), MATCH(AP$4&amp;AP$5,Demand_previous!$D$2:$AY$2&amp;Demand_previous!$D$3:$AY$3, 0))/1000</f>
        <v>6.4678413461538407</v>
      </c>
      <c r="AQ89" s="314">
        <f t="array" ref="AQ89">INDEX(Demand_previous!$D$4:$AY$138, MATCH('Staging Table'!$A89, Demand_previous!$B$4:$B$138, 0), MATCH(AQ$4&amp;AQ$5,Demand_previous!$D$2:$AY$2&amp;Demand_previous!$D$3:$AY$3, 0))/1000</f>
        <v>3.679974999999998</v>
      </c>
      <c r="AR89" s="314">
        <f t="array" ref="AR89">INDEX(Demand_previous!$D$4:$AY$138, MATCH('Staging Table'!$A89, Demand_previous!$B$4:$B$138, 0), MATCH(AR$4&amp;AR$5,Demand_previous!$D$2:$AY$2&amp;Demand_previous!$D$3:$AY$3, 0))/1000</f>
        <v>5.0295072115384603</v>
      </c>
      <c r="AS89" s="314">
        <f t="array" ref="AS89">INDEX(Demand_previous!$D$4:$AY$138, MATCH('Staging Table'!$A89, Demand_previous!$B$4:$B$138, 0), MATCH(AS$4&amp;AS$5,Demand_previous!$D$2:$AY$2&amp;Demand_previous!$D$3:$AY$3, 0))/1000</f>
        <v>6.4961394230769205</v>
      </c>
      <c r="AT89" s="314">
        <f t="array" ref="AT89">INDEX(Demand_previous!$D$4:$AY$138, MATCH('Staging Table'!$A89, Demand_previous!$B$4:$B$138, 0), MATCH(AT$4&amp;AT$5,Demand_previous!$D$2:$AY$2&amp;Demand_previous!$D$3:$AY$3, 0))/1000</f>
        <v>4.4923100961538402</v>
      </c>
      <c r="AU89" s="314">
        <f t="array" ref="AU89">INDEX(Demand_previous!$D$4:$AY$138, MATCH('Staging Table'!$A89, Demand_previous!$B$4:$B$138, 0), MATCH(AU$4&amp;AU$5,Demand_previous!$D$2:$AY$2&amp;Demand_previous!$D$3:$AY$3, 0))/1000</f>
        <v>4.8394274999999976</v>
      </c>
      <c r="AV89" s="192">
        <f>$F89*(VLOOKUP(AV$4, Rates_previous!$G$6:$Q$29, 10, FALSE)+VLOOKUP(AV$4, Rates_previous!$G$6:$Q$29, 11, FALSE))</f>
        <v>17644.154201074798</v>
      </c>
      <c r="AW89" s="192">
        <f>$F89*(VLOOKUP(AW$4, Rates_previous!$G$6:$Q$29, 10, FALSE)+VLOOKUP(AW$4, Rates_previous!$G$6:$Q$29, 11, FALSE))</f>
        <v>22413.580036190702</v>
      </c>
      <c r="AX89" s="192">
        <f>$F89*(VLOOKUP(AX$4, Rates_previous!$G$6:$Q$29, 10, FALSE)+VLOOKUP(AX$4, Rates_previous!$G$6:$Q$29, 11, FALSE))</f>
        <v>22142.905728974802</v>
      </c>
      <c r="AY89" s="192">
        <f>$F89*(VLOOKUP(AY$4, Rates_previous!$G$6:$Q$29, 10, FALSE)+VLOOKUP(AY$4, Rates_previous!$G$6:$Q$29, 11, FALSE))</f>
        <v>18457.460586574802</v>
      </c>
      <c r="AZ89" s="192">
        <f>$F89*(VLOOKUP(AZ$4, Rates_previous!$G$6:$Q$29, 10, FALSE)+VLOOKUP(AZ$4, Rates_previous!$G$6:$Q$29, 11, FALSE))</f>
        <v>16720.544477840001</v>
      </c>
      <c r="BA89" s="192">
        <f>$F89*(VLOOKUP(BA$4, Rates_previous!$G$6:$Q$29, 10, FALSE)+VLOOKUP(BA$4, Rates_previous!$G$6:$Q$29, 11, FALSE))</f>
        <v>18598.557278058099</v>
      </c>
      <c r="BB89" s="192">
        <f>$F89*(VLOOKUP(BB$4, Rates_previous!$G$6:$Q$29, 10, FALSE)+VLOOKUP(BB$4, Rates_previous!$G$6:$Q$29, 11, FALSE))</f>
        <v>15142.965405624</v>
      </c>
      <c r="BC89" s="192">
        <f>$F89*(VLOOKUP(BC$4, Rates_previous!$G$6:$Q$29, 10, FALSE)+VLOOKUP(BC$4, Rates_previous!$G$6:$Q$29, 11, FALSE))</f>
        <v>20422.546915724801</v>
      </c>
      <c r="BD89" s="192">
        <f>$F89*(VLOOKUP(BD$4, Rates_previous!$G$6:$Q$29, 10, FALSE)+VLOOKUP(BD$4, Rates_previous!$G$6:$Q$29, 11, FALSE))</f>
        <v>26057.780897974004</v>
      </c>
      <c r="BE89" s="192">
        <f>$F89*(VLOOKUP(BE$4, Rates_previous!$G$6:$Q$29, 10, FALSE)+VLOOKUP(BE$4, Rates_previous!$G$6:$Q$29, 11, FALSE))</f>
        <v>20430.126464274803</v>
      </c>
      <c r="BF89" s="192">
        <f>$F89*(VLOOKUP(BF$4, Rates_previous!$G$6:$Q$29, 10, FALSE)+VLOOKUP(BF$4, Rates_previous!$G$6:$Q$29, 11, FALSE))</f>
        <v>19894.875062624804</v>
      </c>
      <c r="BG89" s="192">
        <f>$F89*(VLOOKUP(BG$4, Rates_previous!$G$6:$Q$29, 10, FALSE)+VLOOKUP(BG$4, Rates_previous!$G$6:$Q$29, 11, FALSE))</f>
        <v>17861.365620924003</v>
      </c>
      <c r="BH89" s="314">
        <f>IF($D89=0,IF(C89=0, MAX(BJ89 - (VLOOKUP($A89,TOCA_previous!$A$2:$AI$137,MATCH("RHWM 2020",TOCA_previous!$A$2:$AI$2,0),FALSE)*$F$2*TOCA_previous!C86),0),0), 0)</f>
        <v>24808.091850130761</v>
      </c>
      <c r="BI89" s="204">
        <f>MIN(VLOOKUP($A89,TOCA_previous!$A$2:$AI$137,MATCH("TRL - NLSL - Existing Resource "&amp;$F$1,TOCA_previous!$A$2:$AI$2,0),FALSE)*$F$2,(VLOOKUP($A89,TOCA_previous!$A$2:$AI$137,MATCH("RHWM 2020",TOCA_previous!$A$2:$AI$2,0),FALSE)*$F$2))</f>
        <v>235788.91200000001</v>
      </c>
      <c r="BJ89" s="418">
        <f>SUM(L89:AI89)+(F89*RT1SC!$C$3*$F$2)</f>
        <v>260597.00385013077</v>
      </c>
      <c r="BK89" s="417">
        <f>VLOOKUP($A89,TOCA_previous!$A$2:$AI$137,MATCH("Above RHWM Not Served with LS "&amp;$F$1,TOCA_previous!$A$2:$AI$2,0),FALSE)*$F$2</f>
        <v>0</v>
      </c>
      <c r="BL89" s="418">
        <f t="shared" si="27"/>
        <v>24808.091850130761</v>
      </c>
      <c r="BM89" s="417">
        <f>(VLOOKUP($A89,TOCA_previous!$A$2:$AI$137,MATCH("RHWM 2020",TOCA_previous!$A$2:$AI$2,0),FALSE)*$F$2) - $BI89</f>
        <v>0</v>
      </c>
      <c r="BN89" s="418">
        <f t="shared" si="28"/>
        <v>0</v>
      </c>
      <c r="BO89" s="417">
        <f t="shared" si="29"/>
        <v>0</v>
      </c>
      <c r="BP89" s="418">
        <f t="shared" si="30"/>
        <v>0</v>
      </c>
      <c r="BQ89" s="417">
        <f t="shared" si="21"/>
        <v>0</v>
      </c>
      <c r="BR89" s="120">
        <f>VLOOKUP($A89,TOCA_current!$A$2:$AI$137,MATCH(BR$4,TOCA_current!$A$2:$AI$2,0),FALSE)</f>
        <v>3.8211999999999999E-3</v>
      </c>
      <c r="BS89" s="120">
        <f>VLOOKUP($A89,TOCA_current!$A$2:$AI$137,MATCH(BS$4,TOCA_current!$A$2:$AI$2,0),FALSE)</f>
        <v>3.8211999999999999E-3</v>
      </c>
      <c r="BT89" s="201">
        <f t="shared" si="31"/>
        <v>0</v>
      </c>
      <c r="BU89" s="120">
        <f>VLOOKUP($A89,TOCA_current!A85:BG220,MATCH(BU$4,TOCA_current!$A$2:$BG$2,0),FALSE)</f>
        <v>7.3237053727516419E-2</v>
      </c>
      <c r="BV89" s="120">
        <f t="shared" si="22"/>
        <v>0</v>
      </c>
      <c r="BW89" s="120">
        <f t="shared" si="23"/>
        <v>0</v>
      </c>
      <c r="BX89" s="191">
        <f>VLOOKUP($A89,IRD!$A$4:$G$139, 7, FALSE)</f>
        <v>0</v>
      </c>
      <c r="BY89" s="192">
        <f t="array" ref="BY89">IF($BT89=0, INDEX(LS_current!$D$4:$AY$138, MATCH('Staging Table'!$A89, LS_current!$B$4:$B$138, 0), MATCH(BY$4&amp;BY$5, LS_current!$D$2:$AY$2&amp;LS_current!$D$3:$AY$3, 0)),SUM(VLOOKUP($A89, LS_current!$B$4:$AY$138, LS_current!D$148, FALSE), VLOOKUP($A89, LS_current!$B$4:$AY$138,LS_current!AB$148, FALSE))/2)</f>
        <v>-184.68175884305128</v>
      </c>
      <c r="BZ89" s="192">
        <f t="array" ref="BZ89">IF($BT89=0, INDEX(LS_current!$D$4:$AY$138, MATCH('Staging Table'!$A89, LS_current!$B$4:$B$138, 0), MATCH(BZ$4&amp;BZ$5, LS_current!$D$2:$AY$2&amp;LS_current!$D$3:$AY$3, 0)),SUM(VLOOKUP($A89, LS_current!$B$4:$AY$138, LS_current!E$148, FALSE), VLOOKUP($A89, LS_current!$B$4:$AY$138,LS_current!AC$148, FALSE))/2)</f>
        <v>123.91876222347673</v>
      </c>
      <c r="CA89" s="192">
        <f t="array" ref="CA89">IF($BT89=0, INDEX(LS_current!$D$4:$AY$138, MATCH('Staging Table'!$A89, LS_current!$B$4:$B$138, 0), MATCH(CA$4&amp;CA$5, LS_current!$D$2:$AY$2&amp;LS_current!$D$3:$AY$3, 0)),SUM(VLOOKUP($A89, LS_current!$B$4:$AY$138, LS_current!F$148, FALSE), VLOOKUP($A89, LS_current!$B$4:$AY$138,LS_current!AD$148, FALSE))/2)</f>
        <v>-1911.7740857266763</v>
      </c>
      <c r="CB89" s="192">
        <f t="array" ref="CB89">IF($BT89=0, INDEX(LS_current!$D$4:$AY$138, MATCH('Staging Table'!$A89, LS_current!$B$4:$B$138, 0), MATCH(CB$4&amp;CB$5, LS_current!$D$2:$AY$2&amp;LS_current!$D$3:$AY$3, 0)),SUM(VLOOKUP($A89, LS_current!$B$4:$AY$138, LS_current!G$148, FALSE), VLOOKUP($A89, LS_current!$B$4:$AY$138,LS_current!AE$148, FALSE))/2)</f>
        <v>-518.87374829152486</v>
      </c>
      <c r="CC89" s="192">
        <f t="array" ref="CC89">IF($BT89=0, INDEX(LS_current!$D$4:$AY$138, MATCH('Staging Table'!$A89, LS_current!$B$4:$B$138, 0), MATCH(CC$4&amp;CC$5, LS_current!$D$2:$AY$2&amp;LS_current!$D$3:$AY$3, 0)),SUM(VLOOKUP($A89, LS_current!$B$4:$AY$138, LS_current!H$148, FALSE), VLOOKUP($A89, LS_current!$B$4:$AY$138,LS_current!AF$148, FALSE))/2)</f>
        <v>3134.8945024253171</v>
      </c>
      <c r="CD89" s="192">
        <f t="array" ref="CD89">IF($BT89=0, INDEX(LS_current!$D$4:$AY$138, MATCH('Staging Table'!$A89, LS_current!$B$4:$B$138, 0), MATCH(CD$4&amp;CD$5, LS_current!$D$2:$AY$2&amp;LS_current!$D$3:$AY$3, 0)),SUM(VLOOKUP($A89, LS_current!$B$4:$AY$138, LS_current!I$148, FALSE), VLOOKUP($A89, LS_current!$B$4:$AY$138,LS_current!AG$148, FALSE))/2)</f>
        <v>1597.3204340917346</v>
      </c>
      <c r="CE89" s="192">
        <f t="array" ref="CE89">IF($BT89=0, INDEX(LS_current!$D$4:$AY$138, MATCH('Staging Table'!$A89, LS_current!$B$4:$B$138, 0), MATCH(CE$4&amp;CE$5, LS_current!$D$2:$AY$2&amp;LS_current!$D$3:$AY$3, 0)),SUM(VLOOKUP($A89, LS_current!$B$4:$AY$138, LS_current!J$148, FALSE), VLOOKUP($A89, LS_current!$B$4:$AY$138,LS_current!AH$148, FALSE))/2)</f>
        <v>5280.7865540562088</v>
      </c>
      <c r="CF89" s="192">
        <f t="array" ref="CF89">IF($BT89=0, INDEX(LS_current!$D$4:$AY$138, MATCH('Staging Table'!$A89, LS_current!$B$4:$B$138, 0), MATCH(CF$4&amp;CF$5, LS_current!$D$2:$AY$2&amp;LS_current!$D$3:$AY$3, 0)),SUM(VLOOKUP($A89, LS_current!$B$4:$AY$138, LS_current!K$148, FALSE), VLOOKUP($A89, LS_current!$B$4:$AY$138,LS_current!AI$148, FALSE))/2)</f>
        <v>3117.8689417584446</v>
      </c>
      <c r="CG89" s="192">
        <f t="array" ref="CG89">IF($BT89=0, INDEX(LS_current!$D$4:$AY$138, MATCH('Staging Table'!$A89, LS_current!$B$4:$B$138, 0), MATCH(CG$4&amp;CG$5, LS_current!$D$2:$AY$2&amp;LS_current!$D$3:$AY$3, 0)),SUM(VLOOKUP($A89, LS_current!$B$4:$AY$138, LS_current!L$148, FALSE), VLOOKUP($A89, LS_current!$B$4:$AY$138,LS_current!AJ$148, FALSE))/2)</f>
        <v>3048.4287071013478</v>
      </c>
      <c r="CH89" s="192">
        <f t="array" ref="CH89">IF($BT89=0, INDEX(LS_current!$D$4:$AY$138, MATCH('Staging Table'!$A89, LS_current!$B$4:$B$138, 0), MATCH(CH$4&amp;CH$5, LS_current!$D$2:$AY$2&amp;LS_current!$D$3:$AY$3, 0)),SUM(VLOOKUP($A89, LS_current!$B$4:$AY$138, LS_current!M$148, FALSE), VLOOKUP($A89, LS_current!$B$4:$AY$138,LS_current!AK$148, FALSE))/2)</f>
        <v>1419.6184015910567</v>
      </c>
      <c r="CI89" s="192">
        <f t="array" ref="CI89">IF($BT89=0, INDEX(LS_current!$D$4:$AY$138, MATCH('Staging Table'!$A89, LS_current!$B$4:$B$138, 0), MATCH(CI$4&amp;CI$5, LS_current!$D$2:$AY$2&amp;LS_current!$D$3:$AY$3, 0)),SUM(VLOOKUP($A89, LS_current!$B$4:$AY$138, LS_current!N$148, FALSE), VLOOKUP($A89, LS_current!$B$4:$AY$138,LS_current!AL$148, FALSE))/2)</f>
        <v>1084.0158528884986</v>
      </c>
      <c r="CJ89" s="192">
        <f t="array" ref="CJ89">IF($BT89=0, INDEX(LS_current!$D$4:$AY$138, MATCH('Staging Table'!$A89, LS_current!$B$4:$B$138, 0), MATCH(CJ$4&amp;CJ$5, LS_current!$D$2:$AY$2&amp;LS_current!$D$3:$AY$3, 0)),SUM(VLOOKUP($A89, LS_current!$B$4:$AY$138, LS_current!O$148, FALSE), VLOOKUP($A89, LS_current!$B$4:$AY$138,LS_current!AM$148, FALSE))/2)</f>
        <v>827.43809364831577</v>
      </c>
      <c r="CK89" s="192">
        <f t="array" ref="CK89">IF($BT89=0, INDEX(LS_current!$D$4:$AY$138, MATCH('Staging Table'!$A89, LS_current!$B$4:$B$138, 0), MATCH(CK$4&amp;CK$5, LS_current!$D$2:$AY$2&amp;LS_current!$D$3:$AY$3, 0)),SUM(VLOOKUP($A89, LS_current!$B$4:$AY$138, LS_current!P$148, FALSE), VLOOKUP($A89, LS_current!$B$4:$AY$138,LS_current!AN$148, FALSE))/2)</f>
        <v>1781.3751474470573</v>
      </c>
      <c r="CL89" s="192">
        <f t="array" ref="CL89">IF($BT89=0, INDEX(LS_current!$D$4:$AY$138, MATCH('Staging Table'!$A89, LS_current!$B$4:$B$138, 0), MATCH(CL$4&amp;CL$5, LS_current!$D$2:$AY$2&amp;LS_current!$D$3:$AY$3, 0)),SUM(VLOOKUP($A89, LS_current!$B$4:$AY$138, LS_current!Q$148, FALSE), VLOOKUP($A89, LS_current!$B$4:$AY$138,LS_current!AO$148, FALSE))/2)</f>
        <v>1244.7642863988931</v>
      </c>
      <c r="CM89" s="192">
        <f t="array" ref="CM89">IF($BT89=0, INDEX(LS_current!$D$4:$AY$138, MATCH('Staging Table'!$A89, LS_current!$B$4:$B$138, 0), MATCH(CM$4&amp;CM$5, LS_current!$D$2:$AY$2&amp;LS_current!$D$3:$AY$3, 0)),SUM(VLOOKUP($A89, LS_current!$B$4:$AY$138, LS_current!R$148, FALSE), VLOOKUP($A89, LS_current!$B$4:$AY$138,LS_current!AP$148, FALSE))/2)</f>
        <v>-3697.7958067836444</v>
      </c>
      <c r="CN89" s="192">
        <f t="array" ref="CN89">IF($BT89=0, INDEX(LS_current!$D$4:$AY$138, MATCH('Staging Table'!$A89, LS_current!$B$4:$B$138, 0), MATCH(CN$4&amp;CN$5, LS_current!$D$2:$AY$2&amp;LS_current!$D$3:$AY$3, 0)),SUM(VLOOKUP($A89, LS_current!$B$4:$AY$138, LS_current!S$148, FALSE), VLOOKUP($A89, LS_current!$B$4:$AY$138,LS_current!AQ$148, FALSE))/2)</f>
        <v>-232.9829771520881</v>
      </c>
      <c r="CO89" s="192">
        <f t="array" ref="CO89">IF($BT89=0, INDEX(LS_current!$D$4:$AY$138, MATCH('Staging Table'!$A89, LS_current!$B$4:$B$138, 0), MATCH(CO$4&amp;CO$5, LS_current!$D$2:$AY$2&amp;LS_current!$D$3:$AY$3, 0)),SUM(VLOOKUP($A89, LS_current!$B$4:$AY$138, LS_current!T$148, FALSE), VLOOKUP($A89, LS_current!$B$4:$AY$138,LS_current!AR$148, FALSE))/2)</f>
        <v>-4644.4222468537264</v>
      </c>
      <c r="CP89" s="192">
        <f t="array" ref="CP89">IF($BT89=0, INDEX(LS_current!$D$4:$AY$138, MATCH('Staging Table'!$A89, LS_current!$B$4:$B$138, 0), MATCH(CP$4&amp;CP$5, LS_current!$D$2:$AY$2&amp;LS_current!$D$3:$AY$3, 0)),SUM(VLOOKUP($A89, LS_current!$B$4:$AY$138, LS_current!U$148, FALSE), VLOOKUP($A89, LS_current!$B$4:$AY$138,LS_current!AS$148, FALSE))/2)</f>
        <v>-7.1869491382612978</v>
      </c>
      <c r="CQ89" s="192">
        <f t="array" ref="CQ89">IF($BT89=0, INDEX(LS_current!$D$4:$AY$138, MATCH('Staging Table'!$A89, LS_current!$B$4:$B$138, 0), MATCH(CQ$4&amp;CQ$5, LS_current!$D$2:$AY$2&amp;LS_current!$D$3:$AY$3, 0)),SUM(VLOOKUP($A89, LS_current!$B$4:$AY$138, LS_current!V$148, FALSE), VLOOKUP($A89, LS_current!$B$4:$AY$138,LS_current!AT$148, FALSE))/2)</f>
        <v>-1957.3805716872466</v>
      </c>
      <c r="CR89" s="192">
        <f t="array" ref="CR89">IF($BT89=0, INDEX(LS_current!$D$4:$AY$138, MATCH('Staging Table'!$A89, LS_current!$B$4:$B$138, 0), MATCH(CR$4&amp;CR$5, LS_current!$D$2:$AY$2&amp;LS_current!$D$3:$AY$3, 0)),SUM(VLOOKUP($A89, LS_current!$B$4:$AY$138, LS_current!W$148, FALSE), VLOOKUP($A89, LS_current!$B$4:$AY$138,LS_current!AU$148, FALSE))/2)</f>
        <v>315.16011908928249</v>
      </c>
      <c r="CS89" s="192">
        <f t="array" ref="CS89">IF($BT89=0, INDEX(LS_current!$D$4:$AY$138, MATCH('Staging Table'!$A89, LS_current!$B$4:$B$138, 0), MATCH(CS$4&amp;CS$5, LS_current!$D$2:$AY$2&amp;LS_current!$D$3:$AY$3, 0)),SUM(VLOOKUP($A89, LS_current!$B$4:$AY$138, LS_current!X$148, FALSE), VLOOKUP($A89, LS_current!$B$4:$AY$138,LS_current!AV$148, FALSE))/2)</f>
        <v>-1150.9692780974201</v>
      </c>
      <c r="CT89" s="192">
        <f t="array" ref="CT89">IF($BT89=0, INDEX(LS_current!$D$4:$AY$138, MATCH('Staging Table'!$A89, LS_current!$B$4:$B$138, 0), MATCH(CT$4&amp;CT$5, LS_current!$D$2:$AY$2&amp;LS_current!$D$3:$AY$3, 0)),SUM(VLOOKUP($A89, LS_current!$B$4:$AY$138, LS_current!Y$148, FALSE), VLOOKUP($A89, LS_current!$B$4:$AY$138,LS_current!AW$148, FALSE))/2)</f>
        <v>299.10785121053414</v>
      </c>
      <c r="CU89" s="192">
        <f t="array" ref="CU89">IF($BT89=0, INDEX(LS_current!$D$4:$AY$138, MATCH('Staging Table'!$A89, LS_current!$B$4:$B$138, 0), MATCH(CU$4&amp;CU$5, LS_current!$D$2:$AY$2&amp;LS_current!$D$3:$AY$3, 0)),SUM(VLOOKUP($A89, LS_current!$B$4:$AY$138, LS_current!Z$148, FALSE), VLOOKUP($A89, LS_current!$B$4:$AY$138,LS_current!AX$148, FALSE))/2)</f>
        <v>-2078.9672982340471</v>
      </c>
      <c r="CV89" s="192">
        <f t="array" ref="CV89">IF($BT89=0, INDEX(LS_current!$D$4:$AY$138, MATCH('Staging Table'!$A89, LS_current!$B$4:$B$138, 0), MATCH(CV$4&amp;CV$5, LS_current!$D$2:$AY$2&amp;LS_current!$D$3:$AY$3, 0)),SUM(VLOOKUP($A89, LS_current!$B$4:$AY$138, LS_current!AA$148, FALSE), VLOOKUP($A89, LS_current!$B$4:$AY$138,LS_current!AY$148, FALSE))/2)</f>
        <v>-358.71749289374111</v>
      </c>
      <c r="CW89" s="194">
        <f t="array" ref="CW89">INDEX(Demand_current!$D$4:$AY$138, MATCH($A89, Demand_current!$B$4:$B$138, 0), MATCH(CW$4&amp;CW$5,Demand_current!$D$2:$AY$2&amp;Demand_current!$D$3:$AY$3, 0))/1000</f>
        <v>1.2308028846153842</v>
      </c>
      <c r="CX89" s="194">
        <f t="array" ref="CX89">INDEX(Demand_current!$D$4:$AY$138, MATCH($A89, Demand_current!$B$4:$B$138, 0), MATCH(CX$4&amp;CX$5,Demand_current!$D$2:$AY$2&amp;Demand_current!$D$3:$AY$3, 0))/1000</f>
        <v>3.2574450000000006</v>
      </c>
      <c r="CY89" s="194">
        <f t="array" ref="CY89">INDEX(Demand_current!$D$4:$AY$138, MATCH($A89, Demand_current!$B$4:$B$138, 0), MATCH(CY$4&amp;CY$5,Demand_current!$D$2:$AY$2&amp;Demand_current!$D$3:$AY$3, 0))/1000</f>
        <v>3.4800649038461469</v>
      </c>
      <c r="CZ89" s="194">
        <f t="array" ref="CZ89">INDEX(Demand_current!$D$4:$AY$138, MATCH($A89, Demand_current!$B$4:$B$138, 0), MATCH(CZ$4&amp;CZ$5,Demand_current!$D$2:$AY$2&amp;Demand_current!$D$3:$AY$3, 0))/1000</f>
        <v>2.6444924999999957</v>
      </c>
      <c r="DA89" s="194">
        <f t="array" ref="DA89">INDEX(Demand_current!$D$4:$AY$138, MATCH($A89, Demand_current!$B$4:$B$138, 0), MATCH(DA$4&amp;DA$5,Demand_current!$D$2:$AY$2&amp;Demand_current!$D$3:$AY$3, 0))/1000</f>
        <v>2.9003723958333323</v>
      </c>
      <c r="DB89" s="194">
        <f t="array" ref="DB89">INDEX(Demand_current!$D$4:$AY$138, MATCH($A89, Demand_current!$B$4:$B$138, 0), MATCH(DB$4&amp;DB$5,Demand_current!$D$2:$AY$2&amp;Demand_current!$D$3:$AY$3, 0))/1000</f>
        <v>5.2311388888888857</v>
      </c>
      <c r="DC89" s="194">
        <f t="array" ref="DC89">INDEX(Demand_current!$D$4:$AY$138, MATCH($A89, Demand_current!$B$4:$B$138, 0), MATCH(DC$4&amp;DC$5,Demand_current!$D$2:$AY$2&amp;Demand_current!$D$3:$AY$3, 0))/1000</f>
        <v>6.4678413461538407</v>
      </c>
      <c r="DD89" s="194">
        <f t="array" ref="DD89">INDEX(Demand_current!$D$4:$AY$138, MATCH($A89, Demand_current!$B$4:$B$138, 0), MATCH(DD$4&amp;DD$5,Demand_current!$D$2:$AY$2&amp;Demand_current!$D$3:$AY$3, 0))/1000</f>
        <v>3.679974999999998</v>
      </c>
      <c r="DE89" s="194">
        <f t="array" ref="DE89">INDEX(Demand_current!$D$4:$AY$138, MATCH($A89, Demand_current!$B$4:$B$138, 0), MATCH(DE$4&amp;DE$5,Demand_current!$D$2:$AY$2&amp;Demand_current!$D$3:$AY$3, 0))/1000</f>
        <v>5.0295072115384603</v>
      </c>
      <c r="DF89" s="194">
        <f t="array" ref="DF89">INDEX(Demand_current!$D$4:$AY$138, MATCH($A89, Demand_current!$B$4:$B$138, 0), MATCH(DF$4&amp;DF$5,Demand_current!$D$2:$AY$2&amp;Demand_current!$D$3:$AY$3, 0))/1000</f>
        <v>5.2709449999999958</v>
      </c>
      <c r="DG89" s="194">
        <f t="array" ref="DG89">INDEX(Demand_current!$D$4:$AY$138, MATCH($A89, Demand_current!$B$4:$B$138, 0), MATCH(DG$4&amp;DG$5,Demand_current!$D$2:$AY$2&amp;Demand_current!$D$3:$AY$3, 0))/1000</f>
        <v>5.6805949074074036</v>
      </c>
      <c r="DH89" s="194">
        <f t="array" ref="DH89">INDEX(Demand_current!$D$4:$AY$138, MATCH($A89, Demand_current!$B$4:$B$138, 0), MATCH(DH$4&amp;DH$5,Demand_current!$D$2:$AY$2&amp;Demand_current!$D$3:$AY$3, 0))/1000</f>
        <v>4.8394274999999976</v>
      </c>
      <c r="DI89" s="192">
        <f>$BS89*(VLOOKUP(DI$4, Rates_current!$G$6:$Q$29, 10, FALSE)+VLOOKUP(DI$4, Rates_current!$G$6:$Q$29, 11, FALSE))</f>
        <v>17401.455996619574</v>
      </c>
      <c r="DJ89" s="192">
        <f>$BS89*(VLOOKUP(DJ$4, Rates_current!$G$6:$Q$29, 10, FALSE)+VLOOKUP(DJ$4, Rates_current!$G$6:$Q$29, 11, FALSE))</f>
        <v>22030.874834018203</v>
      </c>
      <c r="DK89" s="192">
        <f>$BS89*(VLOOKUP(DK$4, Rates_current!$G$6:$Q$29, 10, FALSE)+VLOOKUP(DK$4, Rates_current!$G$6:$Q$29, 11, FALSE))</f>
        <v>21563.825063482949</v>
      </c>
      <c r="DL89" s="192">
        <f>$BS89*(VLOOKUP(DL$4, Rates_current!$G$6:$Q$29, 10, FALSE)+VLOOKUP(DL$4, Rates_current!$G$6:$Q$29, 11, FALSE))</f>
        <v>17810.802504185347</v>
      </c>
      <c r="DM89" s="192">
        <f>$BS89*(VLOOKUP(DM$4, Rates_current!$G$6:$Q$29, 10, FALSE)+VLOOKUP(DM$4, Rates_current!$G$6:$Q$29, 11, FALSE))</f>
        <v>15437.012891307599</v>
      </c>
      <c r="DN89" s="192">
        <f>$BS89*(VLOOKUP(DN$4, Rates_current!$G$6:$Q$29, 10, FALSE)+VLOOKUP(DN$4, Rates_current!$G$6:$Q$29, 11, FALSE))</f>
        <v>18428.676053463187</v>
      </c>
      <c r="DO89" s="192">
        <f>$BS89*(VLOOKUP(DO$4, Rates_current!$G$6:$Q$29, 10, FALSE)+VLOOKUP(DO$4, Rates_current!$G$6:$Q$29, 11, FALSE))</f>
        <v>14307.413566154049</v>
      </c>
      <c r="DP89" s="192">
        <f>$BS89*(VLOOKUP(DP$4, Rates_current!$G$6:$Q$29, 10, FALSE)+VLOOKUP(DP$4, Rates_current!$G$6:$Q$29, 11, FALSE))</f>
        <v>19823.026783935733</v>
      </c>
      <c r="DQ89" s="192">
        <f>$BS89*(VLOOKUP(DQ$4, Rates_current!$G$6:$Q$29, 10, FALSE)+VLOOKUP(DQ$4, Rates_current!$G$6:$Q$29, 11, FALSE))</f>
        <v>21181.319195991986</v>
      </c>
      <c r="DR89" s="192">
        <f>$BS89*(VLOOKUP(DR$4, Rates_current!$G$6:$Q$29, 10, FALSE)+VLOOKUP(DR$4, Rates_current!$G$6:$Q$29, 11, FALSE))</f>
        <v>20110.703452597969</v>
      </c>
      <c r="DS89" s="192">
        <f>$BS89*(VLOOKUP(DS$4, Rates_current!$G$6:$Q$29, 10, FALSE)+VLOOKUP(DS$4, Rates_current!$G$6:$Q$29, 11, FALSE))</f>
        <v>19435.44342688689</v>
      </c>
      <c r="DT89" s="192">
        <f>$BS89*(VLOOKUP(DT$4, Rates_current!$G$6:$Q$29, 10, FALSE)+VLOOKUP(DT$4, Rates_current!$G$6:$Q$29, 11, FALSE))</f>
        <v>17960.375791127786</v>
      </c>
      <c r="DU89" s="418">
        <f>IF(D89=0,IF(C89=0,MAX(0,DW89 - (VLOOKUP($A89,TOCA_current!$A$2:$AI$137,MATCH("RHWM 2022",TOCA_current!$A$2:$AI$2,0),FALSE)*$BS$2)), 0),0)</f>
        <v>6530.7265348367218</v>
      </c>
      <c r="DV89" s="419">
        <f>MIN(VLOOKUP($A89,TOCA_current!$A$2:$AI$137,MATCH("TRL - NLSL - Existing Resource "&amp;$BS$1,TOCA_current!$A$2:$AI$2,0),FALSE)*$BS$2, VLOOKUP($A89,TOCA_current!$A$2:$AI$137,MATCH("RHWM 2022",TOCA_current!$A$2:$AI$2,0),FALSE)*$BS$2)</f>
        <v>225491.16</v>
      </c>
      <c r="DW89" s="419">
        <f>SUM(BY89:CV89)+(BS89*RT1SC!$C$4*$BS$2)</f>
        <v>232021.88653483673</v>
      </c>
      <c r="DX89" s="419">
        <f>VLOOKUP($A89,TOCA_current!$A$2:$AI$137,MATCH("Above RHWM Not Served with LS "&amp;$BS$1,TOCA_current!$A$2:$AI$2,0),FALSE)*$BS$2</f>
        <v>28575.119999999999</v>
      </c>
      <c r="DY89" s="419">
        <f t="shared" si="32"/>
        <v>6530.7265348367218</v>
      </c>
      <c r="DZ89" s="419">
        <f>(VLOOKUP($A89,TOCA_current!$A$2:$AI$137,MATCH("RHWM 2022",TOCA_current!$A$2:$AI$2,0),FALSE)*$BS$2) - $DV89</f>
        <v>0</v>
      </c>
      <c r="EA89" s="419">
        <f t="shared" si="33"/>
        <v>0</v>
      </c>
      <c r="EB89" s="419">
        <f t="shared" si="34"/>
        <v>0</v>
      </c>
      <c r="EC89" s="419">
        <f t="shared" si="35"/>
        <v>0</v>
      </c>
      <c r="ED89" s="419">
        <f t="shared" si="36"/>
        <v>0</v>
      </c>
    </row>
    <row r="90" spans="1:134">
      <c r="A90" s="135">
        <v>10260</v>
      </c>
      <c r="B90" s="136" t="s">
        <v>91</v>
      </c>
      <c r="C90" s="244">
        <f>VLOOKUP(A90, TOCA_current!$A$3:$D$137, 4, FALSE)</f>
        <v>0</v>
      </c>
      <c r="D90" s="203">
        <v>0</v>
      </c>
      <c r="E90" s="119">
        <f>VLOOKUP($A90,TOCA_previous!$A$2:$AI$137,MATCH(E$4,TOCA_previous!$A$2:$AI$2,0),FALSE)</f>
        <v>3.7220999999999999E-3</v>
      </c>
      <c r="F90" s="120">
        <f>VLOOKUP($A90,TOCA_previous!$A$2:$AI$137,MATCH(F$4,TOCA_previous!$A$2:$AI$2,0),FALSE)</f>
        <v>3.7220999999999999E-3</v>
      </c>
      <c r="G90" s="120">
        <f t="shared" si="24"/>
        <v>0</v>
      </c>
      <c r="H90" s="120">
        <f>VLOOKUP($A90,TOCA_previous!$A$2:$AI$137,MATCH(H$4,TOCA_previous!$A$2:$AI$2,0),FALSE)</f>
        <v>0</v>
      </c>
      <c r="I90" s="120">
        <f t="shared" si="25"/>
        <v>0</v>
      </c>
      <c r="J90" s="120">
        <f t="shared" si="26"/>
        <v>0</v>
      </c>
      <c r="K90" s="191">
        <f>VLOOKUP(A90, IRD!$A$5:$C$139, 3, FALSE)</f>
        <v>0</v>
      </c>
      <c r="L90" s="192">
        <f t="array" ref="L90">IF($G90=0, INDEX(LS_previous!$D$4:$AY$138, MATCH('Staging Table'!$A90, LS_previous!$B$4:$B$138, 0), MATCH(L$4&amp;L$5, LS_previous!$D$2:$AY$2&amp;LS_previous!$D$3:$AY$3, 0)),SUM(VLOOKUP($A90, LS_previous!$B$4:$AY$138, LS_previous!D$149, FALSE), VLOOKUP('Staging Table'!$A90, LS_previous!$B$4:$AY$138,LS_previous!AB$149, FALSE))/2)</f>
        <v>-719.33428067479872</v>
      </c>
      <c r="M90" s="192">
        <f t="array" ref="M90">IF($G90=0, INDEX(LS_previous!$D$4:$AY$138, MATCH('Staging Table'!$A90, LS_previous!$B$4:$B$138, 0), MATCH(M$4&amp;M$5, LS_previous!$D$2:$AY$2&amp;LS_previous!$D$3:$AY$3, 0)),SUM(VLOOKUP($A90, LS_previous!$B$4:$AY$138, LS_previous!E$149, FALSE), VLOOKUP('Staging Table'!$A90, LS_previous!$B$4:$AY$138,LS_previous!AC$149, FALSE))/2)</f>
        <v>-5.7310545567988811</v>
      </c>
      <c r="N90" s="192">
        <f t="array" ref="N90">IF($G90=0, INDEX(LS_previous!$D$4:$AY$138, MATCH('Staging Table'!$A90, LS_previous!$B$4:$B$138, 0), MATCH(N$4&amp;N$5, LS_previous!$D$2:$AY$2&amp;LS_previous!$D$3:$AY$3, 0)),SUM(VLOOKUP($A90, LS_previous!$B$4:$AY$138, LS_previous!F$149, FALSE), VLOOKUP('Staging Table'!$A90, LS_previous!$B$4:$AY$138,LS_previous!AD$149, FALSE))/2)</f>
        <v>-3158.5006759687985</v>
      </c>
      <c r="O90" s="192">
        <f t="array" ref="O90">IF($G90=0, INDEX(LS_previous!$D$4:$AY$138, MATCH('Staging Table'!$A90, LS_previous!$B$4:$B$138, 0), MATCH(O$4&amp;O$5, LS_previous!$D$2:$AY$2&amp;LS_previous!$D$3:$AY$3, 0)),SUM(VLOOKUP($A90, LS_previous!$B$4:$AY$138, LS_previous!G$149, FALSE), VLOOKUP('Staging Table'!$A90, LS_previous!$B$4:$AY$138,LS_previous!AE$149, FALSE))/2)</f>
        <v>-1159.4923829131012</v>
      </c>
      <c r="P90" s="192">
        <f t="array" ref="P90">IF($G90=0, INDEX(LS_previous!$D$4:$AY$138, MATCH('Staging Table'!$A90, LS_previous!$B$4:$B$138, 0), MATCH(P$4&amp;P$5, LS_previous!$D$2:$AY$2&amp;LS_previous!$D$3:$AY$3, 0)),SUM(VLOOKUP($A90, LS_previous!$B$4:$AY$138, LS_previous!H$149, FALSE), VLOOKUP('Staging Table'!$A90, LS_previous!$B$4:$AY$138,LS_previous!AF$149, FALSE))/2)</f>
        <v>85.053421148797497</v>
      </c>
      <c r="Q90" s="192">
        <f t="array" ref="Q90">IF($G90=0, INDEX(LS_previous!$D$4:$AY$138, MATCH('Staging Table'!$A90, LS_previous!$B$4:$B$138, 0), MATCH(Q$4&amp;Q$5, LS_previous!$D$2:$AY$2&amp;LS_previous!$D$3:$AY$3, 0)),SUM(VLOOKUP($A90, LS_previous!$B$4:$AY$138, LS_previous!I$149, FALSE), VLOOKUP('Staging Table'!$A90, LS_previous!$B$4:$AY$138,LS_previous!AG$149, FALSE))/2)</f>
        <v>937.12118931960049</v>
      </c>
      <c r="R90" s="192">
        <f t="array" ref="R90">IF($G90=0, INDEX(LS_previous!$D$4:$AY$138, MATCH('Staging Table'!$A90, LS_previous!$B$4:$B$138, 0), MATCH(R$4&amp;R$5, LS_previous!$D$2:$AY$2&amp;LS_previous!$D$3:$AY$3, 0)),SUM(VLOOKUP($A90, LS_previous!$B$4:$AY$138, LS_previous!J$149, FALSE), VLOOKUP('Staging Table'!$A90, LS_previous!$B$4:$AY$138,LS_previous!AH$149, FALSE))/2)</f>
        <v>2860.7321807488006</v>
      </c>
      <c r="S90" s="192">
        <f t="array" ref="S90">IF($G90=0, INDEX(LS_previous!$D$4:$AY$138, MATCH('Staging Table'!$A90, LS_previous!$B$4:$B$138, 0), MATCH(S$4&amp;S$5, LS_previous!$D$2:$AY$2&amp;LS_previous!$D$3:$AY$3, 0)),SUM(VLOOKUP($A90, LS_previous!$B$4:$AY$138, LS_previous!K$149, FALSE), VLOOKUP('Staging Table'!$A90, LS_previous!$B$4:$AY$138,LS_previous!AI$149, FALSE))/2)</f>
        <v>2889.6003305196018</v>
      </c>
      <c r="T90" s="192">
        <f t="array" ref="T90">IF($G90=0, INDEX(LS_previous!$D$4:$AY$138, MATCH('Staging Table'!$A90, LS_previous!$B$4:$B$138, 0), MATCH(T$4&amp;T$5, LS_previous!$D$2:$AY$2&amp;LS_previous!$D$3:$AY$3, 0)),SUM(VLOOKUP($A90, LS_previous!$B$4:$AY$138, LS_previous!L$149, FALSE), VLOOKUP('Staging Table'!$A90, LS_previous!$B$4:$AY$138,LS_previous!AJ$149, FALSE))/2)</f>
        <v>1629.4214447596005</v>
      </c>
      <c r="U90" s="192">
        <f t="array" ref="U90">IF($G90=0, INDEX(LS_previous!$D$4:$AY$138, MATCH('Staging Table'!$A90, LS_previous!$B$4:$B$138, 0), MATCH(U$4&amp;U$5, LS_previous!$D$2:$AY$2&amp;LS_previous!$D$3:$AY$3, 0)),SUM(VLOOKUP($A90, LS_previous!$B$4:$AY$138, LS_previous!M$149, FALSE), VLOOKUP('Staging Table'!$A90, LS_previous!$B$4:$AY$138,LS_previous!AK$149, FALSE))/2)</f>
        <v>1477.6352639604011</v>
      </c>
      <c r="V90" s="192">
        <f t="array" ref="V90">IF($G90=0, INDEX(LS_previous!$D$4:$AY$138, MATCH('Staging Table'!$A90, LS_previous!$B$4:$B$138, 0), MATCH(V$4&amp;V$5, LS_previous!$D$2:$AY$2&amp;LS_previous!$D$3:$AY$3, 0)),SUM(VLOOKUP($A90, LS_previous!$B$4:$AY$138, LS_previous!N$149, FALSE), VLOOKUP('Staging Table'!$A90, LS_previous!$B$4:$AY$138,LS_previous!AL$149, FALSE))/2)</f>
        <v>321.07635746640153</v>
      </c>
      <c r="W90" s="192">
        <f t="array" ref="W90">IF($G90=0, INDEX(LS_previous!$D$4:$AY$138, MATCH('Staging Table'!$A90, LS_previous!$B$4:$B$138, 0), MATCH(W$4&amp;W$5, LS_previous!$D$2:$AY$2&amp;LS_previous!$D$3:$AY$3, 0)),SUM(VLOOKUP($A90, LS_previous!$B$4:$AY$138, LS_previous!O$149, FALSE), VLOOKUP('Staging Table'!$A90, LS_previous!$B$4:$AY$138,LS_previous!AM$149, FALSE))/2)</f>
        <v>560.62029742590039</v>
      </c>
      <c r="X90" s="192">
        <f t="array" ref="X90">IF($G90=0, INDEX(LS_previous!$D$4:$AY$138, MATCH('Staging Table'!$A90, LS_previous!$B$4:$B$138, 0), MATCH(X$4&amp;X$5, LS_previous!$D$2:$AY$2&amp;LS_previous!$D$3:$AY$3, 0)),SUM(VLOOKUP($A90, LS_previous!$B$4:$AY$138, LS_previous!P$149, FALSE), VLOOKUP('Staging Table'!$A90, LS_previous!$B$4:$AY$138,LS_previous!AN$149, FALSE))/2)</f>
        <v>755.88322435759983</v>
      </c>
      <c r="Y90" s="192">
        <f t="array" ref="Y90">IF($G90=0, INDEX(LS_previous!$D$4:$AY$138, MATCH('Staging Table'!$A90, LS_previous!$B$4:$B$138, 0), MATCH(Y$4&amp;Y$5, LS_previous!$D$2:$AY$2&amp;LS_previous!$D$3:$AY$3, 0)),SUM(VLOOKUP($A90, LS_previous!$B$4:$AY$138, LS_previous!Q$149, FALSE), VLOOKUP('Staging Table'!$A90, LS_previous!$B$4:$AY$138,LS_previous!AO$149, FALSE))/2)</f>
        <v>605.86899523440024</v>
      </c>
      <c r="Z90" s="192">
        <f t="array" ref="Z90">IF($G90=0, INDEX(LS_previous!$D$4:$AY$138, MATCH('Staging Table'!$A90, LS_previous!$B$4:$B$138, 0), MATCH(Z$4&amp;Z$5, LS_previous!$D$2:$AY$2&amp;LS_previous!$D$3:$AY$3, 0)),SUM(VLOOKUP($A90, LS_previous!$B$4:$AY$138, LS_previous!R$149, FALSE), VLOOKUP('Staging Table'!$A90, LS_previous!$B$4:$AY$138,LS_previous!AP$149, FALSE))/2)</f>
        <v>-3648.2729949099994</v>
      </c>
      <c r="AA90" s="192">
        <f t="array" ref="AA90">IF($G90=0, INDEX(LS_previous!$D$4:$AY$138, MATCH('Staging Table'!$A90, LS_previous!$B$4:$B$138, 0), MATCH(AA$4&amp;AA$5, LS_previous!$D$2:$AY$2&amp;LS_previous!$D$3:$AY$3, 0)),SUM(VLOOKUP($A90, LS_previous!$B$4:$AY$138, LS_previous!S$149, FALSE), VLOOKUP('Staging Table'!$A90, LS_previous!$B$4:$AY$138,LS_previous!AQ$149, FALSE))/2)</f>
        <v>-1344.7146693715995</v>
      </c>
      <c r="AB90" s="192">
        <f t="array" ref="AB90">IF($G90=0, INDEX(LS_previous!$D$4:$AY$138, MATCH('Staging Table'!$A90, LS_previous!$B$4:$B$138, 0), MATCH(AB$4&amp;AB$5, LS_previous!$D$2:$AY$2&amp;LS_previous!$D$3:$AY$3, 0)),SUM(VLOOKUP($A90, LS_previous!$B$4:$AY$138, LS_previous!T$149, FALSE), VLOOKUP('Staging Table'!$A90, LS_previous!$B$4:$AY$138,LS_previous!AR$149, FALSE))/2)</f>
        <v>-6077.1914449923988</v>
      </c>
      <c r="AC90" s="192">
        <f t="array" ref="AC90">IF($G90=0, INDEX(LS_previous!$D$4:$AY$138, MATCH('Staging Table'!$A90, LS_previous!$B$4:$B$138, 0), MATCH(AC$4&amp;AC$5, LS_previous!$D$2:$AY$2&amp;LS_previous!$D$3:$AY$3, 0)),SUM(VLOOKUP($A90, LS_previous!$B$4:$AY$138, LS_previous!U$149, FALSE), VLOOKUP('Staging Table'!$A90, LS_previous!$B$4:$AY$138,LS_previous!AS$149, FALSE))/2)</f>
        <v>-3112.2519253655992</v>
      </c>
      <c r="AD90" s="192">
        <f t="array" ref="AD90">IF($G90=0, INDEX(LS_previous!$D$4:$AY$138, MATCH('Staging Table'!$A90, LS_previous!$B$4:$B$138, 0), MATCH(AD$4&amp;AD$5, LS_previous!$D$2:$AY$2&amp;LS_previous!$D$3:$AY$3, 0)),SUM(VLOOKUP($A90, LS_previous!$B$4:$AY$138, LS_previous!V$149, FALSE), VLOOKUP('Staging Table'!$A90, LS_previous!$B$4:$AY$138,LS_previous!AT$149, FALSE))/2)</f>
        <v>-1600.1809254923992</v>
      </c>
      <c r="AE90" s="192">
        <f t="array" ref="AE90">IF($G90=0, INDEX(LS_previous!$D$4:$AY$138, MATCH('Staging Table'!$A90, LS_previous!$B$4:$B$138, 0), MATCH(AE$4&amp;AE$5, LS_previous!$D$2:$AY$2&amp;LS_previous!$D$3:$AY$3, 0)),SUM(VLOOKUP($A90, LS_previous!$B$4:$AY$138, LS_previous!W$149, FALSE), VLOOKUP('Staging Table'!$A90, LS_previous!$B$4:$AY$138,LS_previous!AU$149, FALSE))/2)</f>
        <v>995.63647586079969</v>
      </c>
      <c r="AF90" s="192">
        <f t="array" ref="AF90">IF($G90=0, INDEX(LS_previous!$D$4:$AY$138, MATCH('Staging Table'!$A90, LS_previous!$B$4:$B$138, 0), MATCH(AF$4&amp;AF$5, LS_previous!$D$2:$AY$2&amp;LS_previous!$D$3:$AY$3, 0)),SUM(VLOOKUP($A90, LS_previous!$B$4:$AY$138, LS_previous!X$149, FALSE), VLOOKUP('Staging Table'!$A90, LS_previous!$B$4:$AY$138,LS_previous!AV$149, FALSE))/2)</f>
        <v>-961.67570944239924</v>
      </c>
      <c r="AG90" s="192">
        <f t="array" ref="AG90">IF($G90=0, INDEX(LS_previous!$D$4:$AY$138, MATCH('Staging Table'!$A90, LS_previous!$B$4:$B$138, 0), MATCH(AG$4&amp;AG$5, LS_previous!$D$2:$AY$2&amp;LS_previous!$D$3:$AY$3, 0)),SUM(VLOOKUP($A90, LS_previous!$B$4:$AY$138, LS_previous!Y$149, FALSE), VLOOKUP('Staging Table'!$A90, LS_previous!$B$4:$AY$138,LS_previous!AW$149, FALSE))/2)</f>
        <v>389.61966786079938</v>
      </c>
      <c r="AH90" s="192">
        <f t="array" ref="AH90">IF($G90=0, INDEX(LS_previous!$D$4:$AY$138, MATCH('Staging Table'!$A90, LS_previous!$B$4:$B$138, 0), MATCH(AH$4&amp;AH$5, LS_previous!$D$2:$AY$2&amp;LS_previous!$D$3:$AY$3, 0)),SUM(VLOOKUP($A90, LS_previous!$B$4:$AY$138, LS_previous!Z$149, FALSE), VLOOKUP('Staging Table'!$A90, LS_previous!$B$4:$AY$138,LS_previous!AX$149, FALSE))/2)</f>
        <v>-1855.6355417600007</v>
      </c>
      <c r="AI90" s="192">
        <f t="array" ref="AI90">IF($G90=0, INDEX(LS_previous!$D$4:$AY$138, MATCH('Staging Table'!$A90, LS_previous!$B$4:$B$138, 0), MATCH(AI$4&amp;AI$5, LS_previous!$D$2:$AY$2&amp;LS_previous!$D$3:$AY$3, 0)),SUM(VLOOKUP($A90, LS_previous!$B$4:$AY$138, LS_previous!AA$149, FALSE), VLOOKUP('Staging Table'!$A90, LS_previous!$B$4:$AY$138,LS_previous!AY$149, FALSE))/2)</f>
        <v>-439.22345874799976</v>
      </c>
      <c r="AJ90" s="314">
        <f t="array" ref="AJ90">INDEX(Demand_previous!$D$4:$AY$138, MATCH('Staging Table'!$A90, Demand_previous!$B$4:$B$138, 0), MATCH(AJ$4&amp;AJ$5,Demand_previous!$D$2:$AY$2&amp;Demand_previous!$D$3:$AY$3, 0))/1000</f>
        <v>4.0631018518518527</v>
      </c>
      <c r="AK90" s="314">
        <f t="array" ref="AK90">INDEX(Demand_previous!$D$4:$AY$138, MATCH('Staging Table'!$A90, Demand_previous!$B$4:$B$138, 0), MATCH(AK$4&amp;AK$5,Demand_previous!$D$2:$AY$2&amp;Demand_previous!$D$3:$AY$3, 0))/1000</f>
        <v>5.1244274999999977</v>
      </c>
      <c r="AL90" s="314">
        <f t="array" ref="AL90">INDEX(Demand_previous!$D$4:$AY$138, MATCH('Staging Table'!$A90, Demand_previous!$B$4:$B$138, 0), MATCH(AL$4&amp;AL$5,Demand_previous!$D$2:$AY$2&amp;Demand_previous!$D$3:$AY$3, 0))/1000</f>
        <v>6.143827500000004</v>
      </c>
      <c r="AM90" s="314">
        <f t="array" ref="AM90">INDEX(Demand_previous!$D$4:$AY$138, MATCH('Staging Table'!$A90, Demand_previous!$B$4:$B$138, 0), MATCH(AM$4&amp;AM$5,Demand_previous!$D$2:$AY$2&amp;Demand_previous!$D$3:$AY$3, 0))/1000</f>
        <v>5.1688197115384593</v>
      </c>
      <c r="AN90" s="314">
        <f t="array" ref="AN90">INDEX(Demand_previous!$D$4:$AY$138, MATCH('Staging Table'!$A90, Demand_previous!$B$4:$B$138, 0), MATCH(AN$4&amp;AN$5,Demand_previous!$D$2:$AY$2&amp;Demand_previous!$D$3:$AY$3, 0))/1000</f>
        <v>5.3014000000000028</v>
      </c>
      <c r="AO90" s="314">
        <f t="array" ref="AO90">INDEX(Demand_previous!$D$4:$AY$138, MATCH('Staging Table'!$A90, Demand_previous!$B$4:$B$138, 0), MATCH(AO$4&amp;AO$5,Demand_previous!$D$2:$AY$2&amp;Demand_previous!$D$3:$AY$3, 0))/1000</f>
        <v>3.0307500000000012</v>
      </c>
      <c r="AP90" s="314">
        <f t="array" ref="AP90">INDEX(Demand_previous!$D$4:$AY$138, MATCH('Staging Table'!$A90, Demand_previous!$B$4:$B$138, 0), MATCH(AP$4&amp;AP$5,Demand_previous!$D$2:$AY$2&amp;Demand_previous!$D$3:$AY$3, 0))/1000</f>
        <v>4.0929831730769255</v>
      </c>
      <c r="AQ90" s="314">
        <f t="array" ref="AQ90">INDEX(Demand_previous!$D$4:$AY$138, MATCH('Staging Table'!$A90, Demand_previous!$B$4:$B$138, 0), MATCH(AQ$4&amp;AQ$5,Demand_previous!$D$2:$AY$2&amp;Demand_previous!$D$3:$AY$3, 0))/1000</f>
        <v>2.776265</v>
      </c>
      <c r="AR90" s="314">
        <f t="array" ref="AR90">INDEX(Demand_previous!$D$4:$AY$138, MATCH('Staging Table'!$A90, Demand_previous!$B$4:$B$138, 0), MATCH(AR$4&amp;AR$5,Demand_previous!$D$2:$AY$2&amp;Demand_previous!$D$3:$AY$3, 0))/1000</f>
        <v>4.1731418269230796</v>
      </c>
      <c r="AS90" s="314">
        <f t="array" ref="AS90">INDEX(Demand_previous!$D$4:$AY$138, MATCH('Staging Table'!$A90, Demand_previous!$B$4:$B$138, 0), MATCH(AS$4&amp;AS$5,Demand_previous!$D$2:$AY$2&amp;Demand_previous!$D$3:$AY$3, 0))/1000</f>
        <v>5.6715168269230727</v>
      </c>
      <c r="AT90" s="314">
        <f t="array" ref="AT90">INDEX(Demand_previous!$D$4:$AY$138, MATCH('Staging Table'!$A90, Demand_previous!$B$4:$B$138, 0), MATCH(AT$4&amp;AT$5,Demand_previous!$D$2:$AY$2&amp;Demand_previous!$D$3:$AY$3, 0))/1000</f>
        <v>3.8226778846153797</v>
      </c>
      <c r="AU90" s="314">
        <f t="array" ref="AU90">INDEX(Demand_previous!$D$4:$AY$138, MATCH('Staging Table'!$A90, Demand_previous!$B$4:$B$138, 0), MATCH(AU$4&amp;AU$5,Demand_previous!$D$2:$AY$2&amp;Demand_previous!$D$3:$AY$3, 0))/1000</f>
        <v>5.6368874999999994</v>
      </c>
      <c r="AV90" s="192">
        <f>$F90*(VLOOKUP(AV$4, Rates_previous!$G$6:$Q$29, 10, FALSE)+VLOOKUP(AV$4, Rates_previous!$G$6:$Q$29, 11, FALSE))</f>
        <v>17186.116335231596</v>
      </c>
      <c r="AW90" s="192">
        <f>$F90*(VLOOKUP(AW$4, Rates_previous!$G$6:$Q$29, 10, FALSE)+VLOOKUP(AW$4, Rates_previous!$G$6:$Q$29, 11, FALSE))</f>
        <v>21831.729058881898</v>
      </c>
      <c r="AX90" s="192">
        <f>$F90*(VLOOKUP(AX$4, Rates_previous!$G$6:$Q$29, 10, FALSE)+VLOOKUP(AX$4, Rates_previous!$G$6:$Q$29, 11, FALSE))</f>
        <v>21568.081389531602</v>
      </c>
      <c r="AY90" s="192">
        <f>$F90*(VLOOKUP(AY$4, Rates_previous!$G$6:$Q$29, 10, FALSE)+VLOOKUP(AY$4, Rates_previous!$G$6:$Q$29, 11, FALSE))</f>
        <v>17978.3094887316</v>
      </c>
      <c r="AZ90" s="192">
        <f>$F90*(VLOOKUP(AZ$4, Rates_previous!$G$6:$Q$29, 10, FALSE)+VLOOKUP(AZ$4, Rates_previous!$G$6:$Q$29, 11, FALSE))</f>
        <v>16286.483291279999</v>
      </c>
      <c r="BA90" s="192">
        <f>$F90*(VLOOKUP(BA$4, Rates_previous!$G$6:$Q$29, 10, FALSE)+VLOOKUP(BA$4, Rates_previous!$G$6:$Q$29, 11, FALSE))</f>
        <v>18115.743345107698</v>
      </c>
      <c r="BB90" s="192">
        <f>$F90*(VLOOKUP(BB$4, Rates_previous!$G$6:$Q$29, 10, FALSE)+VLOOKUP(BB$4, Rates_previous!$G$6:$Q$29, 11, FALSE))</f>
        <v>14749.857780408</v>
      </c>
      <c r="BC90" s="192">
        <f>$F90*(VLOOKUP(BC$4, Rates_previous!$G$6:$Q$29, 10, FALSE)+VLOOKUP(BC$4, Rates_previous!$G$6:$Q$29, 11, FALSE))</f>
        <v>19892.382664281602</v>
      </c>
      <c r="BD90" s="192">
        <f>$F90*(VLOOKUP(BD$4, Rates_previous!$G$6:$Q$29, 10, FALSE)+VLOOKUP(BD$4, Rates_previous!$G$6:$Q$29, 11, FALSE))</f>
        <v>25381.327370358002</v>
      </c>
      <c r="BE90" s="192">
        <f>$F90*(VLOOKUP(BE$4, Rates_previous!$G$6:$Q$29, 10, FALSE)+VLOOKUP(BE$4, Rates_previous!$G$6:$Q$29, 11, FALSE))</f>
        <v>19899.765449631603</v>
      </c>
      <c r="BF90" s="192">
        <f>$F90*(VLOOKUP(BF$4, Rates_previous!$G$6:$Q$29, 10, FALSE)+VLOOKUP(BF$4, Rates_previous!$G$6:$Q$29, 11, FALSE))</f>
        <v>19378.409041581603</v>
      </c>
      <c r="BG90" s="192">
        <f>$F90*(VLOOKUP(BG$4, Rates_previous!$G$6:$Q$29, 10, FALSE)+VLOOKUP(BG$4, Rates_previous!$G$6:$Q$29, 11, FALSE))</f>
        <v>17397.689000508002</v>
      </c>
      <c r="BH90" s="314">
        <f>IF($D90=0,IF(C90=0, MAX(BJ90 - (VLOOKUP($A90,TOCA_previous!$A$2:$AI$137,MATCH("RHWM 2020",TOCA_previous!$A$2:$AI$2,0),FALSE)*$F$2*TOCA_previous!C87),0),0), 0)</f>
        <v>0</v>
      </c>
      <c r="BI90" s="204">
        <f>MIN(VLOOKUP($A90,TOCA_previous!$A$2:$AI$137,MATCH("TRL - NLSL - Existing Resource "&amp;$F$1,TOCA_previous!$A$2:$AI$2,0),FALSE)*$F$2,(VLOOKUP($A90,TOCA_previous!$A$2:$AI$137,MATCH("RHWM 2020",TOCA_previous!$A$2:$AI$2,0),FALSE)*$F$2))</f>
        <v>229666.46400000001</v>
      </c>
      <c r="BJ90" s="418">
        <f>SUM(L90:AI90)+(F90*RT1SC!$C$3*$F$2)</f>
        <v>219091.96662038361</v>
      </c>
      <c r="BK90" s="417">
        <f>VLOOKUP($A90,TOCA_previous!$A$2:$AI$137,MATCH("Above RHWM Not Served with LS "&amp;$F$1,TOCA_previous!$A$2:$AI$2,0),FALSE)*$F$2</f>
        <v>14616.575999999999</v>
      </c>
      <c r="BL90" s="418">
        <f t="shared" si="27"/>
        <v>-10574.497379616398</v>
      </c>
      <c r="BM90" s="417">
        <f>(VLOOKUP($A90,TOCA_previous!$A$2:$AI$137,MATCH("RHWM 2020",TOCA_previous!$A$2:$AI$2,0),FALSE)*$F$2) - $BI90</f>
        <v>0</v>
      </c>
      <c r="BN90" s="418">
        <f t="shared" si="28"/>
        <v>0</v>
      </c>
      <c r="BO90" s="417">
        <f t="shared" si="29"/>
        <v>0</v>
      </c>
      <c r="BP90" s="418">
        <f t="shared" si="30"/>
        <v>0</v>
      </c>
      <c r="BQ90" s="417">
        <f t="shared" si="21"/>
        <v>0</v>
      </c>
      <c r="BR90" s="120">
        <f>VLOOKUP($A90,TOCA_current!$A$2:$AI$137,MATCH(BR$4,TOCA_current!$A$2:$AI$2,0),FALSE)</f>
        <v>3.722E-3</v>
      </c>
      <c r="BS90" s="120">
        <f>VLOOKUP($A90,TOCA_current!$A$2:$AI$137,MATCH(BS$4,TOCA_current!$A$2:$AI$2,0),FALSE)</f>
        <v>3.722E-3</v>
      </c>
      <c r="BT90" s="201">
        <f t="shared" si="31"/>
        <v>0</v>
      </c>
      <c r="BU90" s="120">
        <f>VLOOKUP($A90,TOCA_current!A86:BG221,MATCH(BU$4,TOCA_current!$A$2:$BG$2,0),FALSE)</f>
        <v>0</v>
      </c>
      <c r="BV90" s="120">
        <f t="shared" si="22"/>
        <v>0</v>
      </c>
      <c r="BW90" s="120">
        <f t="shared" si="23"/>
        <v>0</v>
      </c>
      <c r="BX90" s="191">
        <f>VLOOKUP($A90,IRD!$A$4:$G$139, 7, FALSE)</f>
        <v>0</v>
      </c>
      <c r="BY90" s="192">
        <f t="array" ref="BY90">IF($BT90=0, INDEX(LS_current!$D$4:$AY$138, MATCH('Staging Table'!$A90, LS_current!$B$4:$B$138, 0), MATCH(BY$4&amp;BY$5, LS_current!$D$2:$AY$2&amp;LS_current!$D$3:$AY$3, 0)),SUM(VLOOKUP($A90, LS_current!$B$4:$AY$138, LS_current!D$148, FALSE), VLOOKUP($A90, LS_current!$B$4:$AY$138,LS_current!AB$148, FALSE))/2)</f>
        <v>-646.31336460113016</v>
      </c>
      <c r="BZ90" s="192">
        <f t="array" ref="BZ90">IF($BT90=0, INDEX(LS_current!$D$4:$AY$138, MATCH('Staging Table'!$A90, LS_current!$B$4:$B$138, 0), MATCH(BZ$4&amp;BZ$5, LS_current!$D$2:$AY$2&amp;LS_current!$D$3:$AY$3, 0)),SUM(VLOOKUP($A90, LS_current!$B$4:$AY$138, LS_current!E$148, FALSE), VLOOKUP($A90, LS_current!$B$4:$AY$138,LS_current!AC$148, FALSE))/2)</f>
        <v>-347.51832947875482</v>
      </c>
      <c r="CA90" s="192">
        <f t="array" ref="CA90">IF($BT90=0, INDEX(LS_current!$D$4:$AY$138, MATCH('Staging Table'!$A90, LS_current!$B$4:$B$138, 0), MATCH(CA$4&amp;CA$5, LS_current!$D$2:$AY$2&amp;LS_current!$D$3:$AY$3, 0)),SUM(VLOOKUP($A90, LS_current!$B$4:$AY$138, LS_current!F$148, FALSE), VLOOKUP($A90, LS_current!$B$4:$AY$138,LS_current!AD$148, FALSE))/2)</f>
        <v>-2910.8029248075727</v>
      </c>
      <c r="CB90" s="192">
        <f t="array" ref="CB90">IF($BT90=0, INDEX(LS_current!$D$4:$AY$138, MATCH('Staging Table'!$A90, LS_current!$B$4:$B$138, 0), MATCH(CB$4&amp;CB$5, LS_current!$D$2:$AY$2&amp;LS_current!$D$3:$AY$3, 0)),SUM(VLOOKUP($A90, LS_current!$B$4:$AY$138, LS_current!G$148, FALSE), VLOOKUP($A90, LS_current!$B$4:$AY$138,LS_current!AE$148, FALSE))/2)</f>
        <v>-1523.9638970849628</v>
      </c>
      <c r="CC90" s="192">
        <f t="array" ref="CC90">IF($BT90=0, INDEX(LS_current!$D$4:$AY$138, MATCH('Staging Table'!$A90, LS_current!$B$4:$B$138, 0), MATCH(CC$4&amp;CC$5, LS_current!$D$2:$AY$2&amp;LS_current!$D$3:$AY$3, 0)),SUM(VLOOKUP($A90, LS_current!$B$4:$AY$138, LS_current!H$148, FALSE), VLOOKUP($A90, LS_current!$B$4:$AY$138,LS_current!AF$148, FALSE))/2)</f>
        <v>1170.5266778046225</v>
      </c>
      <c r="CD90" s="192">
        <f t="array" ref="CD90">IF($BT90=0, INDEX(LS_current!$D$4:$AY$138, MATCH('Staging Table'!$A90, LS_current!$B$4:$B$138, 0), MATCH(CD$4&amp;CD$5, LS_current!$D$2:$AY$2&amp;LS_current!$D$3:$AY$3, 0)),SUM(VLOOKUP($A90, LS_current!$B$4:$AY$138, LS_current!I$148, FALSE), VLOOKUP($A90, LS_current!$B$4:$AY$138,LS_current!AG$148, FALSE))/2)</f>
        <v>-89.465542633353834</v>
      </c>
      <c r="CE90" s="192">
        <f t="array" ref="CE90">IF($BT90=0, INDEX(LS_current!$D$4:$AY$138, MATCH('Staging Table'!$A90, LS_current!$B$4:$B$138, 0), MATCH(CE$4&amp;CE$5, LS_current!$D$2:$AY$2&amp;LS_current!$D$3:$AY$3, 0)),SUM(VLOOKUP($A90, LS_current!$B$4:$AY$138, LS_current!J$148, FALSE), VLOOKUP($A90, LS_current!$B$4:$AY$138,LS_current!AH$148, FALSE))/2)</f>
        <v>4045.3112627962946</v>
      </c>
      <c r="CF90" s="192">
        <f t="array" ref="CF90">IF($BT90=0, INDEX(LS_current!$D$4:$AY$138, MATCH('Staging Table'!$A90, LS_current!$B$4:$B$138, 0), MATCH(CF$4&amp;CF$5, LS_current!$D$2:$AY$2&amp;LS_current!$D$3:$AY$3, 0)),SUM(VLOOKUP($A90, LS_current!$B$4:$AY$138, LS_current!K$148, FALSE), VLOOKUP($A90, LS_current!$B$4:$AY$138,LS_current!AI$148, FALSE))/2)</f>
        <v>1829.7283474366513</v>
      </c>
      <c r="CG90" s="192">
        <f t="array" ref="CG90">IF($BT90=0, INDEX(LS_current!$D$4:$AY$138, MATCH('Staging Table'!$A90, LS_current!$B$4:$B$138, 0), MATCH(CG$4&amp;CG$5, LS_current!$D$2:$AY$2&amp;LS_current!$D$3:$AY$3, 0)),SUM(VLOOKUP($A90, LS_current!$B$4:$AY$138, LS_current!L$148, FALSE), VLOOKUP($A90, LS_current!$B$4:$AY$138,LS_current!AJ$148, FALSE))/2)</f>
        <v>2936.1473671703152</v>
      </c>
      <c r="CH90" s="192">
        <f t="array" ref="CH90">IF($BT90=0, INDEX(LS_current!$D$4:$AY$138, MATCH('Staging Table'!$A90, LS_current!$B$4:$B$138, 0), MATCH(CH$4&amp;CH$5, LS_current!$D$2:$AY$2&amp;LS_current!$D$3:$AY$3, 0)),SUM(VLOOKUP($A90, LS_current!$B$4:$AY$138, LS_current!M$148, FALSE), VLOOKUP($A90, LS_current!$B$4:$AY$138,LS_current!AK$148, FALSE))/2)</f>
        <v>1004.7792538265239</v>
      </c>
      <c r="CI90" s="192">
        <f t="array" ref="CI90">IF($BT90=0, INDEX(LS_current!$D$4:$AY$138, MATCH('Staging Table'!$A90, LS_current!$B$4:$B$138, 0), MATCH(CI$4&amp;CI$5, LS_current!$D$2:$AY$2&amp;LS_current!$D$3:$AY$3, 0)),SUM(VLOOKUP($A90, LS_current!$B$4:$AY$138, LS_current!N$148, FALSE), VLOOKUP($A90, LS_current!$B$4:$AY$138,LS_current!AL$148, FALSE))/2)</f>
        <v>495.54630661859846</v>
      </c>
      <c r="CJ90" s="192">
        <f t="array" ref="CJ90">IF($BT90=0, INDEX(LS_current!$D$4:$AY$138, MATCH('Staging Table'!$A90, LS_current!$B$4:$B$138, 0), MATCH(CJ$4&amp;CJ$5, LS_current!$D$2:$AY$2&amp;LS_current!$D$3:$AY$3, 0)),SUM(VLOOKUP($A90, LS_current!$B$4:$AY$138, LS_current!O$148, FALSE), VLOOKUP($A90, LS_current!$B$4:$AY$138,LS_current!AM$148, FALSE))/2)</f>
        <v>47.137018151111988</v>
      </c>
      <c r="CK90" s="192">
        <f t="array" ref="CK90">IF($BT90=0, INDEX(LS_current!$D$4:$AY$138, MATCH('Staging Table'!$A90, LS_current!$B$4:$B$138, 0), MATCH(CK$4&amp;CK$5, LS_current!$D$2:$AY$2&amp;LS_current!$D$3:$AY$3, 0)),SUM(VLOOKUP($A90, LS_current!$B$4:$AY$138, LS_current!P$148, FALSE), VLOOKUP($A90, LS_current!$B$4:$AY$138,LS_current!AN$148, FALSE))/2)</f>
        <v>1166.9696597921975</v>
      </c>
      <c r="CL90" s="192">
        <f t="array" ref="CL90">IF($BT90=0, INDEX(LS_current!$D$4:$AY$138, MATCH('Staging Table'!$A90, LS_current!$B$4:$B$138, 0), MATCH(CL$4&amp;CL$5, LS_current!$D$2:$AY$2&amp;LS_current!$D$3:$AY$3, 0)),SUM(VLOOKUP($A90, LS_current!$B$4:$AY$138, LS_current!Q$148, FALSE), VLOOKUP($A90, LS_current!$B$4:$AY$138,LS_current!AO$148, FALSE))/2)</f>
        <v>519.77340070571609</v>
      </c>
      <c r="CM90" s="192">
        <f t="array" ref="CM90">IF($BT90=0, INDEX(LS_current!$D$4:$AY$138, MATCH('Staging Table'!$A90, LS_current!$B$4:$B$138, 0), MATCH(CM$4&amp;CM$5, LS_current!$D$2:$AY$2&amp;LS_current!$D$3:$AY$3, 0)),SUM(VLOOKUP($A90, LS_current!$B$4:$AY$138, LS_current!R$148, FALSE), VLOOKUP($A90, LS_current!$B$4:$AY$138,LS_current!AP$148, FALSE))/2)</f>
        <v>-4022.3374071100006</v>
      </c>
      <c r="CN90" s="192">
        <f t="array" ref="CN90">IF($BT90=0, INDEX(LS_current!$D$4:$AY$138, MATCH('Staging Table'!$A90, LS_current!$B$4:$B$138, 0), MATCH(CN$4&amp;CN$5, LS_current!$D$2:$AY$2&amp;LS_current!$D$3:$AY$3, 0)),SUM(VLOOKUP($A90, LS_current!$B$4:$AY$138, LS_current!S$148, FALSE), VLOOKUP($A90, LS_current!$B$4:$AY$138,LS_current!AQ$148, FALSE))/2)</f>
        <v>-891.85605227679116</v>
      </c>
      <c r="CO90" s="192">
        <f t="array" ref="CO90">IF($BT90=0, INDEX(LS_current!$D$4:$AY$138, MATCH('Staging Table'!$A90, LS_current!$B$4:$B$138, 0), MATCH(CO$4&amp;CO$5, LS_current!$D$2:$AY$2&amp;LS_current!$D$3:$AY$3, 0)),SUM(VLOOKUP($A90, LS_current!$B$4:$AY$138, LS_current!T$148, FALSE), VLOOKUP($A90, LS_current!$B$4:$AY$138,LS_current!AR$148, FALSE))/2)</f>
        <v>-4599.9153018919642</v>
      </c>
      <c r="CP90" s="192">
        <f t="array" ref="CP90">IF($BT90=0, INDEX(LS_current!$D$4:$AY$138, MATCH('Staging Table'!$A90, LS_current!$B$4:$B$138, 0), MATCH(CP$4&amp;CP$5, LS_current!$D$2:$AY$2&amp;LS_current!$D$3:$AY$3, 0)),SUM(VLOOKUP($A90, LS_current!$B$4:$AY$138, LS_current!U$148, FALSE), VLOOKUP($A90, LS_current!$B$4:$AY$138,LS_current!AS$148, FALSE))/2)</f>
        <v>-328.52371273228528</v>
      </c>
      <c r="CQ90" s="192">
        <f t="array" ref="CQ90">IF($BT90=0, INDEX(LS_current!$D$4:$AY$138, MATCH('Staging Table'!$A90, LS_current!$B$4:$B$138, 0), MATCH(CQ$4&amp;CQ$5, LS_current!$D$2:$AY$2&amp;LS_current!$D$3:$AY$3, 0)),SUM(VLOOKUP($A90, LS_current!$B$4:$AY$138, LS_current!V$148, FALSE), VLOOKUP($A90, LS_current!$B$4:$AY$138,LS_current!AT$148, FALSE))/2)</f>
        <v>-1193.5359121270649</v>
      </c>
      <c r="CR90" s="192">
        <f t="array" ref="CR90">IF($BT90=0, INDEX(LS_current!$D$4:$AY$138, MATCH('Staging Table'!$A90, LS_current!$B$4:$B$138, 0), MATCH(CR$4&amp;CR$5, LS_current!$D$2:$AY$2&amp;LS_current!$D$3:$AY$3, 0)),SUM(VLOOKUP($A90, LS_current!$B$4:$AY$138, LS_current!W$148, FALSE), VLOOKUP($A90, LS_current!$B$4:$AY$138,LS_current!AU$148, FALSE))/2)</f>
        <v>394.95999446516907</v>
      </c>
      <c r="CS90" s="192">
        <f t="array" ref="CS90">IF($BT90=0, INDEX(LS_current!$D$4:$AY$138, MATCH('Staging Table'!$A90, LS_current!$B$4:$B$138, 0), MATCH(CS$4&amp;CS$5, LS_current!$D$2:$AY$2&amp;LS_current!$D$3:$AY$3, 0)),SUM(VLOOKUP($A90, LS_current!$B$4:$AY$138, LS_current!X$148, FALSE), VLOOKUP($A90, LS_current!$B$4:$AY$138,LS_current!AV$148, FALSE))/2)</f>
        <v>-750.87257005092761</v>
      </c>
      <c r="CT90" s="192">
        <f t="array" ref="CT90">IF($BT90=0, INDEX(LS_current!$D$4:$AY$138, MATCH('Staging Table'!$A90, LS_current!$B$4:$B$138, 0), MATCH(CT$4&amp;CT$5, LS_current!$D$2:$AY$2&amp;LS_current!$D$3:$AY$3, 0)),SUM(VLOOKUP($A90, LS_current!$B$4:$AY$138, LS_current!Y$148, FALSE), VLOOKUP($A90, LS_current!$B$4:$AY$138,LS_current!AW$148, FALSE))/2)</f>
        <v>121.15863660776904</v>
      </c>
      <c r="CU90" s="192">
        <f t="array" ref="CU90">IF($BT90=0, INDEX(LS_current!$D$4:$AY$138, MATCH('Staging Table'!$A90, LS_current!$B$4:$B$138, 0), MATCH(CU$4&amp;CU$5, LS_current!$D$2:$AY$2&amp;LS_current!$D$3:$AY$3, 0)),SUM(VLOOKUP($A90, LS_current!$B$4:$AY$138, LS_current!Z$148, FALSE), VLOOKUP($A90, LS_current!$B$4:$AY$138,LS_current!AX$148, FALSE))/2)</f>
        <v>-2150.3825468510222</v>
      </c>
      <c r="CV90" s="192">
        <f t="array" ref="CV90">IF($BT90=0, INDEX(LS_current!$D$4:$AY$138, MATCH('Staging Table'!$A90, LS_current!$B$4:$B$138, 0), MATCH(CV$4&amp;CV$5, LS_current!$D$2:$AY$2&amp;LS_current!$D$3:$AY$3, 0)),SUM(VLOOKUP($A90, LS_current!$B$4:$AY$138, LS_current!AA$148, FALSE), VLOOKUP($A90, LS_current!$B$4:$AY$138,LS_current!AY$148, FALSE))/2)</f>
        <v>-729.784142821758</v>
      </c>
      <c r="CW90" s="194">
        <f t="array" ref="CW90">INDEX(Demand_current!$D$4:$AY$138, MATCH($A90, Demand_current!$B$4:$B$138, 0), MATCH(CW$4&amp;CW$5,Demand_current!$D$2:$AY$2&amp;Demand_current!$D$3:$AY$3, 0))/1000</f>
        <v>3.0659903846153842</v>
      </c>
      <c r="CX90" s="194">
        <f t="array" ref="CX90">INDEX(Demand_current!$D$4:$AY$138, MATCH($A90, Demand_current!$B$4:$B$138, 0), MATCH(CX$4&amp;CX$5,Demand_current!$D$2:$AY$2&amp;Demand_current!$D$3:$AY$3, 0))/1000</f>
        <v>5.1244274999999977</v>
      </c>
      <c r="CY90" s="194">
        <f t="array" ref="CY90">INDEX(Demand_current!$D$4:$AY$138, MATCH($A90, Demand_current!$B$4:$B$138, 0), MATCH(CY$4&amp;CY$5,Demand_current!$D$2:$AY$2&amp;Demand_current!$D$3:$AY$3, 0))/1000</f>
        <v>7.5038725961538439</v>
      </c>
      <c r="CZ90" s="194">
        <f t="array" ref="CZ90">INDEX(Demand_current!$D$4:$AY$138, MATCH($A90, Demand_current!$B$4:$B$138, 0), MATCH(CZ$4&amp;CZ$5,Demand_current!$D$2:$AY$2&amp;Demand_current!$D$3:$AY$3, 0))/1000</f>
        <v>3.7407725000000038</v>
      </c>
      <c r="DA90" s="194">
        <f t="array" ref="DA90">INDEX(Demand_current!$D$4:$AY$138, MATCH($A90, Demand_current!$B$4:$B$138, 0), MATCH(DA$4&amp;DA$5,Demand_current!$D$2:$AY$2&amp;Demand_current!$D$3:$AY$3, 0))/1000</f>
        <v>3.9920000000000027</v>
      </c>
      <c r="DB90" s="194">
        <f t="array" ref="DB90">INDEX(Demand_current!$D$4:$AY$138, MATCH($A90, Demand_current!$B$4:$B$138, 0), MATCH(DB$4&amp;DB$5,Demand_current!$D$2:$AY$2&amp;Demand_current!$D$3:$AY$3, 0))/1000</f>
        <v>4.1464629629629641</v>
      </c>
      <c r="DC90" s="194">
        <f t="array" ref="DC90">INDEX(Demand_current!$D$4:$AY$138, MATCH($A90, Demand_current!$B$4:$B$138, 0), MATCH(DC$4&amp;DC$5,Demand_current!$D$2:$AY$2&amp;Demand_current!$D$3:$AY$3, 0))/1000</f>
        <v>4.0929831730769255</v>
      </c>
      <c r="DD90" s="194">
        <f t="array" ref="DD90">INDEX(Demand_current!$D$4:$AY$138, MATCH($A90, Demand_current!$B$4:$B$138, 0), MATCH(DD$4&amp;DD$5,Demand_current!$D$2:$AY$2&amp;Demand_current!$D$3:$AY$3, 0))/1000</f>
        <v>2.776265</v>
      </c>
      <c r="DE90" s="194">
        <f t="array" ref="DE90">INDEX(Demand_current!$D$4:$AY$138, MATCH($A90, Demand_current!$B$4:$B$138, 0), MATCH(DE$4&amp;DE$5,Demand_current!$D$2:$AY$2&amp;Demand_current!$D$3:$AY$3, 0))/1000</f>
        <v>4.1731418269230796</v>
      </c>
      <c r="DF90" s="194">
        <f t="array" ref="DF90">INDEX(Demand_current!$D$4:$AY$138, MATCH($A90, Demand_current!$B$4:$B$138, 0), MATCH(DF$4&amp;DF$5,Demand_current!$D$2:$AY$2&amp;Demand_current!$D$3:$AY$3, 0))/1000</f>
        <v>4.4416574999999963</v>
      </c>
      <c r="DG90" s="194">
        <f t="array" ref="DG90">INDEX(Demand_current!$D$4:$AY$138, MATCH($A90, Demand_current!$B$4:$B$138, 0), MATCH(DG$4&amp;DG$5,Demand_current!$D$2:$AY$2&amp;Demand_current!$D$3:$AY$3, 0))/1000</f>
        <v>4.9809861111111067</v>
      </c>
      <c r="DH90" s="194">
        <f t="array" ref="DH90">INDEX(Demand_current!$D$4:$AY$138, MATCH($A90, Demand_current!$B$4:$B$138, 0), MATCH(DH$4&amp;DH$5,Demand_current!$D$2:$AY$2&amp;Demand_current!$D$3:$AY$3, 0))/1000</f>
        <v>5.6368874999999994</v>
      </c>
      <c r="DI90" s="192">
        <f>$BS90*(VLOOKUP(DI$4, Rates_current!$G$6:$Q$29, 10, FALSE)+VLOOKUP(DI$4, Rates_current!$G$6:$Q$29, 11, FALSE))</f>
        <v>16949.706694079887</v>
      </c>
      <c r="DJ90" s="192">
        <f>$BS90*(VLOOKUP(DJ$4, Rates_current!$G$6:$Q$29, 10, FALSE)+VLOOKUP(DJ$4, Rates_current!$G$6:$Q$29, 11, FALSE))</f>
        <v>21458.943821892535</v>
      </c>
      <c r="DK90" s="192">
        <f>$BS90*(VLOOKUP(DK$4, Rates_current!$G$6:$Q$29, 10, FALSE)+VLOOKUP(DK$4, Rates_current!$G$6:$Q$29, 11, FALSE))</f>
        <v>21004.018864828729</v>
      </c>
      <c r="DL90" s="192">
        <f>$BS90*(VLOOKUP(DL$4, Rates_current!$G$6:$Q$29, 10, FALSE)+VLOOKUP(DL$4, Rates_current!$G$6:$Q$29, 11, FALSE))</f>
        <v>17348.426389767053</v>
      </c>
      <c r="DM90" s="192">
        <f>$BS90*(VLOOKUP(DM$4, Rates_current!$G$6:$Q$29, 10, FALSE)+VLOOKUP(DM$4, Rates_current!$G$6:$Q$29, 11, FALSE))</f>
        <v>15036.261379003163</v>
      </c>
      <c r="DN90" s="192">
        <f>$BS90*(VLOOKUP(DN$4, Rates_current!$G$6:$Q$29, 10, FALSE)+VLOOKUP(DN$4, Rates_current!$G$6:$Q$29, 11, FALSE))</f>
        <v>17950.259675230292</v>
      </c>
      <c r="DO90" s="192">
        <f>$BS90*(VLOOKUP(DO$4, Rates_current!$G$6:$Q$29, 10, FALSE)+VLOOKUP(DO$4, Rates_current!$G$6:$Q$29, 11, FALSE))</f>
        <v>13935.986939502087</v>
      </c>
      <c r="DP90" s="192">
        <f>$BS90*(VLOOKUP(DP$4, Rates_current!$G$6:$Q$29, 10, FALSE)+VLOOKUP(DP$4, Rates_current!$G$6:$Q$29, 11, FALSE))</f>
        <v>19308.412459386789</v>
      </c>
      <c r="DQ90" s="192">
        <f>$BS90*(VLOOKUP(DQ$4, Rates_current!$G$6:$Q$29, 10, FALSE)+VLOOKUP(DQ$4, Rates_current!$G$6:$Q$29, 11, FALSE))</f>
        <v>20631.443014624248</v>
      </c>
      <c r="DR90" s="192">
        <f>$BS90*(VLOOKUP(DR$4, Rates_current!$G$6:$Q$29, 10, FALSE)+VLOOKUP(DR$4, Rates_current!$G$6:$Q$29, 11, FALSE))</f>
        <v>19588.620917661898</v>
      </c>
      <c r="DS90" s="192">
        <f>$BS90*(VLOOKUP(DS$4, Rates_current!$G$6:$Q$29, 10, FALSE)+VLOOKUP(DS$4, Rates_current!$G$6:$Q$29, 11, FALSE))</f>
        <v>18930.890933443159</v>
      </c>
      <c r="DT90" s="192">
        <f>$BS90*(VLOOKUP(DT$4, Rates_current!$G$6:$Q$29, 10, FALSE)+VLOOKUP(DT$4, Rates_current!$G$6:$Q$29, 11, FALSE))</f>
        <v>17494.116689672781</v>
      </c>
      <c r="DU90" s="418">
        <f>IF(D90=0,IF(C90=0,MAX(0,DW90 - (VLOOKUP($A90,TOCA_current!$A$2:$AI$137,MATCH("RHWM 2022",TOCA_current!$A$2:$AI$2,0),FALSE)*$BS$2)), 0),0)</f>
        <v>0</v>
      </c>
      <c r="DV90" s="419">
        <f>MIN(VLOOKUP($A90,TOCA_current!$A$2:$AI$137,MATCH("TRL - NLSL - Existing Resource "&amp;$BS$1,TOCA_current!$A$2:$AI$2,0),FALSE)*$BS$2, VLOOKUP($A90,TOCA_current!$A$2:$AI$137,MATCH("RHWM 2022",TOCA_current!$A$2:$AI$2,0),FALSE)*$BS$2)</f>
        <v>219639.48</v>
      </c>
      <c r="DW90" s="419">
        <f>SUM(BY90:CV90)+(BS90*RT1SC!$C$4*$BS$2)</f>
        <v>213183.86523538738</v>
      </c>
      <c r="DX90" s="419">
        <f>VLOOKUP($A90,TOCA_current!$A$2:$AI$137,MATCH("Above RHWM Not Served with LS "&amp;$BS$1,TOCA_current!$A$2:$AI$2,0),FALSE)*$BS$2</f>
        <v>20524.68</v>
      </c>
      <c r="DY90" s="419">
        <f t="shared" si="32"/>
        <v>-6455.6147646126337</v>
      </c>
      <c r="DZ90" s="419">
        <f>(VLOOKUP($A90,TOCA_current!$A$2:$AI$137,MATCH("RHWM 2022",TOCA_current!$A$2:$AI$2,0),FALSE)*$BS$2) - $DV90</f>
        <v>0</v>
      </c>
      <c r="EA90" s="419">
        <f t="shared" si="33"/>
        <v>0</v>
      </c>
      <c r="EB90" s="419">
        <f t="shared" si="34"/>
        <v>0</v>
      </c>
      <c r="EC90" s="419">
        <f t="shared" si="35"/>
        <v>0</v>
      </c>
      <c r="ED90" s="419">
        <f t="shared" si="36"/>
        <v>0</v>
      </c>
    </row>
    <row r="91" spans="1:134">
      <c r="A91" s="135">
        <v>10273</v>
      </c>
      <c r="B91" s="136" t="s">
        <v>92</v>
      </c>
      <c r="C91" s="244">
        <f>VLOOKUP(A91, TOCA_current!$A$3:$D$137, 4, FALSE)</f>
        <v>0</v>
      </c>
      <c r="D91" s="203">
        <v>0</v>
      </c>
      <c r="E91" s="119">
        <f>VLOOKUP($A91,TOCA_previous!$A$2:$AI$137,MATCH(E$4,TOCA_previous!$A$2:$AI$2,0),FALSE)</f>
        <v>8.3279999999999997E-4</v>
      </c>
      <c r="F91" s="120">
        <f>VLOOKUP($A91,TOCA_previous!$A$2:$AI$137,MATCH(F$4,TOCA_previous!$A$2:$AI$2,0),FALSE)</f>
        <v>8.3279999999999997E-4</v>
      </c>
      <c r="G91" s="120">
        <f t="shared" si="24"/>
        <v>0</v>
      </c>
      <c r="H91" s="120">
        <f>VLOOKUP($A91,TOCA_previous!$A$2:$AI$137,MATCH(H$4,TOCA_previous!$A$2:$AI$2,0),FALSE)</f>
        <v>9.6480341880341894E-2</v>
      </c>
      <c r="I91" s="120">
        <f t="shared" si="25"/>
        <v>0</v>
      </c>
      <c r="J91" s="120">
        <f t="shared" si="26"/>
        <v>0</v>
      </c>
      <c r="K91" s="191">
        <f>VLOOKUP(A91, IRD!$A$5:$C$139, 3, FALSE)</f>
        <v>9522.0249999999996</v>
      </c>
      <c r="L91" s="192">
        <f t="array" ref="L91">IF($G91=0, INDEX(LS_previous!$D$4:$AY$138, MATCH('Staging Table'!$A91, LS_previous!$B$4:$B$138, 0), MATCH(L$4&amp;L$5, LS_previous!$D$2:$AY$2&amp;LS_previous!$D$3:$AY$3, 0)),SUM(VLOOKUP($A91, LS_previous!$B$4:$AY$138, LS_previous!D$149, FALSE), VLOOKUP('Staging Table'!$A91, LS_previous!$B$4:$AY$138,LS_previous!AB$149, FALSE))/2)</f>
        <v>-322.56765512639959</v>
      </c>
      <c r="M91" s="192">
        <f t="array" ref="M91">IF($G91=0, INDEX(LS_previous!$D$4:$AY$138, MATCH('Staging Table'!$A91, LS_previous!$B$4:$B$138, 0), MATCH(M$4&amp;M$5, LS_previous!$D$2:$AY$2&amp;LS_previous!$D$3:$AY$3, 0)),SUM(VLOOKUP($A91, LS_previous!$B$4:$AY$138, LS_previous!E$149, FALSE), VLOOKUP('Staging Table'!$A91, LS_previous!$B$4:$AY$138,LS_previous!AC$149, FALSE))/2)</f>
        <v>-52.146105702399836</v>
      </c>
      <c r="N91" s="192">
        <f t="array" ref="N91">IF($G91=0, INDEX(LS_previous!$D$4:$AY$138, MATCH('Staging Table'!$A91, LS_previous!$B$4:$B$138, 0), MATCH(N$4&amp;N$5, LS_previous!$D$2:$AY$2&amp;LS_previous!$D$3:$AY$3, 0)),SUM(VLOOKUP($A91, LS_previous!$B$4:$AY$138, LS_previous!F$149, FALSE), VLOOKUP('Staging Table'!$A91, LS_previous!$B$4:$AY$138,LS_previous!AD$149, FALSE))/2)</f>
        <v>-1613.1176773184</v>
      </c>
      <c r="O91" s="192">
        <f t="array" ref="O91">IF($G91=0, INDEX(LS_previous!$D$4:$AY$138, MATCH('Staging Table'!$A91, LS_previous!$B$4:$B$138, 0), MATCH(O$4&amp;O$5, LS_previous!$D$2:$AY$2&amp;LS_previous!$D$3:$AY$3, 0)),SUM(VLOOKUP($A91, LS_previous!$B$4:$AY$138, LS_previous!G$149, FALSE), VLOOKUP('Staging Table'!$A91, LS_previous!$B$4:$AY$138,LS_previous!AE$149, FALSE))/2)</f>
        <v>-670.95812412080022</v>
      </c>
      <c r="P91" s="192">
        <f t="array" ref="P91">IF($G91=0, INDEX(LS_previous!$D$4:$AY$138, MATCH('Staging Table'!$A91, LS_previous!$B$4:$B$138, 0), MATCH(P$4&amp;P$5, LS_previous!$D$2:$AY$2&amp;LS_previous!$D$3:$AY$3, 0)),SUM(VLOOKUP($A91, LS_previous!$B$4:$AY$138, LS_previous!H$149, FALSE), VLOOKUP('Staging Table'!$A91, LS_previous!$B$4:$AY$138,LS_previous!AF$149, FALSE))/2)</f>
        <v>-900.02071644159969</v>
      </c>
      <c r="Q91" s="192">
        <f t="array" ref="Q91">IF($G91=0, INDEX(LS_previous!$D$4:$AY$138, MATCH('Staging Table'!$A91, LS_previous!$B$4:$B$138, 0), MATCH(Q$4&amp;Q$5, LS_previous!$D$2:$AY$2&amp;LS_previous!$D$3:$AY$3, 0)),SUM(VLOOKUP($A91, LS_previous!$B$4:$AY$138, LS_previous!I$149, FALSE), VLOOKUP('Staging Table'!$A91, LS_previous!$B$4:$AY$138,LS_previous!AG$149, FALSE))/2)</f>
        <v>-337.53732678720007</v>
      </c>
      <c r="R91" s="192">
        <f t="array" ref="R91">IF($G91=0, INDEX(LS_previous!$D$4:$AY$138, MATCH('Staging Table'!$A91, LS_previous!$B$4:$B$138, 0), MATCH(R$4&amp;R$5, LS_previous!$D$2:$AY$2&amp;LS_previous!$D$3:$AY$3, 0)),SUM(VLOOKUP($A91, LS_previous!$B$4:$AY$138, LS_previous!J$149, FALSE), VLOOKUP('Staging Table'!$A91, LS_previous!$B$4:$AY$138,LS_previous!AH$149, FALSE))/2)</f>
        <v>-389.29458364160064</v>
      </c>
      <c r="S91" s="192">
        <f t="array" ref="S91">IF($G91=0, INDEX(LS_previous!$D$4:$AY$138, MATCH('Staging Table'!$A91, LS_previous!$B$4:$B$138, 0), MATCH(S$4&amp;S$5, LS_previous!$D$2:$AY$2&amp;LS_previous!$D$3:$AY$3, 0)),SUM(VLOOKUP($A91, LS_previous!$B$4:$AY$138, LS_previous!K$149, FALSE), VLOOKUP('Staging Table'!$A91, LS_previous!$B$4:$AY$138,LS_previous!AI$149, FALSE))/2)</f>
        <v>36.567834812800129</v>
      </c>
      <c r="T91" s="192">
        <f t="array" ref="T91">IF($G91=0, INDEX(LS_previous!$D$4:$AY$138, MATCH('Staging Table'!$A91, LS_previous!$B$4:$B$138, 0), MATCH(T$4&amp;T$5, LS_previous!$D$2:$AY$2&amp;LS_previous!$D$3:$AY$3, 0)),SUM(VLOOKUP($A91, LS_previous!$B$4:$AY$138, LS_previous!L$149, FALSE), VLOOKUP('Staging Table'!$A91, LS_previous!$B$4:$AY$138,LS_previous!AJ$149, FALSE))/2)</f>
        <v>-740.71328486719972</v>
      </c>
      <c r="U91" s="192">
        <f t="array" ref="U91">IF($G91=0, INDEX(LS_previous!$D$4:$AY$138, MATCH('Staging Table'!$A91, LS_previous!$B$4:$B$138, 0), MATCH(U$4&amp;U$5, LS_previous!$D$2:$AY$2&amp;LS_previous!$D$3:$AY$3, 0)),SUM(VLOOKUP($A91, LS_previous!$B$4:$AY$138, LS_previous!M$149, FALSE), VLOOKUP('Staging Table'!$A91, LS_previous!$B$4:$AY$138,LS_previous!AK$149, FALSE))/2)</f>
        <v>-218.75038617279984</v>
      </c>
      <c r="V91" s="192">
        <f t="array" ref="V91">IF($G91=0, INDEX(LS_previous!$D$4:$AY$138, MATCH('Staging Table'!$A91, LS_previous!$B$4:$B$138, 0), MATCH(V$4&amp;V$5, LS_previous!$D$2:$AY$2&amp;LS_previous!$D$3:$AY$3, 0)),SUM(VLOOKUP($A91, LS_previous!$B$4:$AY$138, LS_previous!N$149, FALSE), VLOOKUP('Staging Table'!$A91, LS_previous!$B$4:$AY$138,LS_previous!AL$149, FALSE))/2)</f>
        <v>-1219.7847299647997</v>
      </c>
      <c r="W91" s="192">
        <f t="array" ref="W91">IF($G91=0, INDEX(LS_previous!$D$4:$AY$138, MATCH('Staging Table'!$A91, LS_previous!$B$4:$B$138, 0), MATCH(W$4&amp;W$5, LS_previous!$D$2:$AY$2&amp;LS_previous!$D$3:$AY$3, 0)),SUM(VLOOKUP($A91, LS_previous!$B$4:$AY$138, LS_previous!O$149, FALSE), VLOOKUP('Staging Table'!$A91, LS_previous!$B$4:$AY$138,LS_previous!AM$149, FALSE))/2)</f>
        <v>-450.59711036880003</v>
      </c>
      <c r="X91" s="192">
        <f t="array" ref="X91">IF($G91=0, INDEX(LS_previous!$D$4:$AY$138, MATCH('Staging Table'!$A91, LS_previous!$B$4:$B$138, 0), MATCH(X$4&amp;X$5, LS_previous!$D$2:$AY$2&amp;LS_previous!$D$3:$AY$3, 0)),SUM(VLOOKUP($A91, LS_previous!$B$4:$AY$138, LS_previous!P$149, FALSE), VLOOKUP('Staging Table'!$A91, LS_previous!$B$4:$AY$138,LS_previous!AN$149, FALSE))/2)</f>
        <v>-209.12737480319993</v>
      </c>
      <c r="Y91" s="192">
        <f t="array" ref="Y91">IF($G91=0, INDEX(LS_previous!$D$4:$AY$138, MATCH('Staging Table'!$A91, LS_previous!$B$4:$B$138, 0), MATCH(Y$4&amp;Y$5, LS_previous!$D$2:$AY$2&amp;LS_previous!$D$3:$AY$3, 0)),SUM(VLOOKUP($A91, LS_previous!$B$4:$AY$138, LS_previous!Q$149, FALSE), VLOOKUP('Staging Table'!$A91, LS_previous!$B$4:$AY$138,LS_previous!AO$149, FALSE))/2)</f>
        <v>-24.788543340800061</v>
      </c>
      <c r="Z91" s="192">
        <f t="array" ref="Z91">IF($G91=0, INDEX(LS_previous!$D$4:$AY$138, MATCH('Staging Table'!$A91, LS_previous!$B$4:$B$138, 0), MATCH(Z$4&amp;Z$5, LS_previous!$D$2:$AY$2&amp;LS_previous!$D$3:$AY$3, 0)),SUM(VLOOKUP($A91, LS_previous!$B$4:$AY$138, LS_previous!R$149, FALSE), VLOOKUP('Staging Table'!$A91, LS_previous!$B$4:$AY$138,LS_previous!AP$149, FALSE))/2)</f>
        <v>40.947063120000166</v>
      </c>
      <c r="AA91" s="192">
        <f t="array" ref="AA91">IF($G91=0, INDEX(LS_previous!$D$4:$AY$138, MATCH('Staging Table'!$A91, LS_previous!$B$4:$B$138, 0), MATCH(AA$4&amp;AA$5, LS_previous!$D$2:$AY$2&amp;LS_previous!$D$3:$AY$3, 0)),SUM(VLOOKUP($A91, LS_previous!$B$4:$AY$138, LS_previous!S$149, FALSE), VLOOKUP('Staging Table'!$A91, LS_previous!$B$4:$AY$138,LS_previous!AQ$149, FALSE))/2)</f>
        <v>244.98353565120033</v>
      </c>
      <c r="AB91" s="192">
        <f t="array" ref="AB91">IF($G91=0, INDEX(LS_previous!$D$4:$AY$138, MATCH('Staging Table'!$A91, LS_previous!$B$4:$B$138, 0), MATCH(AB$4&amp;AB$5, LS_previous!$D$2:$AY$2&amp;LS_previous!$D$3:$AY$3, 0)),SUM(VLOOKUP($A91, LS_previous!$B$4:$AY$138, LS_previous!T$149, FALSE), VLOOKUP('Staging Table'!$A91, LS_previous!$B$4:$AY$138,LS_previous!AR$149, FALSE))/2)</f>
        <v>2.3554543967998143</v>
      </c>
      <c r="AC91" s="192">
        <f t="array" ref="AC91">IF($G91=0, INDEX(LS_previous!$D$4:$AY$138, MATCH('Staging Table'!$A91, LS_previous!$B$4:$B$138, 0), MATCH(AC$4&amp;AC$5, LS_previous!$D$2:$AY$2&amp;LS_previous!$D$3:$AY$3, 0)),SUM(VLOOKUP($A91, LS_previous!$B$4:$AY$138, LS_previous!U$149, FALSE), VLOOKUP('Staging Table'!$A91, LS_previous!$B$4:$AY$138,LS_previous!AS$149, FALSE))/2)</f>
        <v>539.88907585920015</v>
      </c>
      <c r="AD91" s="192">
        <f t="array" ref="AD91">IF($G91=0, INDEX(LS_previous!$D$4:$AY$138, MATCH('Staging Table'!$A91, LS_previous!$B$4:$B$138, 0), MATCH(AD$4&amp;AD$5, LS_previous!$D$2:$AY$2&amp;LS_previous!$D$3:$AY$3, 0)),SUM(VLOOKUP($A91, LS_previous!$B$4:$AY$138, LS_previous!V$149, FALSE), VLOOKUP('Staging Table'!$A91, LS_previous!$B$4:$AY$138,LS_previous!AT$149, FALSE))/2)</f>
        <v>1506.8241303967998</v>
      </c>
      <c r="AE91" s="192">
        <f t="array" ref="AE91">IF($G91=0, INDEX(LS_previous!$D$4:$AY$138, MATCH('Staging Table'!$A91, LS_previous!$B$4:$B$138, 0), MATCH(AE$4&amp;AE$5, LS_previous!$D$2:$AY$2&amp;LS_previous!$D$3:$AY$3, 0)),SUM(VLOOKUP($A91, LS_previous!$B$4:$AY$138, LS_previous!W$149, FALSE), VLOOKUP('Staging Table'!$A91, LS_previous!$B$4:$AY$138,LS_previous!AU$149, FALSE))/2)</f>
        <v>1807.8706095743999</v>
      </c>
      <c r="AF91" s="192">
        <f t="array" ref="AF91">IF($G91=0, INDEX(LS_previous!$D$4:$AY$138, MATCH('Staging Table'!$A91, LS_previous!$B$4:$B$138, 0), MATCH(AF$4&amp;AF$5, LS_previous!$D$2:$AY$2&amp;LS_previous!$D$3:$AY$3, 0)),SUM(VLOOKUP($A91, LS_previous!$B$4:$AY$138, LS_previous!X$149, FALSE), VLOOKUP('Staging Table'!$A91, LS_previous!$B$4:$AY$138,LS_previous!AV$149, FALSE))/2)</f>
        <v>1620.1141867967999</v>
      </c>
      <c r="AG91" s="192">
        <f t="array" ref="AG91">IF($G91=0, INDEX(LS_previous!$D$4:$AY$138, MATCH('Staging Table'!$A91, LS_previous!$B$4:$B$138, 0), MATCH(AG$4&amp;AG$5, LS_previous!$D$2:$AY$2&amp;LS_previous!$D$3:$AY$3, 0)),SUM(VLOOKUP($A91, LS_previous!$B$4:$AY$138, LS_previous!Y$149, FALSE), VLOOKUP('Staging Table'!$A91, LS_previous!$B$4:$AY$138,LS_previous!AW$149, FALSE))/2)</f>
        <v>1429.9912655744001</v>
      </c>
      <c r="AH91" s="192">
        <f t="array" ref="AH91">IF($G91=0, INDEX(LS_previous!$D$4:$AY$138, MATCH('Staging Table'!$A91, LS_previous!$B$4:$B$138, 0), MATCH(AH$4&amp;AH$5, LS_previous!$D$2:$AY$2&amp;LS_previous!$D$3:$AY$3, 0)),SUM(VLOOKUP($A91, LS_previous!$B$4:$AY$138, LS_previous!Z$149, FALSE), VLOOKUP('Staging Table'!$A91, LS_previous!$B$4:$AY$138,LS_previous!AX$149, FALSE))/2)</f>
        <v>451.23247231999994</v>
      </c>
      <c r="AI91" s="192">
        <f t="array" ref="AI91">IF($G91=0, INDEX(LS_previous!$D$4:$AY$138, MATCH('Staging Table'!$A91, LS_previous!$B$4:$B$138, 0), MATCH(AI$4&amp;AI$5, LS_previous!$D$2:$AY$2&amp;LS_previous!$D$3:$AY$3, 0)),SUM(VLOOKUP($A91, LS_previous!$B$4:$AY$138, LS_previous!AA$149, FALSE), VLOOKUP('Staging Table'!$A91, LS_previous!$B$4:$AY$138,LS_previous!AY$149, FALSE))/2)</f>
        <v>927.60351273600008</v>
      </c>
      <c r="AJ91" s="314">
        <f t="array" ref="AJ91">INDEX(Demand_previous!$D$4:$AY$138, MATCH('Staging Table'!$A91, Demand_previous!$B$4:$B$138, 0), MATCH(AJ$4&amp;AJ$5,Demand_previous!$D$2:$AY$2&amp;Demand_previous!$D$3:$AY$3, 0))/1000</f>
        <v>3.4158750000000002</v>
      </c>
      <c r="AK91" s="314">
        <f t="array" ref="AK91">INDEX(Demand_previous!$D$4:$AY$138, MATCH('Staging Table'!$A91, Demand_previous!$B$4:$B$138, 0), MATCH(AK$4&amp;AK$5,Demand_previous!$D$2:$AY$2&amp;Demand_previous!$D$3:$AY$3, 0))/1000</f>
        <v>0.55551500000000065</v>
      </c>
      <c r="AL91" s="314">
        <f t="array" ref="AL91">INDEX(Demand_previous!$D$4:$AY$138, MATCH('Staging Table'!$A91, Demand_previous!$B$4:$B$138, 0), MATCH(AL$4&amp;AL$5,Demand_previous!$D$2:$AY$2&amp;Demand_previous!$D$3:$AY$3, 0))/1000</f>
        <v>1.6750649999999991</v>
      </c>
      <c r="AM91" s="314">
        <f t="array" ref="AM91">INDEX(Demand_previous!$D$4:$AY$138, MATCH('Staging Table'!$A91, Demand_previous!$B$4:$B$138, 0), MATCH(AM$4&amp;AM$5,Demand_previous!$D$2:$AY$2&amp;Demand_previous!$D$3:$AY$3, 0))/1000</f>
        <v>1.7348052884615397</v>
      </c>
      <c r="AN91" s="314">
        <f t="array" ref="AN91">INDEX(Demand_previous!$D$4:$AY$138, MATCH('Staging Table'!$A91, Demand_previous!$B$4:$B$138, 0), MATCH(AN$4&amp;AN$5,Demand_previous!$D$2:$AY$2&amp;Demand_previous!$D$3:$AY$3, 0))/1000</f>
        <v>1.3932199999999992</v>
      </c>
      <c r="AO91" s="314">
        <f t="array" ref="AO91">INDEX(Demand_previous!$D$4:$AY$138, MATCH('Staging Table'!$A91, Demand_previous!$B$4:$B$138, 0), MATCH(AO$4&amp;AO$5,Demand_previous!$D$2:$AY$2&amp;Demand_previous!$D$3:$AY$3, 0))/1000</f>
        <v>1.6110360576923082</v>
      </c>
      <c r="AP91" s="314">
        <f t="array" ref="AP91">INDEX(Demand_previous!$D$4:$AY$138, MATCH('Staging Table'!$A91, Demand_previous!$B$4:$B$138, 0), MATCH(AP$4&amp;AP$5,Demand_previous!$D$2:$AY$2&amp;Demand_previous!$D$3:$AY$3, 0))/1000</f>
        <v>1.4867451923076924</v>
      </c>
      <c r="AQ91" s="314">
        <f t="array" ref="AQ91">INDEX(Demand_previous!$D$4:$AY$138, MATCH('Staging Table'!$A91, Demand_previous!$B$4:$B$138, 0), MATCH(AQ$4&amp;AQ$5,Demand_previous!$D$2:$AY$2&amp;Demand_previous!$D$3:$AY$3, 0))/1000</f>
        <v>1.2320750000000018</v>
      </c>
      <c r="AR91" s="314">
        <f t="array" ref="AR91">INDEX(Demand_previous!$D$4:$AY$138, MATCH('Staging Table'!$A91, Demand_previous!$B$4:$B$138, 0), MATCH(AR$4&amp;AR$5,Demand_previous!$D$2:$AY$2&amp;Demand_previous!$D$3:$AY$3, 0))/1000</f>
        <v>2.5546105769230776</v>
      </c>
      <c r="AS91" s="314">
        <f t="array" ref="AS91">INDEX(Demand_previous!$D$4:$AY$138, MATCH('Staging Table'!$A91, Demand_previous!$B$4:$B$138, 0), MATCH(AS$4&amp;AS$5,Demand_previous!$D$2:$AY$2&amp;Demand_previous!$D$3:$AY$3, 0))/1000</f>
        <v>2.1381225961538455</v>
      </c>
      <c r="AT91" s="314">
        <f t="array" ref="AT91">INDEX(Demand_previous!$D$4:$AY$138, MATCH('Staging Table'!$A91, Demand_previous!$B$4:$B$138, 0), MATCH(AT$4&amp;AT$5,Demand_previous!$D$2:$AY$2&amp;Demand_previous!$D$3:$AY$3, 0))/1000</f>
        <v>2.6571081730769239</v>
      </c>
      <c r="AU91" s="314">
        <f t="array" ref="AU91">INDEX(Demand_previous!$D$4:$AY$138, MATCH('Staging Table'!$A91, Demand_previous!$B$4:$B$138, 0), MATCH(AU$4&amp;AU$5,Demand_previous!$D$2:$AY$2&amp;Demand_previous!$D$3:$AY$3, 0))/1000</f>
        <v>3.64669</v>
      </c>
      <c r="AV91" s="192">
        <f>$F91*(VLOOKUP(AV$4, Rates_previous!$G$6:$Q$29, 10, FALSE)+VLOOKUP(AV$4, Rates_previous!$G$6:$Q$29, 11, FALSE))</f>
        <v>3845.3017608287996</v>
      </c>
      <c r="AW91" s="192">
        <f>$F91*(VLOOKUP(AW$4, Rates_previous!$G$6:$Q$29, 10, FALSE)+VLOOKUP(AW$4, Rates_previous!$G$6:$Q$29, 11, FALSE))</f>
        <v>4884.7328014391996</v>
      </c>
      <c r="AX91" s="192">
        <f>$F91*(VLOOKUP(AX$4, Rates_previous!$G$6:$Q$29, 10, FALSE)+VLOOKUP(AX$4, Rates_previous!$G$6:$Q$29, 11, FALSE))</f>
        <v>4825.7430432288002</v>
      </c>
      <c r="AY91" s="192">
        <f>$F91*(VLOOKUP(AY$4, Rates_previous!$G$6:$Q$29, 10, FALSE)+VLOOKUP(AY$4, Rates_previous!$G$6:$Q$29, 11, FALSE))</f>
        <v>4022.5507488288004</v>
      </c>
      <c r="AZ91" s="192">
        <f>$F91*(VLOOKUP(AZ$4, Rates_previous!$G$6:$Q$29, 10, FALSE)+VLOOKUP(AZ$4, Rates_previous!$G$6:$Q$29, 11, FALSE))</f>
        <v>3644.0136710399997</v>
      </c>
      <c r="BA91" s="192">
        <f>$F91*(VLOOKUP(BA$4, Rates_previous!$G$6:$Q$29, 10, FALSE)+VLOOKUP(BA$4, Rates_previous!$G$6:$Q$29, 11, FALSE))</f>
        <v>4053.3008403335998</v>
      </c>
      <c r="BB91" s="192">
        <f>$F91*(VLOOKUP(BB$4, Rates_previous!$G$6:$Q$29, 10, FALSE)+VLOOKUP(BB$4, Rates_previous!$G$6:$Q$29, 11, FALSE))</f>
        <v>3300.201918144</v>
      </c>
      <c r="BC91" s="192">
        <f>$F91*(VLOOKUP(BC$4, Rates_previous!$G$6:$Q$29, 10, FALSE)+VLOOKUP(BC$4, Rates_previous!$G$6:$Q$29, 11, FALSE))</f>
        <v>4450.8144012288003</v>
      </c>
      <c r="BD91" s="192">
        <f>$F91*(VLOOKUP(BD$4, Rates_previous!$G$6:$Q$29, 10, FALSE)+VLOOKUP(BD$4, Rates_previous!$G$6:$Q$29, 11, FALSE))</f>
        <v>5678.9364697440005</v>
      </c>
      <c r="BE91" s="192">
        <f>$F91*(VLOOKUP(BE$4, Rates_previous!$G$6:$Q$29, 10, FALSE)+VLOOKUP(BE$4, Rates_previous!$G$6:$Q$29, 11, FALSE))</f>
        <v>4452.4662600288002</v>
      </c>
      <c r="BF91" s="192">
        <f>$F91*(VLOOKUP(BF$4, Rates_previous!$G$6:$Q$29, 10, FALSE)+VLOOKUP(BF$4, Rates_previous!$G$6:$Q$29, 11, FALSE))</f>
        <v>4335.8155476288002</v>
      </c>
      <c r="BG91" s="192">
        <f>$F91*(VLOOKUP(BG$4, Rates_previous!$G$6:$Q$29, 10, FALSE)+VLOOKUP(BG$4, Rates_previous!$G$6:$Q$29, 11, FALSE))</f>
        <v>3892.6400149440001</v>
      </c>
      <c r="BH91" s="314">
        <f>IF($D91=0,IF(C91=0, MAX(BJ91 - (VLOOKUP($A91,TOCA_previous!$A$2:$AI$137,MATCH("RHWM 2020",TOCA_previous!$A$2:$AI$2,0),FALSE)*$F$2*TOCA_previous!C88),0),0), 0)</f>
        <v>1459.0949287648109</v>
      </c>
      <c r="BI91" s="204">
        <f>MIN(VLOOKUP($A91,TOCA_previous!$A$2:$AI$137,MATCH("TRL - NLSL - Existing Resource "&amp;$F$1,TOCA_previous!$A$2:$AI$2,0),FALSE)*$F$2,(VLOOKUP($A91,TOCA_previous!$A$2:$AI$137,MATCH("RHWM 2020",TOCA_previous!$A$2:$AI$2,0),FALSE)*$F$2))</f>
        <v>51386.399999999994</v>
      </c>
      <c r="BJ91" s="418">
        <f>SUM(L91:AI91)+(F91*RT1SC!$C$3*$F$2)</f>
        <v>52845.494928764805</v>
      </c>
      <c r="BK91" s="417">
        <f>VLOOKUP($A91,TOCA_previous!$A$2:$AI$137,MATCH("Above RHWM Not Served with LS "&amp;$F$1,TOCA_previous!$A$2:$AI$2,0),FALSE)*$F$2</f>
        <v>19438.992000000002</v>
      </c>
      <c r="BL91" s="418">
        <f t="shared" si="27"/>
        <v>1459.0949287648109</v>
      </c>
      <c r="BM91" s="417">
        <f>(VLOOKUP($A91,TOCA_previous!$A$2:$AI$137,MATCH("RHWM 2020",TOCA_previous!$A$2:$AI$2,0),FALSE)*$F$2) - $BI91</f>
        <v>0</v>
      </c>
      <c r="BN91" s="418">
        <f t="shared" si="28"/>
        <v>0</v>
      </c>
      <c r="BO91" s="417">
        <f t="shared" si="29"/>
        <v>0</v>
      </c>
      <c r="BP91" s="418">
        <f t="shared" si="30"/>
        <v>0</v>
      </c>
      <c r="BQ91" s="417">
        <f t="shared" si="21"/>
        <v>0</v>
      </c>
      <c r="BR91" s="120">
        <f>VLOOKUP($A91,TOCA_current!$A$2:$AI$137,MATCH(BR$4,TOCA_current!$A$2:$AI$2,0),FALSE)</f>
        <v>8.3279999999999997E-4</v>
      </c>
      <c r="BS91" s="120">
        <f>VLOOKUP($A91,TOCA_current!$A$2:$AI$137,MATCH(BS$4,TOCA_current!$A$2:$AI$2,0),FALSE)</f>
        <v>8.3279999999999997E-4</v>
      </c>
      <c r="BT91" s="201">
        <f t="shared" si="31"/>
        <v>0</v>
      </c>
      <c r="BU91" s="120">
        <f>VLOOKUP($A91,TOCA_current!A87:BG222,MATCH(BU$4,TOCA_current!$A$2:$BG$2,0),FALSE)</f>
        <v>0.10554901960784313</v>
      </c>
      <c r="BV91" s="120">
        <f t="shared" si="22"/>
        <v>0</v>
      </c>
      <c r="BW91" s="120">
        <f t="shared" si="23"/>
        <v>0</v>
      </c>
      <c r="BX91" s="191">
        <f>VLOOKUP($A91,IRD!$A$4:$G$139, 7, FALSE)</f>
        <v>9522.0249999999996</v>
      </c>
      <c r="BY91" s="192">
        <f t="array" ref="BY91">IF($BT91=0, INDEX(LS_current!$D$4:$AY$138, MATCH('Staging Table'!$A91, LS_current!$B$4:$B$138, 0), MATCH(BY$4&amp;BY$5, LS_current!$D$2:$AY$2&amp;LS_current!$D$3:$AY$3, 0)),SUM(VLOOKUP($A91, LS_current!$B$4:$AY$138, LS_current!D$148, FALSE), VLOOKUP($A91, LS_current!$B$4:$AY$138,LS_current!AB$148, FALSE))/2)</f>
        <v>-478.22013230516404</v>
      </c>
      <c r="BZ91" s="192">
        <f t="array" ref="BZ91">IF($BT91=0, INDEX(LS_current!$D$4:$AY$138, MATCH('Staging Table'!$A91, LS_current!$B$4:$B$138, 0), MATCH(BZ$4&amp;BZ$5, LS_current!$D$2:$AY$2&amp;LS_current!$D$3:$AY$3, 0)),SUM(VLOOKUP($A91, LS_current!$B$4:$AY$138, LS_current!E$148, FALSE), VLOOKUP($A91, LS_current!$B$4:$AY$138,LS_current!AC$148, FALSE))/2)</f>
        <v>-316.88412530626215</v>
      </c>
      <c r="CA91" s="192">
        <f t="array" ref="CA91">IF($BT91=0, INDEX(LS_current!$D$4:$AY$138, MATCH('Staging Table'!$A91, LS_current!$B$4:$B$138, 0), MATCH(CA$4&amp;CA$5, LS_current!$D$2:$AY$2&amp;LS_current!$D$3:$AY$3, 0)),SUM(VLOOKUP($A91, LS_current!$B$4:$AY$138, LS_current!F$148, FALSE), VLOOKUP($A91, LS_current!$B$4:$AY$138,LS_current!AD$148, FALSE))/2)</f>
        <v>-1751.4067380386207</v>
      </c>
      <c r="CB91" s="192">
        <f t="array" ref="CB91">IF($BT91=0, INDEX(LS_current!$D$4:$AY$138, MATCH('Staging Table'!$A91, LS_current!$B$4:$B$138, 0), MATCH(CB$4&amp;CB$5, LS_current!$D$2:$AY$2&amp;LS_current!$D$3:$AY$3, 0)),SUM(VLOOKUP($A91, LS_current!$B$4:$AY$138, LS_current!G$148, FALSE), VLOOKUP($A91, LS_current!$B$4:$AY$138,LS_current!AE$148, FALSE))/2)</f>
        <v>-907.94535569380889</v>
      </c>
      <c r="CC91" s="192">
        <f t="array" ref="CC91">IF($BT91=0, INDEX(LS_current!$D$4:$AY$138, MATCH('Staging Table'!$A91, LS_current!$B$4:$B$138, 0), MATCH(CC$4&amp;CC$5, LS_current!$D$2:$AY$2&amp;LS_current!$D$3:$AY$3, 0)),SUM(VLOOKUP($A91, LS_current!$B$4:$AY$138, LS_current!H$148, FALSE), VLOOKUP($A91, LS_current!$B$4:$AY$138,LS_current!AF$148, FALSE))/2)</f>
        <v>-888.05121427305494</v>
      </c>
      <c r="CD91" s="192">
        <f t="array" ref="CD91">IF($BT91=0, INDEX(LS_current!$D$4:$AY$138, MATCH('Staging Table'!$A91, LS_current!$B$4:$B$138, 0), MATCH(CD$4&amp;CD$5, LS_current!$D$2:$AY$2&amp;LS_current!$D$3:$AY$3, 0)),SUM(VLOOKUP($A91, LS_current!$B$4:$AY$138, LS_current!I$148, FALSE), VLOOKUP($A91, LS_current!$B$4:$AY$138,LS_current!AG$148, FALSE))/2)</f>
        <v>-696.61111475149278</v>
      </c>
      <c r="CE91" s="192">
        <f t="array" ref="CE91">IF($BT91=0, INDEX(LS_current!$D$4:$AY$138, MATCH('Staging Table'!$A91, LS_current!$B$4:$B$138, 0), MATCH(CE$4&amp;CE$5, LS_current!$D$2:$AY$2&amp;LS_current!$D$3:$AY$3, 0)),SUM(VLOOKUP($A91, LS_current!$B$4:$AY$138, LS_current!J$148, FALSE), VLOOKUP($A91, LS_current!$B$4:$AY$138,LS_current!AH$148, FALSE))/2)</f>
        <v>-288.49059514864234</v>
      </c>
      <c r="CF91" s="192">
        <f t="array" ref="CF91">IF($BT91=0, INDEX(LS_current!$D$4:$AY$138, MATCH('Staging Table'!$A91, LS_current!$B$4:$B$138, 0), MATCH(CF$4&amp;CF$5, LS_current!$D$2:$AY$2&amp;LS_current!$D$3:$AY$3, 0)),SUM(VLOOKUP($A91, LS_current!$B$4:$AY$138, LS_current!K$148, FALSE), VLOOKUP($A91, LS_current!$B$4:$AY$138,LS_current!AI$148, FALSE))/2)</f>
        <v>-396.59146218558749</v>
      </c>
      <c r="CG91" s="192">
        <f t="array" ref="CG91">IF($BT91=0, INDEX(LS_current!$D$4:$AY$138, MATCH('Staging Table'!$A91, LS_current!$B$4:$B$138, 0), MATCH(CG$4&amp;CG$5, LS_current!$D$2:$AY$2&amp;LS_current!$D$3:$AY$3, 0)),SUM(VLOOKUP($A91, LS_current!$B$4:$AY$138, LS_current!L$148, FALSE), VLOOKUP($A91, LS_current!$B$4:$AY$138,LS_current!AJ$148, FALSE))/2)</f>
        <v>-604.8275333209458</v>
      </c>
      <c r="CH91" s="192">
        <f t="array" ref="CH91">IF($BT91=0, INDEX(LS_current!$D$4:$AY$138, MATCH('Staging Table'!$A91, LS_current!$B$4:$B$138, 0), MATCH(CH$4&amp;CH$5, LS_current!$D$2:$AY$2&amp;LS_current!$D$3:$AY$3, 0)),SUM(VLOOKUP($A91, LS_current!$B$4:$AY$138, LS_current!M$148, FALSE), VLOOKUP($A91, LS_current!$B$4:$AY$138,LS_current!AK$148, FALSE))/2)</f>
        <v>-449.27604981549473</v>
      </c>
      <c r="CI91" s="192">
        <f t="array" ref="CI91">IF($BT91=0, INDEX(LS_current!$D$4:$AY$138, MATCH('Staging Table'!$A91, LS_current!$B$4:$B$138, 0), MATCH(CI$4&amp;CI$5, LS_current!$D$2:$AY$2&amp;LS_current!$D$3:$AY$3, 0)),SUM(VLOOKUP($A91, LS_current!$B$4:$AY$138, LS_current!N$148, FALSE), VLOOKUP($A91, LS_current!$B$4:$AY$138,LS_current!AL$148, FALSE))/2)</f>
        <v>-1419.3867284922167</v>
      </c>
      <c r="CJ91" s="192">
        <f t="array" ref="CJ91">IF($BT91=0, INDEX(LS_current!$D$4:$AY$138, MATCH('Staging Table'!$A91, LS_current!$B$4:$B$138, 0), MATCH(CJ$4&amp;CJ$5, LS_current!$D$2:$AY$2&amp;LS_current!$D$3:$AY$3, 0)),SUM(VLOOKUP($A91, LS_current!$B$4:$AY$138, LS_current!O$148, FALSE), VLOOKUP($A91, LS_current!$B$4:$AY$138,LS_current!AM$148, FALSE))/2)</f>
        <v>-686.62493070493144</v>
      </c>
      <c r="CK91" s="192">
        <f t="array" ref="CK91">IF($BT91=0, INDEX(LS_current!$D$4:$AY$138, MATCH('Staging Table'!$A91, LS_current!$B$4:$B$138, 0), MATCH(CK$4&amp;CK$5, LS_current!$D$2:$AY$2&amp;LS_current!$D$3:$AY$3, 0)),SUM(VLOOKUP($A91, LS_current!$B$4:$AY$138, LS_current!P$148, FALSE), VLOOKUP($A91, LS_current!$B$4:$AY$138,LS_current!AN$148, FALSE))/2)</f>
        <v>-318.57679315557721</v>
      </c>
      <c r="CL91" s="192">
        <f t="array" ref="CL91">IF($BT91=0, INDEX(LS_current!$D$4:$AY$138, MATCH('Staging Table'!$A91, LS_current!$B$4:$B$138, 0), MATCH(CL$4&amp;CL$5, LS_current!$D$2:$AY$2&amp;LS_current!$D$3:$AY$3, 0)),SUM(VLOOKUP($A91, LS_current!$B$4:$AY$138, LS_current!Q$148, FALSE), VLOOKUP($A91, LS_current!$B$4:$AY$138,LS_current!AO$148, FALSE))/2)</f>
        <v>-191.24364510808164</v>
      </c>
      <c r="CM91" s="192">
        <f t="array" ref="CM91">IF($BT91=0, INDEX(LS_current!$D$4:$AY$138, MATCH('Staging Table'!$A91, LS_current!$B$4:$B$138, 0), MATCH(CM$4&amp;CM$5, LS_current!$D$2:$AY$2&amp;LS_current!$D$3:$AY$3, 0)),SUM(VLOOKUP($A91, LS_current!$B$4:$AY$138, LS_current!R$148, FALSE), VLOOKUP($A91, LS_current!$B$4:$AY$138,LS_current!AP$148, FALSE))/2)</f>
        <v>-236.45701661504791</v>
      </c>
      <c r="CN91" s="192">
        <f t="array" ref="CN91">IF($BT91=0, INDEX(LS_current!$D$4:$AY$138, MATCH('Staging Table'!$A91, LS_current!$B$4:$B$138, 0), MATCH(CN$4&amp;CN$5, LS_current!$D$2:$AY$2&amp;LS_current!$D$3:$AY$3, 0)),SUM(VLOOKUP($A91, LS_current!$B$4:$AY$138, LS_current!S$148, FALSE), VLOOKUP($A91, LS_current!$B$4:$AY$138,LS_current!AQ$148, FALSE))/2)</f>
        <v>179.74775971625172</v>
      </c>
      <c r="CO91" s="192">
        <f t="array" ref="CO91">IF($BT91=0, INDEX(LS_current!$D$4:$AY$138, MATCH('Staging Table'!$A91, LS_current!$B$4:$B$138, 0), MATCH(CO$4&amp;CO$5, LS_current!$D$2:$AY$2&amp;LS_current!$D$3:$AY$3, 0)),SUM(VLOOKUP($A91, LS_current!$B$4:$AY$138, LS_current!T$148, FALSE), VLOOKUP($A91, LS_current!$B$4:$AY$138,LS_current!AR$148, FALSE))/2)</f>
        <v>131.42347011939046</v>
      </c>
      <c r="CP91" s="192">
        <f t="array" ref="CP91">IF($BT91=0, INDEX(LS_current!$D$4:$AY$138, MATCH('Staging Table'!$A91, LS_current!$B$4:$B$138, 0), MATCH(CP$4&amp;CP$5, LS_current!$D$2:$AY$2&amp;LS_current!$D$3:$AY$3, 0)),SUM(VLOOKUP($A91, LS_current!$B$4:$AY$138, LS_current!U$148, FALSE), VLOOKUP($A91, LS_current!$B$4:$AY$138,LS_current!AS$148, FALSE))/2)</f>
        <v>1015.538297591766</v>
      </c>
      <c r="CQ91" s="192">
        <f t="array" ref="CQ91">IF($BT91=0, INDEX(LS_current!$D$4:$AY$138, MATCH('Staging Table'!$A91, LS_current!$B$4:$B$138, 0), MATCH(CQ$4&amp;CQ$5, LS_current!$D$2:$AY$2&amp;LS_current!$D$3:$AY$3, 0)),SUM(VLOOKUP($A91, LS_current!$B$4:$AY$138, LS_current!V$148, FALSE), VLOOKUP($A91, LS_current!$B$4:$AY$138,LS_current!AT$148, FALSE))/2)</f>
        <v>1433.550422563294</v>
      </c>
      <c r="CR91" s="192">
        <f t="array" ref="CR91">IF($BT91=0, INDEX(LS_current!$D$4:$AY$138, MATCH('Staging Table'!$A91, LS_current!$B$4:$B$138, 0), MATCH(CR$4&amp;CR$5, LS_current!$D$2:$AY$2&amp;LS_current!$D$3:$AY$3, 0)),SUM(VLOOKUP($A91, LS_current!$B$4:$AY$138, LS_current!W$148, FALSE), VLOOKUP($A91, LS_current!$B$4:$AY$138,LS_current!AU$148, FALSE))/2)</f>
        <v>1477.4594897879078</v>
      </c>
      <c r="CS91" s="192">
        <f t="array" ref="CS91">IF($BT91=0, INDEX(LS_current!$D$4:$AY$138, MATCH('Staging Table'!$A91, LS_current!$B$4:$B$138, 0), MATCH(CS$4&amp;CS$5, LS_current!$D$2:$AY$2&amp;LS_current!$D$3:$AY$3, 0)),SUM(VLOOKUP($A91, LS_current!$B$4:$AY$138, LS_current!X$148, FALSE), VLOOKUP($A91, LS_current!$B$4:$AY$138,LS_current!AV$148, FALSE))/2)</f>
        <v>1428.6311768032206</v>
      </c>
      <c r="CT91" s="192">
        <f t="array" ref="CT91">IF($BT91=0, INDEX(LS_current!$D$4:$AY$138, MATCH('Staging Table'!$A91, LS_current!$B$4:$B$138, 0), MATCH(CT$4&amp;CT$5, LS_current!$D$2:$AY$2&amp;LS_current!$D$3:$AY$3, 0)),SUM(VLOOKUP($A91, LS_current!$B$4:$AY$138, LS_current!Y$148, FALSE), VLOOKUP($A91, LS_current!$B$4:$AY$138,LS_current!AW$148, FALSE))/2)</f>
        <v>1248.3062613022437</v>
      </c>
      <c r="CU91" s="192">
        <f t="array" ref="CU91">IF($BT91=0, INDEX(LS_current!$D$4:$AY$138, MATCH('Staging Table'!$A91, LS_current!$B$4:$B$138, 0), MATCH(CU$4&amp;CU$5, LS_current!$D$2:$AY$2&amp;LS_current!$D$3:$AY$3, 0)),SUM(VLOOKUP($A91, LS_current!$B$4:$AY$138, LS_current!Z$148, FALSE), VLOOKUP($A91, LS_current!$B$4:$AY$138,LS_current!AX$148, FALSE))/2)</f>
        <v>191.58633717959947</v>
      </c>
      <c r="CV91" s="192">
        <f t="array" ref="CV91">IF($BT91=0, INDEX(LS_current!$D$4:$AY$138, MATCH('Staging Table'!$A91, LS_current!$B$4:$B$138, 0), MATCH(CV$4&amp;CV$5, LS_current!$D$2:$AY$2&amp;LS_current!$D$3:$AY$3, 0)),SUM(VLOOKUP($A91, LS_current!$B$4:$AY$138, LS_current!AA$148, FALSE), VLOOKUP($A91, LS_current!$B$4:$AY$138,LS_current!AY$148, FALSE))/2)</f>
        <v>707.64930302472885</v>
      </c>
      <c r="CW91" s="194">
        <f t="array" ref="CW91">INDEX(Demand_current!$D$4:$AY$138, MATCH($A91, Demand_current!$B$4:$B$138, 0), MATCH(CW$4&amp;CW$5,Demand_current!$D$2:$AY$2&amp;Demand_current!$D$3:$AY$3, 0))/1000</f>
        <v>3.1363701923076923</v>
      </c>
      <c r="CX91" s="194">
        <f t="array" ref="CX91">INDEX(Demand_current!$D$4:$AY$138, MATCH($A91, Demand_current!$B$4:$B$138, 0), MATCH(CX$4&amp;CX$5,Demand_current!$D$2:$AY$2&amp;Demand_current!$D$3:$AY$3, 0))/1000</f>
        <v>0.55551500000000065</v>
      </c>
      <c r="CY91" s="194">
        <f t="array" ref="CY91">INDEX(Demand_current!$D$4:$AY$138, MATCH($A91, Demand_current!$B$4:$B$138, 0), MATCH(CY$4&amp;CY$5,Demand_current!$D$2:$AY$2&amp;Demand_current!$D$3:$AY$3, 0))/1000</f>
        <v>1.9617932692307685</v>
      </c>
      <c r="CZ91" s="194">
        <f t="array" ref="CZ91">INDEX(Demand_current!$D$4:$AY$138, MATCH($A91, Demand_current!$B$4:$B$138, 0), MATCH(CZ$4&amp;CZ$5,Demand_current!$D$2:$AY$2&amp;Demand_current!$D$3:$AY$3, 0))/1000</f>
        <v>1.4406375000000011</v>
      </c>
      <c r="DA91" s="194">
        <f t="array" ref="DA91">INDEX(Demand_current!$D$4:$AY$138, MATCH($A91, Demand_current!$B$4:$B$138, 0), MATCH(DA$4&amp;DA$5,Demand_current!$D$2:$AY$2&amp;Demand_current!$D$3:$AY$3, 0))/1000</f>
        <v>1.1386874999999996</v>
      </c>
      <c r="DB91" s="194">
        <f t="array" ref="DB91">INDEX(Demand_current!$D$4:$AY$138, MATCH($A91, Demand_current!$B$4:$B$138, 0), MATCH(DB$4&amp;DB$5,Demand_current!$D$2:$AY$2&amp;Demand_current!$D$3:$AY$3, 0))/1000</f>
        <v>1.8138495370370373</v>
      </c>
      <c r="DC91" s="194">
        <f t="array" ref="DC91">INDEX(Demand_current!$D$4:$AY$138, MATCH($A91, Demand_current!$B$4:$B$138, 0), MATCH(DC$4&amp;DC$5,Demand_current!$D$2:$AY$2&amp;Demand_current!$D$3:$AY$3, 0))/1000</f>
        <v>1.4867451923076924</v>
      </c>
      <c r="DD91" s="194">
        <f t="array" ref="DD91">INDEX(Demand_current!$D$4:$AY$138, MATCH($A91, Demand_current!$B$4:$B$138, 0), MATCH(DD$4&amp;DD$5,Demand_current!$D$2:$AY$2&amp;Demand_current!$D$3:$AY$3, 0))/1000</f>
        <v>1.2320750000000018</v>
      </c>
      <c r="DE91" s="194">
        <f t="array" ref="DE91">INDEX(Demand_current!$D$4:$AY$138, MATCH($A91, Demand_current!$B$4:$B$138, 0), MATCH(DE$4&amp;DE$5,Demand_current!$D$2:$AY$2&amp;Demand_current!$D$3:$AY$3, 0))/1000</f>
        <v>2.5546105769230776</v>
      </c>
      <c r="DF91" s="194">
        <f t="array" ref="DF91">INDEX(Demand_current!$D$4:$AY$138, MATCH($A91, Demand_current!$B$4:$B$138, 0), MATCH(DF$4&amp;DF$5,Demand_current!$D$2:$AY$2&amp;Demand_current!$D$3:$AY$3, 0))/1000</f>
        <v>1.6100075000000003</v>
      </c>
      <c r="DG91" s="194">
        <f t="array" ref="DG91">INDEX(Demand_current!$D$4:$AY$138, MATCH($A91, Demand_current!$B$4:$B$138, 0), MATCH(DG$4&amp;DG$5,Demand_current!$D$2:$AY$2&amp;Demand_current!$D$3:$AY$3, 0))/1000</f>
        <v>3.1478449074074084</v>
      </c>
      <c r="DH91" s="194">
        <f t="array" ref="DH91">INDEX(Demand_current!$D$4:$AY$138, MATCH($A91, Demand_current!$B$4:$B$138, 0), MATCH(DH$4&amp;DH$5,Demand_current!$D$2:$AY$2&amp;Demand_current!$D$3:$AY$3, 0))/1000</f>
        <v>3.6466899999999982</v>
      </c>
      <c r="DI91" s="192">
        <f>$BS91*(VLOOKUP(DI$4, Rates_current!$G$6:$Q$29, 10, FALSE)+VLOOKUP(DI$4, Rates_current!$G$6:$Q$29, 11, FALSE))</f>
        <v>3792.508257611426</v>
      </c>
      <c r="DJ91" s="192">
        <f>$BS91*(VLOOKUP(DJ$4, Rates_current!$G$6:$Q$29, 10, FALSE)+VLOOKUP(DJ$4, Rates_current!$G$6:$Q$29, 11, FALSE))</f>
        <v>4801.4530937324298</v>
      </c>
      <c r="DK91" s="192">
        <f>$BS91*(VLOOKUP(DK$4, Rates_current!$G$6:$Q$29, 10, FALSE)+VLOOKUP(DK$4, Rates_current!$G$6:$Q$29, 11, FALSE))</f>
        <v>4699.6633290245472</v>
      </c>
      <c r="DL91" s="192">
        <f>$BS91*(VLOOKUP(DL$4, Rates_current!$G$6:$Q$29, 10, FALSE)+VLOOKUP(DL$4, Rates_current!$G$6:$Q$29, 11, FALSE))</f>
        <v>3881.7220573342292</v>
      </c>
      <c r="DM91" s="192">
        <f>$BS91*(VLOOKUP(DM$4, Rates_current!$G$6:$Q$29, 10, FALSE)+VLOOKUP(DM$4, Rates_current!$G$6:$Q$29, 11, FALSE))</f>
        <v>3364.3735831364406</v>
      </c>
      <c r="DN91" s="192">
        <f>$BS91*(VLOOKUP(DN$4, Rates_current!$G$6:$Q$29, 10, FALSE)+VLOOKUP(DN$4, Rates_current!$G$6:$Q$29, 11, FALSE))</f>
        <v>4016.3826591971483</v>
      </c>
      <c r="DO91" s="192">
        <f>$BS91*(VLOOKUP(DO$4, Rates_current!$G$6:$Q$29, 10, FALSE)+VLOOKUP(DO$4, Rates_current!$G$6:$Q$29, 11, FALSE))</f>
        <v>3118.1864382636586</v>
      </c>
      <c r="DP91" s="192">
        <f>$BS91*(VLOOKUP(DP$4, Rates_current!$G$6:$Q$29, 10, FALSE)+VLOOKUP(DP$4, Rates_current!$G$6:$Q$29, 11, FALSE))</f>
        <v>4320.2702568987961</v>
      </c>
      <c r="DQ91" s="192">
        <f>$BS91*(VLOOKUP(DQ$4, Rates_current!$G$6:$Q$29, 10, FALSE)+VLOOKUP(DQ$4, Rates_current!$G$6:$Q$29, 11, FALSE))</f>
        <v>4616.2992322888422</v>
      </c>
      <c r="DR91" s="192">
        <f>$BS91*(VLOOKUP(DR$4, Rates_current!$G$6:$Q$29, 10, FALSE)+VLOOKUP(DR$4, Rates_current!$G$6:$Q$29, 11, FALSE))</f>
        <v>4382.967087648798</v>
      </c>
      <c r="DS91" s="192">
        <f>$BS91*(VLOOKUP(DS$4, Rates_current!$G$6:$Q$29, 10, FALSE)+VLOOKUP(DS$4, Rates_current!$G$6:$Q$29, 11, FALSE))</f>
        <v>4235.7995618945361</v>
      </c>
      <c r="DT91" s="192">
        <f>$BS91*(VLOOKUP(DT$4, Rates_current!$G$6:$Q$29, 10, FALSE)+VLOOKUP(DT$4, Rates_current!$G$6:$Q$29, 11, FALSE))</f>
        <v>3914.3203597956717</v>
      </c>
      <c r="DU91" s="418">
        <f>IF(D91=0,IF(C91=0,MAX(0,DW91 - (VLOOKUP($A91,TOCA_current!$A$2:$AI$137,MATCH("RHWM 2022",TOCA_current!$A$2:$AI$2,0),FALSE)*$BS$2)), 0),0)</f>
        <v>0</v>
      </c>
      <c r="DV91" s="419">
        <f>MIN(VLOOKUP($A91,TOCA_current!$A$2:$AI$137,MATCH("TRL - NLSL - Existing Resource "&amp;$BS$1,TOCA_current!$A$2:$AI$2,0),FALSE)*$BS$2, VLOOKUP($A91,TOCA_current!$A$2:$AI$137,MATCH("RHWM 2022",TOCA_current!$A$2:$AI$2,0),FALSE)*$BS$2)</f>
        <v>49143.600000000006</v>
      </c>
      <c r="DW91" s="419">
        <f>SUM(BY91:CV91)+(BS91*RT1SC!$C$4*$BS$2)</f>
        <v>47327.247513925475</v>
      </c>
      <c r="DX91" s="419">
        <f>VLOOKUP($A91,TOCA_current!$A$2:$AI$137,MATCH("Above RHWM Not Served with LS "&amp;$BS$1,TOCA_current!$A$2:$AI$2,0),FALSE)*$BS$2</f>
        <v>24957.24</v>
      </c>
      <c r="DY91" s="419">
        <f t="shared" si="32"/>
        <v>-1816.352486074531</v>
      </c>
      <c r="DZ91" s="419">
        <f>(VLOOKUP($A91,TOCA_current!$A$2:$AI$137,MATCH("RHWM 2022",TOCA_current!$A$2:$AI$2,0),FALSE)*$BS$2) - $DV91</f>
        <v>0</v>
      </c>
      <c r="EA91" s="419">
        <f t="shared" si="33"/>
        <v>0</v>
      </c>
      <c r="EB91" s="419">
        <f t="shared" si="34"/>
        <v>0</v>
      </c>
      <c r="EC91" s="419">
        <f t="shared" si="35"/>
        <v>0</v>
      </c>
      <c r="ED91" s="419">
        <f t="shared" si="36"/>
        <v>0</v>
      </c>
    </row>
    <row r="92" spans="1:134">
      <c r="A92" s="135">
        <v>10278</v>
      </c>
      <c r="B92" s="136" t="s">
        <v>93</v>
      </c>
      <c r="C92" s="244">
        <f>VLOOKUP(A92, TOCA_current!$A$3:$D$137, 4, FALSE)</f>
        <v>1</v>
      </c>
      <c r="D92" s="203">
        <v>0</v>
      </c>
      <c r="E92" s="119">
        <f>VLOOKUP($A92,TOCA_previous!$A$2:$AI$137,MATCH(E$4,TOCA_previous!$A$2:$AI$2,0),FALSE)</f>
        <v>5.0753999999999999E-3</v>
      </c>
      <c r="F92" s="120">
        <f>VLOOKUP($A92,TOCA_previous!$A$2:$AI$137,MATCH(F$4,TOCA_previous!$A$2:$AI$2,0),FALSE)</f>
        <v>5.0753999999999999E-3</v>
      </c>
      <c r="G92" s="120">
        <f t="shared" si="24"/>
        <v>0</v>
      </c>
      <c r="H92" s="120">
        <f>VLOOKUP($A92,TOCA_previous!$A$2:$AI$137,MATCH(H$4,TOCA_previous!$A$2:$AI$2,0),FALSE)</f>
        <v>6.5000000000000002E-2</v>
      </c>
      <c r="I92" s="120">
        <f t="shared" si="25"/>
        <v>6.5000000000000002E-2</v>
      </c>
      <c r="J92" s="120">
        <f t="shared" si="26"/>
        <v>5.0753999999999999E-3</v>
      </c>
      <c r="K92" s="191">
        <f>VLOOKUP(A92, IRD!$A$5:$C$139, 3, FALSE)</f>
        <v>0</v>
      </c>
      <c r="L92" s="192">
        <f t="array" ref="L92">IF($G92=0, INDEX(LS_previous!$D$4:$AY$138, MATCH('Staging Table'!$A92, LS_previous!$B$4:$B$138, 0), MATCH(L$4&amp;L$5, LS_previous!$D$2:$AY$2&amp;LS_previous!$D$3:$AY$3, 0)),SUM(VLOOKUP($A92, LS_previous!$B$4:$AY$138, LS_previous!D$149, FALSE), VLOOKUP('Staging Table'!$A92, LS_previous!$B$4:$AY$138,LS_previous!AB$149, FALSE))/2)</f>
        <v>0</v>
      </c>
      <c r="M92" s="192">
        <f t="array" ref="M92">IF($G92=0, INDEX(LS_previous!$D$4:$AY$138, MATCH('Staging Table'!$A92, LS_previous!$B$4:$B$138, 0), MATCH(M$4&amp;M$5, LS_previous!$D$2:$AY$2&amp;LS_previous!$D$3:$AY$3, 0)),SUM(VLOOKUP($A92, LS_previous!$B$4:$AY$138, LS_previous!E$149, FALSE), VLOOKUP('Staging Table'!$A92, LS_previous!$B$4:$AY$138,LS_previous!AC$149, FALSE))/2)</f>
        <v>0</v>
      </c>
      <c r="N92" s="192">
        <f t="array" ref="N92">IF($G92=0, INDEX(LS_previous!$D$4:$AY$138, MATCH('Staging Table'!$A92, LS_previous!$B$4:$B$138, 0), MATCH(N$4&amp;N$5, LS_previous!$D$2:$AY$2&amp;LS_previous!$D$3:$AY$3, 0)),SUM(VLOOKUP($A92, LS_previous!$B$4:$AY$138, LS_previous!F$149, FALSE), VLOOKUP('Staging Table'!$A92, LS_previous!$B$4:$AY$138,LS_previous!AD$149, FALSE))/2)</f>
        <v>0</v>
      </c>
      <c r="O92" s="192">
        <f t="array" ref="O92">IF($G92=0, INDEX(LS_previous!$D$4:$AY$138, MATCH('Staging Table'!$A92, LS_previous!$B$4:$B$138, 0), MATCH(O$4&amp;O$5, LS_previous!$D$2:$AY$2&amp;LS_previous!$D$3:$AY$3, 0)),SUM(VLOOKUP($A92, LS_previous!$B$4:$AY$138, LS_previous!G$149, FALSE), VLOOKUP('Staging Table'!$A92, LS_previous!$B$4:$AY$138,LS_previous!AE$149, FALSE))/2)</f>
        <v>0</v>
      </c>
      <c r="P92" s="192">
        <f t="array" ref="P92">IF($G92=0, INDEX(LS_previous!$D$4:$AY$138, MATCH('Staging Table'!$A92, LS_previous!$B$4:$B$138, 0), MATCH(P$4&amp;P$5, LS_previous!$D$2:$AY$2&amp;LS_previous!$D$3:$AY$3, 0)),SUM(VLOOKUP($A92, LS_previous!$B$4:$AY$138, LS_previous!H$149, FALSE), VLOOKUP('Staging Table'!$A92, LS_previous!$B$4:$AY$138,LS_previous!AF$149, FALSE))/2)</f>
        <v>0</v>
      </c>
      <c r="Q92" s="192">
        <f t="array" ref="Q92">IF($G92=0, INDEX(LS_previous!$D$4:$AY$138, MATCH('Staging Table'!$A92, LS_previous!$B$4:$B$138, 0), MATCH(Q$4&amp;Q$5, LS_previous!$D$2:$AY$2&amp;LS_previous!$D$3:$AY$3, 0)),SUM(VLOOKUP($A92, LS_previous!$B$4:$AY$138, LS_previous!I$149, FALSE), VLOOKUP('Staging Table'!$A92, LS_previous!$B$4:$AY$138,LS_previous!AG$149, FALSE))/2)</f>
        <v>0</v>
      </c>
      <c r="R92" s="192">
        <f t="array" ref="R92">IF($G92=0, INDEX(LS_previous!$D$4:$AY$138, MATCH('Staging Table'!$A92, LS_previous!$B$4:$B$138, 0), MATCH(R$4&amp;R$5, LS_previous!$D$2:$AY$2&amp;LS_previous!$D$3:$AY$3, 0)),SUM(VLOOKUP($A92, LS_previous!$B$4:$AY$138, LS_previous!J$149, FALSE), VLOOKUP('Staging Table'!$A92, LS_previous!$B$4:$AY$138,LS_previous!AH$149, FALSE))/2)</f>
        <v>0</v>
      </c>
      <c r="S92" s="192">
        <f t="array" ref="S92">IF($G92=0, INDEX(LS_previous!$D$4:$AY$138, MATCH('Staging Table'!$A92, LS_previous!$B$4:$B$138, 0), MATCH(S$4&amp;S$5, LS_previous!$D$2:$AY$2&amp;LS_previous!$D$3:$AY$3, 0)),SUM(VLOOKUP($A92, LS_previous!$B$4:$AY$138, LS_previous!K$149, FALSE), VLOOKUP('Staging Table'!$A92, LS_previous!$B$4:$AY$138,LS_previous!AI$149, FALSE))/2)</f>
        <v>0</v>
      </c>
      <c r="T92" s="192">
        <f t="array" ref="T92">IF($G92=0, INDEX(LS_previous!$D$4:$AY$138, MATCH('Staging Table'!$A92, LS_previous!$B$4:$B$138, 0), MATCH(T$4&amp;T$5, LS_previous!$D$2:$AY$2&amp;LS_previous!$D$3:$AY$3, 0)),SUM(VLOOKUP($A92, LS_previous!$B$4:$AY$138, LS_previous!L$149, FALSE), VLOOKUP('Staging Table'!$A92, LS_previous!$B$4:$AY$138,LS_previous!AJ$149, FALSE))/2)</f>
        <v>0</v>
      </c>
      <c r="U92" s="192">
        <f t="array" ref="U92">IF($G92=0, INDEX(LS_previous!$D$4:$AY$138, MATCH('Staging Table'!$A92, LS_previous!$B$4:$B$138, 0), MATCH(U$4&amp;U$5, LS_previous!$D$2:$AY$2&amp;LS_previous!$D$3:$AY$3, 0)),SUM(VLOOKUP($A92, LS_previous!$B$4:$AY$138, LS_previous!M$149, FALSE), VLOOKUP('Staging Table'!$A92, LS_previous!$B$4:$AY$138,LS_previous!AK$149, FALSE))/2)</f>
        <v>0</v>
      </c>
      <c r="V92" s="192">
        <f t="array" ref="V92">IF($G92=0, INDEX(LS_previous!$D$4:$AY$138, MATCH('Staging Table'!$A92, LS_previous!$B$4:$B$138, 0), MATCH(V$4&amp;V$5, LS_previous!$D$2:$AY$2&amp;LS_previous!$D$3:$AY$3, 0)),SUM(VLOOKUP($A92, LS_previous!$B$4:$AY$138, LS_previous!N$149, FALSE), VLOOKUP('Staging Table'!$A92, LS_previous!$B$4:$AY$138,LS_previous!AL$149, FALSE))/2)</f>
        <v>0</v>
      </c>
      <c r="W92" s="192">
        <f t="array" ref="W92">IF($G92=0, INDEX(LS_previous!$D$4:$AY$138, MATCH('Staging Table'!$A92, LS_previous!$B$4:$B$138, 0), MATCH(W$4&amp;W$5, LS_previous!$D$2:$AY$2&amp;LS_previous!$D$3:$AY$3, 0)),SUM(VLOOKUP($A92, LS_previous!$B$4:$AY$138, LS_previous!O$149, FALSE), VLOOKUP('Staging Table'!$A92, LS_previous!$B$4:$AY$138,LS_previous!AM$149, FALSE))/2)</f>
        <v>0</v>
      </c>
      <c r="X92" s="192">
        <f t="array" ref="X92">IF($G92=0, INDEX(LS_previous!$D$4:$AY$138, MATCH('Staging Table'!$A92, LS_previous!$B$4:$B$138, 0), MATCH(X$4&amp;X$5, LS_previous!$D$2:$AY$2&amp;LS_previous!$D$3:$AY$3, 0)),SUM(VLOOKUP($A92, LS_previous!$B$4:$AY$138, LS_previous!P$149, FALSE), VLOOKUP('Staging Table'!$A92, LS_previous!$B$4:$AY$138,LS_previous!AN$149, FALSE))/2)</f>
        <v>0</v>
      </c>
      <c r="Y92" s="192">
        <f t="array" ref="Y92">IF($G92=0, INDEX(LS_previous!$D$4:$AY$138, MATCH('Staging Table'!$A92, LS_previous!$B$4:$B$138, 0), MATCH(Y$4&amp;Y$5, LS_previous!$D$2:$AY$2&amp;LS_previous!$D$3:$AY$3, 0)),SUM(VLOOKUP($A92, LS_previous!$B$4:$AY$138, LS_previous!Q$149, FALSE), VLOOKUP('Staging Table'!$A92, LS_previous!$B$4:$AY$138,LS_previous!AO$149, FALSE))/2)</f>
        <v>0</v>
      </c>
      <c r="Z92" s="192">
        <f t="array" ref="Z92">IF($G92=0, INDEX(LS_previous!$D$4:$AY$138, MATCH('Staging Table'!$A92, LS_previous!$B$4:$B$138, 0), MATCH(Z$4&amp;Z$5, LS_previous!$D$2:$AY$2&amp;LS_previous!$D$3:$AY$3, 0)),SUM(VLOOKUP($A92, LS_previous!$B$4:$AY$138, LS_previous!R$149, FALSE), VLOOKUP('Staging Table'!$A92, LS_previous!$B$4:$AY$138,LS_previous!AP$149, FALSE))/2)</f>
        <v>0</v>
      </c>
      <c r="AA92" s="192">
        <f t="array" ref="AA92">IF($G92=0, INDEX(LS_previous!$D$4:$AY$138, MATCH('Staging Table'!$A92, LS_previous!$B$4:$B$138, 0), MATCH(AA$4&amp;AA$5, LS_previous!$D$2:$AY$2&amp;LS_previous!$D$3:$AY$3, 0)),SUM(VLOOKUP($A92, LS_previous!$B$4:$AY$138, LS_previous!S$149, FALSE), VLOOKUP('Staging Table'!$A92, LS_previous!$B$4:$AY$138,LS_previous!AQ$149, FALSE))/2)</f>
        <v>0</v>
      </c>
      <c r="AB92" s="192">
        <f t="array" ref="AB92">IF($G92=0, INDEX(LS_previous!$D$4:$AY$138, MATCH('Staging Table'!$A92, LS_previous!$B$4:$B$138, 0), MATCH(AB$4&amp;AB$5, LS_previous!$D$2:$AY$2&amp;LS_previous!$D$3:$AY$3, 0)),SUM(VLOOKUP($A92, LS_previous!$B$4:$AY$138, LS_previous!T$149, FALSE), VLOOKUP('Staging Table'!$A92, LS_previous!$B$4:$AY$138,LS_previous!AR$149, FALSE))/2)</f>
        <v>0</v>
      </c>
      <c r="AC92" s="192">
        <f t="array" ref="AC92">IF($G92=0, INDEX(LS_previous!$D$4:$AY$138, MATCH('Staging Table'!$A92, LS_previous!$B$4:$B$138, 0), MATCH(AC$4&amp;AC$5, LS_previous!$D$2:$AY$2&amp;LS_previous!$D$3:$AY$3, 0)),SUM(VLOOKUP($A92, LS_previous!$B$4:$AY$138, LS_previous!U$149, FALSE), VLOOKUP('Staging Table'!$A92, LS_previous!$B$4:$AY$138,LS_previous!AS$149, FALSE))/2)</f>
        <v>0</v>
      </c>
      <c r="AD92" s="192">
        <f t="array" ref="AD92">IF($G92=0, INDEX(LS_previous!$D$4:$AY$138, MATCH('Staging Table'!$A92, LS_previous!$B$4:$B$138, 0), MATCH(AD$4&amp;AD$5, LS_previous!$D$2:$AY$2&amp;LS_previous!$D$3:$AY$3, 0)),SUM(VLOOKUP($A92, LS_previous!$B$4:$AY$138, LS_previous!V$149, FALSE), VLOOKUP('Staging Table'!$A92, LS_previous!$B$4:$AY$138,LS_previous!AT$149, FALSE))/2)</f>
        <v>0</v>
      </c>
      <c r="AE92" s="192">
        <f t="array" ref="AE92">IF($G92=0, INDEX(LS_previous!$D$4:$AY$138, MATCH('Staging Table'!$A92, LS_previous!$B$4:$B$138, 0), MATCH(AE$4&amp;AE$5, LS_previous!$D$2:$AY$2&amp;LS_previous!$D$3:$AY$3, 0)),SUM(VLOOKUP($A92, LS_previous!$B$4:$AY$138, LS_previous!W$149, FALSE), VLOOKUP('Staging Table'!$A92, LS_previous!$B$4:$AY$138,LS_previous!AU$149, FALSE))/2)</f>
        <v>0</v>
      </c>
      <c r="AF92" s="192">
        <f t="array" ref="AF92">IF($G92=0, INDEX(LS_previous!$D$4:$AY$138, MATCH('Staging Table'!$A92, LS_previous!$B$4:$B$138, 0), MATCH(AF$4&amp;AF$5, LS_previous!$D$2:$AY$2&amp;LS_previous!$D$3:$AY$3, 0)),SUM(VLOOKUP($A92, LS_previous!$B$4:$AY$138, LS_previous!X$149, FALSE), VLOOKUP('Staging Table'!$A92, LS_previous!$B$4:$AY$138,LS_previous!AV$149, FALSE))/2)</f>
        <v>0</v>
      </c>
      <c r="AG92" s="192">
        <f t="array" ref="AG92">IF($G92=0, INDEX(LS_previous!$D$4:$AY$138, MATCH('Staging Table'!$A92, LS_previous!$B$4:$B$138, 0), MATCH(AG$4&amp;AG$5, LS_previous!$D$2:$AY$2&amp;LS_previous!$D$3:$AY$3, 0)),SUM(VLOOKUP($A92, LS_previous!$B$4:$AY$138, LS_previous!Y$149, FALSE), VLOOKUP('Staging Table'!$A92, LS_previous!$B$4:$AY$138,LS_previous!AW$149, FALSE))/2)</f>
        <v>0</v>
      </c>
      <c r="AH92" s="192">
        <f t="array" ref="AH92">IF($G92=0, INDEX(LS_previous!$D$4:$AY$138, MATCH('Staging Table'!$A92, LS_previous!$B$4:$B$138, 0), MATCH(AH$4&amp;AH$5, LS_previous!$D$2:$AY$2&amp;LS_previous!$D$3:$AY$3, 0)),SUM(VLOOKUP($A92, LS_previous!$B$4:$AY$138, LS_previous!Z$149, FALSE), VLOOKUP('Staging Table'!$A92, LS_previous!$B$4:$AY$138,LS_previous!AX$149, FALSE))/2)</f>
        <v>0</v>
      </c>
      <c r="AI92" s="192">
        <f t="array" ref="AI92">IF($G92=0, INDEX(LS_previous!$D$4:$AY$138, MATCH('Staging Table'!$A92, LS_previous!$B$4:$B$138, 0), MATCH(AI$4&amp;AI$5, LS_previous!$D$2:$AY$2&amp;LS_previous!$D$3:$AY$3, 0)),SUM(VLOOKUP($A92, LS_previous!$B$4:$AY$138, LS_previous!AA$149, FALSE), VLOOKUP('Staging Table'!$A92, LS_previous!$B$4:$AY$138,LS_previous!AY$149, FALSE))/2)</f>
        <v>0</v>
      </c>
      <c r="AJ92" s="314">
        <f t="array" ref="AJ92">INDEX(Demand_previous!$D$4:$AY$138, MATCH('Staging Table'!$A92, Demand_previous!$B$4:$B$138, 0), MATCH(AJ$4&amp;AJ$5,Demand_previous!$D$2:$AY$2&amp;Demand_previous!$D$3:$AY$3, 0))/1000</f>
        <v>0</v>
      </c>
      <c r="AK92" s="314">
        <f t="array" ref="AK92">INDEX(Demand_previous!$D$4:$AY$138, MATCH('Staging Table'!$A92, Demand_previous!$B$4:$B$138, 0), MATCH(AK$4&amp;AK$5,Demand_previous!$D$2:$AY$2&amp;Demand_previous!$D$3:$AY$3, 0))/1000</f>
        <v>0</v>
      </c>
      <c r="AL92" s="314">
        <f t="array" ref="AL92">INDEX(Demand_previous!$D$4:$AY$138, MATCH('Staging Table'!$A92, Demand_previous!$B$4:$B$138, 0), MATCH(AL$4&amp;AL$5,Demand_previous!$D$2:$AY$2&amp;Demand_previous!$D$3:$AY$3, 0))/1000</f>
        <v>0</v>
      </c>
      <c r="AM92" s="314">
        <f t="array" ref="AM92">INDEX(Demand_previous!$D$4:$AY$138, MATCH('Staging Table'!$A92, Demand_previous!$B$4:$B$138, 0), MATCH(AM$4&amp;AM$5,Demand_previous!$D$2:$AY$2&amp;Demand_previous!$D$3:$AY$3, 0))/1000</f>
        <v>0</v>
      </c>
      <c r="AN92" s="314">
        <f t="array" ref="AN92">INDEX(Demand_previous!$D$4:$AY$138, MATCH('Staging Table'!$A92, Demand_previous!$B$4:$B$138, 0), MATCH(AN$4&amp;AN$5,Demand_previous!$D$2:$AY$2&amp;Demand_previous!$D$3:$AY$3, 0))/1000</f>
        <v>0</v>
      </c>
      <c r="AO92" s="314">
        <f t="array" ref="AO92">INDEX(Demand_previous!$D$4:$AY$138, MATCH('Staging Table'!$A92, Demand_previous!$B$4:$B$138, 0), MATCH(AO$4&amp;AO$5,Demand_previous!$D$2:$AY$2&amp;Demand_previous!$D$3:$AY$3, 0))/1000</f>
        <v>0</v>
      </c>
      <c r="AP92" s="314">
        <f t="array" ref="AP92">INDEX(Demand_previous!$D$4:$AY$138, MATCH('Staging Table'!$A92, Demand_previous!$B$4:$B$138, 0), MATCH(AP$4&amp;AP$5,Demand_previous!$D$2:$AY$2&amp;Demand_previous!$D$3:$AY$3, 0))/1000</f>
        <v>0</v>
      </c>
      <c r="AQ92" s="314">
        <f t="array" ref="AQ92">INDEX(Demand_previous!$D$4:$AY$138, MATCH('Staging Table'!$A92, Demand_previous!$B$4:$B$138, 0), MATCH(AQ$4&amp;AQ$5,Demand_previous!$D$2:$AY$2&amp;Demand_previous!$D$3:$AY$3, 0))/1000</f>
        <v>0</v>
      </c>
      <c r="AR92" s="314">
        <f t="array" ref="AR92">INDEX(Demand_previous!$D$4:$AY$138, MATCH('Staging Table'!$A92, Demand_previous!$B$4:$B$138, 0), MATCH(AR$4&amp;AR$5,Demand_previous!$D$2:$AY$2&amp;Demand_previous!$D$3:$AY$3, 0))/1000</f>
        <v>0</v>
      </c>
      <c r="AS92" s="314">
        <f t="array" ref="AS92">INDEX(Demand_previous!$D$4:$AY$138, MATCH('Staging Table'!$A92, Demand_previous!$B$4:$B$138, 0), MATCH(AS$4&amp;AS$5,Demand_previous!$D$2:$AY$2&amp;Demand_previous!$D$3:$AY$3, 0))/1000</f>
        <v>0</v>
      </c>
      <c r="AT92" s="314">
        <f t="array" ref="AT92">INDEX(Demand_previous!$D$4:$AY$138, MATCH('Staging Table'!$A92, Demand_previous!$B$4:$B$138, 0), MATCH(AT$4&amp;AT$5,Demand_previous!$D$2:$AY$2&amp;Demand_previous!$D$3:$AY$3, 0))/1000</f>
        <v>0</v>
      </c>
      <c r="AU92" s="314">
        <f t="array" ref="AU92">INDEX(Demand_previous!$D$4:$AY$138, MATCH('Staging Table'!$A92, Demand_previous!$B$4:$B$138, 0), MATCH(AU$4&amp;AU$5,Demand_previous!$D$2:$AY$2&amp;Demand_previous!$D$3:$AY$3, 0))/1000</f>
        <v>0</v>
      </c>
      <c r="AV92" s="192">
        <f>$F92*(VLOOKUP(AV$4, Rates_previous!$G$6:$Q$29, 10, FALSE)+VLOOKUP(AV$4, Rates_previous!$G$6:$Q$29, 11, FALSE))</f>
        <v>23434.731696578398</v>
      </c>
      <c r="AW92" s="192">
        <f>$F92*(VLOOKUP(AW$4, Rates_previous!$G$6:$Q$29, 10, FALSE)+VLOOKUP(AW$4, Rates_previous!$G$6:$Q$29, 11, FALSE))</f>
        <v>29769.419861220598</v>
      </c>
      <c r="AX92" s="192">
        <f>$F92*(VLOOKUP(AX$4, Rates_previous!$G$6:$Q$29, 10, FALSE)+VLOOKUP(AX$4, Rates_previous!$G$6:$Q$29, 11, FALSE))</f>
        <v>29409.913834778403</v>
      </c>
      <c r="AY92" s="192">
        <f>$F92*(VLOOKUP(AY$4, Rates_previous!$G$6:$Q$29, 10, FALSE)+VLOOKUP(AY$4, Rates_previous!$G$6:$Q$29, 11, FALSE))</f>
        <v>24514.954455578401</v>
      </c>
      <c r="AZ92" s="192">
        <f>$F92*(VLOOKUP(AZ$4, Rates_previous!$G$6:$Q$29, 10, FALSE)+VLOOKUP(AZ$4, Rates_previous!$G$6:$Q$29, 11, FALSE))</f>
        <v>22208.005506719997</v>
      </c>
      <c r="BA92" s="192">
        <f>$F92*(VLOOKUP(BA$4, Rates_previous!$G$6:$Q$29, 10, FALSE)+VLOOKUP(BA$4, Rates_previous!$G$6:$Q$29, 11, FALSE))</f>
        <v>24702.3572106498</v>
      </c>
      <c r="BB92" s="192">
        <f>$F92*(VLOOKUP(BB$4, Rates_previous!$G$6:$Q$29, 10, FALSE)+VLOOKUP(BB$4, Rates_previous!$G$6:$Q$29, 11, FALSE))</f>
        <v>20112.685897391999</v>
      </c>
      <c r="BC92" s="192">
        <f>$F92*(VLOOKUP(BC$4, Rates_previous!$G$6:$Q$29, 10, FALSE)+VLOOKUP(BC$4, Rates_previous!$G$6:$Q$29, 11, FALSE))</f>
        <v>27124.956066278402</v>
      </c>
      <c r="BD92" s="192">
        <f>$F92*(VLOOKUP(BD$4, Rates_previous!$G$6:$Q$29, 10, FALSE)+VLOOKUP(BD$4, Rates_previous!$G$6:$Q$29, 11, FALSE))</f>
        <v>34609.599133691998</v>
      </c>
      <c r="BE92" s="192">
        <f>$F92*(VLOOKUP(BE$4, Rates_previous!$G$6:$Q$29, 10, FALSE)+VLOOKUP(BE$4, Rates_previous!$G$6:$Q$29, 11, FALSE))</f>
        <v>27135.023122178402</v>
      </c>
      <c r="BF92" s="192">
        <f>$F92*(VLOOKUP(BF$4, Rates_previous!$G$6:$Q$29, 10, FALSE)+VLOOKUP(BF$4, Rates_previous!$G$6:$Q$29, 11, FALSE))</f>
        <v>26424.1093064784</v>
      </c>
      <c r="BG92" s="192">
        <f>$F92*(VLOOKUP(BG$4, Rates_previous!$G$6:$Q$29, 10, FALSE)+VLOOKUP(BG$4, Rates_previous!$G$6:$Q$29, 11, FALSE))</f>
        <v>23723.229024792003</v>
      </c>
      <c r="BH92" s="314">
        <f>IF($D92=0,IF(C92=0, MAX(BJ92 - (VLOOKUP($A92,TOCA_previous!$A$2:$AI$137,MATCH("RHWM 2020",TOCA_previous!$A$2:$AI$2,0),FALSE)*$F$2*TOCA_previous!C89),0),0), 0)</f>
        <v>0</v>
      </c>
      <c r="BI92" s="204">
        <f>MIN(VLOOKUP($A92,TOCA_previous!$A$2:$AI$137,MATCH("TRL - NLSL - Existing Resource "&amp;$F$1,TOCA_previous!$A$2:$AI$2,0),FALSE)*$F$2,(VLOOKUP($A92,TOCA_previous!$A$2:$AI$137,MATCH("RHWM 2020",TOCA_previous!$A$2:$AI$2,0),FALSE)*$F$2))</f>
        <v>313167.16800000001</v>
      </c>
      <c r="BJ92" s="418">
        <f>SUM(L92:AI92)+(F92*RT1SC!$C$3*$F$2)</f>
        <v>313168.99687096319</v>
      </c>
      <c r="BK92" s="417">
        <f>VLOOKUP($A92,TOCA_previous!$A$2:$AI$137,MATCH("Above RHWM Not Served with LS "&amp;$F$1,TOCA_previous!$A$2:$AI$2,0),FALSE)*$F$2</f>
        <v>0</v>
      </c>
      <c r="BL92" s="418">
        <f t="shared" si="27"/>
        <v>1.8288709631888196</v>
      </c>
      <c r="BM92" s="417">
        <f>(VLOOKUP($A92,TOCA_previous!$A$2:$AI$137,MATCH("RHWM 2020",TOCA_previous!$A$2:$AI$2,0),FALSE)*$F$2) - $BI92</f>
        <v>755.42399999999907</v>
      </c>
      <c r="BN92" s="418">
        <f t="shared" si="28"/>
        <v>-1.8288709631888196</v>
      </c>
      <c r="BO92" s="417">
        <f t="shared" si="29"/>
        <v>0</v>
      </c>
      <c r="BP92" s="418">
        <f t="shared" si="30"/>
        <v>0</v>
      </c>
      <c r="BQ92" s="417">
        <f t="shared" si="21"/>
        <v>-1.8288709631888196</v>
      </c>
      <c r="BR92" s="120">
        <f>VLOOKUP($A92,TOCA_current!$A$2:$AI$137,MATCH(BR$4,TOCA_current!$A$2:$AI$2,0),FALSE)</f>
        <v>5.0876000000000003E-3</v>
      </c>
      <c r="BS92" s="120">
        <f>VLOOKUP($A92,TOCA_current!$A$2:$AI$137,MATCH(BS$4,TOCA_current!$A$2:$AI$2,0),FALSE)</f>
        <v>5.0876000000000003E-3</v>
      </c>
      <c r="BT92" s="201">
        <f t="shared" si="31"/>
        <v>0</v>
      </c>
      <c r="BU92" s="120">
        <f>VLOOKUP($A92,TOCA_current!A88:BG223,MATCH(BU$4,TOCA_current!$A$2:$BG$2,0),FALSE)</f>
        <v>7.2941030578898239E-2</v>
      </c>
      <c r="BV92" s="120">
        <f t="shared" si="22"/>
        <v>7.2941030578898239E-2</v>
      </c>
      <c r="BW92" s="120">
        <f t="shared" si="23"/>
        <v>5.0876000000000003E-3</v>
      </c>
      <c r="BX92" s="191">
        <f>VLOOKUP($A92,IRD!$A$4:$G$139, 7, FALSE)</f>
        <v>0</v>
      </c>
      <c r="BY92" s="192">
        <f t="array" ref="BY92">IF($BT92=0, INDEX(LS_current!$D$4:$AY$138, MATCH('Staging Table'!$A92, LS_current!$B$4:$B$138, 0), MATCH(BY$4&amp;BY$5, LS_current!$D$2:$AY$2&amp;LS_current!$D$3:$AY$3, 0)),SUM(VLOOKUP($A92, LS_current!$B$4:$AY$138, LS_current!D$148, FALSE), VLOOKUP($A92, LS_current!$B$4:$AY$138,LS_current!AB$148, FALSE))/2)</f>
        <v>0</v>
      </c>
      <c r="BZ92" s="192">
        <f t="array" ref="BZ92">IF($BT92=0, INDEX(LS_current!$D$4:$AY$138, MATCH('Staging Table'!$A92, LS_current!$B$4:$B$138, 0), MATCH(BZ$4&amp;BZ$5, LS_current!$D$2:$AY$2&amp;LS_current!$D$3:$AY$3, 0)),SUM(VLOOKUP($A92, LS_current!$B$4:$AY$138, LS_current!E$148, FALSE), VLOOKUP($A92, LS_current!$B$4:$AY$138,LS_current!AC$148, FALSE))/2)</f>
        <v>0</v>
      </c>
      <c r="CA92" s="192">
        <f t="array" ref="CA92">IF($BT92=0, INDEX(LS_current!$D$4:$AY$138, MATCH('Staging Table'!$A92, LS_current!$B$4:$B$138, 0), MATCH(CA$4&amp;CA$5, LS_current!$D$2:$AY$2&amp;LS_current!$D$3:$AY$3, 0)),SUM(VLOOKUP($A92, LS_current!$B$4:$AY$138, LS_current!F$148, FALSE), VLOOKUP($A92, LS_current!$B$4:$AY$138,LS_current!AD$148, FALSE))/2)</f>
        <v>0</v>
      </c>
      <c r="CB92" s="192">
        <f t="array" ref="CB92">IF($BT92=0, INDEX(LS_current!$D$4:$AY$138, MATCH('Staging Table'!$A92, LS_current!$B$4:$B$138, 0), MATCH(CB$4&amp;CB$5, LS_current!$D$2:$AY$2&amp;LS_current!$D$3:$AY$3, 0)),SUM(VLOOKUP($A92, LS_current!$B$4:$AY$138, LS_current!G$148, FALSE), VLOOKUP($A92, LS_current!$B$4:$AY$138,LS_current!AE$148, FALSE))/2)</f>
        <v>0</v>
      </c>
      <c r="CC92" s="192">
        <f t="array" ref="CC92">IF($BT92=0, INDEX(LS_current!$D$4:$AY$138, MATCH('Staging Table'!$A92, LS_current!$B$4:$B$138, 0), MATCH(CC$4&amp;CC$5, LS_current!$D$2:$AY$2&amp;LS_current!$D$3:$AY$3, 0)),SUM(VLOOKUP($A92, LS_current!$B$4:$AY$138, LS_current!H$148, FALSE), VLOOKUP($A92, LS_current!$B$4:$AY$138,LS_current!AF$148, FALSE))/2)</f>
        <v>0</v>
      </c>
      <c r="CD92" s="192">
        <f t="array" ref="CD92">IF($BT92=0, INDEX(LS_current!$D$4:$AY$138, MATCH('Staging Table'!$A92, LS_current!$B$4:$B$138, 0), MATCH(CD$4&amp;CD$5, LS_current!$D$2:$AY$2&amp;LS_current!$D$3:$AY$3, 0)),SUM(VLOOKUP($A92, LS_current!$B$4:$AY$138, LS_current!I$148, FALSE), VLOOKUP($A92, LS_current!$B$4:$AY$138,LS_current!AG$148, FALSE))/2)</f>
        <v>0</v>
      </c>
      <c r="CE92" s="192">
        <f t="array" ref="CE92">IF($BT92=0, INDEX(LS_current!$D$4:$AY$138, MATCH('Staging Table'!$A92, LS_current!$B$4:$B$138, 0), MATCH(CE$4&amp;CE$5, LS_current!$D$2:$AY$2&amp;LS_current!$D$3:$AY$3, 0)),SUM(VLOOKUP($A92, LS_current!$B$4:$AY$138, LS_current!J$148, FALSE), VLOOKUP($A92, LS_current!$B$4:$AY$138,LS_current!AH$148, FALSE))/2)</f>
        <v>0</v>
      </c>
      <c r="CF92" s="192">
        <f t="array" ref="CF92">IF($BT92=0, INDEX(LS_current!$D$4:$AY$138, MATCH('Staging Table'!$A92, LS_current!$B$4:$B$138, 0), MATCH(CF$4&amp;CF$5, LS_current!$D$2:$AY$2&amp;LS_current!$D$3:$AY$3, 0)),SUM(VLOOKUP($A92, LS_current!$B$4:$AY$138, LS_current!K$148, FALSE), VLOOKUP($A92, LS_current!$B$4:$AY$138,LS_current!AI$148, FALSE))/2)</f>
        <v>0</v>
      </c>
      <c r="CG92" s="192">
        <f t="array" ref="CG92">IF($BT92=0, INDEX(LS_current!$D$4:$AY$138, MATCH('Staging Table'!$A92, LS_current!$B$4:$B$138, 0), MATCH(CG$4&amp;CG$5, LS_current!$D$2:$AY$2&amp;LS_current!$D$3:$AY$3, 0)),SUM(VLOOKUP($A92, LS_current!$B$4:$AY$138, LS_current!L$148, FALSE), VLOOKUP($A92, LS_current!$B$4:$AY$138,LS_current!AJ$148, FALSE))/2)</f>
        <v>0</v>
      </c>
      <c r="CH92" s="192">
        <f t="array" ref="CH92">IF($BT92=0, INDEX(LS_current!$D$4:$AY$138, MATCH('Staging Table'!$A92, LS_current!$B$4:$B$138, 0), MATCH(CH$4&amp;CH$5, LS_current!$D$2:$AY$2&amp;LS_current!$D$3:$AY$3, 0)),SUM(VLOOKUP($A92, LS_current!$B$4:$AY$138, LS_current!M$148, FALSE), VLOOKUP($A92, LS_current!$B$4:$AY$138,LS_current!AK$148, FALSE))/2)</f>
        <v>0</v>
      </c>
      <c r="CI92" s="192">
        <f t="array" ref="CI92">IF($BT92=0, INDEX(LS_current!$D$4:$AY$138, MATCH('Staging Table'!$A92, LS_current!$B$4:$B$138, 0), MATCH(CI$4&amp;CI$5, LS_current!$D$2:$AY$2&amp;LS_current!$D$3:$AY$3, 0)),SUM(VLOOKUP($A92, LS_current!$B$4:$AY$138, LS_current!N$148, FALSE), VLOOKUP($A92, LS_current!$B$4:$AY$138,LS_current!AL$148, FALSE))/2)</f>
        <v>0</v>
      </c>
      <c r="CJ92" s="192">
        <f t="array" ref="CJ92">IF($BT92=0, INDEX(LS_current!$D$4:$AY$138, MATCH('Staging Table'!$A92, LS_current!$B$4:$B$138, 0), MATCH(CJ$4&amp;CJ$5, LS_current!$D$2:$AY$2&amp;LS_current!$D$3:$AY$3, 0)),SUM(VLOOKUP($A92, LS_current!$B$4:$AY$138, LS_current!O$148, FALSE), VLOOKUP($A92, LS_current!$B$4:$AY$138,LS_current!AM$148, FALSE))/2)</f>
        <v>0</v>
      </c>
      <c r="CK92" s="192">
        <f t="array" ref="CK92">IF($BT92=0, INDEX(LS_current!$D$4:$AY$138, MATCH('Staging Table'!$A92, LS_current!$B$4:$B$138, 0), MATCH(CK$4&amp;CK$5, LS_current!$D$2:$AY$2&amp;LS_current!$D$3:$AY$3, 0)),SUM(VLOOKUP($A92, LS_current!$B$4:$AY$138, LS_current!P$148, FALSE), VLOOKUP($A92, LS_current!$B$4:$AY$138,LS_current!AN$148, FALSE))/2)</f>
        <v>0</v>
      </c>
      <c r="CL92" s="192">
        <f t="array" ref="CL92">IF($BT92=0, INDEX(LS_current!$D$4:$AY$138, MATCH('Staging Table'!$A92, LS_current!$B$4:$B$138, 0), MATCH(CL$4&amp;CL$5, LS_current!$D$2:$AY$2&amp;LS_current!$D$3:$AY$3, 0)),SUM(VLOOKUP($A92, LS_current!$B$4:$AY$138, LS_current!Q$148, FALSE), VLOOKUP($A92, LS_current!$B$4:$AY$138,LS_current!AO$148, FALSE))/2)</f>
        <v>0</v>
      </c>
      <c r="CM92" s="192">
        <f t="array" ref="CM92">IF($BT92=0, INDEX(LS_current!$D$4:$AY$138, MATCH('Staging Table'!$A92, LS_current!$B$4:$B$138, 0), MATCH(CM$4&amp;CM$5, LS_current!$D$2:$AY$2&amp;LS_current!$D$3:$AY$3, 0)),SUM(VLOOKUP($A92, LS_current!$B$4:$AY$138, LS_current!R$148, FALSE), VLOOKUP($A92, LS_current!$B$4:$AY$138,LS_current!AP$148, FALSE))/2)</f>
        <v>0</v>
      </c>
      <c r="CN92" s="192">
        <f t="array" ref="CN92">IF($BT92=0, INDEX(LS_current!$D$4:$AY$138, MATCH('Staging Table'!$A92, LS_current!$B$4:$B$138, 0), MATCH(CN$4&amp;CN$5, LS_current!$D$2:$AY$2&amp;LS_current!$D$3:$AY$3, 0)),SUM(VLOOKUP($A92, LS_current!$B$4:$AY$138, LS_current!S$148, FALSE), VLOOKUP($A92, LS_current!$B$4:$AY$138,LS_current!AQ$148, FALSE))/2)</f>
        <v>0</v>
      </c>
      <c r="CO92" s="192">
        <f t="array" ref="CO92">IF($BT92=0, INDEX(LS_current!$D$4:$AY$138, MATCH('Staging Table'!$A92, LS_current!$B$4:$B$138, 0), MATCH(CO$4&amp;CO$5, LS_current!$D$2:$AY$2&amp;LS_current!$D$3:$AY$3, 0)),SUM(VLOOKUP($A92, LS_current!$B$4:$AY$138, LS_current!T$148, FALSE), VLOOKUP($A92, LS_current!$B$4:$AY$138,LS_current!AR$148, FALSE))/2)</f>
        <v>0</v>
      </c>
      <c r="CP92" s="192">
        <f t="array" ref="CP92">IF($BT92=0, INDEX(LS_current!$D$4:$AY$138, MATCH('Staging Table'!$A92, LS_current!$B$4:$B$138, 0), MATCH(CP$4&amp;CP$5, LS_current!$D$2:$AY$2&amp;LS_current!$D$3:$AY$3, 0)),SUM(VLOOKUP($A92, LS_current!$B$4:$AY$138, LS_current!U$148, FALSE), VLOOKUP($A92, LS_current!$B$4:$AY$138,LS_current!AS$148, FALSE))/2)</f>
        <v>0</v>
      </c>
      <c r="CQ92" s="192">
        <f t="array" ref="CQ92">IF($BT92=0, INDEX(LS_current!$D$4:$AY$138, MATCH('Staging Table'!$A92, LS_current!$B$4:$B$138, 0), MATCH(CQ$4&amp;CQ$5, LS_current!$D$2:$AY$2&amp;LS_current!$D$3:$AY$3, 0)),SUM(VLOOKUP($A92, LS_current!$B$4:$AY$138, LS_current!V$148, FALSE), VLOOKUP($A92, LS_current!$B$4:$AY$138,LS_current!AT$148, FALSE))/2)</f>
        <v>0</v>
      </c>
      <c r="CR92" s="192">
        <f t="array" ref="CR92">IF($BT92=0, INDEX(LS_current!$D$4:$AY$138, MATCH('Staging Table'!$A92, LS_current!$B$4:$B$138, 0), MATCH(CR$4&amp;CR$5, LS_current!$D$2:$AY$2&amp;LS_current!$D$3:$AY$3, 0)),SUM(VLOOKUP($A92, LS_current!$B$4:$AY$138, LS_current!W$148, FALSE), VLOOKUP($A92, LS_current!$B$4:$AY$138,LS_current!AU$148, FALSE))/2)</f>
        <v>0</v>
      </c>
      <c r="CS92" s="192">
        <f t="array" ref="CS92">IF($BT92=0, INDEX(LS_current!$D$4:$AY$138, MATCH('Staging Table'!$A92, LS_current!$B$4:$B$138, 0), MATCH(CS$4&amp;CS$5, LS_current!$D$2:$AY$2&amp;LS_current!$D$3:$AY$3, 0)),SUM(VLOOKUP($A92, LS_current!$B$4:$AY$138, LS_current!X$148, FALSE), VLOOKUP($A92, LS_current!$B$4:$AY$138,LS_current!AV$148, FALSE))/2)</f>
        <v>0</v>
      </c>
      <c r="CT92" s="192">
        <f t="array" ref="CT92">IF($BT92=0, INDEX(LS_current!$D$4:$AY$138, MATCH('Staging Table'!$A92, LS_current!$B$4:$B$138, 0), MATCH(CT$4&amp;CT$5, LS_current!$D$2:$AY$2&amp;LS_current!$D$3:$AY$3, 0)),SUM(VLOOKUP($A92, LS_current!$B$4:$AY$138, LS_current!Y$148, FALSE), VLOOKUP($A92, LS_current!$B$4:$AY$138,LS_current!AW$148, FALSE))/2)</f>
        <v>0</v>
      </c>
      <c r="CU92" s="192">
        <f t="array" ref="CU92">IF($BT92=0, INDEX(LS_current!$D$4:$AY$138, MATCH('Staging Table'!$A92, LS_current!$B$4:$B$138, 0), MATCH(CU$4&amp;CU$5, LS_current!$D$2:$AY$2&amp;LS_current!$D$3:$AY$3, 0)),SUM(VLOOKUP($A92, LS_current!$B$4:$AY$138, LS_current!Z$148, FALSE), VLOOKUP($A92, LS_current!$B$4:$AY$138,LS_current!AX$148, FALSE))/2)</f>
        <v>0</v>
      </c>
      <c r="CV92" s="192">
        <f t="array" ref="CV92">IF($BT92=0, INDEX(LS_current!$D$4:$AY$138, MATCH('Staging Table'!$A92, LS_current!$B$4:$B$138, 0), MATCH(CV$4&amp;CV$5, LS_current!$D$2:$AY$2&amp;LS_current!$D$3:$AY$3, 0)),SUM(VLOOKUP($A92, LS_current!$B$4:$AY$138, LS_current!AA$148, FALSE), VLOOKUP($A92, LS_current!$B$4:$AY$138,LS_current!AY$148, FALSE))/2)</f>
        <v>0</v>
      </c>
      <c r="CW92" s="194">
        <f t="array" ref="CW92">INDEX(Demand_current!$D$4:$AY$138, MATCH($A92, Demand_current!$B$4:$B$138, 0), MATCH(CW$4&amp;CW$5,Demand_current!$D$2:$AY$2&amp;Demand_current!$D$3:$AY$3, 0))/1000</f>
        <v>0</v>
      </c>
      <c r="CX92" s="194">
        <f t="array" ref="CX92">INDEX(Demand_current!$D$4:$AY$138, MATCH($A92, Demand_current!$B$4:$B$138, 0), MATCH(CX$4&amp;CX$5,Demand_current!$D$2:$AY$2&amp;Demand_current!$D$3:$AY$3, 0))/1000</f>
        <v>0</v>
      </c>
      <c r="CY92" s="194">
        <f t="array" ref="CY92">INDEX(Demand_current!$D$4:$AY$138, MATCH($A92, Demand_current!$B$4:$B$138, 0), MATCH(CY$4&amp;CY$5,Demand_current!$D$2:$AY$2&amp;Demand_current!$D$3:$AY$3, 0))/1000</f>
        <v>0</v>
      </c>
      <c r="CZ92" s="194">
        <f t="array" ref="CZ92">INDEX(Demand_current!$D$4:$AY$138, MATCH($A92, Demand_current!$B$4:$B$138, 0), MATCH(CZ$4&amp;CZ$5,Demand_current!$D$2:$AY$2&amp;Demand_current!$D$3:$AY$3, 0))/1000</f>
        <v>0</v>
      </c>
      <c r="DA92" s="194">
        <f t="array" ref="DA92">INDEX(Demand_current!$D$4:$AY$138, MATCH($A92, Demand_current!$B$4:$B$138, 0), MATCH(DA$4&amp;DA$5,Demand_current!$D$2:$AY$2&amp;Demand_current!$D$3:$AY$3, 0))/1000</f>
        <v>0</v>
      </c>
      <c r="DB92" s="194">
        <f t="array" ref="DB92">INDEX(Demand_current!$D$4:$AY$138, MATCH($A92, Demand_current!$B$4:$B$138, 0), MATCH(DB$4&amp;DB$5,Demand_current!$D$2:$AY$2&amp;Demand_current!$D$3:$AY$3, 0))/1000</f>
        <v>0</v>
      </c>
      <c r="DC92" s="194">
        <f t="array" ref="DC92">INDEX(Demand_current!$D$4:$AY$138, MATCH($A92, Demand_current!$B$4:$B$138, 0), MATCH(DC$4&amp;DC$5,Demand_current!$D$2:$AY$2&amp;Demand_current!$D$3:$AY$3, 0))/1000</f>
        <v>0</v>
      </c>
      <c r="DD92" s="194">
        <f t="array" ref="DD92">INDEX(Demand_current!$D$4:$AY$138, MATCH($A92, Demand_current!$B$4:$B$138, 0), MATCH(DD$4&amp;DD$5,Demand_current!$D$2:$AY$2&amp;Demand_current!$D$3:$AY$3, 0))/1000</f>
        <v>0</v>
      </c>
      <c r="DE92" s="194">
        <f t="array" ref="DE92">INDEX(Demand_current!$D$4:$AY$138, MATCH($A92, Demand_current!$B$4:$B$138, 0), MATCH(DE$4&amp;DE$5,Demand_current!$D$2:$AY$2&amp;Demand_current!$D$3:$AY$3, 0))/1000</f>
        <v>0</v>
      </c>
      <c r="DF92" s="194">
        <f t="array" ref="DF92">INDEX(Demand_current!$D$4:$AY$138, MATCH($A92, Demand_current!$B$4:$B$138, 0), MATCH(DF$4&amp;DF$5,Demand_current!$D$2:$AY$2&amp;Demand_current!$D$3:$AY$3, 0))/1000</f>
        <v>0</v>
      </c>
      <c r="DG92" s="194">
        <f t="array" ref="DG92">INDEX(Demand_current!$D$4:$AY$138, MATCH($A92, Demand_current!$B$4:$B$138, 0), MATCH(DG$4&amp;DG$5,Demand_current!$D$2:$AY$2&amp;Demand_current!$D$3:$AY$3, 0))/1000</f>
        <v>0</v>
      </c>
      <c r="DH92" s="194">
        <f t="array" ref="DH92">INDEX(Demand_current!$D$4:$AY$138, MATCH($A92, Demand_current!$B$4:$B$138, 0), MATCH(DH$4&amp;DH$5,Demand_current!$D$2:$AY$2&amp;Demand_current!$D$3:$AY$3, 0))/1000</f>
        <v>0</v>
      </c>
      <c r="DI92" s="192">
        <f>$BS92*(VLOOKUP(DI$4, Rates_current!$G$6:$Q$29, 10, FALSE)+VLOOKUP(DI$4, Rates_current!$G$6:$Q$29, 11, FALSE))</f>
        <v>23168.545883073839</v>
      </c>
      <c r="DJ92" s="192">
        <f>$BS92*(VLOOKUP(DJ$4, Rates_current!$G$6:$Q$29, 10, FALSE)+VLOOKUP(DJ$4, Rates_current!$G$6:$Q$29, 11, FALSE))</f>
        <v>29332.219932364445</v>
      </c>
      <c r="DK92" s="192">
        <f>$BS92*(VLOOKUP(DK$4, Rates_current!$G$6:$Q$29, 10, FALSE)+VLOOKUP(DK$4, Rates_current!$G$6:$Q$29, 11, FALSE))</f>
        <v>28710.38322856063</v>
      </c>
      <c r="DL92" s="192">
        <f>$BS92*(VLOOKUP(DL$4, Rates_current!$G$6:$Q$29, 10, FALSE)+VLOOKUP(DL$4, Rates_current!$G$6:$Q$29, 11, FALSE))</f>
        <v>23713.555642283412</v>
      </c>
      <c r="DM92" s="192">
        <f>$BS92*(VLOOKUP(DM$4, Rates_current!$G$6:$Q$29, 10, FALSE)+VLOOKUP(DM$4, Rates_current!$G$6:$Q$29, 11, FALSE))</f>
        <v>20553.058407258595</v>
      </c>
      <c r="DN92" s="192">
        <f>$BS92*(VLOOKUP(DN$4, Rates_current!$G$6:$Q$29, 10, FALSE)+VLOOKUP(DN$4, Rates_current!$G$6:$Q$29, 11, FALSE))</f>
        <v>24536.201269129939</v>
      </c>
      <c r="DO92" s="192">
        <f>$BS92*(VLOOKUP(DO$4, Rates_current!$G$6:$Q$29, 10, FALSE)+VLOOKUP(DO$4, Rates_current!$G$6:$Q$29, 11, FALSE))</f>
        <v>19049.093808009355</v>
      </c>
      <c r="DP92" s="192">
        <f>$BS92*(VLOOKUP(DP$4, Rates_current!$G$6:$Q$29, 10, FALSE)+VLOOKUP(DP$4, Rates_current!$G$6:$Q$29, 11, FALSE))</f>
        <v>26392.659652975883</v>
      </c>
      <c r="DQ92" s="192">
        <f>$BS92*(VLOOKUP(DQ$4, Rates_current!$G$6:$Q$29, 10, FALSE)+VLOOKUP(DQ$4, Rates_current!$G$6:$Q$29, 11, FALSE))</f>
        <v>28201.109479097882</v>
      </c>
      <c r="DR92" s="192">
        <f>$BS92*(VLOOKUP(DR$4, Rates_current!$G$6:$Q$29, 10, FALSE)+VLOOKUP(DR$4, Rates_current!$G$6:$Q$29, 11, FALSE))</f>
        <v>26775.676459080245</v>
      </c>
      <c r="DS92" s="192">
        <f>$BS92*(VLOOKUP(DS$4, Rates_current!$G$6:$Q$29, 10, FALSE)+VLOOKUP(DS$4, Rates_current!$G$6:$Q$29, 11, FALSE))</f>
        <v>25876.625661737082</v>
      </c>
      <c r="DT92" s="192">
        <f>$BS92*(VLOOKUP(DT$4, Rates_current!$G$6:$Q$29, 10, FALSE)+VLOOKUP(DT$4, Rates_current!$G$6:$Q$29, 11, FALSE))</f>
        <v>23912.699642767126</v>
      </c>
      <c r="DU92" s="418">
        <f>IF(D92=0,IF(C92=0,MAX(0,DW92 - (VLOOKUP($A92,TOCA_current!$A$2:$AI$137,MATCH("RHWM 2022",TOCA_current!$A$2:$AI$2,0),FALSE)*$BS$2)), 0),0)</f>
        <v>0</v>
      </c>
      <c r="DV92" s="419">
        <f>MIN(VLOOKUP($A92,TOCA_current!$A$2:$AI$137,MATCH("TRL - NLSL - Existing Resource "&amp;$BS$1,TOCA_current!$A$2:$AI$2,0),FALSE)*$BS$2, VLOOKUP($A92,TOCA_current!$A$2:$AI$137,MATCH("RHWM 2022",TOCA_current!$A$2:$AI$2,0),FALSE)*$BS$2)</f>
        <v>300222.71999999997</v>
      </c>
      <c r="DW92" s="419">
        <f>SUM(BY92:CV92)+(BS92*RT1SC!$C$4*$BS$2)</f>
        <v>300221.84442398406</v>
      </c>
      <c r="DX92" s="419">
        <f>VLOOKUP($A92,TOCA_current!$A$2:$AI$137,MATCH("Above RHWM Not Served with LS "&amp;$BS$1,TOCA_current!$A$2:$AI$2,0),FALSE)*$BS$2</f>
        <v>36678.120000000003</v>
      </c>
      <c r="DY92" s="419">
        <f t="shared" si="32"/>
        <v>-0.87557601591106504</v>
      </c>
      <c r="DZ92" s="419">
        <f>(VLOOKUP($A92,TOCA_current!$A$2:$AI$137,MATCH("RHWM 2022",TOCA_current!$A$2:$AI$2,0),FALSE)*$BS$2) - $DV92</f>
        <v>0</v>
      </c>
      <c r="EA92" s="419">
        <f t="shared" si="33"/>
        <v>0</v>
      </c>
      <c r="EB92" s="419">
        <f t="shared" si="34"/>
        <v>0</v>
      </c>
      <c r="EC92" s="419">
        <f t="shared" si="35"/>
        <v>0</v>
      </c>
      <c r="ED92" s="419">
        <f t="shared" si="36"/>
        <v>0</v>
      </c>
    </row>
    <row r="93" spans="1:134">
      <c r="A93" s="135">
        <v>10279</v>
      </c>
      <c r="B93" s="136" t="s">
        <v>94</v>
      </c>
      <c r="C93" s="244">
        <f>VLOOKUP(A93, TOCA_current!$A$3:$D$137, 4, FALSE)</f>
        <v>0</v>
      </c>
      <c r="D93" s="203">
        <v>0</v>
      </c>
      <c r="E93" s="119">
        <f>VLOOKUP($A93,TOCA_previous!$A$2:$AI$137,MATCH(E$4,TOCA_previous!$A$2:$AI$2,0),FALSE)</f>
        <v>9.1710000000000003E-3</v>
      </c>
      <c r="F93" s="120">
        <f>VLOOKUP($A93,TOCA_previous!$A$2:$AI$137,MATCH(F$4,TOCA_previous!$A$2:$AI$2,0),FALSE)</f>
        <v>9.1710000000000003E-3</v>
      </c>
      <c r="G93" s="120">
        <f t="shared" si="24"/>
        <v>0</v>
      </c>
      <c r="H93" s="120">
        <f>VLOOKUP($A93,TOCA_previous!$A$2:$AI$137,MATCH(H$4,TOCA_previous!$A$2:$AI$2,0),FALSE)</f>
        <v>0</v>
      </c>
      <c r="I93" s="120">
        <f t="shared" si="25"/>
        <v>0</v>
      </c>
      <c r="J93" s="120">
        <f t="shared" si="26"/>
        <v>0</v>
      </c>
      <c r="K93" s="191">
        <f>VLOOKUP(A93, IRD!$A$5:$C$139, 3, FALSE)</f>
        <v>0</v>
      </c>
      <c r="L93" s="192">
        <f t="array" ref="L93">IF($G93=0, INDEX(LS_previous!$D$4:$AY$138, MATCH('Staging Table'!$A93, LS_previous!$B$4:$B$138, 0), MATCH(L$4&amp;L$5, LS_previous!$D$2:$AY$2&amp;LS_previous!$D$3:$AY$3, 0)),SUM(VLOOKUP($A93, LS_previous!$B$4:$AY$138, LS_previous!D$149, FALSE), VLOOKUP('Staging Table'!$A93, LS_previous!$B$4:$AY$138,LS_previous!AB$149, FALSE))/2)</f>
        <v>-9061.8196733479999</v>
      </c>
      <c r="M93" s="192">
        <f t="array" ref="M93">IF($G93=0, INDEX(LS_previous!$D$4:$AY$138, MATCH('Staging Table'!$A93, LS_previous!$B$4:$B$138, 0), MATCH(M$4&amp;M$5, LS_previous!$D$2:$AY$2&amp;LS_previous!$D$3:$AY$3, 0)),SUM(VLOOKUP($A93, LS_previous!$B$4:$AY$138, LS_previous!E$149, FALSE), VLOOKUP('Staging Table'!$A93, LS_previous!$B$4:$AY$138,LS_previous!AC$149, FALSE))/2)</f>
        <v>-384.79633116799232</v>
      </c>
      <c r="N93" s="192">
        <f t="array" ref="N93">IF($G93=0, INDEX(LS_previous!$D$4:$AY$138, MATCH('Staging Table'!$A93, LS_previous!$B$4:$B$138, 0), MATCH(N$4&amp;N$5, LS_previous!$D$2:$AY$2&amp;LS_previous!$D$3:$AY$3, 0)),SUM(VLOOKUP($A93, LS_previous!$B$4:$AY$138, LS_previous!F$149, FALSE), VLOOKUP('Staging Table'!$A93, LS_previous!$B$4:$AY$138,LS_previous!AD$149, FALSE))/2)</f>
        <v>-12704.991599287998</v>
      </c>
      <c r="O93" s="192">
        <f t="array" ref="O93">IF($G93=0, INDEX(LS_previous!$D$4:$AY$138, MATCH('Staging Table'!$A93, LS_previous!$B$4:$B$138, 0), MATCH(O$4&amp;O$5, LS_previous!$D$2:$AY$2&amp;LS_previous!$D$3:$AY$3, 0)),SUM(VLOOKUP($A93, LS_previous!$B$4:$AY$138, LS_previous!G$149, FALSE), VLOOKUP('Staging Table'!$A93, LS_previous!$B$4:$AY$138,LS_previous!AE$149, FALSE))/2)</f>
        <v>-4929.9206355809947</v>
      </c>
      <c r="P93" s="192">
        <f t="array" ref="P93">IF($G93=0, INDEX(LS_previous!$D$4:$AY$138, MATCH('Staging Table'!$A93, LS_previous!$B$4:$B$138, 0), MATCH(P$4&amp;P$5, LS_previous!$D$2:$AY$2&amp;LS_previous!$D$3:$AY$3, 0)),SUM(VLOOKUP($A93, LS_previous!$B$4:$AY$138, LS_previous!H$149, FALSE), VLOOKUP('Staging Table'!$A93, LS_previous!$B$4:$AY$138,LS_previous!AF$149, FALSE))/2)</f>
        <v>-6381.201138911998</v>
      </c>
      <c r="Q93" s="192">
        <f t="array" ref="Q93">IF($G93=0, INDEX(LS_previous!$D$4:$AY$138, MATCH('Staging Table'!$A93, LS_previous!$B$4:$B$138, 0), MATCH(Q$4&amp;Q$5, LS_previous!$D$2:$AY$2&amp;LS_previous!$D$3:$AY$3, 0)),SUM(VLOOKUP($A93, LS_previous!$B$4:$AY$138, LS_previous!I$149, FALSE), VLOOKUP('Staging Table'!$A93, LS_previous!$B$4:$AY$138,LS_previous!AG$149, FALSE))/2)</f>
        <v>-3128.8382586040025</v>
      </c>
      <c r="R93" s="192">
        <f t="array" ref="R93">IF($G93=0, INDEX(LS_previous!$D$4:$AY$138, MATCH('Staging Table'!$A93, LS_previous!$B$4:$B$138, 0), MATCH(R$4&amp;R$5, LS_previous!$D$2:$AY$2&amp;LS_previous!$D$3:$AY$3, 0)),SUM(VLOOKUP($A93, LS_previous!$B$4:$AY$138, LS_previous!J$149, FALSE), VLOOKUP('Staging Table'!$A93, LS_previous!$B$4:$AY$138,LS_previous!AH$149, FALSE))/2)</f>
        <v>-2589.6443429120009</v>
      </c>
      <c r="S93" s="192">
        <f t="array" ref="S93">IF($G93=0, INDEX(LS_previous!$D$4:$AY$138, MATCH('Staging Table'!$A93, LS_previous!$B$4:$B$138, 0), MATCH(S$4&amp;S$5, LS_previous!$D$2:$AY$2&amp;LS_previous!$D$3:$AY$3, 0)),SUM(VLOOKUP($A93, LS_previous!$B$4:$AY$138, LS_previous!K$149, FALSE), VLOOKUP('Staging Table'!$A93, LS_previous!$B$4:$AY$138,LS_previous!AI$149, FALSE))/2)</f>
        <v>4747.8075533959964</v>
      </c>
      <c r="T93" s="192">
        <f t="array" ref="T93">IF($G93=0, INDEX(LS_previous!$D$4:$AY$138, MATCH('Staging Table'!$A93, LS_previous!$B$4:$B$138, 0), MATCH(T$4&amp;T$5, LS_previous!$D$2:$AY$2&amp;LS_previous!$D$3:$AY$3, 0)),SUM(VLOOKUP($A93, LS_previous!$B$4:$AY$138, LS_previous!L$149, FALSE), VLOOKUP('Staging Table'!$A93, LS_previous!$B$4:$AY$138,LS_previous!AJ$149, FALSE))/2)</f>
        <v>-1845.209224203998</v>
      </c>
      <c r="U93" s="192">
        <f t="array" ref="U93">IF($G93=0, INDEX(LS_previous!$D$4:$AY$138, MATCH('Staging Table'!$A93, LS_previous!$B$4:$B$138, 0), MATCH(U$4&amp;U$5, LS_previous!$D$2:$AY$2&amp;LS_previous!$D$3:$AY$3, 0)),SUM(VLOOKUP($A93, LS_previous!$B$4:$AY$138, LS_previous!M$149, FALSE), VLOOKUP('Staging Table'!$A93, LS_previous!$B$4:$AY$138,LS_previous!AK$149, FALSE))/2)</f>
        <v>1076.3165514039956</v>
      </c>
      <c r="V93" s="192">
        <f t="array" ref="V93">IF($G93=0, INDEX(LS_previous!$D$4:$AY$138, MATCH('Staging Table'!$A93, LS_previous!$B$4:$B$138, 0), MATCH(V$4&amp;V$5, LS_previous!$D$2:$AY$2&amp;LS_previous!$D$3:$AY$3, 0)),SUM(VLOOKUP($A93, LS_previous!$B$4:$AY$138, LS_previous!N$149, FALSE), VLOOKUP('Staging Table'!$A93, LS_previous!$B$4:$AY$138,LS_previous!AL$149, FALSE))/2)</f>
        <v>-5191.0718865359995</v>
      </c>
      <c r="W93" s="192">
        <f t="array" ref="W93">IF($G93=0, INDEX(LS_previous!$D$4:$AY$138, MATCH('Staging Table'!$A93, LS_previous!$B$4:$B$138, 0), MATCH(W$4&amp;W$5, LS_previous!$D$2:$AY$2&amp;LS_previous!$D$3:$AY$3, 0)),SUM(VLOOKUP($A93, LS_previous!$B$4:$AY$138, LS_previous!O$149, FALSE), VLOOKUP('Staging Table'!$A93, LS_previous!$B$4:$AY$138,LS_previous!AM$149, FALSE))/2)</f>
        <v>-2303.4385316909975</v>
      </c>
      <c r="X93" s="192">
        <f t="array" ref="X93">IF($G93=0, INDEX(LS_previous!$D$4:$AY$138, MATCH('Staging Table'!$A93, LS_previous!$B$4:$B$138, 0), MATCH(X$4&amp;X$5, LS_previous!$D$2:$AY$2&amp;LS_previous!$D$3:$AY$3, 0)),SUM(VLOOKUP($A93, LS_previous!$B$4:$AY$138, LS_previous!P$149, FALSE), VLOOKUP('Staging Table'!$A93, LS_previous!$B$4:$AY$138,LS_previous!AN$149, FALSE))/2)</f>
        <v>-3004.8026872240043</v>
      </c>
      <c r="Y93" s="192">
        <f t="array" ref="Y93">IF($G93=0, INDEX(LS_previous!$D$4:$AY$138, MATCH('Staging Table'!$A93, LS_previous!$B$4:$B$138, 0), MATCH(Y$4&amp;Y$5, LS_previous!$D$2:$AY$2&amp;LS_previous!$D$3:$AY$3, 0)),SUM(VLOOKUP($A93, LS_previous!$B$4:$AY$138, LS_previous!Q$149, FALSE), VLOOKUP('Staging Table'!$A93, LS_previous!$B$4:$AY$138,LS_previous!AO$149, FALSE))/2)</f>
        <v>-1169.1127528559955</v>
      </c>
      <c r="Z93" s="192">
        <f t="array" ref="Z93">IF($G93=0, INDEX(LS_previous!$D$4:$AY$138, MATCH('Staging Table'!$A93, LS_previous!$B$4:$B$138, 0), MATCH(Z$4&amp;Z$5, LS_previous!$D$2:$AY$2&amp;LS_previous!$D$3:$AY$3, 0)),SUM(VLOOKUP($A93, LS_previous!$B$4:$AY$138, LS_previous!R$149, FALSE), VLOOKUP('Staging Table'!$A93, LS_previous!$B$4:$AY$138,LS_previous!AP$149, FALSE))/2)</f>
        <v>-13780.290794100001</v>
      </c>
      <c r="AA93" s="192">
        <f t="array" ref="AA93">IF($G93=0, INDEX(LS_previous!$D$4:$AY$138, MATCH('Staging Table'!$A93, LS_previous!$B$4:$B$138, 0), MATCH(AA$4&amp;AA$5, LS_previous!$D$2:$AY$2&amp;LS_previous!$D$3:$AY$3, 0)),SUM(VLOOKUP($A93, LS_previous!$B$4:$AY$138, LS_previous!S$149, FALSE), VLOOKUP('Staging Table'!$A93, LS_previous!$B$4:$AY$138,LS_previous!AQ$149, FALSE))/2)</f>
        <v>-2752.8064759160006</v>
      </c>
      <c r="AB93" s="192">
        <f t="array" ref="AB93">IF($G93=0, INDEX(LS_previous!$D$4:$AY$138, MATCH('Staging Table'!$A93, LS_previous!$B$4:$B$138, 0), MATCH(AB$4&amp;AB$5, LS_previous!$D$2:$AY$2&amp;LS_previous!$D$3:$AY$3, 0)),SUM(VLOOKUP($A93, LS_previous!$B$4:$AY$138, LS_previous!T$149, FALSE), VLOOKUP('Staging Table'!$A93, LS_previous!$B$4:$AY$138,LS_previous!AR$149, FALSE))/2)</f>
        <v>-20093.927205724001</v>
      </c>
      <c r="AC93" s="192">
        <f t="array" ref="AC93">IF($G93=0, INDEX(LS_previous!$D$4:$AY$138, MATCH('Staging Table'!$A93, LS_previous!$B$4:$B$138, 0), MATCH(AC$4&amp;AC$5, LS_previous!$D$2:$AY$2&amp;LS_previous!$D$3:$AY$3, 0)),SUM(VLOOKUP($A93, LS_previous!$B$4:$AY$138, LS_previous!U$149, FALSE), VLOOKUP('Staging Table'!$A93, LS_previous!$B$4:$AY$138,LS_previous!AS$149, FALSE))/2)</f>
        <v>-9555.7616588560013</v>
      </c>
      <c r="AD93" s="192">
        <f t="array" ref="AD93">IF($G93=0, INDEX(LS_previous!$D$4:$AY$138, MATCH('Staging Table'!$A93, LS_previous!$B$4:$B$138, 0), MATCH(AD$4&amp;AD$5, LS_previous!$D$2:$AY$2&amp;LS_previous!$D$3:$AY$3, 0)),SUM(VLOOKUP($A93, LS_previous!$B$4:$AY$138, LS_previous!V$149, FALSE), VLOOKUP('Staging Table'!$A93, LS_previous!$B$4:$AY$138,LS_previous!AT$149, FALSE))/2)</f>
        <v>-12727.698760724001</v>
      </c>
      <c r="AE93" s="192">
        <f t="array" ref="AE93">IF($G93=0, INDEX(LS_previous!$D$4:$AY$138, MATCH('Staging Table'!$A93, LS_previous!$B$4:$B$138, 0), MATCH(AE$4&amp;AE$5, LS_previous!$D$2:$AY$2&amp;LS_previous!$D$3:$AY$3, 0)),SUM(VLOOKUP($A93, LS_previous!$B$4:$AY$138, LS_previous!W$149, FALSE), VLOOKUP('Staging Table'!$A93, LS_previous!$B$4:$AY$138,LS_previous!AU$149, FALSE))/2)</f>
        <v>1102.867812208</v>
      </c>
      <c r="AF93" s="192">
        <f t="array" ref="AF93">IF($G93=0, INDEX(LS_previous!$D$4:$AY$138, MATCH('Staging Table'!$A93, LS_previous!$B$4:$B$138, 0), MATCH(AF$4&amp;AF$5, LS_previous!$D$2:$AY$2&amp;LS_previous!$D$3:$AY$3, 0)),SUM(VLOOKUP($A93, LS_previous!$B$4:$AY$138, LS_previous!X$149, FALSE), VLOOKUP('Staging Table'!$A93, LS_previous!$B$4:$AY$138,LS_previous!AV$149, FALSE))/2)</f>
        <v>-9231.1191252239987</v>
      </c>
      <c r="AG93" s="192">
        <f t="array" ref="AG93">IF($G93=0, INDEX(LS_previous!$D$4:$AY$138, MATCH('Staging Table'!$A93, LS_previous!$B$4:$B$138, 0), MATCH(AG$4&amp;AG$5, LS_previous!$D$2:$AY$2&amp;LS_previous!$D$3:$AY$3, 0)),SUM(VLOOKUP($A93, LS_previous!$B$4:$AY$138, LS_previous!Y$149, FALSE), VLOOKUP('Staging Table'!$A93, LS_previous!$B$4:$AY$138,LS_previous!AW$149, FALSE))/2)</f>
        <v>-1808.2772677920038</v>
      </c>
      <c r="AH93" s="192">
        <f t="array" ref="AH93">IF($G93=0, INDEX(LS_previous!$D$4:$AY$138, MATCH('Staging Table'!$A93, LS_previous!$B$4:$B$138, 0), MATCH(AH$4&amp;AH$5, LS_previous!$D$2:$AY$2&amp;LS_previous!$D$3:$AY$3, 0)),SUM(VLOOKUP($A93, LS_previous!$B$4:$AY$138, LS_previous!Z$149, FALSE), VLOOKUP('Staging Table'!$A93, LS_previous!$B$4:$AY$138,LS_previous!AX$149, FALSE))/2)</f>
        <v>-8190.359337599999</v>
      </c>
      <c r="AI93" s="192">
        <f t="array" ref="AI93">IF($G93=0, INDEX(LS_previous!$D$4:$AY$138, MATCH('Staging Table'!$A93, LS_previous!$B$4:$B$138, 0), MATCH(AI$4&amp;AI$5, LS_previous!$D$2:$AY$2&amp;LS_previous!$D$3:$AY$3, 0)),SUM(VLOOKUP($A93, LS_previous!$B$4:$AY$138, LS_previous!AA$149, FALSE), VLOOKUP('Staging Table'!$A93, LS_previous!$B$4:$AY$138,LS_previous!AY$149, FALSE))/2)</f>
        <v>-2722.4022534800006</v>
      </c>
      <c r="AJ93" s="314">
        <f t="array" ref="AJ93">INDEX(Demand_previous!$D$4:$AY$138, MATCH('Staging Table'!$A93, Demand_previous!$B$4:$B$138, 0), MATCH(AJ$4&amp;AJ$5,Demand_previous!$D$2:$AY$2&amp;Demand_previous!$D$3:$AY$3, 0))/1000</f>
        <v>0</v>
      </c>
      <c r="AK93" s="314">
        <f t="array" ref="AK93">INDEX(Demand_previous!$D$4:$AY$138, MATCH('Staging Table'!$A93, Demand_previous!$B$4:$B$138, 0), MATCH(AK$4&amp;AK$5,Demand_previous!$D$2:$AY$2&amp;Demand_previous!$D$3:$AY$3, 0))/1000</f>
        <v>0</v>
      </c>
      <c r="AL93" s="314">
        <f t="array" ref="AL93">INDEX(Demand_previous!$D$4:$AY$138, MATCH('Staging Table'!$A93, Demand_previous!$B$4:$B$138, 0), MATCH(AL$4&amp;AL$5,Demand_previous!$D$2:$AY$2&amp;Demand_previous!$D$3:$AY$3, 0))/1000</f>
        <v>0</v>
      </c>
      <c r="AM93" s="314">
        <f t="array" ref="AM93">INDEX(Demand_previous!$D$4:$AY$138, MATCH('Staging Table'!$A93, Demand_previous!$B$4:$B$138, 0), MATCH(AM$4&amp;AM$5,Demand_previous!$D$2:$AY$2&amp;Demand_previous!$D$3:$AY$3, 0))/1000</f>
        <v>0</v>
      </c>
      <c r="AN93" s="314">
        <f t="array" ref="AN93">INDEX(Demand_previous!$D$4:$AY$138, MATCH('Staging Table'!$A93, Demand_previous!$B$4:$B$138, 0), MATCH(AN$4&amp;AN$5,Demand_previous!$D$2:$AY$2&amp;Demand_previous!$D$3:$AY$3, 0))/1000</f>
        <v>0</v>
      </c>
      <c r="AO93" s="314">
        <f t="array" ref="AO93">INDEX(Demand_previous!$D$4:$AY$138, MATCH('Staging Table'!$A93, Demand_previous!$B$4:$B$138, 0), MATCH(AO$4&amp;AO$5,Demand_previous!$D$2:$AY$2&amp;Demand_previous!$D$3:$AY$3, 0))/1000</f>
        <v>0</v>
      </c>
      <c r="AP93" s="314">
        <f t="array" ref="AP93">INDEX(Demand_previous!$D$4:$AY$138, MATCH('Staging Table'!$A93, Demand_previous!$B$4:$B$138, 0), MATCH(AP$4&amp;AP$5,Demand_previous!$D$2:$AY$2&amp;Demand_previous!$D$3:$AY$3, 0))/1000</f>
        <v>0</v>
      </c>
      <c r="AQ93" s="314">
        <f t="array" ref="AQ93">INDEX(Demand_previous!$D$4:$AY$138, MATCH('Staging Table'!$A93, Demand_previous!$B$4:$B$138, 0), MATCH(AQ$4&amp;AQ$5,Demand_previous!$D$2:$AY$2&amp;Demand_previous!$D$3:$AY$3, 0))/1000</f>
        <v>0</v>
      </c>
      <c r="AR93" s="314">
        <f t="array" ref="AR93">INDEX(Demand_previous!$D$4:$AY$138, MATCH('Staging Table'!$A93, Demand_previous!$B$4:$B$138, 0), MATCH(AR$4&amp;AR$5,Demand_previous!$D$2:$AY$2&amp;Demand_previous!$D$3:$AY$3, 0))/1000</f>
        <v>0</v>
      </c>
      <c r="AS93" s="314">
        <f t="array" ref="AS93">INDEX(Demand_previous!$D$4:$AY$138, MATCH('Staging Table'!$A93, Demand_previous!$B$4:$B$138, 0), MATCH(AS$4&amp;AS$5,Demand_previous!$D$2:$AY$2&amp;Demand_previous!$D$3:$AY$3, 0))/1000</f>
        <v>0</v>
      </c>
      <c r="AT93" s="314">
        <f t="array" ref="AT93">INDEX(Demand_previous!$D$4:$AY$138, MATCH('Staging Table'!$A93, Demand_previous!$B$4:$B$138, 0), MATCH(AT$4&amp;AT$5,Demand_previous!$D$2:$AY$2&amp;Demand_previous!$D$3:$AY$3, 0))/1000</f>
        <v>0</v>
      </c>
      <c r="AU93" s="314">
        <f t="array" ref="AU93">INDEX(Demand_previous!$D$4:$AY$138, MATCH('Staging Table'!$A93, Demand_previous!$B$4:$B$138, 0), MATCH(AU$4&amp;AU$5,Demand_previous!$D$2:$AY$2&amp;Demand_previous!$D$3:$AY$3, 0))/1000</f>
        <v>0</v>
      </c>
      <c r="AV93" s="192">
        <f>$F93*(VLOOKUP(AV$4, Rates_previous!$G$6:$Q$29, 10, FALSE)+VLOOKUP(AV$4, Rates_previous!$G$6:$Q$29, 11, FALSE))</f>
        <v>42345.416004515995</v>
      </c>
      <c r="AW93" s="192">
        <f>$F93*(VLOOKUP(AW$4, Rates_previous!$G$6:$Q$29, 10, FALSE)+VLOOKUP(AW$4, Rates_previous!$G$6:$Q$29, 11, FALSE))</f>
        <v>53791.888234869002</v>
      </c>
      <c r="AX93" s="192">
        <f>$F93*(VLOOKUP(AX$4, Rates_previous!$G$6:$Q$29, 10, FALSE)+VLOOKUP(AX$4, Rates_previous!$G$6:$Q$29, 11, FALSE))</f>
        <v>53142.278397516005</v>
      </c>
      <c r="AY93" s="192">
        <f>$F93*(VLOOKUP(AY$4, Rates_previous!$G$6:$Q$29, 10, FALSE)+VLOOKUP(AY$4, Rates_previous!$G$6:$Q$29, 11, FALSE))</f>
        <v>44297.325789516006</v>
      </c>
      <c r="AZ93" s="192">
        <f>$F93*(VLOOKUP(AZ$4, Rates_previous!$G$6:$Q$29, 10, FALSE)+VLOOKUP(AZ$4, Rates_previous!$G$6:$Q$29, 11, FALSE))</f>
        <v>40128.781672799996</v>
      </c>
      <c r="BA93" s="192">
        <f>$F93*(VLOOKUP(BA$4, Rates_previous!$G$6:$Q$29, 10, FALSE)+VLOOKUP(BA$4, Rates_previous!$G$6:$Q$29, 11, FALSE))</f>
        <v>44635.953418227</v>
      </c>
      <c r="BB93" s="192">
        <f>$F93*(VLOOKUP(BB$4, Rates_previous!$G$6:$Q$29, 10, FALSE)+VLOOKUP(BB$4, Rates_previous!$G$6:$Q$29, 11, FALSE))</f>
        <v>36342.641440079999</v>
      </c>
      <c r="BC93" s="192">
        <f>$F93*(VLOOKUP(BC$4, Rates_previous!$G$6:$Q$29, 10, FALSE)+VLOOKUP(BC$4, Rates_previous!$G$6:$Q$29, 11, FALSE))</f>
        <v>49013.471270016009</v>
      </c>
      <c r="BD93" s="192">
        <f>$F93*(VLOOKUP(BD$4, Rates_previous!$G$6:$Q$29, 10, FALSE)+VLOOKUP(BD$4, Rates_previous!$G$6:$Q$29, 11, FALSE))</f>
        <v>62537.855864580008</v>
      </c>
      <c r="BE93" s="192">
        <f>$F93*(VLOOKUP(BE$4, Rates_previous!$G$6:$Q$29, 10, FALSE)+VLOOKUP(BE$4, Rates_previous!$G$6:$Q$29, 11, FALSE))</f>
        <v>49031.661948516004</v>
      </c>
      <c r="BF93" s="192">
        <f>$F93*(VLOOKUP(BF$4, Rates_previous!$G$6:$Q$29, 10, FALSE)+VLOOKUP(BF$4, Rates_previous!$G$6:$Q$29, 11, FALSE))</f>
        <v>47747.075393016006</v>
      </c>
      <c r="BG93" s="192">
        <f>$F93*(VLOOKUP(BG$4, Rates_previous!$G$6:$Q$29, 10, FALSE)+VLOOKUP(BG$4, Rates_previous!$G$6:$Q$29, 11, FALSE))</f>
        <v>42866.716591080003</v>
      </c>
      <c r="BH93" s="314">
        <f>IF($D93=0,IF(C93=0, MAX(BJ93 - (VLOOKUP($A93,TOCA_previous!$A$2:$AI$137,MATCH("RHWM 2020",TOCA_previous!$A$2:$AI$2,0),FALSE)*$F$2*TOCA_previous!C90),0),0), 0)</f>
        <v>0</v>
      </c>
      <c r="BI93" s="204">
        <f>MIN(VLOOKUP($A93,TOCA_previous!$A$2:$AI$137,MATCH("TRL - NLSL - Existing Resource "&amp;$F$1,TOCA_previous!$A$2:$AI$2,0),FALSE)*$F$2,(VLOOKUP($A93,TOCA_previous!$A$2:$AI$137,MATCH("RHWM 2020",TOCA_previous!$A$2:$AI$2,0),FALSE)*$F$2))</f>
        <v>565882.848</v>
      </c>
      <c r="BJ93" s="418">
        <f>SUM(L93:AI93)+(F93*RT1SC!$C$3*$F$2)</f>
        <v>439250.58924003597</v>
      </c>
      <c r="BK93" s="417">
        <f>VLOOKUP($A93,TOCA_previous!$A$2:$AI$137,MATCH("Above RHWM Not Served with LS "&amp;$F$1,TOCA_previous!$A$2:$AI$2,0),FALSE)*$F$2</f>
        <v>175223.23199999999</v>
      </c>
      <c r="BL93" s="418">
        <f t="shared" si="27"/>
        <v>-126632.25875996402</v>
      </c>
      <c r="BM93" s="417">
        <f>(VLOOKUP($A93,TOCA_previous!$A$2:$AI$137,MATCH("RHWM 2020",TOCA_previous!$A$2:$AI$2,0),FALSE)*$F$2) - $BI93</f>
        <v>0</v>
      </c>
      <c r="BN93" s="418">
        <f t="shared" si="28"/>
        <v>0</v>
      </c>
      <c r="BO93" s="417">
        <f t="shared" si="29"/>
        <v>0</v>
      </c>
      <c r="BP93" s="418">
        <f t="shared" si="30"/>
        <v>0</v>
      </c>
      <c r="BQ93" s="417">
        <f t="shared" si="21"/>
        <v>0</v>
      </c>
      <c r="BR93" s="120">
        <f>VLOOKUP($A93,TOCA_current!$A$2:$AI$137,MATCH(BR$4,TOCA_current!$A$2:$AI$2,0),FALSE)</f>
        <v>9.1710000000000003E-3</v>
      </c>
      <c r="BS93" s="120">
        <f>VLOOKUP($A93,TOCA_current!$A$2:$AI$137,MATCH(BS$4,TOCA_current!$A$2:$AI$2,0),FALSE)</f>
        <v>9.1710000000000003E-3</v>
      </c>
      <c r="BT93" s="201">
        <f t="shared" si="31"/>
        <v>0</v>
      </c>
      <c r="BU93" s="120">
        <f>VLOOKUP($A93,TOCA_current!A89:BG224,MATCH(BU$4,TOCA_current!$A$2:$BG$2,0),FALSE)</f>
        <v>0</v>
      </c>
      <c r="BV93" s="120">
        <f t="shared" si="22"/>
        <v>0</v>
      </c>
      <c r="BW93" s="120">
        <f t="shared" si="23"/>
        <v>0</v>
      </c>
      <c r="BX93" s="191">
        <f>VLOOKUP($A93,IRD!$A$4:$G$139, 7, FALSE)</f>
        <v>0</v>
      </c>
      <c r="BY93" s="192">
        <f t="array" ref="BY93">IF($BT93=0, INDEX(LS_current!$D$4:$AY$138, MATCH('Staging Table'!$A93, LS_current!$B$4:$B$138, 0), MATCH(BY$4&amp;BY$5, LS_current!$D$2:$AY$2&amp;LS_current!$D$3:$AY$3, 0)),SUM(VLOOKUP($A93, LS_current!$B$4:$AY$138, LS_current!D$148, FALSE), VLOOKUP($A93, LS_current!$B$4:$AY$138,LS_current!AB$148, FALSE))/2)</f>
        <v>-2824.6005160550667</v>
      </c>
      <c r="BZ93" s="192">
        <f t="array" ref="BZ93">IF($BT93=0, INDEX(LS_current!$D$4:$AY$138, MATCH('Staging Table'!$A93, LS_current!$B$4:$B$138, 0), MATCH(BZ$4&amp;BZ$5, LS_current!$D$2:$AY$2&amp;LS_current!$D$3:$AY$3, 0)),SUM(VLOOKUP($A93, LS_current!$B$4:$AY$138, LS_current!E$148, FALSE), VLOOKUP($A93, LS_current!$B$4:$AY$138,LS_current!AC$148, FALSE))/2)</f>
        <v>3095.6796532376011</v>
      </c>
      <c r="CA93" s="192">
        <f t="array" ref="CA93">IF($BT93=0, INDEX(LS_current!$D$4:$AY$138, MATCH('Staging Table'!$A93, LS_current!$B$4:$B$138, 0), MATCH(CA$4&amp;CA$5, LS_current!$D$2:$AY$2&amp;LS_current!$D$3:$AY$3, 0)),SUM(VLOOKUP($A93, LS_current!$B$4:$AY$138, LS_current!F$148, FALSE), VLOOKUP($A93, LS_current!$B$4:$AY$138,LS_current!AD$148, FALSE))/2)</f>
        <v>-6514.3491591644924</v>
      </c>
      <c r="CB93" s="192">
        <f t="array" ref="CB93">IF($BT93=0, INDEX(LS_current!$D$4:$AY$138, MATCH('Staging Table'!$A93, LS_current!$B$4:$B$138, 0), MATCH(CB$4&amp;CB$5, LS_current!$D$2:$AY$2&amp;LS_current!$D$3:$AY$3, 0)),SUM(VLOOKUP($A93, LS_current!$B$4:$AY$138, LS_current!G$148, FALSE), VLOOKUP($A93, LS_current!$B$4:$AY$138,LS_current!AE$148, FALSE))/2)</f>
        <v>-1349.5862945099871</v>
      </c>
      <c r="CC93" s="192">
        <f t="array" ref="CC93">IF($BT93=0, INDEX(LS_current!$D$4:$AY$138, MATCH('Staging Table'!$A93, LS_current!$B$4:$B$138, 0), MATCH(CC$4&amp;CC$5, LS_current!$D$2:$AY$2&amp;LS_current!$D$3:$AY$3, 0)),SUM(VLOOKUP($A93, LS_current!$B$4:$AY$138, LS_current!H$148, FALSE), VLOOKUP($A93, LS_current!$B$4:$AY$138,LS_current!AF$148, FALSE))/2)</f>
        <v>1843.4201410924798</v>
      </c>
      <c r="CD93" s="192">
        <f t="array" ref="CD93">IF($BT93=0, INDEX(LS_current!$D$4:$AY$138, MATCH('Staging Table'!$A93, LS_current!$B$4:$B$138, 0), MATCH(CD$4&amp;CD$5, LS_current!$D$2:$AY$2&amp;LS_current!$D$3:$AY$3, 0)),SUM(VLOOKUP($A93, LS_current!$B$4:$AY$138, LS_current!I$148, FALSE), VLOOKUP($A93, LS_current!$B$4:$AY$138,LS_current!AG$148, FALSE))/2)</f>
        <v>-828.71847836928282</v>
      </c>
      <c r="CE93" s="192">
        <f t="array" ref="CE93">IF($BT93=0, INDEX(LS_current!$D$4:$AY$138, MATCH('Staging Table'!$A93, LS_current!$B$4:$B$138, 0), MATCH(CE$4&amp;CE$5, LS_current!$D$2:$AY$2&amp;LS_current!$D$3:$AY$3, 0)),SUM(VLOOKUP($A93, LS_current!$B$4:$AY$138, LS_current!J$148, FALSE), VLOOKUP($A93, LS_current!$B$4:$AY$138,LS_current!AH$148, FALSE))/2)</f>
        <v>6163.1963401678804</v>
      </c>
      <c r="CF93" s="192">
        <f t="array" ref="CF93">IF($BT93=0, INDEX(LS_current!$D$4:$AY$138, MATCH('Staging Table'!$A93, LS_current!$B$4:$B$138, 0), MATCH(CF$4&amp;CF$5, LS_current!$D$2:$AY$2&amp;LS_current!$D$3:$AY$3, 0)),SUM(VLOOKUP($A93, LS_current!$B$4:$AY$138, LS_current!K$148, FALSE), VLOOKUP($A93, LS_current!$B$4:$AY$138,LS_current!AI$148, FALSE))/2)</f>
        <v>6682.1273238424292</v>
      </c>
      <c r="CG93" s="192">
        <f t="array" ref="CG93">IF($BT93=0, INDEX(LS_current!$D$4:$AY$138, MATCH('Staging Table'!$A93, LS_current!$B$4:$B$138, 0), MATCH(CG$4&amp;CG$5, LS_current!$D$2:$AY$2&amp;LS_current!$D$3:$AY$3, 0)),SUM(VLOOKUP($A93, LS_current!$B$4:$AY$138, LS_current!L$148, FALSE), VLOOKUP($A93, LS_current!$B$4:$AY$138,LS_current!AJ$148, FALSE))/2)</f>
        <v>6985.4198942286275</v>
      </c>
      <c r="CH93" s="192">
        <f t="array" ref="CH93">IF($BT93=0, INDEX(LS_current!$D$4:$AY$138, MATCH('Staging Table'!$A93, LS_current!$B$4:$B$138, 0), MATCH(CH$4&amp;CH$5, LS_current!$D$2:$AY$2&amp;LS_current!$D$3:$AY$3, 0)),SUM(VLOOKUP($A93, LS_current!$B$4:$AY$138, LS_current!M$148, FALSE), VLOOKUP($A93, LS_current!$B$4:$AY$138,LS_current!AK$148, FALSE))/2)</f>
        <v>4056.0653865779259</v>
      </c>
      <c r="CI93" s="192">
        <f t="array" ref="CI93">IF($BT93=0, INDEX(LS_current!$D$4:$AY$138, MATCH('Staging Table'!$A93, LS_current!$B$4:$B$138, 0), MATCH(CI$4&amp;CI$5, LS_current!$D$2:$AY$2&amp;LS_current!$D$3:$AY$3, 0)),SUM(VLOOKUP($A93, LS_current!$B$4:$AY$138, LS_current!N$148, FALSE), VLOOKUP($A93, LS_current!$B$4:$AY$138,LS_current!AL$148, FALSE))/2)</f>
        <v>1012.2122262222329</v>
      </c>
      <c r="CJ93" s="192">
        <f t="array" ref="CJ93">IF($BT93=0, INDEX(LS_current!$D$4:$AY$138, MATCH('Staging Table'!$A93, LS_current!$B$4:$B$138, 0), MATCH(CJ$4&amp;CJ$5, LS_current!$D$2:$AY$2&amp;LS_current!$D$3:$AY$3, 0)),SUM(VLOOKUP($A93, LS_current!$B$4:$AY$138, LS_current!O$148, FALSE), VLOOKUP($A93, LS_current!$B$4:$AY$138,LS_current!AM$148, FALSE))/2)</f>
        <v>1023.8695159763192</v>
      </c>
      <c r="CK93" s="192">
        <f t="array" ref="CK93">IF($BT93=0, INDEX(LS_current!$D$4:$AY$138, MATCH('Staging Table'!$A93, LS_current!$B$4:$B$138, 0), MATCH(CK$4&amp;CK$5, LS_current!$D$2:$AY$2&amp;LS_current!$D$3:$AY$3, 0)),SUM(VLOOKUP($A93, LS_current!$B$4:$AY$138, LS_current!P$148, FALSE), VLOOKUP($A93, LS_current!$B$4:$AY$138,LS_current!AN$148, FALSE))/2)</f>
        <v>3811.9696762370368</v>
      </c>
      <c r="CL93" s="192">
        <f t="array" ref="CL93">IF($BT93=0, INDEX(LS_current!$D$4:$AY$138, MATCH('Staging Table'!$A93, LS_current!$B$4:$B$138, 0), MATCH(CL$4&amp;CL$5, LS_current!$D$2:$AY$2&amp;LS_current!$D$3:$AY$3, 0)),SUM(VLOOKUP($A93, LS_current!$B$4:$AY$138, LS_current!Q$148, FALSE), VLOOKUP($A93, LS_current!$B$4:$AY$138,LS_current!AO$148, FALSE))/2)</f>
        <v>2860.1144585900402</v>
      </c>
      <c r="CM93" s="192">
        <f t="array" ref="CM93">IF($BT93=0, INDEX(LS_current!$D$4:$AY$138, MATCH('Staging Table'!$A93, LS_current!$B$4:$B$138, 0), MATCH(CM$4&amp;CM$5, LS_current!$D$2:$AY$2&amp;LS_current!$D$3:$AY$3, 0)),SUM(VLOOKUP($A93, LS_current!$B$4:$AY$138, LS_current!R$148, FALSE), VLOOKUP($A93, LS_current!$B$4:$AY$138,LS_current!AP$148, FALSE))/2)</f>
        <v>-9121.617421441646</v>
      </c>
      <c r="CN93" s="192">
        <f t="array" ref="CN93">IF($BT93=0, INDEX(LS_current!$D$4:$AY$138, MATCH('Staging Table'!$A93, LS_current!$B$4:$B$138, 0), MATCH(CN$4&amp;CN$5, LS_current!$D$2:$AY$2&amp;LS_current!$D$3:$AY$3, 0)),SUM(VLOOKUP($A93, LS_current!$B$4:$AY$138, LS_current!S$148, FALSE), VLOOKUP($A93, LS_current!$B$4:$AY$138,LS_current!AQ$148, FALSE))/2)</f>
        <v>3162.4246226677988</v>
      </c>
      <c r="CO93" s="192">
        <f t="array" ref="CO93">IF($BT93=0, INDEX(LS_current!$D$4:$AY$138, MATCH('Staging Table'!$A93, LS_current!$B$4:$B$138, 0), MATCH(CO$4&amp;CO$5, LS_current!$D$2:$AY$2&amp;LS_current!$D$3:$AY$3, 0)),SUM(VLOOKUP($A93, LS_current!$B$4:$AY$138, LS_current!T$148, FALSE), VLOOKUP($A93, LS_current!$B$4:$AY$138,LS_current!AR$148, FALSE))/2)</f>
        <v>-10650.541744398492</v>
      </c>
      <c r="CP93" s="192">
        <f t="array" ref="CP93">IF($BT93=0, INDEX(LS_current!$D$4:$AY$138, MATCH('Staging Table'!$A93, LS_current!$B$4:$B$138, 0), MATCH(CP$4&amp;CP$5, LS_current!$D$2:$AY$2&amp;LS_current!$D$3:$AY$3, 0)),SUM(VLOOKUP($A93, LS_current!$B$4:$AY$138, LS_current!U$148, FALSE), VLOOKUP($A93, LS_current!$B$4:$AY$138,LS_current!AS$148, FALSE))/2)</f>
        <v>1544.4775012176833</v>
      </c>
      <c r="CQ93" s="192">
        <f t="array" ref="CQ93">IF($BT93=0, INDEX(LS_current!$D$4:$AY$138, MATCH('Staging Table'!$A93, LS_current!$B$4:$B$138, 0), MATCH(CQ$4&amp;CQ$5, LS_current!$D$2:$AY$2&amp;LS_current!$D$3:$AY$3, 0)),SUM(VLOOKUP($A93, LS_current!$B$4:$AY$138, LS_current!V$148, FALSE), VLOOKUP($A93, LS_current!$B$4:$AY$138,LS_current!AT$148, FALSE))/2)</f>
        <v>-5891.8448127666052</v>
      </c>
      <c r="CR93" s="192">
        <f t="array" ref="CR93">IF($BT93=0, INDEX(LS_current!$D$4:$AY$138, MATCH('Staging Table'!$A93, LS_current!$B$4:$B$138, 0), MATCH(CR$4&amp;CR$5, LS_current!$D$2:$AY$2&amp;LS_current!$D$3:$AY$3, 0)),SUM(VLOOKUP($A93, LS_current!$B$4:$AY$138, LS_current!W$148, FALSE), VLOOKUP($A93, LS_current!$B$4:$AY$138,LS_current!AU$148, FALSE))/2)</f>
        <v>4168.6759750779365</v>
      </c>
      <c r="CS93" s="192">
        <f t="array" ref="CS93">IF($BT93=0, INDEX(LS_current!$D$4:$AY$138, MATCH('Staging Table'!$A93, LS_current!$B$4:$B$138, 0), MATCH(CS$4&amp;CS$5, LS_current!$D$2:$AY$2&amp;LS_current!$D$3:$AY$3, 0)),SUM(VLOOKUP($A93, LS_current!$B$4:$AY$138, LS_current!X$148, FALSE), VLOOKUP($A93, LS_current!$B$4:$AY$138,LS_current!AV$148, FALSE))/2)</f>
        <v>-2938.4266985322538</v>
      </c>
      <c r="CT93" s="192">
        <f t="array" ref="CT93">IF($BT93=0, INDEX(LS_current!$D$4:$AY$138, MATCH('Staging Table'!$A93, LS_current!$B$4:$B$138, 0), MATCH(CT$4&amp;CT$5, LS_current!$D$2:$AY$2&amp;LS_current!$D$3:$AY$3, 0)),SUM(VLOOKUP($A93, LS_current!$B$4:$AY$138, LS_current!Y$148, FALSE), VLOOKUP($A93, LS_current!$B$4:$AY$138,LS_current!AW$148, FALSE))/2)</f>
        <v>2136.7511282455289</v>
      </c>
      <c r="CU93" s="192">
        <f t="array" ref="CU93">IF($BT93=0, INDEX(LS_current!$D$4:$AY$138, MATCH('Staging Table'!$A93, LS_current!$B$4:$B$138, 0), MATCH(CU$4&amp;CU$5, LS_current!$D$2:$AY$2&amp;LS_current!$D$3:$AY$3, 0)),SUM(VLOOKUP($A93, LS_current!$B$4:$AY$138, LS_current!Z$148, FALSE), VLOOKUP($A93, LS_current!$B$4:$AY$138,LS_current!AX$148, FALSE))/2)</f>
        <v>-3336.1310779609666</v>
      </c>
      <c r="CV93" s="192">
        <f t="array" ref="CV93">IF($BT93=0, INDEX(LS_current!$D$4:$AY$138, MATCH('Staging Table'!$A93, LS_current!$B$4:$B$138, 0), MATCH(CV$4&amp;CV$5, LS_current!$D$2:$AY$2&amp;LS_current!$D$3:$AY$3, 0)),SUM(VLOOKUP($A93, LS_current!$B$4:$AY$138, LS_current!AA$148, FALSE), VLOOKUP($A93, LS_current!$B$4:$AY$138,LS_current!AY$148, FALSE))/2)</f>
        <v>1026.2201561476741</v>
      </c>
      <c r="CW93" s="194">
        <f t="array" ref="CW93">INDEX(Demand_current!$D$4:$AY$138, MATCH($A93, Demand_current!$B$4:$B$138, 0), MATCH(CW$4&amp;CW$5,Demand_current!$D$2:$AY$2&amp;Demand_current!$D$3:$AY$3, 0))/1000</f>
        <v>0</v>
      </c>
      <c r="CX93" s="194">
        <f t="array" ref="CX93">INDEX(Demand_current!$D$4:$AY$138, MATCH($A93, Demand_current!$B$4:$B$138, 0), MATCH(CX$4&amp;CX$5,Demand_current!$D$2:$AY$2&amp;Demand_current!$D$3:$AY$3, 0))/1000</f>
        <v>0</v>
      </c>
      <c r="CY93" s="194">
        <f t="array" ref="CY93">INDEX(Demand_current!$D$4:$AY$138, MATCH($A93, Demand_current!$B$4:$B$138, 0), MATCH(CY$4&amp;CY$5,Demand_current!$D$2:$AY$2&amp;Demand_current!$D$3:$AY$3, 0))/1000</f>
        <v>0</v>
      </c>
      <c r="CZ93" s="194">
        <f t="array" ref="CZ93">INDEX(Demand_current!$D$4:$AY$138, MATCH($A93, Demand_current!$B$4:$B$138, 0), MATCH(CZ$4&amp;CZ$5,Demand_current!$D$2:$AY$2&amp;Demand_current!$D$3:$AY$3, 0))/1000</f>
        <v>0</v>
      </c>
      <c r="DA93" s="194">
        <f t="array" ref="DA93">INDEX(Demand_current!$D$4:$AY$138, MATCH($A93, Demand_current!$B$4:$B$138, 0), MATCH(DA$4&amp;DA$5,Demand_current!$D$2:$AY$2&amp;Demand_current!$D$3:$AY$3, 0))/1000</f>
        <v>0</v>
      </c>
      <c r="DB93" s="194">
        <f t="array" ref="DB93">INDEX(Demand_current!$D$4:$AY$138, MATCH($A93, Demand_current!$B$4:$B$138, 0), MATCH(DB$4&amp;DB$5,Demand_current!$D$2:$AY$2&amp;Demand_current!$D$3:$AY$3, 0))/1000</f>
        <v>0</v>
      </c>
      <c r="DC93" s="194">
        <f t="array" ref="DC93">INDEX(Demand_current!$D$4:$AY$138, MATCH($A93, Demand_current!$B$4:$B$138, 0), MATCH(DC$4&amp;DC$5,Demand_current!$D$2:$AY$2&amp;Demand_current!$D$3:$AY$3, 0))/1000</f>
        <v>0</v>
      </c>
      <c r="DD93" s="194">
        <f t="array" ref="DD93">INDEX(Demand_current!$D$4:$AY$138, MATCH($A93, Demand_current!$B$4:$B$138, 0), MATCH(DD$4&amp;DD$5,Demand_current!$D$2:$AY$2&amp;Demand_current!$D$3:$AY$3, 0))/1000</f>
        <v>0</v>
      </c>
      <c r="DE93" s="194">
        <f t="array" ref="DE93">INDEX(Demand_current!$D$4:$AY$138, MATCH($A93, Demand_current!$B$4:$B$138, 0), MATCH(DE$4&amp;DE$5,Demand_current!$D$2:$AY$2&amp;Demand_current!$D$3:$AY$3, 0))/1000</f>
        <v>0</v>
      </c>
      <c r="DF93" s="194">
        <f t="array" ref="DF93">INDEX(Demand_current!$D$4:$AY$138, MATCH($A93, Demand_current!$B$4:$B$138, 0), MATCH(DF$4&amp;DF$5,Demand_current!$D$2:$AY$2&amp;Demand_current!$D$3:$AY$3, 0))/1000</f>
        <v>0</v>
      </c>
      <c r="DG93" s="194">
        <f t="array" ref="DG93">INDEX(Demand_current!$D$4:$AY$138, MATCH($A93, Demand_current!$B$4:$B$138, 0), MATCH(DG$4&amp;DG$5,Demand_current!$D$2:$AY$2&amp;Demand_current!$D$3:$AY$3, 0))/1000</f>
        <v>0</v>
      </c>
      <c r="DH93" s="194">
        <f t="array" ref="DH93">INDEX(Demand_current!$D$4:$AY$138, MATCH($A93, Demand_current!$B$4:$B$138, 0), MATCH(DH$4&amp;DH$5,Demand_current!$D$2:$AY$2&amp;Demand_current!$D$3:$AY$3, 0))/1000</f>
        <v>0</v>
      </c>
      <c r="DI93" s="192">
        <f>$BS93*(VLOOKUP(DI$4, Rates_current!$G$6:$Q$29, 10, FALSE)+VLOOKUP(DI$4, Rates_current!$G$6:$Q$29, 11, FALSE))</f>
        <v>41764.040862817477</v>
      </c>
      <c r="DJ93" s="192">
        <f>$BS93*(VLOOKUP(DJ$4, Rates_current!$G$6:$Q$29, 10, FALSE)+VLOOKUP(DJ$4, Rates_current!$G$6:$Q$29, 11, FALSE))</f>
        <v>52874.791453674487</v>
      </c>
      <c r="DK93" s="192">
        <f>$BS93*(VLOOKUP(DK$4, Rates_current!$G$6:$Q$29, 10, FALSE)+VLOOKUP(DK$4, Rates_current!$G$6:$Q$29, 11, FALSE))</f>
        <v>51753.857337276815</v>
      </c>
      <c r="DL93" s="192">
        <f>$BS93*(VLOOKUP(DL$4, Rates_current!$G$6:$Q$29, 10, FALSE)+VLOOKUP(DL$4, Rates_current!$G$6:$Q$29, 11, FALSE))</f>
        <v>42746.485335989695</v>
      </c>
      <c r="DM93" s="192">
        <f>$BS93*(VLOOKUP(DM$4, Rates_current!$G$6:$Q$29, 10, FALSE)+VLOOKUP(DM$4, Rates_current!$G$6:$Q$29, 11, FALSE))</f>
        <v>37049.315719193444</v>
      </c>
      <c r="DN93" s="192">
        <f>$BS93*(VLOOKUP(DN$4, Rates_current!$G$6:$Q$29, 10, FALSE)+VLOOKUP(DN$4, Rates_current!$G$6:$Q$29, 11, FALSE))</f>
        <v>44229.401257801452</v>
      </c>
      <c r="DO93" s="192">
        <f>$BS93*(VLOOKUP(DO$4, Rates_current!$G$6:$Q$29, 10, FALSE)+VLOOKUP(DO$4, Rates_current!$G$6:$Q$29, 11, FALSE))</f>
        <v>34338.241865172931</v>
      </c>
      <c r="DP93" s="192">
        <f>$BS93*(VLOOKUP(DP$4, Rates_current!$G$6:$Q$29, 10, FALSE)+VLOOKUP(DP$4, Rates_current!$G$6:$Q$29, 11, FALSE))</f>
        <v>47575.886798773849</v>
      </c>
      <c r="DQ93" s="192">
        <f>$BS93*(VLOOKUP(DQ$4, Rates_current!$G$6:$Q$29, 10, FALSE)+VLOOKUP(DQ$4, Rates_current!$G$6:$Q$29, 11, FALSE))</f>
        <v>50835.831243180808</v>
      </c>
      <c r="DR93" s="192">
        <f>$BS93*(VLOOKUP(DR$4, Rates_current!$G$6:$Q$29, 10, FALSE)+VLOOKUP(DR$4, Rates_current!$G$6:$Q$29, 11, FALSE))</f>
        <v>48266.319837688679</v>
      </c>
      <c r="DS93" s="192">
        <f>$BS93*(VLOOKUP(DS$4, Rates_current!$G$6:$Q$29, 10, FALSE)+VLOOKUP(DS$4, Rates_current!$G$6:$Q$29, 11, FALSE))</f>
        <v>46645.674570286734</v>
      </c>
      <c r="DT93" s="192">
        <f>$BS93*(VLOOKUP(DT$4, Rates_current!$G$6:$Q$29, 10, FALSE)+VLOOKUP(DT$4, Rates_current!$G$6:$Q$29, 11, FALSE))</f>
        <v>43105.465921813295</v>
      </c>
      <c r="DU93" s="418">
        <f>IF(D93=0,IF(C93=0,MAX(0,DW93 - (VLOOKUP($A93,TOCA_current!$A$2:$AI$137,MATCH("RHWM 2022",TOCA_current!$A$2:$AI$2,0),FALSE)*$BS$2)), 0),0)</f>
        <v>6118.1076839704765</v>
      </c>
      <c r="DV93" s="419">
        <f>MIN(VLOOKUP($A93,TOCA_current!$A$2:$AI$137,MATCH("TRL - NLSL - Existing Resource "&amp;$BS$1,TOCA_current!$A$2:$AI$2,0),FALSE)*$BS$2, VLOOKUP($A93,TOCA_current!$A$2:$AI$137,MATCH("RHWM 2022",TOCA_current!$A$2:$AI$2,0),FALSE)*$BS$2)</f>
        <v>541184.04</v>
      </c>
      <c r="DW93" s="419">
        <f>SUM(BY93:CV93)+(BS93*RT1SC!$C$4*$BS$2)</f>
        <v>547302.14768397051</v>
      </c>
      <c r="DX93" s="419">
        <f>VLOOKUP($A93,TOCA_current!$A$2:$AI$137,MATCH("Above RHWM Not Served with LS "&amp;$BS$1,TOCA_current!$A$2:$AI$2,0),FALSE)*$BS$2</f>
        <v>67171.680000000008</v>
      </c>
      <c r="DY93" s="419">
        <f t="shared" si="32"/>
        <v>6118.1076839704765</v>
      </c>
      <c r="DZ93" s="419">
        <f>(VLOOKUP($A93,TOCA_current!$A$2:$AI$137,MATCH("RHWM 2022",TOCA_current!$A$2:$AI$2,0),FALSE)*$BS$2) - $DV93</f>
        <v>0</v>
      </c>
      <c r="EA93" s="419">
        <f t="shared" si="33"/>
        <v>0</v>
      </c>
      <c r="EB93" s="419">
        <f t="shared" si="34"/>
        <v>0</v>
      </c>
      <c r="EC93" s="419">
        <f t="shared" si="35"/>
        <v>0</v>
      </c>
      <c r="ED93" s="419">
        <f t="shared" si="36"/>
        <v>0</v>
      </c>
    </row>
    <row r="94" spans="1:134">
      <c r="A94" s="135">
        <v>10284</v>
      </c>
      <c r="B94" s="136" t="s">
        <v>95</v>
      </c>
      <c r="C94" s="244">
        <f>VLOOKUP(A94, TOCA_current!$A$3:$D$137, 4, FALSE)</f>
        <v>0</v>
      </c>
      <c r="D94" s="203">
        <v>0</v>
      </c>
      <c r="E94" s="119">
        <f>VLOOKUP($A94,TOCA_previous!$A$2:$AI$137,MATCH(E$4,TOCA_previous!$A$2:$AI$2,0),FALSE)</f>
        <v>1.3988E-3</v>
      </c>
      <c r="F94" s="120">
        <f>VLOOKUP($A94,TOCA_previous!$A$2:$AI$137,MATCH(F$4,TOCA_previous!$A$2:$AI$2,0),FALSE)</f>
        <v>1.3988E-3</v>
      </c>
      <c r="G94" s="120">
        <f t="shared" si="24"/>
        <v>0</v>
      </c>
      <c r="H94" s="120">
        <f>VLOOKUP($A94,TOCA_previous!$A$2:$AI$137,MATCH(H$4,TOCA_previous!$A$2:$AI$2,0),FALSE)</f>
        <v>0.05</v>
      </c>
      <c r="I94" s="120">
        <f t="shared" si="25"/>
        <v>0</v>
      </c>
      <c r="J94" s="120">
        <f t="shared" si="26"/>
        <v>0</v>
      </c>
      <c r="K94" s="191">
        <f>VLOOKUP(A94, IRD!$A$5:$C$139, 3, FALSE)</f>
        <v>0</v>
      </c>
      <c r="L94" s="192">
        <f t="array" ref="L94">IF($G94=0, INDEX(LS_previous!$D$4:$AY$138, MATCH('Staging Table'!$A94, LS_previous!$B$4:$B$138, 0), MATCH(L$4&amp;L$5, LS_previous!$D$2:$AY$2&amp;LS_previous!$D$3:$AY$3, 0)),SUM(VLOOKUP($A94, LS_previous!$B$4:$AY$138, LS_previous!D$149, FALSE), VLOOKUP('Staging Table'!$A94, LS_previous!$B$4:$AY$138,LS_previous!AB$149, FALSE))/2)</f>
        <v>220.22733526560023</v>
      </c>
      <c r="M94" s="192">
        <f t="array" ref="M94">IF($G94=0, INDEX(LS_previous!$D$4:$AY$138, MATCH('Staging Table'!$A94, LS_previous!$B$4:$B$138, 0), MATCH(M$4&amp;M$5, LS_previous!$D$2:$AY$2&amp;LS_previous!$D$3:$AY$3, 0)),SUM(VLOOKUP($A94, LS_previous!$B$4:$AY$138, LS_previous!E$149, FALSE), VLOOKUP('Staging Table'!$A94, LS_previous!$B$4:$AY$138,LS_previous!AC$149, FALSE))/2)</f>
        <v>915.10337096960029</v>
      </c>
      <c r="N94" s="192">
        <f t="array" ref="N94">IF($G94=0, INDEX(LS_previous!$D$4:$AY$138, MATCH('Staging Table'!$A94, LS_previous!$B$4:$B$138, 0), MATCH(N$4&amp;N$5, LS_previous!$D$2:$AY$2&amp;LS_previous!$D$3:$AY$3, 0)),SUM(VLOOKUP($A94, LS_previous!$B$4:$AY$138, LS_previous!F$149, FALSE), VLOOKUP('Staging Table'!$A94, LS_previous!$B$4:$AY$138,LS_previous!AD$149, FALSE))/2)</f>
        <v>73.65830183360049</v>
      </c>
      <c r="O94" s="192">
        <f t="array" ref="O94">IF($G94=0, INDEX(LS_previous!$D$4:$AY$138, MATCH('Staging Table'!$A94, LS_previous!$B$4:$B$138, 0), MATCH(O$4&amp;O$5, LS_previous!$D$2:$AY$2&amp;LS_previous!$D$3:$AY$3, 0)),SUM(VLOOKUP($A94, LS_previous!$B$4:$AY$138, LS_previous!G$149, FALSE), VLOOKUP('Staging Table'!$A94, LS_previous!$B$4:$AY$138,LS_previous!AE$149, FALSE))/2)</f>
        <v>667.23168345320028</v>
      </c>
      <c r="P94" s="192">
        <f t="array" ref="P94">IF($G94=0, INDEX(LS_previous!$D$4:$AY$138, MATCH('Staging Table'!$A94, LS_previous!$B$4:$B$138, 0), MATCH(P$4&amp;P$5, LS_previous!$D$2:$AY$2&amp;LS_previous!$D$3:$AY$3, 0)),SUM(VLOOKUP($A94, LS_previous!$B$4:$AY$138, LS_previous!H$149, FALSE), VLOOKUP('Staging Table'!$A94, LS_previous!$B$4:$AY$138,LS_previous!AF$149, FALSE))/2)</f>
        <v>1767.7218072064006</v>
      </c>
      <c r="Q94" s="192">
        <f t="array" ref="Q94">IF($G94=0, INDEX(LS_previous!$D$4:$AY$138, MATCH('Staging Table'!$A94, LS_previous!$B$4:$B$138, 0), MATCH(Q$4&amp;Q$5, LS_previous!$D$2:$AY$2&amp;LS_previous!$D$3:$AY$3, 0)),SUM(VLOOKUP($A94, LS_previous!$B$4:$AY$138, LS_previous!I$149, FALSE), VLOOKUP('Staging Table'!$A94, LS_previous!$B$4:$AY$138,LS_previous!AG$149, FALSE))/2)</f>
        <v>1635.3264386288001</v>
      </c>
      <c r="R94" s="192">
        <f t="array" ref="R94">IF($G94=0, INDEX(LS_previous!$D$4:$AY$138, MATCH('Staging Table'!$A94, LS_previous!$B$4:$B$138, 0), MATCH(R$4&amp;R$5, LS_previous!$D$2:$AY$2&amp;LS_previous!$D$3:$AY$3, 0)),SUM(VLOOKUP($A94, LS_previous!$B$4:$AY$138, LS_previous!J$149, FALSE), VLOOKUP('Staging Table'!$A94, LS_previous!$B$4:$AY$138,LS_previous!AH$149, FALSE))/2)</f>
        <v>2449.6097560063999</v>
      </c>
      <c r="S94" s="192">
        <f t="array" ref="S94">IF($G94=0, INDEX(LS_previous!$D$4:$AY$138, MATCH('Staging Table'!$A94, LS_previous!$B$4:$B$138, 0), MATCH(S$4&amp;S$5, LS_previous!$D$2:$AY$2&amp;LS_previous!$D$3:$AY$3, 0)),SUM(VLOOKUP($A94, LS_previous!$B$4:$AY$138, LS_previous!K$149, FALSE), VLOOKUP('Staging Table'!$A94, LS_previous!$B$4:$AY$138,LS_previous!AI$149, FALSE))/2)</f>
        <v>2668.8863522287998</v>
      </c>
      <c r="T94" s="192">
        <f t="array" ref="T94">IF($G94=0, INDEX(LS_previous!$D$4:$AY$138, MATCH('Staging Table'!$A94, LS_previous!$B$4:$B$138, 0), MATCH(T$4&amp;T$5, LS_previous!$D$2:$AY$2&amp;LS_previous!$D$3:$AY$3, 0)),SUM(VLOOKUP($A94, LS_previous!$B$4:$AY$138, LS_previous!L$149, FALSE), VLOOKUP('Staging Table'!$A94, LS_previous!$B$4:$AY$138,LS_previous!AJ$149, FALSE))/2)</f>
        <v>1707.3417429487999</v>
      </c>
      <c r="U94" s="192">
        <f t="array" ref="U94">IF($G94=0, INDEX(LS_previous!$D$4:$AY$138, MATCH('Staging Table'!$A94, LS_previous!$B$4:$B$138, 0), MATCH(U$4&amp;U$5, LS_previous!$D$2:$AY$2&amp;LS_previous!$D$3:$AY$3, 0)),SUM(VLOOKUP($A94, LS_previous!$B$4:$AY$138, LS_previous!M$149, FALSE), VLOOKUP('Staging Table'!$A94, LS_previous!$B$4:$AY$138,LS_previous!AK$149, FALSE))/2)</f>
        <v>1577.5474772112002</v>
      </c>
      <c r="V94" s="192">
        <f t="array" ref="V94">IF($G94=0, INDEX(LS_previous!$D$4:$AY$138, MATCH('Staging Table'!$A94, LS_previous!$B$4:$B$138, 0), MATCH(V$4&amp;V$5, LS_previous!$D$2:$AY$2&amp;LS_previous!$D$3:$AY$3, 0)),SUM(VLOOKUP($A94, LS_previous!$B$4:$AY$138, LS_previous!N$149, FALSE), VLOOKUP('Staging Table'!$A94, LS_previous!$B$4:$AY$138,LS_previous!AL$149, FALSE))/2)</f>
        <v>1028.0681701792009</v>
      </c>
      <c r="W94" s="192">
        <f t="array" ref="W94">IF($G94=0, INDEX(LS_previous!$D$4:$AY$138, MATCH('Staging Table'!$A94, LS_previous!$B$4:$B$138, 0), MATCH(W$4&amp;W$5, LS_previous!$D$2:$AY$2&amp;LS_previous!$D$3:$AY$3, 0)),SUM(VLOOKUP($A94, LS_previous!$B$4:$AY$138, LS_previous!O$149, FALSE), VLOOKUP('Staging Table'!$A94, LS_previous!$B$4:$AY$138,LS_previous!AM$149, FALSE))/2)</f>
        <v>1081.3310091451999</v>
      </c>
      <c r="X94" s="192">
        <f t="array" ref="X94">IF($G94=0, INDEX(LS_previous!$D$4:$AY$138, MATCH('Staging Table'!$A94, LS_previous!$B$4:$B$138, 0), MATCH(X$4&amp;X$5, LS_previous!$D$2:$AY$2&amp;LS_previous!$D$3:$AY$3, 0)),SUM(VLOOKUP($A94, LS_previous!$B$4:$AY$138, LS_previous!P$149, FALSE), VLOOKUP('Staging Table'!$A94, LS_previous!$B$4:$AY$138,LS_previous!AN$149, FALSE))/2)</f>
        <v>1126.4606600928005</v>
      </c>
      <c r="Y94" s="192">
        <f t="array" ref="Y94">IF($G94=0, INDEX(LS_previous!$D$4:$AY$138, MATCH('Staging Table'!$A94, LS_previous!$B$4:$B$138, 0), MATCH(Y$4&amp;Y$5, LS_previous!$D$2:$AY$2&amp;LS_previous!$D$3:$AY$3, 0)),SUM(VLOOKUP($A94, LS_previous!$B$4:$AY$138, LS_previous!Q$149, FALSE), VLOOKUP('Staging Table'!$A94, LS_previous!$B$4:$AY$138,LS_previous!AO$149, FALSE))/2)</f>
        <v>1038.1288020832003</v>
      </c>
      <c r="Z94" s="192">
        <f t="array" ref="Z94">IF($G94=0, INDEX(LS_previous!$D$4:$AY$138, MATCH('Staging Table'!$A94, LS_previous!$B$4:$B$138, 0), MATCH(Z$4&amp;Z$5, LS_previous!$D$2:$AY$2&amp;LS_previous!$D$3:$AY$3, 0)),SUM(VLOOKUP($A94, LS_previous!$B$4:$AY$138, LS_previous!R$149, FALSE), VLOOKUP('Staging Table'!$A94, LS_previous!$B$4:$AY$138,LS_previous!AP$149, FALSE))/2)</f>
        <v>-1714.3252354799997</v>
      </c>
      <c r="AA94" s="192">
        <f t="array" ref="AA94">IF($G94=0, INDEX(LS_previous!$D$4:$AY$138, MATCH('Staging Table'!$A94, LS_previous!$B$4:$B$138, 0), MATCH(AA$4&amp;AA$5, LS_previous!$D$2:$AY$2&amp;LS_previous!$D$3:$AY$3, 0)),SUM(VLOOKUP($A94, LS_previous!$B$4:$AY$138, LS_previous!S$149, FALSE), VLOOKUP('Staging Table'!$A94, LS_previous!$B$4:$AY$138,LS_previous!AQ$149, FALSE))/2)</f>
        <v>-277.30026168479981</v>
      </c>
      <c r="AB94" s="192">
        <f t="array" ref="AB94">IF($G94=0, INDEX(LS_previous!$D$4:$AY$138, MATCH('Staging Table'!$A94, LS_previous!$B$4:$B$138, 0), MATCH(AB$4&amp;AB$5, LS_previous!$D$2:$AY$2&amp;LS_previous!$D$3:$AY$3, 0)),SUM(VLOOKUP($A94, LS_previous!$B$4:$AY$138, LS_previous!T$149, FALSE), VLOOKUP('Staging Table'!$A94, LS_previous!$B$4:$AY$138,LS_previous!AR$149, FALSE))/2)</f>
        <v>-2815.7428117071995</v>
      </c>
      <c r="AC94" s="192">
        <f t="array" ref="AC94">IF($G94=0, INDEX(LS_previous!$D$4:$AY$138, MATCH('Staging Table'!$A94, LS_previous!$B$4:$B$138, 0), MATCH(AC$4&amp;AC$5, LS_previous!$D$2:$AY$2&amp;LS_previous!$D$3:$AY$3, 0)),SUM(VLOOKUP($A94, LS_previous!$B$4:$AY$138, LS_previous!U$149, FALSE), VLOOKUP('Staging Table'!$A94, LS_previous!$B$4:$AY$138,LS_previous!AS$149, FALSE))/2)</f>
        <v>-1269.8264547168001</v>
      </c>
      <c r="AD94" s="192">
        <f t="array" ref="AD94">IF($G94=0, INDEX(LS_previous!$D$4:$AY$138, MATCH('Staging Table'!$A94, LS_previous!$B$4:$B$138, 0), MATCH(AD$4&amp;AD$5, LS_previous!$D$2:$AY$2&amp;LS_previous!$D$3:$AY$3, 0)),SUM(VLOOKUP($A94, LS_previous!$B$4:$AY$138, LS_previous!V$149, FALSE), VLOOKUP('Staging Table'!$A94, LS_previous!$B$4:$AY$138,LS_previous!AT$149, FALSE))/2)</f>
        <v>-1957.6381657071997</v>
      </c>
      <c r="AE94" s="192">
        <f t="array" ref="AE94">IF($G94=0, INDEX(LS_previous!$D$4:$AY$138, MATCH('Staging Table'!$A94, LS_previous!$B$4:$B$138, 0), MATCH(AE$4&amp;AE$5, LS_previous!$D$2:$AY$2&amp;LS_previous!$D$3:$AY$3, 0)),SUM(VLOOKUP($A94, LS_previous!$B$4:$AY$138, LS_previous!W$149, FALSE), VLOOKUP('Staging Table'!$A94, LS_previous!$B$4:$AY$138,LS_previous!AU$149, FALSE))/2)</f>
        <v>-88.147851257599996</v>
      </c>
      <c r="AF94" s="192">
        <f t="array" ref="AF94">IF($G94=0, INDEX(LS_previous!$D$4:$AY$138, MATCH('Staging Table'!$A94, LS_previous!$B$4:$B$138, 0), MATCH(AF$4&amp;AF$5, LS_previous!$D$2:$AY$2&amp;LS_previous!$D$3:$AY$3, 0)),SUM(VLOOKUP($A94, LS_previous!$B$4:$AY$138, LS_previous!X$149, FALSE), VLOOKUP('Staging Table'!$A94, LS_previous!$B$4:$AY$138,LS_previous!AV$149, FALSE))/2)</f>
        <v>-1458.8375263072003</v>
      </c>
      <c r="AG94" s="192">
        <f t="array" ref="AG94">IF($G94=0, INDEX(LS_previous!$D$4:$AY$138, MATCH('Staging Table'!$A94, LS_previous!$B$4:$B$138, 0), MATCH(AG$4&amp;AG$5, LS_previous!$D$2:$AY$2&amp;LS_previous!$D$3:$AY$3, 0)),SUM(VLOOKUP($A94, LS_previous!$B$4:$AY$138, LS_previous!Y$149, FALSE), VLOOKUP('Staging Table'!$A94, LS_previous!$B$4:$AY$138,LS_previous!AW$149, FALSE))/2)</f>
        <v>-300.18587525759995</v>
      </c>
      <c r="AH94" s="192">
        <f t="array" ref="AH94">IF($G94=0, INDEX(LS_previous!$D$4:$AY$138, MATCH('Staging Table'!$A94, LS_previous!$B$4:$B$138, 0), MATCH(AH$4&amp;AH$5, LS_previous!$D$2:$AY$2&amp;LS_previous!$D$3:$AY$3, 0)),SUM(VLOOKUP($A94, LS_previous!$B$4:$AY$138, LS_previous!Z$149, FALSE), VLOOKUP('Staging Table'!$A94, LS_previous!$B$4:$AY$138,LS_previous!AX$149, FALSE))/2)</f>
        <v>-1103.0327772800001</v>
      </c>
      <c r="AI94" s="192">
        <f t="array" ref="AI94">IF($G94=0, INDEX(LS_previous!$D$4:$AY$138, MATCH('Staging Table'!$A94, LS_previous!$B$4:$B$138, 0), MATCH(AI$4&amp;AI$5, LS_previous!$D$2:$AY$2&amp;LS_previous!$D$3:$AY$3, 0)),SUM(VLOOKUP($A94, LS_previous!$B$4:$AY$138, LS_previous!AA$149, FALSE), VLOOKUP('Staging Table'!$A94, LS_previous!$B$4:$AY$138,LS_previous!AY$149, FALSE))/2)</f>
        <v>-295.14250334399958</v>
      </c>
      <c r="AJ94" s="314">
        <f t="array" ref="AJ94">INDEX(Demand_previous!$D$4:$AY$138, MATCH('Staging Table'!$A94, Demand_previous!$B$4:$B$138, 0), MATCH(AJ$4&amp;AJ$5,Demand_previous!$D$2:$AY$2&amp;Demand_previous!$D$3:$AY$3, 0))/1000</f>
        <v>1.8619722222222235</v>
      </c>
      <c r="AK94" s="314">
        <f t="array" ref="AK94">INDEX(Demand_previous!$D$4:$AY$138, MATCH('Staging Table'!$A94, Demand_previous!$B$4:$B$138, 0), MATCH(AK$4&amp;AK$5,Demand_previous!$D$2:$AY$2&amp;Demand_previous!$D$3:$AY$3, 0))/1000</f>
        <v>1.3691000000000004</v>
      </c>
      <c r="AL94" s="314">
        <f t="array" ref="AL94">INDEX(Demand_previous!$D$4:$AY$138, MATCH('Staging Table'!$A94, Demand_previous!$B$4:$B$138, 0), MATCH(AL$4&amp;AL$5,Demand_previous!$D$2:$AY$2&amp;Demand_previous!$D$3:$AY$3, 0))/1000</f>
        <v>2.7088924999999984</v>
      </c>
      <c r="AM94" s="314">
        <f t="array" ref="AM94">INDEX(Demand_previous!$D$4:$AY$138, MATCH('Staging Table'!$A94, Demand_previous!$B$4:$B$138, 0), MATCH(AM$4&amp;AM$5,Demand_previous!$D$2:$AY$2&amp;Demand_previous!$D$3:$AY$3, 0))/1000</f>
        <v>3.9823750000000029</v>
      </c>
      <c r="AN94" s="314">
        <f t="array" ref="AN94">INDEX(Demand_previous!$D$4:$AY$138, MATCH('Staging Table'!$A94, Demand_previous!$B$4:$B$138, 0), MATCH(AN$4&amp;AN$5,Demand_previous!$D$2:$AY$2&amp;Demand_previous!$D$3:$AY$3, 0))/1000</f>
        <v>2.0618375000000011</v>
      </c>
      <c r="AO94" s="314">
        <f t="array" ref="AO94">INDEX(Demand_previous!$D$4:$AY$138, MATCH('Staging Table'!$A94, Demand_previous!$B$4:$B$138, 0), MATCH(AO$4&amp;AO$5,Demand_previous!$D$2:$AY$2&amp;Demand_previous!$D$3:$AY$3, 0))/1000</f>
        <v>1.2301105769230762</v>
      </c>
      <c r="AP94" s="314">
        <f t="array" ref="AP94">INDEX(Demand_previous!$D$4:$AY$138, MATCH('Staging Table'!$A94, Demand_previous!$B$4:$B$138, 0), MATCH(AP$4&amp;AP$5,Demand_previous!$D$2:$AY$2&amp;Demand_previous!$D$3:$AY$3, 0))/1000</f>
        <v>1.7084831730769219</v>
      </c>
      <c r="AQ94" s="314">
        <f t="array" ref="AQ94">INDEX(Demand_previous!$D$4:$AY$138, MATCH('Staging Table'!$A94, Demand_previous!$B$4:$B$138, 0), MATCH(AQ$4&amp;AQ$5,Demand_previous!$D$2:$AY$2&amp;Demand_previous!$D$3:$AY$3, 0))/1000</f>
        <v>0</v>
      </c>
      <c r="AR94" s="314">
        <f t="array" ref="AR94">INDEX(Demand_previous!$D$4:$AY$138, MATCH('Staging Table'!$A94, Demand_previous!$B$4:$B$138, 0), MATCH(AR$4&amp;AR$5,Demand_previous!$D$2:$AY$2&amp;Demand_previous!$D$3:$AY$3, 0))/1000</f>
        <v>1.8815048076923069</v>
      </c>
      <c r="AS94" s="314">
        <f t="array" ref="AS94">INDEX(Demand_previous!$D$4:$AY$138, MATCH('Staging Table'!$A94, Demand_previous!$B$4:$B$138, 0), MATCH(AS$4&amp;AS$5,Demand_previous!$D$2:$AY$2&amp;Demand_previous!$D$3:$AY$3, 0))/1000</f>
        <v>2.1538076923076912</v>
      </c>
      <c r="AT94" s="314">
        <f t="array" ref="AT94">INDEX(Demand_previous!$D$4:$AY$138, MATCH('Staging Table'!$A94, Demand_previous!$B$4:$B$138, 0), MATCH(AT$4&amp;AT$5,Demand_previous!$D$2:$AY$2&amp;Demand_previous!$D$3:$AY$3, 0))/1000</f>
        <v>2.4272187499999989</v>
      </c>
      <c r="AU94" s="314">
        <f t="array" ref="AU94">INDEX(Demand_previous!$D$4:$AY$138, MATCH('Staging Table'!$A94, Demand_previous!$B$4:$B$138, 0), MATCH(AU$4&amp;AU$5,Demand_previous!$D$2:$AY$2&amp;Demand_previous!$D$3:$AY$3, 0))/1000</f>
        <v>0.93271249999999961</v>
      </c>
      <c r="AV94" s="192">
        <f>$F94*(VLOOKUP(AV$4, Rates_previous!$G$6:$Q$29, 10, FALSE)+VLOOKUP(AV$4, Rates_previous!$G$6:$Q$29, 11, FALSE))</f>
        <v>6458.7032937647991</v>
      </c>
      <c r="AW94" s="192">
        <f>$F94*(VLOOKUP(AW$4, Rates_previous!$G$6:$Q$29, 10, FALSE)+VLOOKUP(AW$4, Rates_previous!$G$6:$Q$29, 11, FALSE))</f>
        <v>8204.5680147132007</v>
      </c>
      <c r="AX94" s="192">
        <f>$F94*(VLOOKUP(AX$4, Rates_previous!$G$6:$Q$29, 10, FALSE)+VLOOKUP(AX$4, Rates_previous!$G$6:$Q$29, 11, FALSE))</f>
        <v>8105.4867541648</v>
      </c>
      <c r="AY94" s="192">
        <f>$F94*(VLOOKUP(AY$4, Rates_previous!$G$6:$Q$29, 10, FALSE)+VLOOKUP(AY$4, Rates_previous!$G$6:$Q$29, 11, FALSE))</f>
        <v>6756.4168917648003</v>
      </c>
      <c r="AZ94" s="192">
        <f>$F94*(VLOOKUP(AZ$4, Rates_previous!$G$6:$Q$29, 10, FALSE)+VLOOKUP(AZ$4, Rates_previous!$G$6:$Q$29, 11, FALSE))</f>
        <v>6120.6127798399993</v>
      </c>
      <c r="BA94" s="192">
        <f>$F94*(VLOOKUP(BA$4, Rates_previous!$G$6:$Q$29, 10, FALSE)+VLOOKUP(BA$4, Rates_previous!$G$6:$Q$29, 11, FALSE))</f>
        <v>6808.0658206755998</v>
      </c>
      <c r="BB94" s="192">
        <f>$F94*(VLOOKUP(BB$4, Rates_previous!$G$6:$Q$29, 10, FALSE)+VLOOKUP(BB$4, Rates_previous!$G$6:$Q$29, 11, FALSE))</f>
        <v>5543.1345378239994</v>
      </c>
      <c r="BC94" s="192">
        <f>$F94*(VLOOKUP(BC$4, Rates_previous!$G$6:$Q$29, 10, FALSE)+VLOOKUP(BC$4, Rates_previous!$G$6:$Q$29, 11, FALSE))</f>
        <v>7475.7434971648008</v>
      </c>
      <c r="BD94" s="192">
        <f>$F94*(VLOOKUP(BD$4, Rates_previous!$G$6:$Q$29, 10, FALSE)+VLOOKUP(BD$4, Rates_previous!$G$6:$Q$29, 11, FALSE))</f>
        <v>9538.5402664240009</v>
      </c>
      <c r="BE94" s="192">
        <f>$F94*(VLOOKUP(BE$4, Rates_previous!$G$6:$Q$29, 10, FALSE)+VLOOKUP(BE$4, Rates_previous!$G$6:$Q$29, 11, FALSE))</f>
        <v>7478.5180169648002</v>
      </c>
      <c r="BF94" s="192">
        <f>$F94*(VLOOKUP(BF$4, Rates_previous!$G$6:$Q$29, 10, FALSE)+VLOOKUP(BF$4, Rates_previous!$G$6:$Q$29, 11, FALSE))</f>
        <v>7282.5874015648005</v>
      </c>
      <c r="BG94" s="192">
        <f>$F94*(VLOOKUP(BG$4, Rates_previous!$G$6:$Q$29, 10, FALSE)+VLOOKUP(BG$4, Rates_previous!$G$6:$Q$29, 11, FALSE))</f>
        <v>6538.2142806240008</v>
      </c>
      <c r="BH94" s="314">
        <f>IF($D94=0,IF(C94=0, MAX(BJ94 - (VLOOKUP($A94,TOCA_previous!$A$2:$AI$137,MATCH("RHWM 2020",TOCA_previous!$A$2:$AI$2,0),FALSE)*$F$2*TOCA_previous!C91),0),0), 0)</f>
        <v>4224.7382396207977</v>
      </c>
      <c r="BI94" s="204">
        <f>MIN(VLOOKUP($A94,TOCA_previous!$A$2:$AI$137,MATCH("TRL - NLSL - Existing Resource "&amp;$F$1,TOCA_previous!$A$2:$AI$2,0),FALSE)*$F$2,(VLOOKUP($A94,TOCA_previous!$A$2:$AI$137,MATCH("RHWM 2020",TOCA_previous!$A$2:$AI$2,0),FALSE)*$F$2))</f>
        <v>86311.584000000003</v>
      </c>
      <c r="BJ94" s="418">
        <f>SUM(L94:AI94)+(F94*RT1SC!$C$3*$F$2)</f>
        <v>92987.058239620805</v>
      </c>
      <c r="BK94" s="417">
        <f>VLOOKUP($A94,TOCA_previous!$A$2:$AI$137,MATCH("Above RHWM Not Served with LS "&amp;$F$1,TOCA_previous!$A$2:$AI$2,0),FALSE)*$F$2</f>
        <v>0</v>
      </c>
      <c r="BL94" s="418">
        <f t="shared" si="27"/>
        <v>6675.4742396208021</v>
      </c>
      <c r="BM94" s="417">
        <f>(VLOOKUP($A94,TOCA_previous!$A$2:$AI$137,MATCH("RHWM 2020",TOCA_previous!$A$2:$AI$2,0),FALSE)*$F$2) - $BI94</f>
        <v>2450.7360000000044</v>
      </c>
      <c r="BN94" s="418">
        <f t="shared" si="28"/>
        <v>-2450.7360000000044</v>
      </c>
      <c r="BO94" s="417">
        <f t="shared" si="29"/>
        <v>0</v>
      </c>
      <c r="BP94" s="418">
        <f t="shared" si="30"/>
        <v>0</v>
      </c>
      <c r="BQ94" s="417">
        <f t="shared" si="21"/>
        <v>-2450.7360000000044</v>
      </c>
      <c r="BR94" s="120">
        <f>VLOOKUP($A94,TOCA_current!$A$2:$AI$137,MATCH(BR$4,TOCA_current!$A$2:$AI$2,0),FALSE)</f>
        <v>1.4385000000000001E-3</v>
      </c>
      <c r="BS94" s="120">
        <f>VLOOKUP($A94,TOCA_current!$A$2:$AI$137,MATCH(BS$4,TOCA_current!$A$2:$AI$2,0),FALSE)</f>
        <v>1.4385000000000001E-3</v>
      </c>
      <c r="BT94" s="201">
        <f t="shared" si="31"/>
        <v>0</v>
      </c>
      <c r="BU94" s="120">
        <f>VLOOKUP($A94,TOCA_current!A90:BG225,MATCH(BU$4,TOCA_current!$A$2:$BG$2,0),FALSE)</f>
        <v>5.0479876160990714E-2</v>
      </c>
      <c r="BV94" s="120">
        <f t="shared" si="22"/>
        <v>0</v>
      </c>
      <c r="BW94" s="120">
        <f t="shared" si="23"/>
        <v>0</v>
      </c>
      <c r="BX94" s="191">
        <f>VLOOKUP($A94,IRD!$A$4:$G$139, 7, FALSE)</f>
        <v>0</v>
      </c>
      <c r="BY94" s="192">
        <f t="array" ref="BY94">IF($BT94=0, INDEX(LS_current!$D$4:$AY$138, MATCH('Staging Table'!$A94, LS_current!$B$4:$B$138, 0), MATCH(BY$4&amp;BY$5, LS_current!$D$2:$AY$2&amp;LS_current!$D$3:$AY$3, 0)),SUM(VLOOKUP($A94, LS_current!$B$4:$AY$138, LS_current!D$148, FALSE), VLOOKUP($A94, LS_current!$B$4:$AY$138,LS_current!AB$148, FALSE))/2)</f>
        <v>227.75120446568326</v>
      </c>
      <c r="BZ94" s="192">
        <f t="array" ref="BZ94">IF($BT94=0, INDEX(LS_current!$D$4:$AY$138, MATCH('Staging Table'!$A94, LS_current!$B$4:$B$138, 0), MATCH(BZ$4&amp;BZ$5, LS_current!$D$2:$AY$2&amp;LS_current!$D$3:$AY$3, 0)),SUM(VLOOKUP($A94, LS_current!$B$4:$AY$138, LS_current!E$148, FALSE), VLOOKUP($A94, LS_current!$B$4:$AY$138,LS_current!AC$148, FALSE))/2)</f>
        <v>815.46251626674075</v>
      </c>
      <c r="CA94" s="192">
        <f t="array" ref="CA94">IF($BT94=0, INDEX(LS_current!$D$4:$AY$138, MATCH('Staging Table'!$A94, LS_current!$B$4:$B$138, 0), MATCH(CA$4&amp;CA$5, LS_current!$D$2:$AY$2&amp;LS_current!$D$3:$AY$3, 0)),SUM(VLOOKUP($A94, LS_current!$B$4:$AY$138, LS_current!F$148, FALSE), VLOOKUP($A94, LS_current!$B$4:$AY$138,LS_current!AD$148, FALSE))/2)</f>
        <v>128.22587215591284</v>
      </c>
      <c r="CB94" s="192">
        <f t="array" ref="CB94">IF($BT94=0, INDEX(LS_current!$D$4:$AY$138, MATCH('Staging Table'!$A94, LS_current!$B$4:$B$138, 0), MATCH(CB$4&amp;CB$5, LS_current!$D$2:$AY$2&amp;LS_current!$D$3:$AY$3, 0)),SUM(VLOOKUP($A94, LS_current!$B$4:$AY$138, LS_current!G$148, FALSE), VLOOKUP($A94, LS_current!$B$4:$AY$138,LS_current!AE$148, FALSE))/2)</f>
        <v>523.65590866289131</v>
      </c>
      <c r="CC94" s="192">
        <f t="array" ref="CC94">IF($BT94=0, INDEX(LS_current!$D$4:$AY$138, MATCH('Staging Table'!$A94, LS_current!$B$4:$B$138, 0), MATCH(CC$4&amp;CC$5, LS_current!$D$2:$AY$2&amp;LS_current!$D$3:$AY$3, 0)),SUM(VLOOKUP($A94, LS_current!$B$4:$AY$138, LS_current!H$148, FALSE), VLOOKUP($A94, LS_current!$B$4:$AY$138,LS_current!AF$148, FALSE))/2)</f>
        <v>2163.7020697264779</v>
      </c>
      <c r="CD94" s="192">
        <f t="array" ref="CD94">IF($BT94=0, INDEX(LS_current!$D$4:$AY$138, MATCH('Staging Table'!$A94, LS_current!$B$4:$B$138, 0), MATCH(CD$4&amp;CD$5, LS_current!$D$2:$AY$2&amp;LS_current!$D$3:$AY$3, 0)),SUM(VLOOKUP($A94, LS_current!$B$4:$AY$138, LS_current!I$148, FALSE), VLOOKUP($A94, LS_current!$B$4:$AY$138,LS_current!AG$148, FALSE))/2)</f>
        <v>1227.078729022548</v>
      </c>
      <c r="CE94" s="192">
        <f t="array" ref="CE94">IF($BT94=0, INDEX(LS_current!$D$4:$AY$138, MATCH('Staging Table'!$A94, LS_current!$B$4:$B$138, 0), MATCH(CE$4&amp;CE$5, LS_current!$D$2:$AY$2&amp;LS_current!$D$3:$AY$3, 0)),SUM(VLOOKUP($A94, LS_current!$B$4:$AY$138, LS_current!J$148, FALSE), VLOOKUP($A94, LS_current!$B$4:$AY$138,LS_current!AH$148, FALSE))/2)</f>
        <v>2881.4825652962036</v>
      </c>
      <c r="CF94" s="192">
        <f t="array" ref="CF94">IF($BT94=0, INDEX(LS_current!$D$4:$AY$138, MATCH('Staging Table'!$A94, LS_current!$B$4:$B$138, 0), MATCH(CF$4&amp;CF$5, LS_current!$D$2:$AY$2&amp;LS_current!$D$3:$AY$3, 0)),SUM(VLOOKUP($A94, LS_current!$B$4:$AY$138, LS_current!K$148, FALSE), VLOOKUP($A94, LS_current!$B$4:$AY$138,LS_current!AI$148, FALSE))/2)</f>
        <v>2288.5106706844763</v>
      </c>
      <c r="CG94" s="192">
        <f t="array" ref="CG94">IF($BT94=0, INDEX(LS_current!$D$4:$AY$138, MATCH('Staging Table'!$A94, LS_current!$B$4:$B$138, 0), MATCH(CG$4&amp;CG$5, LS_current!$D$2:$AY$2&amp;LS_current!$D$3:$AY$3, 0)),SUM(VLOOKUP($A94, LS_current!$B$4:$AY$138, LS_current!L$148, FALSE), VLOOKUP($A94, LS_current!$B$4:$AY$138,LS_current!AJ$148, FALSE))/2)</f>
        <v>2193.1512599877747</v>
      </c>
      <c r="CH94" s="192">
        <f t="array" ref="CH94">IF($BT94=0, INDEX(LS_current!$D$4:$AY$138, MATCH('Staging Table'!$A94, LS_current!$B$4:$B$138, 0), MATCH(CH$4&amp;CH$5, LS_current!$D$2:$AY$2&amp;LS_current!$D$3:$AY$3, 0)),SUM(VLOOKUP($A94, LS_current!$B$4:$AY$138, LS_current!M$148, FALSE), VLOOKUP($A94, LS_current!$B$4:$AY$138,LS_current!AK$148, FALSE))/2)</f>
        <v>1401.0498282185526</v>
      </c>
      <c r="CI94" s="192">
        <f t="array" ref="CI94">IF($BT94=0, INDEX(LS_current!$D$4:$AY$138, MATCH('Staging Table'!$A94, LS_current!$B$4:$B$138, 0), MATCH(CI$4&amp;CI$5, LS_current!$D$2:$AY$2&amp;LS_current!$D$3:$AY$3, 0)),SUM(VLOOKUP($A94, LS_current!$B$4:$AY$138, LS_current!N$148, FALSE), VLOOKUP($A94, LS_current!$B$4:$AY$138,LS_current!AL$148, FALSE))/2)</f>
        <v>1096.1802369884072</v>
      </c>
      <c r="CJ94" s="192">
        <f t="array" ref="CJ94">IF($BT94=0, INDEX(LS_current!$D$4:$AY$138, MATCH('Staging Table'!$A94, LS_current!$B$4:$B$138, 0), MATCH(CJ$4&amp;CJ$5, LS_current!$D$2:$AY$2&amp;LS_current!$D$3:$AY$3, 0)),SUM(VLOOKUP($A94, LS_current!$B$4:$AY$138, LS_current!O$148, FALSE), VLOOKUP($A94, LS_current!$B$4:$AY$138,LS_current!AM$148, FALSE))/2)</f>
        <v>883.76500405974593</v>
      </c>
      <c r="CK94" s="192">
        <f t="array" ref="CK94">IF($BT94=0, INDEX(LS_current!$D$4:$AY$138, MATCH('Staging Table'!$A94, LS_current!$B$4:$B$138, 0), MATCH(CK$4&amp;CK$5, LS_current!$D$2:$AY$2&amp;LS_current!$D$3:$AY$3, 0)),SUM(VLOOKUP($A94, LS_current!$B$4:$AY$138, LS_current!P$148, FALSE), VLOOKUP($A94, LS_current!$B$4:$AY$138,LS_current!AN$148, FALSE))/2)</f>
        <v>1295.4163396322074</v>
      </c>
      <c r="CL94" s="192">
        <f t="array" ref="CL94">IF($BT94=0, INDEX(LS_current!$D$4:$AY$138, MATCH('Staging Table'!$A94, LS_current!$B$4:$B$138, 0), MATCH(CL$4&amp;CL$5, LS_current!$D$2:$AY$2&amp;LS_current!$D$3:$AY$3, 0)),SUM(VLOOKUP($A94, LS_current!$B$4:$AY$138, LS_current!Q$148, FALSE), VLOOKUP($A94, LS_current!$B$4:$AY$138,LS_current!AO$148, FALSE))/2)</f>
        <v>1026.2471519116525</v>
      </c>
      <c r="CM94" s="192">
        <f t="array" ref="CM94">IF($BT94=0, INDEX(LS_current!$D$4:$AY$138, MATCH('Staging Table'!$A94, LS_current!$B$4:$B$138, 0), MATCH(CM$4&amp;CM$5, LS_current!$D$2:$AY$2&amp;LS_current!$D$3:$AY$3, 0)),SUM(VLOOKUP($A94, LS_current!$B$4:$AY$138, LS_current!R$148, FALSE), VLOOKUP($A94, LS_current!$B$4:$AY$138,LS_current!AP$148, FALSE))/2)</f>
        <v>-1891.743366235286</v>
      </c>
      <c r="CN94" s="192">
        <f t="array" ref="CN94">IF($BT94=0, INDEX(LS_current!$D$4:$AY$138, MATCH('Staging Table'!$A94, LS_current!$B$4:$B$138, 0), MATCH(CN$4&amp;CN$5, LS_current!$D$2:$AY$2&amp;LS_current!$D$3:$AY$3, 0)),SUM(VLOOKUP($A94, LS_current!$B$4:$AY$138, LS_current!S$148, FALSE), VLOOKUP($A94, LS_current!$B$4:$AY$138,LS_current!AQ$148, FALSE))/2)</f>
        <v>-86.565104164471904</v>
      </c>
      <c r="CO94" s="192">
        <f t="array" ref="CO94">IF($BT94=0, INDEX(LS_current!$D$4:$AY$138, MATCH('Staging Table'!$A94, LS_current!$B$4:$B$138, 0), MATCH(CO$4&amp;CO$5, LS_current!$D$2:$AY$2&amp;LS_current!$D$3:$AY$3, 0)),SUM(VLOOKUP($A94, LS_current!$B$4:$AY$138, LS_current!T$148, FALSE), VLOOKUP($A94, LS_current!$B$4:$AY$138,LS_current!AR$148, FALSE))/2)</f>
        <v>-2311.4959952368599</v>
      </c>
      <c r="CP94" s="192">
        <f t="array" ref="CP94">IF($BT94=0, INDEX(LS_current!$D$4:$AY$138, MATCH('Staging Table'!$A94, LS_current!$B$4:$B$138, 0), MATCH(CP$4&amp;CP$5, LS_current!$D$2:$AY$2&amp;LS_current!$D$3:$AY$3, 0)),SUM(VLOOKUP($A94, LS_current!$B$4:$AY$138, LS_current!U$148, FALSE), VLOOKUP($A94, LS_current!$B$4:$AY$138,LS_current!AS$148, FALSE))/2)</f>
        <v>-209.29194526206174</v>
      </c>
      <c r="CQ94" s="192">
        <f t="array" ref="CQ94">IF($BT94=0, INDEX(LS_current!$D$4:$AY$138, MATCH('Staging Table'!$A94, LS_current!$B$4:$B$138, 0), MATCH(CQ$4&amp;CQ$5, LS_current!$D$2:$AY$2&amp;LS_current!$D$3:$AY$3, 0)),SUM(VLOOKUP($A94, LS_current!$B$4:$AY$138, LS_current!V$148, FALSE), VLOOKUP($A94, LS_current!$B$4:$AY$138,LS_current!AT$148, FALSE))/2)</f>
        <v>-1852.0465975536763</v>
      </c>
      <c r="CR94" s="192">
        <f t="array" ref="CR94">IF($BT94=0, INDEX(LS_current!$D$4:$AY$138, MATCH('Staging Table'!$A94, LS_current!$B$4:$B$138, 0), MATCH(CR$4&amp;CR$5, LS_current!$D$2:$AY$2&amp;LS_current!$D$3:$AY$3, 0)),SUM(VLOOKUP($A94, LS_current!$B$4:$AY$138, LS_current!W$148, FALSE), VLOOKUP($A94, LS_current!$B$4:$AY$138,LS_current!AU$148, FALSE))/2)</f>
        <v>-285.94445189732778</v>
      </c>
      <c r="CS94" s="192">
        <f t="array" ref="CS94">IF($BT94=0, INDEX(LS_current!$D$4:$AY$138, MATCH('Staging Table'!$A94, LS_current!$B$4:$B$138, 0), MATCH(CS$4&amp;CS$5, LS_current!$D$2:$AY$2&amp;LS_current!$D$3:$AY$3, 0)),SUM(VLOOKUP($A94, LS_current!$B$4:$AY$138, LS_current!X$148, FALSE), VLOOKUP($A94, LS_current!$B$4:$AY$138,LS_current!AV$148, FALSE))/2)</f>
        <v>-1395.4862925895386</v>
      </c>
      <c r="CT94" s="192">
        <f t="array" ref="CT94">IF($BT94=0, INDEX(LS_current!$D$4:$AY$138, MATCH('Staging Table'!$A94, LS_current!$B$4:$B$138, 0), MATCH(CT$4&amp;CT$5, LS_current!$D$2:$AY$2&amp;LS_current!$D$3:$AY$3, 0)),SUM(VLOOKUP($A94, LS_current!$B$4:$AY$138, LS_current!Y$148, FALSE), VLOOKUP($A94, LS_current!$B$4:$AY$138,LS_current!AW$148, FALSE))/2)</f>
        <v>-397.46948380970571</v>
      </c>
      <c r="CU94" s="192">
        <f t="array" ref="CU94">IF($BT94=0, INDEX(LS_current!$D$4:$AY$138, MATCH('Staging Table'!$A94, LS_current!$B$4:$B$138, 0), MATCH(CU$4&amp;CU$5, LS_current!$D$2:$AY$2&amp;LS_current!$D$3:$AY$3, 0)),SUM(VLOOKUP($A94, LS_current!$B$4:$AY$138, LS_current!Z$148, FALSE), VLOOKUP($A94, LS_current!$B$4:$AY$138,LS_current!AX$148, FALSE))/2)</f>
        <v>-1230.93186355325</v>
      </c>
      <c r="CV94" s="192">
        <f t="array" ref="CV94">IF($BT94=0, INDEX(LS_current!$D$4:$AY$138, MATCH('Staging Table'!$A94, LS_current!$B$4:$B$138, 0), MATCH(CV$4&amp;CV$5, LS_current!$D$2:$AY$2&amp;LS_current!$D$3:$AY$3, 0)),SUM(VLOOKUP($A94, LS_current!$B$4:$AY$138, LS_current!AA$148, FALSE), VLOOKUP($A94, LS_current!$B$4:$AY$138,LS_current!AY$148, FALSE))/2)</f>
        <v>-390.2561267998658</v>
      </c>
      <c r="CW94" s="194">
        <f t="array" ref="CW94">INDEX(Demand_current!$D$4:$AY$138, MATCH($A94, Demand_current!$B$4:$B$138, 0), MATCH(CW$4&amp;CW$5,Demand_current!$D$2:$AY$2&amp;Demand_current!$D$3:$AY$3, 0))/1000</f>
        <v>1.4676250000000008</v>
      </c>
      <c r="CX94" s="194">
        <f t="array" ref="CX94">INDEX(Demand_current!$D$4:$AY$138, MATCH($A94, Demand_current!$B$4:$B$138, 0), MATCH(CX$4&amp;CX$5,Demand_current!$D$2:$AY$2&amp;Demand_current!$D$3:$AY$3, 0))/1000</f>
        <v>1.3691000000000004</v>
      </c>
      <c r="CY94" s="194">
        <f t="array" ref="CY94">INDEX(Demand_current!$D$4:$AY$138, MATCH($A94, Demand_current!$B$4:$B$138, 0), MATCH(CY$4&amp;CY$5,Demand_current!$D$2:$AY$2&amp;Demand_current!$D$3:$AY$3, 0))/1000</f>
        <v>3.3628581730769236</v>
      </c>
      <c r="CZ94" s="194">
        <f t="array" ref="CZ94">INDEX(Demand_current!$D$4:$AY$138, MATCH($A94, Demand_current!$B$4:$B$138, 0), MATCH(CZ$4&amp;CZ$5,Demand_current!$D$2:$AY$2&amp;Demand_current!$D$3:$AY$3, 0))/1000</f>
        <v>3.3385500000000032</v>
      </c>
      <c r="DA94" s="194">
        <f t="array" ref="DA94">INDEX(Demand_current!$D$4:$AY$138, MATCH($A94, Demand_current!$B$4:$B$138, 0), MATCH(DA$4&amp;DA$5,Demand_current!$D$2:$AY$2&amp;Demand_current!$D$3:$AY$3, 0))/1000</f>
        <v>1.4817473958333345</v>
      </c>
      <c r="DB94" s="194">
        <f t="array" ref="DB94">INDEX(Demand_current!$D$4:$AY$138, MATCH($A94, Demand_current!$B$4:$B$138, 0), MATCH(DB$4&amp;DB$5,Demand_current!$D$2:$AY$2&amp;Demand_current!$D$3:$AY$3, 0))/1000</f>
        <v>1.7070324074074072</v>
      </c>
      <c r="DC94" s="194">
        <f t="array" ref="DC94">INDEX(Demand_current!$D$4:$AY$138, MATCH($A94, Demand_current!$B$4:$B$138, 0), MATCH(DC$4&amp;DC$5,Demand_current!$D$2:$AY$2&amp;Demand_current!$D$3:$AY$3, 0))/1000</f>
        <v>1.7084831730769219</v>
      </c>
      <c r="DD94" s="194">
        <f t="array" ref="DD94">INDEX(Demand_current!$D$4:$AY$138, MATCH($A94, Demand_current!$B$4:$B$138, 0), MATCH(DD$4&amp;DD$5,Demand_current!$D$2:$AY$2&amp;Demand_current!$D$3:$AY$3, 0))/1000</f>
        <v>0</v>
      </c>
      <c r="DE94" s="194">
        <f t="array" ref="DE94">INDEX(Demand_current!$D$4:$AY$138, MATCH($A94, Demand_current!$B$4:$B$138, 0), MATCH(DE$4&amp;DE$5,Demand_current!$D$2:$AY$2&amp;Demand_current!$D$3:$AY$3, 0))/1000</f>
        <v>1.8815048076923069</v>
      </c>
      <c r="DF94" s="194">
        <f t="array" ref="DF94">INDEX(Demand_current!$D$4:$AY$138, MATCH($A94, Demand_current!$B$4:$B$138, 0), MATCH(DF$4&amp;DF$5,Demand_current!$D$2:$AY$2&amp;Demand_current!$D$3:$AY$3, 0))/1000</f>
        <v>1.8470399999999993</v>
      </c>
      <c r="DG94" s="194">
        <f t="array" ref="DG94">INDEX(Demand_current!$D$4:$AY$138, MATCH($A94, Demand_current!$B$4:$B$138, 0), MATCH(DG$4&amp;DG$5,Demand_current!$D$2:$AY$2&amp;Demand_current!$D$3:$AY$3, 0))/1000</f>
        <v>2.7416550925925924</v>
      </c>
      <c r="DH94" s="194">
        <f t="array" ref="DH94">INDEX(Demand_current!$D$4:$AY$138, MATCH($A94, Demand_current!$B$4:$B$138, 0), MATCH(DH$4&amp;DH$5,Demand_current!$D$2:$AY$2&amp;Demand_current!$D$3:$AY$3, 0))/1000</f>
        <v>0.93271249999999961</v>
      </c>
      <c r="DI94" s="192">
        <f>$BS94*(VLOOKUP(DI$4, Rates_current!$G$6:$Q$29, 10, FALSE)+VLOOKUP(DI$4, Rates_current!$G$6:$Q$29, 11, FALSE))</f>
        <v>6550.8202792675756</v>
      </c>
      <c r="DJ94" s="192">
        <f>$BS94*(VLOOKUP(DJ$4, Rates_current!$G$6:$Q$29, 10, FALSE)+VLOOKUP(DJ$4, Rates_current!$G$6:$Q$29, 11, FALSE))</f>
        <v>8293.5762191811973</v>
      </c>
      <c r="DK94" s="192">
        <f>$BS94*(VLOOKUP(DK$4, Rates_current!$G$6:$Q$29, 10, FALSE)+VLOOKUP(DK$4, Rates_current!$G$6:$Q$29, 11, FALSE))</f>
        <v>8117.7542012509757</v>
      </c>
      <c r="DL94" s="192">
        <f>$BS94*(VLOOKUP(DL$4, Rates_current!$G$6:$Q$29, 10, FALSE)+VLOOKUP(DL$4, Rates_current!$G$6:$Q$29, 11, FALSE))</f>
        <v>6704.9197640193197</v>
      </c>
      <c r="DM94" s="192">
        <f>$BS94*(VLOOKUP(DM$4, Rates_current!$G$6:$Q$29, 10, FALSE)+VLOOKUP(DM$4, Rates_current!$G$6:$Q$29, 11, FALSE))</f>
        <v>5811.3009117936726</v>
      </c>
      <c r="DN94" s="192">
        <f>$BS94*(VLOOKUP(DN$4, Rates_current!$G$6:$Q$29, 10, FALSE)+VLOOKUP(DN$4, Rates_current!$G$6:$Q$29, 11, FALSE))</f>
        <v>6937.5197589518475</v>
      </c>
      <c r="DO94" s="192">
        <f>$BS94*(VLOOKUP(DO$4, Rates_current!$G$6:$Q$29, 10, FALSE)+VLOOKUP(DO$4, Rates_current!$G$6:$Q$29, 11, FALSE))</f>
        <v>5386.0605084561403</v>
      </c>
      <c r="DP94" s="192">
        <f>$BS94*(VLOOKUP(DP$4, Rates_current!$G$6:$Q$29, 10, FALSE)+VLOOKUP(DP$4, Rates_current!$G$6:$Q$29, 11, FALSE))</f>
        <v>7462.4264703997578</v>
      </c>
      <c r="DQ94" s="192">
        <f>$BS94*(VLOOKUP(DQ$4, Rates_current!$G$6:$Q$29, 10, FALSE)+VLOOKUP(DQ$4, Rates_current!$G$6:$Q$29, 11, FALSE))</f>
        <v>7973.7589404989203</v>
      </c>
      <c r="DR94" s="192">
        <f>$BS94*(VLOOKUP(DR$4, Rates_current!$G$6:$Q$29, 10, FALSE)+VLOOKUP(DR$4, Rates_current!$G$6:$Q$29, 11, FALSE))</f>
        <v>7570.723049451005</v>
      </c>
      <c r="DS94" s="192">
        <f>$BS94*(VLOOKUP(DS$4, Rates_current!$G$6:$Q$29, 10, FALSE)+VLOOKUP(DS$4, Rates_current!$G$6:$Q$29, 11, FALSE))</f>
        <v>7316.5197763992437</v>
      </c>
      <c r="DT94" s="192">
        <f>$BS94*(VLOOKUP(DT$4, Rates_current!$G$6:$Q$29, 10, FALSE)+VLOOKUP(DT$4, Rates_current!$G$6:$Q$29, 11, FALSE))</f>
        <v>6761.226990353116</v>
      </c>
      <c r="DU94" s="418">
        <f>IF(D94=0,IF(C94=0,MAX(0,DW94 - (VLOOKUP($A94,TOCA_current!$A$2:$AI$137,MATCH("RHWM 2022",TOCA_current!$A$2:$AI$2,0),FALSE)*$BS$2)), 0),0)</f>
        <v>8102.6593423172599</v>
      </c>
      <c r="DV94" s="419">
        <f>MIN(VLOOKUP($A94,TOCA_current!$A$2:$AI$137,MATCH("TRL - NLSL - Existing Resource "&amp;$BS$1,TOCA_current!$A$2:$AI$2,0),FALSE)*$BS$2, VLOOKUP($A94,TOCA_current!$A$2:$AI$137,MATCH("RHWM 2022",TOCA_current!$A$2:$AI$2,0),FALSE)*$BS$2)</f>
        <v>84884.4</v>
      </c>
      <c r="DW94" s="419">
        <f>SUM(BY94:CV94)+(BS94*RT1SC!$C$4*$BS$2)</f>
        <v>92987.059342317254</v>
      </c>
      <c r="DX94" s="419">
        <f>VLOOKUP($A94,TOCA_current!$A$2:$AI$137,MATCH("Above RHWM Not Served with LS "&amp;$BS$1,TOCA_current!$A$2:$AI$2,0),FALSE)*$BS$2</f>
        <v>0</v>
      </c>
      <c r="DY94" s="419">
        <f t="shared" si="32"/>
        <v>8102.6593423172599</v>
      </c>
      <c r="DZ94" s="419">
        <f>(VLOOKUP($A94,TOCA_current!$A$2:$AI$137,MATCH("RHWM 2022",TOCA_current!$A$2:$AI$2,0),FALSE)*$BS$2) - $DV94</f>
        <v>0</v>
      </c>
      <c r="EA94" s="419">
        <f t="shared" si="33"/>
        <v>0</v>
      </c>
      <c r="EB94" s="419">
        <f t="shared" si="34"/>
        <v>0</v>
      </c>
      <c r="EC94" s="419">
        <f t="shared" si="35"/>
        <v>0</v>
      </c>
      <c r="ED94" s="419">
        <f t="shared" si="36"/>
        <v>0</v>
      </c>
    </row>
    <row r="95" spans="1:134">
      <c r="A95" s="135">
        <v>10285</v>
      </c>
      <c r="B95" s="136" t="s">
        <v>96</v>
      </c>
      <c r="C95" s="244">
        <f>VLOOKUP(A95, TOCA_current!$A$3:$D$137, 4, FALSE)</f>
        <v>1</v>
      </c>
      <c r="D95" s="203">
        <v>0</v>
      </c>
      <c r="E95" s="119">
        <f>VLOOKUP($A95,TOCA_previous!$A$2:$AI$137,MATCH(E$4,TOCA_previous!$A$2:$AI$2,0),FALSE)</f>
        <v>9.2449999999999997E-4</v>
      </c>
      <c r="F95" s="120">
        <f>VLOOKUP($A95,TOCA_previous!$A$2:$AI$137,MATCH(F$4,TOCA_previous!$A$2:$AI$2,0),FALSE)</f>
        <v>9.2449999999999997E-4</v>
      </c>
      <c r="G95" s="120">
        <f t="shared" si="24"/>
        <v>0</v>
      </c>
      <c r="H95" s="120">
        <f>VLOOKUP($A95,TOCA_previous!$A$2:$AI$137,MATCH(H$4,TOCA_previous!$A$2:$AI$2,0),FALSE)</f>
        <v>6.9674314752078845E-2</v>
      </c>
      <c r="I95" s="120">
        <f t="shared" si="25"/>
        <v>6.9674314752078845E-2</v>
      </c>
      <c r="J95" s="120">
        <f t="shared" si="26"/>
        <v>9.2449999999999997E-4</v>
      </c>
      <c r="K95" s="191">
        <f>VLOOKUP(A95, IRD!$A$5:$C$139, 3, FALSE)</f>
        <v>0</v>
      </c>
      <c r="L95" s="192">
        <f t="array" ref="L95">IF($G95=0, INDEX(LS_previous!$D$4:$AY$138, MATCH('Staging Table'!$A95, LS_previous!$B$4:$B$138, 0), MATCH(L$4&amp;L$5, LS_previous!$D$2:$AY$2&amp;LS_previous!$D$3:$AY$3, 0)),SUM(VLOOKUP($A95, LS_previous!$B$4:$AY$138, LS_previous!D$149, FALSE), VLOOKUP('Staging Table'!$A95, LS_previous!$B$4:$AY$138,LS_previous!AB$149, FALSE))/2)</f>
        <v>0</v>
      </c>
      <c r="M95" s="192">
        <f t="array" ref="M95">IF($G95=0, INDEX(LS_previous!$D$4:$AY$138, MATCH('Staging Table'!$A95, LS_previous!$B$4:$B$138, 0), MATCH(M$4&amp;M$5, LS_previous!$D$2:$AY$2&amp;LS_previous!$D$3:$AY$3, 0)),SUM(VLOOKUP($A95, LS_previous!$B$4:$AY$138, LS_previous!E$149, FALSE), VLOOKUP('Staging Table'!$A95, LS_previous!$B$4:$AY$138,LS_previous!AC$149, FALSE))/2)</f>
        <v>0</v>
      </c>
      <c r="N95" s="192">
        <f t="array" ref="N95">IF($G95=0, INDEX(LS_previous!$D$4:$AY$138, MATCH('Staging Table'!$A95, LS_previous!$B$4:$B$138, 0), MATCH(N$4&amp;N$5, LS_previous!$D$2:$AY$2&amp;LS_previous!$D$3:$AY$3, 0)),SUM(VLOOKUP($A95, LS_previous!$B$4:$AY$138, LS_previous!F$149, FALSE), VLOOKUP('Staging Table'!$A95, LS_previous!$B$4:$AY$138,LS_previous!AD$149, FALSE))/2)</f>
        <v>0</v>
      </c>
      <c r="O95" s="192">
        <f t="array" ref="O95">IF($G95=0, INDEX(LS_previous!$D$4:$AY$138, MATCH('Staging Table'!$A95, LS_previous!$B$4:$B$138, 0), MATCH(O$4&amp;O$5, LS_previous!$D$2:$AY$2&amp;LS_previous!$D$3:$AY$3, 0)),SUM(VLOOKUP($A95, LS_previous!$B$4:$AY$138, LS_previous!G$149, FALSE), VLOOKUP('Staging Table'!$A95, LS_previous!$B$4:$AY$138,LS_previous!AE$149, FALSE))/2)</f>
        <v>0</v>
      </c>
      <c r="P95" s="192">
        <f t="array" ref="P95">IF($G95=0, INDEX(LS_previous!$D$4:$AY$138, MATCH('Staging Table'!$A95, LS_previous!$B$4:$B$138, 0), MATCH(P$4&amp;P$5, LS_previous!$D$2:$AY$2&amp;LS_previous!$D$3:$AY$3, 0)),SUM(VLOOKUP($A95, LS_previous!$B$4:$AY$138, LS_previous!H$149, FALSE), VLOOKUP('Staging Table'!$A95, LS_previous!$B$4:$AY$138,LS_previous!AF$149, FALSE))/2)</f>
        <v>0</v>
      </c>
      <c r="Q95" s="192">
        <f t="array" ref="Q95">IF($G95=0, INDEX(LS_previous!$D$4:$AY$138, MATCH('Staging Table'!$A95, LS_previous!$B$4:$B$138, 0), MATCH(Q$4&amp;Q$5, LS_previous!$D$2:$AY$2&amp;LS_previous!$D$3:$AY$3, 0)),SUM(VLOOKUP($A95, LS_previous!$B$4:$AY$138, LS_previous!I$149, FALSE), VLOOKUP('Staging Table'!$A95, LS_previous!$B$4:$AY$138,LS_previous!AG$149, FALSE))/2)</f>
        <v>0</v>
      </c>
      <c r="R95" s="192">
        <f t="array" ref="R95">IF($G95=0, INDEX(LS_previous!$D$4:$AY$138, MATCH('Staging Table'!$A95, LS_previous!$B$4:$B$138, 0), MATCH(R$4&amp;R$5, LS_previous!$D$2:$AY$2&amp;LS_previous!$D$3:$AY$3, 0)),SUM(VLOOKUP($A95, LS_previous!$B$4:$AY$138, LS_previous!J$149, FALSE), VLOOKUP('Staging Table'!$A95, LS_previous!$B$4:$AY$138,LS_previous!AH$149, FALSE))/2)</f>
        <v>0</v>
      </c>
      <c r="S95" s="192">
        <f t="array" ref="S95">IF($G95=0, INDEX(LS_previous!$D$4:$AY$138, MATCH('Staging Table'!$A95, LS_previous!$B$4:$B$138, 0), MATCH(S$4&amp;S$5, LS_previous!$D$2:$AY$2&amp;LS_previous!$D$3:$AY$3, 0)),SUM(VLOOKUP($A95, LS_previous!$B$4:$AY$138, LS_previous!K$149, FALSE), VLOOKUP('Staging Table'!$A95, LS_previous!$B$4:$AY$138,LS_previous!AI$149, FALSE))/2)</f>
        <v>0</v>
      </c>
      <c r="T95" s="192">
        <f t="array" ref="T95">IF($G95=0, INDEX(LS_previous!$D$4:$AY$138, MATCH('Staging Table'!$A95, LS_previous!$B$4:$B$138, 0), MATCH(T$4&amp;T$5, LS_previous!$D$2:$AY$2&amp;LS_previous!$D$3:$AY$3, 0)),SUM(VLOOKUP($A95, LS_previous!$B$4:$AY$138, LS_previous!L$149, FALSE), VLOOKUP('Staging Table'!$A95, LS_previous!$B$4:$AY$138,LS_previous!AJ$149, FALSE))/2)</f>
        <v>0</v>
      </c>
      <c r="U95" s="192">
        <f t="array" ref="U95">IF($G95=0, INDEX(LS_previous!$D$4:$AY$138, MATCH('Staging Table'!$A95, LS_previous!$B$4:$B$138, 0), MATCH(U$4&amp;U$5, LS_previous!$D$2:$AY$2&amp;LS_previous!$D$3:$AY$3, 0)),SUM(VLOOKUP($A95, LS_previous!$B$4:$AY$138, LS_previous!M$149, FALSE), VLOOKUP('Staging Table'!$A95, LS_previous!$B$4:$AY$138,LS_previous!AK$149, FALSE))/2)</f>
        <v>0</v>
      </c>
      <c r="V95" s="192">
        <f t="array" ref="V95">IF($G95=0, INDEX(LS_previous!$D$4:$AY$138, MATCH('Staging Table'!$A95, LS_previous!$B$4:$B$138, 0), MATCH(V$4&amp;V$5, LS_previous!$D$2:$AY$2&amp;LS_previous!$D$3:$AY$3, 0)),SUM(VLOOKUP($A95, LS_previous!$B$4:$AY$138, LS_previous!N$149, FALSE), VLOOKUP('Staging Table'!$A95, LS_previous!$B$4:$AY$138,LS_previous!AL$149, FALSE))/2)</f>
        <v>0</v>
      </c>
      <c r="W95" s="192">
        <f t="array" ref="W95">IF($G95=0, INDEX(LS_previous!$D$4:$AY$138, MATCH('Staging Table'!$A95, LS_previous!$B$4:$B$138, 0), MATCH(W$4&amp;W$5, LS_previous!$D$2:$AY$2&amp;LS_previous!$D$3:$AY$3, 0)),SUM(VLOOKUP($A95, LS_previous!$B$4:$AY$138, LS_previous!O$149, FALSE), VLOOKUP('Staging Table'!$A95, LS_previous!$B$4:$AY$138,LS_previous!AM$149, FALSE))/2)</f>
        <v>0</v>
      </c>
      <c r="X95" s="192">
        <f t="array" ref="X95">IF($G95=0, INDEX(LS_previous!$D$4:$AY$138, MATCH('Staging Table'!$A95, LS_previous!$B$4:$B$138, 0), MATCH(X$4&amp;X$5, LS_previous!$D$2:$AY$2&amp;LS_previous!$D$3:$AY$3, 0)),SUM(VLOOKUP($A95, LS_previous!$B$4:$AY$138, LS_previous!P$149, FALSE), VLOOKUP('Staging Table'!$A95, LS_previous!$B$4:$AY$138,LS_previous!AN$149, FALSE))/2)</f>
        <v>0</v>
      </c>
      <c r="Y95" s="192">
        <f t="array" ref="Y95">IF($G95=0, INDEX(LS_previous!$D$4:$AY$138, MATCH('Staging Table'!$A95, LS_previous!$B$4:$B$138, 0), MATCH(Y$4&amp;Y$5, LS_previous!$D$2:$AY$2&amp;LS_previous!$D$3:$AY$3, 0)),SUM(VLOOKUP($A95, LS_previous!$B$4:$AY$138, LS_previous!Q$149, FALSE), VLOOKUP('Staging Table'!$A95, LS_previous!$B$4:$AY$138,LS_previous!AO$149, FALSE))/2)</f>
        <v>0</v>
      </c>
      <c r="Z95" s="192">
        <f t="array" ref="Z95">IF($G95=0, INDEX(LS_previous!$D$4:$AY$138, MATCH('Staging Table'!$A95, LS_previous!$B$4:$B$138, 0), MATCH(Z$4&amp;Z$5, LS_previous!$D$2:$AY$2&amp;LS_previous!$D$3:$AY$3, 0)),SUM(VLOOKUP($A95, LS_previous!$B$4:$AY$138, LS_previous!R$149, FALSE), VLOOKUP('Staging Table'!$A95, LS_previous!$B$4:$AY$138,LS_previous!AP$149, FALSE))/2)</f>
        <v>0</v>
      </c>
      <c r="AA95" s="192">
        <f t="array" ref="AA95">IF($G95=0, INDEX(LS_previous!$D$4:$AY$138, MATCH('Staging Table'!$A95, LS_previous!$B$4:$B$138, 0), MATCH(AA$4&amp;AA$5, LS_previous!$D$2:$AY$2&amp;LS_previous!$D$3:$AY$3, 0)),SUM(VLOOKUP($A95, LS_previous!$B$4:$AY$138, LS_previous!S$149, FALSE), VLOOKUP('Staging Table'!$A95, LS_previous!$B$4:$AY$138,LS_previous!AQ$149, FALSE))/2)</f>
        <v>0</v>
      </c>
      <c r="AB95" s="192">
        <f t="array" ref="AB95">IF($G95=0, INDEX(LS_previous!$D$4:$AY$138, MATCH('Staging Table'!$A95, LS_previous!$B$4:$B$138, 0), MATCH(AB$4&amp;AB$5, LS_previous!$D$2:$AY$2&amp;LS_previous!$D$3:$AY$3, 0)),SUM(VLOOKUP($A95, LS_previous!$B$4:$AY$138, LS_previous!T$149, FALSE), VLOOKUP('Staging Table'!$A95, LS_previous!$B$4:$AY$138,LS_previous!AR$149, FALSE))/2)</f>
        <v>0</v>
      </c>
      <c r="AC95" s="192">
        <f t="array" ref="AC95">IF($G95=0, INDEX(LS_previous!$D$4:$AY$138, MATCH('Staging Table'!$A95, LS_previous!$B$4:$B$138, 0), MATCH(AC$4&amp;AC$5, LS_previous!$D$2:$AY$2&amp;LS_previous!$D$3:$AY$3, 0)),SUM(VLOOKUP($A95, LS_previous!$B$4:$AY$138, LS_previous!U$149, FALSE), VLOOKUP('Staging Table'!$A95, LS_previous!$B$4:$AY$138,LS_previous!AS$149, FALSE))/2)</f>
        <v>0</v>
      </c>
      <c r="AD95" s="192">
        <f t="array" ref="AD95">IF($G95=0, INDEX(LS_previous!$D$4:$AY$138, MATCH('Staging Table'!$A95, LS_previous!$B$4:$B$138, 0), MATCH(AD$4&amp;AD$5, LS_previous!$D$2:$AY$2&amp;LS_previous!$D$3:$AY$3, 0)),SUM(VLOOKUP($A95, LS_previous!$B$4:$AY$138, LS_previous!V$149, FALSE), VLOOKUP('Staging Table'!$A95, LS_previous!$B$4:$AY$138,LS_previous!AT$149, FALSE))/2)</f>
        <v>0</v>
      </c>
      <c r="AE95" s="192">
        <f t="array" ref="AE95">IF($G95=0, INDEX(LS_previous!$D$4:$AY$138, MATCH('Staging Table'!$A95, LS_previous!$B$4:$B$138, 0), MATCH(AE$4&amp;AE$5, LS_previous!$D$2:$AY$2&amp;LS_previous!$D$3:$AY$3, 0)),SUM(VLOOKUP($A95, LS_previous!$B$4:$AY$138, LS_previous!W$149, FALSE), VLOOKUP('Staging Table'!$A95, LS_previous!$B$4:$AY$138,LS_previous!AU$149, FALSE))/2)</f>
        <v>0</v>
      </c>
      <c r="AF95" s="192">
        <f t="array" ref="AF95">IF($G95=0, INDEX(LS_previous!$D$4:$AY$138, MATCH('Staging Table'!$A95, LS_previous!$B$4:$B$138, 0), MATCH(AF$4&amp;AF$5, LS_previous!$D$2:$AY$2&amp;LS_previous!$D$3:$AY$3, 0)),SUM(VLOOKUP($A95, LS_previous!$B$4:$AY$138, LS_previous!X$149, FALSE), VLOOKUP('Staging Table'!$A95, LS_previous!$B$4:$AY$138,LS_previous!AV$149, FALSE))/2)</f>
        <v>0</v>
      </c>
      <c r="AG95" s="192">
        <f t="array" ref="AG95">IF($G95=0, INDEX(LS_previous!$D$4:$AY$138, MATCH('Staging Table'!$A95, LS_previous!$B$4:$B$138, 0), MATCH(AG$4&amp;AG$5, LS_previous!$D$2:$AY$2&amp;LS_previous!$D$3:$AY$3, 0)),SUM(VLOOKUP($A95, LS_previous!$B$4:$AY$138, LS_previous!Y$149, FALSE), VLOOKUP('Staging Table'!$A95, LS_previous!$B$4:$AY$138,LS_previous!AW$149, FALSE))/2)</f>
        <v>0</v>
      </c>
      <c r="AH95" s="192">
        <f t="array" ref="AH95">IF($G95=0, INDEX(LS_previous!$D$4:$AY$138, MATCH('Staging Table'!$A95, LS_previous!$B$4:$B$138, 0), MATCH(AH$4&amp;AH$5, LS_previous!$D$2:$AY$2&amp;LS_previous!$D$3:$AY$3, 0)),SUM(VLOOKUP($A95, LS_previous!$B$4:$AY$138, LS_previous!Z$149, FALSE), VLOOKUP('Staging Table'!$A95, LS_previous!$B$4:$AY$138,LS_previous!AX$149, FALSE))/2)</f>
        <v>0</v>
      </c>
      <c r="AI95" s="192">
        <f t="array" ref="AI95">IF($G95=0, INDEX(LS_previous!$D$4:$AY$138, MATCH('Staging Table'!$A95, LS_previous!$B$4:$B$138, 0), MATCH(AI$4&amp;AI$5, LS_previous!$D$2:$AY$2&amp;LS_previous!$D$3:$AY$3, 0)),SUM(VLOOKUP($A95, LS_previous!$B$4:$AY$138, LS_previous!AA$149, FALSE), VLOOKUP('Staging Table'!$A95, LS_previous!$B$4:$AY$138,LS_previous!AY$149, FALSE))/2)</f>
        <v>0</v>
      </c>
      <c r="AJ95" s="314">
        <f t="array" ref="AJ95">INDEX(Demand_previous!$D$4:$AY$138, MATCH('Staging Table'!$A95, Demand_previous!$B$4:$B$138, 0), MATCH(AJ$4&amp;AJ$5,Demand_previous!$D$2:$AY$2&amp;Demand_previous!$D$3:$AY$3, 0))/1000</f>
        <v>0</v>
      </c>
      <c r="AK95" s="314">
        <f t="array" ref="AK95">INDEX(Demand_previous!$D$4:$AY$138, MATCH('Staging Table'!$A95, Demand_previous!$B$4:$B$138, 0), MATCH(AK$4&amp;AK$5,Demand_previous!$D$2:$AY$2&amp;Demand_previous!$D$3:$AY$3, 0))/1000</f>
        <v>0</v>
      </c>
      <c r="AL95" s="314">
        <f t="array" ref="AL95">INDEX(Demand_previous!$D$4:$AY$138, MATCH('Staging Table'!$A95, Demand_previous!$B$4:$B$138, 0), MATCH(AL$4&amp;AL$5,Demand_previous!$D$2:$AY$2&amp;Demand_previous!$D$3:$AY$3, 0))/1000</f>
        <v>0</v>
      </c>
      <c r="AM95" s="314">
        <f t="array" ref="AM95">INDEX(Demand_previous!$D$4:$AY$138, MATCH('Staging Table'!$A95, Demand_previous!$B$4:$B$138, 0), MATCH(AM$4&amp;AM$5,Demand_previous!$D$2:$AY$2&amp;Demand_previous!$D$3:$AY$3, 0))/1000</f>
        <v>0</v>
      </c>
      <c r="AN95" s="314">
        <f t="array" ref="AN95">INDEX(Demand_previous!$D$4:$AY$138, MATCH('Staging Table'!$A95, Demand_previous!$B$4:$B$138, 0), MATCH(AN$4&amp;AN$5,Demand_previous!$D$2:$AY$2&amp;Demand_previous!$D$3:$AY$3, 0))/1000</f>
        <v>0</v>
      </c>
      <c r="AO95" s="314">
        <f t="array" ref="AO95">INDEX(Demand_previous!$D$4:$AY$138, MATCH('Staging Table'!$A95, Demand_previous!$B$4:$B$138, 0), MATCH(AO$4&amp;AO$5,Demand_previous!$D$2:$AY$2&amp;Demand_previous!$D$3:$AY$3, 0))/1000</f>
        <v>0</v>
      </c>
      <c r="AP95" s="314">
        <f t="array" ref="AP95">INDEX(Demand_previous!$D$4:$AY$138, MATCH('Staging Table'!$A95, Demand_previous!$B$4:$B$138, 0), MATCH(AP$4&amp;AP$5,Demand_previous!$D$2:$AY$2&amp;Demand_previous!$D$3:$AY$3, 0))/1000</f>
        <v>0</v>
      </c>
      <c r="AQ95" s="314">
        <f t="array" ref="AQ95">INDEX(Demand_previous!$D$4:$AY$138, MATCH('Staging Table'!$A95, Demand_previous!$B$4:$B$138, 0), MATCH(AQ$4&amp;AQ$5,Demand_previous!$D$2:$AY$2&amp;Demand_previous!$D$3:$AY$3, 0))/1000</f>
        <v>0</v>
      </c>
      <c r="AR95" s="314">
        <f t="array" ref="AR95">INDEX(Demand_previous!$D$4:$AY$138, MATCH('Staging Table'!$A95, Demand_previous!$B$4:$B$138, 0), MATCH(AR$4&amp;AR$5,Demand_previous!$D$2:$AY$2&amp;Demand_previous!$D$3:$AY$3, 0))/1000</f>
        <v>0</v>
      </c>
      <c r="AS95" s="314">
        <f t="array" ref="AS95">INDEX(Demand_previous!$D$4:$AY$138, MATCH('Staging Table'!$A95, Demand_previous!$B$4:$B$138, 0), MATCH(AS$4&amp;AS$5,Demand_previous!$D$2:$AY$2&amp;Demand_previous!$D$3:$AY$3, 0))/1000</f>
        <v>0</v>
      </c>
      <c r="AT95" s="314">
        <f t="array" ref="AT95">INDEX(Demand_previous!$D$4:$AY$138, MATCH('Staging Table'!$A95, Demand_previous!$B$4:$B$138, 0), MATCH(AT$4&amp;AT$5,Demand_previous!$D$2:$AY$2&amp;Demand_previous!$D$3:$AY$3, 0))/1000</f>
        <v>0</v>
      </c>
      <c r="AU95" s="314">
        <f t="array" ref="AU95">INDEX(Demand_previous!$D$4:$AY$138, MATCH('Staging Table'!$A95, Demand_previous!$B$4:$B$138, 0), MATCH(AU$4&amp;AU$5,Demand_previous!$D$2:$AY$2&amp;Demand_previous!$D$3:$AY$3, 0))/1000</f>
        <v>0</v>
      </c>
      <c r="AV95" s="192">
        <f>$F95*(VLOOKUP(AV$4, Rates_previous!$G$6:$Q$29, 10, FALSE)+VLOOKUP(AV$4, Rates_previous!$G$6:$Q$29, 11, FALSE))</f>
        <v>4268.7097477019997</v>
      </c>
      <c r="AW95" s="192">
        <f>$F95*(VLOOKUP(AW$4, Rates_previous!$G$6:$Q$29, 10, FALSE)+VLOOKUP(AW$4, Rates_previous!$G$6:$Q$29, 11, FALSE))</f>
        <v>5422.5930294555001</v>
      </c>
      <c r="AX95" s="192">
        <f>$F95*(VLOOKUP(AX$4, Rates_previous!$G$6:$Q$29, 10, FALSE)+VLOOKUP(AX$4, Rates_previous!$G$6:$Q$29, 11, FALSE))</f>
        <v>5357.1078812020005</v>
      </c>
      <c r="AY95" s="192">
        <f>$F95*(VLOOKUP(AY$4, Rates_previous!$G$6:$Q$29, 10, FALSE)+VLOOKUP(AY$4, Rates_previous!$G$6:$Q$29, 11, FALSE))</f>
        <v>4465.4757052020004</v>
      </c>
      <c r="AZ95" s="192">
        <f>$F95*(VLOOKUP(AZ$4, Rates_previous!$G$6:$Q$29, 10, FALSE)+VLOOKUP(AZ$4, Rates_previous!$G$6:$Q$29, 11, FALSE))</f>
        <v>4045.2577315999997</v>
      </c>
      <c r="BA95" s="192">
        <f>$F95*(VLOOKUP(BA$4, Rates_previous!$G$6:$Q$29, 10, FALSE)+VLOOKUP(BA$4, Rates_previous!$G$6:$Q$29, 11, FALSE))</f>
        <v>4499.6117037565</v>
      </c>
      <c r="BB95" s="192">
        <f>$F95*(VLOOKUP(BB$4, Rates_previous!$G$6:$Q$29, 10, FALSE)+VLOOKUP(BB$4, Rates_previous!$G$6:$Q$29, 11, FALSE))</f>
        <v>3663.5887047599999</v>
      </c>
      <c r="BC95" s="192">
        <f>$F95*(VLOOKUP(BC$4, Rates_previous!$G$6:$Q$29, 10, FALSE)+VLOOKUP(BC$4, Rates_previous!$G$6:$Q$29, 11, FALSE))</f>
        <v>4940.8956699520004</v>
      </c>
      <c r="BD95" s="192">
        <f>$F95*(VLOOKUP(BD$4, Rates_previous!$G$6:$Q$29, 10, FALSE)+VLOOKUP(BD$4, Rates_previous!$G$6:$Q$29, 11, FALSE))</f>
        <v>6304.2468375100007</v>
      </c>
      <c r="BE95" s="192">
        <f>$F95*(VLOOKUP(BE$4, Rates_previous!$G$6:$Q$29, 10, FALSE)+VLOOKUP(BE$4, Rates_previous!$G$6:$Q$29, 11, FALSE))</f>
        <v>4942.7294157020006</v>
      </c>
      <c r="BF95" s="192">
        <f>$F95*(VLOOKUP(BF$4, Rates_previous!$G$6:$Q$29, 10, FALSE)+VLOOKUP(BF$4, Rates_previous!$G$6:$Q$29, 11, FALSE))</f>
        <v>4813.2342384520007</v>
      </c>
      <c r="BG95" s="192">
        <f>$F95*(VLOOKUP(BG$4, Rates_previous!$G$6:$Q$29, 10, FALSE)+VLOOKUP(BG$4, Rates_previous!$G$6:$Q$29, 11, FALSE))</f>
        <v>4321.2604392600006</v>
      </c>
      <c r="BH95" s="314">
        <f>IF($D95=0,IF(C95=0, MAX(BJ95 - (VLOOKUP($A95,TOCA_previous!$A$2:$AI$137,MATCH("RHWM 2020",TOCA_previous!$A$2:$AI$2,0),FALSE)*$F$2*TOCA_previous!C92),0),0), 0)</f>
        <v>0</v>
      </c>
      <c r="BI95" s="204">
        <f>MIN(VLOOKUP($A95,TOCA_previous!$A$2:$AI$137,MATCH("TRL - NLSL - Existing Resource "&amp;$F$1,TOCA_previous!$A$2:$AI$2,0),FALSE)*$F$2,(VLOOKUP($A95,TOCA_previous!$A$2:$AI$137,MATCH("RHWM 2020",TOCA_previous!$A$2:$AI$2,0),FALSE)*$F$2))</f>
        <v>57043.295999999995</v>
      </c>
      <c r="BJ95" s="418">
        <f>SUM(L95:AI95)+(F95*RT1SC!$C$3*$F$2)</f>
        <v>57044.713245695995</v>
      </c>
      <c r="BK95" s="417">
        <f>VLOOKUP($A95,TOCA_previous!$A$2:$AI$137,MATCH("Above RHWM Not Served with LS "&amp;$F$1,TOCA_previous!$A$2:$AI$2,0),FALSE)*$F$2</f>
        <v>4102.1280000000006</v>
      </c>
      <c r="BL95" s="418">
        <f t="shared" si="27"/>
        <v>1.4172456960004638</v>
      </c>
      <c r="BM95" s="417">
        <f>(VLOOKUP($A95,TOCA_previous!$A$2:$AI$137,MATCH("RHWM 2020",TOCA_previous!$A$2:$AI$2,0),FALSE)*$F$2) - $BI95</f>
        <v>0</v>
      </c>
      <c r="BN95" s="418">
        <f t="shared" si="28"/>
        <v>0</v>
      </c>
      <c r="BO95" s="417">
        <f t="shared" si="29"/>
        <v>0</v>
      </c>
      <c r="BP95" s="418">
        <f t="shared" si="30"/>
        <v>0</v>
      </c>
      <c r="BQ95" s="417">
        <f t="shared" si="21"/>
        <v>0</v>
      </c>
      <c r="BR95" s="120">
        <f>VLOOKUP($A95,TOCA_current!$A$2:$AI$137,MATCH(BR$4,TOCA_current!$A$2:$AI$2,0),FALSE)</f>
        <v>9.2449999999999997E-4</v>
      </c>
      <c r="BS95" s="120">
        <f>VLOOKUP($A95,TOCA_current!$A$2:$AI$137,MATCH(BS$4,TOCA_current!$A$2:$AI$2,0),FALSE)</f>
        <v>9.2449999999999997E-4</v>
      </c>
      <c r="BT95" s="201">
        <f t="shared" si="31"/>
        <v>0</v>
      </c>
      <c r="BU95" s="120">
        <f>VLOOKUP($A95,TOCA_current!A91:BG226,MATCH(BU$4,TOCA_current!$A$2:$BG$2,0),FALSE)</f>
        <v>7.2326589595375732E-2</v>
      </c>
      <c r="BV95" s="120">
        <f t="shared" si="22"/>
        <v>7.2326589595375732E-2</v>
      </c>
      <c r="BW95" s="120">
        <f t="shared" si="23"/>
        <v>9.2449999999999997E-4</v>
      </c>
      <c r="BX95" s="191">
        <f>VLOOKUP($A95,IRD!$A$4:$G$139, 7, FALSE)</f>
        <v>0</v>
      </c>
      <c r="BY95" s="192">
        <f t="array" ref="BY95">IF($BT95=0, INDEX(LS_current!$D$4:$AY$138, MATCH('Staging Table'!$A95, LS_current!$B$4:$B$138, 0), MATCH(BY$4&amp;BY$5, LS_current!$D$2:$AY$2&amp;LS_current!$D$3:$AY$3, 0)),SUM(VLOOKUP($A95, LS_current!$B$4:$AY$138, LS_current!D$148, FALSE), VLOOKUP($A95, LS_current!$B$4:$AY$138,LS_current!AB$148, FALSE))/2)</f>
        <v>0</v>
      </c>
      <c r="BZ95" s="192">
        <f t="array" ref="BZ95">IF($BT95=0, INDEX(LS_current!$D$4:$AY$138, MATCH('Staging Table'!$A95, LS_current!$B$4:$B$138, 0), MATCH(BZ$4&amp;BZ$5, LS_current!$D$2:$AY$2&amp;LS_current!$D$3:$AY$3, 0)),SUM(VLOOKUP($A95, LS_current!$B$4:$AY$138, LS_current!E$148, FALSE), VLOOKUP($A95, LS_current!$B$4:$AY$138,LS_current!AC$148, FALSE))/2)</f>
        <v>0</v>
      </c>
      <c r="CA95" s="192">
        <f t="array" ref="CA95">IF($BT95=0, INDEX(LS_current!$D$4:$AY$138, MATCH('Staging Table'!$A95, LS_current!$B$4:$B$138, 0), MATCH(CA$4&amp;CA$5, LS_current!$D$2:$AY$2&amp;LS_current!$D$3:$AY$3, 0)),SUM(VLOOKUP($A95, LS_current!$B$4:$AY$138, LS_current!F$148, FALSE), VLOOKUP($A95, LS_current!$B$4:$AY$138,LS_current!AD$148, FALSE))/2)</f>
        <v>0</v>
      </c>
      <c r="CB95" s="192">
        <f t="array" ref="CB95">IF($BT95=0, INDEX(LS_current!$D$4:$AY$138, MATCH('Staging Table'!$A95, LS_current!$B$4:$B$138, 0), MATCH(CB$4&amp;CB$5, LS_current!$D$2:$AY$2&amp;LS_current!$D$3:$AY$3, 0)),SUM(VLOOKUP($A95, LS_current!$B$4:$AY$138, LS_current!G$148, FALSE), VLOOKUP($A95, LS_current!$B$4:$AY$138,LS_current!AE$148, FALSE))/2)</f>
        <v>0</v>
      </c>
      <c r="CC95" s="192">
        <f t="array" ref="CC95">IF($BT95=0, INDEX(LS_current!$D$4:$AY$138, MATCH('Staging Table'!$A95, LS_current!$B$4:$B$138, 0), MATCH(CC$4&amp;CC$5, LS_current!$D$2:$AY$2&amp;LS_current!$D$3:$AY$3, 0)),SUM(VLOOKUP($A95, LS_current!$B$4:$AY$138, LS_current!H$148, FALSE), VLOOKUP($A95, LS_current!$B$4:$AY$138,LS_current!AF$148, FALSE))/2)</f>
        <v>0</v>
      </c>
      <c r="CD95" s="192">
        <f t="array" ref="CD95">IF($BT95=0, INDEX(LS_current!$D$4:$AY$138, MATCH('Staging Table'!$A95, LS_current!$B$4:$B$138, 0), MATCH(CD$4&amp;CD$5, LS_current!$D$2:$AY$2&amp;LS_current!$D$3:$AY$3, 0)),SUM(VLOOKUP($A95, LS_current!$B$4:$AY$138, LS_current!I$148, FALSE), VLOOKUP($A95, LS_current!$B$4:$AY$138,LS_current!AG$148, FALSE))/2)</f>
        <v>0</v>
      </c>
      <c r="CE95" s="192">
        <f t="array" ref="CE95">IF($BT95=0, INDEX(LS_current!$D$4:$AY$138, MATCH('Staging Table'!$A95, LS_current!$B$4:$B$138, 0), MATCH(CE$4&amp;CE$5, LS_current!$D$2:$AY$2&amp;LS_current!$D$3:$AY$3, 0)),SUM(VLOOKUP($A95, LS_current!$B$4:$AY$138, LS_current!J$148, FALSE), VLOOKUP($A95, LS_current!$B$4:$AY$138,LS_current!AH$148, FALSE))/2)</f>
        <v>0</v>
      </c>
      <c r="CF95" s="192">
        <f t="array" ref="CF95">IF($BT95=0, INDEX(LS_current!$D$4:$AY$138, MATCH('Staging Table'!$A95, LS_current!$B$4:$B$138, 0), MATCH(CF$4&amp;CF$5, LS_current!$D$2:$AY$2&amp;LS_current!$D$3:$AY$3, 0)),SUM(VLOOKUP($A95, LS_current!$B$4:$AY$138, LS_current!K$148, FALSE), VLOOKUP($A95, LS_current!$B$4:$AY$138,LS_current!AI$148, FALSE))/2)</f>
        <v>0</v>
      </c>
      <c r="CG95" s="192">
        <f t="array" ref="CG95">IF($BT95=0, INDEX(LS_current!$D$4:$AY$138, MATCH('Staging Table'!$A95, LS_current!$B$4:$B$138, 0), MATCH(CG$4&amp;CG$5, LS_current!$D$2:$AY$2&amp;LS_current!$D$3:$AY$3, 0)),SUM(VLOOKUP($A95, LS_current!$B$4:$AY$138, LS_current!L$148, FALSE), VLOOKUP($A95, LS_current!$B$4:$AY$138,LS_current!AJ$148, FALSE))/2)</f>
        <v>0</v>
      </c>
      <c r="CH95" s="192">
        <f t="array" ref="CH95">IF($BT95=0, INDEX(LS_current!$D$4:$AY$138, MATCH('Staging Table'!$A95, LS_current!$B$4:$B$138, 0), MATCH(CH$4&amp;CH$5, LS_current!$D$2:$AY$2&amp;LS_current!$D$3:$AY$3, 0)),SUM(VLOOKUP($A95, LS_current!$B$4:$AY$138, LS_current!M$148, FALSE), VLOOKUP($A95, LS_current!$B$4:$AY$138,LS_current!AK$148, FALSE))/2)</f>
        <v>0</v>
      </c>
      <c r="CI95" s="192">
        <f t="array" ref="CI95">IF($BT95=0, INDEX(LS_current!$D$4:$AY$138, MATCH('Staging Table'!$A95, LS_current!$B$4:$B$138, 0), MATCH(CI$4&amp;CI$5, LS_current!$D$2:$AY$2&amp;LS_current!$D$3:$AY$3, 0)),SUM(VLOOKUP($A95, LS_current!$B$4:$AY$138, LS_current!N$148, FALSE), VLOOKUP($A95, LS_current!$B$4:$AY$138,LS_current!AL$148, FALSE))/2)</f>
        <v>0</v>
      </c>
      <c r="CJ95" s="192">
        <f t="array" ref="CJ95">IF($BT95=0, INDEX(LS_current!$D$4:$AY$138, MATCH('Staging Table'!$A95, LS_current!$B$4:$B$138, 0), MATCH(CJ$4&amp;CJ$5, LS_current!$D$2:$AY$2&amp;LS_current!$D$3:$AY$3, 0)),SUM(VLOOKUP($A95, LS_current!$B$4:$AY$138, LS_current!O$148, FALSE), VLOOKUP($A95, LS_current!$B$4:$AY$138,LS_current!AM$148, FALSE))/2)</f>
        <v>0</v>
      </c>
      <c r="CK95" s="192">
        <f t="array" ref="CK95">IF($BT95=0, INDEX(LS_current!$D$4:$AY$138, MATCH('Staging Table'!$A95, LS_current!$B$4:$B$138, 0), MATCH(CK$4&amp;CK$5, LS_current!$D$2:$AY$2&amp;LS_current!$D$3:$AY$3, 0)),SUM(VLOOKUP($A95, LS_current!$B$4:$AY$138, LS_current!P$148, FALSE), VLOOKUP($A95, LS_current!$B$4:$AY$138,LS_current!AN$148, FALSE))/2)</f>
        <v>0</v>
      </c>
      <c r="CL95" s="192">
        <f t="array" ref="CL95">IF($BT95=0, INDEX(LS_current!$D$4:$AY$138, MATCH('Staging Table'!$A95, LS_current!$B$4:$B$138, 0), MATCH(CL$4&amp;CL$5, LS_current!$D$2:$AY$2&amp;LS_current!$D$3:$AY$3, 0)),SUM(VLOOKUP($A95, LS_current!$B$4:$AY$138, LS_current!Q$148, FALSE), VLOOKUP($A95, LS_current!$B$4:$AY$138,LS_current!AO$148, FALSE))/2)</f>
        <v>0</v>
      </c>
      <c r="CM95" s="192">
        <f t="array" ref="CM95">IF($BT95=0, INDEX(LS_current!$D$4:$AY$138, MATCH('Staging Table'!$A95, LS_current!$B$4:$B$138, 0), MATCH(CM$4&amp;CM$5, LS_current!$D$2:$AY$2&amp;LS_current!$D$3:$AY$3, 0)),SUM(VLOOKUP($A95, LS_current!$B$4:$AY$138, LS_current!R$148, FALSE), VLOOKUP($A95, LS_current!$B$4:$AY$138,LS_current!AP$148, FALSE))/2)</f>
        <v>0</v>
      </c>
      <c r="CN95" s="192">
        <f t="array" ref="CN95">IF($BT95=0, INDEX(LS_current!$D$4:$AY$138, MATCH('Staging Table'!$A95, LS_current!$B$4:$B$138, 0), MATCH(CN$4&amp;CN$5, LS_current!$D$2:$AY$2&amp;LS_current!$D$3:$AY$3, 0)),SUM(VLOOKUP($A95, LS_current!$B$4:$AY$138, LS_current!S$148, FALSE), VLOOKUP($A95, LS_current!$B$4:$AY$138,LS_current!AQ$148, FALSE))/2)</f>
        <v>0</v>
      </c>
      <c r="CO95" s="192">
        <f t="array" ref="CO95">IF($BT95=0, INDEX(LS_current!$D$4:$AY$138, MATCH('Staging Table'!$A95, LS_current!$B$4:$B$138, 0), MATCH(CO$4&amp;CO$5, LS_current!$D$2:$AY$2&amp;LS_current!$D$3:$AY$3, 0)),SUM(VLOOKUP($A95, LS_current!$B$4:$AY$138, LS_current!T$148, FALSE), VLOOKUP($A95, LS_current!$B$4:$AY$138,LS_current!AR$148, FALSE))/2)</f>
        <v>0</v>
      </c>
      <c r="CP95" s="192">
        <f t="array" ref="CP95">IF($BT95=0, INDEX(LS_current!$D$4:$AY$138, MATCH('Staging Table'!$A95, LS_current!$B$4:$B$138, 0), MATCH(CP$4&amp;CP$5, LS_current!$D$2:$AY$2&amp;LS_current!$D$3:$AY$3, 0)),SUM(VLOOKUP($A95, LS_current!$B$4:$AY$138, LS_current!U$148, FALSE), VLOOKUP($A95, LS_current!$B$4:$AY$138,LS_current!AS$148, FALSE))/2)</f>
        <v>0</v>
      </c>
      <c r="CQ95" s="192">
        <f t="array" ref="CQ95">IF($BT95=0, INDEX(LS_current!$D$4:$AY$138, MATCH('Staging Table'!$A95, LS_current!$B$4:$B$138, 0), MATCH(CQ$4&amp;CQ$5, LS_current!$D$2:$AY$2&amp;LS_current!$D$3:$AY$3, 0)),SUM(VLOOKUP($A95, LS_current!$B$4:$AY$138, LS_current!V$148, FALSE), VLOOKUP($A95, LS_current!$B$4:$AY$138,LS_current!AT$148, FALSE))/2)</f>
        <v>0</v>
      </c>
      <c r="CR95" s="192">
        <f t="array" ref="CR95">IF($BT95=0, INDEX(LS_current!$D$4:$AY$138, MATCH('Staging Table'!$A95, LS_current!$B$4:$B$138, 0), MATCH(CR$4&amp;CR$5, LS_current!$D$2:$AY$2&amp;LS_current!$D$3:$AY$3, 0)),SUM(VLOOKUP($A95, LS_current!$B$4:$AY$138, LS_current!W$148, FALSE), VLOOKUP($A95, LS_current!$B$4:$AY$138,LS_current!AU$148, FALSE))/2)</f>
        <v>0</v>
      </c>
      <c r="CS95" s="192">
        <f t="array" ref="CS95">IF($BT95=0, INDEX(LS_current!$D$4:$AY$138, MATCH('Staging Table'!$A95, LS_current!$B$4:$B$138, 0), MATCH(CS$4&amp;CS$5, LS_current!$D$2:$AY$2&amp;LS_current!$D$3:$AY$3, 0)),SUM(VLOOKUP($A95, LS_current!$B$4:$AY$138, LS_current!X$148, FALSE), VLOOKUP($A95, LS_current!$B$4:$AY$138,LS_current!AV$148, FALSE))/2)</f>
        <v>0</v>
      </c>
      <c r="CT95" s="192">
        <f t="array" ref="CT95">IF($BT95=0, INDEX(LS_current!$D$4:$AY$138, MATCH('Staging Table'!$A95, LS_current!$B$4:$B$138, 0), MATCH(CT$4&amp;CT$5, LS_current!$D$2:$AY$2&amp;LS_current!$D$3:$AY$3, 0)),SUM(VLOOKUP($A95, LS_current!$B$4:$AY$138, LS_current!Y$148, FALSE), VLOOKUP($A95, LS_current!$B$4:$AY$138,LS_current!AW$148, FALSE))/2)</f>
        <v>0</v>
      </c>
      <c r="CU95" s="192">
        <f t="array" ref="CU95">IF($BT95=0, INDEX(LS_current!$D$4:$AY$138, MATCH('Staging Table'!$A95, LS_current!$B$4:$B$138, 0), MATCH(CU$4&amp;CU$5, LS_current!$D$2:$AY$2&amp;LS_current!$D$3:$AY$3, 0)),SUM(VLOOKUP($A95, LS_current!$B$4:$AY$138, LS_current!Z$148, FALSE), VLOOKUP($A95, LS_current!$B$4:$AY$138,LS_current!AX$148, FALSE))/2)</f>
        <v>0</v>
      </c>
      <c r="CV95" s="192">
        <f t="array" ref="CV95">IF($BT95=0, INDEX(LS_current!$D$4:$AY$138, MATCH('Staging Table'!$A95, LS_current!$B$4:$B$138, 0), MATCH(CV$4&amp;CV$5, LS_current!$D$2:$AY$2&amp;LS_current!$D$3:$AY$3, 0)),SUM(VLOOKUP($A95, LS_current!$B$4:$AY$138, LS_current!AA$148, FALSE), VLOOKUP($A95, LS_current!$B$4:$AY$138,LS_current!AY$148, FALSE))/2)</f>
        <v>0</v>
      </c>
      <c r="CW95" s="194">
        <f t="array" ref="CW95">INDEX(Demand_current!$D$4:$AY$138, MATCH($A95, Demand_current!$B$4:$B$138, 0), MATCH(CW$4&amp;CW$5,Demand_current!$D$2:$AY$2&amp;Demand_current!$D$3:$AY$3, 0))/1000</f>
        <v>0</v>
      </c>
      <c r="CX95" s="194">
        <f t="array" ref="CX95">INDEX(Demand_current!$D$4:$AY$138, MATCH($A95, Demand_current!$B$4:$B$138, 0), MATCH(CX$4&amp;CX$5,Demand_current!$D$2:$AY$2&amp;Demand_current!$D$3:$AY$3, 0))/1000</f>
        <v>0</v>
      </c>
      <c r="CY95" s="194">
        <f t="array" ref="CY95">INDEX(Demand_current!$D$4:$AY$138, MATCH($A95, Demand_current!$B$4:$B$138, 0), MATCH(CY$4&amp;CY$5,Demand_current!$D$2:$AY$2&amp;Demand_current!$D$3:$AY$3, 0))/1000</f>
        <v>0</v>
      </c>
      <c r="CZ95" s="194">
        <f t="array" ref="CZ95">INDEX(Demand_current!$D$4:$AY$138, MATCH($A95, Demand_current!$B$4:$B$138, 0), MATCH(CZ$4&amp;CZ$5,Demand_current!$D$2:$AY$2&amp;Demand_current!$D$3:$AY$3, 0))/1000</f>
        <v>0</v>
      </c>
      <c r="DA95" s="194">
        <f t="array" ref="DA95">INDEX(Demand_current!$D$4:$AY$138, MATCH($A95, Demand_current!$B$4:$B$138, 0), MATCH(DA$4&amp;DA$5,Demand_current!$D$2:$AY$2&amp;Demand_current!$D$3:$AY$3, 0))/1000</f>
        <v>0</v>
      </c>
      <c r="DB95" s="194">
        <f t="array" ref="DB95">INDEX(Demand_current!$D$4:$AY$138, MATCH($A95, Demand_current!$B$4:$B$138, 0), MATCH(DB$4&amp;DB$5,Demand_current!$D$2:$AY$2&amp;Demand_current!$D$3:$AY$3, 0))/1000</f>
        <v>0</v>
      </c>
      <c r="DC95" s="194">
        <f t="array" ref="DC95">INDEX(Demand_current!$D$4:$AY$138, MATCH($A95, Demand_current!$B$4:$B$138, 0), MATCH(DC$4&amp;DC$5,Demand_current!$D$2:$AY$2&amp;Demand_current!$D$3:$AY$3, 0))/1000</f>
        <v>0</v>
      </c>
      <c r="DD95" s="194">
        <f t="array" ref="DD95">INDEX(Demand_current!$D$4:$AY$138, MATCH($A95, Demand_current!$B$4:$B$138, 0), MATCH(DD$4&amp;DD$5,Demand_current!$D$2:$AY$2&amp;Demand_current!$D$3:$AY$3, 0))/1000</f>
        <v>0</v>
      </c>
      <c r="DE95" s="194">
        <f t="array" ref="DE95">INDEX(Demand_current!$D$4:$AY$138, MATCH($A95, Demand_current!$B$4:$B$138, 0), MATCH(DE$4&amp;DE$5,Demand_current!$D$2:$AY$2&amp;Demand_current!$D$3:$AY$3, 0))/1000</f>
        <v>0</v>
      </c>
      <c r="DF95" s="194">
        <f t="array" ref="DF95">INDEX(Demand_current!$D$4:$AY$138, MATCH($A95, Demand_current!$B$4:$B$138, 0), MATCH(DF$4&amp;DF$5,Demand_current!$D$2:$AY$2&amp;Demand_current!$D$3:$AY$3, 0))/1000</f>
        <v>0</v>
      </c>
      <c r="DG95" s="194">
        <f t="array" ref="DG95">INDEX(Demand_current!$D$4:$AY$138, MATCH($A95, Demand_current!$B$4:$B$138, 0), MATCH(DG$4&amp;DG$5,Demand_current!$D$2:$AY$2&amp;Demand_current!$D$3:$AY$3, 0))/1000</f>
        <v>0</v>
      </c>
      <c r="DH95" s="194">
        <f t="array" ref="DH95">INDEX(Demand_current!$D$4:$AY$138, MATCH($A95, Demand_current!$B$4:$B$138, 0), MATCH(DH$4&amp;DH$5,Demand_current!$D$2:$AY$2&amp;Demand_current!$D$3:$AY$3, 0))/1000</f>
        <v>0</v>
      </c>
      <c r="DI95" s="192">
        <f>$BS95*(VLOOKUP(DI$4, Rates_current!$G$6:$Q$29, 10, FALSE)+VLOOKUP(DI$4, Rates_current!$G$6:$Q$29, 11, FALSE))</f>
        <v>4210.1031269953937</v>
      </c>
      <c r="DJ95" s="192">
        <f>$BS95*(VLOOKUP(DJ$4, Rates_current!$G$6:$Q$29, 10, FALSE)+VLOOKUP(DJ$4, Rates_current!$G$6:$Q$29, 11, FALSE))</f>
        <v>5330.1433539332747</v>
      </c>
      <c r="DK95" s="192">
        <f>$BS95*(VLOOKUP(DK$4, Rates_current!$G$6:$Q$29, 10, FALSE)+VLOOKUP(DK$4, Rates_current!$G$6:$Q$29, 11, FALSE))</f>
        <v>5217.1454703208383</v>
      </c>
      <c r="DL95" s="192">
        <f>$BS95*(VLOOKUP(DL$4, Rates_current!$G$6:$Q$29, 10, FALSE)+VLOOKUP(DL$4, Rates_current!$G$6:$Q$29, 11, FALSE))</f>
        <v>4309.140300198721</v>
      </c>
      <c r="DM95" s="192">
        <f>$BS95*(VLOOKUP(DM$4, Rates_current!$G$6:$Q$29, 10, FALSE)+VLOOKUP(DM$4, Rates_current!$G$6:$Q$29, 11, FALSE))</f>
        <v>3734.8263419904415</v>
      </c>
      <c r="DN95" s="192">
        <f>$BS95*(VLOOKUP(DN$4, Rates_current!$G$6:$Q$29, 10, FALSE)+VLOOKUP(DN$4, Rates_current!$G$6:$Q$29, 11, FALSE))</f>
        <v>4458.6284443176801</v>
      </c>
      <c r="DO95" s="192">
        <f>$BS95*(VLOOKUP(DO$4, Rates_current!$G$6:$Q$29, 10, FALSE)+VLOOKUP(DO$4, Rates_current!$G$6:$Q$29, 11, FALSE))</f>
        <v>3461.5314147151207</v>
      </c>
      <c r="DP95" s="192">
        <f>$BS95*(VLOOKUP(DP$4, Rates_current!$G$6:$Q$29, 10, FALSE)+VLOOKUP(DP$4, Rates_current!$G$6:$Q$29, 11, FALSE))</f>
        <v>4795.9772484425275</v>
      </c>
      <c r="DQ95" s="192">
        <f>$BS95*(VLOOKUP(DQ$4, Rates_current!$G$6:$Q$29, 10, FALSE)+VLOOKUP(DQ$4, Rates_current!$G$6:$Q$29, 11, FALSE))</f>
        <v>5124.6021136539803</v>
      </c>
      <c r="DR95" s="192">
        <f>$BS95*(VLOOKUP(DR$4, Rates_current!$G$6:$Q$29, 10, FALSE)+VLOOKUP(DR$4, Rates_current!$G$6:$Q$29, 11, FALSE))</f>
        <v>4865.5776567378889</v>
      </c>
      <c r="DS95" s="192">
        <f>$BS95*(VLOOKUP(DS$4, Rates_current!$G$6:$Q$29, 10, FALSE)+VLOOKUP(DS$4, Rates_current!$G$6:$Q$29, 11, FALSE))</f>
        <v>4702.2054454508871</v>
      </c>
      <c r="DT95" s="192">
        <f>$BS95*(VLOOKUP(DT$4, Rates_current!$G$6:$Q$29, 10, FALSE)+VLOOKUP(DT$4, Rates_current!$G$6:$Q$29, 11, FALSE))</f>
        <v>4345.3280170882554</v>
      </c>
      <c r="DU95" s="418">
        <f>IF(D95=0,IF(C95=0,MAX(0,DW95 - (VLOOKUP($A95,TOCA_current!$A$2:$AI$137,MATCH("RHWM 2022",TOCA_current!$A$2:$AI$2,0),FALSE)*$BS$2)), 0),0)</f>
        <v>0</v>
      </c>
      <c r="DV95" s="419">
        <f>MIN(VLOOKUP($A95,TOCA_current!$A$2:$AI$137,MATCH("TRL - NLSL - Existing Resource "&amp;$BS$1,TOCA_current!$A$2:$AI$2,0),FALSE)*$BS$2, VLOOKUP($A95,TOCA_current!$A$2:$AI$137,MATCH("RHWM 2022",TOCA_current!$A$2:$AI$2,0),FALSE)*$BS$2)</f>
        <v>54557.279999999999</v>
      </c>
      <c r="DW95" s="419">
        <f>SUM(BY95:CV95)+(BS95*RT1SC!$C$4*$BS$2)</f>
        <v>54555.211724579996</v>
      </c>
      <c r="DX95" s="419">
        <f>VLOOKUP($A95,TOCA_current!$A$2:$AI$137,MATCH("Above RHWM Not Served with LS "&amp;$BS$1,TOCA_current!$A$2:$AI$2,0),FALSE)*$BS$2</f>
        <v>6149.5199999999995</v>
      </c>
      <c r="DY95" s="419">
        <f t="shared" si="32"/>
        <v>-2.0682754200024647</v>
      </c>
      <c r="DZ95" s="419">
        <f>(VLOOKUP($A95,TOCA_current!$A$2:$AI$137,MATCH("RHWM 2022",TOCA_current!$A$2:$AI$2,0),FALSE)*$BS$2) - $DV95</f>
        <v>0</v>
      </c>
      <c r="EA95" s="419">
        <f t="shared" si="33"/>
        <v>0</v>
      </c>
      <c r="EB95" s="419">
        <f t="shared" si="34"/>
        <v>0</v>
      </c>
      <c r="EC95" s="419">
        <f t="shared" si="35"/>
        <v>0</v>
      </c>
      <c r="ED95" s="419">
        <f t="shared" si="36"/>
        <v>0</v>
      </c>
    </row>
    <row r="96" spans="1:134">
      <c r="A96" s="135">
        <v>10286</v>
      </c>
      <c r="B96" s="136" t="s">
        <v>97</v>
      </c>
      <c r="C96" s="244">
        <f>VLOOKUP(A96, TOCA_current!$A$3:$D$137, 4, FALSE)</f>
        <v>0</v>
      </c>
      <c r="D96" s="203">
        <v>1</v>
      </c>
      <c r="E96" s="119">
        <f>VLOOKUP($A96,TOCA_previous!$A$2:$AI$137,MATCH(E$4,TOCA_previous!$A$2:$AI$2,0),FALSE)</f>
        <v>6.5012000000000004E-3</v>
      </c>
      <c r="F96" s="120">
        <f>VLOOKUP($A96,TOCA_previous!$A$2:$AI$137,MATCH(F$4,TOCA_previous!$A$2:$AI$2,0),FALSE)</f>
        <v>6.5012000000000004E-3</v>
      </c>
      <c r="G96" s="120">
        <f t="shared" si="24"/>
        <v>0</v>
      </c>
      <c r="H96" s="120">
        <f>VLOOKUP($A96,TOCA_previous!$A$2:$AI$137,MATCH(H$4,TOCA_previous!$A$2:$AI$2,0),FALSE)</f>
        <v>0</v>
      </c>
      <c r="I96" s="120">
        <f t="shared" si="25"/>
        <v>0</v>
      </c>
      <c r="J96" s="120">
        <f t="shared" si="26"/>
        <v>0</v>
      </c>
      <c r="K96" s="191">
        <f>VLOOKUP(A96, IRD!$A$5:$C$139, 3, FALSE)</f>
        <v>55408.151000000005</v>
      </c>
      <c r="L96" s="192">
        <f t="array" ref="L96">IF($G96=0, INDEX(LS_previous!$D$4:$AY$138, MATCH('Staging Table'!$A96, LS_previous!$B$4:$B$138, 0), MATCH(L$4&amp;L$5, LS_previous!$D$2:$AY$2&amp;LS_previous!$D$3:$AY$3, 0)),SUM(VLOOKUP($A96, LS_previous!$B$4:$AY$138, LS_previous!D$149, FALSE), VLOOKUP('Staging Table'!$A96, LS_previous!$B$4:$AY$138,LS_previous!AB$149, FALSE))/2)</f>
        <v>-1627.3510994333265</v>
      </c>
      <c r="M96" s="192">
        <f t="array" ref="M96">IF($G96=0, INDEX(LS_previous!$D$4:$AY$138, MATCH('Staging Table'!$A96, LS_previous!$B$4:$B$138, 0), MATCH(M$4&amp;M$5, LS_previous!$D$2:$AY$2&amp;LS_previous!$D$3:$AY$3, 0)),SUM(VLOOKUP($A96, LS_previous!$B$4:$AY$138, LS_previous!E$149, FALSE), VLOOKUP('Staging Table'!$A96, LS_previous!$B$4:$AY$138,LS_previous!AC$149, FALSE))/2)</f>
        <v>2497.622368798151</v>
      </c>
      <c r="N96" s="192">
        <f t="array" ref="N96">IF($G96=0, INDEX(LS_previous!$D$4:$AY$138, MATCH('Staging Table'!$A96, LS_previous!$B$4:$B$138, 0), MATCH(N$4&amp;N$5, LS_previous!$D$2:$AY$2&amp;LS_previous!$D$3:$AY$3, 0)),SUM(VLOOKUP($A96, LS_previous!$B$4:$AY$138, LS_previous!F$149, FALSE), VLOOKUP('Staging Table'!$A96, LS_previous!$B$4:$AY$138,LS_previous!AD$149, FALSE))/2)</f>
        <v>-4767.9379827423618</v>
      </c>
      <c r="O96" s="192">
        <f t="array" ref="O96">IF($G96=0, INDEX(LS_previous!$D$4:$AY$138, MATCH('Staging Table'!$A96, LS_previous!$B$4:$B$138, 0), MATCH(O$4&amp;O$5, LS_previous!$D$2:$AY$2&amp;LS_previous!$D$3:$AY$3, 0)),SUM(VLOOKUP($A96, LS_previous!$B$4:$AY$138, LS_previous!G$149, FALSE), VLOOKUP('Staging Table'!$A96, LS_previous!$B$4:$AY$138,LS_previous!AE$149, FALSE))/2)</f>
        <v>1134.2866413555494</v>
      </c>
      <c r="P96" s="192">
        <f t="array" ref="P96">IF($G96=0, INDEX(LS_previous!$D$4:$AY$138, MATCH('Staging Table'!$A96, LS_previous!$B$4:$B$138, 0), MATCH(P$4&amp;P$5, LS_previous!$D$2:$AY$2&amp;LS_previous!$D$3:$AY$3, 0)),SUM(VLOOKUP($A96, LS_previous!$B$4:$AY$138, LS_previous!H$149, FALSE), VLOOKUP('Staging Table'!$A96, LS_previous!$B$4:$AY$138,LS_previous!AF$149, FALSE))/2)</f>
        <v>2270.5402194774797</v>
      </c>
      <c r="Q96" s="192">
        <f t="array" ref="Q96">IF($G96=0, INDEX(LS_previous!$D$4:$AY$138, MATCH('Staging Table'!$A96, LS_previous!$B$4:$B$138, 0), MATCH(Q$4&amp;Q$5, LS_previous!$D$2:$AY$2&amp;LS_previous!$D$3:$AY$3, 0)),SUM(VLOOKUP($A96, LS_previous!$B$4:$AY$138, LS_previous!I$149, FALSE), VLOOKUP('Staging Table'!$A96, LS_previous!$B$4:$AY$138,LS_previous!AG$149, FALSE))/2)</f>
        <v>7794.1827142873371</v>
      </c>
      <c r="R96" s="192">
        <f t="array" ref="R96">IF($G96=0, INDEX(LS_previous!$D$4:$AY$138, MATCH('Staging Table'!$A96, LS_previous!$B$4:$B$138, 0), MATCH(R$4&amp;R$5, LS_previous!$D$2:$AY$2&amp;LS_previous!$D$3:$AY$3, 0)),SUM(VLOOKUP($A96, LS_previous!$B$4:$AY$138, LS_previous!J$149, FALSE), VLOOKUP('Staging Table'!$A96, LS_previous!$B$4:$AY$138,LS_previous!AH$149, FALSE))/2)</f>
        <v>9648.0744851290983</v>
      </c>
      <c r="S96" s="192">
        <f t="array" ref="S96">IF($G96=0, INDEX(LS_previous!$D$4:$AY$138, MATCH('Staging Table'!$A96, LS_previous!$B$4:$B$138, 0), MATCH(S$4&amp;S$5, LS_previous!$D$2:$AY$2&amp;LS_previous!$D$3:$AY$3, 0)),SUM(VLOOKUP($A96, LS_previous!$B$4:$AY$138, LS_previous!K$149, FALSE), VLOOKUP('Staging Table'!$A96, LS_previous!$B$4:$AY$138,LS_previous!AI$149, FALSE))/2)</f>
        <v>11500.490330235731</v>
      </c>
      <c r="T96" s="192">
        <f t="array" ref="T96">IF($G96=0, INDEX(LS_previous!$D$4:$AY$138, MATCH('Staging Table'!$A96, LS_previous!$B$4:$B$138, 0), MATCH(T$4&amp;T$5, LS_previous!$D$2:$AY$2&amp;LS_previous!$D$3:$AY$3, 0)),SUM(VLOOKUP($A96, LS_previous!$B$4:$AY$138, LS_previous!L$149, FALSE), VLOOKUP('Staging Table'!$A96, LS_previous!$B$4:$AY$138,LS_previous!AJ$149, FALSE))/2)</f>
        <v>6951.6294808994826</v>
      </c>
      <c r="U96" s="192">
        <f t="array" ref="U96">IF($G96=0, INDEX(LS_previous!$D$4:$AY$138, MATCH('Staging Table'!$A96, LS_previous!$B$4:$B$138, 0), MATCH(U$4&amp;U$5, LS_previous!$D$2:$AY$2&amp;LS_previous!$D$3:$AY$3, 0)),SUM(VLOOKUP($A96, LS_previous!$B$4:$AY$138, LS_previous!M$149, FALSE), VLOOKUP('Staging Table'!$A96, LS_previous!$B$4:$AY$138,LS_previous!AK$149, FALSE))/2)</f>
        <v>7925.5634749405272</v>
      </c>
      <c r="V96" s="192">
        <f t="array" ref="V96">IF($G96=0, INDEX(LS_previous!$D$4:$AY$138, MATCH('Staging Table'!$A96, LS_previous!$B$4:$B$138, 0), MATCH(V$4&amp;V$5, LS_previous!$D$2:$AY$2&amp;LS_previous!$D$3:$AY$3, 0)),SUM(VLOOKUP($A96, LS_previous!$B$4:$AY$138, LS_previous!N$149, FALSE), VLOOKUP('Staging Table'!$A96, LS_previous!$B$4:$AY$138,LS_previous!AL$149, FALSE))/2)</f>
        <v>3913.5760192808193</v>
      </c>
      <c r="W96" s="192">
        <f t="array" ref="W96">IF($G96=0, INDEX(LS_previous!$D$4:$AY$138, MATCH('Staging Table'!$A96, LS_previous!$B$4:$B$138, 0), MATCH(W$4&amp;W$5, LS_previous!$D$2:$AY$2&amp;LS_previous!$D$3:$AY$3, 0)),SUM(VLOOKUP($A96, LS_previous!$B$4:$AY$138, LS_previous!O$149, FALSE), VLOOKUP('Staging Table'!$A96, LS_previous!$B$4:$AY$138,LS_previous!AM$149, FALSE))/2)</f>
        <v>7367.3950830947651</v>
      </c>
      <c r="X96" s="192">
        <f t="array" ref="X96">IF($G96=0, INDEX(LS_previous!$D$4:$AY$138, MATCH('Staging Table'!$A96, LS_previous!$B$4:$B$138, 0), MATCH(X$4&amp;X$5, LS_previous!$D$2:$AY$2&amp;LS_previous!$D$3:$AY$3, 0)),SUM(VLOOKUP($A96, LS_previous!$B$4:$AY$138, LS_previous!P$149, FALSE), VLOOKUP('Staging Table'!$A96, LS_previous!$B$4:$AY$138,LS_previous!AN$149, FALSE))/2)</f>
        <v>244.67744790719917</v>
      </c>
      <c r="Y96" s="192">
        <f t="array" ref="Y96">IF($G96=0, INDEX(LS_previous!$D$4:$AY$138, MATCH('Staging Table'!$A96, LS_previous!$B$4:$B$138, 0), MATCH(Y$4&amp;Y$5, LS_previous!$D$2:$AY$2&amp;LS_previous!$D$3:$AY$3, 0)),SUM(VLOOKUP($A96, LS_previous!$B$4:$AY$138, LS_previous!Q$149, FALSE), VLOOKUP('Staging Table'!$A96, LS_previous!$B$4:$AY$138,LS_previous!AO$149, FALSE))/2)</f>
        <v>2473.9946499167982</v>
      </c>
      <c r="Z96" s="192">
        <f t="array" ref="Z96">IF($G96=0, INDEX(LS_previous!$D$4:$AY$138, MATCH('Staging Table'!$A96, LS_previous!$B$4:$B$138, 0), MATCH(Z$4&amp;Z$5, LS_previous!$D$2:$AY$2&amp;LS_previous!$D$3:$AY$3, 0)),SUM(VLOOKUP($A96, LS_previous!$B$4:$AY$138, LS_previous!R$149, FALSE), VLOOKUP('Staging Table'!$A96, LS_previous!$B$4:$AY$138,LS_previous!AP$149, FALSE))/2)</f>
        <v>-10684.833144842603</v>
      </c>
      <c r="AA96" s="192">
        <f t="array" ref="AA96">IF($G96=0, INDEX(LS_previous!$D$4:$AY$138, MATCH('Staging Table'!$A96, LS_previous!$B$4:$B$138, 0), MATCH(AA$4&amp;AA$5, LS_previous!$D$2:$AY$2&amp;LS_previous!$D$3:$AY$3, 0)),SUM(VLOOKUP($A96, LS_previous!$B$4:$AY$138, LS_previous!S$149, FALSE), VLOOKUP('Staging Table'!$A96, LS_previous!$B$4:$AY$138,LS_previous!AQ$149, FALSE))/2)</f>
        <v>-1997.0409963926359</v>
      </c>
      <c r="AB96" s="192">
        <f t="array" ref="AB96">IF($G96=0, INDEX(LS_previous!$D$4:$AY$138, MATCH('Staging Table'!$A96, LS_previous!$B$4:$B$138, 0), MATCH(AB$4&amp;AB$5, LS_previous!$D$2:$AY$2&amp;LS_previous!$D$3:$AY$3, 0)),SUM(VLOOKUP($A96, LS_previous!$B$4:$AY$138, LS_previous!T$149, FALSE), VLOOKUP('Staging Table'!$A96, LS_previous!$B$4:$AY$138,LS_previous!AR$149, FALSE))/2)</f>
        <v>-19964.343439092801</v>
      </c>
      <c r="AC96" s="192">
        <f t="array" ref="AC96">IF($G96=0, INDEX(LS_previous!$D$4:$AY$138, MATCH('Staging Table'!$A96, LS_previous!$B$4:$B$138, 0), MATCH(AC$4&amp;AC$5, LS_previous!$D$2:$AY$2&amp;LS_previous!$D$3:$AY$3, 0)),SUM(VLOOKUP($A96, LS_previous!$B$4:$AY$138, LS_previous!U$149, FALSE), VLOOKUP('Staging Table'!$A96, LS_previous!$B$4:$AY$138,LS_previous!AS$149, FALSE))/2)</f>
        <v>-9124.2982804831991</v>
      </c>
      <c r="AD96" s="192">
        <f t="array" ref="AD96">IF($G96=0, INDEX(LS_previous!$D$4:$AY$138, MATCH('Staging Table'!$A96, LS_previous!$B$4:$B$138, 0), MATCH(AD$4&amp;AD$5, LS_previous!$D$2:$AY$2&amp;LS_previous!$D$3:$AY$3, 0)),SUM(VLOOKUP($A96, LS_previous!$B$4:$AY$138, LS_previous!V$149, FALSE), VLOOKUP('Staging Table'!$A96, LS_previous!$B$4:$AY$138,LS_previous!AT$149, FALSE))/2)</f>
        <v>-5982.6408283443961</v>
      </c>
      <c r="AE96" s="192">
        <f t="array" ref="AE96">IF($G96=0, INDEX(LS_previous!$D$4:$AY$138, MATCH('Staging Table'!$A96, LS_previous!$B$4:$B$138, 0), MATCH(AE$4&amp;AE$5, LS_previous!$D$2:$AY$2&amp;LS_previous!$D$3:$AY$3, 0)),SUM(VLOOKUP($A96, LS_previous!$B$4:$AY$138, LS_previous!W$149, FALSE), VLOOKUP('Staging Table'!$A96, LS_previous!$B$4:$AY$138,LS_previous!AU$149, FALSE))/2)</f>
        <v>3316.5643569092263</v>
      </c>
      <c r="AF96" s="192">
        <f t="array" ref="AF96">IF($G96=0, INDEX(LS_previous!$D$4:$AY$138, MATCH('Staging Table'!$A96, LS_previous!$B$4:$B$138, 0), MATCH(AF$4&amp;AF$5, LS_previous!$D$2:$AY$2&amp;LS_previous!$D$3:$AY$3, 0)),SUM(VLOOKUP($A96, LS_previous!$B$4:$AY$138, LS_previous!X$149, FALSE), VLOOKUP('Staging Table'!$A96, LS_previous!$B$4:$AY$138,LS_previous!AV$149, FALSE))/2)</f>
        <v>-9512.5827807121696</v>
      </c>
      <c r="AG96" s="192">
        <f t="array" ref="AG96">IF($G96=0, INDEX(LS_previous!$D$4:$AY$138, MATCH('Staging Table'!$A96, LS_previous!$B$4:$B$138, 0), MATCH(AG$4&amp;AG$5, LS_previous!$D$2:$AY$2&amp;LS_previous!$D$3:$AY$3, 0)),SUM(VLOOKUP($A96, LS_previous!$B$4:$AY$138, LS_previous!Y$149, FALSE), VLOOKUP('Staging Table'!$A96, LS_previous!$B$4:$AY$138,LS_previous!AW$149, FALSE))/2)</f>
        <v>135.32611587694373</v>
      </c>
      <c r="AH96" s="192">
        <f t="array" ref="AH96">IF($G96=0, INDEX(LS_previous!$D$4:$AY$138, MATCH('Staging Table'!$A96, LS_previous!$B$4:$B$138, 0), MATCH(AH$4&amp;AH$5, LS_previous!$D$2:$AY$2&amp;LS_previous!$D$3:$AY$3, 0)),SUM(VLOOKUP($A96, LS_previous!$B$4:$AY$138, LS_previous!Z$149, FALSE), VLOOKUP('Staging Table'!$A96, LS_previous!$B$4:$AY$138,LS_previous!AX$149, FALSE))/2)</f>
        <v>-4528.9891827200008</v>
      </c>
      <c r="AI96" s="192">
        <f t="array" ref="AI96">IF($G96=0, INDEX(LS_previous!$D$4:$AY$138, MATCH('Staging Table'!$A96, LS_previous!$B$4:$B$138, 0), MATCH(AI$4&amp;AI$5, LS_previous!$D$2:$AY$2&amp;LS_previous!$D$3:$AY$3, 0)),SUM(VLOOKUP($A96, LS_previous!$B$4:$AY$138, LS_previous!AA$149, FALSE), VLOOKUP('Staging Table'!$A96, LS_previous!$B$4:$AY$138,LS_previous!AY$149, FALSE))/2)</f>
        <v>1018.2402753440001</v>
      </c>
      <c r="AJ96" s="314">
        <f t="array" ref="AJ96">INDEX(Demand_previous!$D$4:$AY$138, MATCH('Staging Table'!$A96, Demand_previous!$B$4:$B$138, 0), MATCH(AJ$4&amp;AJ$5,Demand_previous!$D$2:$AY$2&amp;Demand_previous!$D$3:$AY$3, 0))/1000</f>
        <v>0</v>
      </c>
      <c r="AK96" s="314">
        <f t="array" ref="AK96">INDEX(Demand_previous!$D$4:$AY$138, MATCH('Staging Table'!$A96, Demand_previous!$B$4:$B$138, 0), MATCH(AK$4&amp;AK$5,Demand_previous!$D$2:$AY$2&amp;Demand_previous!$D$3:$AY$3, 0))/1000</f>
        <v>0</v>
      </c>
      <c r="AL96" s="314">
        <f t="array" ref="AL96">INDEX(Demand_previous!$D$4:$AY$138, MATCH('Staging Table'!$A96, Demand_previous!$B$4:$B$138, 0), MATCH(AL$4&amp;AL$5,Demand_previous!$D$2:$AY$2&amp;Demand_previous!$D$3:$AY$3, 0))/1000</f>
        <v>0</v>
      </c>
      <c r="AM96" s="314">
        <f t="array" ref="AM96">INDEX(Demand_previous!$D$4:$AY$138, MATCH('Staging Table'!$A96, Demand_previous!$B$4:$B$138, 0), MATCH(AM$4&amp;AM$5,Demand_previous!$D$2:$AY$2&amp;Demand_previous!$D$3:$AY$3, 0))/1000</f>
        <v>0</v>
      </c>
      <c r="AN96" s="314">
        <f t="array" ref="AN96">INDEX(Demand_previous!$D$4:$AY$138, MATCH('Staging Table'!$A96, Demand_previous!$B$4:$B$138, 0), MATCH(AN$4&amp;AN$5,Demand_previous!$D$2:$AY$2&amp;Demand_previous!$D$3:$AY$3, 0))/1000</f>
        <v>0</v>
      </c>
      <c r="AO96" s="314">
        <f t="array" ref="AO96">INDEX(Demand_previous!$D$4:$AY$138, MATCH('Staging Table'!$A96, Demand_previous!$B$4:$B$138, 0), MATCH(AO$4&amp;AO$5,Demand_previous!$D$2:$AY$2&amp;Demand_previous!$D$3:$AY$3, 0))/1000</f>
        <v>0</v>
      </c>
      <c r="AP96" s="314">
        <f t="array" ref="AP96">INDEX(Demand_previous!$D$4:$AY$138, MATCH('Staging Table'!$A96, Demand_previous!$B$4:$B$138, 0), MATCH(AP$4&amp;AP$5,Demand_previous!$D$2:$AY$2&amp;Demand_previous!$D$3:$AY$3, 0))/1000</f>
        <v>0</v>
      </c>
      <c r="AQ96" s="314">
        <f t="array" ref="AQ96">INDEX(Demand_previous!$D$4:$AY$138, MATCH('Staging Table'!$A96, Demand_previous!$B$4:$B$138, 0), MATCH(AQ$4&amp;AQ$5,Demand_previous!$D$2:$AY$2&amp;Demand_previous!$D$3:$AY$3, 0))/1000</f>
        <v>0</v>
      </c>
      <c r="AR96" s="314">
        <f t="array" ref="AR96">INDEX(Demand_previous!$D$4:$AY$138, MATCH('Staging Table'!$A96, Demand_previous!$B$4:$B$138, 0), MATCH(AR$4&amp;AR$5,Demand_previous!$D$2:$AY$2&amp;Demand_previous!$D$3:$AY$3, 0))/1000</f>
        <v>0</v>
      </c>
      <c r="AS96" s="314">
        <f t="array" ref="AS96">INDEX(Demand_previous!$D$4:$AY$138, MATCH('Staging Table'!$A96, Demand_previous!$B$4:$B$138, 0), MATCH(AS$4&amp;AS$5,Demand_previous!$D$2:$AY$2&amp;Demand_previous!$D$3:$AY$3, 0))/1000</f>
        <v>0</v>
      </c>
      <c r="AT96" s="314">
        <f t="array" ref="AT96">INDEX(Demand_previous!$D$4:$AY$138, MATCH('Staging Table'!$A96, Demand_previous!$B$4:$B$138, 0), MATCH(AT$4&amp;AT$5,Demand_previous!$D$2:$AY$2&amp;Demand_previous!$D$3:$AY$3, 0))/1000</f>
        <v>0</v>
      </c>
      <c r="AU96" s="314">
        <f t="array" ref="AU96">INDEX(Demand_previous!$D$4:$AY$138, MATCH('Staging Table'!$A96, Demand_previous!$B$4:$B$138, 0), MATCH(AU$4&amp;AU$5,Demand_previous!$D$2:$AY$2&amp;Demand_previous!$D$3:$AY$3, 0))/1000</f>
        <v>0</v>
      </c>
      <c r="AV96" s="192">
        <f>$F96*(VLOOKUP(AV$4, Rates_previous!$G$6:$Q$29, 10, FALSE)+VLOOKUP(AV$4, Rates_previous!$G$6:$Q$29, 11, FALSE))</f>
        <v>30018.102554635199</v>
      </c>
      <c r="AW96" s="192">
        <f>$F96*(VLOOKUP(AW$4, Rates_previous!$G$6:$Q$29, 10, FALSE)+VLOOKUP(AW$4, Rates_previous!$G$6:$Q$29, 11, FALSE))</f>
        <v>38132.354573386801</v>
      </c>
      <c r="AX96" s="192">
        <f>$F96*(VLOOKUP(AX$4, Rates_previous!$G$6:$Q$29, 10, FALSE)+VLOOKUP(AX$4, Rates_previous!$G$6:$Q$29, 11, FALSE))</f>
        <v>37671.854794235209</v>
      </c>
      <c r="AY96" s="192">
        <f>$F96*(VLOOKUP(AY$4, Rates_previous!$G$6:$Q$29, 10, FALSE)+VLOOKUP(AY$4, Rates_previous!$G$6:$Q$29, 11, FALSE))</f>
        <v>31401.785456635203</v>
      </c>
      <c r="AZ96" s="192">
        <f>$F96*(VLOOKUP(AZ$4, Rates_previous!$G$6:$Q$29, 10, FALSE)+VLOOKUP(AZ$4, Rates_previous!$G$6:$Q$29, 11, FALSE))</f>
        <v>28446.759940160002</v>
      </c>
      <c r="BA96" s="192">
        <f>$F96*(VLOOKUP(BA$4, Rates_previous!$G$6:$Q$29, 10, FALSE)+VLOOKUP(BA$4, Rates_previous!$G$6:$Q$29, 11, FALSE))</f>
        <v>31641.834081624402</v>
      </c>
      <c r="BB96" s="192">
        <f>$F96*(VLOOKUP(BB$4, Rates_previous!$G$6:$Q$29, 10, FALSE)+VLOOKUP(BB$4, Rates_previous!$G$6:$Q$29, 11, FALSE))</f>
        <v>25762.815454176001</v>
      </c>
      <c r="BC96" s="192">
        <f>$F96*(VLOOKUP(BC$4, Rates_previous!$G$6:$Q$29, 10, FALSE)+VLOOKUP(BC$4, Rates_previous!$G$6:$Q$29, 11, FALSE))</f>
        <v>34744.998301235202</v>
      </c>
      <c r="BD96" s="192">
        <f>$F96*(VLOOKUP(BD$4, Rates_previous!$G$6:$Q$29, 10, FALSE)+VLOOKUP(BD$4, Rates_previous!$G$6:$Q$29, 11, FALSE))</f>
        <v>44332.254775576002</v>
      </c>
      <c r="BE96" s="192">
        <f>$F96*(VLOOKUP(BE$4, Rates_previous!$G$6:$Q$29, 10, FALSE)+VLOOKUP(BE$4, Rates_previous!$G$6:$Q$29, 11, FALSE))</f>
        <v>34757.893431435208</v>
      </c>
      <c r="BF96" s="192">
        <f>$F96*(VLOOKUP(BF$4, Rates_previous!$G$6:$Q$29, 10, FALSE)+VLOOKUP(BF$4, Rates_previous!$G$6:$Q$29, 11, FALSE))</f>
        <v>33847.267096835203</v>
      </c>
      <c r="BG96" s="192">
        <f>$F96*(VLOOKUP(BG$4, Rates_previous!$G$6:$Q$29, 10, FALSE)+VLOOKUP(BG$4, Rates_previous!$G$6:$Q$29, 11, FALSE))</f>
        <v>30387.645611376003</v>
      </c>
      <c r="BH96" s="314">
        <f>IF($D96=0,IF(C96=0, MAX(BJ96 - (VLOOKUP($A96,TOCA_previous!$A$2:$AI$137,MATCH("RHWM 2020",TOCA_previous!$A$2:$AI$2,0),FALSE)*$F$2*TOCA_previous!C93),0),0), 0)</f>
        <v>0</v>
      </c>
      <c r="BI96" s="204">
        <f>MIN(VLOOKUP($A96,TOCA_previous!$A$2:$AI$137,MATCH("TRL - NLSL - Existing Resource "&amp;$F$1,TOCA_previous!$A$2:$AI$2,0),FALSE)*$F$2,(VLOOKUP($A96,TOCA_previous!$A$2:$AI$137,MATCH("RHWM 2020",TOCA_previous!$A$2:$AI$2,0),FALSE)*$F$2))</f>
        <v>401147.712</v>
      </c>
      <c r="BJ96" s="418">
        <f>SUM(L96:AI96)+(F96*RT1SC!$C$3*$F$2)</f>
        <v>401147.72705677926</v>
      </c>
      <c r="BK96" s="417">
        <f>VLOOKUP($A96,TOCA_previous!$A$2:$AI$137,MATCH("Above RHWM Not Served with LS "&amp;$F$1,TOCA_previous!$A$2:$AI$2,0),FALSE)*$F$2</f>
        <v>50762.735999999997</v>
      </c>
      <c r="BL96" s="418">
        <f t="shared" si="27"/>
        <v>1.505677925888449E-2</v>
      </c>
      <c r="BM96" s="417">
        <f>(VLOOKUP($A96,TOCA_previous!$A$2:$AI$137,MATCH("RHWM 2020",TOCA_previous!$A$2:$AI$2,0),FALSE)*$F$2) - $BI96</f>
        <v>0</v>
      </c>
      <c r="BN96" s="418">
        <f t="shared" si="28"/>
        <v>0</v>
      </c>
      <c r="BO96" s="417">
        <f t="shared" si="29"/>
        <v>0</v>
      </c>
      <c r="BP96" s="418">
        <f t="shared" si="30"/>
        <v>0</v>
      </c>
      <c r="BQ96" s="417">
        <f t="shared" si="21"/>
        <v>0</v>
      </c>
      <c r="BR96" s="120">
        <f>VLOOKUP($A96,TOCA_current!$A$2:$AI$137,MATCH(BR$4,TOCA_current!$A$2:$AI$2,0),FALSE)</f>
        <v>6.5012999999999998E-3</v>
      </c>
      <c r="BS96" s="120">
        <f>VLOOKUP($A96,TOCA_current!$A$2:$AI$137,MATCH(BS$4,TOCA_current!$A$2:$AI$2,0),FALSE)</f>
        <v>6.5012999999999998E-3</v>
      </c>
      <c r="BT96" s="201">
        <f t="shared" si="31"/>
        <v>0</v>
      </c>
      <c r="BU96" s="120">
        <f>VLOOKUP($A96,TOCA_current!A92:BG227,MATCH(BU$4,TOCA_current!$A$2:$BG$2,0),FALSE)</f>
        <v>0</v>
      </c>
      <c r="BV96" s="120">
        <f t="shared" si="22"/>
        <v>0</v>
      </c>
      <c r="BW96" s="120">
        <f t="shared" si="23"/>
        <v>0</v>
      </c>
      <c r="BX96" s="191">
        <f>VLOOKUP($A96,IRD!$A$4:$G$139, 7, FALSE)</f>
        <v>55408.151000000005</v>
      </c>
      <c r="BY96" s="192">
        <f t="array" ref="BY96">IF($BT96=0, INDEX(LS_current!$D$4:$AY$138, MATCH('Staging Table'!$A96, LS_current!$B$4:$B$138, 0), MATCH(BY$4&amp;BY$5, LS_current!$D$2:$AY$2&amp;LS_current!$D$3:$AY$3, 0)),SUM(VLOOKUP($A96, LS_current!$B$4:$AY$138, LS_current!D$148, FALSE), VLOOKUP($A96, LS_current!$B$4:$AY$138,LS_current!AB$148, FALSE))/2)</f>
        <v>-1264.571706824634</v>
      </c>
      <c r="BZ96" s="192">
        <f t="array" ref="BZ96">IF($BT96=0, INDEX(LS_current!$D$4:$AY$138, MATCH('Staging Table'!$A96, LS_current!$B$4:$B$138, 0), MATCH(BZ$4&amp;BZ$5, LS_current!$D$2:$AY$2&amp;LS_current!$D$3:$AY$3, 0)),SUM(VLOOKUP($A96, LS_current!$B$4:$AY$138, LS_current!E$148, FALSE), VLOOKUP($A96, LS_current!$B$4:$AY$138,LS_current!AC$148, FALSE))/2)</f>
        <v>1198.7462701181612</v>
      </c>
      <c r="CA96" s="192">
        <f t="array" ref="CA96">IF($BT96=0, INDEX(LS_current!$D$4:$AY$138, MATCH('Staging Table'!$A96, LS_current!$B$4:$B$138, 0), MATCH(CA$4&amp;CA$5, LS_current!$D$2:$AY$2&amp;LS_current!$D$3:$AY$3, 0)),SUM(VLOOKUP($A96, LS_current!$B$4:$AY$138, LS_current!F$148, FALSE), VLOOKUP($A96, LS_current!$B$4:$AY$138,LS_current!AD$148, FALSE))/2)</f>
        <v>-3205.2022173324731</v>
      </c>
      <c r="CB96" s="192">
        <f t="array" ref="CB96">IF($BT96=0, INDEX(LS_current!$D$4:$AY$138, MATCH('Staging Table'!$A96, LS_current!$B$4:$B$138, 0), MATCH(CB$4&amp;CB$5, LS_current!$D$2:$AY$2&amp;LS_current!$D$3:$AY$3, 0)),SUM(VLOOKUP($A96, LS_current!$B$4:$AY$138, LS_current!G$148, FALSE), VLOOKUP($A96, LS_current!$B$4:$AY$138,LS_current!AE$148, FALSE))/2)</f>
        <v>-1284.2099811817425</v>
      </c>
      <c r="CC96" s="192">
        <f t="array" ref="CC96">IF($BT96=0, INDEX(LS_current!$D$4:$AY$138, MATCH('Staging Table'!$A96, LS_current!$B$4:$B$138, 0), MATCH(CC$4&amp;CC$5, LS_current!$D$2:$AY$2&amp;LS_current!$D$3:$AY$3, 0)),SUM(VLOOKUP($A96, LS_current!$B$4:$AY$138, LS_current!H$148, FALSE), VLOOKUP($A96, LS_current!$B$4:$AY$138,LS_current!AF$148, FALSE))/2)</f>
        <v>6432.8320635333839</v>
      </c>
      <c r="CD96" s="192">
        <f t="array" ref="CD96">IF($BT96=0, INDEX(LS_current!$D$4:$AY$138, MATCH('Staging Table'!$A96, LS_current!$B$4:$B$138, 0), MATCH(CD$4&amp;CD$5, LS_current!$D$2:$AY$2&amp;LS_current!$D$3:$AY$3, 0)),SUM(VLOOKUP($A96, LS_current!$B$4:$AY$138, LS_current!I$148, FALSE), VLOOKUP($A96, LS_current!$B$4:$AY$138,LS_current!AG$148, FALSE))/2)</f>
        <v>2532.6418563185962</v>
      </c>
      <c r="CE96" s="192">
        <f t="array" ref="CE96">IF($BT96=0, INDEX(LS_current!$D$4:$AY$138, MATCH('Staging Table'!$A96, LS_current!$B$4:$B$138, 0), MATCH(CE$4&amp;CE$5, LS_current!$D$2:$AY$2&amp;LS_current!$D$3:$AY$3, 0)),SUM(VLOOKUP($A96, LS_current!$B$4:$AY$138, LS_current!J$148, FALSE), VLOOKUP($A96, LS_current!$B$4:$AY$138,LS_current!AH$148, FALSE))/2)</f>
        <v>12915.718852540991</v>
      </c>
      <c r="CF96" s="192">
        <f t="array" ref="CF96">IF($BT96=0, INDEX(LS_current!$D$4:$AY$138, MATCH('Staging Table'!$A96, LS_current!$B$4:$B$138, 0), MATCH(CF$4&amp;CF$5, LS_current!$D$2:$AY$2&amp;LS_current!$D$3:$AY$3, 0)),SUM(VLOOKUP($A96, LS_current!$B$4:$AY$138, LS_current!K$148, FALSE), VLOOKUP($A96, LS_current!$B$4:$AY$138,LS_current!AI$148, FALSE))/2)</f>
        <v>7038.7899697608573</v>
      </c>
      <c r="CG96" s="192">
        <f t="array" ref="CG96">IF($BT96=0, INDEX(LS_current!$D$4:$AY$138, MATCH('Staging Table'!$A96, LS_current!$B$4:$B$138, 0), MATCH(CG$4&amp;CG$5, LS_current!$D$2:$AY$2&amp;LS_current!$D$3:$AY$3, 0)),SUM(VLOOKUP($A96, LS_current!$B$4:$AY$138, LS_current!L$148, FALSE), VLOOKUP($A96, LS_current!$B$4:$AY$138,LS_current!AJ$148, FALSE))/2)</f>
        <v>9603.6076720323417</v>
      </c>
      <c r="CH96" s="192">
        <f t="array" ref="CH96">IF($BT96=0, INDEX(LS_current!$D$4:$AY$138, MATCH('Staging Table'!$A96, LS_current!$B$4:$B$138, 0), MATCH(CH$4&amp;CH$5, LS_current!$D$2:$AY$2&amp;LS_current!$D$3:$AY$3, 0)),SUM(VLOOKUP($A96, LS_current!$B$4:$AY$138, LS_current!M$148, FALSE), VLOOKUP($A96, LS_current!$B$4:$AY$138,LS_current!AK$148, FALSE))/2)</f>
        <v>5565.7944869915045</v>
      </c>
      <c r="CI96" s="192">
        <f t="array" ref="CI96">IF($BT96=0, INDEX(LS_current!$D$4:$AY$138, MATCH('Staging Table'!$A96, LS_current!$B$4:$B$138, 0), MATCH(CI$4&amp;CI$5, LS_current!$D$2:$AY$2&amp;LS_current!$D$3:$AY$3, 0)),SUM(VLOOKUP($A96, LS_current!$B$4:$AY$138, LS_current!N$148, FALSE), VLOOKUP($A96, LS_current!$B$4:$AY$138,LS_current!AL$148, FALSE))/2)</f>
        <v>5374.1521154485345</v>
      </c>
      <c r="CJ96" s="192">
        <f t="array" ref="CJ96">IF($BT96=0, INDEX(LS_current!$D$4:$AY$138, MATCH('Staging Table'!$A96, LS_current!$B$4:$B$138, 0), MATCH(CJ$4&amp;CJ$5, LS_current!$D$2:$AY$2&amp;LS_current!$D$3:$AY$3, 0)),SUM(VLOOKUP($A96, LS_current!$B$4:$AY$138, LS_current!O$148, FALSE), VLOOKUP($A96, LS_current!$B$4:$AY$138,LS_current!AM$148, FALSE))/2)</f>
        <v>4321.6603510278946</v>
      </c>
      <c r="CK96" s="192">
        <f t="array" ref="CK96">IF($BT96=0, INDEX(LS_current!$D$4:$AY$138, MATCH('Staging Table'!$A96, LS_current!$B$4:$B$138, 0), MATCH(CK$4&amp;CK$5, LS_current!$D$2:$AY$2&amp;LS_current!$D$3:$AY$3, 0)),SUM(VLOOKUP($A96, LS_current!$B$4:$AY$138, LS_current!P$148, FALSE), VLOOKUP($A96, LS_current!$B$4:$AY$138,LS_current!AN$148, FALSE))/2)</f>
        <v>1342.7048009529935</v>
      </c>
      <c r="CL96" s="192">
        <f t="array" ref="CL96">IF($BT96=0, INDEX(LS_current!$D$4:$AY$138, MATCH('Staging Table'!$A96, LS_current!$B$4:$B$138, 0), MATCH(CL$4&amp;CL$5, LS_current!$D$2:$AY$2&amp;LS_current!$D$3:$AY$3, 0)),SUM(VLOOKUP($A96, LS_current!$B$4:$AY$138, LS_current!Q$148, FALSE), VLOOKUP($A96, LS_current!$B$4:$AY$138,LS_current!AO$148, FALSE))/2)</f>
        <v>1553.7357392445119</v>
      </c>
      <c r="CM96" s="192">
        <f t="array" ref="CM96">IF($BT96=0, INDEX(LS_current!$D$4:$AY$138, MATCH('Staging Table'!$A96, LS_current!$B$4:$B$138, 0), MATCH(CM$4&amp;CM$5, LS_current!$D$2:$AY$2&amp;LS_current!$D$3:$AY$3, 0)),SUM(VLOOKUP($A96, LS_current!$B$4:$AY$138, LS_current!R$148, FALSE), VLOOKUP($A96, LS_current!$B$4:$AY$138,LS_current!AP$148, FALSE))/2)</f>
        <v>-10066.398704418116</v>
      </c>
      <c r="CN96" s="192">
        <f t="array" ref="CN96">IF($BT96=0, INDEX(LS_current!$D$4:$AY$138, MATCH('Staging Table'!$A96, LS_current!$B$4:$B$138, 0), MATCH(CN$4&amp;CN$5, LS_current!$D$2:$AY$2&amp;LS_current!$D$3:$AY$3, 0)),SUM(VLOOKUP($A96, LS_current!$B$4:$AY$138, LS_current!S$148, FALSE), VLOOKUP($A96, LS_current!$B$4:$AY$138,LS_current!AQ$148, FALSE))/2)</f>
        <v>-2559.6028378202955</v>
      </c>
      <c r="CO96" s="192">
        <f t="array" ref="CO96">IF($BT96=0, INDEX(LS_current!$D$4:$AY$138, MATCH('Staging Table'!$A96, LS_current!$B$4:$B$138, 0), MATCH(CO$4&amp;CO$5, LS_current!$D$2:$AY$2&amp;LS_current!$D$3:$AY$3, 0)),SUM(VLOOKUP($A96, LS_current!$B$4:$AY$138, LS_current!T$148, FALSE), VLOOKUP($A96, LS_current!$B$4:$AY$138,LS_current!AR$148, FALSE))/2)</f>
        <v>-16952.114986773286</v>
      </c>
      <c r="CP96" s="192">
        <f t="array" ref="CP96">IF($BT96=0, INDEX(LS_current!$D$4:$AY$138, MATCH('Staging Table'!$A96, LS_current!$B$4:$B$138, 0), MATCH(CP$4&amp;CP$5, LS_current!$D$2:$AY$2&amp;LS_current!$D$3:$AY$3, 0)),SUM(VLOOKUP($A96, LS_current!$B$4:$AY$138, LS_current!U$148, FALSE), VLOOKUP($A96, LS_current!$B$4:$AY$138,LS_current!AS$148, FALSE))/2)</f>
        <v>-4506.8047874815693</v>
      </c>
      <c r="CQ96" s="192">
        <f t="array" ref="CQ96">IF($BT96=0, INDEX(LS_current!$D$4:$AY$138, MATCH('Staging Table'!$A96, LS_current!$B$4:$B$138, 0), MATCH(CQ$4&amp;CQ$5, LS_current!$D$2:$AY$2&amp;LS_current!$D$3:$AY$3, 0)),SUM(VLOOKUP($A96, LS_current!$B$4:$AY$138, LS_current!V$148, FALSE), VLOOKUP($A96, LS_current!$B$4:$AY$138,LS_current!AT$148, FALSE))/2)</f>
        <v>-4374.3408566393591</v>
      </c>
      <c r="CR96" s="192">
        <f t="array" ref="CR96">IF($BT96=0, INDEX(LS_current!$D$4:$AY$138, MATCH('Staging Table'!$A96, LS_current!$B$4:$B$138, 0), MATCH(CR$4&amp;CR$5, LS_current!$D$2:$AY$2&amp;LS_current!$D$3:$AY$3, 0)),SUM(VLOOKUP($A96, LS_current!$B$4:$AY$138, LS_current!W$148, FALSE), VLOOKUP($A96, LS_current!$B$4:$AY$138,LS_current!AU$148, FALSE))/2)</f>
        <v>849.99798184211795</v>
      </c>
      <c r="CS96" s="192">
        <f t="array" ref="CS96">IF($BT96=0, INDEX(LS_current!$D$4:$AY$138, MATCH('Staging Table'!$A96, LS_current!$B$4:$B$138, 0), MATCH(CS$4&amp;CS$5, LS_current!$D$2:$AY$2&amp;LS_current!$D$3:$AY$3, 0)),SUM(VLOOKUP($A96, LS_current!$B$4:$AY$138, LS_current!X$148, FALSE), VLOOKUP($A96, LS_current!$B$4:$AY$138,LS_current!AV$148, FALSE))/2)</f>
        <v>-8227.2596159140339</v>
      </c>
      <c r="CT96" s="192">
        <f t="array" ref="CT96">IF($BT96=0, INDEX(LS_current!$D$4:$AY$138, MATCH('Staging Table'!$A96, LS_current!$B$4:$B$138, 0), MATCH(CT$4&amp;CT$5, LS_current!$D$2:$AY$2&amp;LS_current!$D$3:$AY$3, 0)),SUM(VLOOKUP($A96, LS_current!$B$4:$AY$138, LS_current!Y$148, FALSE), VLOOKUP($A96, LS_current!$B$4:$AY$138,LS_current!AW$148, FALSE))/2)</f>
        <v>-1437.4514988613555</v>
      </c>
      <c r="CU96" s="192">
        <f t="array" ref="CU96">IF($BT96=0, INDEX(LS_current!$D$4:$AY$138, MATCH('Staging Table'!$A96, LS_current!$B$4:$B$138, 0), MATCH(CU$4&amp;CU$5, LS_current!$D$2:$AY$2&amp;LS_current!$D$3:$AY$3, 0)),SUM(VLOOKUP($A96, LS_current!$B$4:$AY$138, LS_current!Z$148, FALSE), VLOOKUP($A96, LS_current!$B$4:$AY$138,LS_current!AX$148, FALSE))/2)</f>
        <v>-4079.355210065165</v>
      </c>
      <c r="CV96" s="192">
        <f t="array" ref="CV96">IF($BT96=0, INDEX(LS_current!$D$4:$AY$138, MATCH('Staging Table'!$A96, LS_current!$B$4:$B$138, 0), MATCH(CV$4&amp;CV$5, LS_current!$D$2:$AY$2&amp;LS_current!$D$3:$AY$3, 0)),SUM(VLOOKUP($A96, LS_current!$B$4:$AY$138, LS_current!AA$148, FALSE), VLOOKUP($A96, LS_current!$B$4:$AY$138,LS_current!AY$148, FALSE))/2)</f>
        <v>-773.84524769132076</v>
      </c>
      <c r="CW96" s="194">
        <f t="array" ref="CW96">INDEX(Demand_current!$D$4:$AY$138, MATCH($A96, Demand_current!$B$4:$B$138, 0), MATCH(CW$4&amp;CW$5,Demand_current!$D$2:$AY$2&amp;Demand_current!$D$3:$AY$3, 0))/1000</f>
        <v>0</v>
      </c>
      <c r="CX96" s="194">
        <f t="array" ref="CX96">INDEX(Demand_current!$D$4:$AY$138, MATCH($A96, Demand_current!$B$4:$B$138, 0), MATCH(CX$4&amp;CX$5,Demand_current!$D$2:$AY$2&amp;Demand_current!$D$3:$AY$3, 0))/1000</f>
        <v>0</v>
      </c>
      <c r="CY96" s="194">
        <f t="array" ref="CY96">INDEX(Demand_current!$D$4:$AY$138, MATCH($A96, Demand_current!$B$4:$B$138, 0), MATCH(CY$4&amp;CY$5,Demand_current!$D$2:$AY$2&amp;Demand_current!$D$3:$AY$3, 0))/1000</f>
        <v>0</v>
      </c>
      <c r="CZ96" s="194">
        <f t="array" ref="CZ96">INDEX(Demand_current!$D$4:$AY$138, MATCH($A96, Demand_current!$B$4:$B$138, 0), MATCH(CZ$4&amp;CZ$5,Demand_current!$D$2:$AY$2&amp;Demand_current!$D$3:$AY$3, 0))/1000</f>
        <v>0</v>
      </c>
      <c r="DA96" s="194">
        <f t="array" ref="DA96">INDEX(Demand_current!$D$4:$AY$138, MATCH($A96, Demand_current!$B$4:$B$138, 0), MATCH(DA$4&amp;DA$5,Demand_current!$D$2:$AY$2&amp;Demand_current!$D$3:$AY$3, 0))/1000</f>
        <v>0</v>
      </c>
      <c r="DB96" s="194">
        <f t="array" ref="DB96">INDEX(Demand_current!$D$4:$AY$138, MATCH($A96, Demand_current!$B$4:$B$138, 0), MATCH(DB$4&amp;DB$5,Demand_current!$D$2:$AY$2&amp;Demand_current!$D$3:$AY$3, 0))/1000</f>
        <v>0</v>
      </c>
      <c r="DC96" s="194">
        <f t="array" ref="DC96">INDEX(Demand_current!$D$4:$AY$138, MATCH($A96, Demand_current!$B$4:$B$138, 0), MATCH(DC$4&amp;DC$5,Demand_current!$D$2:$AY$2&amp;Demand_current!$D$3:$AY$3, 0))/1000</f>
        <v>0</v>
      </c>
      <c r="DD96" s="194">
        <f t="array" ref="DD96">INDEX(Demand_current!$D$4:$AY$138, MATCH($A96, Demand_current!$B$4:$B$138, 0), MATCH(DD$4&amp;DD$5,Demand_current!$D$2:$AY$2&amp;Demand_current!$D$3:$AY$3, 0))/1000</f>
        <v>0</v>
      </c>
      <c r="DE96" s="194">
        <f t="array" ref="DE96">INDEX(Demand_current!$D$4:$AY$138, MATCH($A96, Demand_current!$B$4:$B$138, 0), MATCH(DE$4&amp;DE$5,Demand_current!$D$2:$AY$2&amp;Demand_current!$D$3:$AY$3, 0))/1000</f>
        <v>0</v>
      </c>
      <c r="DF96" s="194">
        <f t="array" ref="DF96">INDEX(Demand_current!$D$4:$AY$138, MATCH($A96, Demand_current!$B$4:$B$138, 0), MATCH(DF$4&amp;DF$5,Demand_current!$D$2:$AY$2&amp;Demand_current!$D$3:$AY$3, 0))/1000</f>
        <v>0</v>
      </c>
      <c r="DG96" s="194">
        <f t="array" ref="DG96">INDEX(Demand_current!$D$4:$AY$138, MATCH($A96, Demand_current!$B$4:$B$138, 0), MATCH(DG$4&amp;DG$5,Demand_current!$D$2:$AY$2&amp;Demand_current!$D$3:$AY$3, 0))/1000</f>
        <v>0</v>
      </c>
      <c r="DH96" s="194">
        <f t="array" ref="DH96">INDEX(Demand_current!$D$4:$AY$138, MATCH($A96, Demand_current!$B$4:$B$138, 0), MATCH(DH$4&amp;DH$5,Demand_current!$D$2:$AY$2&amp;Demand_current!$D$3:$AY$3, 0))/1000</f>
        <v>0</v>
      </c>
      <c r="DI96" s="192">
        <f>$BS96*(VLOOKUP(DI$4, Rates_current!$G$6:$Q$29, 10, FALSE)+VLOOKUP(DI$4, Rates_current!$G$6:$Q$29, 11, FALSE))</f>
        <v>29606.428836706491</v>
      </c>
      <c r="DJ96" s="192">
        <f>$BS96*(VLOOKUP(DJ$4, Rates_current!$G$6:$Q$29, 10, FALSE)+VLOOKUP(DJ$4, Rates_current!$G$6:$Q$29, 11, FALSE))</f>
        <v>37482.813398514219</v>
      </c>
      <c r="DK96" s="192">
        <f>$BS96*(VLOOKUP(DK$4, Rates_current!$G$6:$Q$29, 10, FALSE)+VLOOKUP(DK$4, Rates_current!$G$6:$Q$29, 11, FALSE))</f>
        <v>36688.185880148041</v>
      </c>
      <c r="DL96" s="192">
        <f>$BS96*(VLOOKUP(DL$4, Rates_current!$G$6:$Q$29, 10, FALSE)+VLOOKUP(DL$4, Rates_current!$G$6:$Q$29, 11, FALSE))</f>
        <v>30302.881377698159</v>
      </c>
      <c r="DM96" s="192">
        <f>$BS96*(VLOOKUP(DM$4, Rates_current!$G$6:$Q$29, 10, FALSE)+VLOOKUP(DM$4, Rates_current!$G$6:$Q$29, 11, FALSE))</f>
        <v>26264.171440976155</v>
      </c>
      <c r="DN96" s="192">
        <f>$BS96*(VLOOKUP(DN$4, Rates_current!$G$6:$Q$29, 10, FALSE)+VLOOKUP(DN$4, Rates_current!$G$6:$Q$29, 11, FALSE))</f>
        <v>31354.116933523561</v>
      </c>
      <c r="DO96" s="192">
        <f>$BS96*(VLOOKUP(DO$4, Rates_current!$G$6:$Q$29, 10, FALSE)+VLOOKUP(DO$4, Rates_current!$G$6:$Q$29, 11, FALSE))</f>
        <v>24342.297659802502</v>
      </c>
      <c r="DP96" s="192">
        <f>$BS96*(VLOOKUP(DP$4, Rates_current!$G$6:$Q$29, 10, FALSE)+VLOOKUP(DP$4, Rates_current!$G$6:$Q$29, 11, FALSE))</f>
        <v>33726.432542238399</v>
      </c>
      <c r="DQ96" s="192">
        <f>$BS96*(VLOOKUP(DQ$4, Rates_current!$G$6:$Q$29, 10, FALSE)+VLOOKUP(DQ$4, Rates_current!$G$6:$Q$29, 11, FALSE))</f>
        <v>36037.399374254863</v>
      </c>
      <c r="DR96" s="192">
        <f>$BS96*(VLOOKUP(DR$4, Rates_current!$G$6:$Q$29, 10, FALSE)+VLOOKUP(DR$4, Rates_current!$G$6:$Q$29, 11, FALSE))</f>
        <v>34215.878874797228</v>
      </c>
      <c r="DS96" s="192">
        <f>$BS96*(VLOOKUP(DS$4, Rates_current!$G$6:$Q$29, 10, FALSE)+VLOOKUP(DS$4, Rates_current!$G$6:$Q$29, 11, FALSE))</f>
        <v>33067.007314775394</v>
      </c>
      <c r="DT96" s="192">
        <f>$BS96*(VLOOKUP(DT$4, Rates_current!$G$6:$Q$29, 10, FALSE)+VLOOKUP(DT$4, Rates_current!$G$6:$Q$29, 11, FALSE))</f>
        <v>30557.361857756485</v>
      </c>
      <c r="DU96" s="418">
        <f>IF(D96=0,IF(C96=0,MAX(0,DW96 - (VLOOKUP($A96,TOCA_current!$A$2:$AI$137,MATCH("RHWM 2022",TOCA_current!$A$2:$AI$2,0),FALSE)*$BS$2)), 0),0)</f>
        <v>0</v>
      </c>
      <c r="DV96" s="419">
        <f>MIN(VLOOKUP($A96,TOCA_current!$A$2:$AI$137,MATCH("TRL - NLSL - Existing Resource "&amp;$BS$1,TOCA_current!$A$2:$AI$2,0),FALSE)*$BS$2, VLOOKUP($A96,TOCA_current!$A$2:$AI$137,MATCH("RHWM 2022",TOCA_current!$A$2:$AI$2,0),FALSE)*$BS$2)</f>
        <v>383644.2</v>
      </c>
      <c r="DW96" s="419">
        <f>SUM(BY96:CV96)+(BS96*RT1SC!$C$4*$BS$2)</f>
        <v>383644.21962510049</v>
      </c>
      <c r="DX96" s="419">
        <f>VLOOKUP($A96,TOCA_current!$A$2:$AI$137,MATCH("Above RHWM Not Served with LS "&amp;$BS$1,TOCA_current!$A$2:$AI$2,0),FALSE)*$BS$2</f>
        <v>40769.040000000001</v>
      </c>
      <c r="DY96" s="419">
        <f t="shared" si="32"/>
        <v>1.9625100481789559E-2</v>
      </c>
      <c r="DZ96" s="419">
        <f>(VLOOKUP($A96,TOCA_current!$A$2:$AI$137,MATCH("RHWM 2022",TOCA_current!$A$2:$AI$2,0),FALSE)*$BS$2) - $DV96</f>
        <v>0</v>
      </c>
      <c r="EA96" s="419">
        <f t="shared" si="33"/>
        <v>0</v>
      </c>
      <c r="EB96" s="419">
        <f t="shared" si="34"/>
        <v>0</v>
      </c>
      <c r="EC96" s="419">
        <f t="shared" si="35"/>
        <v>0</v>
      </c>
      <c r="ED96" s="419">
        <f t="shared" si="36"/>
        <v>0</v>
      </c>
    </row>
    <row r="97" spans="1:134">
      <c r="A97" s="135">
        <v>10288</v>
      </c>
      <c r="B97" s="136" t="s">
        <v>98</v>
      </c>
      <c r="C97" s="244">
        <f>VLOOKUP(A97, TOCA_current!$A$3:$D$137, 4, FALSE)</f>
        <v>1</v>
      </c>
      <c r="D97" s="203">
        <v>0</v>
      </c>
      <c r="E97" s="119">
        <f>VLOOKUP($A97,TOCA_previous!$A$2:$AI$137,MATCH(E$4,TOCA_previous!$A$2:$AI$2,0),FALSE)</f>
        <v>3.4464000000000001E-3</v>
      </c>
      <c r="F97" s="120">
        <f>VLOOKUP($A97,TOCA_previous!$A$2:$AI$137,MATCH(F$4,TOCA_previous!$A$2:$AI$2,0),FALSE)</f>
        <v>3.4464000000000001E-3</v>
      </c>
      <c r="G97" s="120">
        <f t="shared" si="24"/>
        <v>0</v>
      </c>
      <c r="H97" s="120">
        <f>VLOOKUP($A97,TOCA_previous!$A$2:$AI$137,MATCH(H$4,TOCA_previous!$A$2:$AI$2,0),FALSE)</f>
        <v>5.5E-2</v>
      </c>
      <c r="I97" s="120">
        <f t="shared" si="25"/>
        <v>5.5E-2</v>
      </c>
      <c r="J97" s="120">
        <f t="shared" si="26"/>
        <v>3.4464000000000001E-3</v>
      </c>
      <c r="K97" s="191">
        <f>VLOOKUP(A97, IRD!$A$5:$C$139, 3, FALSE)</f>
        <v>0</v>
      </c>
      <c r="L97" s="192">
        <f t="array" ref="L97">IF($G97=0, INDEX(LS_previous!$D$4:$AY$138, MATCH('Staging Table'!$A97, LS_previous!$B$4:$B$138, 0), MATCH(L$4&amp;L$5, LS_previous!$D$2:$AY$2&amp;LS_previous!$D$3:$AY$3, 0)),SUM(VLOOKUP($A97, LS_previous!$B$4:$AY$138, LS_previous!D$149, FALSE), VLOOKUP('Staging Table'!$A97, LS_previous!$B$4:$AY$138,LS_previous!AB$149, FALSE))/2)</f>
        <v>0</v>
      </c>
      <c r="M97" s="192">
        <f t="array" ref="M97">IF($G97=0, INDEX(LS_previous!$D$4:$AY$138, MATCH('Staging Table'!$A97, LS_previous!$B$4:$B$138, 0), MATCH(M$4&amp;M$5, LS_previous!$D$2:$AY$2&amp;LS_previous!$D$3:$AY$3, 0)),SUM(VLOOKUP($A97, LS_previous!$B$4:$AY$138, LS_previous!E$149, FALSE), VLOOKUP('Staging Table'!$A97, LS_previous!$B$4:$AY$138,LS_previous!AC$149, FALSE))/2)</f>
        <v>0</v>
      </c>
      <c r="N97" s="192">
        <f t="array" ref="N97">IF($G97=0, INDEX(LS_previous!$D$4:$AY$138, MATCH('Staging Table'!$A97, LS_previous!$B$4:$B$138, 0), MATCH(N$4&amp;N$5, LS_previous!$D$2:$AY$2&amp;LS_previous!$D$3:$AY$3, 0)),SUM(VLOOKUP($A97, LS_previous!$B$4:$AY$138, LS_previous!F$149, FALSE), VLOOKUP('Staging Table'!$A97, LS_previous!$B$4:$AY$138,LS_previous!AD$149, FALSE))/2)</f>
        <v>0</v>
      </c>
      <c r="O97" s="192">
        <f t="array" ref="O97">IF($G97=0, INDEX(LS_previous!$D$4:$AY$138, MATCH('Staging Table'!$A97, LS_previous!$B$4:$B$138, 0), MATCH(O$4&amp;O$5, LS_previous!$D$2:$AY$2&amp;LS_previous!$D$3:$AY$3, 0)),SUM(VLOOKUP($A97, LS_previous!$B$4:$AY$138, LS_previous!G$149, FALSE), VLOOKUP('Staging Table'!$A97, LS_previous!$B$4:$AY$138,LS_previous!AE$149, FALSE))/2)</f>
        <v>0</v>
      </c>
      <c r="P97" s="192">
        <f t="array" ref="P97">IF($G97=0, INDEX(LS_previous!$D$4:$AY$138, MATCH('Staging Table'!$A97, LS_previous!$B$4:$B$138, 0), MATCH(P$4&amp;P$5, LS_previous!$D$2:$AY$2&amp;LS_previous!$D$3:$AY$3, 0)),SUM(VLOOKUP($A97, LS_previous!$B$4:$AY$138, LS_previous!H$149, FALSE), VLOOKUP('Staging Table'!$A97, LS_previous!$B$4:$AY$138,LS_previous!AF$149, FALSE))/2)</f>
        <v>0</v>
      </c>
      <c r="Q97" s="192">
        <f t="array" ref="Q97">IF($G97=0, INDEX(LS_previous!$D$4:$AY$138, MATCH('Staging Table'!$A97, LS_previous!$B$4:$B$138, 0), MATCH(Q$4&amp;Q$5, LS_previous!$D$2:$AY$2&amp;LS_previous!$D$3:$AY$3, 0)),SUM(VLOOKUP($A97, LS_previous!$B$4:$AY$138, LS_previous!I$149, FALSE), VLOOKUP('Staging Table'!$A97, LS_previous!$B$4:$AY$138,LS_previous!AG$149, FALSE))/2)</f>
        <v>0</v>
      </c>
      <c r="R97" s="192">
        <f t="array" ref="R97">IF($G97=0, INDEX(LS_previous!$D$4:$AY$138, MATCH('Staging Table'!$A97, LS_previous!$B$4:$B$138, 0), MATCH(R$4&amp;R$5, LS_previous!$D$2:$AY$2&amp;LS_previous!$D$3:$AY$3, 0)),SUM(VLOOKUP($A97, LS_previous!$B$4:$AY$138, LS_previous!J$149, FALSE), VLOOKUP('Staging Table'!$A97, LS_previous!$B$4:$AY$138,LS_previous!AH$149, FALSE))/2)</f>
        <v>0</v>
      </c>
      <c r="S97" s="192">
        <f t="array" ref="S97">IF($G97=0, INDEX(LS_previous!$D$4:$AY$138, MATCH('Staging Table'!$A97, LS_previous!$B$4:$B$138, 0), MATCH(S$4&amp;S$5, LS_previous!$D$2:$AY$2&amp;LS_previous!$D$3:$AY$3, 0)),SUM(VLOOKUP($A97, LS_previous!$B$4:$AY$138, LS_previous!K$149, FALSE), VLOOKUP('Staging Table'!$A97, LS_previous!$B$4:$AY$138,LS_previous!AI$149, FALSE))/2)</f>
        <v>0</v>
      </c>
      <c r="T97" s="192">
        <f t="array" ref="T97">IF($G97=0, INDEX(LS_previous!$D$4:$AY$138, MATCH('Staging Table'!$A97, LS_previous!$B$4:$B$138, 0), MATCH(T$4&amp;T$5, LS_previous!$D$2:$AY$2&amp;LS_previous!$D$3:$AY$3, 0)),SUM(VLOOKUP($A97, LS_previous!$B$4:$AY$138, LS_previous!L$149, FALSE), VLOOKUP('Staging Table'!$A97, LS_previous!$B$4:$AY$138,LS_previous!AJ$149, FALSE))/2)</f>
        <v>0</v>
      </c>
      <c r="U97" s="192">
        <f t="array" ref="U97">IF($G97=0, INDEX(LS_previous!$D$4:$AY$138, MATCH('Staging Table'!$A97, LS_previous!$B$4:$B$138, 0), MATCH(U$4&amp;U$5, LS_previous!$D$2:$AY$2&amp;LS_previous!$D$3:$AY$3, 0)),SUM(VLOOKUP($A97, LS_previous!$B$4:$AY$138, LS_previous!M$149, FALSE), VLOOKUP('Staging Table'!$A97, LS_previous!$B$4:$AY$138,LS_previous!AK$149, FALSE))/2)</f>
        <v>0</v>
      </c>
      <c r="V97" s="192">
        <f t="array" ref="V97">IF($G97=0, INDEX(LS_previous!$D$4:$AY$138, MATCH('Staging Table'!$A97, LS_previous!$B$4:$B$138, 0), MATCH(V$4&amp;V$5, LS_previous!$D$2:$AY$2&amp;LS_previous!$D$3:$AY$3, 0)),SUM(VLOOKUP($A97, LS_previous!$B$4:$AY$138, LS_previous!N$149, FALSE), VLOOKUP('Staging Table'!$A97, LS_previous!$B$4:$AY$138,LS_previous!AL$149, FALSE))/2)</f>
        <v>0</v>
      </c>
      <c r="W97" s="192">
        <f t="array" ref="W97">IF($G97=0, INDEX(LS_previous!$D$4:$AY$138, MATCH('Staging Table'!$A97, LS_previous!$B$4:$B$138, 0), MATCH(W$4&amp;W$5, LS_previous!$D$2:$AY$2&amp;LS_previous!$D$3:$AY$3, 0)),SUM(VLOOKUP($A97, LS_previous!$B$4:$AY$138, LS_previous!O$149, FALSE), VLOOKUP('Staging Table'!$A97, LS_previous!$B$4:$AY$138,LS_previous!AM$149, FALSE))/2)</f>
        <v>0</v>
      </c>
      <c r="X97" s="192">
        <f t="array" ref="X97">IF($G97=0, INDEX(LS_previous!$D$4:$AY$138, MATCH('Staging Table'!$A97, LS_previous!$B$4:$B$138, 0), MATCH(X$4&amp;X$5, LS_previous!$D$2:$AY$2&amp;LS_previous!$D$3:$AY$3, 0)),SUM(VLOOKUP($A97, LS_previous!$B$4:$AY$138, LS_previous!P$149, FALSE), VLOOKUP('Staging Table'!$A97, LS_previous!$B$4:$AY$138,LS_previous!AN$149, FALSE))/2)</f>
        <v>0</v>
      </c>
      <c r="Y97" s="192">
        <f t="array" ref="Y97">IF($G97=0, INDEX(LS_previous!$D$4:$AY$138, MATCH('Staging Table'!$A97, LS_previous!$B$4:$B$138, 0), MATCH(Y$4&amp;Y$5, LS_previous!$D$2:$AY$2&amp;LS_previous!$D$3:$AY$3, 0)),SUM(VLOOKUP($A97, LS_previous!$B$4:$AY$138, LS_previous!Q$149, FALSE), VLOOKUP('Staging Table'!$A97, LS_previous!$B$4:$AY$138,LS_previous!AO$149, FALSE))/2)</f>
        <v>0</v>
      </c>
      <c r="Z97" s="192">
        <f t="array" ref="Z97">IF($G97=0, INDEX(LS_previous!$D$4:$AY$138, MATCH('Staging Table'!$A97, LS_previous!$B$4:$B$138, 0), MATCH(Z$4&amp;Z$5, LS_previous!$D$2:$AY$2&amp;LS_previous!$D$3:$AY$3, 0)),SUM(VLOOKUP($A97, LS_previous!$B$4:$AY$138, LS_previous!R$149, FALSE), VLOOKUP('Staging Table'!$A97, LS_previous!$B$4:$AY$138,LS_previous!AP$149, FALSE))/2)</f>
        <v>0</v>
      </c>
      <c r="AA97" s="192">
        <f t="array" ref="AA97">IF($G97=0, INDEX(LS_previous!$D$4:$AY$138, MATCH('Staging Table'!$A97, LS_previous!$B$4:$B$138, 0), MATCH(AA$4&amp;AA$5, LS_previous!$D$2:$AY$2&amp;LS_previous!$D$3:$AY$3, 0)),SUM(VLOOKUP($A97, LS_previous!$B$4:$AY$138, LS_previous!S$149, FALSE), VLOOKUP('Staging Table'!$A97, LS_previous!$B$4:$AY$138,LS_previous!AQ$149, FALSE))/2)</f>
        <v>0</v>
      </c>
      <c r="AB97" s="192">
        <f t="array" ref="AB97">IF($G97=0, INDEX(LS_previous!$D$4:$AY$138, MATCH('Staging Table'!$A97, LS_previous!$B$4:$B$138, 0), MATCH(AB$4&amp;AB$5, LS_previous!$D$2:$AY$2&amp;LS_previous!$D$3:$AY$3, 0)),SUM(VLOOKUP($A97, LS_previous!$B$4:$AY$138, LS_previous!T$149, FALSE), VLOOKUP('Staging Table'!$A97, LS_previous!$B$4:$AY$138,LS_previous!AR$149, FALSE))/2)</f>
        <v>0</v>
      </c>
      <c r="AC97" s="192">
        <f t="array" ref="AC97">IF($G97=0, INDEX(LS_previous!$D$4:$AY$138, MATCH('Staging Table'!$A97, LS_previous!$B$4:$B$138, 0), MATCH(AC$4&amp;AC$5, LS_previous!$D$2:$AY$2&amp;LS_previous!$D$3:$AY$3, 0)),SUM(VLOOKUP($A97, LS_previous!$B$4:$AY$138, LS_previous!U$149, FALSE), VLOOKUP('Staging Table'!$A97, LS_previous!$B$4:$AY$138,LS_previous!AS$149, FALSE))/2)</f>
        <v>0</v>
      </c>
      <c r="AD97" s="192">
        <f t="array" ref="AD97">IF($G97=0, INDEX(LS_previous!$D$4:$AY$138, MATCH('Staging Table'!$A97, LS_previous!$B$4:$B$138, 0), MATCH(AD$4&amp;AD$5, LS_previous!$D$2:$AY$2&amp;LS_previous!$D$3:$AY$3, 0)),SUM(VLOOKUP($A97, LS_previous!$B$4:$AY$138, LS_previous!V$149, FALSE), VLOOKUP('Staging Table'!$A97, LS_previous!$B$4:$AY$138,LS_previous!AT$149, FALSE))/2)</f>
        <v>0</v>
      </c>
      <c r="AE97" s="192">
        <f t="array" ref="AE97">IF($G97=0, INDEX(LS_previous!$D$4:$AY$138, MATCH('Staging Table'!$A97, LS_previous!$B$4:$B$138, 0), MATCH(AE$4&amp;AE$5, LS_previous!$D$2:$AY$2&amp;LS_previous!$D$3:$AY$3, 0)),SUM(VLOOKUP($A97, LS_previous!$B$4:$AY$138, LS_previous!W$149, FALSE), VLOOKUP('Staging Table'!$A97, LS_previous!$B$4:$AY$138,LS_previous!AU$149, FALSE))/2)</f>
        <v>0</v>
      </c>
      <c r="AF97" s="192">
        <f t="array" ref="AF97">IF($G97=0, INDEX(LS_previous!$D$4:$AY$138, MATCH('Staging Table'!$A97, LS_previous!$B$4:$B$138, 0), MATCH(AF$4&amp;AF$5, LS_previous!$D$2:$AY$2&amp;LS_previous!$D$3:$AY$3, 0)),SUM(VLOOKUP($A97, LS_previous!$B$4:$AY$138, LS_previous!X$149, FALSE), VLOOKUP('Staging Table'!$A97, LS_previous!$B$4:$AY$138,LS_previous!AV$149, FALSE))/2)</f>
        <v>0</v>
      </c>
      <c r="AG97" s="192">
        <f t="array" ref="AG97">IF($G97=0, INDEX(LS_previous!$D$4:$AY$138, MATCH('Staging Table'!$A97, LS_previous!$B$4:$B$138, 0), MATCH(AG$4&amp;AG$5, LS_previous!$D$2:$AY$2&amp;LS_previous!$D$3:$AY$3, 0)),SUM(VLOOKUP($A97, LS_previous!$B$4:$AY$138, LS_previous!Y$149, FALSE), VLOOKUP('Staging Table'!$A97, LS_previous!$B$4:$AY$138,LS_previous!AW$149, FALSE))/2)</f>
        <v>0</v>
      </c>
      <c r="AH97" s="192">
        <f t="array" ref="AH97">IF($G97=0, INDEX(LS_previous!$D$4:$AY$138, MATCH('Staging Table'!$A97, LS_previous!$B$4:$B$138, 0), MATCH(AH$4&amp;AH$5, LS_previous!$D$2:$AY$2&amp;LS_previous!$D$3:$AY$3, 0)),SUM(VLOOKUP($A97, LS_previous!$B$4:$AY$138, LS_previous!Z$149, FALSE), VLOOKUP('Staging Table'!$A97, LS_previous!$B$4:$AY$138,LS_previous!AX$149, FALSE))/2)</f>
        <v>0</v>
      </c>
      <c r="AI97" s="192">
        <f t="array" ref="AI97">IF($G97=0, INDEX(LS_previous!$D$4:$AY$138, MATCH('Staging Table'!$A97, LS_previous!$B$4:$B$138, 0), MATCH(AI$4&amp;AI$5, LS_previous!$D$2:$AY$2&amp;LS_previous!$D$3:$AY$3, 0)),SUM(VLOOKUP($A97, LS_previous!$B$4:$AY$138, LS_previous!AA$149, FALSE), VLOOKUP('Staging Table'!$A97, LS_previous!$B$4:$AY$138,LS_previous!AY$149, FALSE))/2)</f>
        <v>0</v>
      </c>
      <c r="AJ97" s="314">
        <f t="array" ref="AJ97">INDEX(Demand_previous!$D$4:$AY$138, MATCH('Staging Table'!$A97, Demand_previous!$B$4:$B$138, 0), MATCH(AJ$4&amp;AJ$5,Demand_previous!$D$2:$AY$2&amp;Demand_previous!$D$3:$AY$3, 0))/1000</f>
        <v>0</v>
      </c>
      <c r="AK97" s="314">
        <f t="array" ref="AK97">INDEX(Demand_previous!$D$4:$AY$138, MATCH('Staging Table'!$A97, Demand_previous!$B$4:$B$138, 0), MATCH(AK$4&amp;AK$5,Demand_previous!$D$2:$AY$2&amp;Demand_previous!$D$3:$AY$3, 0))/1000</f>
        <v>0</v>
      </c>
      <c r="AL97" s="314">
        <f t="array" ref="AL97">INDEX(Demand_previous!$D$4:$AY$138, MATCH('Staging Table'!$A97, Demand_previous!$B$4:$B$138, 0), MATCH(AL$4&amp;AL$5,Demand_previous!$D$2:$AY$2&amp;Demand_previous!$D$3:$AY$3, 0))/1000</f>
        <v>0</v>
      </c>
      <c r="AM97" s="314">
        <f t="array" ref="AM97">INDEX(Demand_previous!$D$4:$AY$138, MATCH('Staging Table'!$A97, Demand_previous!$B$4:$B$138, 0), MATCH(AM$4&amp;AM$5,Demand_previous!$D$2:$AY$2&amp;Demand_previous!$D$3:$AY$3, 0))/1000</f>
        <v>0</v>
      </c>
      <c r="AN97" s="314">
        <f t="array" ref="AN97">INDEX(Demand_previous!$D$4:$AY$138, MATCH('Staging Table'!$A97, Demand_previous!$B$4:$B$138, 0), MATCH(AN$4&amp;AN$5,Demand_previous!$D$2:$AY$2&amp;Demand_previous!$D$3:$AY$3, 0))/1000</f>
        <v>0</v>
      </c>
      <c r="AO97" s="314">
        <f t="array" ref="AO97">INDEX(Demand_previous!$D$4:$AY$138, MATCH('Staging Table'!$A97, Demand_previous!$B$4:$B$138, 0), MATCH(AO$4&amp;AO$5,Demand_previous!$D$2:$AY$2&amp;Demand_previous!$D$3:$AY$3, 0))/1000</f>
        <v>0</v>
      </c>
      <c r="AP97" s="314">
        <f t="array" ref="AP97">INDEX(Demand_previous!$D$4:$AY$138, MATCH('Staging Table'!$A97, Demand_previous!$B$4:$B$138, 0), MATCH(AP$4&amp;AP$5,Demand_previous!$D$2:$AY$2&amp;Demand_previous!$D$3:$AY$3, 0))/1000</f>
        <v>0</v>
      </c>
      <c r="AQ97" s="314">
        <f t="array" ref="AQ97">INDEX(Demand_previous!$D$4:$AY$138, MATCH('Staging Table'!$A97, Demand_previous!$B$4:$B$138, 0), MATCH(AQ$4&amp;AQ$5,Demand_previous!$D$2:$AY$2&amp;Demand_previous!$D$3:$AY$3, 0))/1000</f>
        <v>0</v>
      </c>
      <c r="AR97" s="314">
        <f t="array" ref="AR97">INDEX(Demand_previous!$D$4:$AY$138, MATCH('Staging Table'!$A97, Demand_previous!$B$4:$B$138, 0), MATCH(AR$4&amp;AR$5,Demand_previous!$D$2:$AY$2&amp;Demand_previous!$D$3:$AY$3, 0))/1000</f>
        <v>0</v>
      </c>
      <c r="AS97" s="314">
        <f t="array" ref="AS97">INDEX(Demand_previous!$D$4:$AY$138, MATCH('Staging Table'!$A97, Demand_previous!$B$4:$B$138, 0), MATCH(AS$4&amp;AS$5,Demand_previous!$D$2:$AY$2&amp;Demand_previous!$D$3:$AY$3, 0))/1000</f>
        <v>0</v>
      </c>
      <c r="AT97" s="314">
        <f t="array" ref="AT97">INDEX(Demand_previous!$D$4:$AY$138, MATCH('Staging Table'!$A97, Demand_previous!$B$4:$B$138, 0), MATCH(AT$4&amp;AT$5,Demand_previous!$D$2:$AY$2&amp;Demand_previous!$D$3:$AY$3, 0))/1000</f>
        <v>0</v>
      </c>
      <c r="AU97" s="314">
        <f t="array" ref="AU97">INDEX(Demand_previous!$D$4:$AY$138, MATCH('Staging Table'!$A97, Demand_previous!$B$4:$B$138, 0), MATCH(AU$4&amp;AU$5,Demand_previous!$D$2:$AY$2&amp;Demand_previous!$D$3:$AY$3, 0))/1000</f>
        <v>0</v>
      </c>
      <c r="AV97" s="192">
        <f>$F97*(VLOOKUP(AV$4, Rates_previous!$G$6:$Q$29, 10, FALSE)+VLOOKUP(AV$4, Rates_previous!$G$6:$Q$29, 11, FALSE))</f>
        <v>15913.121984294399</v>
      </c>
      <c r="AW97" s="192">
        <f>$F97*(VLOOKUP(AW$4, Rates_previous!$G$6:$Q$29, 10, FALSE)+VLOOKUP(AW$4, Rates_previous!$G$6:$Q$29, 11, FALSE))</f>
        <v>20214.629114889602</v>
      </c>
      <c r="AX97" s="192">
        <f>$F97*(VLOOKUP(AX$4, Rates_previous!$G$6:$Q$29, 10, FALSE)+VLOOKUP(AX$4, Rates_previous!$G$6:$Q$29, 11, FALSE))</f>
        <v>19970.510115494402</v>
      </c>
      <c r="AY97" s="192">
        <f>$F97*(VLOOKUP(AY$4, Rates_previous!$G$6:$Q$29, 10, FALSE)+VLOOKUP(AY$4, Rates_previous!$G$6:$Q$29, 11, FALSE))</f>
        <v>16646.636528294403</v>
      </c>
      <c r="AZ97" s="192">
        <f>$F97*(VLOOKUP(AZ$4, Rates_previous!$G$6:$Q$29, 10, FALSE)+VLOOKUP(AZ$4, Rates_previous!$G$6:$Q$29, 11, FALSE))</f>
        <v>15080.125739519999</v>
      </c>
      <c r="BA97" s="192">
        <f>$F97*(VLOOKUP(BA$4, Rates_previous!$G$6:$Q$29, 10, FALSE)+VLOOKUP(BA$4, Rates_previous!$G$6:$Q$29, 11, FALSE))</f>
        <v>16773.8905092768</v>
      </c>
      <c r="BB97" s="192">
        <f>$F97*(VLOOKUP(BB$4, Rates_previous!$G$6:$Q$29, 10, FALSE)+VLOOKUP(BB$4, Rates_previous!$G$6:$Q$29, 11, FALSE))</f>
        <v>13657.319753472</v>
      </c>
      <c r="BC97" s="192">
        <f>$F97*(VLOOKUP(BC$4, Rates_previous!$G$6:$Q$29, 10, FALSE)+VLOOKUP(BC$4, Rates_previous!$G$6:$Q$29, 11, FALSE))</f>
        <v>18418.932219494403</v>
      </c>
      <c r="BD97" s="192">
        <f>$F97*(VLOOKUP(BD$4, Rates_previous!$G$6:$Q$29, 10, FALSE)+VLOOKUP(BD$4, Rates_previous!$G$6:$Q$29, 11, FALSE))</f>
        <v>23501.304814272004</v>
      </c>
      <c r="BE97" s="192">
        <f>$F97*(VLOOKUP(BE$4, Rates_previous!$G$6:$Q$29, 10, FALSE)+VLOOKUP(BE$4, Rates_previous!$G$6:$Q$29, 11, FALSE))</f>
        <v>18425.768153894402</v>
      </c>
      <c r="BF97" s="192">
        <f>$F97*(VLOOKUP(BF$4, Rates_previous!$G$6:$Q$29, 10, FALSE)+VLOOKUP(BF$4, Rates_previous!$G$6:$Q$29, 11, FALSE))</f>
        <v>17943.029182694401</v>
      </c>
      <c r="BG97" s="192">
        <f>$F97*(VLOOKUP(BG$4, Rates_previous!$G$6:$Q$29, 10, FALSE)+VLOOKUP(BG$4, Rates_previous!$G$6:$Q$29, 11, FALSE))</f>
        <v>16109.023231872003</v>
      </c>
      <c r="BH97" s="314">
        <f>IF($D97=0,IF(C97=0, MAX(BJ97 - (VLOOKUP($A97,TOCA_previous!$A$2:$AI$137,MATCH("RHWM 2020",TOCA_previous!$A$2:$AI$2,0),FALSE)*$F$2*TOCA_previous!C94),0),0), 0)</f>
        <v>0</v>
      </c>
      <c r="BI97" s="204">
        <f>MIN(VLOOKUP($A97,TOCA_previous!$A$2:$AI$137,MATCH("TRL - NLSL - Existing Resource "&amp;$F$1,TOCA_previous!$A$2:$AI$2,0),FALSE)*$F$2,(VLOOKUP($A97,TOCA_previous!$A$2:$AI$137,MATCH("RHWM 2020",TOCA_previous!$A$2:$AI$2,0),FALSE)*$F$2))</f>
        <v>212651.856</v>
      </c>
      <c r="BJ97" s="418">
        <f>SUM(L97:AI97)+(F97*RT1SC!$C$3*$F$2)</f>
        <v>212654.2993293312</v>
      </c>
      <c r="BK97" s="417">
        <f>VLOOKUP($A97,TOCA_previous!$A$2:$AI$137,MATCH("Above RHWM Not Served with LS "&amp;$F$1,TOCA_previous!$A$2:$AI$2,0),FALSE)*$F$2</f>
        <v>0</v>
      </c>
      <c r="BL97" s="418">
        <f t="shared" si="27"/>
        <v>2.443329331203131</v>
      </c>
      <c r="BM97" s="417">
        <f>(VLOOKUP($A97,TOCA_previous!$A$2:$AI$137,MATCH("RHWM 2020",TOCA_previous!$A$2:$AI$2,0),FALSE)*$F$2) - $BI97</f>
        <v>3460.8960000000079</v>
      </c>
      <c r="BN97" s="418">
        <f t="shared" si="28"/>
        <v>-2.443329331203131</v>
      </c>
      <c r="BO97" s="417">
        <f t="shared" si="29"/>
        <v>0</v>
      </c>
      <c r="BP97" s="418">
        <f t="shared" si="30"/>
        <v>0</v>
      </c>
      <c r="BQ97" s="417">
        <f t="shared" si="21"/>
        <v>-2.443329331203131</v>
      </c>
      <c r="BR97" s="120">
        <f>VLOOKUP($A97,TOCA_current!$A$2:$AI$137,MATCH(BR$4,TOCA_current!$A$2:$AI$2,0),FALSE)</f>
        <v>3.5025E-3</v>
      </c>
      <c r="BS97" s="120">
        <f>VLOOKUP($A97,TOCA_current!$A$2:$AI$137,MATCH(BS$4,TOCA_current!$A$2:$AI$2,0),FALSE)</f>
        <v>3.5025E-3</v>
      </c>
      <c r="BT97" s="201">
        <f t="shared" si="31"/>
        <v>0</v>
      </c>
      <c r="BU97" s="120">
        <f>VLOOKUP($A97,TOCA_current!A93:BG228,MATCH(BU$4,TOCA_current!$A$2:$BG$2,0),FALSE)</f>
        <v>6.3626345681105367E-2</v>
      </c>
      <c r="BV97" s="120">
        <f t="shared" si="22"/>
        <v>6.3626345681105367E-2</v>
      </c>
      <c r="BW97" s="120">
        <f t="shared" si="23"/>
        <v>3.5025E-3</v>
      </c>
      <c r="BX97" s="191">
        <f>VLOOKUP($A97,IRD!$A$4:$G$139, 7, FALSE)</f>
        <v>0</v>
      </c>
      <c r="BY97" s="192">
        <f t="array" ref="BY97">IF($BT97=0, INDEX(LS_current!$D$4:$AY$138, MATCH('Staging Table'!$A97, LS_current!$B$4:$B$138, 0), MATCH(BY$4&amp;BY$5, LS_current!$D$2:$AY$2&amp;LS_current!$D$3:$AY$3, 0)),SUM(VLOOKUP($A97, LS_current!$B$4:$AY$138, LS_current!D$148, FALSE), VLOOKUP($A97, LS_current!$B$4:$AY$138,LS_current!AB$148, FALSE))/2)</f>
        <v>0</v>
      </c>
      <c r="BZ97" s="192">
        <f t="array" ref="BZ97">IF($BT97=0, INDEX(LS_current!$D$4:$AY$138, MATCH('Staging Table'!$A97, LS_current!$B$4:$B$138, 0), MATCH(BZ$4&amp;BZ$5, LS_current!$D$2:$AY$2&amp;LS_current!$D$3:$AY$3, 0)),SUM(VLOOKUP($A97, LS_current!$B$4:$AY$138, LS_current!E$148, FALSE), VLOOKUP($A97, LS_current!$B$4:$AY$138,LS_current!AC$148, FALSE))/2)</f>
        <v>0</v>
      </c>
      <c r="CA97" s="192">
        <f t="array" ref="CA97">IF($BT97=0, INDEX(LS_current!$D$4:$AY$138, MATCH('Staging Table'!$A97, LS_current!$B$4:$B$138, 0), MATCH(CA$4&amp;CA$5, LS_current!$D$2:$AY$2&amp;LS_current!$D$3:$AY$3, 0)),SUM(VLOOKUP($A97, LS_current!$B$4:$AY$138, LS_current!F$148, FALSE), VLOOKUP($A97, LS_current!$B$4:$AY$138,LS_current!AD$148, FALSE))/2)</f>
        <v>0</v>
      </c>
      <c r="CB97" s="192">
        <f t="array" ref="CB97">IF($BT97=0, INDEX(LS_current!$D$4:$AY$138, MATCH('Staging Table'!$A97, LS_current!$B$4:$B$138, 0), MATCH(CB$4&amp;CB$5, LS_current!$D$2:$AY$2&amp;LS_current!$D$3:$AY$3, 0)),SUM(VLOOKUP($A97, LS_current!$B$4:$AY$138, LS_current!G$148, FALSE), VLOOKUP($A97, LS_current!$B$4:$AY$138,LS_current!AE$148, FALSE))/2)</f>
        <v>0</v>
      </c>
      <c r="CC97" s="192">
        <f t="array" ref="CC97">IF($BT97=0, INDEX(LS_current!$D$4:$AY$138, MATCH('Staging Table'!$A97, LS_current!$B$4:$B$138, 0), MATCH(CC$4&amp;CC$5, LS_current!$D$2:$AY$2&amp;LS_current!$D$3:$AY$3, 0)),SUM(VLOOKUP($A97, LS_current!$B$4:$AY$138, LS_current!H$148, FALSE), VLOOKUP($A97, LS_current!$B$4:$AY$138,LS_current!AF$148, FALSE))/2)</f>
        <v>0</v>
      </c>
      <c r="CD97" s="192">
        <f t="array" ref="CD97">IF($BT97=0, INDEX(LS_current!$D$4:$AY$138, MATCH('Staging Table'!$A97, LS_current!$B$4:$B$138, 0), MATCH(CD$4&amp;CD$5, LS_current!$D$2:$AY$2&amp;LS_current!$D$3:$AY$3, 0)),SUM(VLOOKUP($A97, LS_current!$B$4:$AY$138, LS_current!I$148, FALSE), VLOOKUP($A97, LS_current!$B$4:$AY$138,LS_current!AG$148, FALSE))/2)</f>
        <v>0</v>
      </c>
      <c r="CE97" s="192">
        <f t="array" ref="CE97">IF($BT97=0, INDEX(LS_current!$D$4:$AY$138, MATCH('Staging Table'!$A97, LS_current!$B$4:$B$138, 0), MATCH(CE$4&amp;CE$5, LS_current!$D$2:$AY$2&amp;LS_current!$D$3:$AY$3, 0)),SUM(VLOOKUP($A97, LS_current!$B$4:$AY$138, LS_current!J$148, FALSE), VLOOKUP($A97, LS_current!$B$4:$AY$138,LS_current!AH$148, FALSE))/2)</f>
        <v>0</v>
      </c>
      <c r="CF97" s="192">
        <f t="array" ref="CF97">IF($BT97=0, INDEX(LS_current!$D$4:$AY$138, MATCH('Staging Table'!$A97, LS_current!$B$4:$B$138, 0), MATCH(CF$4&amp;CF$5, LS_current!$D$2:$AY$2&amp;LS_current!$D$3:$AY$3, 0)),SUM(VLOOKUP($A97, LS_current!$B$4:$AY$138, LS_current!K$148, FALSE), VLOOKUP($A97, LS_current!$B$4:$AY$138,LS_current!AI$148, FALSE))/2)</f>
        <v>0</v>
      </c>
      <c r="CG97" s="192">
        <f t="array" ref="CG97">IF($BT97=0, INDEX(LS_current!$D$4:$AY$138, MATCH('Staging Table'!$A97, LS_current!$B$4:$B$138, 0), MATCH(CG$4&amp;CG$5, LS_current!$D$2:$AY$2&amp;LS_current!$D$3:$AY$3, 0)),SUM(VLOOKUP($A97, LS_current!$B$4:$AY$138, LS_current!L$148, FALSE), VLOOKUP($A97, LS_current!$B$4:$AY$138,LS_current!AJ$148, FALSE))/2)</f>
        <v>0</v>
      </c>
      <c r="CH97" s="192">
        <f t="array" ref="CH97">IF($BT97=0, INDEX(LS_current!$D$4:$AY$138, MATCH('Staging Table'!$A97, LS_current!$B$4:$B$138, 0), MATCH(CH$4&amp;CH$5, LS_current!$D$2:$AY$2&amp;LS_current!$D$3:$AY$3, 0)),SUM(VLOOKUP($A97, LS_current!$B$4:$AY$138, LS_current!M$148, FALSE), VLOOKUP($A97, LS_current!$B$4:$AY$138,LS_current!AK$148, FALSE))/2)</f>
        <v>0</v>
      </c>
      <c r="CI97" s="192">
        <f t="array" ref="CI97">IF($BT97=0, INDEX(LS_current!$D$4:$AY$138, MATCH('Staging Table'!$A97, LS_current!$B$4:$B$138, 0), MATCH(CI$4&amp;CI$5, LS_current!$D$2:$AY$2&amp;LS_current!$D$3:$AY$3, 0)),SUM(VLOOKUP($A97, LS_current!$B$4:$AY$138, LS_current!N$148, FALSE), VLOOKUP($A97, LS_current!$B$4:$AY$138,LS_current!AL$148, FALSE))/2)</f>
        <v>0</v>
      </c>
      <c r="CJ97" s="192">
        <f t="array" ref="CJ97">IF($BT97=0, INDEX(LS_current!$D$4:$AY$138, MATCH('Staging Table'!$A97, LS_current!$B$4:$B$138, 0), MATCH(CJ$4&amp;CJ$5, LS_current!$D$2:$AY$2&amp;LS_current!$D$3:$AY$3, 0)),SUM(VLOOKUP($A97, LS_current!$B$4:$AY$138, LS_current!O$148, FALSE), VLOOKUP($A97, LS_current!$B$4:$AY$138,LS_current!AM$148, FALSE))/2)</f>
        <v>0</v>
      </c>
      <c r="CK97" s="192">
        <f t="array" ref="CK97">IF($BT97=0, INDEX(LS_current!$D$4:$AY$138, MATCH('Staging Table'!$A97, LS_current!$B$4:$B$138, 0), MATCH(CK$4&amp;CK$5, LS_current!$D$2:$AY$2&amp;LS_current!$D$3:$AY$3, 0)),SUM(VLOOKUP($A97, LS_current!$B$4:$AY$138, LS_current!P$148, FALSE), VLOOKUP($A97, LS_current!$B$4:$AY$138,LS_current!AN$148, FALSE))/2)</f>
        <v>0</v>
      </c>
      <c r="CL97" s="192">
        <f t="array" ref="CL97">IF($BT97=0, INDEX(LS_current!$D$4:$AY$138, MATCH('Staging Table'!$A97, LS_current!$B$4:$B$138, 0), MATCH(CL$4&amp;CL$5, LS_current!$D$2:$AY$2&amp;LS_current!$D$3:$AY$3, 0)),SUM(VLOOKUP($A97, LS_current!$B$4:$AY$138, LS_current!Q$148, FALSE), VLOOKUP($A97, LS_current!$B$4:$AY$138,LS_current!AO$148, FALSE))/2)</f>
        <v>0</v>
      </c>
      <c r="CM97" s="192">
        <f t="array" ref="CM97">IF($BT97=0, INDEX(LS_current!$D$4:$AY$138, MATCH('Staging Table'!$A97, LS_current!$B$4:$B$138, 0), MATCH(CM$4&amp;CM$5, LS_current!$D$2:$AY$2&amp;LS_current!$D$3:$AY$3, 0)),SUM(VLOOKUP($A97, LS_current!$B$4:$AY$138, LS_current!R$148, FALSE), VLOOKUP($A97, LS_current!$B$4:$AY$138,LS_current!AP$148, FALSE))/2)</f>
        <v>0</v>
      </c>
      <c r="CN97" s="192">
        <f t="array" ref="CN97">IF($BT97=0, INDEX(LS_current!$D$4:$AY$138, MATCH('Staging Table'!$A97, LS_current!$B$4:$B$138, 0), MATCH(CN$4&amp;CN$5, LS_current!$D$2:$AY$2&amp;LS_current!$D$3:$AY$3, 0)),SUM(VLOOKUP($A97, LS_current!$B$4:$AY$138, LS_current!S$148, FALSE), VLOOKUP($A97, LS_current!$B$4:$AY$138,LS_current!AQ$148, FALSE))/2)</f>
        <v>0</v>
      </c>
      <c r="CO97" s="192">
        <f t="array" ref="CO97">IF($BT97=0, INDEX(LS_current!$D$4:$AY$138, MATCH('Staging Table'!$A97, LS_current!$B$4:$B$138, 0), MATCH(CO$4&amp;CO$5, LS_current!$D$2:$AY$2&amp;LS_current!$D$3:$AY$3, 0)),SUM(VLOOKUP($A97, LS_current!$B$4:$AY$138, LS_current!T$148, FALSE), VLOOKUP($A97, LS_current!$B$4:$AY$138,LS_current!AR$148, FALSE))/2)</f>
        <v>0</v>
      </c>
      <c r="CP97" s="192">
        <f t="array" ref="CP97">IF($BT97=0, INDEX(LS_current!$D$4:$AY$138, MATCH('Staging Table'!$A97, LS_current!$B$4:$B$138, 0), MATCH(CP$4&amp;CP$5, LS_current!$D$2:$AY$2&amp;LS_current!$D$3:$AY$3, 0)),SUM(VLOOKUP($A97, LS_current!$B$4:$AY$138, LS_current!U$148, FALSE), VLOOKUP($A97, LS_current!$B$4:$AY$138,LS_current!AS$148, FALSE))/2)</f>
        <v>0</v>
      </c>
      <c r="CQ97" s="192">
        <f t="array" ref="CQ97">IF($BT97=0, INDEX(LS_current!$D$4:$AY$138, MATCH('Staging Table'!$A97, LS_current!$B$4:$B$138, 0), MATCH(CQ$4&amp;CQ$5, LS_current!$D$2:$AY$2&amp;LS_current!$D$3:$AY$3, 0)),SUM(VLOOKUP($A97, LS_current!$B$4:$AY$138, LS_current!V$148, FALSE), VLOOKUP($A97, LS_current!$B$4:$AY$138,LS_current!AT$148, FALSE))/2)</f>
        <v>0</v>
      </c>
      <c r="CR97" s="192">
        <f t="array" ref="CR97">IF($BT97=0, INDEX(LS_current!$D$4:$AY$138, MATCH('Staging Table'!$A97, LS_current!$B$4:$B$138, 0), MATCH(CR$4&amp;CR$5, LS_current!$D$2:$AY$2&amp;LS_current!$D$3:$AY$3, 0)),SUM(VLOOKUP($A97, LS_current!$B$4:$AY$138, LS_current!W$148, FALSE), VLOOKUP($A97, LS_current!$B$4:$AY$138,LS_current!AU$148, FALSE))/2)</f>
        <v>0</v>
      </c>
      <c r="CS97" s="192">
        <f t="array" ref="CS97">IF($BT97=0, INDEX(LS_current!$D$4:$AY$138, MATCH('Staging Table'!$A97, LS_current!$B$4:$B$138, 0), MATCH(CS$4&amp;CS$5, LS_current!$D$2:$AY$2&amp;LS_current!$D$3:$AY$3, 0)),SUM(VLOOKUP($A97, LS_current!$B$4:$AY$138, LS_current!X$148, FALSE), VLOOKUP($A97, LS_current!$B$4:$AY$138,LS_current!AV$148, FALSE))/2)</f>
        <v>0</v>
      </c>
      <c r="CT97" s="192">
        <f t="array" ref="CT97">IF($BT97=0, INDEX(LS_current!$D$4:$AY$138, MATCH('Staging Table'!$A97, LS_current!$B$4:$B$138, 0), MATCH(CT$4&amp;CT$5, LS_current!$D$2:$AY$2&amp;LS_current!$D$3:$AY$3, 0)),SUM(VLOOKUP($A97, LS_current!$B$4:$AY$138, LS_current!Y$148, FALSE), VLOOKUP($A97, LS_current!$B$4:$AY$138,LS_current!AW$148, FALSE))/2)</f>
        <v>0</v>
      </c>
      <c r="CU97" s="192">
        <f t="array" ref="CU97">IF($BT97=0, INDEX(LS_current!$D$4:$AY$138, MATCH('Staging Table'!$A97, LS_current!$B$4:$B$138, 0), MATCH(CU$4&amp;CU$5, LS_current!$D$2:$AY$2&amp;LS_current!$D$3:$AY$3, 0)),SUM(VLOOKUP($A97, LS_current!$B$4:$AY$138, LS_current!Z$148, FALSE), VLOOKUP($A97, LS_current!$B$4:$AY$138,LS_current!AX$148, FALSE))/2)</f>
        <v>0</v>
      </c>
      <c r="CV97" s="192">
        <f t="array" ref="CV97">IF($BT97=0, INDEX(LS_current!$D$4:$AY$138, MATCH('Staging Table'!$A97, LS_current!$B$4:$B$138, 0), MATCH(CV$4&amp;CV$5, LS_current!$D$2:$AY$2&amp;LS_current!$D$3:$AY$3, 0)),SUM(VLOOKUP($A97, LS_current!$B$4:$AY$138, LS_current!AA$148, FALSE), VLOOKUP($A97, LS_current!$B$4:$AY$138,LS_current!AY$148, FALSE))/2)</f>
        <v>0</v>
      </c>
      <c r="CW97" s="194">
        <f t="array" ref="CW97">INDEX(Demand_current!$D$4:$AY$138, MATCH($A97, Demand_current!$B$4:$B$138, 0), MATCH(CW$4&amp;CW$5,Demand_current!$D$2:$AY$2&amp;Demand_current!$D$3:$AY$3, 0))/1000</f>
        <v>0</v>
      </c>
      <c r="CX97" s="194">
        <f t="array" ref="CX97">INDEX(Demand_current!$D$4:$AY$138, MATCH($A97, Demand_current!$B$4:$B$138, 0), MATCH(CX$4&amp;CX$5,Demand_current!$D$2:$AY$2&amp;Demand_current!$D$3:$AY$3, 0))/1000</f>
        <v>0</v>
      </c>
      <c r="CY97" s="194">
        <f t="array" ref="CY97">INDEX(Demand_current!$D$4:$AY$138, MATCH($A97, Demand_current!$B$4:$B$138, 0), MATCH(CY$4&amp;CY$5,Demand_current!$D$2:$AY$2&amp;Demand_current!$D$3:$AY$3, 0))/1000</f>
        <v>0</v>
      </c>
      <c r="CZ97" s="194">
        <f t="array" ref="CZ97">INDEX(Demand_current!$D$4:$AY$138, MATCH($A97, Demand_current!$B$4:$B$138, 0), MATCH(CZ$4&amp;CZ$5,Demand_current!$D$2:$AY$2&amp;Demand_current!$D$3:$AY$3, 0))/1000</f>
        <v>0</v>
      </c>
      <c r="DA97" s="194">
        <f t="array" ref="DA97">INDEX(Demand_current!$D$4:$AY$138, MATCH($A97, Demand_current!$B$4:$B$138, 0), MATCH(DA$4&amp;DA$5,Demand_current!$D$2:$AY$2&amp;Demand_current!$D$3:$AY$3, 0))/1000</f>
        <v>0</v>
      </c>
      <c r="DB97" s="194">
        <f t="array" ref="DB97">INDEX(Demand_current!$D$4:$AY$138, MATCH($A97, Demand_current!$B$4:$B$138, 0), MATCH(DB$4&amp;DB$5,Demand_current!$D$2:$AY$2&amp;Demand_current!$D$3:$AY$3, 0))/1000</f>
        <v>0</v>
      </c>
      <c r="DC97" s="194">
        <f t="array" ref="DC97">INDEX(Demand_current!$D$4:$AY$138, MATCH($A97, Demand_current!$B$4:$B$138, 0), MATCH(DC$4&amp;DC$5,Demand_current!$D$2:$AY$2&amp;Demand_current!$D$3:$AY$3, 0))/1000</f>
        <v>0</v>
      </c>
      <c r="DD97" s="194">
        <f t="array" ref="DD97">INDEX(Demand_current!$D$4:$AY$138, MATCH($A97, Demand_current!$B$4:$B$138, 0), MATCH(DD$4&amp;DD$5,Demand_current!$D$2:$AY$2&amp;Demand_current!$D$3:$AY$3, 0))/1000</f>
        <v>0</v>
      </c>
      <c r="DE97" s="194">
        <f t="array" ref="DE97">INDEX(Demand_current!$D$4:$AY$138, MATCH($A97, Demand_current!$B$4:$B$138, 0), MATCH(DE$4&amp;DE$5,Demand_current!$D$2:$AY$2&amp;Demand_current!$D$3:$AY$3, 0))/1000</f>
        <v>0</v>
      </c>
      <c r="DF97" s="194">
        <f t="array" ref="DF97">INDEX(Demand_current!$D$4:$AY$138, MATCH($A97, Demand_current!$B$4:$B$138, 0), MATCH(DF$4&amp;DF$5,Demand_current!$D$2:$AY$2&amp;Demand_current!$D$3:$AY$3, 0))/1000</f>
        <v>0</v>
      </c>
      <c r="DG97" s="194">
        <f t="array" ref="DG97">INDEX(Demand_current!$D$4:$AY$138, MATCH($A97, Demand_current!$B$4:$B$138, 0), MATCH(DG$4&amp;DG$5,Demand_current!$D$2:$AY$2&amp;Demand_current!$D$3:$AY$3, 0))/1000</f>
        <v>0</v>
      </c>
      <c r="DH97" s="194">
        <f t="array" ref="DH97">INDEX(Demand_current!$D$4:$AY$138, MATCH($A97, Demand_current!$B$4:$B$138, 0), MATCH(DH$4&amp;DH$5,Demand_current!$D$2:$AY$2&amp;Demand_current!$D$3:$AY$3, 0))/1000</f>
        <v>0</v>
      </c>
      <c r="DI97" s="192">
        <f>$BS97*(VLOOKUP(DI$4, Rates_current!$G$6:$Q$29, 10, FALSE)+VLOOKUP(DI$4, Rates_current!$G$6:$Q$29, 11, FALSE))</f>
        <v>15950.120283722406</v>
      </c>
      <c r="DJ97" s="192">
        <f>$BS97*(VLOOKUP(DJ$4, Rates_current!$G$6:$Q$29, 10, FALSE)+VLOOKUP(DJ$4, Rates_current!$G$6:$Q$29, 11, FALSE))</f>
        <v>20193.431148892694</v>
      </c>
      <c r="DK97" s="192">
        <f>$BS97*(VLOOKUP(DK$4, Rates_current!$G$6:$Q$29, 10, FALSE)+VLOOKUP(DK$4, Rates_current!$G$6:$Q$29, 11, FALSE))</f>
        <v>19765.334786153311</v>
      </c>
      <c r="DL97" s="192">
        <f>$BS97*(VLOOKUP(DL$4, Rates_current!$G$6:$Q$29, 10, FALSE)+VLOOKUP(DL$4, Rates_current!$G$6:$Q$29, 11, FALSE))</f>
        <v>16325.326015625767</v>
      </c>
      <c r="DM97" s="192">
        <f>$BS97*(VLOOKUP(DM$4, Rates_current!$G$6:$Q$29, 10, FALSE)+VLOOKUP(DM$4, Rates_current!$G$6:$Q$29, 11, FALSE))</f>
        <v>14149.517861353728</v>
      </c>
      <c r="DN97" s="192">
        <f>$BS97*(VLOOKUP(DN$4, Rates_current!$G$6:$Q$29, 10, FALSE)+VLOOKUP(DN$4, Rates_current!$G$6:$Q$29, 11, FALSE))</f>
        <v>16891.666983475039</v>
      </c>
      <c r="DO97" s="192">
        <f>$BS97*(VLOOKUP(DO$4, Rates_current!$G$6:$Q$29, 10, FALSE)+VLOOKUP(DO$4, Rates_current!$G$6:$Q$29, 11, FALSE))</f>
        <v>13114.130643634084</v>
      </c>
      <c r="DP97" s="192">
        <f>$BS97*(VLOOKUP(DP$4, Rates_current!$G$6:$Q$29, 10, FALSE)+VLOOKUP(DP$4, Rates_current!$G$6:$Q$29, 11, FALSE))</f>
        <v>18169.724513434237</v>
      </c>
      <c r="DQ97" s="192">
        <f>$BS97*(VLOOKUP(DQ$4, Rates_current!$G$6:$Q$29, 10, FALSE)+VLOOKUP(DQ$4, Rates_current!$G$6:$Q$29, 11, FALSE))</f>
        <v>19414.731101214784</v>
      </c>
      <c r="DR97" s="192">
        <f>$BS97*(VLOOKUP(DR$4, Rates_current!$G$6:$Q$29, 10, FALSE)+VLOOKUP(DR$4, Rates_current!$G$6:$Q$29, 11, FALSE))</f>
        <v>18433.408050540245</v>
      </c>
      <c r="DS97" s="192">
        <f>$BS97*(VLOOKUP(DS$4, Rates_current!$G$6:$Q$29, 10, FALSE)+VLOOKUP(DS$4, Rates_current!$G$6:$Q$29, 11, FALSE))</f>
        <v>17814.466817405875</v>
      </c>
      <c r="DT97" s="192">
        <f>$BS97*(VLOOKUP(DT$4, Rates_current!$G$6:$Q$29, 10, FALSE)+VLOOKUP(DT$4, Rates_current!$G$6:$Q$29, 11, FALSE))</f>
        <v>16462.424423852473</v>
      </c>
      <c r="DU97" s="418">
        <f>IF(D97=0,IF(C97=0,MAX(0,DW97 - (VLOOKUP($A97,TOCA_current!$A$2:$AI$137,MATCH("RHWM 2022",TOCA_current!$A$2:$AI$2,0),FALSE)*$BS$2)), 0),0)</f>
        <v>0</v>
      </c>
      <c r="DV97" s="419">
        <f>MIN(VLOOKUP($A97,TOCA_current!$A$2:$AI$137,MATCH("TRL - NLSL - Existing Resource "&amp;$BS$1,TOCA_current!$A$2:$AI$2,0),FALSE)*$BS$2, VLOOKUP($A97,TOCA_current!$A$2:$AI$137,MATCH("RHWM 2022",TOCA_current!$A$2:$AI$2,0),FALSE)*$BS$2)</f>
        <v>206683.44</v>
      </c>
      <c r="DW97" s="419">
        <f>SUM(BY97:CV97)+(BS97*RT1SC!$C$4*$BS$2)</f>
        <v>206684.2932021</v>
      </c>
      <c r="DX97" s="419">
        <f>VLOOKUP($A97,TOCA_current!$A$2:$AI$137,MATCH("Above RHWM Not Served with LS "&amp;$BS$1,TOCA_current!$A$2:$AI$2,0),FALSE)*$BS$2</f>
        <v>12491.76</v>
      </c>
      <c r="DY97" s="419">
        <f t="shared" si="32"/>
        <v>0.85320209999918006</v>
      </c>
      <c r="DZ97" s="419">
        <f>(VLOOKUP($A97,TOCA_current!$A$2:$AI$137,MATCH("RHWM 2022",TOCA_current!$A$2:$AI$2,0),FALSE)*$BS$2) - $DV97</f>
        <v>0</v>
      </c>
      <c r="EA97" s="419">
        <f t="shared" si="33"/>
        <v>0</v>
      </c>
      <c r="EB97" s="419">
        <f t="shared" si="34"/>
        <v>0</v>
      </c>
      <c r="EC97" s="419">
        <f t="shared" si="35"/>
        <v>0</v>
      </c>
      <c r="ED97" s="419">
        <f t="shared" si="36"/>
        <v>0</v>
      </c>
    </row>
    <row r="98" spans="1:134">
      <c r="A98" s="135">
        <v>10291</v>
      </c>
      <c r="B98" s="136" t="s">
        <v>99</v>
      </c>
      <c r="C98" s="244">
        <f>VLOOKUP(A98, TOCA_current!$A$3:$D$137, 4, FALSE)</f>
        <v>0</v>
      </c>
      <c r="D98" s="203">
        <v>0</v>
      </c>
      <c r="E98" s="119">
        <f>VLOOKUP($A98,TOCA_previous!$A$2:$AI$137,MATCH(E$4,TOCA_previous!$A$2:$AI$2,0),FALSE)</f>
        <v>1.12126E-2</v>
      </c>
      <c r="F98" s="120">
        <f>VLOOKUP($A98,TOCA_previous!$A$2:$AI$137,MATCH(F$4,TOCA_previous!$A$2:$AI$2,0),FALSE)</f>
        <v>1.12126E-2</v>
      </c>
      <c r="G98" s="120">
        <f t="shared" si="24"/>
        <v>0</v>
      </c>
      <c r="H98" s="120">
        <f>VLOOKUP($A98,TOCA_previous!$A$2:$AI$137,MATCH(H$4,TOCA_previous!$A$2:$AI$2,0),FALSE)</f>
        <v>5.0224724807333393E-2</v>
      </c>
      <c r="I98" s="120">
        <f t="shared" si="25"/>
        <v>0</v>
      </c>
      <c r="J98" s="120">
        <f t="shared" si="26"/>
        <v>0</v>
      </c>
      <c r="K98" s="191">
        <f>VLOOKUP(A98, IRD!$A$5:$C$139, 3, FALSE)</f>
        <v>36260.600999999995</v>
      </c>
      <c r="L98" s="192">
        <f t="array" ref="L98">IF($G98=0, INDEX(LS_previous!$D$4:$AY$138, MATCH('Staging Table'!$A98, LS_previous!$B$4:$B$138, 0), MATCH(L$4&amp;L$5, LS_previous!$D$2:$AY$2&amp;LS_previous!$D$3:$AY$3, 0)),SUM(VLOOKUP($A98, LS_previous!$B$4:$AY$138, LS_previous!D$149, FALSE), VLOOKUP('Staging Table'!$A98, LS_previous!$B$4:$AY$138,LS_previous!AB$149, FALSE))/2)</f>
        <v>-3348.7965694887971</v>
      </c>
      <c r="M98" s="192">
        <f t="array" ref="M98">IF($G98=0, INDEX(LS_previous!$D$4:$AY$138, MATCH('Staging Table'!$A98, LS_previous!$B$4:$B$138, 0), MATCH(M$4&amp;M$5, LS_previous!$D$2:$AY$2&amp;LS_previous!$D$3:$AY$3, 0)),SUM(VLOOKUP($A98, LS_previous!$B$4:$AY$138, LS_previous!E$149, FALSE), VLOOKUP('Staging Table'!$A98, LS_previous!$B$4:$AY$138,LS_previous!AC$149, FALSE))/2)</f>
        <v>1614.213777619203</v>
      </c>
      <c r="N98" s="192">
        <f t="array" ref="N98">IF($G98=0, INDEX(LS_previous!$D$4:$AY$138, MATCH('Staging Table'!$A98, LS_previous!$B$4:$B$138, 0), MATCH(N$4&amp;N$5, LS_previous!$D$2:$AY$2&amp;LS_previous!$D$3:$AY$3, 0)),SUM(VLOOKUP($A98, LS_previous!$B$4:$AY$138, LS_previous!F$149, FALSE), VLOOKUP('Staging Table'!$A98, LS_previous!$B$4:$AY$138,LS_previous!AD$149, FALSE))/2)</f>
        <v>-9993.8511444527976</v>
      </c>
      <c r="O98" s="192">
        <f t="array" ref="O98">IF($G98=0, INDEX(LS_previous!$D$4:$AY$138, MATCH('Staging Table'!$A98, LS_previous!$B$4:$B$138, 0), MATCH(O$4&amp;O$5, LS_previous!$D$2:$AY$2&amp;LS_previous!$D$3:$AY$3, 0)),SUM(VLOOKUP($A98, LS_previous!$B$4:$AY$138, LS_previous!G$149, FALSE), VLOOKUP('Staging Table'!$A98, LS_previous!$B$4:$AY$138,LS_previous!AE$149, FALSE))/2)</f>
        <v>-2843.6865911585992</v>
      </c>
      <c r="P98" s="192">
        <f t="array" ref="P98">IF($G98=0, INDEX(LS_previous!$D$4:$AY$138, MATCH('Staging Table'!$A98, LS_previous!$B$4:$B$138, 0), MATCH(P$4&amp;P$5, LS_previous!$D$2:$AY$2&amp;LS_previous!$D$3:$AY$3, 0)),SUM(VLOOKUP($A98, LS_previous!$B$4:$AY$138, LS_previous!H$149, FALSE), VLOOKUP('Staging Table'!$A98, LS_previous!$B$4:$AY$138,LS_previous!AF$149, FALSE))/2)</f>
        <v>568.65171953279787</v>
      </c>
      <c r="Q98" s="192">
        <f t="array" ref="Q98">IF($G98=0, INDEX(LS_previous!$D$4:$AY$138, MATCH('Staging Table'!$A98, LS_previous!$B$4:$B$138, 0), MATCH(Q$4&amp;Q$5, LS_previous!$D$2:$AY$2&amp;LS_previous!$D$3:$AY$3, 0)),SUM(VLOOKUP($A98, LS_previous!$B$4:$AY$138, LS_previous!I$149, FALSE), VLOOKUP('Staging Table'!$A98, LS_previous!$B$4:$AY$138,LS_previous!AG$149, FALSE))/2)</f>
        <v>2358.1361227976013</v>
      </c>
      <c r="R98" s="192">
        <f t="array" ref="R98">IF($G98=0, INDEX(LS_previous!$D$4:$AY$138, MATCH('Staging Table'!$A98, LS_previous!$B$4:$B$138, 0), MATCH(R$4&amp;R$5, LS_previous!$D$2:$AY$2&amp;LS_previous!$D$3:$AY$3, 0)),SUM(VLOOKUP($A98, LS_previous!$B$4:$AY$138, LS_previous!J$149, FALSE), VLOOKUP('Staging Table'!$A98, LS_previous!$B$4:$AY$138,LS_previous!AH$149, FALSE))/2)</f>
        <v>4781.9321571327964</v>
      </c>
      <c r="S98" s="192">
        <f t="array" ref="S98">IF($G98=0, INDEX(LS_previous!$D$4:$AY$138, MATCH('Staging Table'!$A98, LS_previous!$B$4:$B$138, 0), MATCH(S$4&amp;S$5, LS_previous!$D$2:$AY$2&amp;LS_previous!$D$3:$AY$3, 0)),SUM(VLOOKUP($A98, LS_previous!$B$4:$AY$138, LS_previous!K$149, FALSE), VLOOKUP('Staging Table'!$A98, LS_previous!$B$4:$AY$138,LS_previous!AI$149, FALSE))/2)</f>
        <v>8426.9863299975987</v>
      </c>
      <c r="T98" s="192">
        <f t="array" ref="T98">IF($G98=0, INDEX(LS_previous!$D$4:$AY$138, MATCH('Staging Table'!$A98, LS_previous!$B$4:$B$138, 0), MATCH(T$4&amp;T$5, LS_previous!$D$2:$AY$2&amp;LS_previous!$D$3:$AY$3, 0)),SUM(VLOOKUP($A98, LS_previous!$B$4:$AY$138, LS_previous!L$149, FALSE), VLOOKUP('Staging Table'!$A98, LS_previous!$B$4:$AY$138,LS_previous!AJ$149, FALSE))/2)</f>
        <v>3520.7706874376017</v>
      </c>
      <c r="U98" s="192">
        <f t="array" ref="U98">IF($G98=0, INDEX(LS_previous!$D$4:$AY$138, MATCH('Staging Table'!$A98, LS_previous!$B$4:$B$138, 0), MATCH(U$4&amp;U$5, LS_previous!$D$2:$AY$2&amp;LS_previous!$D$3:$AY$3, 0)),SUM(VLOOKUP($A98, LS_previous!$B$4:$AY$138, LS_previous!M$149, FALSE), VLOOKUP('Staging Table'!$A98, LS_previous!$B$4:$AY$138,LS_previous!AK$149, FALSE))/2)</f>
        <v>3904.8193808823999</v>
      </c>
      <c r="V98" s="192">
        <f t="array" ref="V98">IF($G98=0, INDEX(LS_previous!$D$4:$AY$138, MATCH('Staging Table'!$A98, LS_previous!$B$4:$B$138, 0), MATCH(V$4&amp;V$5, LS_previous!$D$2:$AY$2&amp;LS_previous!$D$3:$AY$3, 0)),SUM(VLOOKUP($A98, LS_previous!$B$4:$AY$138, LS_previous!N$149, FALSE), VLOOKUP('Staging Table'!$A98, LS_previous!$B$4:$AY$138,LS_previous!AL$149, FALSE))/2)</f>
        <v>-786.38362128159497</v>
      </c>
      <c r="W98" s="192">
        <f t="array" ref="W98">IF($G98=0, INDEX(LS_previous!$D$4:$AY$138, MATCH('Staging Table'!$A98, LS_previous!$B$4:$B$138, 0), MATCH(W$4&amp;W$5, LS_previous!$D$2:$AY$2&amp;LS_previous!$D$3:$AY$3, 0)),SUM(VLOOKUP($A98, LS_previous!$B$4:$AY$138, LS_previous!O$149, FALSE), VLOOKUP('Staging Table'!$A98, LS_previous!$B$4:$AY$138,LS_previous!AM$149, FALSE))/2)</f>
        <v>785.03297007540095</v>
      </c>
      <c r="X98" s="192">
        <f t="array" ref="X98">IF($G98=0, INDEX(LS_previous!$D$4:$AY$138, MATCH('Staging Table'!$A98, LS_previous!$B$4:$B$138, 0), MATCH(X$4&amp;X$5, LS_previous!$D$2:$AY$2&amp;LS_previous!$D$3:$AY$3, 0)),SUM(VLOOKUP($A98, LS_previous!$B$4:$AY$138, LS_previous!P$149, FALSE), VLOOKUP('Staging Table'!$A98, LS_previous!$B$4:$AY$138,LS_previous!AN$149, FALSE))/2)</f>
        <v>3810.9906994256016</v>
      </c>
      <c r="Y98" s="192">
        <f t="array" ref="Y98">IF($G98=0, INDEX(LS_previous!$D$4:$AY$138, MATCH('Staging Table'!$A98, LS_previous!$B$4:$B$138, 0), MATCH(Y$4&amp;Y$5, LS_previous!$D$2:$AY$2&amp;LS_previous!$D$3:$AY$3, 0)),SUM(VLOOKUP($A98, LS_previous!$B$4:$AY$138, LS_previous!Q$149, FALSE), VLOOKUP('Staging Table'!$A98, LS_previous!$B$4:$AY$138,LS_previous!AO$149, FALSE))/2)</f>
        <v>2796.0883157263997</v>
      </c>
      <c r="Z98" s="192">
        <f t="array" ref="Z98">IF($G98=0, INDEX(LS_previous!$D$4:$AY$138, MATCH('Staging Table'!$A98, LS_previous!$B$4:$B$138, 0), MATCH(Z$4&amp;Z$5, LS_previous!$D$2:$AY$2&amp;LS_previous!$D$3:$AY$3, 0)),SUM(VLOOKUP($A98, LS_previous!$B$4:$AY$138, LS_previous!R$149, FALSE), VLOOKUP('Staging Table'!$A98, LS_previous!$B$4:$AY$138,LS_previous!AP$149, FALSE))/2)</f>
        <v>-8355.4004174599977</v>
      </c>
      <c r="AA98" s="192">
        <f t="array" ref="AA98">IF($G98=0, INDEX(LS_previous!$D$4:$AY$138, MATCH('Staging Table'!$A98, LS_previous!$B$4:$B$138, 0), MATCH(AA$4&amp;AA$5, LS_previous!$D$2:$AY$2&amp;LS_previous!$D$3:$AY$3, 0)),SUM(VLOOKUP($A98, LS_previous!$B$4:$AY$138, LS_previous!S$149, FALSE), VLOOKUP('Staging Table'!$A98, LS_previous!$B$4:$AY$138,LS_previous!AQ$149, FALSE))/2)</f>
        <v>288.93381129040426</v>
      </c>
      <c r="AB98" s="192">
        <f t="array" ref="AB98">IF($G98=0, INDEX(LS_previous!$D$4:$AY$138, MATCH('Staging Table'!$A98, LS_previous!$B$4:$B$138, 0), MATCH(AB$4&amp;AB$5, LS_previous!$D$2:$AY$2&amp;LS_previous!$D$3:$AY$3, 0)),SUM(VLOOKUP($A98, LS_previous!$B$4:$AY$138, LS_previous!T$149, FALSE), VLOOKUP('Staging Table'!$A98, LS_previous!$B$4:$AY$138,LS_previous!AR$149, FALSE))/2)</f>
        <v>-15549.500996674396</v>
      </c>
      <c r="AC98" s="192">
        <f t="array" ref="AC98">IF($G98=0, INDEX(LS_previous!$D$4:$AY$138, MATCH('Staging Table'!$A98, LS_previous!$B$4:$B$138, 0), MATCH(AC$4&amp;AC$5, LS_previous!$D$2:$AY$2&amp;LS_previous!$D$3:$AY$3, 0)),SUM(VLOOKUP($A98, LS_previous!$B$4:$AY$138, LS_previous!U$149, FALSE), VLOOKUP('Staging Table'!$A98, LS_previous!$B$4:$AY$138,LS_previous!AS$149, FALSE))/2)</f>
        <v>-7361.3478878735987</v>
      </c>
      <c r="AD98" s="192">
        <f t="array" ref="AD98">IF($G98=0, INDEX(LS_previous!$D$4:$AY$138, MATCH('Staging Table'!$A98, LS_previous!$B$4:$B$138, 0), MATCH(AD$4&amp;AD$5, LS_previous!$D$2:$AY$2&amp;LS_previous!$D$3:$AY$3, 0)),SUM(VLOOKUP($A98, LS_previous!$B$4:$AY$138, LS_previous!V$149, FALSE), VLOOKUP('Staging Table'!$A98, LS_previous!$B$4:$AY$138,LS_previous!AT$149, FALSE))/2)</f>
        <v>-5304.056279674398</v>
      </c>
      <c r="AE98" s="192">
        <f t="array" ref="AE98">IF($G98=0, INDEX(LS_previous!$D$4:$AY$138, MATCH('Staging Table'!$A98, LS_previous!$B$4:$B$138, 0), MATCH(AE$4&amp;AE$5, LS_previous!$D$2:$AY$2&amp;LS_previous!$D$3:$AY$3, 0)),SUM(VLOOKUP($A98, LS_previous!$B$4:$AY$138, LS_previous!W$149, FALSE), VLOOKUP('Staging Table'!$A98, LS_previous!$B$4:$AY$138,LS_previous!AU$149, FALSE))/2)</f>
        <v>5318.3394814048006</v>
      </c>
      <c r="AF98" s="192">
        <f t="array" ref="AF98">IF($G98=0, INDEX(LS_previous!$D$4:$AY$138, MATCH('Staging Table'!$A98, LS_previous!$B$4:$B$138, 0), MATCH(AF$4&amp;AF$5, LS_previous!$D$2:$AY$2&amp;LS_previous!$D$3:$AY$3, 0)),SUM(VLOOKUP($A98, LS_previous!$B$4:$AY$138, LS_previous!X$149, FALSE), VLOOKUP('Staging Table'!$A98, LS_previous!$B$4:$AY$138,LS_previous!AV$149, FALSE))/2)</f>
        <v>-2147.2595433743991</v>
      </c>
      <c r="AG98" s="192">
        <f t="array" ref="AG98">IF($G98=0, INDEX(LS_previous!$D$4:$AY$138, MATCH('Staging Table'!$A98, LS_previous!$B$4:$B$138, 0), MATCH(AG$4&amp;AG$5, LS_previous!$D$2:$AY$2&amp;LS_previous!$D$3:$AY$3, 0)),SUM(VLOOKUP($A98, LS_previous!$B$4:$AY$138, LS_previous!Y$149, FALSE), VLOOKUP('Staging Table'!$A98, LS_previous!$B$4:$AY$138,LS_previous!AW$149, FALSE))/2)</f>
        <v>2296.3532334047995</v>
      </c>
      <c r="AH98" s="192">
        <f t="array" ref="AH98">IF($G98=0, INDEX(LS_previous!$D$4:$AY$138, MATCH('Staging Table'!$A98, LS_previous!$B$4:$B$138, 0), MATCH(AH$4&amp;AH$5, LS_previous!$D$2:$AY$2&amp;LS_previous!$D$3:$AY$3, 0)),SUM(VLOOKUP($A98, LS_previous!$B$4:$AY$138, LS_previous!Z$149, FALSE), VLOOKUP('Staging Table'!$A98, LS_previous!$B$4:$AY$138,LS_previous!AX$149, FALSE))/2)</f>
        <v>-4145.7153785600021</v>
      </c>
      <c r="AI98" s="192">
        <f t="array" ref="AI98">IF($G98=0, INDEX(LS_previous!$D$4:$AY$138, MATCH('Staging Table'!$A98, LS_previous!$B$4:$B$138, 0), MATCH(AI$4&amp;AI$5, LS_previous!$D$2:$AY$2&amp;LS_previous!$D$3:$AY$3, 0)),SUM(VLOOKUP($A98, LS_previous!$B$4:$AY$138, LS_previous!AA$149, FALSE), VLOOKUP('Staging Table'!$A98, LS_previous!$B$4:$AY$138,LS_previous!AY$149, FALSE))/2)</f>
        <v>-318.04020688799937</v>
      </c>
      <c r="AJ98" s="314">
        <f t="array" ref="AJ98">INDEX(Demand_previous!$D$4:$AY$138, MATCH('Staging Table'!$A98, Demand_previous!$B$4:$B$138, 0), MATCH(AJ$4&amp;AJ$5,Demand_previous!$D$2:$AY$2&amp;Demand_previous!$D$3:$AY$3, 0))/1000</f>
        <v>14.634273148148147</v>
      </c>
      <c r="AK98" s="314">
        <f t="array" ref="AK98">INDEX(Demand_previous!$D$4:$AY$138, MATCH('Staging Table'!$A98, Demand_previous!$B$4:$B$138, 0), MATCH(AK$4&amp;AK$5,Demand_previous!$D$2:$AY$2&amp;Demand_previous!$D$3:$AY$3, 0))/1000</f>
        <v>4.2104999999999961</v>
      </c>
      <c r="AL98" s="314">
        <f t="array" ref="AL98">INDEX(Demand_previous!$D$4:$AY$138, MATCH('Staging Table'!$A98, Demand_previous!$B$4:$B$138, 0), MATCH(AL$4&amp;AL$5,Demand_previous!$D$2:$AY$2&amp;Demand_previous!$D$3:$AY$3, 0))/1000</f>
        <v>12.494232499999995</v>
      </c>
      <c r="AM98" s="314">
        <f t="array" ref="AM98">INDEX(Demand_previous!$D$4:$AY$138, MATCH('Staging Table'!$A98, Demand_previous!$B$4:$B$138, 0), MATCH(AM$4&amp;AM$5,Demand_previous!$D$2:$AY$2&amp;Demand_previous!$D$3:$AY$3, 0))/1000</f>
        <v>16.892855769230774</v>
      </c>
      <c r="AN98" s="314">
        <f t="array" ref="AN98">INDEX(Demand_previous!$D$4:$AY$138, MATCH('Staging Table'!$A98, Demand_previous!$B$4:$B$138, 0), MATCH(AN$4&amp;AN$5,Demand_previous!$D$2:$AY$2&amp;Demand_previous!$D$3:$AY$3, 0))/1000</f>
        <v>17.383395</v>
      </c>
      <c r="AO98" s="314">
        <f t="array" ref="AO98">INDEX(Demand_previous!$D$4:$AY$138, MATCH('Staging Table'!$A98, Demand_previous!$B$4:$B$138, 0), MATCH(AO$4&amp;AO$5,Demand_previous!$D$2:$AY$2&amp;Demand_previous!$D$3:$AY$3, 0))/1000</f>
        <v>10.616627403846152</v>
      </c>
      <c r="AP98" s="314">
        <f t="array" ref="AP98">INDEX(Demand_previous!$D$4:$AY$138, MATCH('Staging Table'!$A98, Demand_previous!$B$4:$B$138, 0), MATCH(AP$4&amp;AP$5,Demand_previous!$D$2:$AY$2&amp;Demand_previous!$D$3:$AY$3, 0))/1000</f>
        <v>14.510463942307684</v>
      </c>
      <c r="AQ98" s="314">
        <f t="array" ref="AQ98">INDEX(Demand_previous!$D$4:$AY$138, MATCH('Staging Table'!$A98, Demand_previous!$B$4:$B$138, 0), MATCH(AQ$4&amp;AQ$5,Demand_previous!$D$2:$AY$2&amp;Demand_previous!$D$3:$AY$3, 0))/1000</f>
        <v>7.2268175000000081</v>
      </c>
      <c r="AR98" s="314">
        <f t="array" ref="AR98">INDEX(Demand_previous!$D$4:$AY$138, MATCH('Staging Table'!$A98, Demand_previous!$B$4:$B$138, 0), MATCH(AR$4&amp;AR$5,Demand_previous!$D$2:$AY$2&amp;Demand_previous!$D$3:$AY$3, 0))/1000</f>
        <v>10.619572115384612</v>
      </c>
      <c r="AS98" s="314">
        <f t="array" ref="AS98">INDEX(Demand_previous!$D$4:$AY$138, MATCH('Staging Table'!$A98, Demand_previous!$B$4:$B$138, 0), MATCH(AS$4&amp;AS$5,Demand_previous!$D$2:$AY$2&amp;Demand_previous!$D$3:$AY$3, 0))/1000</f>
        <v>13.104307692307705</v>
      </c>
      <c r="AT98" s="314">
        <f t="array" ref="AT98">INDEX(Demand_previous!$D$4:$AY$138, MATCH('Staging Table'!$A98, Demand_previous!$B$4:$B$138, 0), MATCH(AT$4&amp;AT$5,Demand_previous!$D$2:$AY$2&amp;Demand_previous!$D$3:$AY$3, 0))/1000</f>
        <v>10.862468750000007</v>
      </c>
      <c r="AU98" s="314">
        <f t="array" ref="AU98">INDEX(Demand_previous!$D$4:$AY$138, MATCH('Staging Table'!$A98, Demand_previous!$B$4:$B$138, 0), MATCH(AU$4&amp;AU$5,Demand_previous!$D$2:$AY$2&amp;Demand_previous!$D$3:$AY$3, 0))/1000</f>
        <v>13.255200000000009</v>
      </c>
      <c r="AV98" s="192">
        <f>$F98*(VLOOKUP(AV$4, Rates_previous!$G$6:$Q$29, 10, FALSE)+VLOOKUP(AV$4, Rates_previous!$G$6:$Q$29, 11, FALSE))</f>
        <v>51772.130791869597</v>
      </c>
      <c r="AW98" s="192">
        <f>$F98*(VLOOKUP(AW$4, Rates_previous!$G$6:$Q$29, 10, FALSE)+VLOOKUP(AW$4, Rates_previous!$G$6:$Q$29, 11, FALSE))</f>
        <v>65766.756735611401</v>
      </c>
      <c r="AX98" s="192">
        <f>$F98*(VLOOKUP(AX$4, Rates_previous!$G$6:$Q$29, 10, FALSE)+VLOOKUP(AX$4, Rates_previous!$G$6:$Q$29, 11, FALSE))</f>
        <v>64972.534157669601</v>
      </c>
      <c r="AY98" s="192">
        <f>$F98*(VLOOKUP(AY$4, Rates_previous!$G$6:$Q$29, 10, FALSE)+VLOOKUP(AY$4, Rates_previous!$G$6:$Q$29, 11, FALSE))</f>
        <v>54158.564512869605</v>
      </c>
      <c r="AZ98" s="192">
        <f>$F98*(VLOOKUP(AZ$4, Rates_previous!$G$6:$Q$29, 10, FALSE)+VLOOKUP(AZ$4, Rates_previous!$G$6:$Q$29, 11, FALSE))</f>
        <v>49062.04093168</v>
      </c>
      <c r="BA98" s="192">
        <f>$F98*(VLOOKUP(BA$4, Rates_previous!$G$6:$Q$29, 10, FALSE)+VLOOKUP(BA$4, Rates_previous!$G$6:$Q$29, 11, FALSE))</f>
        <v>54572.5756512062</v>
      </c>
      <c r="BB98" s="192">
        <f>$F98*(VLOOKUP(BB$4, Rates_previous!$G$6:$Q$29, 10, FALSE)+VLOOKUP(BB$4, Rates_previous!$G$6:$Q$29, 11, FALSE))</f>
        <v>44433.049984847996</v>
      </c>
      <c r="BC98" s="192">
        <f>$F98*(VLOOKUP(BC$4, Rates_previous!$G$6:$Q$29, 10, FALSE)+VLOOKUP(BC$4, Rates_previous!$G$6:$Q$29, 11, FALSE))</f>
        <v>59924.593606169605</v>
      </c>
      <c r="BD98" s="192">
        <f>$F98*(VLOOKUP(BD$4, Rates_previous!$G$6:$Q$29, 10, FALSE)+VLOOKUP(BD$4, Rates_previous!$G$6:$Q$29, 11, FALSE))</f>
        <v>76459.705884548006</v>
      </c>
      <c r="BE98" s="192">
        <f>$F98*(VLOOKUP(BE$4, Rates_previous!$G$6:$Q$29, 10, FALSE)+VLOOKUP(BE$4, Rates_previous!$G$6:$Q$29, 11, FALSE))</f>
        <v>59946.833798269603</v>
      </c>
      <c r="BF98" s="192">
        <f>$F98*(VLOOKUP(BF$4, Rates_previous!$G$6:$Q$29, 10, FALSE)+VLOOKUP(BF$4, Rates_previous!$G$6:$Q$29, 11, FALSE))</f>
        <v>58376.279309969606</v>
      </c>
      <c r="BG98" s="192">
        <f>$F98*(VLOOKUP(BG$4, Rates_previous!$G$6:$Q$29, 10, FALSE)+VLOOKUP(BG$4, Rates_previous!$G$6:$Q$29, 11, FALSE))</f>
        <v>52409.480585448</v>
      </c>
      <c r="BH98" s="314">
        <f>IF($D98=0,IF(C98=0, MAX(BJ98 - (VLOOKUP($A98,TOCA_previous!$A$2:$AI$137,MATCH("RHWM 2020",TOCA_previous!$A$2:$AI$2,0),FALSE)*$F$2*TOCA_previous!C95),0),0), 0)</f>
        <v>0</v>
      </c>
      <c r="BI98" s="204">
        <f>MIN(VLOOKUP($A98,TOCA_previous!$A$2:$AI$137,MATCH("TRL - NLSL - Existing Resource "&amp;$F$1,TOCA_previous!$A$2:$AI$2,0),FALSE)*$F$2,(VLOOKUP($A98,TOCA_previous!$A$2:$AI$137,MATCH("RHWM 2020",TOCA_previous!$A$2:$AI$2,0),FALSE)*$F$2))</f>
        <v>691854.19200000004</v>
      </c>
      <c r="BJ98" s="418">
        <f>SUM(L98:AI98)+(F98*RT1SC!$C$3*$F$2)</f>
        <v>672171.78196838161</v>
      </c>
      <c r="BK98" s="417">
        <f>VLOOKUP($A98,TOCA_previous!$A$2:$AI$137,MATCH("Above RHWM Not Served with LS "&amp;$F$1,TOCA_previous!$A$2:$AI$2,0),FALSE)*$F$2</f>
        <v>0</v>
      </c>
      <c r="BL98" s="418">
        <f t="shared" si="27"/>
        <v>-19682.410031618434</v>
      </c>
      <c r="BM98" s="417">
        <f>(VLOOKUP($A98,TOCA_previous!$A$2:$AI$137,MATCH("RHWM 2020",TOCA_previous!$A$2:$AI$2,0),FALSE)*$F$2) - $BI98</f>
        <v>0</v>
      </c>
      <c r="BN98" s="418">
        <f t="shared" si="28"/>
        <v>0</v>
      </c>
      <c r="BO98" s="417">
        <f t="shared" si="29"/>
        <v>19682.410031618434</v>
      </c>
      <c r="BP98" s="418">
        <f t="shared" si="30"/>
        <v>0</v>
      </c>
      <c r="BQ98" s="417">
        <f t="shared" si="21"/>
        <v>19682.410031618434</v>
      </c>
      <c r="BR98" s="120">
        <f>VLOOKUP($A98,TOCA_current!$A$2:$AI$137,MATCH(BR$4,TOCA_current!$A$2:$AI$2,0),FALSE)</f>
        <v>1.12126E-2</v>
      </c>
      <c r="BS98" s="120">
        <f>VLOOKUP($A98,TOCA_current!$A$2:$AI$137,MATCH(BS$4,TOCA_current!$A$2:$AI$2,0),FALSE)</f>
        <v>1.12126E-2</v>
      </c>
      <c r="BT98" s="201">
        <f t="shared" si="31"/>
        <v>0</v>
      </c>
      <c r="BU98" s="120">
        <f>VLOOKUP($A98,TOCA_current!A94:BG229,MATCH(BU$4,TOCA_current!$A$2:$BG$2,0),FALSE)</f>
        <v>5.3160911931366843E-2</v>
      </c>
      <c r="BV98" s="120">
        <f t="shared" si="22"/>
        <v>0</v>
      </c>
      <c r="BW98" s="120">
        <f t="shared" si="23"/>
        <v>0</v>
      </c>
      <c r="BX98" s="191">
        <f>VLOOKUP($A98,IRD!$A$4:$G$139, 7, FALSE)</f>
        <v>36260.600999999995</v>
      </c>
      <c r="BY98" s="192">
        <f t="array" ref="BY98">IF($BT98=0, INDEX(LS_current!$D$4:$AY$138, MATCH('Staging Table'!$A98, LS_current!$B$4:$B$138, 0), MATCH(BY$4&amp;BY$5, LS_current!$D$2:$AY$2&amp;LS_current!$D$3:$AY$3, 0)),SUM(VLOOKUP($A98, LS_current!$B$4:$AY$138, LS_current!D$148, FALSE), VLOOKUP($A98, LS_current!$B$4:$AY$138,LS_current!AB$148, FALSE))/2)</f>
        <v>-4345.4029201307421</v>
      </c>
      <c r="BZ98" s="192">
        <f t="array" ref="BZ98">IF($BT98=0, INDEX(LS_current!$D$4:$AY$138, MATCH('Staging Table'!$A98, LS_current!$B$4:$B$138, 0), MATCH(BZ$4&amp;BZ$5, LS_current!$D$2:$AY$2&amp;LS_current!$D$3:$AY$3, 0)),SUM(VLOOKUP($A98, LS_current!$B$4:$AY$138, LS_current!E$148, FALSE), VLOOKUP($A98, LS_current!$B$4:$AY$138,LS_current!AC$148, FALSE))/2)</f>
        <v>-230.98204011646885</v>
      </c>
      <c r="CA98" s="192">
        <f t="array" ref="CA98">IF($BT98=0, INDEX(LS_current!$D$4:$AY$138, MATCH('Staging Table'!$A98, LS_current!$B$4:$B$138, 0), MATCH(CA$4&amp;CA$5, LS_current!$D$2:$AY$2&amp;LS_current!$D$3:$AY$3, 0)),SUM(VLOOKUP($A98, LS_current!$B$4:$AY$138, LS_current!F$148, FALSE), VLOOKUP($A98, LS_current!$B$4:$AY$138,LS_current!AD$148, FALSE))/2)</f>
        <v>-10340.564019370599</v>
      </c>
      <c r="CB98" s="192">
        <f t="array" ref="CB98">IF($BT98=0, INDEX(LS_current!$D$4:$AY$138, MATCH('Staging Table'!$A98, LS_current!$B$4:$B$138, 0), MATCH(CB$4&amp;CB$5, LS_current!$D$2:$AY$2&amp;LS_current!$D$3:$AY$3, 0)),SUM(VLOOKUP($A98, LS_current!$B$4:$AY$138, LS_current!G$148, FALSE), VLOOKUP($A98, LS_current!$B$4:$AY$138,LS_current!AE$148, FALSE))/2)</f>
        <v>-4818.4926515999032</v>
      </c>
      <c r="CC98" s="192">
        <f t="array" ref="CC98">IF($BT98=0, INDEX(LS_current!$D$4:$AY$138, MATCH('Staging Table'!$A98, LS_current!$B$4:$B$138, 0), MATCH(CC$4&amp;CC$5, LS_current!$D$2:$AY$2&amp;LS_current!$D$3:$AY$3, 0)),SUM(VLOOKUP($A98, LS_current!$B$4:$AY$138, LS_current!H$148, FALSE), VLOOKUP($A98, LS_current!$B$4:$AY$138,LS_current!AF$148, FALSE))/2)</f>
        <v>2782.3115639312527</v>
      </c>
      <c r="CD98" s="192">
        <f t="array" ref="CD98">IF($BT98=0, INDEX(LS_current!$D$4:$AY$138, MATCH('Staging Table'!$A98, LS_current!$B$4:$B$138, 0), MATCH(CD$4&amp;CD$5, LS_current!$D$2:$AY$2&amp;LS_current!$D$3:$AY$3, 0)),SUM(VLOOKUP($A98, LS_current!$B$4:$AY$138, LS_current!I$148, FALSE), VLOOKUP($A98, LS_current!$B$4:$AY$138,LS_current!AG$148, FALSE))/2)</f>
        <v>-1710.6196348013727</v>
      </c>
      <c r="CE98" s="192">
        <f t="array" ref="CE98">IF($BT98=0, INDEX(LS_current!$D$4:$AY$138, MATCH('Staging Table'!$A98, LS_current!$B$4:$B$138, 0), MATCH(CE$4&amp;CE$5, LS_current!$D$2:$AY$2&amp;LS_current!$D$3:$AY$3, 0)),SUM(VLOOKUP($A98, LS_current!$B$4:$AY$138, LS_current!J$148, FALSE), VLOOKUP($A98, LS_current!$B$4:$AY$138,LS_current!AH$148, FALSE))/2)</f>
        <v>7177.5811731944523</v>
      </c>
      <c r="CF98" s="192">
        <f t="array" ref="CF98">IF($BT98=0, INDEX(LS_current!$D$4:$AY$138, MATCH('Staging Table'!$A98, LS_current!$B$4:$B$138, 0), MATCH(CF$4&amp;CF$5, LS_current!$D$2:$AY$2&amp;LS_current!$D$3:$AY$3, 0)),SUM(VLOOKUP($A98, LS_current!$B$4:$AY$138, LS_current!K$148, FALSE), VLOOKUP($A98, LS_current!$B$4:$AY$138,LS_current!AI$148, FALSE))/2)</f>
        <v>4374.8177489167647</v>
      </c>
      <c r="CG98" s="192">
        <f t="array" ref="CG98">IF($BT98=0, INDEX(LS_current!$D$4:$AY$138, MATCH('Staging Table'!$A98, LS_current!$B$4:$B$138, 0), MATCH(CG$4&amp;CG$5, LS_current!$D$2:$AY$2&amp;LS_current!$D$3:$AY$3, 0)),SUM(VLOOKUP($A98, LS_current!$B$4:$AY$138, LS_current!L$148, FALSE), VLOOKUP($A98, LS_current!$B$4:$AY$138,LS_current!AJ$148, FALSE))/2)</f>
        <v>6328.1443418414528</v>
      </c>
      <c r="CH98" s="192">
        <f t="array" ref="CH98">IF($BT98=0, INDEX(LS_current!$D$4:$AY$138, MATCH('Staging Table'!$A98, LS_current!$B$4:$B$138, 0), MATCH(CH$4&amp;CH$5, LS_current!$D$2:$AY$2&amp;LS_current!$D$3:$AY$3, 0)),SUM(VLOOKUP($A98, LS_current!$B$4:$AY$138, LS_current!M$148, FALSE), VLOOKUP($A98, LS_current!$B$4:$AY$138,LS_current!AK$148, FALSE))/2)</f>
        <v>1653.6462663770217</v>
      </c>
      <c r="CI98" s="192">
        <f t="array" ref="CI98">IF($BT98=0, INDEX(LS_current!$D$4:$AY$138, MATCH('Staging Table'!$A98, LS_current!$B$4:$B$138, 0), MATCH(CI$4&amp;CI$5, LS_current!$D$2:$AY$2&amp;LS_current!$D$3:$AY$3, 0)),SUM(VLOOKUP($A98, LS_current!$B$4:$AY$138, LS_current!N$148, FALSE), VLOOKUP($A98, LS_current!$B$4:$AY$138,LS_current!AL$148, FALSE))/2)</f>
        <v>-1360.6597892553145</v>
      </c>
      <c r="CJ98" s="192">
        <f t="array" ref="CJ98">IF($BT98=0, INDEX(LS_current!$D$4:$AY$138, MATCH('Staging Table'!$A98, LS_current!$B$4:$B$138, 0), MATCH(CJ$4&amp;CJ$5, LS_current!$D$2:$AY$2&amp;LS_current!$D$3:$AY$3, 0)),SUM(VLOOKUP($A98, LS_current!$B$4:$AY$138, LS_current!O$148, FALSE), VLOOKUP($A98, LS_current!$B$4:$AY$138,LS_current!AM$148, FALSE))/2)</f>
        <v>-1691.4591883070498</v>
      </c>
      <c r="CK98" s="192">
        <f t="array" ref="CK98">IF($BT98=0, INDEX(LS_current!$D$4:$AY$138, MATCH('Staging Table'!$A98, LS_current!$B$4:$B$138, 0), MATCH(CK$4&amp;CK$5, LS_current!$D$2:$AY$2&amp;LS_current!$D$3:$AY$3, 0)),SUM(VLOOKUP($A98, LS_current!$B$4:$AY$138, LS_current!P$148, FALSE), VLOOKUP($A98, LS_current!$B$4:$AY$138,LS_current!AN$148, FALSE))/2)</f>
        <v>3913.1741641015578</v>
      </c>
      <c r="CL98" s="192">
        <f t="array" ref="CL98">IF($BT98=0, INDEX(LS_current!$D$4:$AY$138, MATCH('Staging Table'!$A98, LS_current!$B$4:$B$138, 0), MATCH(CL$4&amp;CL$5, LS_current!$D$2:$AY$2&amp;LS_current!$D$3:$AY$3, 0)),SUM(VLOOKUP($A98, LS_current!$B$4:$AY$138, LS_current!Q$148, FALSE), VLOOKUP($A98, LS_current!$B$4:$AY$138,LS_current!AO$148, FALSE))/2)</f>
        <v>1706.5133641464035</v>
      </c>
      <c r="CM98" s="192">
        <f t="array" ref="CM98">IF($BT98=0, INDEX(LS_current!$D$4:$AY$138, MATCH('Staging Table'!$A98, LS_current!$B$4:$B$138, 0), MATCH(CM$4&amp;CM$5, LS_current!$D$2:$AY$2&amp;LS_current!$D$3:$AY$3, 0)),SUM(VLOOKUP($A98, LS_current!$B$4:$AY$138, LS_current!R$148, FALSE), VLOOKUP($A98, LS_current!$B$4:$AY$138,LS_current!AP$148, FALSE))/2)</f>
        <v>-10575.121292144431</v>
      </c>
      <c r="CN98" s="192">
        <f t="array" ref="CN98">IF($BT98=0, INDEX(LS_current!$D$4:$AY$138, MATCH('Staging Table'!$A98, LS_current!$B$4:$B$138, 0), MATCH(CN$4&amp;CN$5, LS_current!$D$2:$AY$2&amp;LS_current!$D$3:$AY$3, 0)),SUM(VLOOKUP($A98, LS_current!$B$4:$AY$138, LS_current!S$148, FALSE), VLOOKUP($A98, LS_current!$B$4:$AY$138,LS_current!AQ$148, FALSE))/2)</f>
        <v>713.66668491167729</v>
      </c>
      <c r="CO98" s="192">
        <f t="array" ref="CO98">IF($BT98=0, INDEX(LS_current!$D$4:$AY$138, MATCH('Staging Table'!$A98, LS_current!$B$4:$B$138, 0), MATCH(CO$4&amp;CO$5, LS_current!$D$2:$AY$2&amp;LS_current!$D$3:$AY$3, 0)),SUM(VLOOKUP($A98, LS_current!$B$4:$AY$138, LS_current!T$148, FALSE), VLOOKUP($A98, LS_current!$B$4:$AY$138,LS_current!AR$148, FALSE))/2)</f>
        <v>-12235.98157941801</v>
      </c>
      <c r="CP98" s="192">
        <f t="array" ref="CP98">IF($BT98=0, INDEX(LS_current!$D$4:$AY$138, MATCH('Staging Table'!$A98, LS_current!$B$4:$B$138, 0), MATCH(CP$4&amp;CP$5, LS_current!$D$2:$AY$2&amp;LS_current!$D$3:$AY$3, 0)),SUM(VLOOKUP($A98, LS_current!$B$4:$AY$138, LS_current!U$148, FALSE), VLOOKUP($A98, LS_current!$B$4:$AY$138,LS_current!AS$148, FALSE))/2)</f>
        <v>194.20076486243488</v>
      </c>
      <c r="CQ98" s="192">
        <f t="array" ref="CQ98">IF($BT98=0, INDEX(LS_current!$D$4:$AY$138, MATCH('Staging Table'!$A98, LS_current!$B$4:$B$138, 0), MATCH(CQ$4&amp;CQ$5, LS_current!$D$2:$AY$2&amp;LS_current!$D$3:$AY$3, 0)),SUM(VLOOKUP($A98, LS_current!$B$4:$AY$138, LS_current!V$148, FALSE), VLOOKUP($A98, LS_current!$B$4:$AY$138,LS_current!AT$148, FALSE))/2)</f>
        <v>-5252.1435482310335</v>
      </c>
      <c r="CR98" s="192">
        <f t="array" ref="CR98">IF($BT98=0, INDEX(LS_current!$D$4:$AY$138, MATCH('Staging Table'!$A98, LS_current!$B$4:$B$138, 0), MATCH(CR$4&amp;CR$5, LS_current!$D$2:$AY$2&amp;LS_current!$D$3:$AY$3, 0)),SUM(VLOOKUP($A98, LS_current!$B$4:$AY$138, LS_current!W$148, FALSE), VLOOKUP($A98, LS_current!$B$4:$AY$138,LS_current!AU$148, FALSE))/2)</f>
        <v>2649.5453141161161</v>
      </c>
      <c r="CS98" s="192">
        <f t="array" ref="CS98">IF($BT98=0, INDEX(LS_current!$D$4:$AY$138, MATCH('Staging Table'!$A98, LS_current!$B$4:$B$138, 0), MATCH(CS$4&amp;CS$5, LS_current!$D$2:$AY$2&amp;LS_current!$D$3:$AY$3, 0)),SUM(VLOOKUP($A98, LS_current!$B$4:$AY$138, LS_current!X$148, FALSE), VLOOKUP($A98, LS_current!$B$4:$AY$138,LS_current!AV$148, FALSE))/2)</f>
        <v>-2612.2237867149452</v>
      </c>
      <c r="CT98" s="192">
        <f t="array" ref="CT98">IF($BT98=0, INDEX(LS_current!$D$4:$AY$138, MATCH('Staging Table'!$A98, LS_current!$B$4:$B$138, 0), MATCH(CT$4&amp;CT$5, LS_current!$D$2:$AY$2&amp;LS_current!$D$3:$AY$3, 0)),SUM(VLOOKUP($A98, LS_current!$B$4:$AY$138, LS_current!Y$148, FALSE), VLOOKUP($A98, LS_current!$B$4:$AY$138,LS_current!AW$148, FALSE))/2)</f>
        <v>555.30638361855745</v>
      </c>
      <c r="CU98" s="192">
        <f t="array" ref="CU98">IF($BT98=0, INDEX(LS_current!$D$4:$AY$138, MATCH('Staging Table'!$A98, LS_current!$B$4:$B$138, 0), MATCH(CU$4&amp;CU$5, LS_current!$D$2:$AY$2&amp;LS_current!$D$3:$AY$3, 0)),SUM(VLOOKUP($A98, LS_current!$B$4:$AY$138, LS_current!Z$148, FALSE), VLOOKUP($A98, LS_current!$B$4:$AY$138,LS_current!AX$148, FALSE))/2)</f>
        <v>-6126.3479612632364</v>
      </c>
      <c r="CV98" s="192">
        <f t="array" ref="CV98">IF($BT98=0, INDEX(LS_current!$D$4:$AY$138, MATCH('Staging Table'!$A98, LS_current!$B$4:$B$138, 0), MATCH(CV$4&amp;CV$5, LS_current!$D$2:$AY$2&amp;LS_current!$D$3:$AY$3, 0)),SUM(VLOOKUP($A98, LS_current!$B$4:$AY$138, LS_current!AA$148, FALSE), VLOOKUP($A98, LS_current!$B$4:$AY$138,LS_current!AY$148, FALSE))/2)</f>
        <v>-2067.3060808176378</v>
      </c>
      <c r="CW98" s="194">
        <f t="array" ref="CW98">INDEX(Demand_current!$D$4:$AY$138, MATCH($A98, Demand_current!$B$4:$B$138, 0), MATCH(CW$4&amp;CW$5,Demand_current!$D$2:$AY$2&amp;Demand_current!$D$3:$AY$3, 0))/1000</f>
        <v>11.928552884615378</v>
      </c>
      <c r="CX98" s="194">
        <f t="array" ref="CX98">INDEX(Demand_current!$D$4:$AY$138, MATCH($A98, Demand_current!$B$4:$B$138, 0), MATCH(CX$4&amp;CX$5,Demand_current!$D$2:$AY$2&amp;Demand_current!$D$3:$AY$3, 0))/1000</f>
        <v>4.2104999999999961</v>
      </c>
      <c r="CY98" s="194">
        <f t="array" ref="CY98">INDEX(Demand_current!$D$4:$AY$138, MATCH($A98, Demand_current!$B$4:$B$138, 0), MATCH(CY$4&amp;CY$5,Demand_current!$D$2:$AY$2&amp;Demand_current!$D$3:$AY$3, 0))/1000</f>
        <v>16.428531249999992</v>
      </c>
      <c r="CZ98" s="194">
        <f t="array" ref="CZ98">INDEX(Demand_current!$D$4:$AY$138, MATCH($A98, Demand_current!$B$4:$B$138, 0), MATCH(CZ$4&amp;CZ$5,Demand_current!$D$2:$AY$2&amp;Demand_current!$D$3:$AY$3, 0))/1000</f>
        <v>13.16029</v>
      </c>
      <c r="DA98" s="194">
        <f t="array" ref="DA98">INDEX(Demand_current!$D$4:$AY$138, MATCH($A98, Demand_current!$B$4:$B$138, 0), MATCH(DA$4&amp;DA$5,Demand_current!$D$2:$AY$2&amp;Demand_current!$D$3:$AY$3, 0))/1000</f>
        <v>13.792328125000004</v>
      </c>
      <c r="DB98" s="194">
        <f t="array" ref="DB98">INDEX(Demand_current!$D$4:$AY$138, MATCH($A98, Demand_current!$B$4:$B$138, 0), MATCH(DB$4&amp;DB$5,Demand_current!$D$2:$AY$2&amp;Demand_current!$D$3:$AY$3, 0))/1000</f>
        <v>13.635863425925919</v>
      </c>
      <c r="DC98" s="194">
        <f t="array" ref="DC98">INDEX(Demand_current!$D$4:$AY$138, MATCH($A98, Demand_current!$B$4:$B$138, 0), MATCH(DC$4&amp;DC$5,Demand_current!$D$2:$AY$2&amp;Demand_current!$D$3:$AY$3, 0))/1000</f>
        <v>14.510463942307684</v>
      </c>
      <c r="DD98" s="194">
        <f t="array" ref="DD98">INDEX(Demand_current!$D$4:$AY$138, MATCH($A98, Demand_current!$B$4:$B$138, 0), MATCH(DD$4&amp;DD$5,Demand_current!$D$2:$AY$2&amp;Demand_current!$D$3:$AY$3, 0))/1000</f>
        <v>7.2268175000000081</v>
      </c>
      <c r="DE98" s="194">
        <f t="array" ref="DE98">INDEX(Demand_current!$D$4:$AY$138, MATCH($A98, Demand_current!$B$4:$B$138, 0), MATCH(DE$4&amp;DE$5,Demand_current!$D$2:$AY$2&amp;Demand_current!$D$3:$AY$3, 0))/1000</f>
        <v>10.619572115384612</v>
      </c>
      <c r="DF98" s="194">
        <f t="array" ref="DF98">INDEX(Demand_current!$D$4:$AY$138, MATCH($A98, Demand_current!$B$4:$B$138, 0), MATCH(DF$4&amp;DF$5,Demand_current!$D$2:$AY$2&amp;Demand_current!$D$3:$AY$3, 0))/1000</f>
        <v>9.6464400000000037</v>
      </c>
      <c r="DG98" s="194">
        <f t="array" ref="DG98">INDEX(Demand_current!$D$4:$AY$138, MATCH($A98, Demand_current!$B$4:$B$138, 0), MATCH(DG$4&amp;DG$5,Demand_current!$D$2:$AY$2&amp;Demand_current!$D$3:$AY$3, 0))/1000</f>
        <v>14.232895833333332</v>
      </c>
      <c r="DH98" s="194">
        <f t="array" ref="DH98">INDEX(Demand_current!$D$4:$AY$138, MATCH($A98, Demand_current!$B$4:$B$138, 0), MATCH(DH$4&amp;DH$5,Demand_current!$D$2:$AY$2&amp;Demand_current!$D$3:$AY$3, 0))/1000</f>
        <v>13.255200000000009</v>
      </c>
      <c r="DI98" s="192">
        <f>$BS98*(VLOOKUP(DI$4, Rates_current!$G$6:$Q$29, 10, FALSE)+VLOOKUP(DI$4, Rates_current!$G$6:$Q$29, 11, FALSE))</f>
        <v>51061.332960247208</v>
      </c>
      <c r="DJ98" s="192">
        <f>$BS98*(VLOOKUP(DJ$4, Rates_current!$G$6:$Q$29, 10, FALSE)+VLOOKUP(DJ$4, Rates_current!$G$6:$Q$29, 11, FALSE))</f>
        <v>64645.500670970512</v>
      </c>
      <c r="DK98" s="192">
        <f>$BS98*(VLOOKUP(DK$4, Rates_current!$G$6:$Q$29, 10, FALSE)+VLOOKUP(DK$4, Rates_current!$G$6:$Q$29, 11, FALSE))</f>
        <v>63275.030070870125</v>
      </c>
      <c r="DL98" s="192">
        <f>$BS98*(VLOOKUP(DL$4, Rates_current!$G$6:$Q$29, 10, FALSE)+VLOOKUP(DL$4, Rates_current!$G$6:$Q$29, 11, FALSE))</f>
        <v>52262.484077888788</v>
      </c>
      <c r="DM98" s="192">
        <f>$BS98*(VLOOKUP(DM$4, Rates_current!$G$6:$Q$29, 10, FALSE)+VLOOKUP(DM$4, Rates_current!$G$6:$Q$29, 11, FALSE))</f>
        <v>45297.040391781527</v>
      </c>
      <c r="DN98" s="192">
        <f>$BS98*(VLOOKUP(DN$4, Rates_current!$G$6:$Q$29, 10, FALSE)+VLOOKUP(DN$4, Rates_current!$G$6:$Q$29, 11, FALSE))</f>
        <v>54075.518977562373</v>
      </c>
      <c r="DO98" s="192">
        <f>$BS98*(VLOOKUP(DO$4, Rates_current!$G$6:$Q$29, 10, FALSE)+VLOOKUP(DO$4, Rates_current!$G$6:$Q$29, 11, FALSE))</f>
        <v>41982.441471752041</v>
      </c>
      <c r="DP98" s="192">
        <f>$BS98*(VLOOKUP(DP$4, Rates_current!$G$6:$Q$29, 10, FALSE)+VLOOKUP(DP$4, Rates_current!$G$6:$Q$29, 11, FALSE))</f>
        <v>58166.981607232752</v>
      </c>
      <c r="DQ98" s="192">
        <f>$BS98*(VLOOKUP(DQ$4, Rates_current!$G$6:$Q$29, 10, FALSE)+VLOOKUP(DQ$4, Rates_current!$G$6:$Q$29, 11, FALSE))</f>
        <v>62152.637814555565</v>
      </c>
      <c r="DR98" s="192">
        <f>$BS98*(VLOOKUP(DR$4, Rates_current!$G$6:$Q$29, 10, FALSE)+VLOOKUP(DR$4, Rates_current!$G$6:$Q$29, 11, FALSE))</f>
        <v>59011.115234114928</v>
      </c>
      <c r="DS98" s="192">
        <f>$BS98*(VLOOKUP(DS$4, Rates_current!$G$6:$Q$29, 10, FALSE)+VLOOKUP(DS$4, Rates_current!$G$6:$Q$29, 11, FALSE))</f>
        <v>57029.690403096392</v>
      </c>
      <c r="DT98" s="192">
        <f>$BS98*(VLOOKUP(DT$4, Rates_current!$G$6:$Q$29, 10, FALSE)+VLOOKUP(DT$4, Rates_current!$G$6:$Q$29, 11, FALSE))</f>
        <v>52701.379042080873</v>
      </c>
      <c r="DU98" s="418">
        <f>IF(D98=0,IF(C98=0,MAX(0,DW98 - (VLOOKUP($A98,TOCA_current!$A$2:$AI$137,MATCH("RHWM 2022",TOCA_current!$A$2:$AI$2,0),FALSE)*$BS$2)), 0),0)</f>
        <v>0</v>
      </c>
      <c r="DV98" s="419">
        <f>MIN(VLOOKUP($A98,TOCA_current!$A$2:$AI$137,MATCH("TRL - NLSL - Existing Resource "&amp;$BS$1,TOCA_current!$A$2:$AI$2,0),FALSE)*$BS$2, VLOOKUP($A98,TOCA_current!$A$2:$AI$137,MATCH("RHWM 2022",TOCA_current!$A$2:$AI$2,0),FALSE)*$BS$2)</f>
        <v>661660.31999999995</v>
      </c>
      <c r="DW98" s="419">
        <f>SUM(BY98:CV98)+(BS98*RT1SC!$C$4*$BS$2)</f>
        <v>630342.78984683088</v>
      </c>
      <c r="DX98" s="419">
        <f>VLOOKUP($A98,TOCA_current!$A$2:$AI$137,MATCH("Above RHWM Not Served with LS "&amp;$BS$1,TOCA_current!$A$2:$AI$2,0),FALSE)*$BS$2</f>
        <v>41829</v>
      </c>
      <c r="DY98" s="419">
        <f t="shared" si="32"/>
        <v>-31317.530153169064</v>
      </c>
      <c r="DZ98" s="419">
        <f>(VLOOKUP($A98,TOCA_current!$A$2:$AI$137,MATCH("RHWM 2022",TOCA_current!$A$2:$AI$2,0),FALSE)*$BS$2) - $DV98</f>
        <v>0</v>
      </c>
      <c r="EA98" s="419">
        <f t="shared" si="33"/>
        <v>0</v>
      </c>
      <c r="EB98" s="419">
        <f t="shared" si="34"/>
        <v>0</v>
      </c>
      <c r="EC98" s="419">
        <f t="shared" si="35"/>
        <v>0</v>
      </c>
      <c r="ED98" s="419">
        <f t="shared" si="36"/>
        <v>0</v>
      </c>
    </row>
    <row r="99" spans="1:134">
      <c r="A99" s="135">
        <v>10294</v>
      </c>
      <c r="B99" s="136" t="s">
        <v>100</v>
      </c>
      <c r="C99" s="244">
        <f>VLOOKUP(A99, TOCA_current!$A$3:$D$137, 4, FALSE)</f>
        <v>0</v>
      </c>
      <c r="D99" s="203">
        <v>1</v>
      </c>
      <c r="E99" s="119">
        <f>VLOOKUP($A99,TOCA_previous!$A$2:$AI$137,MATCH(E$4,TOCA_previous!$A$2:$AI$2,0),FALSE)</f>
        <v>5.1114000000000003E-3</v>
      </c>
      <c r="F99" s="120">
        <f>VLOOKUP($A99,TOCA_previous!$A$2:$AI$137,MATCH(F$4,TOCA_previous!$A$2:$AI$2,0),FALSE)</f>
        <v>2.2955000000000002E-3</v>
      </c>
      <c r="G99" s="120">
        <f t="shared" si="24"/>
        <v>2.8159000000000001E-3</v>
      </c>
      <c r="H99" s="120">
        <f>VLOOKUP($A99,TOCA_previous!$A$2:$AI$137,MATCH(H$4,TOCA_previous!$A$2:$AI$2,0),FALSE)</f>
        <v>0</v>
      </c>
      <c r="I99" s="120">
        <f t="shared" si="25"/>
        <v>0</v>
      </c>
      <c r="J99" s="120">
        <f t="shared" si="26"/>
        <v>0</v>
      </c>
      <c r="K99" s="191">
        <f>VLOOKUP(A99, IRD!$A$5:$C$139, 3, FALSE)</f>
        <v>0</v>
      </c>
      <c r="L99" s="192">
        <f t="array" ref="L99">IF($G99=0, INDEX(LS_previous!$D$4:$AY$138, MATCH('Staging Table'!$A99, LS_previous!$B$4:$B$138, 0), MATCH(L$4&amp;L$5, LS_previous!$D$2:$AY$2&amp;LS_previous!$D$3:$AY$3, 0)),SUM(VLOOKUP($A99, LS_previous!$B$4:$AY$138, LS_previous!D$149, FALSE), VLOOKUP('Staging Table'!$A99, LS_previous!$B$4:$AY$138,LS_previous!AB$149, FALSE))/2)</f>
        <v>-668.30737662436786</v>
      </c>
      <c r="M99" s="192">
        <f t="array" ref="M99">IF($G99=0, INDEX(LS_previous!$D$4:$AY$138, MATCH('Staging Table'!$A99, LS_previous!$B$4:$B$138, 0), MATCH(M$4&amp;M$5, LS_previous!$D$2:$AY$2&amp;LS_previous!$D$3:$AY$3, 0)),SUM(VLOOKUP($A99, LS_previous!$B$4:$AY$138, LS_previous!E$149, FALSE), VLOOKUP('Staging Table'!$A99, LS_previous!$B$4:$AY$138,LS_previous!AC$149, FALSE))/2)</f>
        <v>819.71240393101175</v>
      </c>
      <c r="N99" s="192">
        <f t="array" ref="N99">IF($G99=0, INDEX(LS_previous!$D$4:$AY$138, MATCH('Staging Table'!$A99, LS_previous!$B$4:$B$138, 0), MATCH(N$4&amp;N$5, LS_previous!$D$2:$AY$2&amp;LS_previous!$D$3:$AY$3, 0)),SUM(VLOOKUP($A99, LS_previous!$B$4:$AY$138, LS_previous!F$149, FALSE), VLOOKUP('Staging Table'!$A99, LS_previous!$B$4:$AY$138,LS_previous!AD$149, FALSE))/2)</f>
        <v>-910.0714972804717</v>
      </c>
      <c r="O99" s="192">
        <f t="array" ref="O99">IF($G99=0, INDEX(LS_previous!$D$4:$AY$138, MATCH('Staging Table'!$A99, LS_previous!$B$4:$B$138, 0), MATCH(O$4&amp;O$5, LS_previous!$D$2:$AY$2&amp;LS_previous!$D$3:$AY$3, 0)),SUM(VLOOKUP($A99, LS_previous!$B$4:$AY$138, LS_previous!G$149, FALSE), VLOOKUP('Staging Table'!$A99, LS_previous!$B$4:$AY$138,LS_previous!AE$149, FALSE))/2)</f>
        <v>1309.2630803361376</v>
      </c>
      <c r="P99" s="192">
        <f t="array" ref="P99">IF($G99=0, INDEX(LS_previous!$D$4:$AY$138, MATCH('Staging Table'!$A99, LS_previous!$B$4:$B$138, 0), MATCH(P$4&amp;P$5, LS_previous!$D$2:$AY$2&amp;LS_previous!$D$3:$AY$3, 0)),SUM(VLOOKUP($A99, LS_previous!$B$4:$AY$138, LS_previous!H$149, FALSE), VLOOKUP('Staging Table'!$A99, LS_previous!$B$4:$AY$138,LS_previous!AF$149, FALSE))/2)</f>
        <v>742.01816825361493</v>
      </c>
      <c r="Q99" s="192">
        <f t="array" ref="Q99">IF($G99=0, INDEX(LS_previous!$D$4:$AY$138, MATCH('Staging Table'!$A99, LS_previous!$B$4:$B$138, 0), MATCH(Q$4&amp;Q$5, LS_previous!$D$2:$AY$2&amp;LS_previous!$D$3:$AY$3, 0)),SUM(VLOOKUP($A99, LS_previous!$B$4:$AY$138, LS_previous!I$149, FALSE), VLOOKUP('Staging Table'!$A99, LS_previous!$B$4:$AY$138,LS_previous!AG$149, FALSE))/2)</f>
        <v>2377.2844303480942</v>
      </c>
      <c r="R99" s="192">
        <f t="array" ref="R99">IF($G99=0, INDEX(LS_previous!$D$4:$AY$138, MATCH('Staging Table'!$A99, LS_previous!$B$4:$B$138, 0), MATCH(R$4&amp;R$5, LS_previous!$D$2:$AY$2&amp;LS_previous!$D$3:$AY$3, 0)),SUM(VLOOKUP($A99, LS_previous!$B$4:$AY$138, LS_previous!J$149, FALSE), VLOOKUP('Staging Table'!$A99, LS_previous!$B$4:$AY$138,LS_previous!AH$149, FALSE))/2)</f>
        <v>2114.6336309087728</v>
      </c>
      <c r="S99" s="192">
        <f t="array" ref="S99">IF($G99=0, INDEX(LS_previous!$D$4:$AY$138, MATCH('Staging Table'!$A99, LS_previous!$B$4:$B$138, 0), MATCH(S$4&amp;S$5, LS_previous!$D$2:$AY$2&amp;LS_previous!$D$3:$AY$3, 0)),SUM(VLOOKUP($A99, LS_previous!$B$4:$AY$138, LS_previous!K$149, FALSE), VLOOKUP('Staging Table'!$A99, LS_previous!$B$4:$AY$138,LS_previous!AI$149, FALSE))/2)</f>
        <v>3370.008449869058</v>
      </c>
      <c r="T99" s="192">
        <f t="array" ref="T99">IF($G99=0, INDEX(LS_previous!$D$4:$AY$138, MATCH('Staging Table'!$A99, LS_previous!$B$4:$B$138, 0), MATCH(T$4&amp;T$5, LS_previous!$D$2:$AY$2&amp;LS_previous!$D$3:$AY$3, 0)),SUM(VLOOKUP($A99, LS_previous!$B$4:$AY$138, LS_previous!L$149, FALSE), VLOOKUP('Staging Table'!$A99, LS_previous!$B$4:$AY$138,LS_previous!AJ$149, FALSE))/2)</f>
        <v>1417.861721340309</v>
      </c>
      <c r="U99" s="192">
        <f t="array" ref="U99">IF($G99=0, INDEX(LS_previous!$D$4:$AY$138, MATCH('Staging Table'!$A99, LS_previous!$B$4:$B$138, 0), MATCH(U$4&amp;U$5, LS_previous!$D$2:$AY$2&amp;LS_previous!$D$3:$AY$3, 0)),SUM(VLOOKUP($A99, LS_previous!$B$4:$AY$138, LS_previous!M$149, FALSE), VLOOKUP('Staging Table'!$A99, LS_previous!$B$4:$AY$138,LS_previous!AK$149, FALSE))/2)</f>
        <v>2042.687230375627</v>
      </c>
      <c r="V99" s="192">
        <f t="array" ref="V99">IF($G99=0, INDEX(LS_previous!$D$4:$AY$138, MATCH('Staging Table'!$A99, LS_previous!$B$4:$B$138, 0), MATCH(V$4&amp;V$5, LS_previous!$D$2:$AY$2&amp;LS_previous!$D$3:$AY$3, 0)),SUM(VLOOKUP($A99, LS_previous!$B$4:$AY$138, LS_previous!N$149, FALSE), VLOOKUP('Staging Table'!$A99, LS_previous!$B$4:$AY$138,LS_previous!AL$149, FALSE))/2)</f>
        <v>486.9550442865966</v>
      </c>
      <c r="W99" s="192">
        <f t="array" ref="W99">IF($G99=0, INDEX(LS_previous!$D$4:$AY$138, MATCH('Staging Table'!$A99, LS_previous!$B$4:$B$138, 0), MATCH(W$4&amp;W$5, LS_previous!$D$2:$AY$2&amp;LS_previous!$D$3:$AY$3, 0)),SUM(VLOOKUP($A99, LS_previous!$B$4:$AY$138, LS_previous!O$149, FALSE), VLOOKUP('Staging Table'!$A99, LS_previous!$B$4:$AY$138,LS_previous!AM$149, FALSE))/2)</f>
        <v>1645.5167885000637</v>
      </c>
      <c r="X99" s="192">
        <f t="array" ref="X99">IF($G99=0, INDEX(LS_previous!$D$4:$AY$138, MATCH('Staging Table'!$A99, LS_previous!$B$4:$B$138, 0), MATCH(X$4&amp;X$5, LS_previous!$D$2:$AY$2&amp;LS_previous!$D$3:$AY$3, 0)),SUM(VLOOKUP($A99, LS_previous!$B$4:$AY$138, LS_previous!P$149, FALSE), VLOOKUP('Staging Table'!$A99, LS_previous!$B$4:$AY$138,LS_previous!AN$149, FALSE))/2)</f>
        <v>817.33307481275688</v>
      </c>
      <c r="Y99" s="192">
        <f t="array" ref="Y99">IF($G99=0, INDEX(LS_previous!$D$4:$AY$138, MATCH('Staging Table'!$A99, LS_previous!$B$4:$B$138, 0), MATCH(Y$4&amp;Y$5, LS_previous!$D$2:$AY$2&amp;LS_previous!$D$3:$AY$3, 0)),SUM(VLOOKUP($A99, LS_previous!$B$4:$AY$138, LS_previous!Q$149, FALSE), VLOOKUP('Staging Table'!$A99, LS_previous!$B$4:$AY$138,LS_previous!AO$149, FALSE))/2)</f>
        <v>1411.1302482573985</v>
      </c>
      <c r="Z99" s="192">
        <f t="array" ref="Z99">IF($G99=0, INDEX(LS_previous!$D$4:$AY$138, MATCH('Staging Table'!$A99, LS_previous!$B$4:$B$138, 0), MATCH(Z$4&amp;Z$5, LS_previous!$D$2:$AY$2&amp;LS_previous!$D$3:$AY$3, 0)),SUM(VLOOKUP($A99, LS_previous!$B$4:$AY$138, LS_previous!R$149, FALSE), VLOOKUP('Staging Table'!$A99, LS_previous!$B$4:$AY$138,LS_previous!AP$149, FALSE))/2)</f>
        <v>-2572.63206549812</v>
      </c>
      <c r="AA99" s="192">
        <f t="array" ref="AA99">IF($G99=0, INDEX(LS_previous!$D$4:$AY$138, MATCH('Staging Table'!$A99, LS_previous!$B$4:$B$138, 0), MATCH(AA$4&amp;AA$5, LS_previous!$D$2:$AY$2&amp;LS_previous!$D$3:$AY$3, 0)),SUM(VLOOKUP($A99, LS_previous!$B$4:$AY$138, LS_previous!S$149, FALSE), VLOOKUP('Staging Table'!$A99, LS_previous!$B$4:$AY$138,LS_previous!AQ$149, FALSE))/2)</f>
        <v>337.70611929911684</v>
      </c>
      <c r="AB99" s="192">
        <f t="array" ref="AB99">IF($G99=0, INDEX(LS_previous!$D$4:$AY$138, MATCH('Staging Table'!$A99, LS_previous!$B$4:$B$138, 0), MATCH(AB$4&amp;AB$5, LS_previous!$D$2:$AY$2&amp;LS_previous!$D$3:$AY$3, 0)),SUM(VLOOKUP($A99, LS_previous!$B$4:$AY$138, LS_previous!T$149, FALSE), VLOOKUP('Staging Table'!$A99, LS_previous!$B$4:$AY$138,LS_previous!AR$149, FALSE))/2)</f>
        <v>-5031.668826070003</v>
      </c>
      <c r="AC99" s="192">
        <f t="array" ref="AC99">IF($G99=0, INDEX(LS_previous!$D$4:$AY$138, MATCH('Staging Table'!$A99, LS_previous!$B$4:$B$138, 0), MATCH(AC$4&amp;AC$5, LS_previous!$D$2:$AY$2&amp;LS_previous!$D$3:$AY$3, 0)),SUM(VLOOKUP($A99, LS_previous!$B$4:$AY$138, LS_previous!U$149, FALSE), VLOOKUP('Staging Table'!$A99, LS_previous!$B$4:$AY$138,LS_previous!AS$149, FALSE))/2)</f>
        <v>-1739.1527387290409</v>
      </c>
      <c r="AD99" s="192">
        <f t="array" ref="AD99">IF($G99=0, INDEX(LS_previous!$D$4:$AY$138, MATCH('Staging Table'!$A99, LS_previous!$B$4:$B$138, 0), MATCH(AD$4&amp;AD$5, LS_previous!$D$2:$AY$2&amp;LS_previous!$D$3:$AY$3, 0)),SUM(VLOOKUP($A99, LS_previous!$B$4:$AY$138, LS_previous!V$149, FALSE), VLOOKUP('Staging Table'!$A99, LS_previous!$B$4:$AY$138,LS_previous!AT$149, FALSE))/2)</f>
        <v>-3480.3667072687081</v>
      </c>
      <c r="AE99" s="192">
        <f t="array" ref="AE99">IF($G99=0, INDEX(LS_previous!$D$4:$AY$138, MATCH('Staging Table'!$A99, LS_previous!$B$4:$B$138, 0), MATCH(AE$4&amp;AE$5, LS_previous!$D$2:$AY$2&amp;LS_previous!$D$3:$AY$3, 0)),SUM(VLOOKUP($A99, LS_previous!$B$4:$AY$138, LS_previous!W$149, FALSE), VLOOKUP('Staging Table'!$A99, LS_previous!$B$4:$AY$138,LS_previous!AU$149, FALSE))/2)</f>
        <v>104.50245628572975</v>
      </c>
      <c r="AF99" s="192">
        <f t="array" ref="AF99">IF($G99=0, INDEX(LS_previous!$D$4:$AY$138, MATCH('Staging Table'!$A99, LS_previous!$B$4:$B$138, 0), MATCH(AF$4&amp;AF$5, LS_previous!$D$2:$AY$2&amp;LS_previous!$D$3:$AY$3, 0)),SUM(VLOOKUP($A99, LS_previous!$B$4:$AY$138, LS_previous!X$149, FALSE), VLOOKUP('Staging Table'!$A99, LS_previous!$B$4:$AY$138,LS_previous!AV$149, FALSE))/2)</f>
        <v>-3141.4862481205214</v>
      </c>
      <c r="AG99" s="192">
        <f t="array" ref="AG99">IF($G99=0, INDEX(LS_previous!$D$4:$AY$138, MATCH('Staging Table'!$A99, LS_previous!$B$4:$B$138, 0), MATCH(AG$4&amp;AG$5, LS_previous!$D$2:$AY$2&amp;LS_previous!$D$3:$AY$3, 0)),SUM(VLOOKUP($A99, LS_previous!$B$4:$AY$138, LS_previous!Y$149, FALSE), VLOOKUP('Staging Table'!$A99, LS_previous!$B$4:$AY$138,LS_previous!AW$149, FALSE))/2)</f>
        <v>230.56524743862724</v>
      </c>
      <c r="AH99" s="192">
        <f t="array" ref="AH99">IF($G99=0, INDEX(LS_previous!$D$4:$AY$138, MATCH('Staging Table'!$A99, LS_previous!$B$4:$B$138, 0), MATCH(AH$4&amp;AH$5, LS_previous!$D$2:$AY$2&amp;LS_previous!$D$3:$AY$3, 0)),SUM(VLOOKUP($A99, LS_previous!$B$4:$AY$138, LS_previous!Z$149, FALSE), VLOOKUP('Staging Table'!$A99, LS_previous!$B$4:$AY$138,LS_previous!AX$149, FALSE))/2)</f>
        <v>-1849.98730369328</v>
      </c>
      <c r="AI99" s="192">
        <f t="array" ref="AI99">IF($G99=0, INDEX(LS_previous!$D$4:$AY$138, MATCH('Staging Table'!$A99, LS_previous!$B$4:$B$138, 0), MATCH(AI$4&amp;AI$5, LS_previous!$D$2:$AY$2&amp;LS_previous!$D$3:$AY$3, 0)),SUM(VLOOKUP($A99, LS_previous!$B$4:$AY$138, LS_previous!AA$149, FALSE), VLOOKUP('Staging Table'!$A99, LS_previous!$B$4:$AY$138,LS_previous!AY$149, FALSE))/2)</f>
        <v>165.80789369537638</v>
      </c>
      <c r="AJ99" s="314">
        <f t="array" ref="AJ99">INDEX(Demand_previous!$D$4:$AY$138, MATCH('Staging Table'!$A99, Demand_previous!$B$4:$B$138, 0), MATCH(AJ$4&amp;AJ$5,Demand_previous!$D$2:$AY$2&amp;Demand_previous!$D$3:$AY$3, 0))/1000</f>
        <v>0</v>
      </c>
      <c r="AK99" s="314">
        <f t="array" ref="AK99">INDEX(Demand_previous!$D$4:$AY$138, MATCH('Staging Table'!$A99, Demand_previous!$B$4:$B$138, 0), MATCH(AK$4&amp;AK$5,Demand_previous!$D$2:$AY$2&amp;Demand_previous!$D$3:$AY$3, 0))/1000</f>
        <v>0</v>
      </c>
      <c r="AL99" s="314">
        <f t="array" ref="AL99">INDEX(Demand_previous!$D$4:$AY$138, MATCH('Staging Table'!$A99, Demand_previous!$B$4:$B$138, 0), MATCH(AL$4&amp;AL$5,Demand_previous!$D$2:$AY$2&amp;Demand_previous!$D$3:$AY$3, 0))/1000</f>
        <v>0</v>
      </c>
      <c r="AM99" s="314">
        <f t="array" ref="AM99">INDEX(Demand_previous!$D$4:$AY$138, MATCH('Staging Table'!$A99, Demand_previous!$B$4:$B$138, 0), MATCH(AM$4&amp;AM$5,Demand_previous!$D$2:$AY$2&amp;Demand_previous!$D$3:$AY$3, 0))/1000</f>
        <v>0</v>
      </c>
      <c r="AN99" s="314">
        <f t="array" ref="AN99">INDEX(Demand_previous!$D$4:$AY$138, MATCH('Staging Table'!$A99, Demand_previous!$B$4:$B$138, 0), MATCH(AN$4&amp;AN$5,Demand_previous!$D$2:$AY$2&amp;Demand_previous!$D$3:$AY$3, 0))/1000</f>
        <v>0</v>
      </c>
      <c r="AO99" s="314">
        <f t="array" ref="AO99">INDEX(Demand_previous!$D$4:$AY$138, MATCH('Staging Table'!$A99, Demand_previous!$B$4:$B$138, 0), MATCH(AO$4&amp;AO$5,Demand_previous!$D$2:$AY$2&amp;Demand_previous!$D$3:$AY$3, 0))/1000</f>
        <v>0</v>
      </c>
      <c r="AP99" s="314">
        <f t="array" ref="AP99">INDEX(Demand_previous!$D$4:$AY$138, MATCH('Staging Table'!$A99, Demand_previous!$B$4:$B$138, 0), MATCH(AP$4&amp;AP$5,Demand_previous!$D$2:$AY$2&amp;Demand_previous!$D$3:$AY$3, 0))/1000</f>
        <v>0</v>
      </c>
      <c r="AQ99" s="314">
        <f t="array" ref="AQ99">INDEX(Demand_previous!$D$4:$AY$138, MATCH('Staging Table'!$A99, Demand_previous!$B$4:$B$138, 0), MATCH(AQ$4&amp;AQ$5,Demand_previous!$D$2:$AY$2&amp;Demand_previous!$D$3:$AY$3, 0))/1000</f>
        <v>0</v>
      </c>
      <c r="AR99" s="314">
        <f t="array" ref="AR99">INDEX(Demand_previous!$D$4:$AY$138, MATCH('Staging Table'!$A99, Demand_previous!$B$4:$B$138, 0), MATCH(AR$4&amp;AR$5,Demand_previous!$D$2:$AY$2&amp;Demand_previous!$D$3:$AY$3, 0))/1000</f>
        <v>0</v>
      </c>
      <c r="AS99" s="314">
        <f t="array" ref="AS99">INDEX(Demand_previous!$D$4:$AY$138, MATCH('Staging Table'!$A99, Demand_previous!$B$4:$B$138, 0), MATCH(AS$4&amp;AS$5,Demand_previous!$D$2:$AY$2&amp;Demand_previous!$D$3:$AY$3, 0))/1000</f>
        <v>0</v>
      </c>
      <c r="AT99" s="314">
        <f t="array" ref="AT99">INDEX(Demand_previous!$D$4:$AY$138, MATCH('Staging Table'!$A99, Demand_previous!$B$4:$B$138, 0), MATCH(AT$4&amp;AT$5,Demand_previous!$D$2:$AY$2&amp;Demand_previous!$D$3:$AY$3, 0))/1000</f>
        <v>0</v>
      </c>
      <c r="AU99" s="314">
        <f t="array" ref="AU99">INDEX(Demand_previous!$D$4:$AY$138, MATCH('Staging Table'!$A99, Demand_previous!$B$4:$B$138, 0), MATCH(AU$4&amp;AU$5,Demand_previous!$D$2:$AY$2&amp;Demand_previous!$D$3:$AY$3, 0))/1000</f>
        <v>0</v>
      </c>
      <c r="AV99" s="192">
        <f>$F99*(VLOOKUP(AV$4, Rates_previous!$G$6:$Q$29, 10, FALSE)+VLOOKUP(AV$4, Rates_previous!$G$6:$Q$29, 11, FALSE))</f>
        <v>10599.051623418</v>
      </c>
      <c r="AW99" s="192">
        <f>$F99*(VLOOKUP(AW$4, Rates_previous!$G$6:$Q$29, 10, FALSE)+VLOOKUP(AW$4, Rates_previous!$G$6:$Q$29, 11, FALSE))</f>
        <v>13464.102000124502</v>
      </c>
      <c r="AX99" s="192">
        <f>$F99*(VLOOKUP(AX$4, Rates_previous!$G$6:$Q$29, 10, FALSE)+VLOOKUP(AX$4, Rates_previous!$G$6:$Q$29, 11, FALSE))</f>
        <v>13301.504749918002</v>
      </c>
      <c r="AY99" s="192">
        <f>$F99*(VLOOKUP(AY$4, Rates_previous!$G$6:$Q$29, 10, FALSE)+VLOOKUP(AY$4, Rates_previous!$G$6:$Q$29, 11, FALSE))</f>
        <v>11087.614365918002</v>
      </c>
      <c r="AZ99" s="192">
        <f>$F99*(VLOOKUP(AZ$4, Rates_previous!$G$6:$Q$29, 10, FALSE)+VLOOKUP(AZ$4, Rates_previous!$G$6:$Q$29, 11, FALSE))</f>
        <v>10044.2283644</v>
      </c>
      <c r="BA99" s="192">
        <f>$F99*(VLOOKUP(BA$4, Rates_previous!$G$6:$Q$29, 10, FALSE)+VLOOKUP(BA$4, Rates_previous!$G$6:$Q$29, 11, FALSE))</f>
        <v>11172.372813383501</v>
      </c>
      <c r="BB99" s="192">
        <f>$F99*(VLOOKUP(BB$4, Rates_previous!$G$6:$Q$29, 10, FALSE)+VLOOKUP(BB$4, Rates_previous!$G$6:$Q$29, 11, FALSE))</f>
        <v>9096.5580008400011</v>
      </c>
      <c r="BC99" s="192">
        <f>$F99*(VLOOKUP(BC$4, Rates_previous!$G$6:$Q$29, 10, FALSE)+VLOOKUP(BC$4, Rates_previous!$G$6:$Q$29, 11, FALSE))</f>
        <v>12268.064911168003</v>
      </c>
      <c r="BD99" s="192">
        <f>$F99*(VLOOKUP(BD$4, Rates_previous!$G$6:$Q$29, 10, FALSE)+VLOOKUP(BD$4, Rates_previous!$G$6:$Q$29, 11, FALSE))</f>
        <v>15653.216458090003</v>
      </c>
      <c r="BE99" s="192">
        <f>$F99*(VLOOKUP(BE$4, Rates_previous!$G$6:$Q$29, 10, FALSE)+VLOOKUP(BE$4, Rates_previous!$G$6:$Q$29, 11, FALSE))</f>
        <v>12272.618035418001</v>
      </c>
      <c r="BF99" s="192">
        <f>$F99*(VLOOKUP(BF$4, Rates_previous!$G$6:$Q$29, 10, FALSE)+VLOOKUP(BF$4, Rates_previous!$G$6:$Q$29, 11, FALSE))</f>
        <v>11951.086202668002</v>
      </c>
      <c r="BG99" s="192">
        <f>$F99*(VLOOKUP(BG$4, Rates_previous!$G$6:$Q$29, 10, FALSE)+VLOOKUP(BG$4, Rates_previous!$G$6:$Q$29, 11, FALSE))</f>
        <v>10729.533086340001</v>
      </c>
      <c r="BH99" s="314">
        <f>IF($D99=0,IF(C99=0, MAX(BJ99 - (VLOOKUP($A99,TOCA_previous!$A$2:$AI$137,MATCH("RHWM 2020",TOCA_previous!$A$2:$AI$2,0),FALSE)*$F$2*TOCA_previous!C96),0),0), 0)</f>
        <v>0</v>
      </c>
      <c r="BI99" s="204">
        <f>MIN(VLOOKUP($A99,TOCA_previous!$A$2:$AI$137,MATCH("TRL - NLSL - Existing Resource "&amp;$F$1,TOCA_previous!$A$2:$AI$2,0),FALSE)*$F$2,(VLOOKUP($A99,TOCA_previous!$A$2:$AI$137,MATCH("RHWM 2020",TOCA_previous!$A$2:$AI$2,0),FALSE)*$F$2))</f>
        <v>315389.52</v>
      </c>
      <c r="BJ99" s="418">
        <f>SUM(L99:AI99)+(F99*RT1SC!$C$3*$F$2)</f>
        <v>141639.26915271778</v>
      </c>
      <c r="BK99" s="417">
        <f>VLOOKUP($A99,TOCA_previous!$A$2:$AI$137,MATCH("Above RHWM Not Served with LS "&amp;$F$1,TOCA_previous!$A$2:$AI$2,0),FALSE)*$F$2</f>
        <v>0</v>
      </c>
      <c r="BL99" s="418">
        <f t="shared" si="27"/>
        <v>-173750.25084728224</v>
      </c>
      <c r="BM99" s="417">
        <f>(VLOOKUP($A99,TOCA_previous!$A$2:$AI$137,MATCH("RHWM 2020",TOCA_previous!$A$2:$AI$2,0),FALSE)*$F$2) - $BI99</f>
        <v>2020.3199999999488</v>
      </c>
      <c r="BN99" s="418">
        <f t="shared" si="28"/>
        <v>0</v>
      </c>
      <c r="BO99" s="417">
        <f t="shared" si="29"/>
        <v>173750.25084728224</v>
      </c>
      <c r="BP99" s="418">
        <f t="shared" si="30"/>
        <v>0</v>
      </c>
      <c r="BQ99" s="417">
        <f t="shared" si="21"/>
        <v>0</v>
      </c>
      <c r="BR99" s="120">
        <f>VLOOKUP($A99,TOCA_current!$A$2:$AI$137,MATCH(BR$4,TOCA_current!$A$2:$AI$2,0),FALSE)</f>
        <v>5.1440000000000001E-3</v>
      </c>
      <c r="BS99" s="120">
        <f>VLOOKUP($A99,TOCA_current!$A$2:$AI$137,MATCH(BS$4,TOCA_current!$A$2:$AI$2,0),FALSE)</f>
        <v>2.3281E-3</v>
      </c>
      <c r="BT99" s="201">
        <f t="shared" si="31"/>
        <v>2.8159000000000001E-3</v>
      </c>
      <c r="BU99" s="120">
        <f>VLOOKUP($A99,TOCA_current!A95:BG230,MATCH(BU$4,TOCA_current!$A$2:$BG$2,0),FALSE)</f>
        <v>0</v>
      </c>
      <c r="BV99" s="120">
        <f t="shared" si="22"/>
        <v>0</v>
      </c>
      <c r="BW99" s="120">
        <f t="shared" si="23"/>
        <v>0</v>
      </c>
      <c r="BX99" s="191">
        <f>VLOOKUP($A99,IRD!$A$4:$G$139, 7, FALSE)</f>
        <v>0</v>
      </c>
      <c r="BY99" s="192">
        <f t="array" ref="BY99">IF($BT99=0, INDEX(LS_current!$D$4:$AY$138, MATCH('Staging Table'!$A99, LS_current!$B$4:$B$138, 0), MATCH(BY$4&amp;BY$5, LS_current!$D$2:$AY$2&amp;LS_current!$D$3:$AY$3, 0)),SUM(VLOOKUP($A99, LS_current!$B$4:$AY$138, LS_current!D$148, FALSE), VLOOKUP($A99, LS_current!$B$4:$AY$138,LS_current!AB$148, FALSE))/2)</f>
        <v>-961.81690105072312</v>
      </c>
      <c r="BZ99" s="192">
        <f t="array" ref="BZ99">IF($BT99=0, INDEX(LS_current!$D$4:$AY$138, MATCH('Staging Table'!$A99, LS_current!$B$4:$B$138, 0), MATCH(BZ$4&amp;BZ$5, LS_current!$D$2:$AY$2&amp;LS_current!$D$3:$AY$3, 0)),SUM(VLOOKUP($A99, LS_current!$B$4:$AY$138, LS_current!E$148, FALSE), VLOOKUP($A99, LS_current!$B$4:$AY$138,LS_current!AC$148, FALSE))/2)</f>
        <v>800.99789908655202</v>
      </c>
      <c r="CA99" s="192">
        <f t="array" ref="CA99">IF($BT99=0, INDEX(LS_current!$D$4:$AY$138, MATCH('Staging Table'!$A99, LS_current!$B$4:$B$138, 0), MATCH(CA$4&amp;CA$5, LS_current!$D$2:$AY$2&amp;LS_current!$D$3:$AY$3, 0)),SUM(VLOOKUP($A99, LS_current!$B$4:$AY$138, LS_current!F$148, FALSE), VLOOKUP($A99, LS_current!$B$4:$AY$138,LS_current!AD$148, FALSE))/2)</f>
        <v>-767.27706070676095</v>
      </c>
      <c r="CB99" s="192">
        <f t="array" ref="CB99">IF($BT99=0, INDEX(LS_current!$D$4:$AY$138, MATCH('Staging Table'!$A99, LS_current!$B$4:$B$138, 0), MATCH(CB$4&amp;CB$5, LS_current!$D$2:$AY$2&amp;LS_current!$D$3:$AY$3, 0)),SUM(VLOOKUP($A99, LS_current!$B$4:$AY$138, LS_current!G$148, FALSE), VLOOKUP($A99, LS_current!$B$4:$AY$138,LS_current!AE$148, FALSE))/2)</f>
        <v>808.38821616392852</v>
      </c>
      <c r="CC99" s="192">
        <f t="array" ref="CC99">IF($BT99=0, INDEX(LS_current!$D$4:$AY$138, MATCH('Staging Table'!$A99, LS_current!$B$4:$B$138, 0), MATCH(CC$4&amp;CC$5, LS_current!$D$2:$AY$2&amp;LS_current!$D$3:$AY$3, 0)),SUM(VLOOKUP($A99, LS_current!$B$4:$AY$138, LS_current!H$148, FALSE), VLOOKUP($A99, LS_current!$B$4:$AY$138,LS_current!AF$148, FALSE))/2)</f>
        <v>1405.2478051519947</v>
      </c>
      <c r="CD99" s="192">
        <f t="array" ref="CD99">IF($BT99=0, INDEX(LS_current!$D$4:$AY$138, MATCH('Staging Table'!$A99, LS_current!$B$4:$B$138, 0), MATCH(CD$4&amp;CD$5, LS_current!$D$2:$AY$2&amp;LS_current!$D$3:$AY$3, 0)),SUM(VLOOKUP($A99, LS_current!$B$4:$AY$138, LS_current!I$148, FALSE), VLOOKUP($A99, LS_current!$B$4:$AY$138,LS_current!AG$148, FALSE))/2)</f>
        <v>1393.3268290455162</v>
      </c>
      <c r="CE99" s="192">
        <f t="array" ref="CE99">IF($BT99=0, INDEX(LS_current!$D$4:$AY$138, MATCH('Staging Table'!$A99, LS_current!$B$4:$B$138, 0), MATCH(CE$4&amp;CE$5, LS_current!$D$2:$AY$2&amp;LS_current!$D$3:$AY$3, 0)),SUM(VLOOKUP($A99, LS_current!$B$4:$AY$138, LS_current!J$148, FALSE), VLOOKUP($A99, LS_current!$B$4:$AY$138,LS_current!AH$148, FALSE))/2)</f>
        <v>2468.744449705001</v>
      </c>
      <c r="CF99" s="192">
        <f t="array" ref="CF99">IF($BT99=0, INDEX(LS_current!$D$4:$AY$138, MATCH('Staging Table'!$A99, LS_current!$B$4:$B$138, 0), MATCH(CF$4&amp;CF$5, LS_current!$D$2:$AY$2&amp;LS_current!$D$3:$AY$3, 0)),SUM(VLOOKUP($A99, LS_current!$B$4:$AY$138, LS_current!K$148, FALSE), VLOOKUP($A99, LS_current!$B$4:$AY$138,LS_current!AI$148, FALSE))/2)</f>
        <v>2753.7763218256823</v>
      </c>
      <c r="CG99" s="192">
        <f t="array" ref="CG99">IF($BT99=0, INDEX(LS_current!$D$4:$AY$138, MATCH('Staging Table'!$A99, LS_current!$B$4:$B$138, 0), MATCH(CG$4&amp;CG$5, LS_current!$D$2:$AY$2&amp;LS_current!$D$3:$AY$3, 0)),SUM(VLOOKUP($A99, LS_current!$B$4:$AY$138, LS_current!L$148, FALSE), VLOOKUP($A99, LS_current!$B$4:$AY$138,LS_current!AJ$148, FALSE))/2)</f>
        <v>1916.1459875258047</v>
      </c>
      <c r="CH99" s="192">
        <f t="array" ref="CH99">IF($BT99=0, INDEX(LS_current!$D$4:$AY$138, MATCH('Staging Table'!$A99, LS_current!$B$4:$B$138, 0), MATCH(CH$4&amp;CH$5, LS_current!$D$2:$AY$2&amp;LS_current!$D$3:$AY$3, 0)),SUM(VLOOKUP($A99, LS_current!$B$4:$AY$138, LS_current!M$148, FALSE), VLOOKUP($A99, LS_current!$B$4:$AY$138,LS_current!AK$148, FALSE))/2)</f>
        <v>1592.7986626759548</v>
      </c>
      <c r="CI99" s="192">
        <f t="array" ref="CI99">IF($BT99=0, INDEX(LS_current!$D$4:$AY$138, MATCH('Staging Table'!$A99, LS_current!$B$4:$B$138, 0), MATCH(CI$4&amp;CI$5, LS_current!$D$2:$AY$2&amp;LS_current!$D$3:$AY$3, 0)),SUM(VLOOKUP($A99, LS_current!$B$4:$AY$138, LS_current!N$148, FALSE), VLOOKUP($A99, LS_current!$B$4:$AY$138,LS_current!AL$148, FALSE))/2)</f>
        <v>613.13328583956945</v>
      </c>
      <c r="CJ99" s="192">
        <f t="array" ref="CJ99">IF($BT99=0, INDEX(LS_current!$D$4:$AY$138, MATCH('Staging Table'!$A99, LS_current!$B$4:$B$138, 0), MATCH(CJ$4&amp;CJ$5, LS_current!$D$2:$AY$2&amp;LS_current!$D$3:$AY$3, 0)),SUM(VLOOKUP($A99, LS_current!$B$4:$AY$138, LS_current!O$148, FALSE), VLOOKUP($A99, LS_current!$B$4:$AY$138,LS_current!AM$148, FALSE))/2)</f>
        <v>1073.1140421035943</v>
      </c>
      <c r="CK99" s="192">
        <f t="array" ref="CK99">IF($BT99=0, INDEX(LS_current!$D$4:$AY$138, MATCH('Staging Table'!$A99, LS_current!$B$4:$B$138, 0), MATCH(CK$4&amp;CK$5, LS_current!$D$2:$AY$2&amp;LS_current!$D$3:$AY$3, 0)),SUM(VLOOKUP($A99, LS_current!$B$4:$AY$138, LS_current!P$148, FALSE), VLOOKUP($A99, LS_current!$B$4:$AY$138,LS_current!AN$148, FALSE))/2)</f>
        <v>854.96484944599433</v>
      </c>
      <c r="CL99" s="192">
        <f t="array" ref="CL99">IF($BT99=0, INDEX(LS_current!$D$4:$AY$138, MATCH('Staging Table'!$A99, LS_current!$B$4:$B$138, 0), MATCH(CL$4&amp;CL$5, LS_current!$D$2:$AY$2&amp;LS_current!$D$3:$AY$3, 0)),SUM(VLOOKUP($A99, LS_current!$B$4:$AY$138, LS_current!Q$148, FALSE), VLOOKUP($A99, LS_current!$B$4:$AY$138,LS_current!AO$148, FALSE))/2)</f>
        <v>1418.8243400148808</v>
      </c>
      <c r="CM99" s="192">
        <f t="array" ref="CM99">IF($BT99=0, INDEX(LS_current!$D$4:$AY$138, MATCH('Staging Table'!$A99, LS_current!$B$4:$B$138, 0), MATCH(CM$4&amp;CM$5, LS_current!$D$2:$AY$2&amp;LS_current!$D$3:$AY$3, 0)),SUM(VLOOKUP($A99, LS_current!$B$4:$AY$138, LS_current!R$148, FALSE), VLOOKUP($A99, LS_current!$B$4:$AY$138,LS_current!AP$148, FALSE))/2)</f>
        <v>-2788.0131227000725</v>
      </c>
      <c r="CN99" s="192">
        <f t="array" ref="CN99">IF($BT99=0, INDEX(LS_current!$D$4:$AY$138, MATCH('Staging Table'!$A99, LS_current!$B$4:$B$138, 0), MATCH(CN$4&amp;CN$5, LS_current!$D$2:$AY$2&amp;LS_current!$D$3:$AY$3, 0)),SUM(VLOOKUP($A99, LS_current!$B$4:$AY$138, LS_current!S$148, FALSE), VLOOKUP($A99, LS_current!$B$4:$AY$138,LS_current!AQ$148, FALSE))/2)</f>
        <v>464.91139585004566</v>
      </c>
      <c r="CO99" s="192">
        <f t="array" ref="CO99">IF($BT99=0, INDEX(LS_current!$D$4:$AY$138, MATCH('Staging Table'!$A99, LS_current!$B$4:$B$138, 0), MATCH(CO$4&amp;CO$5, LS_current!$D$2:$AY$2&amp;LS_current!$D$3:$AY$3, 0)),SUM(VLOOKUP($A99, LS_current!$B$4:$AY$138, LS_current!T$148, FALSE), VLOOKUP($A99, LS_current!$B$4:$AY$138,LS_current!AR$148, FALSE))/2)</f>
        <v>-4202.0510502382667</v>
      </c>
      <c r="CP99" s="192">
        <f t="array" ref="CP99">IF($BT99=0, INDEX(LS_current!$D$4:$AY$138, MATCH('Staging Table'!$A99, LS_current!$B$4:$B$138, 0), MATCH(CP$4&amp;CP$5, LS_current!$D$2:$AY$2&amp;LS_current!$D$3:$AY$3, 0)),SUM(VLOOKUP($A99, LS_current!$B$4:$AY$138, LS_current!U$148, FALSE), VLOOKUP($A99, LS_current!$B$4:$AY$138,LS_current!AS$148, FALSE))/2)</f>
        <v>-47.673162197780584</v>
      </c>
      <c r="CQ99" s="192">
        <f t="array" ref="CQ99">IF($BT99=0, INDEX(LS_current!$D$4:$AY$138, MATCH('Staging Table'!$A99, LS_current!$B$4:$B$138, 0), MATCH(CQ$4&amp;CQ$5, LS_current!$D$2:$AY$2&amp;LS_current!$D$3:$AY$3, 0)),SUM(VLOOKUP($A99, LS_current!$B$4:$AY$138, LS_current!V$148, FALSE), VLOOKUP($A99, LS_current!$B$4:$AY$138,LS_current!AT$148, FALSE))/2)</f>
        <v>-3507.4565665997889</v>
      </c>
      <c r="CR99" s="192">
        <f t="array" ref="CR99">IF($BT99=0, INDEX(LS_current!$D$4:$AY$138, MATCH('Staging Table'!$A99, LS_current!$B$4:$B$138, 0), MATCH(CR$4&amp;CR$5, LS_current!$D$2:$AY$2&amp;LS_current!$D$3:$AY$3, 0)),SUM(VLOOKUP($A99, LS_current!$B$4:$AY$138, LS_current!W$148, FALSE), VLOOKUP($A99, LS_current!$B$4:$AY$138,LS_current!AU$148, FALSE))/2)</f>
        <v>-89.98550614305077</v>
      </c>
      <c r="CS99" s="192">
        <f t="array" ref="CS99">IF($BT99=0, INDEX(LS_current!$D$4:$AY$138, MATCH('Staging Table'!$A99, LS_current!$B$4:$B$138, 0), MATCH(CS$4&amp;CS$5, LS_current!$D$2:$AY$2&amp;LS_current!$D$3:$AY$3, 0)),SUM(VLOOKUP($A99, LS_current!$B$4:$AY$138, LS_current!X$148, FALSE), VLOOKUP($A99, LS_current!$B$4:$AY$138,LS_current!AV$148, FALSE))/2)</f>
        <v>-2868.9847774817131</v>
      </c>
      <c r="CT99" s="192">
        <f t="array" ref="CT99">IF($BT99=0, INDEX(LS_current!$D$4:$AY$138, MATCH('Staging Table'!$A99, LS_current!$B$4:$B$138, 0), MATCH(CT$4&amp;CT$5, LS_current!$D$2:$AY$2&amp;LS_current!$D$3:$AY$3, 0)),SUM(VLOOKUP($A99, LS_current!$B$4:$AY$138, LS_current!Y$148, FALSE), VLOOKUP($A99, LS_current!$B$4:$AY$138,LS_current!AW$148, FALSE))/2)</f>
        <v>-179.66528606648126</v>
      </c>
      <c r="CU99" s="192">
        <f t="array" ref="CU99">IF($BT99=0, INDEX(LS_current!$D$4:$AY$138, MATCH('Staging Table'!$A99, LS_current!$B$4:$B$138, 0), MATCH(CU$4&amp;CU$5, LS_current!$D$2:$AY$2&amp;LS_current!$D$3:$AY$3, 0)),SUM(VLOOKUP($A99, LS_current!$B$4:$AY$138, LS_current!Z$148, FALSE), VLOOKUP($A99, LS_current!$B$4:$AY$138,LS_current!AX$148, FALSE))/2)</f>
        <v>-2098.8075968207622</v>
      </c>
      <c r="CV99" s="192">
        <f t="array" ref="CV99">IF($BT99=0, INDEX(LS_current!$D$4:$AY$138, MATCH('Staging Table'!$A99, LS_current!$B$4:$B$138, 0), MATCH(CV$4&amp;CV$5, LS_current!$D$2:$AY$2&amp;LS_current!$D$3:$AY$3, 0)),SUM(VLOOKUP($A99, LS_current!$B$4:$AY$138, LS_current!AA$148, FALSE), VLOOKUP($A99, LS_current!$B$4:$AY$138,LS_current!AY$148, FALSE))/2)</f>
        <v>-51.144423492140277</v>
      </c>
      <c r="CW99" s="194">
        <f t="array" ref="CW99">INDEX(Demand_current!$D$4:$AY$138, MATCH($A99, Demand_current!$B$4:$B$138, 0), MATCH(CW$4&amp;CW$5,Demand_current!$D$2:$AY$2&amp;Demand_current!$D$3:$AY$3, 0))/1000</f>
        <v>0</v>
      </c>
      <c r="CX99" s="194">
        <f t="array" ref="CX99">INDEX(Demand_current!$D$4:$AY$138, MATCH($A99, Demand_current!$B$4:$B$138, 0), MATCH(CX$4&amp;CX$5,Demand_current!$D$2:$AY$2&amp;Demand_current!$D$3:$AY$3, 0))/1000</f>
        <v>0</v>
      </c>
      <c r="CY99" s="194">
        <f t="array" ref="CY99">INDEX(Demand_current!$D$4:$AY$138, MATCH($A99, Demand_current!$B$4:$B$138, 0), MATCH(CY$4&amp;CY$5,Demand_current!$D$2:$AY$2&amp;Demand_current!$D$3:$AY$3, 0))/1000</f>
        <v>0</v>
      </c>
      <c r="CZ99" s="194">
        <f t="array" ref="CZ99">INDEX(Demand_current!$D$4:$AY$138, MATCH($A99, Demand_current!$B$4:$B$138, 0), MATCH(CZ$4&amp;CZ$5,Demand_current!$D$2:$AY$2&amp;Demand_current!$D$3:$AY$3, 0))/1000</f>
        <v>0</v>
      </c>
      <c r="DA99" s="194">
        <f t="array" ref="DA99">INDEX(Demand_current!$D$4:$AY$138, MATCH($A99, Demand_current!$B$4:$B$138, 0), MATCH(DA$4&amp;DA$5,Demand_current!$D$2:$AY$2&amp;Demand_current!$D$3:$AY$3, 0))/1000</f>
        <v>0</v>
      </c>
      <c r="DB99" s="194">
        <f t="array" ref="DB99">INDEX(Demand_current!$D$4:$AY$138, MATCH($A99, Demand_current!$B$4:$B$138, 0), MATCH(DB$4&amp;DB$5,Demand_current!$D$2:$AY$2&amp;Demand_current!$D$3:$AY$3, 0))/1000</f>
        <v>0</v>
      </c>
      <c r="DC99" s="194">
        <f t="array" ref="DC99">INDEX(Demand_current!$D$4:$AY$138, MATCH($A99, Demand_current!$B$4:$B$138, 0), MATCH(DC$4&amp;DC$5,Demand_current!$D$2:$AY$2&amp;Demand_current!$D$3:$AY$3, 0))/1000</f>
        <v>0</v>
      </c>
      <c r="DD99" s="194">
        <f t="array" ref="DD99">INDEX(Demand_current!$D$4:$AY$138, MATCH($A99, Demand_current!$B$4:$B$138, 0), MATCH(DD$4&amp;DD$5,Demand_current!$D$2:$AY$2&amp;Demand_current!$D$3:$AY$3, 0))/1000</f>
        <v>0</v>
      </c>
      <c r="DE99" s="194">
        <f t="array" ref="DE99">INDEX(Demand_current!$D$4:$AY$138, MATCH($A99, Demand_current!$B$4:$B$138, 0), MATCH(DE$4&amp;DE$5,Demand_current!$D$2:$AY$2&amp;Demand_current!$D$3:$AY$3, 0))/1000</f>
        <v>0</v>
      </c>
      <c r="DF99" s="194">
        <f t="array" ref="DF99">INDEX(Demand_current!$D$4:$AY$138, MATCH($A99, Demand_current!$B$4:$B$138, 0), MATCH(DF$4&amp;DF$5,Demand_current!$D$2:$AY$2&amp;Demand_current!$D$3:$AY$3, 0))/1000</f>
        <v>0</v>
      </c>
      <c r="DG99" s="194">
        <f t="array" ref="DG99">INDEX(Demand_current!$D$4:$AY$138, MATCH($A99, Demand_current!$B$4:$B$138, 0), MATCH(DG$4&amp;DG$5,Demand_current!$D$2:$AY$2&amp;Demand_current!$D$3:$AY$3, 0))/1000</f>
        <v>0</v>
      </c>
      <c r="DH99" s="194">
        <f t="array" ref="DH99">INDEX(Demand_current!$D$4:$AY$138, MATCH($A99, Demand_current!$B$4:$B$138, 0), MATCH(DH$4&amp;DH$5,Demand_current!$D$2:$AY$2&amp;Demand_current!$D$3:$AY$3, 0))/1000</f>
        <v>0</v>
      </c>
      <c r="DI99" s="192">
        <f>$BS99*(VLOOKUP(DI$4, Rates_current!$G$6:$Q$29, 10, FALSE)+VLOOKUP(DI$4, Rates_current!$G$6:$Q$29, 11, FALSE))</f>
        <v>10601.991443978341</v>
      </c>
      <c r="DJ99" s="192">
        <f>$BS99*(VLOOKUP(DJ$4, Rates_current!$G$6:$Q$29, 10, FALSE)+VLOOKUP(DJ$4, Rates_current!$G$6:$Q$29, 11, FALSE))</f>
        <v>13422.505940824292</v>
      </c>
      <c r="DK99" s="192">
        <f>$BS99*(VLOOKUP(DK$4, Rates_current!$G$6:$Q$29, 10, FALSE)+VLOOKUP(DK$4, Rates_current!$G$6:$Q$29, 11, FALSE))</f>
        <v>13137.951724666247</v>
      </c>
      <c r="DL99" s="192">
        <f>$BS99*(VLOOKUP(DL$4, Rates_current!$G$6:$Q$29, 10, FALSE)+VLOOKUP(DL$4, Rates_current!$G$6:$Q$29, 11, FALSE))</f>
        <v>10851.389435254347</v>
      </c>
      <c r="DM99" s="192">
        <f>$BS99*(VLOOKUP(DM$4, Rates_current!$G$6:$Q$29, 10, FALSE)+VLOOKUP(DM$4, Rates_current!$G$6:$Q$29, 11, FALSE))</f>
        <v>9405.1370543947505</v>
      </c>
      <c r="DN99" s="192">
        <f>$BS99*(VLOOKUP(DN$4, Rates_current!$G$6:$Q$29, 10, FALSE)+VLOOKUP(DN$4, Rates_current!$G$6:$Q$29, 11, FALSE))</f>
        <v>11227.834376653316</v>
      </c>
      <c r="DO99" s="192">
        <f>$BS99*(VLOOKUP(DO$4, Rates_current!$G$6:$Q$29, 10, FALSE)+VLOOKUP(DO$4, Rates_current!$G$6:$Q$29, 11, FALSE))</f>
        <v>8716.9186442382615</v>
      </c>
      <c r="DP99" s="192">
        <f>$BS99*(VLOOKUP(DP$4, Rates_current!$G$6:$Q$29, 10, FALSE)+VLOOKUP(DP$4, Rates_current!$G$6:$Q$29, 11, FALSE))</f>
        <v>12077.35492925803</v>
      </c>
      <c r="DQ99" s="192">
        <f>$BS99*(VLOOKUP(DQ$4, Rates_current!$G$6:$Q$29, 10, FALSE)+VLOOKUP(DQ$4, Rates_current!$G$6:$Q$29, 11, FALSE))</f>
        <v>12904.906631474129</v>
      </c>
      <c r="DR99" s="192">
        <f>$BS99*(VLOOKUP(DR$4, Rates_current!$G$6:$Q$29, 10, FALSE)+VLOOKUP(DR$4, Rates_current!$G$6:$Q$29, 11, FALSE))</f>
        <v>12252.62449178094</v>
      </c>
      <c r="DS99" s="192">
        <f>$BS99*(VLOOKUP(DS$4, Rates_current!$G$6:$Q$29, 10, FALSE)+VLOOKUP(DS$4, Rates_current!$G$6:$Q$29, 11, FALSE))</f>
        <v>11841.216330507528</v>
      </c>
      <c r="DT99" s="192">
        <f>$BS99*(VLOOKUP(DT$4, Rates_current!$G$6:$Q$29, 10, FALSE)+VLOOKUP(DT$4, Rates_current!$G$6:$Q$29, 11, FALSE))</f>
        <v>10942.51828727222</v>
      </c>
      <c r="DU99" s="418">
        <f>IF(D99=0,IF(C99=0,MAX(0,DW99 - (VLOOKUP($A99,TOCA_current!$A$2:$AI$137,MATCH("RHWM 2022",TOCA_current!$A$2:$AI$2,0),FALSE)*$BS$2)), 0),0)</f>
        <v>0</v>
      </c>
      <c r="DV99" s="419">
        <f>MIN(VLOOKUP($A99,TOCA_current!$A$2:$AI$137,MATCH("TRL - NLSL - Existing Resource "&amp;$BS$1,TOCA_current!$A$2:$AI$2,0),FALSE)*$BS$2, VLOOKUP($A99,TOCA_current!$A$2:$AI$137,MATCH("RHWM 2022",TOCA_current!$A$2:$AI$2,0),FALSE)*$BS$2)</f>
        <v>303551.52</v>
      </c>
      <c r="DW99" s="419">
        <f>SUM(BY99:CV99)+(BS99*RT1SC!$C$4*$BS$2)</f>
        <v>137383.85494894101</v>
      </c>
      <c r="DX99" s="419">
        <f>VLOOKUP($A99,TOCA_current!$A$2:$AI$137,MATCH("Above RHWM Not Served with LS "&amp;$BS$1,TOCA_current!$A$2:$AI$2,0),FALSE)*$BS$2</f>
        <v>21689.759999999998</v>
      </c>
      <c r="DY99" s="419">
        <f t="shared" si="32"/>
        <v>-166167.66505105901</v>
      </c>
      <c r="DZ99" s="419">
        <f>(VLOOKUP($A99,TOCA_current!$A$2:$AI$137,MATCH("RHWM 2022",TOCA_current!$A$2:$AI$2,0),FALSE)*$BS$2) - $DV99</f>
        <v>0</v>
      </c>
      <c r="EA99" s="419">
        <f t="shared" si="33"/>
        <v>0</v>
      </c>
      <c r="EB99" s="419">
        <f t="shared" si="34"/>
        <v>144477.905051059</v>
      </c>
      <c r="EC99" s="419">
        <f t="shared" si="35"/>
        <v>0</v>
      </c>
      <c r="ED99" s="419">
        <f t="shared" si="36"/>
        <v>0</v>
      </c>
    </row>
    <row r="100" spans="1:134">
      <c r="A100" s="135">
        <v>10304</v>
      </c>
      <c r="B100" s="136" t="s">
        <v>101</v>
      </c>
      <c r="C100" s="244">
        <f>VLOOKUP(A100, TOCA_current!$A$3:$D$137, 4, FALSE)</f>
        <v>0</v>
      </c>
      <c r="D100" s="203">
        <v>0</v>
      </c>
      <c r="E100" s="119">
        <f>VLOOKUP($A100,TOCA_previous!$A$2:$AI$137,MATCH(E$4,TOCA_previous!$A$2:$AI$2,0),FALSE)</f>
        <v>1.9463E-3</v>
      </c>
      <c r="F100" s="120">
        <f>VLOOKUP($A100,TOCA_previous!$A$2:$AI$137,MATCH(F$4,TOCA_previous!$A$2:$AI$2,0),FALSE)</f>
        <v>1.9463E-3</v>
      </c>
      <c r="G100" s="120">
        <f t="shared" si="24"/>
        <v>0</v>
      </c>
      <c r="H100" s="120">
        <f>VLOOKUP($A100,TOCA_previous!$A$2:$AI$137,MATCH(H$4,TOCA_previous!$A$2:$AI$2,0),FALSE)</f>
        <v>0</v>
      </c>
      <c r="I100" s="120">
        <f t="shared" si="25"/>
        <v>0</v>
      </c>
      <c r="J100" s="120">
        <f t="shared" si="26"/>
        <v>0</v>
      </c>
      <c r="K100" s="191">
        <f>VLOOKUP(A100, IRD!$A$5:$C$139, 3, FALSE)</f>
        <v>0</v>
      </c>
      <c r="L100" s="192">
        <f t="array" ref="L100">IF($G100=0, INDEX(LS_previous!$D$4:$AY$138, MATCH('Staging Table'!$A100, LS_previous!$B$4:$B$138, 0), MATCH(L$4&amp;L$5, LS_previous!$D$2:$AY$2&amp;LS_previous!$D$3:$AY$3, 0)),SUM(VLOOKUP($A100, LS_previous!$B$4:$AY$138, LS_previous!D$149, FALSE), VLOOKUP('Staging Table'!$A100, LS_previous!$B$4:$AY$138,LS_previous!AB$149, FALSE))/2)</f>
        <v>-103.93396466440026</v>
      </c>
      <c r="M100" s="192">
        <f t="array" ref="M100">IF($G100=0, INDEX(LS_previous!$D$4:$AY$138, MATCH('Staging Table'!$A100, LS_previous!$B$4:$B$138, 0), MATCH(M$4&amp;M$5, LS_previous!$D$2:$AY$2&amp;LS_previous!$D$3:$AY$3, 0)),SUM(VLOOKUP($A100, LS_previous!$B$4:$AY$138, LS_previous!E$149, FALSE), VLOOKUP('Staging Table'!$A100, LS_previous!$B$4:$AY$138,LS_previous!AC$149, FALSE))/2)</f>
        <v>412.44650608960001</v>
      </c>
      <c r="N100" s="192">
        <f t="array" ref="N100">IF($G100=0, INDEX(LS_previous!$D$4:$AY$138, MATCH('Staging Table'!$A100, LS_previous!$B$4:$B$138, 0), MATCH(N$4&amp;N$5, LS_previous!$D$2:$AY$2&amp;LS_previous!$D$3:$AY$3, 0)),SUM(VLOOKUP($A100, LS_previous!$B$4:$AY$138, LS_previous!F$149, FALSE), VLOOKUP('Staging Table'!$A100, LS_previous!$B$4:$AY$138,LS_previous!AD$149, FALSE))/2)</f>
        <v>-355.45441974640016</v>
      </c>
      <c r="O100" s="192">
        <f t="array" ref="O100">IF($G100=0, INDEX(LS_previous!$D$4:$AY$138, MATCH('Staging Table'!$A100, LS_previous!$B$4:$B$138, 0), MATCH(O$4&amp;O$5, LS_previous!$D$2:$AY$2&amp;LS_previous!$D$3:$AY$3, 0)),SUM(VLOOKUP($A100, LS_previous!$B$4:$AY$138, LS_previous!G$149, FALSE), VLOOKUP('Staging Table'!$A100, LS_previous!$B$4:$AY$138,LS_previous!AE$149, FALSE))/2)</f>
        <v>385.63770668069992</v>
      </c>
      <c r="P100" s="192">
        <f t="array" ref="P100">IF($G100=0, INDEX(LS_previous!$D$4:$AY$138, MATCH('Staging Table'!$A100, LS_previous!$B$4:$B$138, 0), MATCH(P$4&amp;P$5, LS_previous!$D$2:$AY$2&amp;LS_previous!$D$3:$AY$3, 0)),SUM(VLOOKUP($A100, LS_previous!$B$4:$AY$138, LS_previous!H$149, FALSE), VLOOKUP('Staging Table'!$A100, LS_previous!$B$4:$AY$138,LS_previous!AF$149, FALSE))/2)</f>
        <v>702.65477928639939</v>
      </c>
      <c r="Q100" s="192">
        <f t="array" ref="Q100">IF($G100=0, INDEX(LS_previous!$D$4:$AY$138, MATCH('Staging Table'!$A100, LS_previous!$B$4:$B$138, 0), MATCH(Q$4&amp;Q$5, LS_previous!$D$2:$AY$2&amp;LS_previous!$D$3:$AY$3, 0)),SUM(VLOOKUP($A100, LS_previous!$B$4:$AY$138, LS_previous!I$149, FALSE), VLOOKUP('Staging Table'!$A100, LS_previous!$B$4:$AY$138,LS_previous!AG$149, FALSE))/2)</f>
        <v>1112.4608592387995</v>
      </c>
      <c r="R100" s="192">
        <f t="array" ref="R100">IF($G100=0, INDEX(LS_previous!$D$4:$AY$138, MATCH('Staging Table'!$A100, LS_previous!$B$4:$B$138, 0), MATCH(R$4&amp;R$5, LS_previous!$D$2:$AY$2&amp;LS_previous!$D$3:$AY$3, 0)),SUM(VLOOKUP($A100, LS_previous!$B$4:$AY$138, LS_previous!J$149, FALSE), VLOOKUP('Staging Table'!$A100, LS_previous!$B$4:$AY$138,LS_previous!AH$149, FALSE))/2)</f>
        <v>2066.2803380863988</v>
      </c>
      <c r="S100" s="192">
        <f t="array" ref="S100">IF($G100=0, INDEX(LS_previous!$D$4:$AY$138, MATCH('Staging Table'!$A100, LS_previous!$B$4:$B$138, 0), MATCH(S$4&amp;S$5, LS_previous!$D$2:$AY$2&amp;LS_previous!$D$3:$AY$3, 0)),SUM(VLOOKUP($A100, LS_previous!$B$4:$AY$138, LS_previous!K$149, FALSE), VLOOKUP('Staging Table'!$A100, LS_previous!$B$4:$AY$138,LS_previous!AI$149, FALSE))/2)</f>
        <v>1960.6584428388001</v>
      </c>
      <c r="T100" s="192">
        <f t="array" ref="T100">IF($G100=0, INDEX(LS_previous!$D$4:$AY$138, MATCH('Staging Table'!$A100, LS_previous!$B$4:$B$138, 0), MATCH(T$4&amp;T$5, LS_previous!$D$2:$AY$2&amp;LS_previous!$D$3:$AY$3, 0)),SUM(VLOOKUP($A100, LS_previous!$B$4:$AY$138, LS_previous!L$149, FALSE), VLOOKUP('Staging Table'!$A100, LS_previous!$B$4:$AY$138,LS_previous!AJ$149, FALSE))/2)</f>
        <v>1615.4098175587997</v>
      </c>
      <c r="U100" s="192">
        <f t="array" ref="U100">IF($G100=0, INDEX(LS_previous!$D$4:$AY$138, MATCH('Staging Table'!$A100, LS_previous!$B$4:$B$138, 0), MATCH(U$4&amp;U$5, LS_previous!$D$2:$AY$2&amp;LS_previous!$D$3:$AY$3, 0)),SUM(VLOOKUP($A100, LS_previous!$B$4:$AY$138, LS_previous!M$149, FALSE), VLOOKUP('Staging Table'!$A100, LS_previous!$B$4:$AY$138,LS_previous!AK$149, FALSE))/2)</f>
        <v>1452.1712046012003</v>
      </c>
      <c r="V100" s="192">
        <f t="array" ref="V100">IF($G100=0, INDEX(LS_previous!$D$4:$AY$138, MATCH('Staging Table'!$A100, LS_previous!$B$4:$B$138, 0), MATCH(V$4&amp;V$5, LS_previous!$D$2:$AY$2&amp;LS_previous!$D$3:$AY$3, 0)),SUM(VLOOKUP($A100, LS_previous!$B$4:$AY$138, LS_previous!N$149, FALSE), VLOOKUP('Staging Table'!$A100, LS_previous!$B$4:$AY$138,LS_previous!AL$149, FALSE))/2)</f>
        <v>871.91405591920011</v>
      </c>
      <c r="W100" s="192">
        <f t="array" ref="W100">IF($G100=0, INDEX(LS_previous!$D$4:$AY$138, MATCH('Staging Table'!$A100, LS_previous!$B$4:$B$138, 0), MATCH(W$4&amp;W$5, LS_previous!$D$2:$AY$2&amp;LS_previous!$D$3:$AY$3, 0)),SUM(VLOOKUP($A100, LS_previous!$B$4:$AY$138, LS_previous!O$149, FALSE), VLOOKUP('Staging Table'!$A100, LS_previous!$B$4:$AY$138,LS_previous!AM$149, FALSE))/2)</f>
        <v>890.34804789769987</v>
      </c>
      <c r="X100" s="192">
        <f t="array" ref="X100">IF($G100=0, INDEX(LS_previous!$D$4:$AY$138, MATCH('Staging Table'!$A100, LS_previous!$B$4:$B$138, 0), MATCH(X$4&amp;X$5, LS_previous!$D$2:$AY$2&amp;LS_previous!$D$3:$AY$3, 0)),SUM(VLOOKUP($A100, LS_previous!$B$4:$AY$138, LS_previous!P$149, FALSE), VLOOKUP('Staging Table'!$A100, LS_previous!$B$4:$AY$138,LS_previous!AN$149, FALSE))/2)</f>
        <v>850.78301275279955</v>
      </c>
      <c r="Y100" s="192">
        <f t="array" ref="Y100">IF($G100=0, INDEX(LS_previous!$D$4:$AY$138, MATCH('Staging Table'!$A100, LS_previous!$B$4:$B$138, 0), MATCH(Y$4&amp;Y$5, LS_previous!$D$2:$AY$2&amp;LS_previous!$D$3:$AY$3, 0)),SUM(VLOOKUP($A100, LS_previous!$B$4:$AY$138, LS_previous!Q$149, FALSE), VLOOKUP('Staging Table'!$A100, LS_previous!$B$4:$AY$138,LS_previous!AO$149, FALSE))/2)</f>
        <v>785.41623162320002</v>
      </c>
      <c r="Z100" s="192">
        <f t="array" ref="Z100">IF($G100=0, INDEX(LS_previous!$D$4:$AY$138, MATCH('Staging Table'!$A100, LS_previous!$B$4:$B$138, 0), MATCH(Z$4&amp;Z$5, LS_previous!$D$2:$AY$2&amp;LS_previous!$D$3:$AY$3, 0)),SUM(VLOOKUP($A100, LS_previous!$B$4:$AY$138, LS_previous!R$149, FALSE), VLOOKUP('Staging Table'!$A100, LS_previous!$B$4:$AY$138,LS_previous!AP$149, FALSE))/2)</f>
        <v>-2075.1969227300006</v>
      </c>
      <c r="AA100" s="192">
        <f t="array" ref="AA100">IF($G100=0, INDEX(LS_previous!$D$4:$AY$138, MATCH('Staging Table'!$A100, LS_previous!$B$4:$B$138, 0), MATCH(AA$4&amp;AA$5, LS_previous!$D$2:$AY$2&amp;LS_previous!$D$3:$AY$3, 0)),SUM(VLOOKUP($A100, LS_previous!$B$4:$AY$138, LS_previous!S$149, FALSE), VLOOKUP('Staging Table'!$A100, LS_previous!$B$4:$AY$138,LS_previous!AQ$149, FALSE))/2)</f>
        <v>-526.52031299479995</v>
      </c>
      <c r="AB100" s="192">
        <f t="array" ref="AB100">IF($G100=0, INDEX(LS_previous!$D$4:$AY$138, MATCH('Staging Table'!$A100, LS_previous!$B$4:$B$138, 0), MATCH(AB$4&amp;AB$5, LS_previous!$D$2:$AY$2&amp;LS_previous!$D$3:$AY$3, 0)),SUM(VLOOKUP($A100, LS_previous!$B$4:$AY$138, LS_previous!T$149, FALSE), VLOOKUP('Staging Table'!$A100, LS_previous!$B$4:$AY$138,LS_previous!AR$149, FALSE))/2)</f>
        <v>-4052.1313252971995</v>
      </c>
      <c r="AC100" s="192">
        <f t="array" ref="AC100">IF($G100=0, INDEX(LS_previous!$D$4:$AY$138, MATCH('Staging Table'!$A100, LS_previous!$B$4:$B$138, 0), MATCH(AC$4&amp;AC$5, LS_previous!$D$2:$AY$2&amp;LS_previous!$D$3:$AY$3, 0)),SUM(VLOOKUP($A100, LS_previous!$B$4:$AY$138, LS_previous!U$149, FALSE), VLOOKUP('Staging Table'!$A100, LS_previous!$B$4:$AY$138,LS_previous!AS$149, FALSE))/2)</f>
        <v>-1883.5396101768006</v>
      </c>
      <c r="AD100" s="192">
        <f t="array" ref="AD100">IF($G100=0, INDEX(LS_previous!$D$4:$AY$138, MATCH('Staging Table'!$A100, LS_previous!$B$4:$B$138, 0), MATCH(AD$4&amp;AD$5, LS_previous!$D$2:$AY$2&amp;LS_previous!$D$3:$AY$3, 0)),SUM(VLOOKUP($A100, LS_previous!$B$4:$AY$138, LS_previous!V$149, FALSE), VLOOKUP('Staging Table'!$A100, LS_previous!$B$4:$AY$138,LS_previous!AT$149, FALSE))/2)</f>
        <v>-2753.7786667971995</v>
      </c>
      <c r="AE100" s="192">
        <f t="array" ref="AE100">IF($G100=0, INDEX(LS_previous!$D$4:$AY$138, MATCH('Staging Table'!$A100, LS_previous!$B$4:$B$138, 0), MATCH(AE$4&amp;AE$5, LS_previous!$D$2:$AY$2&amp;LS_previous!$D$3:$AY$3, 0)),SUM(VLOOKUP($A100, LS_previous!$B$4:$AY$138, LS_previous!W$149, FALSE), VLOOKUP('Staging Table'!$A100, LS_previous!$B$4:$AY$138,LS_previous!AU$149, FALSE))/2)</f>
        <v>-263.75205497759998</v>
      </c>
      <c r="AF100" s="192">
        <f t="array" ref="AF100">IF($G100=0, INDEX(LS_previous!$D$4:$AY$138, MATCH('Staging Table'!$A100, LS_previous!$B$4:$B$138, 0), MATCH(AF$4&amp;AF$5, LS_previous!$D$2:$AY$2&amp;LS_previous!$D$3:$AY$3, 0)),SUM(VLOOKUP($A100, LS_previous!$B$4:$AY$138, LS_previous!X$149, FALSE), VLOOKUP('Staging Table'!$A100, LS_previous!$B$4:$AY$138,LS_previous!AV$149, FALSE))/2)</f>
        <v>-2329.2016286471999</v>
      </c>
      <c r="AG100" s="192">
        <f t="array" ref="AG100">IF($G100=0, INDEX(LS_previous!$D$4:$AY$138, MATCH('Staging Table'!$A100, LS_previous!$B$4:$B$138, 0), MATCH(AG$4&amp;AG$5, LS_previous!$D$2:$AY$2&amp;LS_previous!$D$3:$AY$3, 0)),SUM(VLOOKUP($A100, LS_previous!$B$4:$AY$138, LS_previous!Y$149, FALSE), VLOOKUP('Staging Table'!$A100, LS_previous!$B$4:$AY$138,LS_previous!AW$149, FALSE))/2)</f>
        <v>-397.77387897760036</v>
      </c>
      <c r="AH100" s="192">
        <f t="array" ref="AH100">IF($G100=0, INDEX(LS_previous!$D$4:$AY$138, MATCH('Staging Table'!$A100, LS_previous!$B$4:$B$138, 0), MATCH(AH$4&amp;AH$5, LS_previous!$D$2:$AY$2&amp;LS_previous!$D$3:$AY$3, 0)),SUM(VLOOKUP($A100, LS_previous!$B$4:$AY$138, LS_previous!Z$149, FALSE), VLOOKUP('Staging Table'!$A100, LS_previous!$B$4:$AY$138,LS_previous!AX$149, FALSE))/2)</f>
        <v>-1230.6543932799996</v>
      </c>
      <c r="AI100" s="192">
        <f t="array" ref="AI100">IF($G100=0, INDEX(LS_previous!$D$4:$AY$138, MATCH('Staging Table'!$A100, LS_previous!$B$4:$B$138, 0), MATCH(AI$4&amp;AI$5, LS_previous!$D$2:$AY$2&amp;LS_previous!$D$3:$AY$3, 0)),SUM(VLOOKUP($A100, LS_previous!$B$4:$AY$138, LS_previous!AA$149, FALSE), VLOOKUP('Staging Table'!$A100, LS_previous!$B$4:$AY$138,LS_previous!AY$149, FALSE))/2)</f>
        <v>-281.36820264399967</v>
      </c>
      <c r="AJ100" s="314">
        <f t="array" ref="AJ100">INDEX(Demand_previous!$D$4:$AY$138, MATCH('Staging Table'!$A100, Demand_previous!$B$4:$B$138, 0), MATCH(AJ$4&amp;AJ$5,Demand_previous!$D$2:$AY$2&amp;Demand_previous!$D$3:$AY$3, 0))/1000</f>
        <v>0</v>
      </c>
      <c r="AK100" s="314">
        <f t="array" ref="AK100">INDEX(Demand_previous!$D$4:$AY$138, MATCH('Staging Table'!$A100, Demand_previous!$B$4:$B$138, 0), MATCH(AK$4&amp;AK$5,Demand_previous!$D$2:$AY$2&amp;Demand_previous!$D$3:$AY$3, 0))/1000</f>
        <v>0.21048500000000114</v>
      </c>
      <c r="AL100" s="314">
        <f t="array" ref="AL100">INDEX(Demand_previous!$D$4:$AY$138, MATCH('Staging Table'!$A100, Demand_previous!$B$4:$B$138, 0), MATCH(AL$4&amp;AL$5,Demand_previous!$D$2:$AY$2&amp;Demand_previous!$D$3:$AY$3, 0))/1000</f>
        <v>3.3401725000000013</v>
      </c>
      <c r="AM100" s="314">
        <f t="array" ref="AM100">INDEX(Demand_previous!$D$4:$AY$138, MATCH('Staging Table'!$A100, Demand_previous!$B$4:$B$138, 0), MATCH(AM$4&amp;AM$5,Demand_previous!$D$2:$AY$2&amp;Demand_previous!$D$3:$AY$3, 0))/1000</f>
        <v>3.0436947115384636</v>
      </c>
      <c r="AN100" s="314">
        <f t="array" ref="AN100">INDEX(Demand_previous!$D$4:$AY$138, MATCH('Staging Table'!$A100, Demand_previous!$B$4:$B$138, 0), MATCH(AN$4&amp;AN$5,Demand_previous!$D$2:$AY$2&amp;Demand_previous!$D$3:$AY$3, 0))/1000</f>
        <v>2.4850999999999992</v>
      </c>
      <c r="AO100" s="314">
        <f t="array" ref="AO100">INDEX(Demand_previous!$D$4:$AY$138, MATCH('Staging Table'!$A100, Demand_previous!$B$4:$B$138, 0), MATCH(AO$4&amp;AO$5,Demand_previous!$D$2:$AY$2&amp;Demand_previous!$D$3:$AY$3, 0))/1000</f>
        <v>0</v>
      </c>
      <c r="AP100" s="314">
        <f t="array" ref="AP100">INDEX(Demand_previous!$D$4:$AY$138, MATCH('Staging Table'!$A100, Demand_previous!$B$4:$B$138, 0), MATCH(AP$4&amp;AP$5,Demand_previous!$D$2:$AY$2&amp;Demand_previous!$D$3:$AY$3, 0))/1000</f>
        <v>0.88034855769230891</v>
      </c>
      <c r="AQ100" s="314">
        <f t="array" ref="AQ100">INDEX(Demand_previous!$D$4:$AY$138, MATCH('Staging Table'!$A100, Demand_previous!$B$4:$B$138, 0), MATCH(AQ$4&amp;AQ$5,Demand_previous!$D$2:$AY$2&amp;Demand_previous!$D$3:$AY$3, 0))/1000</f>
        <v>1.6281474999999994</v>
      </c>
      <c r="AR100" s="314">
        <f t="array" ref="AR100">INDEX(Demand_previous!$D$4:$AY$138, MATCH('Staging Table'!$A100, Demand_previous!$B$4:$B$138, 0), MATCH(AR$4&amp;AR$5,Demand_previous!$D$2:$AY$2&amp;Demand_previous!$D$3:$AY$3, 0))/1000</f>
        <v>2.1370240384615373</v>
      </c>
      <c r="AS100" s="314">
        <f t="array" ref="AS100">INDEX(Demand_previous!$D$4:$AY$138, MATCH('Staging Table'!$A100, Demand_previous!$B$4:$B$138, 0), MATCH(AS$4&amp;AS$5,Demand_previous!$D$2:$AY$2&amp;Demand_previous!$D$3:$AY$3, 0))/1000</f>
        <v>1.3989254807692302</v>
      </c>
      <c r="AT100" s="314">
        <f t="array" ref="AT100">INDEX(Demand_previous!$D$4:$AY$138, MATCH('Staging Table'!$A100, Demand_previous!$B$4:$B$138, 0), MATCH(AT$4&amp;AT$5,Demand_previous!$D$2:$AY$2&amp;Demand_previous!$D$3:$AY$3, 0))/1000</f>
        <v>1.4028870192307685</v>
      </c>
      <c r="AU100" s="314">
        <f t="array" ref="AU100">INDEX(Demand_previous!$D$4:$AY$138, MATCH('Staging Table'!$A100, Demand_previous!$B$4:$B$138, 0), MATCH(AU$4&amp;AU$5,Demand_previous!$D$2:$AY$2&amp;Demand_previous!$D$3:$AY$3, 0))/1000</f>
        <v>2.5985699999999996</v>
      </c>
      <c r="AV100" s="192">
        <f>$F100*(VLOOKUP(AV$4, Rates_previous!$G$6:$Q$29, 10, FALSE)+VLOOKUP(AV$4, Rates_previous!$G$6:$Q$29, 11, FALSE))</f>
        <v>8986.6844585747986</v>
      </c>
      <c r="AW100" s="192">
        <f>$F100*(VLOOKUP(AW$4, Rates_previous!$G$6:$Q$29, 10, FALSE)+VLOOKUP(AW$4, Rates_previous!$G$6:$Q$29, 11, FALSE))</f>
        <v>11415.892713065699</v>
      </c>
      <c r="AX100" s="192">
        <f>$F100*(VLOOKUP(AX$4, Rates_previous!$G$6:$Q$29, 10, FALSE)+VLOOKUP(AX$4, Rates_previous!$G$6:$Q$29, 11, FALSE))</f>
        <v>11278.030361474801</v>
      </c>
      <c r="AY100" s="192">
        <f>$F100*(VLOOKUP(AY$4, Rates_previous!$G$6:$Q$29, 10, FALSE)+VLOOKUP(AY$4, Rates_previous!$G$6:$Q$29, 11, FALSE))</f>
        <v>9400.9252190748011</v>
      </c>
      <c r="AZ100" s="192">
        <f>$F100*(VLOOKUP(AZ$4, Rates_previous!$G$6:$Q$29, 10, FALSE)+VLOOKUP(AZ$4, Rates_previous!$G$6:$Q$29, 11, FALSE))</f>
        <v>8516.2629778399987</v>
      </c>
      <c r="BA100" s="192">
        <f>$F100*(VLOOKUP(BA$4, Rates_previous!$G$6:$Q$29, 10, FALSE)+VLOOKUP(BA$4, Rates_previous!$G$6:$Q$29, 11, FALSE))</f>
        <v>9472.7898961830997</v>
      </c>
      <c r="BB100" s="192">
        <f>$F100*(VLOOKUP(BB$4, Rates_previous!$G$6:$Q$29, 10, FALSE)+VLOOKUP(BB$4, Rates_previous!$G$6:$Q$29, 11, FALSE))</f>
        <v>7712.7557556239999</v>
      </c>
      <c r="BC100" s="192">
        <f>$F100*(VLOOKUP(BC$4, Rates_previous!$G$6:$Q$29, 10, FALSE)+VLOOKUP(BC$4, Rates_previous!$G$6:$Q$29, 11, FALSE))</f>
        <v>10401.801235724801</v>
      </c>
      <c r="BD100" s="192">
        <f>$F100*(VLOOKUP(BD$4, Rates_previous!$G$6:$Q$29, 10, FALSE)+VLOOKUP(BD$4, Rates_previous!$G$6:$Q$29, 11, FALSE))</f>
        <v>13271.990935474001</v>
      </c>
      <c r="BE100" s="192">
        <f>$F100*(VLOOKUP(BE$4, Rates_previous!$G$6:$Q$29, 10, FALSE)+VLOOKUP(BE$4, Rates_previous!$G$6:$Q$29, 11, FALSE))</f>
        <v>10405.661721774801</v>
      </c>
      <c r="BF100" s="192">
        <f>$F100*(VLOOKUP(BF$4, Rates_previous!$G$6:$Q$29, 10, FALSE)+VLOOKUP(BF$4, Rates_previous!$G$6:$Q$29, 11, FALSE))</f>
        <v>10133.042507624801</v>
      </c>
      <c r="BG100" s="192">
        <f>$F100*(VLOOKUP(BG$4, Rates_previous!$G$6:$Q$29, 10, FALSE)+VLOOKUP(BG$4, Rates_previous!$G$6:$Q$29, 11, FALSE))</f>
        <v>9097.3165959240014</v>
      </c>
      <c r="BH100" s="314">
        <f>IF($D100=0,IF(C100=0, MAX(BJ100 - (VLOOKUP($A100,TOCA_previous!$A$2:$AI$137,MATCH("RHWM 2020",TOCA_previous!$A$2:$AI$2,0),FALSE)*$F$2*TOCA_previous!C97),0),0), 0)</f>
        <v>0</v>
      </c>
      <c r="BI100" s="204">
        <f>MIN(VLOOKUP($A100,TOCA_previous!$A$2:$AI$137,MATCH("TRL - NLSL - Existing Resource "&amp;$F$1,TOCA_previous!$A$2:$AI$2,0),FALSE)*$F$2,(VLOOKUP($A100,TOCA_previous!$A$2:$AI$137,MATCH("RHWM 2020",TOCA_previous!$A$2:$AI$2,0),FALSE)*$F$2))</f>
        <v>120094.848</v>
      </c>
      <c r="BJ100" s="418">
        <f>SUM(L100:AI100)+(F100*RT1SC!$C$3*$F$2)</f>
        <v>116946.03450763079</v>
      </c>
      <c r="BK100" s="417">
        <f>VLOOKUP($A100,TOCA_previous!$A$2:$AI$137,MATCH("Above RHWM Not Served with LS "&amp;$F$1,TOCA_previous!$A$2:$AI$2,0),FALSE)*$F$2</f>
        <v>0</v>
      </c>
      <c r="BL100" s="418">
        <f t="shared" si="27"/>
        <v>-3148.8134923692123</v>
      </c>
      <c r="BM100" s="417">
        <f>(VLOOKUP($A100,TOCA_previous!$A$2:$AI$137,MATCH("RHWM 2020",TOCA_previous!$A$2:$AI$2,0),FALSE)*$F$2) - $BI100</f>
        <v>2828.448000000004</v>
      </c>
      <c r="BN100" s="418">
        <f t="shared" si="28"/>
        <v>0</v>
      </c>
      <c r="BO100" s="417">
        <f t="shared" si="29"/>
        <v>3148.8134923692123</v>
      </c>
      <c r="BP100" s="418">
        <f t="shared" si="30"/>
        <v>0</v>
      </c>
      <c r="BQ100" s="417">
        <f t="shared" si="21"/>
        <v>3148.8134923692123</v>
      </c>
      <c r="BR100" s="120">
        <f>VLOOKUP($A100,TOCA_current!$A$2:$AI$137,MATCH(BR$4,TOCA_current!$A$2:$AI$2,0),FALSE)</f>
        <v>1.9870999999999999E-3</v>
      </c>
      <c r="BS100" s="120">
        <f>VLOOKUP($A100,TOCA_current!$A$2:$AI$137,MATCH(BS$4,TOCA_current!$A$2:$AI$2,0),FALSE)</f>
        <v>1.9870999999999999E-3</v>
      </c>
      <c r="BT100" s="201">
        <f t="shared" si="31"/>
        <v>0</v>
      </c>
      <c r="BU100" s="120">
        <f>VLOOKUP($A100,TOCA_current!A96:BG231,MATCH(BU$4,TOCA_current!$A$2:$BG$2,0),FALSE)</f>
        <v>0</v>
      </c>
      <c r="BV100" s="120">
        <f t="shared" si="22"/>
        <v>0</v>
      </c>
      <c r="BW100" s="120">
        <f t="shared" si="23"/>
        <v>0</v>
      </c>
      <c r="BX100" s="191">
        <f>VLOOKUP($A100,IRD!$A$4:$G$139, 7, FALSE)</f>
        <v>0</v>
      </c>
      <c r="BY100" s="192">
        <f t="array" ref="BY100">IF($BT100=0, INDEX(LS_current!$D$4:$AY$138, MATCH('Staging Table'!$A100, LS_current!$B$4:$B$138, 0), MATCH(BY$4&amp;BY$5, LS_current!$D$2:$AY$2&amp;LS_current!$D$3:$AY$3, 0)),SUM(VLOOKUP($A100, LS_current!$B$4:$AY$138, LS_current!D$148, FALSE), VLOOKUP($A100, LS_current!$B$4:$AY$138,LS_current!AB$148, FALSE))/2)</f>
        <v>-51.2923346584912</v>
      </c>
      <c r="BZ100" s="192">
        <f t="array" ref="BZ100">IF($BT100=0, INDEX(LS_current!$D$4:$AY$138, MATCH('Staging Table'!$A100, LS_current!$B$4:$B$138, 0), MATCH(BZ$4&amp;BZ$5, LS_current!$D$2:$AY$2&amp;LS_current!$D$3:$AY$3, 0)),SUM(VLOOKUP($A100, LS_current!$B$4:$AY$138, LS_current!E$148, FALSE), VLOOKUP($A100, LS_current!$B$4:$AY$138,LS_current!AC$148, FALSE))/2)</f>
        <v>297.38611816033472</v>
      </c>
      <c r="CA100" s="192">
        <f t="array" ref="CA100">IF($BT100=0, INDEX(LS_current!$D$4:$AY$138, MATCH('Staging Table'!$A100, LS_current!$B$4:$B$138, 0), MATCH(CA$4&amp;CA$5, LS_current!$D$2:$AY$2&amp;LS_current!$D$3:$AY$3, 0)),SUM(VLOOKUP($A100, LS_current!$B$4:$AY$138, LS_current!F$148, FALSE), VLOOKUP($A100, LS_current!$B$4:$AY$138,LS_current!AD$148, FALSE))/2)</f>
        <v>-228.44484841083431</v>
      </c>
      <c r="CB100" s="192">
        <f t="array" ref="CB100">IF($BT100=0, INDEX(LS_current!$D$4:$AY$138, MATCH('Staging Table'!$A100, LS_current!$B$4:$B$138, 0), MATCH(CB$4&amp;CB$5, LS_current!$D$2:$AY$2&amp;LS_current!$D$3:$AY$3, 0)),SUM(VLOOKUP($A100, LS_current!$B$4:$AY$138, LS_current!G$148, FALSE), VLOOKUP($A100, LS_current!$B$4:$AY$138,LS_current!AE$148, FALSE))/2)</f>
        <v>218.02776176853149</v>
      </c>
      <c r="CC100" s="192">
        <f t="array" ref="CC100">IF($BT100=0, INDEX(LS_current!$D$4:$AY$138, MATCH('Staging Table'!$A100, LS_current!$B$4:$B$138, 0), MATCH(CC$4&amp;CC$5, LS_current!$D$2:$AY$2&amp;LS_current!$D$3:$AY$3, 0)),SUM(VLOOKUP($A100, LS_current!$B$4:$AY$138, LS_current!H$148, FALSE), VLOOKUP($A100, LS_current!$B$4:$AY$138,LS_current!AF$148, FALSE))/2)</f>
        <v>1300.1734869332531</v>
      </c>
      <c r="CD100" s="192">
        <f t="array" ref="CD100">IF($BT100=0, INDEX(LS_current!$D$4:$AY$138, MATCH('Staging Table'!$A100, LS_current!$B$4:$B$138, 0), MATCH(CD$4&amp;CD$5, LS_current!$D$2:$AY$2&amp;LS_current!$D$3:$AY$3, 0)),SUM(VLOOKUP($A100, LS_current!$B$4:$AY$138, LS_current!I$148, FALSE), VLOOKUP($A100, LS_current!$B$4:$AY$138,LS_current!AG$148, FALSE))/2)</f>
        <v>579.35459627438649</v>
      </c>
      <c r="CE100" s="192">
        <f t="array" ref="CE100">IF($BT100=0, INDEX(LS_current!$D$4:$AY$138, MATCH('Staging Table'!$A100, LS_current!$B$4:$B$138, 0), MATCH(CE$4&amp;CE$5, LS_current!$D$2:$AY$2&amp;LS_current!$D$3:$AY$3, 0)),SUM(VLOOKUP($A100, LS_current!$B$4:$AY$138, LS_current!J$148, FALSE), VLOOKUP($A100, LS_current!$B$4:$AY$138,LS_current!AH$148, FALSE))/2)</f>
        <v>2705.4769280501123</v>
      </c>
      <c r="CF100" s="192">
        <f t="array" ref="CF100">IF($BT100=0, INDEX(LS_current!$D$4:$AY$138, MATCH('Staging Table'!$A100, LS_current!$B$4:$B$138, 0), MATCH(CF$4&amp;CF$5, LS_current!$D$2:$AY$2&amp;LS_current!$D$3:$AY$3, 0)),SUM(VLOOKUP($A100, LS_current!$B$4:$AY$138, LS_current!K$148, FALSE), VLOOKUP($A100, LS_current!$B$4:$AY$138,LS_current!AI$148, FALSE))/2)</f>
        <v>1460.415530008428</v>
      </c>
      <c r="CG100" s="192">
        <f t="array" ref="CG100">IF($BT100=0, INDEX(LS_current!$D$4:$AY$138, MATCH('Staging Table'!$A100, LS_current!$B$4:$B$138, 0), MATCH(CG$4&amp;CG$5, LS_current!$D$2:$AY$2&amp;LS_current!$D$3:$AY$3, 0)),SUM(VLOOKUP($A100, LS_current!$B$4:$AY$138, LS_current!L$148, FALSE), VLOOKUP($A100, LS_current!$B$4:$AY$138,LS_current!AJ$148, FALSE))/2)</f>
        <v>2325.2520592434539</v>
      </c>
      <c r="CH100" s="192">
        <f t="array" ref="CH100">IF($BT100=0, INDEX(LS_current!$D$4:$AY$138, MATCH('Staging Table'!$A100, LS_current!$B$4:$B$138, 0), MATCH(CH$4&amp;CH$5, LS_current!$D$2:$AY$2&amp;LS_current!$D$3:$AY$3, 0)),SUM(VLOOKUP($A100, LS_current!$B$4:$AY$138, LS_current!M$148, FALSE), VLOOKUP($A100, LS_current!$B$4:$AY$138,LS_current!AK$148, FALSE))/2)</f>
        <v>1231.0382099082985</v>
      </c>
      <c r="CI100" s="192">
        <f t="array" ref="CI100">IF($BT100=0, INDEX(LS_current!$D$4:$AY$138, MATCH('Staging Table'!$A100, LS_current!$B$4:$B$138, 0), MATCH(CI$4&amp;CI$5, LS_current!$D$2:$AY$2&amp;LS_current!$D$3:$AY$3, 0)),SUM(VLOOKUP($A100, LS_current!$B$4:$AY$138, LS_current!N$148, FALSE), VLOOKUP($A100, LS_current!$B$4:$AY$138,LS_current!AL$148, FALSE))/2)</f>
        <v>1009.4512237189192</v>
      </c>
      <c r="CJ100" s="192">
        <f t="array" ref="CJ100">IF($BT100=0, INDEX(LS_current!$D$4:$AY$138, MATCH('Staging Table'!$A100, LS_current!$B$4:$B$138, 0), MATCH(CJ$4&amp;CJ$5, LS_current!$D$2:$AY$2&amp;LS_current!$D$3:$AY$3, 0)),SUM(VLOOKUP($A100, LS_current!$B$4:$AY$138, LS_current!O$148, FALSE), VLOOKUP($A100, LS_current!$B$4:$AY$138,LS_current!AM$148, FALSE))/2)</f>
        <v>642.32269980335195</v>
      </c>
      <c r="CK100" s="192">
        <f t="array" ref="CK100">IF($BT100=0, INDEX(LS_current!$D$4:$AY$138, MATCH('Staging Table'!$A100, LS_current!$B$4:$B$138, 0), MATCH(CK$4&amp;CK$5, LS_current!$D$2:$AY$2&amp;LS_current!$D$3:$AY$3, 0)),SUM(VLOOKUP($A100, LS_current!$B$4:$AY$138, LS_current!P$148, FALSE), VLOOKUP($A100, LS_current!$B$4:$AY$138,LS_current!AN$148, FALSE))/2)</f>
        <v>1119.1840808363986</v>
      </c>
      <c r="CL100" s="192">
        <f t="array" ref="CL100">IF($BT100=0, INDEX(LS_current!$D$4:$AY$138, MATCH('Staging Table'!$A100, LS_current!$B$4:$B$138, 0), MATCH(CL$4&amp;CL$5, LS_current!$D$2:$AY$2&amp;LS_current!$D$3:$AY$3, 0)),SUM(VLOOKUP($A100, LS_current!$B$4:$AY$138, LS_current!Q$148, FALSE), VLOOKUP($A100, LS_current!$B$4:$AY$138,LS_current!AO$148, FALSE))/2)</f>
        <v>789.63130404146341</v>
      </c>
      <c r="CM100" s="192">
        <f t="array" ref="CM100">IF($BT100=0, INDEX(LS_current!$D$4:$AY$138, MATCH('Staging Table'!$A100, LS_current!$B$4:$B$138, 0), MATCH(CM$4&amp;CM$5, LS_current!$D$2:$AY$2&amp;LS_current!$D$3:$AY$3, 0)),SUM(VLOOKUP($A100, LS_current!$B$4:$AY$138, LS_current!R$148, FALSE), VLOOKUP($A100, LS_current!$B$4:$AY$138,LS_current!AP$148, FALSE))/2)</f>
        <v>-2271.5836934627296</v>
      </c>
      <c r="CN100" s="192">
        <f t="array" ref="CN100">IF($BT100=0, INDEX(LS_current!$D$4:$AY$138, MATCH('Staging Table'!$A100, LS_current!$B$4:$B$138, 0), MATCH(CN$4&amp;CN$5, LS_current!$D$2:$AY$2&amp;LS_current!$D$3:$AY$3, 0)),SUM(VLOOKUP($A100, LS_current!$B$4:$AY$138, LS_current!S$148, FALSE), VLOOKUP($A100, LS_current!$B$4:$AY$138,LS_current!AQ$148, FALSE))/2)</f>
        <v>-236.70049515830488</v>
      </c>
      <c r="CO100" s="192">
        <f t="array" ref="CO100">IF($BT100=0, INDEX(LS_current!$D$4:$AY$138, MATCH('Staging Table'!$A100, LS_current!$B$4:$B$138, 0), MATCH(CO$4&amp;CO$5, LS_current!$D$2:$AY$2&amp;LS_current!$D$3:$AY$3, 0)),SUM(VLOOKUP($A100, LS_current!$B$4:$AY$138, LS_current!T$148, FALSE), VLOOKUP($A100, LS_current!$B$4:$AY$138,LS_current!AR$148, FALSE))/2)</f>
        <v>-3293.4429912653186</v>
      </c>
      <c r="CP100" s="192">
        <f t="array" ref="CP100">IF($BT100=0, INDEX(LS_current!$D$4:$AY$138, MATCH('Staging Table'!$A100, LS_current!$B$4:$B$138, 0), MATCH(CP$4&amp;CP$5, LS_current!$D$2:$AY$2&amp;LS_current!$D$3:$AY$3, 0)),SUM(VLOOKUP($A100, LS_current!$B$4:$AY$138, LS_current!U$148, FALSE), VLOOKUP($A100, LS_current!$B$4:$AY$138,LS_current!AS$148, FALSE))/2)</f>
        <v>-384.94426675720706</v>
      </c>
      <c r="CQ100" s="192">
        <f t="array" ref="CQ100">IF($BT100=0, INDEX(LS_current!$D$4:$AY$138, MATCH('Staging Table'!$A100, LS_current!$B$4:$B$138, 0), MATCH(CQ$4&amp;CQ$5, LS_current!$D$2:$AY$2&amp;LS_current!$D$3:$AY$3, 0)),SUM(VLOOKUP($A100, LS_current!$B$4:$AY$138, LS_current!V$148, FALSE), VLOOKUP($A100, LS_current!$B$4:$AY$138,LS_current!AT$148, FALSE))/2)</f>
        <v>-2556.2447430649354</v>
      </c>
      <c r="CR100" s="192">
        <f t="array" ref="CR100">IF($BT100=0, INDEX(LS_current!$D$4:$AY$138, MATCH('Staging Table'!$A100, LS_current!$B$4:$B$138, 0), MATCH(CR$4&amp;CR$5, LS_current!$D$2:$AY$2&amp;LS_current!$D$3:$AY$3, 0)),SUM(VLOOKUP($A100, LS_current!$B$4:$AY$138, LS_current!W$148, FALSE), VLOOKUP($A100, LS_current!$B$4:$AY$138,LS_current!AU$148, FALSE))/2)</f>
        <v>-513.59003487325617</v>
      </c>
      <c r="CS100" s="192">
        <f t="array" ref="CS100">IF($BT100=0, INDEX(LS_current!$D$4:$AY$138, MATCH('Staging Table'!$A100, LS_current!$B$4:$B$138, 0), MATCH(CS$4&amp;CS$5, LS_current!$D$2:$AY$2&amp;LS_current!$D$3:$AY$3, 0)),SUM(VLOOKUP($A100, LS_current!$B$4:$AY$138, LS_current!X$148, FALSE), VLOOKUP($A100, LS_current!$B$4:$AY$138,LS_current!AV$148, FALSE))/2)</f>
        <v>-2191.59746430634</v>
      </c>
      <c r="CT100" s="192">
        <f t="array" ref="CT100">IF($BT100=0, INDEX(LS_current!$D$4:$AY$138, MATCH('Staging Table'!$A100, LS_current!$B$4:$B$138, 0), MATCH(CT$4&amp;CT$5, LS_current!$D$2:$AY$2&amp;LS_current!$D$3:$AY$3, 0)),SUM(VLOOKUP($A100, LS_current!$B$4:$AY$138, LS_current!Y$148, FALSE), VLOOKUP($A100, LS_current!$B$4:$AY$138,LS_current!AW$148, FALSE))/2)</f>
        <v>-509.15266998836705</v>
      </c>
      <c r="CU100" s="192">
        <f t="array" ref="CU100">IF($BT100=0, INDEX(LS_current!$D$4:$AY$138, MATCH('Staging Table'!$A100, LS_current!$B$4:$B$138, 0), MATCH(CU$4&amp;CU$5, LS_current!$D$2:$AY$2&amp;LS_current!$D$3:$AY$3, 0)),SUM(VLOOKUP($A100, LS_current!$B$4:$AY$138, LS_current!Z$148, FALSE), VLOOKUP($A100, LS_current!$B$4:$AY$138,LS_current!AX$148, FALSE))/2)</f>
        <v>-1365.3020511412315</v>
      </c>
      <c r="CV100" s="192">
        <f t="array" ref="CV100">IF($BT100=0, INDEX(LS_current!$D$4:$AY$138, MATCH('Staging Table'!$A100, LS_current!$B$4:$B$138, 0), MATCH(CV$4&amp;CV$5, LS_current!$D$2:$AY$2&amp;LS_current!$D$3:$AY$3, 0)),SUM(VLOOKUP($A100, LS_current!$B$4:$AY$138, LS_current!AA$148, FALSE), VLOOKUP($A100, LS_current!$B$4:$AY$138,LS_current!AY$148, FALSE))/2)</f>
        <v>-389.15657487939689</v>
      </c>
      <c r="CW100" s="194">
        <f t="array" ref="CW100">INDEX(Demand_current!$D$4:$AY$138, MATCH($A100, Demand_current!$B$4:$B$138, 0), MATCH(CW$4&amp;CW$5,Demand_current!$D$2:$AY$2&amp;Demand_current!$D$3:$AY$3, 0))/1000</f>
        <v>0</v>
      </c>
      <c r="CX100" s="194">
        <f t="array" ref="CX100">INDEX(Demand_current!$D$4:$AY$138, MATCH($A100, Demand_current!$B$4:$B$138, 0), MATCH(CX$4&amp;CX$5,Demand_current!$D$2:$AY$2&amp;Demand_current!$D$3:$AY$3, 0))/1000</f>
        <v>0.21048500000000114</v>
      </c>
      <c r="CY100" s="194">
        <f t="array" ref="CY100">INDEX(Demand_current!$D$4:$AY$138, MATCH($A100, Demand_current!$B$4:$B$138, 0), MATCH(CY$4&amp;CY$5,Demand_current!$D$2:$AY$2&amp;Demand_current!$D$3:$AY$3, 0))/1000</f>
        <v>4.0811658653846159</v>
      </c>
      <c r="CZ100" s="194">
        <f t="array" ref="CZ100">INDEX(Demand_current!$D$4:$AY$138, MATCH($A100, Demand_current!$B$4:$B$138, 0), MATCH(CZ$4&amp;CZ$5,Demand_current!$D$2:$AY$2&amp;Demand_current!$D$3:$AY$3, 0))/1000</f>
        <v>2.2769225000000008</v>
      </c>
      <c r="DA100" s="194">
        <f t="array" ref="DA100">INDEX(Demand_current!$D$4:$AY$138, MATCH($A100, Demand_current!$B$4:$B$138, 0), MATCH(DA$4&amp;DA$5,Demand_current!$D$2:$AY$2&amp;Demand_current!$D$3:$AY$3, 0))/1000</f>
        <v>1.7571458333333325</v>
      </c>
      <c r="DB100" s="194">
        <f t="array" ref="DB100">INDEX(Demand_current!$D$4:$AY$138, MATCH($A100, Demand_current!$B$4:$B$138, 0), MATCH(DB$4&amp;DB$5,Demand_current!$D$2:$AY$2&amp;Demand_current!$D$3:$AY$3, 0))/1000</f>
        <v>0</v>
      </c>
      <c r="DC100" s="194">
        <f t="array" ref="DC100">INDEX(Demand_current!$D$4:$AY$138, MATCH($A100, Demand_current!$B$4:$B$138, 0), MATCH(DC$4&amp;DC$5,Demand_current!$D$2:$AY$2&amp;Demand_current!$D$3:$AY$3, 0))/1000</f>
        <v>0.88034855769230891</v>
      </c>
      <c r="DD100" s="194">
        <f t="array" ref="DD100">INDEX(Demand_current!$D$4:$AY$138, MATCH($A100, Demand_current!$B$4:$B$138, 0), MATCH(DD$4&amp;DD$5,Demand_current!$D$2:$AY$2&amp;Demand_current!$D$3:$AY$3, 0))/1000</f>
        <v>1.6281474999999994</v>
      </c>
      <c r="DE100" s="194">
        <f t="array" ref="DE100">INDEX(Demand_current!$D$4:$AY$138, MATCH($A100, Demand_current!$B$4:$B$138, 0), MATCH(DE$4&amp;DE$5,Demand_current!$D$2:$AY$2&amp;Demand_current!$D$3:$AY$3, 0))/1000</f>
        <v>2.1370240384615373</v>
      </c>
      <c r="DF100" s="194">
        <f t="array" ref="DF100">INDEX(Demand_current!$D$4:$AY$138, MATCH($A100, Demand_current!$B$4:$B$138, 0), MATCH(DF$4&amp;DF$5,Demand_current!$D$2:$AY$2&amp;Demand_current!$D$3:$AY$3, 0))/1000</f>
        <v>0.97496249999999951</v>
      </c>
      <c r="DG100" s="194">
        <f t="array" ref="DG100">INDEX(Demand_current!$D$4:$AY$138, MATCH($A100, Demand_current!$B$4:$B$138, 0), MATCH(DG$4&amp;DG$5,Demand_current!$D$2:$AY$2&amp;Demand_current!$D$3:$AY$3, 0))/1000</f>
        <v>1.813743055555556</v>
      </c>
      <c r="DH100" s="194">
        <f t="array" ref="DH100">INDEX(Demand_current!$D$4:$AY$138, MATCH($A100, Demand_current!$B$4:$B$138, 0), MATCH(DH$4&amp;DH$5,Demand_current!$D$2:$AY$2&amp;Demand_current!$D$3:$AY$3, 0))/1000</f>
        <v>2.5985699999999996</v>
      </c>
      <c r="DI100" s="192">
        <f>$BS100*(VLOOKUP(DI$4, Rates_current!$G$6:$Q$29, 10, FALSE)+VLOOKUP(DI$4, Rates_current!$G$6:$Q$29, 11, FALSE))</f>
        <v>9049.1032164981571</v>
      </c>
      <c r="DJ100" s="192">
        <f>$BS100*(VLOOKUP(DJ$4, Rates_current!$G$6:$Q$29, 10, FALSE)+VLOOKUP(DJ$4, Rates_current!$G$6:$Q$29, 11, FALSE))</f>
        <v>11456.493086642304</v>
      </c>
      <c r="DK100" s="192">
        <f>$BS100*(VLOOKUP(DK$4, Rates_current!$G$6:$Q$29, 10, FALSE)+VLOOKUP(DK$4, Rates_current!$G$6:$Q$29, 11, FALSE))</f>
        <v>11213.617916792362</v>
      </c>
      <c r="DL100" s="192">
        <f>$BS100*(VLOOKUP(DL$4, Rates_current!$G$6:$Q$29, 10, FALSE)+VLOOKUP(DL$4, Rates_current!$G$6:$Q$29, 11, FALSE))</f>
        <v>9261.9715419414588</v>
      </c>
      <c r="DM100" s="192">
        <f>$BS100*(VLOOKUP(DM$4, Rates_current!$G$6:$Q$29, 10, FALSE)+VLOOKUP(DM$4, Rates_current!$G$6:$Q$29, 11, FALSE))</f>
        <v>8027.553730848249</v>
      </c>
      <c r="DN100" s="192">
        <f>$BS100*(VLOOKUP(DN$4, Rates_current!$G$6:$Q$29, 10, FALSE)+VLOOKUP(DN$4, Rates_current!$G$6:$Q$29, 11, FALSE))</f>
        <v>9583.278076477729</v>
      </c>
      <c r="DO100" s="192">
        <f>$BS100*(VLOOKUP(DO$4, Rates_current!$G$6:$Q$29, 10, FALSE)+VLOOKUP(DO$4, Rates_current!$G$6:$Q$29, 11, FALSE))</f>
        <v>7440.139615122137</v>
      </c>
      <c r="DP100" s="192">
        <f>$BS100*(VLOOKUP(DP$4, Rates_current!$G$6:$Q$29, 10, FALSE)+VLOOKUP(DP$4, Rates_current!$G$6:$Q$29, 11, FALSE))</f>
        <v>10308.368188621034</v>
      </c>
      <c r="DQ100" s="192">
        <f>$BS100*(VLOOKUP(DQ$4, Rates_current!$G$6:$Q$29, 10, FALSE)+VLOOKUP(DQ$4, Rates_current!$G$6:$Q$29, 11, FALSE))</f>
        <v>11014.707258022525</v>
      </c>
      <c r="DR100" s="192">
        <f>$BS100*(VLOOKUP(DR$4, Rates_current!$G$6:$Q$29, 10, FALSE)+VLOOKUP(DR$4, Rates_current!$G$6:$Q$29, 11, FALSE))</f>
        <v>10457.965777938192</v>
      </c>
      <c r="DS100" s="192">
        <f>$BS100*(VLOOKUP(DS$4, Rates_current!$G$6:$Q$29, 10, FALSE)+VLOOKUP(DS$4, Rates_current!$G$6:$Q$29, 11, FALSE))</f>
        <v>10106.817134294708</v>
      </c>
      <c r="DT100" s="192">
        <f>$BS100*(VLOOKUP(DT$4, Rates_current!$G$6:$Q$29, 10, FALSE)+VLOOKUP(DT$4, Rates_current!$G$6:$Q$29, 11, FALSE))</f>
        <v>9339.7526260206287</v>
      </c>
      <c r="DU100" s="418">
        <f>IF(D100=0,IF(C100=0,MAX(0,DW100 - (VLOOKUP($A100,TOCA_current!$A$2:$AI$137,MATCH("RHWM 2022",TOCA_current!$A$2:$AI$2,0),FALSE)*$BS$2)), 0),0)</f>
        <v>0</v>
      </c>
      <c r="DV100" s="419">
        <f>MIN(VLOOKUP($A100,TOCA_current!$A$2:$AI$137,MATCH("TRL - NLSL - Existing Resource "&amp;$BS$1,TOCA_current!$A$2:$AI$2,0),FALSE)*$BS$2, VLOOKUP($A100,TOCA_current!$A$2:$AI$137,MATCH("RHWM 2022",TOCA_current!$A$2:$AI$2,0),FALSE)*$BS$2)</f>
        <v>117261.35999999999</v>
      </c>
      <c r="DW100" s="419">
        <f>SUM(BY100:CV100)+(BS100*RT1SC!$C$4*$BS$2)</f>
        <v>116946.03599834452</v>
      </c>
      <c r="DX100" s="419">
        <f>VLOOKUP($A100,TOCA_current!$A$2:$AI$137,MATCH("Above RHWM Not Served with LS "&amp;$BS$1,TOCA_current!$A$2:$AI$2,0),FALSE)*$BS$2</f>
        <v>0</v>
      </c>
      <c r="DY100" s="419">
        <f t="shared" si="32"/>
        <v>-315.32400165546278</v>
      </c>
      <c r="DZ100" s="419">
        <f>(VLOOKUP($A100,TOCA_current!$A$2:$AI$137,MATCH("RHWM 2022",TOCA_current!$A$2:$AI$2,0),FALSE)*$BS$2) - $DV100</f>
        <v>297.84000000001106</v>
      </c>
      <c r="EA100" s="419">
        <f t="shared" si="33"/>
        <v>0</v>
      </c>
      <c r="EB100" s="419">
        <f t="shared" si="34"/>
        <v>315.32400165546278</v>
      </c>
      <c r="EC100" s="419">
        <f t="shared" si="35"/>
        <v>0</v>
      </c>
      <c r="ED100" s="419">
        <f t="shared" si="36"/>
        <v>315.32400165546278</v>
      </c>
    </row>
    <row r="101" spans="1:134">
      <c r="A101" s="135">
        <v>10306</v>
      </c>
      <c r="B101" s="136" t="s">
        <v>102</v>
      </c>
      <c r="C101" s="244">
        <f>VLOOKUP(A101, TOCA_current!$A$3:$D$137, 4, FALSE)</f>
        <v>0</v>
      </c>
      <c r="D101" s="203">
        <v>1</v>
      </c>
      <c r="E101" s="119">
        <f>VLOOKUP($A101,TOCA_previous!$A$2:$AI$137,MATCH(E$4,TOCA_previous!$A$2:$AI$2,0),FALSE)</f>
        <v>0</v>
      </c>
      <c r="F101" s="120">
        <f>VLOOKUP($A101,TOCA_previous!$A$2:$AI$137,MATCH(F$4,TOCA_previous!$A$2:$AI$2,0),FALSE)</f>
        <v>0</v>
      </c>
      <c r="G101" s="120">
        <f t="shared" si="24"/>
        <v>0</v>
      </c>
      <c r="H101" s="120">
        <f>VLOOKUP($A101,TOCA_previous!$A$2:$AI$137,MATCH(H$4,TOCA_previous!$A$2:$AI$2,0),FALSE)</f>
        <v>0</v>
      </c>
      <c r="I101" s="120">
        <f t="shared" si="25"/>
        <v>0</v>
      </c>
      <c r="J101" s="120">
        <f t="shared" si="26"/>
        <v>0</v>
      </c>
      <c r="K101" s="191">
        <f>VLOOKUP(A101, IRD!$A$5:$C$139, 3, FALSE)</f>
        <v>0</v>
      </c>
      <c r="L101" s="192">
        <f t="array" ref="L101">IF($G101=0, INDEX(LS_previous!$D$4:$AY$138, MATCH('Staging Table'!$A101, LS_previous!$B$4:$B$138, 0), MATCH(L$4&amp;L$5, LS_previous!$D$2:$AY$2&amp;LS_previous!$D$3:$AY$3, 0)),SUM(VLOOKUP($A101, LS_previous!$B$4:$AY$138, LS_previous!D$149, FALSE), VLOOKUP('Staging Table'!$A101, LS_previous!$B$4:$AY$138,LS_previous!AB$149, FALSE))/2)</f>
        <v>0</v>
      </c>
      <c r="M101" s="192">
        <f t="array" ref="M101">IF($G101=0, INDEX(LS_previous!$D$4:$AY$138, MATCH('Staging Table'!$A101, LS_previous!$B$4:$B$138, 0), MATCH(M$4&amp;M$5, LS_previous!$D$2:$AY$2&amp;LS_previous!$D$3:$AY$3, 0)),SUM(VLOOKUP($A101, LS_previous!$B$4:$AY$138, LS_previous!E$149, FALSE), VLOOKUP('Staging Table'!$A101, LS_previous!$B$4:$AY$138,LS_previous!AC$149, FALSE))/2)</f>
        <v>0</v>
      </c>
      <c r="N101" s="192">
        <f t="array" ref="N101">IF($G101=0, INDEX(LS_previous!$D$4:$AY$138, MATCH('Staging Table'!$A101, LS_previous!$B$4:$B$138, 0), MATCH(N$4&amp;N$5, LS_previous!$D$2:$AY$2&amp;LS_previous!$D$3:$AY$3, 0)),SUM(VLOOKUP($A101, LS_previous!$B$4:$AY$138, LS_previous!F$149, FALSE), VLOOKUP('Staging Table'!$A101, LS_previous!$B$4:$AY$138,LS_previous!AD$149, FALSE))/2)</f>
        <v>0</v>
      </c>
      <c r="O101" s="192">
        <f t="array" ref="O101">IF($G101=0, INDEX(LS_previous!$D$4:$AY$138, MATCH('Staging Table'!$A101, LS_previous!$B$4:$B$138, 0), MATCH(O$4&amp;O$5, LS_previous!$D$2:$AY$2&amp;LS_previous!$D$3:$AY$3, 0)),SUM(VLOOKUP($A101, LS_previous!$B$4:$AY$138, LS_previous!G$149, FALSE), VLOOKUP('Staging Table'!$A101, LS_previous!$B$4:$AY$138,LS_previous!AE$149, FALSE))/2)</f>
        <v>0</v>
      </c>
      <c r="P101" s="192">
        <f t="array" ref="P101">IF($G101=0, INDEX(LS_previous!$D$4:$AY$138, MATCH('Staging Table'!$A101, LS_previous!$B$4:$B$138, 0), MATCH(P$4&amp;P$5, LS_previous!$D$2:$AY$2&amp;LS_previous!$D$3:$AY$3, 0)),SUM(VLOOKUP($A101, LS_previous!$B$4:$AY$138, LS_previous!H$149, FALSE), VLOOKUP('Staging Table'!$A101, LS_previous!$B$4:$AY$138,LS_previous!AF$149, FALSE))/2)</f>
        <v>0</v>
      </c>
      <c r="Q101" s="192">
        <f t="array" ref="Q101">IF($G101=0, INDEX(LS_previous!$D$4:$AY$138, MATCH('Staging Table'!$A101, LS_previous!$B$4:$B$138, 0), MATCH(Q$4&amp;Q$5, LS_previous!$D$2:$AY$2&amp;LS_previous!$D$3:$AY$3, 0)),SUM(VLOOKUP($A101, LS_previous!$B$4:$AY$138, LS_previous!I$149, FALSE), VLOOKUP('Staging Table'!$A101, LS_previous!$B$4:$AY$138,LS_previous!AG$149, FALSE))/2)</f>
        <v>0</v>
      </c>
      <c r="R101" s="192">
        <f t="array" ref="R101">IF($G101=0, INDEX(LS_previous!$D$4:$AY$138, MATCH('Staging Table'!$A101, LS_previous!$B$4:$B$138, 0), MATCH(R$4&amp;R$5, LS_previous!$D$2:$AY$2&amp;LS_previous!$D$3:$AY$3, 0)),SUM(VLOOKUP($A101, LS_previous!$B$4:$AY$138, LS_previous!J$149, FALSE), VLOOKUP('Staging Table'!$A101, LS_previous!$B$4:$AY$138,LS_previous!AH$149, FALSE))/2)</f>
        <v>0</v>
      </c>
      <c r="S101" s="192">
        <f t="array" ref="S101">IF($G101=0, INDEX(LS_previous!$D$4:$AY$138, MATCH('Staging Table'!$A101, LS_previous!$B$4:$B$138, 0), MATCH(S$4&amp;S$5, LS_previous!$D$2:$AY$2&amp;LS_previous!$D$3:$AY$3, 0)),SUM(VLOOKUP($A101, LS_previous!$B$4:$AY$138, LS_previous!K$149, FALSE), VLOOKUP('Staging Table'!$A101, LS_previous!$B$4:$AY$138,LS_previous!AI$149, FALSE))/2)</f>
        <v>0</v>
      </c>
      <c r="T101" s="192">
        <f t="array" ref="T101">IF($G101=0, INDEX(LS_previous!$D$4:$AY$138, MATCH('Staging Table'!$A101, LS_previous!$B$4:$B$138, 0), MATCH(T$4&amp;T$5, LS_previous!$D$2:$AY$2&amp;LS_previous!$D$3:$AY$3, 0)),SUM(VLOOKUP($A101, LS_previous!$B$4:$AY$138, LS_previous!L$149, FALSE), VLOOKUP('Staging Table'!$A101, LS_previous!$B$4:$AY$138,LS_previous!AJ$149, FALSE))/2)</f>
        <v>0</v>
      </c>
      <c r="U101" s="192">
        <f t="array" ref="U101">IF($G101=0, INDEX(LS_previous!$D$4:$AY$138, MATCH('Staging Table'!$A101, LS_previous!$B$4:$B$138, 0), MATCH(U$4&amp;U$5, LS_previous!$D$2:$AY$2&amp;LS_previous!$D$3:$AY$3, 0)),SUM(VLOOKUP($A101, LS_previous!$B$4:$AY$138, LS_previous!M$149, FALSE), VLOOKUP('Staging Table'!$A101, LS_previous!$B$4:$AY$138,LS_previous!AK$149, FALSE))/2)</f>
        <v>0</v>
      </c>
      <c r="V101" s="192">
        <f t="array" ref="V101">IF($G101=0, INDEX(LS_previous!$D$4:$AY$138, MATCH('Staging Table'!$A101, LS_previous!$B$4:$B$138, 0), MATCH(V$4&amp;V$5, LS_previous!$D$2:$AY$2&amp;LS_previous!$D$3:$AY$3, 0)),SUM(VLOOKUP($A101, LS_previous!$B$4:$AY$138, LS_previous!N$149, FALSE), VLOOKUP('Staging Table'!$A101, LS_previous!$B$4:$AY$138,LS_previous!AL$149, FALSE))/2)</f>
        <v>0</v>
      </c>
      <c r="W101" s="192">
        <f t="array" ref="W101">IF($G101=0, INDEX(LS_previous!$D$4:$AY$138, MATCH('Staging Table'!$A101, LS_previous!$B$4:$B$138, 0), MATCH(W$4&amp;W$5, LS_previous!$D$2:$AY$2&amp;LS_previous!$D$3:$AY$3, 0)),SUM(VLOOKUP($A101, LS_previous!$B$4:$AY$138, LS_previous!O$149, FALSE), VLOOKUP('Staging Table'!$A101, LS_previous!$B$4:$AY$138,LS_previous!AM$149, FALSE))/2)</f>
        <v>0</v>
      </c>
      <c r="X101" s="192">
        <f t="array" ref="X101">IF($G101=0, INDEX(LS_previous!$D$4:$AY$138, MATCH('Staging Table'!$A101, LS_previous!$B$4:$B$138, 0), MATCH(X$4&amp;X$5, LS_previous!$D$2:$AY$2&amp;LS_previous!$D$3:$AY$3, 0)),SUM(VLOOKUP($A101, LS_previous!$B$4:$AY$138, LS_previous!P$149, FALSE), VLOOKUP('Staging Table'!$A101, LS_previous!$B$4:$AY$138,LS_previous!AN$149, FALSE))/2)</f>
        <v>0</v>
      </c>
      <c r="Y101" s="192">
        <f t="array" ref="Y101">IF($G101=0, INDEX(LS_previous!$D$4:$AY$138, MATCH('Staging Table'!$A101, LS_previous!$B$4:$B$138, 0), MATCH(Y$4&amp;Y$5, LS_previous!$D$2:$AY$2&amp;LS_previous!$D$3:$AY$3, 0)),SUM(VLOOKUP($A101, LS_previous!$B$4:$AY$138, LS_previous!Q$149, FALSE), VLOOKUP('Staging Table'!$A101, LS_previous!$B$4:$AY$138,LS_previous!AO$149, FALSE))/2)</f>
        <v>0</v>
      </c>
      <c r="Z101" s="192">
        <f t="array" ref="Z101">IF($G101=0, INDEX(LS_previous!$D$4:$AY$138, MATCH('Staging Table'!$A101, LS_previous!$B$4:$B$138, 0), MATCH(Z$4&amp;Z$5, LS_previous!$D$2:$AY$2&amp;LS_previous!$D$3:$AY$3, 0)),SUM(VLOOKUP($A101, LS_previous!$B$4:$AY$138, LS_previous!R$149, FALSE), VLOOKUP('Staging Table'!$A101, LS_previous!$B$4:$AY$138,LS_previous!AP$149, FALSE))/2)</f>
        <v>0</v>
      </c>
      <c r="AA101" s="192">
        <f t="array" ref="AA101">IF($G101=0, INDEX(LS_previous!$D$4:$AY$138, MATCH('Staging Table'!$A101, LS_previous!$B$4:$B$138, 0), MATCH(AA$4&amp;AA$5, LS_previous!$D$2:$AY$2&amp;LS_previous!$D$3:$AY$3, 0)),SUM(VLOOKUP($A101, LS_previous!$B$4:$AY$138, LS_previous!S$149, FALSE), VLOOKUP('Staging Table'!$A101, LS_previous!$B$4:$AY$138,LS_previous!AQ$149, FALSE))/2)</f>
        <v>0</v>
      </c>
      <c r="AB101" s="192">
        <f t="array" ref="AB101">IF($G101=0, INDEX(LS_previous!$D$4:$AY$138, MATCH('Staging Table'!$A101, LS_previous!$B$4:$B$138, 0), MATCH(AB$4&amp;AB$5, LS_previous!$D$2:$AY$2&amp;LS_previous!$D$3:$AY$3, 0)),SUM(VLOOKUP($A101, LS_previous!$B$4:$AY$138, LS_previous!T$149, FALSE), VLOOKUP('Staging Table'!$A101, LS_previous!$B$4:$AY$138,LS_previous!AR$149, FALSE))/2)</f>
        <v>0</v>
      </c>
      <c r="AC101" s="192">
        <f t="array" ref="AC101">IF($G101=0, INDEX(LS_previous!$D$4:$AY$138, MATCH('Staging Table'!$A101, LS_previous!$B$4:$B$138, 0), MATCH(AC$4&amp;AC$5, LS_previous!$D$2:$AY$2&amp;LS_previous!$D$3:$AY$3, 0)),SUM(VLOOKUP($A101, LS_previous!$B$4:$AY$138, LS_previous!U$149, FALSE), VLOOKUP('Staging Table'!$A101, LS_previous!$B$4:$AY$138,LS_previous!AS$149, FALSE))/2)</f>
        <v>0</v>
      </c>
      <c r="AD101" s="192">
        <f t="array" ref="AD101">IF($G101=0, INDEX(LS_previous!$D$4:$AY$138, MATCH('Staging Table'!$A101, LS_previous!$B$4:$B$138, 0), MATCH(AD$4&amp;AD$5, LS_previous!$D$2:$AY$2&amp;LS_previous!$D$3:$AY$3, 0)),SUM(VLOOKUP($A101, LS_previous!$B$4:$AY$138, LS_previous!V$149, FALSE), VLOOKUP('Staging Table'!$A101, LS_previous!$B$4:$AY$138,LS_previous!AT$149, FALSE))/2)</f>
        <v>0</v>
      </c>
      <c r="AE101" s="192">
        <f t="array" ref="AE101">IF($G101=0, INDEX(LS_previous!$D$4:$AY$138, MATCH('Staging Table'!$A101, LS_previous!$B$4:$B$138, 0), MATCH(AE$4&amp;AE$5, LS_previous!$D$2:$AY$2&amp;LS_previous!$D$3:$AY$3, 0)),SUM(VLOOKUP($A101, LS_previous!$B$4:$AY$138, LS_previous!W$149, FALSE), VLOOKUP('Staging Table'!$A101, LS_previous!$B$4:$AY$138,LS_previous!AU$149, FALSE))/2)</f>
        <v>0</v>
      </c>
      <c r="AF101" s="192">
        <f t="array" ref="AF101">IF($G101=0, INDEX(LS_previous!$D$4:$AY$138, MATCH('Staging Table'!$A101, LS_previous!$B$4:$B$138, 0), MATCH(AF$4&amp;AF$5, LS_previous!$D$2:$AY$2&amp;LS_previous!$D$3:$AY$3, 0)),SUM(VLOOKUP($A101, LS_previous!$B$4:$AY$138, LS_previous!X$149, FALSE), VLOOKUP('Staging Table'!$A101, LS_previous!$B$4:$AY$138,LS_previous!AV$149, FALSE))/2)</f>
        <v>0</v>
      </c>
      <c r="AG101" s="192">
        <f t="array" ref="AG101">IF($G101=0, INDEX(LS_previous!$D$4:$AY$138, MATCH('Staging Table'!$A101, LS_previous!$B$4:$B$138, 0), MATCH(AG$4&amp;AG$5, LS_previous!$D$2:$AY$2&amp;LS_previous!$D$3:$AY$3, 0)),SUM(VLOOKUP($A101, LS_previous!$B$4:$AY$138, LS_previous!Y$149, FALSE), VLOOKUP('Staging Table'!$A101, LS_previous!$B$4:$AY$138,LS_previous!AW$149, FALSE))/2)</f>
        <v>0</v>
      </c>
      <c r="AH101" s="192">
        <f t="array" ref="AH101">IF($G101=0, INDEX(LS_previous!$D$4:$AY$138, MATCH('Staging Table'!$A101, LS_previous!$B$4:$B$138, 0), MATCH(AH$4&amp;AH$5, LS_previous!$D$2:$AY$2&amp;LS_previous!$D$3:$AY$3, 0)),SUM(VLOOKUP($A101, LS_previous!$B$4:$AY$138, LS_previous!Z$149, FALSE), VLOOKUP('Staging Table'!$A101, LS_previous!$B$4:$AY$138,LS_previous!AX$149, FALSE))/2)</f>
        <v>0</v>
      </c>
      <c r="AI101" s="192">
        <f t="array" ref="AI101">IF($G101=0, INDEX(LS_previous!$D$4:$AY$138, MATCH('Staging Table'!$A101, LS_previous!$B$4:$B$138, 0), MATCH(AI$4&amp;AI$5, LS_previous!$D$2:$AY$2&amp;LS_previous!$D$3:$AY$3, 0)),SUM(VLOOKUP($A101, LS_previous!$B$4:$AY$138, LS_previous!AA$149, FALSE), VLOOKUP('Staging Table'!$A101, LS_previous!$B$4:$AY$138,LS_previous!AY$149, FALSE))/2)</f>
        <v>0</v>
      </c>
      <c r="AJ101" s="314">
        <f t="array" ref="AJ101">INDEX(Demand_previous!$D$4:$AY$138, MATCH('Staging Table'!$A101, Demand_previous!$B$4:$B$138, 0), MATCH(AJ$4&amp;AJ$5,Demand_previous!$D$2:$AY$2&amp;Demand_previous!$D$3:$AY$3, 0))/1000</f>
        <v>0</v>
      </c>
      <c r="AK101" s="314">
        <f t="array" ref="AK101">INDEX(Demand_previous!$D$4:$AY$138, MATCH('Staging Table'!$A101, Demand_previous!$B$4:$B$138, 0), MATCH(AK$4&amp;AK$5,Demand_previous!$D$2:$AY$2&amp;Demand_previous!$D$3:$AY$3, 0))/1000</f>
        <v>0</v>
      </c>
      <c r="AL101" s="314">
        <f t="array" ref="AL101">INDEX(Demand_previous!$D$4:$AY$138, MATCH('Staging Table'!$A101, Demand_previous!$B$4:$B$138, 0), MATCH(AL$4&amp;AL$5,Demand_previous!$D$2:$AY$2&amp;Demand_previous!$D$3:$AY$3, 0))/1000</f>
        <v>0</v>
      </c>
      <c r="AM101" s="314">
        <f t="array" ref="AM101">INDEX(Demand_previous!$D$4:$AY$138, MATCH('Staging Table'!$A101, Demand_previous!$B$4:$B$138, 0), MATCH(AM$4&amp;AM$5,Demand_previous!$D$2:$AY$2&amp;Demand_previous!$D$3:$AY$3, 0))/1000</f>
        <v>0</v>
      </c>
      <c r="AN101" s="314">
        <f t="array" ref="AN101">INDEX(Demand_previous!$D$4:$AY$138, MATCH('Staging Table'!$A101, Demand_previous!$B$4:$B$138, 0), MATCH(AN$4&amp;AN$5,Demand_previous!$D$2:$AY$2&amp;Demand_previous!$D$3:$AY$3, 0))/1000</f>
        <v>0</v>
      </c>
      <c r="AO101" s="314">
        <f t="array" ref="AO101">INDEX(Demand_previous!$D$4:$AY$138, MATCH('Staging Table'!$A101, Demand_previous!$B$4:$B$138, 0), MATCH(AO$4&amp;AO$5,Demand_previous!$D$2:$AY$2&amp;Demand_previous!$D$3:$AY$3, 0))/1000</f>
        <v>0</v>
      </c>
      <c r="AP101" s="314">
        <f t="array" ref="AP101">INDEX(Demand_previous!$D$4:$AY$138, MATCH('Staging Table'!$A101, Demand_previous!$B$4:$B$138, 0), MATCH(AP$4&amp;AP$5,Demand_previous!$D$2:$AY$2&amp;Demand_previous!$D$3:$AY$3, 0))/1000</f>
        <v>0</v>
      </c>
      <c r="AQ101" s="314">
        <f t="array" ref="AQ101">INDEX(Demand_previous!$D$4:$AY$138, MATCH('Staging Table'!$A101, Demand_previous!$B$4:$B$138, 0), MATCH(AQ$4&amp;AQ$5,Demand_previous!$D$2:$AY$2&amp;Demand_previous!$D$3:$AY$3, 0))/1000</f>
        <v>0</v>
      </c>
      <c r="AR101" s="314">
        <f t="array" ref="AR101">INDEX(Demand_previous!$D$4:$AY$138, MATCH('Staging Table'!$A101, Demand_previous!$B$4:$B$138, 0), MATCH(AR$4&amp;AR$5,Demand_previous!$D$2:$AY$2&amp;Demand_previous!$D$3:$AY$3, 0))/1000</f>
        <v>0</v>
      </c>
      <c r="AS101" s="314">
        <f t="array" ref="AS101">INDEX(Demand_previous!$D$4:$AY$138, MATCH('Staging Table'!$A101, Demand_previous!$B$4:$B$138, 0), MATCH(AS$4&amp;AS$5,Demand_previous!$D$2:$AY$2&amp;Demand_previous!$D$3:$AY$3, 0))/1000</f>
        <v>0</v>
      </c>
      <c r="AT101" s="314">
        <f t="array" ref="AT101">INDEX(Demand_previous!$D$4:$AY$138, MATCH('Staging Table'!$A101, Demand_previous!$B$4:$B$138, 0), MATCH(AT$4&amp;AT$5,Demand_previous!$D$2:$AY$2&amp;Demand_previous!$D$3:$AY$3, 0))/1000</f>
        <v>0</v>
      </c>
      <c r="AU101" s="314">
        <f t="array" ref="AU101">INDEX(Demand_previous!$D$4:$AY$138, MATCH('Staging Table'!$A101, Demand_previous!$B$4:$B$138, 0), MATCH(AU$4&amp;AU$5,Demand_previous!$D$2:$AY$2&amp;Demand_previous!$D$3:$AY$3, 0))/1000</f>
        <v>0</v>
      </c>
      <c r="AV101" s="192">
        <f>$F101*(VLOOKUP(AV$4, Rates_previous!$G$6:$Q$29, 10, FALSE)+VLOOKUP(AV$4, Rates_previous!$G$6:$Q$29, 11, FALSE))</f>
        <v>0</v>
      </c>
      <c r="AW101" s="192">
        <f>$F101*(VLOOKUP(AW$4, Rates_previous!$G$6:$Q$29, 10, FALSE)+VLOOKUP(AW$4, Rates_previous!$G$6:$Q$29, 11, FALSE))</f>
        <v>0</v>
      </c>
      <c r="AX101" s="192">
        <f>$F101*(VLOOKUP(AX$4, Rates_previous!$G$6:$Q$29, 10, FALSE)+VLOOKUP(AX$4, Rates_previous!$G$6:$Q$29, 11, FALSE))</f>
        <v>0</v>
      </c>
      <c r="AY101" s="192">
        <f>$F101*(VLOOKUP(AY$4, Rates_previous!$G$6:$Q$29, 10, FALSE)+VLOOKUP(AY$4, Rates_previous!$G$6:$Q$29, 11, FALSE))</f>
        <v>0</v>
      </c>
      <c r="AZ101" s="192">
        <f>$F101*(VLOOKUP(AZ$4, Rates_previous!$G$6:$Q$29, 10, FALSE)+VLOOKUP(AZ$4, Rates_previous!$G$6:$Q$29, 11, FALSE))</f>
        <v>0</v>
      </c>
      <c r="BA101" s="192">
        <f>$F101*(VLOOKUP(BA$4, Rates_previous!$G$6:$Q$29, 10, FALSE)+VLOOKUP(BA$4, Rates_previous!$G$6:$Q$29, 11, FALSE))</f>
        <v>0</v>
      </c>
      <c r="BB101" s="192">
        <f>$F101*(VLOOKUP(BB$4, Rates_previous!$G$6:$Q$29, 10, FALSE)+VLOOKUP(BB$4, Rates_previous!$G$6:$Q$29, 11, FALSE))</f>
        <v>0</v>
      </c>
      <c r="BC101" s="192">
        <f>$F101*(VLOOKUP(BC$4, Rates_previous!$G$6:$Q$29, 10, FALSE)+VLOOKUP(BC$4, Rates_previous!$G$6:$Q$29, 11, FALSE))</f>
        <v>0</v>
      </c>
      <c r="BD101" s="192">
        <f>$F101*(VLOOKUP(BD$4, Rates_previous!$G$6:$Q$29, 10, FALSE)+VLOOKUP(BD$4, Rates_previous!$G$6:$Q$29, 11, FALSE))</f>
        <v>0</v>
      </c>
      <c r="BE101" s="192">
        <f>$F101*(VLOOKUP(BE$4, Rates_previous!$G$6:$Q$29, 10, FALSE)+VLOOKUP(BE$4, Rates_previous!$G$6:$Q$29, 11, FALSE))</f>
        <v>0</v>
      </c>
      <c r="BF101" s="192">
        <f>$F101*(VLOOKUP(BF$4, Rates_previous!$G$6:$Q$29, 10, FALSE)+VLOOKUP(BF$4, Rates_previous!$G$6:$Q$29, 11, FALSE))</f>
        <v>0</v>
      </c>
      <c r="BG101" s="192">
        <f>$F101*(VLOOKUP(BG$4, Rates_previous!$G$6:$Q$29, 10, FALSE)+VLOOKUP(BG$4, Rates_previous!$G$6:$Q$29, 11, FALSE))</f>
        <v>0</v>
      </c>
      <c r="BH101" s="314">
        <f>IF($D101=0,IF(C101=0, MAX(BJ101 - (VLOOKUP($A101,TOCA_previous!$A$2:$AI$137,MATCH("RHWM 2020",TOCA_previous!$A$2:$AI$2,0),FALSE)*$F$2*TOCA_previous!C98),0),0), 0)</f>
        <v>0</v>
      </c>
      <c r="BI101" s="204">
        <f>MIN(VLOOKUP($A101,TOCA_previous!$A$2:$AI$137,MATCH("TRL - NLSL - Existing Resource "&amp;$F$1,TOCA_previous!$A$2:$AI$2,0),FALSE)*$F$2,(VLOOKUP($A101,TOCA_previous!$A$2:$AI$137,MATCH("RHWM 2020",TOCA_previous!$A$2:$AI$2,0),FALSE)*$F$2))</f>
        <v>0</v>
      </c>
      <c r="BJ101" s="418">
        <f>SUM(L101:AI101)+(F101*RT1SC!$C$3*$F$2)</f>
        <v>0</v>
      </c>
      <c r="BK101" s="417">
        <f>VLOOKUP($A101,TOCA_previous!$A$2:$AI$137,MATCH("Above RHWM Not Served with LS "&amp;$F$1,TOCA_previous!$A$2:$AI$2,0),FALSE)*$F$2</f>
        <v>0</v>
      </c>
      <c r="BL101" s="418">
        <f t="shared" si="27"/>
        <v>0</v>
      </c>
      <c r="BM101" s="417">
        <f>(VLOOKUP($A101,TOCA_previous!$A$2:$AI$137,MATCH("RHWM 2020",TOCA_previous!$A$2:$AI$2,0),FALSE)*$F$2) - $BI101</f>
        <v>225151.48800000001</v>
      </c>
      <c r="BN101" s="418">
        <f t="shared" si="28"/>
        <v>0</v>
      </c>
      <c r="BO101" s="417">
        <f t="shared" si="29"/>
        <v>0</v>
      </c>
      <c r="BP101" s="418">
        <f t="shared" si="30"/>
        <v>0</v>
      </c>
      <c r="BQ101" s="417">
        <f t="shared" si="21"/>
        <v>0</v>
      </c>
      <c r="BR101" s="120">
        <f>VLOOKUP($A101,TOCA_current!$A$2:$AI$137,MATCH(BR$4,TOCA_current!$A$2:$AI$2,0),FALSE)</f>
        <v>0</v>
      </c>
      <c r="BS101" s="120">
        <f>VLOOKUP($A101,TOCA_current!$A$2:$AI$137,MATCH(BS$4,TOCA_current!$A$2:$AI$2,0),FALSE)</f>
        <v>0</v>
      </c>
      <c r="BT101" s="201">
        <f t="shared" si="31"/>
        <v>0</v>
      </c>
      <c r="BU101" s="120">
        <f>VLOOKUP($A101,TOCA_current!A97:BG232,MATCH(BU$4,TOCA_current!$A$2:$BG$2,0),FALSE)</f>
        <v>0</v>
      </c>
      <c r="BV101" s="120">
        <f t="shared" si="22"/>
        <v>0</v>
      </c>
      <c r="BW101" s="120">
        <f t="shared" si="23"/>
        <v>0</v>
      </c>
      <c r="BX101" s="191">
        <f>VLOOKUP($A101,IRD!$A$4:$G$139, 7, FALSE)</f>
        <v>0</v>
      </c>
      <c r="BY101" s="192">
        <f t="array" ref="BY101">IF($BT101=0, INDEX(LS_current!$D$4:$AY$138, MATCH('Staging Table'!$A101, LS_current!$B$4:$B$138, 0), MATCH(BY$4&amp;BY$5, LS_current!$D$2:$AY$2&amp;LS_current!$D$3:$AY$3, 0)),SUM(VLOOKUP($A101, LS_current!$B$4:$AY$138, LS_current!D$148, FALSE), VLOOKUP($A101, LS_current!$B$4:$AY$138,LS_current!AB$148, FALSE))/2)</f>
        <v>0</v>
      </c>
      <c r="BZ101" s="192">
        <f t="array" ref="BZ101">IF($BT101=0, INDEX(LS_current!$D$4:$AY$138, MATCH('Staging Table'!$A101, LS_current!$B$4:$B$138, 0), MATCH(BZ$4&amp;BZ$5, LS_current!$D$2:$AY$2&amp;LS_current!$D$3:$AY$3, 0)),SUM(VLOOKUP($A101, LS_current!$B$4:$AY$138, LS_current!E$148, FALSE), VLOOKUP($A101, LS_current!$B$4:$AY$138,LS_current!AC$148, FALSE))/2)</f>
        <v>0</v>
      </c>
      <c r="CA101" s="192">
        <f t="array" ref="CA101">IF($BT101=0, INDEX(LS_current!$D$4:$AY$138, MATCH('Staging Table'!$A101, LS_current!$B$4:$B$138, 0), MATCH(CA$4&amp;CA$5, LS_current!$D$2:$AY$2&amp;LS_current!$D$3:$AY$3, 0)),SUM(VLOOKUP($A101, LS_current!$B$4:$AY$138, LS_current!F$148, FALSE), VLOOKUP($A101, LS_current!$B$4:$AY$138,LS_current!AD$148, FALSE))/2)</f>
        <v>0</v>
      </c>
      <c r="CB101" s="192">
        <f t="array" ref="CB101">IF($BT101=0, INDEX(LS_current!$D$4:$AY$138, MATCH('Staging Table'!$A101, LS_current!$B$4:$B$138, 0), MATCH(CB$4&amp;CB$5, LS_current!$D$2:$AY$2&amp;LS_current!$D$3:$AY$3, 0)),SUM(VLOOKUP($A101, LS_current!$B$4:$AY$138, LS_current!G$148, FALSE), VLOOKUP($A101, LS_current!$B$4:$AY$138,LS_current!AE$148, FALSE))/2)</f>
        <v>0</v>
      </c>
      <c r="CC101" s="192">
        <f t="array" ref="CC101">IF($BT101=0, INDEX(LS_current!$D$4:$AY$138, MATCH('Staging Table'!$A101, LS_current!$B$4:$B$138, 0), MATCH(CC$4&amp;CC$5, LS_current!$D$2:$AY$2&amp;LS_current!$D$3:$AY$3, 0)),SUM(VLOOKUP($A101, LS_current!$B$4:$AY$138, LS_current!H$148, FALSE), VLOOKUP($A101, LS_current!$B$4:$AY$138,LS_current!AF$148, FALSE))/2)</f>
        <v>0</v>
      </c>
      <c r="CD101" s="192">
        <f t="array" ref="CD101">IF($BT101=0, INDEX(LS_current!$D$4:$AY$138, MATCH('Staging Table'!$A101, LS_current!$B$4:$B$138, 0), MATCH(CD$4&amp;CD$5, LS_current!$D$2:$AY$2&amp;LS_current!$D$3:$AY$3, 0)),SUM(VLOOKUP($A101, LS_current!$B$4:$AY$138, LS_current!I$148, FALSE), VLOOKUP($A101, LS_current!$B$4:$AY$138,LS_current!AG$148, FALSE))/2)</f>
        <v>0</v>
      </c>
      <c r="CE101" s="192">
        <f t="array" ref="CE101">IF($BT101=0, INDEX(LS_current!$D$4:$AY$138, MATCH('Staging Table'!$A101, LS_current!$B$4:$B$138, 0), MATCH(CE$4&amp;CE$5, LS_current!$D$2:$AY$2&amp;LS_current!$D$3:$AY$3, 0)),SUM(VLOOKUP($A101, LS_current!$B$4:$AY$138, LS_current!J$148, FALSE), VLOOKUP($A101, LS_current!$B$4:$AY$138,LS_current!AH$148, FALSE))/2)</f>
        <v>0</v>
      </c>
      <c r="CF101" s="192">
        <f t="array" ref="CF101">IF($BT101=0, INDEX(LS_current!$D$4:$AY$138, MATCH('Staging Table'!$A101, LS_current!$B$4:$B$138, 0), MATCH(CF$4&amp;CF$5, LS_current!$D$2:$AY$2&amp;LS_current!$D$3:$AY$3, 0)),SUM(VLOOKUP($A101, LS_current!$B$4:$AY$138, LS_current!K$148, FALSE), VLOOKUP($A101, LS_current!$B$4:$AY$138,LS_current!AI$148, FALSE))/2)</f>
        <v>0</v>
      </c>
      <c r="CG101" s="192">
        <f t="array" ref="CG101">IF($BT101=0, INDEX(LS_current!$D$4:$AY$138, MATCH('Staging Table'!$A101, LS_current!$B$4:$B$138, 0), MATCH(CG$4&amp;CG$5, LS_current!$D$2:$AY$2&amp;LS_current!$D$3:$AY$3, 0)),SUM(VLOOKUP($A101, LS_current!$B$4:$AY$138, LS_current!L$148, FALSE), VLOOKUP($A101, LS_current!$B$4:$AY$138,LS_current!AJ$148, FALSE))/2)</f>
        <v>0</v>
      </c>
      <c r="CH101" s="192">
        <f t="array" ref="CH101">IF($BT101=0, INDEX(LS_current!$D$4:$AY$138, MATCH('Staging Table'!$A101, LS_current!$B$4:$B$138, 0), MATCH(CH$4&amp;CH$5, LS_current!$D$2:$AY$2&amp;LS_current!$D$3:$AY$3, 0)),SUM(VLOOKUP($A101, LS_current!$B$4:$AY$138, LS_current!M$148, FALSE), VLOOKUP($A101, LS_current!$B$4:$AY$138,LS_current!AK$148, FALSE))/2)</f>
        <v>0</v>
      </c>
      <c r="CI101" s="192">
        <f t="array" ref="CI101">IF($BT101=0, INDEX(LS_current!$D$4:$AY$138, MATCH('Staging Table'!$A101, LS_current!$B$4:$B$138, 0), MATCH(CI$4&amp;CI$5, LS_current!$D$2:$AY$2&amp;LS_current!$D$3:$AY$3, 0)),SUM(VLOOKUP($A101, LS_current!$B$4:$AY$138, LS_current!N$148, FALSE), VLOOKUP($A101, LS_current!$B$4:$AY$138,LS_current!AL$148, FALSE))/2)</f>
        <v>0</v>
      </c>
      <c r="CJ101" s="192">
        <f t="array" ref="CJ101">IF($BT101=0, INDEX(LS_current!$D$4:$AY$138, MATCH('Staging Table'!$A101, LS_current!$B$4:$B$138, 0), MATCH(CJ$4&amp;CJ$5, LS_current!$D$2:$AY$2&amp;LS_current!$D$3:$AY$3, 0)),SUM(VLOOKUP($A101, LS_current!$B$4:$AY$138, LS_current!O$148, FALSE), VLOOKUP($A101, LS_current!$B$4:$AY$138,LS_current!AM$148, FALSE))/2)</f>
        <v>0</v>
      </c>
      <c r="CK101" s="192">
        <f t="array" ref="CK101">IF($BT101=0, INDEX(LS_current!$D$4:$AY$138, MATCH('Staging Table'!$A101, LS_current!$B$4:$B$138, 0), MATCH(CK$4&amp;CK$5, LS_current!$D$2:$AY$2&amp;LS_current!$D$3:$AY$3, 0)),SUM(VLOOKUP($A101, LS_current!$B$4:$AY$138, LS_current!P$148, FALSE), VLOOKUP($A101, LS_current!$B$4:$AY$138,LS_current!AN$148, FALSE))/2)</f>
        <v>0</v>
      </c>
      <c r="CL101" s="192">
        <f t="array" ref="CL101">IF($BT101=0, INDEX(LS_current!$D$4:$AY$138, MATCH('Staging Table'!$A101, LS_current!$B$4:$B$138, 0), MATCH(CL$4&amp;CL$5, LS_current!$D$2:$AY$2&amp;LS_current!$D$3:$AY$3, 0)),SUM(VLOOKUP($A101, LS_current!$B$4:$AY$138, LS_current!Q$148, FALSE), VLOOKUP($A101, LS_current!$B$4:$AY$138,LS_current!AO$148, FALSE))/2)</f>
        <v>0</v>
      </c>
      <c r="CM101" s="192">
        <f t="array" ref="CM101">IF($BT101=0, INDEX(LS_current!$D$4:$AY$138, MATCH('Staging Table'!$A101, LS_current!$B$4:$B$138, 0), MATCH(CM$4&amp;CM$5, LS_current!$D$2:$AY$2&amp;LS_current!$D$3:$AY$3, 0)),SUM(VLOOKUP($A101, LS_current!$B$4:$AY$138, LS_current!R$148, FALSE), VLOOKUP($A101, LS_current!$B$4:$AY$138,LS_current!AP$148, FALSE))/2)</f>
        <v>0</v>
      </c>
      <c r="CN101" s="192">
        <f t="array" ref="CN101">IF($BT101=0, INDEX(LS_current!$D$4:$AY$138, MATCH('Staging Table'!$A101, LS_current!$B$4:$B$138, 0), MATCH(CN$4&amp;CN$5, LS_current!$D$2:$AY$2&amp;LS_current!$D$3:$AY$3, 0)),SUM(VLOOKUP($A101, LS_current!$B$4:$AY$138, LS_current!S$148, FALSE), VLOOKUP($A101, LS_current!$B$4:$AY$138,LS_current!AQ$148, FALSE))/2)</f>
        <v>0</v>
      </c>
      <c r="CO101" s="192">
        <f t="array" ref="CO101">IF($BT101=0, INDEX(LS_current!$D$4:$AY$138, MATCH('Staging Table'!$A101, LS_current!$B$4:$B$138, 0), MATCH(CO$4&amp;CO$5, LS_current!$D$2:$AY$2&amp;LS_current!$D$3:$AY$3, 0)),SUM(VLOOKUP($A101, LS_current!$B$4:$AY$138, LS_current!T$148, FALSE), VLOOKUP($A101, LS_current!$B$4:$AY$138,LS_current!AR$148, FALSE))/2)</f>
        <v>0</v>
      </c>
      <c r="CP101" s="192">
        <f t="array" ref="CP101">IF($BT101=0, INDEX(LS_current!$D$4:$AY$138, MATCH('Staging Table'!$A101, LS_current!$B$4:$B$138, 0), MATCH(CP$4&amp;CP$5, LS_current!$D$2:$AY$2&amp;LS_current!$D$3:$AY$3, 0)),SUM(VLOOKUP($A101, LS_current!$B$4:$AY$138, LS_current!U$148, FALSE), VLOOKUP($A101, LS_current!$B$4:$AY$138,LS_current!AS$148, FALSE))/2)</f>
        <v>0</v>
      </c>
      <c r="CQ101" s="192">
        <f t="array" ref="CQ101">IF($BT101=0, INDEX(LS_current!$D$4:$AY$138, MATCH('Staging Table'!$A101, LS_current!$B$4:$B$138, 0), MATCH(CQ$4&amp;CQ$5, LS_current!$D$2:$AY$2&amp;LS_current!$D$3:$AY$3, 0)),SUM(VLOOKUP($A101, LS_current!$B$4:$AY$138, LS_current!V$148, FALSE), VLOOKUP($A101, LS_current!$B$4:$AY$138,LS_current!AT$148, FALSE))/2)</f>
        <v>0</v>
      </c>
      <c r="CR101" s="192">
        <f t="array" ref="CR101">IF($BT101=0, INDEX(LS_current!$D$4:$AY$138, MATCH('Staging Table'!$A101, LS_current!$B$4:$B$138, 0), MATCH(CR$4&amp;CR$5, LS_current!$D$2:$AY$2&amp;LS_current!$D$3:$AY$3, 0)),SUM(VLOOKUP($A101, LS_current!$B$4:$AY$138, LS_current!W$148, FALSE), VLOOKUP($A101, LS_current!$B$4:$AY$138,LS_current!AU$148, FALSE))/2)</f>
        <v>0</v>
      </c>
      <c r="CS101" s="192">
        <f t="array" ref="CS101">IF($BT101=0, INDEX(LS_current!$D$4:$AY$138, MATCH('Staging Table'!$A101, LS_current!$B$4:$B$138, 0), MATCH(CS$4&amp;CS$5, LS_current!$D$2:$AY$2&amp;LS_current!$D$3:$AY$3, 0)),SUM(VLOOKUP($A101, LS_current!$B$4:$AY$138, LS_current!X$148, FALSE), VLOOKUP($A101, LS_current!$B$4:$AY$138,LS_current!AV$148, FALSE))/2)</f>
        <v>0</v>
      </c>
      <c r="CT101" s="192">
        <f t="array" ref="CT101">IF($BT101=0, INDEX(LS_current!$D$4:$AY$138, MATCH('Staging Table'!$A101, LS_current!$B$4:$B$138, 0), MATCH(CT$4&amp;CT$5, LS_current!$D$2:$AY$2&amp;LS_current!$D$3:$AY$3, 0)),SUM(VLOOKUP($A101, LS_current!$B$4:$AY$138, LS_current!Y$148, FALSE), VLOOKUP($A101, LS_current!$B$4:$AY$138,LS_current!AW$148, FALSE))/2)</f>
        <v>0</v>
      </c>
      <c r="CU101" s="192">
        <f t="array" ref="CU101">IF($BT101=0, INDEX(LS_current!$D$4:$AY$138, MATCH('Staging Table'!$A101, LS_current!$B$4:$B$138, 0), MATCH(CU$4&amp;CU$5, LS_current!$D$2:$AY$2&amp;LS_current!$D$3:$AY$3, 0)),SUM(VLOOKUP($A101, LS_current!$B$4:$AY$138, LS_current!Z$148, FALSE), VLOOKUP($A101, LS_current!$B$4:$AY$138,LS_current!AX$148, FALSE))/2)</f>
        <v>0</v>
      </c>
      <c r="CV101" s="192">
        <f t="array" ref="CV101">IF($BT101=0, INDEX(LS_current!$D$4:$AY$138, MATCH('Staging Table'!$A101, LS_current!$B$4:$B$138, 0), MATCH(CV$4&amp;CV$5, LS_current!$D$2:$AY$2&amp;LS_current!$D$3:$AY$3, 0)),SUM(VLOOKUP($A101, LS_current!$B$4:$AY$138, LS_current!AA$148, FALSE), VLOOKUP($A101, LS_current!$B$4:$AY$138,LS_current!AY$148, FALSE))/2)</f>
        <v>0</v>
      </c>
      <c r="CW101" s="194">
        <f t="array" ref="CW101">INDEX(Demand_current!$D$4:$AY$138, MATCH($A101, Demand_current!$B$4:$B$138, 0), MATCH(CW$4&amp;CW$5,Demand_current!$D$2:$AY$2&amp;Demand_current!$D$3:$AY$3, 0))/1000</f>
        <v>0</v>
      </c>
      <c r="CX101" s="194">
        <f t="array" ref="CX101">INDEX(Demand_current!$D$4:$AY$138, MATCH($A101, Demand_current!$B$4:$B$138, 0), MATCH(CX$4&amp;CX$5,Demand_current!$D$2:$AY$2&amp;Demand_current!$D$3:$AY$3, 0))/1000</f>
        <v>0</v>
      </c>
      <c r="CY101" s="194">
        <f t="array" ref="CY101">INDEX(Demand_current!$D$4:$AY$138, MATCH($A101, Demand_current!$B$4:$B$138, 0), MATCH(CY$4&amp;CY$5,Demand_current!$D$2:$AY$2&amp;Demand_current!$D$3:$AY$3, 0))/1000</f>
        <v>0</v>
      </c>
      <c r="CZ101" s="194">
        <f t="array" ref="CZ101">INDEX(Demand_current!$D$4:$AY$138, MATCH($A101, Demand_current!$B$4:$B$138, 0), MATCH(CZ$4&amp;CZ$5,Demand_current!$D$2:$AY$2&amp;Demand_current!$D$3:$AY$3, 0))/1000</f>
        <v>0</v>
      </c>
      <c r="DA101" s="194">
        <f t="array" ref="DA101">INDEX(Demand_current!$D$4:$AY$138, MATCH($A101, Demand_current!$B$4:$B$138, 0), MATCH(DA$4&amp;DA$5,Demand_current!$D$2:$AY$2&amp;Demand_current!$D$3:$AY$3, 0))/1000</f>
        <v>0</v>
      </c>
      <c r="DB101" s="194">
        <f t="array" ref="DB101">INDEX(Demand_current!$D$4:$AY$138, MATCH($A101, Demand_current!$B$4:$B$138, 0), MATCH(DB$4&amp;DB$5,Demand_current!$D$2:$AY$2&amp;Demand_current!$D$3:$AY$3, 0))/1000</f>
        <v>0</v>
      </c>
      <c r="DC101" s="194">
        <f t="array" ref="DC101">INDEX(Demand_current!$D$4:$AY$138, MATCH($A101, Demand_current!$B$4:$B$138, 0), MATCH(DC$4&amp;DC$5,Demand_current!$D$2:$AY$2&amp;Demand_current!$D$3:$AY$3, 0))/1000</f>
        <v>0</v>
      </c>
      <c r="DD101" s="194">
        <f t="array" ref="DD101">INDEX(Demand_current!$D$4:$AY$138, MATCH($A101, Demand_current!$B$4:$B$138, 0), MATCH(DD$4&amp;DD$5,Demand_current!$D$2:$AY$2&amp;Demand_current!$D$3:$AY$3, 0))/1000</f>
        <v>0</v>
      </c>
      <c r="DE101" s="194">
        <f t="array" ref="DE101">INDEX(Demand_current!$D$4:$AY$138, MATCH($A101, Demand_current!$B$4:$B$138, 0), MATCH(DE$4&amp;DE$5,Demand_current!$D$2:$AY$2&amp;Demand_current!$D$3:$AY$3, 0))/1000</f>
        <v>0</v>
      </c>
      <c r="DF101" s="194">
        <f t="array" ref="DF101">INDEX(Demand_current!$D$4:$AY$138, MATCH($A101, Demand_current!$B$4:$B$138, 0), MATCH(DF$4&amp;DF$5,Demand_current!$D$2:$AY$2&amp;Demand_current!$D$3:$AY$3, 0))/1000</f>
        <v>0</v>
      </c>
      <c r="DG101" s="194">
        <f t="array" ref="DG101">INDEX(Demand_current!$D$4:$AY$138, MATCH($A101, Demand_current!$B$4:$B$138, 0), MATCH(DG$4&amp;DG$5,Demand_current!$D$2:$AY$2&amp;Demand_current!$D$3:$AY$3, 0))/1000</f>
        <v>0</v>
      </c>
      <c r="DH101" s="194">
        <f t="array" ref="DH101">INDEX(Demand_current!$D$4:$AY$138, MATCH($A101, Demand_current!$B$4:$B$138, 0), MATCH(DH$4&amp;DH$5,Demand_current!$D$2:$AY$2&amp;Demand_current!$D$3:$AY$3, 0))/1000</f>
        <v>0</v>
      </c>
      <c r="DI101" s="192">
        <f>$BS101*(VLOOKUP(DI$4, Rates_current!$G$6:$Q$29, 10, FALSE)+VLOOKUP(DI$4, Rates_current!$G$6:$Q$29, 11, FALSE))</f>
        <v>0</v>
      </c>
      <c r="DJ101" s="192">
        <f>$BS101*(VLOOKUP(DJ$4, Rates_current!$G$6:$Q$29, 10, FALSE)+VLOOKUP(DJ$4, Rates_current!$G$6:$Q$29, 11, FALSE))</f>
        <v>0</v>
      </c>
      <c r="DK101" s="192">
        <f>$BS101*(VLOOKUP(DK$4, Rates_current!$G$6:$Q$29, 10, FALSE)+VLOOKUP(DK$4, Rates_current!$G$6:$Q$29, 11, FALSE))</f>
        <v>0</v>
      </c>
      <c r="DL101" s="192">
        <f>$BS101*(VLOOKUP(DL$4, Rates_current!$G$6:$Q$29, 10, FALSE)+VLOOKUP(DL$4, Rates_current!$G$6:$Q$29, 11, FALSE))</f>
        <v>0</v>
      </c>
      <c r="DM101" s="192">
        <f>$BS101*(VLOOKUP(DM$4, Rates_current!$G$6:$Q$29, 10, FALSE)+VLOOKUP(DM$4, Rates_current!$G$6:$Q$29, 11, FALSE))</f>
        <v>0</v>
      </c>
      <c r="DN101" s="192">
        <f>$BS101*(VLOOKUP(DN$4, Rates_current!$G$6:$Q$29, 10, FALSE)+VLOOKUP(DN$4, Rates_current!$G$6:$Q$29, 11, FALSE))</f>
        <v>0</v>
      </c>
      <c r="DO101" s="192">
        <f>$BS101*(VLOOKUP(DO$4, Rates_current!$G$6:$Q$29, 10, FALSE)+VLOOKUP(DO$4, Rates_current!$G$6:$Q$29, 11, FALSE))</f>
        <v>0</v>
      </c>
      <c r="DP101" s="192">
        <f>$BS101*(VLOOKUP(DP$4, Rates_current!$G$6:$Q$29, 10, FALSE)+VLOOKUP(DP$4, Rates_current!$G$6:$Q$29, 11, FALSE))</f>
        <v>0</v>
      </c>
      <c r="DQ101" s="192">
        <f>$BS101*(VLOOKUP(DQ$4, Rates_current!$G$6:$Q$29, 10, FALSE)+VLOOKUP(DQ$4, Rates_current!$G$6:$Q$29, 11, FALSE))</f>
        <v>0</v>
      </c>
      <c r="DR101" s="192">
        <f>$BS101*(VLOOKUP(DR$4, Rates_current!$G$6:$Q$29, 10, FALSE)+VLOOKUP(DR$4, Rates_current!$G$6:$Q$29, 11, FALSE))</f>
        <v>0</v>
      </c>
      <c r="DS101" s="192">
        <f>$BS101*(VLOOKUP(DS$4, Rates_current!$G$6:$Q$29, 10, FALSE)+VLOOKUP(DS$4, Rates_current!$G$6:$Q$29, 11, FALSE))</f>
        <v>0</v>
      </c>
      <c r="DT101" s="192">
        <f>$BS101*(VLOOKUP(DT$4, Rates_current!$G$6:$Q$29, 10, FALSE)+VLOOKUP(DT$4, Rates_current!$G$6:$Q$29, 11, FALSE))</f>
        <v>0</v>
      </c>
      <c r="DU101" s="418">
        <f>IF(D101=0,IF(C101=0,MAX(0,DW101 - (VLOOKUP($A101,TOCA_current!$A$2:$AI$137,MATCH("RHWM 2022",TOCA_current!$A$2:$AI$2,0),FALSE)*$BS$2)), 0),0)</f>
        <v>0</v>
      </c>
      <c r="DV101" s="419">
        <f>MIN(VLOOKUP($A101,TOCA_current!$A$2:$AI$137,MATCH("TRL - NLSL - Existing Resource "&amp;$BS$1,TOCA_current!$A$2:$AI$2,0),FALSE)*$BS$2, VLOOKUP($A101,TOCA_current!$A$2:$AI$137,MATCH("RHWM 2022",TOCA_current!$A$2:$AI$2,0),FALSE)*$BS$2)</f>
        <v>0</v>
      </c>
      <c r="DW101" s="419">
        <f>SUM(BY101:CV101)+(BS101*RT1SC!$C$4*$BS$2)</f>
        <v>0</v>
      </c>
      <c r="DX101" s="419">
        <f>VLOOKUP($A101,TOCA_current!$A$2:$AI$137,MATCH("Above RHWM Not Served with LS "&amp;$BS$1,TOCA_current!$A$2:$AI$2,0),FALSE)*$BS$2</f>
        <v>0</v>
      </c>
      <c r="DY101" s="419">
        <f t="shared" si="32"/>
        <v>0</v>
      </c>
      <c r="DZ101" s="419">
        <f>(VLOOKUP($A101,TOCA_current!$A$2:$AI$137,MATCH("RHWM 2022",TOCA_current!$A$2:$AI$2,0),FALSE)*$BS$2) - $DV101</f>
        <v>215329.56</v>
      </c>
      <c r="EA101" s="419">
        <f t="shared" si="33"/>
        <v>0</v>
      </c>
      <c r="EB101" s="419">
        <f t="shared" si="34"/>
        <v>0</v>
      </c>
      <c r="EC101" s="419">
        <f t="shared" si="35"/>
        <v>0</v>
      </c>
      <c r="ED101" s="419">
        <f t="shared" si="36"/>
        <v>0</v>
      </c>
    </row>
    <row r="102" spans="1:134">
      <c r="A102" s="135">
        <v>10307</v>
      </c>
      <c r="B102" s="136" t="s">
        <v>103</v>
      </c>
      <c r="C102" s="244">
        <f>VLOOKUP(A102, TOCA_current!$A$3:$D$137, 4, FALSE)</f>
        <v>0</v>
      </c>
      <c r="D102" s="203">
        <v>0</v>
      </c>
      <c r="E102" s="119">
        <f>VLOOKUP($A102,TOCA_previous!$A$2:$AI$137,MATCH(E$4,TOCA_previous!$A$2:$AI$2,0),FALSE)</f>
        <v>9.6016999999999995E-3</v>
      </c>
      <c r="F102" s="120">
        <f>VLOOKUP($A102,TOCA_previous!$A$2:$AI$137,MATCH(F$4,TOCA_previous!$A$2:$AI$2,0),FALSE)</f>
        <v>9.6016999999999995E-3</v>
      </c>
      <c r="G102" s="120">
        <f t="shared" si="24"/>
        <v>0</v>
      </c>
      <c r="H102" s="120">
        <f>VLOOKUP($A102,TOCA_previous!$A$2:$AI$137,MATCH(H$4,TOCA_previous!$A$2:$AI$2,0),FALSE)</f>
        <v>0</v>
      </c>
      <c r="I102" s="120">
        <f t="shared" si="25"/>
        <v>0</v>
      </c>
      <c r="J102" s="120">
        <f t="shared" si="26"/>
        <v>0</v>
      </c>
      <c r="K102" s="191">
        <f>VLOOKUP(A102, IRD!$A$5:$C$139, 3, FALSE)</f>
        <v>0</v>
      </c>
      <c r="L102" s="192">
        <f t="array" ref="L102">IF($G102=0, INDEX(LS_previous!$D$4:$AY$138, MATCH('Staging Table'!$A102, LS_previous!$B$4:$B$138, 0), MATCH(L$4&amp;L$5, LS_previous!$D$2:$AY$2&amp;LS_previous!$D$3:$AY$3, 0)),SUM(VLOOKUP($A102, LS_previous!$B$4:$AY$138, LS_previous!D$149, FALSE), VLOOKUP('Staging Table'!$A102, LS_previous!$B$4:$AY$138,LS_previous!AB$149, FALSE))/2)</f>
        <v>539.98386404040502</v>
      </c>
      <c r="M102" s="192">
        <f t="array" ref="M102">IF($G102=0, INDEX(LS_previous!$D$4:$AY$138, MATCH('Staging Table'!$A102, LS_previous!$B$4:$B$138, 0), MATCH(M$4&amp;M$5, LS_previous!$D$2:$AY$2&amp;LS_previous!$D$3:$AY$3, 0)),SUM(VLOOKUP($A102, LS_previous!$B$4:$AY$138, LS_previous!E$149, FALSE), VLOOKUP('Staging Table'!$A102, LS_previous!$B$4:$AY$138,LS_previous!AC$149, FALSE))/2)</f>
        <v>2562.8926151264022</v>
      </c>
      <c r="N102" s="192">
        <f t="array" ref="N102">IF($G102=0, INDEX(LS_previous!$D$4:$AY$138, MATCH('Staging Table'!$A102, LS_previous!$B$4:$B$138, 0), MATCH(N$4&amp;N$5, LS_previous!$D$2:$AY$2&amp;LS_previous!$D$3:$AY$3, 0)),SUM(VLOOKUP($A102, LS_previous!$B$4:$AY$138, LS_previous!F$149, FALSE), VLOOKUP('Staging Table'!$A102, LS_previous!$B$4:$AY$138,LS_previous!AD$149, FALSE))/2)</f>
        <v>254.62520640240837</v>
      </c>
      <c r="O102" s="192">
        <f t="array" ref="O102">IF($G102=0, INDEX(LS_previous!$D$4:$AY$138, MATCH('Staging Table'!$A102, LS_previous!$B$4:$B$138, 0), MATCH(O$4&amp;O$5, LS_previous!$D$2:$AY$2&amp;LS_previous!$D$3:$AY$3, 0)),SUM(VLOOKUP($A102, LS_previous!$B$4:$AY$138, LS_previous!G$149, FALSE), VLOOKUP('Staging Table'!$A102, LS_previous!$B$4:$AY$138,LS_previous!AE$149, FALSE))/2)</f>
        <v>1682.9024626913015</v>
      </c>
      <c r="P102" s="192">
        <f t="array" ref="P102">IF($G102=0, INDEX(LS_previous!$D$4:$AY$138, MATCH('Staging Table'!$A102, LS_previous!$B$4:$B$138, 0), MATCH(P$4&amp;P$5, LS_previous!$D$2:$AY$2&amp;LS_previous!$D$3:$AY$3, 0)),SUM(VLOOKUP($A102, LS_previous!$B$4:$AY$138, LS_previous!H$149, FALSE), VLOOKUP('Staging Table'!$A102, LS_previous!$B$4:$AY$138,LS_previous!AF$149, FALSE))/2)</f>
        <v>7240.4525724576015</v>
      </c>
      <c r="Q102" s="192">
        <f t="array" ref="Q102">IF($G102=0, INDEX(LS_previous!$D$4:$AY$138, MATCH('Staging Table'!$A102, LS_previous!$B$4:$B$138, 0), MATCH(Q$4&amp;Q$5, LS_previous!$D$2:$AY$2&amp;LS_previous!$D$3:$AY$3, 0)),SUM(VLOOKUP($A102, LS_previous!$B$4:$AY$138, LS_previous!I$149, FALSE), VLOOKUP('Staging Table'!$A102, LS_previous!$B$4:$AY$138,LS_previous!AG$149, FALSE))/2)</f>
        <v>5111.6247256091992</v>
      </c>
      <c r="R102" s="192">
        <f t="array" ref="R102">IF($G102=0, INDEX(LS_previous!$D$4:$AY$138, MATCH('Staging Table'!$A102, LS_previous!$B$4:$B$138, 0), MATCH(R$4&amp;R$5, LS_previous!$D$2:$AY$2&amp;LS_previous!$D$3:$AY$3, 0)),SUM(VLOOKUP($A102, LS_previous!$B$4:$AY$138, LS_previous!J$149, FALSE), VLOOKUP('Staging Table'!$A102, LS_previous!$B$4:$AY$138,LS_previous!AH$149, FALSE))/2)</f>
        <v>11195.757061657598</v>
      </c>
      <c r="S102" s="192">
        <f t="array" ref="S102">IF($G102=0, INDEX(LS_previous!$D$4:$AY$138, MATCH('Staging Table'!$A102, LS_previous!$B$4:$B$138, 0), MATCH(S$4&amp;S$5, LS_previous!$D$2:$AY$2&amp;LS_previous!$D$3:$AY$3, 0)),SUM(VLOOKUP($A102, LS_previous!$B$4:$AY$138, LS_previous!K$149, FALSE), VLOOKUP('Staging Table'!$A102, LS_previous!$B$4:$AY$138,LS_previous!AI$149, FALSE))/2)</f>
        <v>10862.652598009201</v>
      </c>
      <c r="T102" s="192">
        <f t="array" ref="T102">IF($G102=0, INDEX(LS_previous!$D$4:$AY$138, MATCH('Staging Table'!$A102, LS_previous!$B$4:$B$138, 0), MATCH(T$4&amp;T$5, LS_previous!$D$2:$AY$2&amp;LS_previous!$D$3:$AY$3, 0)),SUM(VLOOKUP($A102, LS_previous!$B$4:$AY$138, LS_previous!L$149, FALSE), VLOOKUP('Staging Table'!$A102, LS_previous!$B$4:$AY$138,LS_previous!AJ$149, FALSE))/2)</f>
        <v>10846.625594489204</v>
      </c>
      <c r="U102" s="192">
        <f t="array" ref="U102">IF($G102=0, INDEX(LS_previous!$D$4:$AY$138, MATCH('Staging Table'!$A102, LS_previous!$B$4:$B$138, 0), MATCH(U$4&amp;U$5, LS_previous!$D$2:$AY$2&amp;LS_previous!$D$3:$AY$3, 0)),SUM(VLOOKUP($A102, LS_previous!$B$4:$AY$138, LS_previous!M$149, FALSE), VLOOKUP('Staging Table'!$A102, LS_previous!$B$4:$AY$138,LS_previous!AK$149, FALSE))/2)</f>
        <v>7069.8425769507994</v>
      </c>
      <c r="V102" s="192">
        <f t="array" ref="V102">IF($G102=0, INDEX(LS_previous!$D$4:$AY$138, MATCH('Staging Table'!$A102, LS_previous!$B$4:$B$138, 0), MATCH(V$4&amp;V$5, LS_previous!$D$2:$AY$2&amp;LS_previous!$D$3:$AY$3, 0)),SUM(VLOOKUP($A102, LS_previous!$B$4:$AY$138, LS_previous!N$149, FALSE), VLOOKUP('Staging Table'!$A102, LS_previous!$B$4:$AY$138,LS_previous!AL$149, FALSE))/2)</f>
        <v>4753.0175569128041</v>
      </c>
      <c r="W102" s="192">
        <f t="array" ref="W102">IF($G102=0, INDEX(LS_previous!$D$4:$AY$138, MATCH('Staging Table'!$A102, LS_previous!$B$4:$B$138, 0), MATCH(W$4&amp;W$5, LS_previous!$D$2:$AY$2&amp;LS_previous!$D$3:$AY$3, 0)),SUM(VLOOKUP($A102, LS_previous!$B$4:$AY$138, LS_previous!O$149, FALSE), VLOOKUP('Staging Table'!$A102, LS_previous!$B$4:$AY$138,LS_previous!AM$149, FALSE))/2)</f>
        <v>3177.6664187943024</v>
      </c>
      <c r="X102" s="192">
        <f t="array" ref="X102">IF($G102=0, INDEX(LS_previous!$D$4:$AY$138, MATCH('Staging Table'!$A102, LS_previous!$B$4:$B$138, 0), MATCH(X$4&amp;X$5, LS_previous!$D$2:$AY$2&amp;LS_previous!$D$3:$AY$3, 0)),SUM(VLOOKUP($A102, LS_previous!$B$4:$AY$138, LS_previous!P$149, FALSE), VLOOKUP('Staging Table'!$A102, LS_previous!$B$4:$AY$138,LS_previous!AN$149, FALSE))/2)</f>
        <v>5231.2493635352002</v>
      </c>
      <c r="Y102" s="192">
        <f t="array" ref="Y102">IF($G102=0, INDEX(LS_previous!$D$4:$AY$138, MATCH('Staging Table'!$A102, LS_previous!$B$4:$B$138, 0), MATCH(Y$4&amp;Y$5, LS_previous!$D$2:$AY$2&amp;LS_previous!$D$3:$AY$3, 0)),SUM(VLOOKUP($A102, LS_previous!$B$4:$AY$138, LS_previous!Q$149, FALSE), VLOOKUP('Staging Table'!$A102, LS_previous!$B$4:$AY$138,LS_previous!AO$149, FALSE))/2)</f>
        <v>3173.9305050487983</v>
      </c>
      <c r="Z102" s="192">
        <f t="array" ref="Z102">IF($G102=0, INDEX(LS_previous!$D$4:$AY$138, MATCH('Staging Table'!$A102, LS_previous!$B$4:$B$138, 0), MATCH(Z$4&amp;Z$5, LS_previous!$D$2:$AY$2&amp;LS_previous!$D$3:$AY$3, 0)),SUM(VLOOKUP($A102, LS_previous!$B$4:$AY$138, LS_previous!R$149, FALSE), VLOOKUP('Staging Table'!$A102, LS_previous!$B$4:$AY$138,LS_previous!AP$149, FALSE))/2)</f>
        <v>-10505.136908069999</v>
      </c>
      <c r="AA102" s="192">
        <f t="array" ref="AA102">IF($G102=0, INDEX(LS_previous!$D$4:$AY$138, MATCH('Staging Table'!$A102, LS_previous!$B$4:$B$138, 0), MATCH(AA$4&amp;AA$5, LS_previous!$D$2:$AY$2&amp;LS_previous!$D$3:$AY$3, 0)),SUM(VLOOKUP($A102, LS_previous!$B$4:$AY$138, LS_previous!S$149, FALSE), VLOOKUP('Staging Table'!$A102, LS_previous!$B$4:$AY$138,LS_previous!AQ$149, FALSE))/2)</f>
        <v>-2206.8984496131998</v>
      </c>
      <c r="AB102" s="192">
        <f t="array" ref="AB102">IF($G102=0, INDEX(LS_previous!$D$4:$AY$138, MATCH('Staging Table'!$A102, LS_previous!$B$4:$B$138, 0), MATCH(AB$4&amp;AB$5, LS_previous!$D$2:$AY$2&amp;LS_previous!$D$3:$AY$3, 0)),SUM(VLOOKUP($A102, LS_previous!$B$4:$AY$138, LS_previous!T$149, FALSE), VLOOKUP('Staging Table'!$A102, LS_previous!$B$4:$AY$138,LS_previous!AR$149, FALSE))/2)</f>
        <v>-18871.692676414801</v>
      </c>
      <c r="AC102" s="192">
        <f t="array" ref="AC102">IF($G102=0, INDEX(LS_previous!$D$4:$AY$138, MATCH('Staging Table'!$A102, LS_previous!$B$4:$B$138, 0), MATCH(AC$4&amp;AC$5, LS_previous!$D$2:$AY$2&amp;LS_previous!$D$3:$AY$3, 0)),SUM(VLOOKUP($A102, LS_previous!$B$4:$AY$138, LS_previous!U$149, FALSE), VLOOKUP('Staging Table'!$A102, LS_previous!$B$4:$AY$138,LS_previous!AS$149, FALSE))/2)</f>
        <v>-9364.1933811511972</v>
      </c>
      <c r="AD102" s="192">
        <f t="array" ref="AD102">IF($G102=0, INDEX(LS_previous!$D$4:$AY$138, MATCH('Staging Table'!$A102, LS_previous!$B$4:$B$138, 0), MATCH(AD$4&amp;AD$5, LS_previous!$D$2:$AY$2&amp;LS_previous!$D$3:$AY$3, 0)),SUM(VLOOKUP($A102, LS_previous!$B$4:$AY$138, LS_previous!V$149, FALSE), VLOOKUP('Staging Table'!$A102, LS_previous!$B$4:$AY$138,LS_previous!AT$149, FALSE))/2)</f>
        <v>-11661.167674914799</v>
      </c>
      <c r="AE102" s="192">
        <f t="array" ref="AE102">IF($G102=0, INDEX(LS_previous!$D$4:$AY$138, MATCH('Staging Table'!$A102, LS_previous!$B$4:$B$138, 0), MATCH(AE$4&amp;AE$5, LS_previous!$D$2:$AY$2&amp;LS_previous!$D$3:$AY$3, 0)),SUM(VLOOKUP($A102, LS_previous!$B$4:$AY$138, LS_previous!W$149, FALSE), VLOOKUP('Staging Table'!$A102, LS_previous!$B$4:$AY$138,LS_previous!AU$149, FALSE))/2)</f>
        <v>383.80834528160085</v>
      </c>
      <c r="AF102" s="192">
        <f t="array" ref="AF102">IF($G102=0, INDEX(LS_previous!$D$4:$AY$138, MATCH('Staging Table'!$A102, LS_previous!$B$4:$B$138, 0), MATCH(AF$4&amp;AF$5, LS_previous!$D$2:$AY$2&amp;LS_previous!$D$3:$AY$3, 0)),SUM(VLOOKUP($A102, LS_previous!$B$4:$AY$138, LS_previous!X$149, FALSE), VLOOKUP('Staging Table'!$A102, LS_previous!$B$4:$AY$138,LS_previous!AV$149, FALSE))/2)</f>
        <v>-8167.950539064801</v>
      </c>
      <c r="AG102" s="192">
        <f t="array" ref="AG102">IF($G102=0, INDEX(LS_previous!$D$4:$AY$138, MATCH('Staging Table'!$A102, LS_previous!$B$4:$B$138, 0), MATCH(AG$4&amp;AG$5, LS_previous!$D$2:$AY$2&amp;LS_previous!$D$3:$AY$3, 0)),SUM(VLOOKUP($A102, LS_previous!$B$4:$AY$138, LS_previous!Y$149, FALSE), VLOOKUP('Staging Table'!$A102, LS_previous!$B$4:$AY$138,LS_previous!AW$149, FALSE))/2)</f>
        <v>-1026.6048707184</v>
      </c>
      <c r="AH102" s="192">
        <f t="array" ref="AH102">IF($G102=0, INDEX(LS_previous!$D$4:$AY$138, MATCH('Staging Table'!$A102, LS_previous!$B$4:$B$138, 0), MATCH(AH$4&amp;AH$5, LS_previous!$D$2:$AY$2&amp;LS_previous!$D$3:$AY$3, 0)),SUM(VLOOKUP($A102, LS_previous!$B$4:$AY$138, LS_previous!Z$149, FALSE), VLOOKUP('Staging Table'!$A102, LS_previous!$B$4:$AY$138,LS_previous!AX$149, FALSE))/2)</f>
        <v>-5447.6155155199995</v>
      </c>
      <c r="AI102" s="192">
        <f t="array" ref="AI102">IF($G102=0, INDEX(LS_previous!$D$4:$AY$138, MATCH('Staging Table'!$A102, LS_previous!$B$4:$B$138, 0), MATCH(AI$4&amp;AI$5, LS_previous!$D$2:$AY$2&amp;LS_previous!$D$3:$AY$3, 0)),SUM(VLOOKUP($A102, LS_previous!$B$4:$AY$138, LS_previous!AA$149, FALSE), VLOOKUP('Staging Table'!$A102, LS_previous!$B$4:$AY$138,LS_previous!AY$149, FALSE))/2)</f>
        <v>-1749.2165635959991</v>
      </c>
      <c r="AJ102" s="314">
        <f t="array" ref="AJ102">INDEX(Demand_previous!$D$4:$AY$138, MATCH('Staging Table'!$A102, Demand_previous!$B$4:$B$138, 0), MATCH(AJ$4&amp;AJ$5,Demand_previous!$D$2:$AY$2&amp;Demand_previous!$D$3:$AY$3, 0))/1000</f>
        <v>1.6390763888888848</v>
      </c>
      <c r="AK102" s="314">
        <f t="array" ref="AK102">INDEX(Demand_previous!$D$4:$AY$138, MATCH('Staging Table'!$A102, Demand_previous!$B$4:$B$138, 0), MATCH(AK$4&amp;AK$5,Demand_previous!$D$2:$AY$2&amp;Demand_previous!$D$3:$AY$3, 0))/1000</f>
        <v>1.9369874999999936</v>
      </c>
      <c r="AL102" s="314">
        <f t="array" ref="AL102">INDEX(Demand_previous!$D$4:$AY$138, MATCH('Staging Table'!$A102, Demand_previous!$B$4:$B$138, 0), MATCH(AL$4&amp;AL$5,Demand_previous!$D$2:$AY$2&amp;Demand_previous!$D$3:$AY$3, 0))/1000</f>
        <v>16.134614999999979</v>
      </c>
      <c r="AM102" s="314">
        <f t="array" ref="AM102">INDEX(Demand_previous!$D$4:$AY$138, MATCH('Staging Table'!$A102, Demand_previous!$B$4:$B$138, 0), MATCH(AM$4&amp;AM$5,Demand_previous!$D$2:$AY$2&amp;Demand_previous!$D$3:$AY$3, 0))/1000</f>
        <v>20.12585576923076</v>
      </c>
      <c r="AN102" s="314">
        <f t="array" ref="AN102">INDEX(Demand_previous!$D$4:$AY$138, MATCH('Staging Table'!$A102, Demand_previous!$B$4:$B$138, 0), MATCH(AN$4&amp;AN$5,Demand_previous!$D$2:$AY$2&amp;Demand_previous!$D$3:$AY$3, 0))/1000</f>
        <v>11.532372499999997</v>
      </c>
      <c r="AO102" s="314">
        <f t="array" ref="AO102">INDEX(Demand_previous!$D$4:$AY$138, MATCH('Staging Table'!$A102, Demand_previous!$B$4:$B$138, 0), MATCH(AO$4&amp;AO$5,Demand_previous!$D$2:$AY$2&amp;Demand_previous!$D$3:$AY$3, 0))/1000</f>
        <v>7.7761274038461501</v>
      </c>
      <c r="AP102" s="314">
        <f t="array" ref="AP102">INDEX(Demand_previous!$D$4:$AY$138, MATCH('Staging Table'!$A102, Demand_previous!$B$4:$B$138, 0), MATCH(AP$4&amp;AP$5,Demand_previous!$D$2:$AY$2&amp;Demand_previous!$D$3:$AY$3, 0))/1000</f>
        <v>9.6394278846154009</v>
      </c>
      <c r="AQ102" s="314">
        <f t="array" ref="AQ102">INDEX(Demand_previous!$D$4:$AY$138, MATCH('Staging Table'!$A102, Demand_previous!$B$4:$B$138, 0), MATCH(AQ$4&amp;AQ$5,Demand_previous!$D$2:$AY$2&amp;Demand_previous!$D$3:$AY$3, 0))/1000</f>
        <v>14.1680125</v>
      </c>
      <c r="AR102" s="314">
        <f t="array" ref="AR102">INDEX(Demand_previous!$D$4:$AY$138, MATCH('Staging Table'!$A102, Demand_previous!$B$4:$B$138, 0), MATCH(AR$4&amp;AR$5,Demand_previous!$D$2:$AY$2&amp;Demand_previous!$D$3:$AY$3, 0))/1000</f>
        <v>16.518139423076931</v>
      </c>
      <c r="AS102" s="314">
        <f t="array" ref="AS102">INDEX(Demand_previous!$D$4:$AY$138, MATCH('Staging Table'!$A102, Demand_previous!$B$4:$B$138, 0), MATCH(AS$4&amp;AS$5,Demand_previous!$D$2:$AY$2&amp;Demand_previous!$D$3:$AY$3, 0))/1000</f>
        <v>17.380307692307692</v>
      </c>
      <c r="AT102" s="314">
        <f t="array" ref="AT102">INDEX(Demand_previous!$D$4:$AY$138, MATCH('Staging Table'!$A102, Demand_previous!$B$4:$B$138, 0), MATCH(AT$4&amp;AT$5,Demand_previous!$D$2:$AY$2&amp;Demand_previous!$D$3:$AY$3, 0))/1000</f>
        <v>15.203930288461542</v>
      </c>
      <c r="AU102" s="314">
        <f t="array" ref="AU102">INDEX(Demand_previous!$D$4:$AY$138, MATCH('Staging Table'!$A102, Demand_previous!$B$4:$B$138, 0), MATCH(AU$4&amp;AU$5,Demand_previous!$D$2:$AY$2&amp;Demand_previous!$D$3:$AY$3, 0))/1000</f>
        <v>10.188062500000003</v>
      </c>
      <c r="AV102" s="192">
        <f>$F102*(VLOOKUP(AV$4, Rates_previous!$G$6:$Q$29, 10, FALSE)+VLOOKUP(AV$4, Rates_previous!$G$6:$Q$29, 11, FALSE))</f>
        <v>44334.09452083319</v>
      </c>
      <c r="AW102" s="192">
        <f>$F102*(VLOOKUP(AW$4, Rates_previous!$G$6:$Q$29, 10, FALSE)+VLOOKUP(AW$4, Rates_previous!$G$6:$Q$29, 11, FALSE))</f>
        <v>56318.130330906301</v>
      </c>
      <c r="AX102" s="192">
        <f>$F102*(VLOOKUP(AX$4, Rates_previous!$G$6:$Q$29, 10, FALSE)+VLOOKUP(AX$4, Rates_previous!$G$6:$Q$29, 11, FALSE))</f>
        <v>55638.012701933199</v>
      </c>
      <c r="AY102" s="192">
        <f>$F102*(VLOOKUP(AY$4, Rates_previous!$G$6:$Q$29, 10, FALSE)+VLOOKUP(AY$4, Rates_previous!$G$6:$Q$29, 11, FALSE))</f>
        <v>46377.6723403332</v>
      </c>
      <c r="AZ102" s="192">
        <f>$F102*(VLOOKUP(AZ$4, Rates_previous!$G$6:$Q$29, 10, FALSE)+VLOOKUP(AZ$4, Rates_previous!$G$6:$Q$29, 11, FALSE))</f>
        <v>42013.359828559995</v>
      </c>
      <c r="BA102" s="192">
        <f>$F102*(VLOOKUP(BA$4, Rates_previous!$G$6:$Q$29, 10, FALSE)+VLOOKUP(BA$4, Rates_previous!$G$6:$Q$29, 11, FALSE))</f>
        <v>46732.203024292896</v>
      </c>
      <c r="BB102" s="192">
        <f>$F102*(VLOOKUP(BB$4, Rates_previous!$G$6:$Q$29, 10, FALSE)+VLOOKUP(BB$4, Rates_previous!$G$6:$Q$29, 11, FALSE))</f>
        <v>38049.410131416</v>
      </c>
      <c r="BC102" s="192">
        <f>$F102*(VLOOKUP(BC$4, Rates_previous!$G$6:$Q$29, 10, FALSE)+VLOOKUP(BC$4, Rates_previous!$G$6:$Q$29, 11, FALSE))</f>
        <v>51315.303357683202</v>
      </c>
      <c r="BD102" s="192">
        <f>$F102*(VLOOKUP(BD$4, Rates_previous!$G$6:$Q$29, 10, FALSE)+VLOOKUP(BD$4, Rates_previous!$G$6:$Q$29, 11, FALSE))</f>
        <v>65474.837057566001</v>
      </c>
      <c r="BE102" s="192">
        <f>$F102*(VLOOKUP(BE$4, Rates_previous!$G$6:$Q$29, 10, FALSE)+VLOOKUP(BE$4, Rates_previous!$G$6:$Q$29, 11, FALSE))</f>
        <v>51334.348329633205</v>
      </c>
      <c r="BF102" s="192">
        <f>$F102*(VLOOKUP(BF$4, Rates_previous!$G$6:$Q$29, 10, FALSE)+VLOOKUP(BF$4, Rates_previous!$G$6:$Q$29, 11, FALSE))</f>
        <v>49989.433409783203</v>
      </c>
      <c r="BG102" s="192">
        <f>$F102*(VLOOKUP(BG$4, Rates_previous!$G$6:$Q$29, 10, FALSE)+VLOOKUP(BG$4, Rates_previous!$G$6:$Q$29, 11, FALSE))</f>
        <v>44879.877079115999</v>
      </c>
      <c r="BH102" s="314">
        <f>IF($D102=0,IF(C102=0, MAX(BJ102 - (VLOOKUP($A102,TOCA_previous!$A$2:$AI$137,MATCH("RHWM 2020",TOCA_previous!$A$2:$AI$2,0),FALSE)*$F$2*TOCA_previous!C99),0),0), 0)</f>
        <v>0</v>
      </c>
      <c r="BI102" s="204">
        <f>MIN(VLOOKUP($A102,TOCA_previous!$A$2:$AI$137,MATCH("TRL - NLSL - Existing Resource "&amp;$F$1,TOCA_previous!$A$2:$AI$2,0),FALSE)*$F$2,(VLOOKUP($A102,TOCA_previous!$A$2:$AI$137,MATCH("RHWM 2020",TOCA_previous!$A$2:$AI$2,0),FALSE)*$F$2))</f>
        <v>592454.44799999997</v>
      </c>
      <c r="BJ102" s="418">
        <f>SUM(L102:AI102)+(F102*RT1SC!$C$3*$F$2)</f>
        <v>597543.25923753728</v>
      </c>
      <c r="BK102" s="417">
        <f>VLOOKUP($A102,TOCA_previous!$A$2:$AI$137,MATCH("Above RHWM Not Served with LS "&amp;$F$1,TOCA_previous!$A$2:$AI$2,0),FALSE)*$F$2</f>
        <v>0</v>
      </c>
      <c r="BL102" s="418">
        <f t="shared" si="27"/>
        <v>5088.8112375373021</v>
      </c>
      <c r="BM102" s="417">
        <f>(VLOOKUP($A102,TOCA_previous!$A$2:$AI$137,MATCH("RHWM 2020",TOCA_previous!$A$2:$AI$2,0),FALSE)*$F$2) - $BI102</f>
        <v>36515.087999999989</v>
      </c>
      <c r="BN102" s="418">
        <f t="shared" si="28"/>
        <v>-5088.8112375373021</v>
      </c>
      <c r="BO102" s="417">
        <f t="shared" si="29"/>
        <v>0</v>
      </c>
      <c r="BP102" s="418">
        <f t="shared" si="30"/>
        <v>0</v>
      </c>
      <c r="BQ102" s="417">
        <f t="shared" ref="BQ102:BQ133" si="37">IF($D102=0,SUM($BN102:$BP102),0)</f>
        <v>-5088.8112375373021</v>
      </c>
      <c r="BR102" s="120">
        <f>VLOOKUP($A102,TOCA_current!$A$2:$AI$137,MATCH(BR$4,TOCA_current!$A$2:$AI$2,0),FALSE)</f>
        <v>1.01139E-2</v>
      </c>
      <c r="BS102" s="120">
        <f>VLOOKUP($A102,TOCA_current!$A$2:$AI$137,MATCH(BS$4,TOCA_current!$A$2:$AI$2,0),FALSE)</f>
        <v>1.01139E-2</v>
      </c>
      <c r="BT102" s="201">
        <f t="shared" si="31"/>
        <v>0</v>
      </c>
      <c r="BU102" s="120">
        <f>VLOOKUP($A102,TOCA_current!A98:BG233,MATCH(BU$4,TOCA_current!$A$2:$BG$2,0),FALSE)</f>
        <v>0</v>
      </c>
      <c r="BV102" s="120">
        <f t="shared" ref="BV102:BV133" si="38">IF(C102=0,0,BU102)</f>
        <v>0</v>
      </c>
      <c r="BW102" s="120">
        <f t="shared" ref="BW102:BW133" si="39">IF(C102=0,0,BR102)</f>
        <v>0</v>
      </c>
      <c r="BX102" s="191">
        <f>VLOOKUP($A102,IRD!$A$4:$G$139, 7, FALSE)</f>
        <v>0</v>
      </c>
      <c r="BY102" s="192">
        <f t="array" ref="BY102">IF($BT102=0, INDEX(LS_current!$D$4:$AY$138, MATCH('Staging Table'!$A102, LS_current!$B$4:$B$138, 0), MATCH(BY$4&amp;BY$5, LS_current!$D$2:$AY$2&amp;LS_current!$D$3:$AY$3, 0)),SUM(VLOOKUP($A102, LS_current!$B$4:$AY$138, LS_current!D$148, FALSE), VLOOKUP($A102, LS_current!$B$4:$AY$138,LS_current!AB$148, FALSE))/2)</f>
        <v>-108.45365648559164</v>
      </c>
      <c r="BZ102" s="192">
        <f t="array" ref="BZ102">IF($BT102=0, INDEX(LS_current!$D$4:$AY$138, MATCH('Staging Table'!$A102, LS_current!$B$4:$B$138, 0), MATCH(BZ$4&amp;BZ$5, LS_current!$D$2:$AY$2&amp;LS_current!$D$3:$AY$3, 0)),SUM(VLOOKUP($A102, LS_current!$B$4:$AY$138, LS_current!E$148, FALSE), VLOOKUP($A102, LS_current!$B$4:$AY$138,LS_current!AC$148, FALSE))/2)</f>
        <v>1487.4884573306881</v>
      </c>
      <c r="CA102" s="192">
        <f t="array" ref="CA102">IF($BT102=0, INDEX(LS_current!$D$4:$AY$138, MATCH('Staging Table'!$A102, LS_current!$B$4:$B$138, 0), MATCH(CA$4&amp;CA$5, LS_current!$D$2:$AY$2&amp;LS_current!$D$3:$AY$3, 0)),SUM(VLOOKUP($A102, LS_current!$B$4:$AY$138, LS_current!F$148, FALSE), VLOOKUP($A102, LS_current!$B$4:$AY$138,LS_current!AD$148, FALSE))/2)</f>
        <v>-218.81866048127267</v>
      </c>
      <c r="CB102" s="192">
        <f t="array" ref="CB102">IF($BT102=0, INDEX(LS_current!$D$4:$AY$138, MATCH('Staging Table'!$A102, LS_current!$B$4:$B$138, 0), MATCH(CB$4&amp;CB$5, LS_current!$D$2:$AY$2&amp;LS_current!$D$3:$AY$3, 0)),SUM(VLOOKUP($A102, LS_current!$B$4:$AY$138, LS_current!G$148, FALSE), VLOOKUP($A102, LS_current!$B$4:$AY$138,LS_current!AE$148, FALSE))/2)</f>
        <v>163.45787481794832</v>
      </c>
      <c r="CC102" s="192">
        <f t="array" ref="CC102">IF($BT102=0, INDEX(LS_current!$D$4:$AY$138, MATCH('Staging Table'!$A102, LS_current!$B$4:$B$138, 0), MATCH(CC$4&amp;CC$5, LS_current!$D$2:$AY$2&amp;LS_current!$D$3:$AY$3, 0)),SUM(VLOOKUP($A102, LS_current!$B$4:$AY$138, LS_current!H$148, FALSE), VLOOKUP($A102, LS_current!$B$4:$AY$138,LS_current!AF$148, FALSE))/2)</f>
        <v>9185.827538621219</v>
      </c>
      <c r="CD102" s="192">
        <f t="array" ref="CD102">IF($BT102=0, INDEX(LS_current!$D$4:$AY$138, MATCH('Staging Table'!$A102, LS_current!$B$4:$B$138, 0), MATCH(CD$4&amp;CD$5, LS_current!$D$2:$AY$2&amp;LS_current!$D$3:$AY$3, 0)),SUM(VLOOKUP($A102, LS_current!$B$4:$AY$138, LS_current!I$148, FALSE), VLOOKUP($A102, LS_current!$B$4:$AY$138,LS_current!AG$148, FALSE))/2)</f>
        <v>1729.4246330630122</v>
      </c>
      <c r="CE102" s="192">
        <f t="array" ref="CE102">IF($BT102=0, INDEX(LS_current!$D$4:$AY$138, MATCH('Staging Table'!$A102, LS_current!$B$4:$B$138, 0), MATCH(CE$4&amp;CE$5, LS_current!$D$2:$AY$2&amp;LS_current!$D$3:$AY$3, 0)),SUM(VLOOKUP($A102, LS_current!$B$4:$AY$138, LS_current!J$148, FALSE), VLOOKUP($A102, LS_current!$B$4:$AY$138,LS_current!AH$148, FALSE))/2)</f>
        <v>13524.679817274435</v>
      </c>
      <c r="CF102" s="192">
        <f t="array" ref="CF102">IF($BT102=0, INDEX(LS_current!$D$4:$AY$138, MATCH('Staging Table'!$A102, LS_current!$B$4:$B$138, 0), MATCH(CF$4&amp;CF$5, LS_current!$D$2:$AY$2&amp;LS_current!$D$3:$AY$3, 0)),SUM(VLOOKUP($A102, LS_current!$B$4:$AY$138, LS_current!K$148, FALSE), VLOOKUP($A102, LS_current!$B$4:$AY$138,LS_current!AI$148, FALSE))/2)</f>
        <v>7770.0132349918167</v>
      </c>
      <c r="CG102" s="192">
        <f t="array" ref="CG102">IF($BT102=0, INDEX(LS_current!$D$4:$AY$138, MATCH('Staging Table'!$A102, LS_current!$B$4:$B$138, 0), MATCH(CG$4&amp;CG$5, LS_current!$D$2:$AY$2&amp;LS_current!$D$3:$AY$3, 0)),SUM(VLOOKUP($A102, LS_current!$B$4:$AY$138, LS_current!L$148, FALSE), VLOOKUP($A102, LS_current!$B$4:$AY$138,LS_current!AJ$148, FALSE))/2)</f>
        <v>13618.86177851259</v>
      </c>
      <c r="CH102" s="192">
        <f t="array" ref="CH102">IF($BT102=0, INDEX(LS_current!$D$4:$AY$138, MATCH('Staging Table'!$A102, LS_current!$B$4:$B$138, 0), MATCH(CH$4&amp;CH$5, LS_current!$D$2:$AY$2&amp;LS_current!$D$3:$AY$3, 0)),SUM(VLOOKUP($A102, LS_current!$B$4:$AY$138, LS_current!M$148, FALSE), VLOOKUP($A102, LS_current!$B$4:$AY$138,LS_current!AK$148, FALSE))/2)</f>
        <v>5452.4912185051217</v>
      </c>
      <c r="CI102" s="192">
        <f t="array" ref="CI102">IF($BT102=0, INDEX(LS_current!$D$4:$AY$138, MATCH('Staging Table'!$A102, LS_current!$B$4:$B$138, 0), MATCH(CI$4&amp;CI$5, LS_current!$D$2:$AY$2&amp;LS_current!$D$3:$AY$3, 0)),SUM(VLOOKUP($A102, LS_current!$B$4:$AY$138, LS_current!N$148, FALSE), VLOOKUP($A102, LS_current!$B$4:$AY$138,LS_current!AL$148, FALSE))/2)</f>
        <v>4510.6329961606243</v>
      </c>
      <c r="CJ102" s="192">
        <f t="array" ref="CJ102">IF($BT102=0, INDEX(LS_current!$D$4:$AY$138, MATCH('Staging Table'!$A102, LS_current!$B$4:$B$138, 0), MATCH(CJ$4&amp;CJ$5, LS_current!$D$2:$AY$2&amp;LS_current!$D$3:$AY$3, 0)),SUM(VLOOKUP($A102, LS_current!$B$4:$AY$138, LS_current!O$148, FALSE), VLOOKUP($A102, LS_current!$B$4:$AY$138,LS_current!AM$148, FALSE))/2)</f>
        <v>1375.4857799512465</v>
      </c>
      <c r="CK102" s="192">
        <f t="array" ref="CK102">IF($BT102=0, INDEX(LS_current!$D$4:$AY$138, MATCH('Staging Table'!$A102, LS_current!$B$4:$B$138, 0), MATCH(CK$4&amp;CK$5, LS_current!$D$2:$AY$2&amp;LS_current!$D$3:$AY$3, 0)),SUM(VLOOKUP($A102, LS_current!$B$4:$AY$138, LS_current!P$148, FALSE), VLOOKUP($A102, LS_current!$B$4:$AY$138,LS_current!AN$148, FALSE))/2)</f>
        <v>5837.9626521419414</v>
      </c>
      <c r="CL102" s="192">
        <f t="array" ref="CL102">IF($BT102=0, INDEX(LS_current!$D$4:$AY$138, MATCH('Staging Table'!$A102, LS_current!$B$4:$B$138, 0), MATCH(CL$4&amp;CL$5, LS_current!$D$2:$AY$2&amp;LS_current!$D$3:$AY$3, 0)),SUM(VLOOKUP($A102, LS_current!$B$4:$AY$138, LS_current!Q$148, FALSE), VLOOKUP($A102, LS_current!$B$4:$AY$138,LS_current!AO$148, FALSE))/2)</f>
        <v>2747.9604194781114</v>
      </c>
      <c r="CM102" s="192">
        <f t="array" ref="CM102">IF($BT102=0, INDEX(LS_current!$D$4:$AY$138, MATCH('Staging Table'!$A102, LS_current!$B$4:$B$138, 0), MATCH(CM$4&amp;CM$5, LS_current!$D$2:$AY$2&amp;LS_current!$D$3:$AY$3, 0)),SUM(VLOOKUP($A102, LS_current!$B$4:$AY$138, LS_current!R$148, FALSE), VLOOKUP($A102, LS_current!$B$4:$AY$138,LS_current!AP$148, FALSE))/2)</f>
        <v>-12560.863073178352</v>
      </c>
      <c r="CN102" s="192">
        <f t="array" ref="CN102">IF($BT102=0, INDEX(LS_current!$D$4:$AY$138, MATCH('Staging Table'!$A102, LS_current!$B$4:$B$138, 0), MATCH(CN$4&amp;CN$5, LS_current!$D$2:$AY$2&amp;LS_current!$D$3:$AY$3, 0)),SUM(VLOOKUP($A102, LS_current!$B$4:$AY$138, LS_current!S$148, FALSE), VLOOKUP($A102, LS_current!$B$4:$AY$138,LS_current!AQ$148, FALSE))/2)</f>
        <v>-1303.1856310108124</v>
      </c>
      <c r="CO102" s="192">
        <f t="array" ref="CO102">IF($BT102=0, INDEX(LS_current!$D$4:$AY$138, MATCH('Staging Table'!$A102, LS_current!$B$4:$B$138, 0), MATCH(CO$4&amp;CO$5, LS_current!$D$2:$AY$2&amp;LS_current!$D$3:$AY$3, 0)),SUM(VLOOKUP($A102, LS_current!$B$4:$AY$138, LS_current!T$148, FALSE), VLOOKUP($A102, LS_current!$B$4:$AY$138,LS_current!AR$148, FALSE))/2)</f>
        <v>-16357.898187991705</v>
      </c>
      <c r="CP102" s="192">
        <f t="array" ref="CP102">IF($BT102=0, INDEX(LS_current!$D$4:$AY$138, MATCH('Staging Table'!$A102, LS_current!$B$4:$B$138, 0), MATCH(CP$4&amp;CP$5, LS_current!$D$2:$AY$2&amp;LS_current!$D$3:$AY$3, 0)),SUM(VLOOKUP($A102, LS_current!$B$4:$AY$138, LS_current!U$148, FALSE), VLOOKUP($A102, LS_current!$B$4:$AY$138,LS_current!AS$148, FALSE))/2)</f>
        <v>-2465.5773315161368</v>
      </c>
      <c r="CQ102" s="192">
        <f t="array" ref="CQ102">IF($BT102=0, INDEX(LS_current!$D$4:$AY$138, MATCH('Staging Table'!$A102, LS_current!$B$4:$B$138, 0), MATCH(CQ$4&amp;CQ$5, LS_current!$D$2:$AY$2&amp;LS_current!$D$3:$AY$3, 0)),SUM(VLOOKUP($A102, LS_current!$B$4:$AY$138, LS_current!V$148, FALSE), VLOOKUP($A102, LS_current!$B$4:$AY$138,LS_current!AT$148, FALSE))/2)</f>
        <v>-11776.555248243396</v>
      </c>
      <c r="CR102" s="192">
        <f t="array" ref="CR102">IF($BT102=0, INDEX(LS_current!$D$4:$AY$138, MATCH('Staging Table'!$A102, LS_current!$B$4:$B$138, 0), MATCH(CR$4&amp;CR$5, LS_current!$D$2:$AY$2&amp;LS_current!$D$3:$AY$3, 0)),SUM(VLOOKUP($A102, LS_current!$B$4:$AY$138, LS_current!W$148, FALSE), VLOOKUP($A102, LS_current!$B$4:$AY$138,LS_current!AU$148, FALSE))/2)</f>
        <v>-1395.1911357277604</v>
      </c>
      <c r="CS102" s="192">
        <f t="array" ref="CS102">IF($BT102=0, INDEX(LS_current!$D$4:$AY$138, MATCH('Staging Table'!$A102, LS_current!$B$4:$B$138, 0), MATCH(CS$4&amp;CS$5, LS_current!$D$2:$AY$2&amp;LS_current!$D$3:$AY$3, 0)),SUM(VLOOKUP($A102, LS_current!$B$4:$AY$138, LS_current!X$148, FALSE), VLOOKUP($A102, LS_current!$B$4:$AY$138,LS_current!AV$148, FALSE))/2)</f>
        <v>-8554.0915545508069</v>
      </c>
      <c r="CT102" s="192">
        <f t="array" ref="CT102">IF($BT102=0, INDEX(LS_current!$D$4:$AY$138, MATCH('Staging Table'!$A102, LS_current!$B$4:$B$138, 0), MATCH(CT$4&amp;CT$5, LS_current!$D$2:$AY$2&amp;LS_current!$D$3:$AY$3, 0)),SUM(VLOOKUP($A102, LS_current!$B$4:$AY$138, LS_current!Y$148, FALSE), VLOOKUP($A102, LS_current!$B$4:$AY$138,LS_current!AW$148, FALSE))/2)</f>
        <v>-2092.4968107771874</v>
      </c>
      <c r="CU102" s="192">
        <f t="array" ref="CU102">IF($BT102=0, INDEX(LS_current!$D$4:$AY$138, MATCH('Staging Table'!$A102, LS_current!$B$4:$B$138, 0), MATCH(CU$4&amp;CU$5, LS_current!$D$2:$AY$2&amp;LS_current!$D$3:$AY$3, 0)),SUM(VLOOKUP($A102, LS_current!$B$4:$AY$138, LS_current!Z$148, FALSE), VLOOKUP($A102, LS_current!$B$4:$AY$138,LS_current!AX$148, FALSE))/2)</f>
        <v>-7044.5390585966052</v>
      </c>
      <c r="CV102" s="192">
        <f t="array" ref="CV102">IF($BT102=0, INDEX(LS_current!$D$4:$AY$138, MATCH('Staging Table'!$A102, LS_current!$B$4:$B$138, 0), MATCH(CV$4&amp;CV$5, LS_current!$D$2:$AY$2&amp;LS_current!$D$3:$AY$3, 0)),SUM(VLOOKUP($A102, LS_current!$B$4:$AY$138, LS_current!AA$148, FALSE), VLOOKUP($A102, LS_current!$B$4:$AY$138,LS_current!AY$148, FALSE))/2)</f>
        <v>-2809.6934233167594</v>
      </c>
      <c r="CW102" s="194">
        <f t="array" ref="CW102">INDEX(Demand_current!$D$4:$AY$138, MATCH($A102, Demand_current!$B$4:$B$138, 0), MATCH(CW$4&amp;CW$5,Demand_current!$D$2:$AY$2&amp;Demand_current!$D$3:$AY$3, 0))/1000</f>
        <v>0</v>
      </c>
      <c r="CX102" s="194">
        <f t="array" ref="CX102">INDEX(Demand_current!$D$4:$AY$138, MATCH($A102, Demand_current!$B$4:$B$138, 0), MATCH(CX$4&amp;CX$5,Demand_current!$D$2:$AY$2&amp;Demand_current!$D$3:$AY$3, 0))/1000</f>
        <v>1.9369874999999936</v>
      </c>
      <c r="CY102" s="194">
        <f t="array" ref="CY102">INDEX(Demand_current!$D$4:$AY$138, MATCH($A102, Demand_current!$B$4:$B$138, 0), MATCH(CY$4&amp;CY$5,Demand_current!$D$2:$AY$2&amp;Demand_current!$D$3:$AY$3, 0))/1000</f>
        <v>20.153052884615374</v>
      </c>
      <c r="CZ102" s="194">
        <f t="array" ref="CZ102">INDEX(Demand_current!$D$4:$AY$138, MATCH($A102, Demand_current!$B$4:$B$138, 0), MATCH(CZ$4&amp;CZ$5,Demand_current!$D$2:$AY$2&amp;Demand_current!$D$3:$AY$3, 0))/1000</f>
        <v>16.246769999999991</v>
      </c>
      <c r="DA102" s="194">
        <f t="array" ref="DA102">INDEX(Demand_current!$D$4:$AY$138, MATCH($A102, Demand_current!$B$4:$B$138, 0), MATCH(DA$4&amp;DA$5,Demand_current!$D$2:$AY$2&amp;Demand_current!$D$3:$AY$3, 0))/1000</f>
        <v>7.641429687499997</v>
      </c>
      <c r="DB102" s="194">
        <f t="array" ref="DB102">INDEX(Demand_current!$D$4:$AY$138, MATCH($A102, Demand_current!$B$4:$B$138, 0), MATCH(DB$4&amp;DB$5,Demand_current!$D$2:$AY$2&amp;Demand_current!$D$3:$AY$3, 0))/1000</f>
        <v>10.844715277777784</v>
      </c>
      <c r="DC102" s="194">
        <f t="array" ref="DC102">INDEX(Demand_current!$D$4:$AY$138, MATCH($A102, Demand_current!$B$4:$B$138, 0), MATCH(DC$4&amp;DC$5,Demand_current!$D$2:$AY$2&amp;Demand_current!$D$3:$AY$3, 0))/1000</f>
        <v>9.6394278846154009</v>
      </c>
      <c r="DD102" s="194">
        <f t="array" ref="DD102">INDEX(Demand_current!$D$4:$AY$138, MATCH($A102, Demand_current!$B$4:$B$138, 0), MATCH(DD$4&amp;DD$5,Demand_current!$D$2:$AY$2&amp;Demand_current!$D$3:$AY$3, 0))/1000</f>
        <v>14.1680125</v>
      </c>
      <c r="DE102" s="194">
        <f t="array" ref="DE102">INDEX(Demand_current!$D$4:$AY$138, MATCH($A102, Demand_current!$B$4:$B$138, 0), MATCH(DE$4&amp;DE$5,Demand_current!$D$2:$AY$2&amp;Demand_current!$D$3:$AY$3, 0))/1000</f>
        <v>16.518139423076931</v>
      </c>
      <c r="DF102" s="194">
        <f t="array" ref="DF102">INDEX(Demand_current!$D$4:$AY$138, MATCH($A102, Demand_current!$B$4:$B$138, 0), MATCH(DF$4&amp;DF$5,Demand_current!$D$2:$AY$2&amp;Demand_current!$D$3:$AY$3, 0))/1000</f>
        <v>15.103759999999998</v>
      </c>
      <c r="DG102" s="194">
        <f t="array" ref="DG102">INDEX(Demand_current!$D$4:$AY$138, MATCH($A102, Demand_current!$B$4:$B$138, 0), MATCH(DG$4&amp;DG$5,Demand_current!$D$2:$AY$2&amp;Demand_current!$D$3:$AY$3, 0))/1000</f>
        <v>17.526636574074075</v>
      </c>
      <c r="DH102" s="194">
        <f t="array" ref="DH102">INDEX(Demand_current!$D$4:$AY$138, MATCH($A102, Demand_current!$B$4:$B$138, 0), MATCH(DH$4&amp;DH$5,Demand_current!$D$2:$AY$2&amp;Demand_current!$D$3:$AY$3, 0))/1000</f>
        <v>10.188062500000003</v>
      </c>
      <c r="DI102" s="192">
        <f>$BS102*(VLOOKUP(DI$4, Rates_current!$G$6:$Q$29, 10, FALSE)+VLOOKUP(DI$4, Rates_current!$G$6:$Q$29, 11, FALSE))</f>
        <v>46057.936199154909</v>
      </c>
      <c r="DJ102" s="192">
        <f>$BS102*(VLOOKUP(DJ$4, Rates_current!$G$6:$Q$29, 10, FALSE)+VLOOKUP(DJ$4, Rates_current!$G$6:$Q$29, 11, FALSE))</f>
        <v>58311.018785663335</v>
      </c>
      <c r="DK102" s="192">
        <f>$BS102*(VLOOKUP(DK$4, Rates_current!$G$6:$Q$29, 10, FALSE)+VLOOKUP(DK$4, Rates_current!$G$6:$Q$29, 11, FALSE))</f>
        <v>57074.837828315773</v>
      </c>
      <c r="DL102" s="192">
        <f>$BS102*(VLOOKUP(DL$4, Rates_current!$G$6:$Q$29, 10, FALSE)+VLOOKUP(DL$4, Rates_current!$G$6:$Q$29, 11, FALSE))</f>
        <v>47141.388947733751</v>
      </c>
      <c r="DM102" s="192">
        <f>$BS102*(VLOOKUP(DM$4, Rates_current!$G$6:$Q$29, 10, FALSE)+VLOOKUP(DM$4, Rates_current!$G$6:$Q$29, 11, FALSE))</f>
        <v>40858.47500298229</v>
      </c>
      <c r="DN102" s="192">
        <f>$BS102*(VLOOKUP(DN$4, Rates_current!$G$6:$Q$29, 10, FALSE)+VLOOKUP(DN$4, Rates_current!$G$6:$Q$29, 11, FALSE))</f>
        <v>48776.768223888139</v>
      </c>
      <c r="DO102" s="192">
        <f>$BS102*(VLOOKUP(DO$4, Rates_current!$G$6:$Q$29, 10, FALSE)+VLOOKUP(DO$4, Rates_current!$G$6:$Q$29, 11, FALSE))</f>
        <v>37868.666928379949</v>
      </c>
      <c r="DP102" s="192">
        <f>$BS102*(VLOOKUP(DP$4, Rates_current!$G$6:$Q$29, 10, FALSE)+VLOOKUP(DP$4, Rates_current!$G$6:$Q$29, 11, FALSE))</f>
        <v>52467.316704189157</v>
      </c>
      <c r="DQ102" s="192">
        <f>$BS102*(VLOOKUP(DQ$4, Rates_current!$G$6:$Q$29, 10, FALSE)+VLOOKUP(DQ$4, Rates_current!$G$6:$Q$29, 11, FALSE))</f>
        <v>56062.426519507841</v>
      </c>
      <c r="DR102" s="192">
        <f>$BS102*(VLOOKUP(DR$4, Rates_current!$G$6:$Q$29, 10, FALSE)+VLOOKUP(DR$4, Rates_current!$G$6:$Q$29, 11, FALSE))</f>
        <v>53228.735383971158</v>
      </c>
      <c r="DS102" s="192">
        <f>$BS102*(VLOOKUP(DS$4, Rates_current!$G$6:$Q$29, 10, FALSE)+VLOOKUP(DS$4, Rates_current!$G$6:$Q$29, 11, FALSE))</f>
        <v>51441.466365327986</v>
      </c>
      <c r="DT102" s="192">
        <f>$BS102*(VLOOKUP(DT$4, Rates_current!$G$6:$Q$29, 10, FALSE)+VLOOKUP(DT$4, Rates_current!$G$6:$Q$29, 11, FALSE))</f>
        <v>47537.277481913363</v>
      </c>
      <c r="DU102" s="418">
        <f>IF(D102=0,IF(C102=0,MAX(0,DW102 - (VLOOKUP($A102,TOCA_current!$A$2:$AI$137,MATCH("RHWM 2022",TOCA_current!$A$2:$AI$2,0),FALSE)*$BS$2)), 0),0)</f>
        <v>0</v>
      </c>
      <c r="DV102" s="419">
        <f>MIN(VLOOKUP($A102,TOCA_current!$A$2:$AI$137,MATCH("TRL - NLSL - Existing Resource "&amp;$BS$1,TOCA_current!$A$2:$AI$2,0),FALSE)*$BS$2, VLOOKUP($A102,TOCA_current!$A$2:$AI$137,MATCH("RHWM 2022",TOCA_current!$A$2:$AI$2,0),FALSE)*$BS$2)</f>
        <v>596827.56000000006</v>
      </c>
      <c r="DW102" s="419">
        <f>SUM(BY102:CV102)+(BS102*RT1SC!$C$4*$BS$2)</f>
        <v>597543.26753024838</v>
      </c>
      <c r="DX102" s="419">
        <f>VLOOKUP($A102,TOCA_current!$A$2:$AI$137,MATCH("Above RHWM Not Served with LS "&amp;$BS$1,TOCA_current!$A$2:$AI$2,0),FALSE)*$BS$2</f>
        <v>0</v>
      </c>
      <c r="DY102" s="419">
        <f t="shared" si="32"/>
        <v>715.70753024832811</v>
      </c>
      <c r="DZ102" s="419">
        <f>(VLOOKUP($A102,TOCA_current!$A$2:$AI$137,MATCH("RHWM 2022",TOCA_current!$A$2:$AI$2,0),FALSE)*$BS$2) - $DV102</f>
        <v>4695.359999999986</v>
      </c>
      <c r="EA102" s="419">
        <f t="shared" si="33"/>
        <v>-715.70753024832811</v>
      </c>
      <c r="EB102" s="419">
        <f t="shared" si="34"/>
        <v>0</v>
      </c>
      <c r="EC102" s="419">
        <f t="shared" si="35"/>
        <v>0</v>
      </c>
      <c r="ED102" s="419">
        <f t="shared" si="36"/>
        <v>-715.70753024832811</v>
      </c>
    </row>
    <row r="103" spans="1:134">
      <c r="A103" s="135">
        <v>10326</v>
      </c>
      <c r="B103" s="136" t="s">
        <v>104</v>
      </c>
      <c r="C103" s="244">
        <f>VLOOKUP(A103, TOCA_current!$A$3:$D$137, 4, FALSE)</f>
        <v>0</v>
      </c>
      <c r="D103" s="203">
        <v>0</v>
      </c>
      <c r="E103" s="119">
        <f>VLOOKUP($A103,TOCA_previous!$A$2:$AI$137,MATCH(E$4,TOCA_previous!$A$2:$AI$2,0),FALSE)</f>
        <v>4.2025999999999999E-3</v>
      </c>
      <c r="F103" s="120">
        <f>VLOOKUP($A103,TOCA_previous!$A$2:$AI$137,MATCH(F$4,TOCA_previous!$A$2:$AI$2,0),FALSE)</f>
        <v>4.2025999999999999E-3</v>
      </c>
      <c r="G103" s="120">
        <f t="shared" si="24"/>
        <v>0</v>
      </c>
      <c r="H103" s="120">
        <f>VLOOKUP($A103,TOCA_previous!$A$2:$AI$137,MATCH(H$4,TOCA_previous!$A$2:$AI$2,0),FALSE)</f>
        <v>0</v>
      </c>
      <c r="I103" s="120">
        <f t="shared" si="25"/>
        <v>0</v>
      </c>
      <c r="J103" s="120">
        <f t="shared" si="26"/>
        <v>0</v>
      </c>
      <c r="K103" s="191">
        <f>VLOOKUP(A103, IRD!$A$5:$C$139, 3, FALSE)</f>
        <v>0</v>
      </c>
      <c r="L103" s="192">
        <f t="array" ref="L103">IF($G103=0, INDEX(LS_previous!$D$4:$AY$138, MATCH('Staging Table'!$A103, LS_previous!$B$4:$B$138, 0), MATCH(L$4&amp;L$5, LS_previous!$D$2:$AY$2&amp;LS_previous!$D$3:$AY$3, 0)),SUM(VLOOKUP($A103, LS_previous!$B$4:$AY$138, LS_previous!D$149, FALSE), VLOOKUP('Staging Table'!$A103, LS_previous!$B$4:$AY$138,LS_previous!AB$149, FALSE))/2)</f>
        <v>-408.84519960879879</v>
      </c>
      <c r="M103" s="192">
        <f t="array" ref="M103">IF($G103=0, INDEX(LS_previous!$D$4:$AY$138, MATCH('Staging Table'!$A103, LS_previous!$B$4:$B$138, 0), MATCH(M$4&amp;M$5, LS_previous!$D$2:$AY$2&amp;LS_previous!$D$3:$AY$3, 0)),SUM(VLOOKUP($A103, LS_previous!$B$4:$AY$138, LS_previous!E$149, FALSE), VLOOKUP('Staging Table'!$A103, LS_previous!$B$4:$AY$138,LS_previous!AC$149, FALSE))/2)</f>
        <v>2007.7769516992003</v>
      </c>
      <c r="N103" s="192">
        <f t="array" ref="N103">IF($G103=0, INDEX(LS_previous!$D$4:$AY$138, MATCH('Staging Table'!$A103, LS_previous!$B$4:$B$138, 0), MATCH(N$4&amp;N$5, LS_previous!$D$2:$AY$2&amp;LS_previous!$D$3:$AY$3, 0)),SUM(VLOOKUP($A103, LS_previous!$B$4:$AY$138, LS_previous!F$149, FALSE), VLOOKUP('Staging Table'!$A103, LS_previous!$B$4:$AY$138,LS_previous!AD$149, FALSE))/2)</f>
        <v>-3980.9747731727985</v>
      </c>
      <c r="O103" s="192">
        <f t="array" ref="O103">IF($G103=0, INDEX(LS_previous!$D$4:$AY$138, MATCH('Staging Table'!$A103, LS_previous!$B$4:$B$138, 0), MATCH(O$4&amp;O$5, LS_previous!$D$2:$AY$2&amp;LS_previous!$D$3:$AY$3, 0)),SUM(VLOOKUP($A103, LS_previous!$B$4:$AY$138, LS_previous!G$149, FALSE), VLOOKUP('Staging Table'!$A103, LS_previous!$B$4:$AY$138,LS_previous!AE$149, FALSE))/2)</f>
        <v>-865.4639570485997</v>
      </c>
      <c r="P103" s="192">
        <f t="array" ref="P103">IF($G103=0, INDEX(LS_previous!$D$4:$AY$138, MATCH('Staging Table'!$A103, LS_previous!$B$4:$B$138, 0), MATCH(P$4&amp;P$5, LS_previous!$D$2:$AY$2&amp;LS_previous!$D$3:$AY$3, 0)),SUM(VLOOKUP($A103, LS_previous!$B$4:$AY$138, LS_previous!H$149, FALSE), VLOOKUP('Staging Table'!$A103, LS_previous!$B$4:$AY$138,LS_previous!AF$149, FALSE))/2)</f>
        <v>-2265.4610097471996</v>
      </c>
      <c r="Q103" s="192">
        <f t="array" ref="Q103">IF($G103=0, INDEX(LS_previous!$D$4:$AY$138, MATCH('Staging Table'!$A103, LS_previous!$B$4:$B$138, 0), MATCH(Q$4&amp;Q$5, LS_previous!$D$2:$AY$2&amp;LS_previous!$D$3:$AY$3, 0)),SUM(VLOOKUP($A103, LS_previous!$B$4:$AY$138, LS_previous!I$149, FALSE), VLOOKUP('Staging Table'!$A103, LS_previous!$B$4:$AY$138,LS_previous!AG$149, FALSE))/2)</f>
        <v>38.144226037598855</v>
      </c>
      <c r="R103" s="192">
        <f t="array" ref="R103">IF($G103=0, INDEX(LS_previous!$D$4:$AY$138, MATCH('Staging Table'!$A103, LS_previous!$B$4:$B$138, 0), MATCH(R$4&amp;R$5, LS_previous!$D$2:$AY$2&amp;LS_previous!$D$3:$AY$3, 0)),SUM(VLOOKUP($A103, LS_previous!$B$4:$AY$138, LS_previous!J$149, FALSE), VLOOKUP('Staging Table'!$A103, LS_previous!$B$4:$AY$138,LS_previous!AH$149, FALSE))/2)</f>
        <v>80.559667852798157</v>
      </c>
      <c r="S103" s="192">
        <f t="array" ref="S103">IF($G103=0, INDEX(LS_previous!$D$4:$AY$138, MATCH('Staging Table'!$A103, LS_previous!$B$4:$B$138, 0), MATCH(S$4&amp;S$5, LS_previous!$D$2:$AY$2&amp;LS_previous!$D$3:$AY$3, 0)),SUM(VLOOKUP($A103, LS_previous!$B$4:$AY$138, LS_previous!K$149, FALSE), VLOOKUP('Staging Table'!$A103, LS_previous!$B$4:$AY$138,LS_previous!AI$149, FALSE))/2)</f>
        <v>2569.4127132376007</v>
      </c>
      <c r="T103" s="192">
        <f t="array" ref="T103">IF($G103=0, INDEX(LS_previous!$D$4:$AY$138, MATCH('Staging Table'!$A103, LS_previous!$B$4:$B$138, 0), MATCH(T$4&amp;T$5, LS_previous!$D$2:$AY$2&amp;LS_previous!$D$3:$AY$3, 0)),SUM(VLOOKUP($A103, LS_previous!$B$4:$AY$138, LS_previous!L$149, FALSE), VLOOKUP('Staging Table'!$A103, LS_previous!$B$4:$AY$138,LS_previous!AJ$149, FALSE))/2)</f>
        <v>436.08952667760059</v>
      </c>
      <c r="U103" s="192">
        <f t="array" ref="U103">IF($G103=0, INDEX(LS_previous!$D$4:$AY$138, MATCH('Staging Table'!$A103, LS_previous!$B$4:$B$138, 0), MATCH(U$4&amp;U$5, LS_previous!$D$2:$AY$2&amp;LS_previous!$D$3:$AY$3, 0)),SUM(VLOOKUP($A103, LS_previous!$B$4:$AY$138, LS_previous!M$149, FALSE), VLOOKUP('Staging Table'!$A103, LS_previous!$B$4:$AY$138,LS_previous!AK$149, FALSE))/2)</f>
        <v>1553.6763096424011</v>
      </c>
      <c r="V103" s="192">
        <f t="array" ref="V103">IF($G103=0, INDEX(LS_previous!$D$4:$AY$138, MATCH('Staging Table'!$A103, LS_previous!$B$4:$B$138, 0), MATCH(V$4&amp;V$5, LS_previous!$D$2:$AY$2&amp;LS_previous!$D$3:$AY$3, 0)),SUM(VLOOKUP($A103, LS_previous!$B$4:$AY$138, LS_previous!N$149, FALSE), VLOOKUP('Staging Table'!$A103, LS_previous!$B$4:$AY$138,LS_previous!AL$149, FALSE))/2)</f>
        <v>628.58402887840202</v>
      </c>
      <c r="W103" s="192">
        <f t="array" ref="W103">IF($G103=0, INDEX(LS_previous!$D$4:$AY$138, MATCH('Staging Table'!$A103, LS_previous!$B$4:$B$138, 0), MATCH(W$4&amp;W$5, LS_previous!$D$2:$AY$2&amp;LS_previous!$D$3:$AY$3, 0)),SUM(VLOOKUP($A103, LS_previous!$B$4:$AY$138, LS_previous!O$149, FALSE), VLOOKUP('Staging Table'!$A103, LS_previous!$B$4:$AY$138,LS_previous!AM$149, FALSE))/2)</f>
        <v>1591.7766382853997</v>
      </c>
      <c r="X103" s="192">
        <f t="array" ref="X103">IF($G103=0, INDEX(LS_previous!$D$4:$AY$138, MATCH('Staging Table'!$A103, LS_previous!$B$4:$B$138, 0), MATCH(X$4&amp;X$5, LS_previous!$D$2:$AY$2&amp;LS_previous!$D$3:$AY$3, 0)),SUM(VLOOKUP($A103, LS_previous!$B$4:$AY$138, LS_previous!P$149, FALSE), VLOOKUP('Staging Table'!$A103, LS_previous!$B$4:$AY$138,LS_previous!AN$149, FALSE))/2)</f>
        <v>1809.9427548656004</v>
      </c>
      <c r="Y103" s="192">
        <f t="array" ref="Y103">IF($G103=0, INDEX(LS_previous!$D$4:$AY$138, MATCH('Staging Table'!$A103, LS_previous!$B$4:$B$138, 0), MATCH(Y$4&amp;Y$5, LS_previous!$D$2:$AY$2&amp;LS_previous!$D$3:$AY$3, 0)),SUM(VLOOKUP($A103, LS_previous!$B$4:$AY$138, LS_previous!Q$149, FALSE), VLOOKUP('Staging Table'!$A103, LS_previous!$B$4:$AY$138,LS_previous!AO$149, FALSE))/2)</f>
        <v>2032.1924050864</v>
      </c>
      <c r="Z103" s="192">
        <f t="array" ref="Z103">IF($G103=0, INDEX(LS_previous!$D$4:$AY$138, MATCH('Staging Table'!$A103, LS_previous!$B$4:$B$138, 0), MATCH(Z$4&amp;Z$5, LS_previous!$D$2:$AY$2&amp;LS_previous!$D$3:$AY$3, 0)),SUM(VLOOKUP($A103, LS_previous!$B$4:$AY$138, LS_previous!R$149, FALSE), VLOOKUP('Staging Table'!$A103, LS_previous!$B$4:$AY$138,LS_previous!AP$149, FALSE))/2)</f>
        <v>-2589.7328464599996</v>
      </c>
      <c r="AA103" s="192">
        <f t="array" ref="AA103">IF($G103=0, INDEX(LS_previous!$D$4:$AY$138, MATCH('Staging Table'!$A103, LS_previous!$B$4:$B$138, 0), MATCH(AA$4&amp;AA$5, LS_previous!$D$2:$AY$2&amp;LS_previous!$D$3:$AY$3, 0)),SUM(VLOOKUP($A103, LS_previous!$B$4:$AY$138, LS_previous!S$149, FALSE), VLOOKUP('Staging Table'!$A103, LS_previous!$B$4:$AY$138,LS_previous!AQ$149, FALSE))/2)</f>
        <v>1459.6380892504012</v>
      </c>
      <c r="AB103" s="192">
        <f t="array" ref="AB103">IF($G103=0, INDEX(LS_previous!$D$4:$AY$138, MATCH('Staging Table'!$A103, LS_previous!$B$4:$B$138, 0), MATCH(AB$4&amp;AB$5, LS_previous!$D$2:$AY$2&amp;LS_previous!$D$3:$AY$3, 0)),SUM(VLOOKUP($A103, LS_previous!$B$4:$AY$138, LS_previous!T$149, FALSE), VLOOKUP('Staging Table'!$A103, LS_previous!$B$4:$AY$138,LS_previous!AR$149, FALSE))/2)</f>
        <v>-7601.3832062344009</v>
      </c>
      <c r="AC103" s="192">
        <f t="array" ref="AC103">IF($G103=0, INDEX(LS_previous!$D$4:$AY$138, MATCH('Staging Table'!$A103, LS_previous!$B$4:$B$138, 0), MATCH(AC$4&amp;AC$5, LS_previous!$D$2:$AY$2&amp;LS_previous!$D$3:$AY$3, 0)),SUM(VLOOKUP($A103, LS_previous!$B$4:$AY$138, LS_previous!U$149, FALSE), VLOOKUP('Staging Table'!$A103, LS_previous!$B$4:$AY$138,LS_previous!AS$149, FALSE))/2)</f>
        <v>-2884.3769385135993</v>
      </c>
      <c r="AD103" s="192">
        <f t="array" ref="AD103">IF($G103=0, INDEX(LS_previous!$D$4:$AY$138, MATCH('Staging Table'!$A103, LS_previous!$B$4:$B$138, 0), MATCH(AD$4&amp;AD$5, LS_previous!$D$2:$AY$2&amp;LS_previous!$D$3:$AY$3, 0)),SUM(VLOOKUP($A103, LS_previous!$B$4:$AY$138, LS_previous!V$149, FALSE), VLOOKUP('Staging Table'!$A103, LS_previous!$B$4:$AY$138,LS_previous!AT$149, FALSE))/2)</f>
        <v>-4800.9254392343992</v>
      </c>
      <c r="AE103" s="192">
        <f t="array" ref="AE103">IF($G103=0, INDEX(LS_previous!$D$4:$AY$138, MATCH('Staging Table'!$A103, LS_previous!$B$4:$B$138, 0), MATCH(AE$4&amp;AE$5, LS_previous!$D$2:$AY$2&amp;LS_previous!$D$3:$AY$3, 0)),SUM(VLOOKUP($A103, LS_previous!$B$4:$AY$138, LS_previous!W$149, FALSE), VLOOKUP('Staging Table'!$A103, LS_previous!$B$4:$AY$138,LS_previous!AU$149, FALSE))/2)</f>
        <v>1329.0308249248001</v>
      </c>
      <c r="AF103" s="192">
        <f t="array" ref="AF103">IF($G103=0, INDEX(LS_previous!$D$4:$AY$138, MATCH('Staging Table'!$A103, LS_previous!$B$4:$B$138, 0), MATCH(AF$4&amp;AF$5, LS_previous!$D$2:$AY$2&amp;LS_previous!$D$3:$AY$3, 0)),SUM(VLOOKUP($A103, LS_previous!$B$4:$AY$138, LS_previous!X$149, FALSE), VLOOKUP('Staging Table'!$A103, LS_previous!$B$4:$AY$138,LS_previous!AV$149, FALSE))/2)</f>
        <v>-3658.0197079343998</v>
      </c>
      <c r="AG103" s="192">
        <f t="array" ref="AG103">IF($G103=0, INDEX(LS_previous!$D$4:$AY$138, MATCH('Staging Table'!$A103, LS_previous!$B$4:$B$138, 0), MATCH(AG$4&amp;AG$5, LS_previous!$D$2:$AY$2&amp;LS_previous!$D$3:$AY$3, 0)),SUM(VLOOKUP($A103, LS_previous!$B$4:$AY$138, LS_previous!Y$149, FALSE), VLOOKUP('Staging Table'!$A103, LS_previous!$B$4:$AY$138,LS_previous!AW$149, FALSE))/2)</f>
        <v>309.80137692480002</v>
      </c>
      <c r="AH103" s="192">
        <f t="array" ref="AH103">IF($G103=0, INDEX(LS_previous!$D$4:$AY$138, MATCH('Staging Table'!$A103, LS_previous!$B$4:$B$138, 0), MATCH(AH$4&amp;AH$5, LS_previous!$D$2:$AY$2&amp;LS_previous!$D$3:$AY$3, 0)),SUM(VLOOKUP($A103, LS_previous!$B$4:$AY$138, LS_previous!Z$149, FALSE), VLOOKUP('Staging Table'!$A103, LS_previous!$B$4:$AY$138,LS_previous!AX$149, FALSE))/2)</f>
        <v>-2278.1433225599994</v>
      </c>
      <c r="AI103" s="192">
        <f t="array" ref="AI103">IF($G103=0, INDEX(LS_previous!$D$4:$AY$138, MATCH('Staging Table'!$A103, LS_previous!$B$4:$B$138, 0), MATCH(AI$4&amp;AI$5, LS_previous!$D$2:$AY$2&amp;LS_previous!$D$3:$AY$3, 0)),SUM(VLOOKUP($A103, LS_previous!$B$4:$AY$138, LS_previous!AA$149, FALSE), VLOOKUP('Staging Table'!$A103, LS_previous!$B$4:$AY$138,LS_previous!AY$149, FALSE))/2)</f>
        <v>177.97969191200082</v>
      </c>
      <c r="AJ103" s="314">
        <f t="array" ref="AJ103">INDEX(Demand_previous!$D$4:$AY$138, MATCH('Staging Table'!$A103, Demand_previous!$B$4:$B$138, 0), MATCH(AJ$4&amp;AJ$5,Demand_previous!$D$2:$AY$2&amp;Demand_previous!$D$3:$AY$3, 0))/1000</f>
        <v>3.6234884259259221</v>
      </c>
      <c r="AK103" s="314">
        <f t="array" ref="AK103">INDEX(Demand_previous!$D$4:$AY$138, MATCH('Staging Table'!$A103, Demand_previous!$B$4:$B$138, 0), MATCH(AK$4&amp;AK$5,Demand_previous!$D$2:$AY$2&amp;Demand_previous!$D$3:$AY$3, 0))/1000</f>
        <v>0</v>
      </c>
      <c r="AL103" s="314">
        <f t="array" ref="AL103">INDEX(Demand_previous!$D$4:$AY$138, MATCH('Staging Table'!$A103, Demand_previous!$B$4:$B$138, 0), MATCH(AL$4&amp;AL$5,Demand_previous!$D$2:$AY$2&amp;Demand_previous!$D$3:$AY$3, 0))/1000</f>
        <v>3.751467500000004</v>
      </c>
      <c r="AM103" s="314">
        <f t="array" ref="AM103">INDEX(Demand_previous!$D$4:$AY$138, MATCH('Staging Table'!$A103, Demand_previous!$B$4:$B$138, 0), MATCH(AM$4&amp;AM$5,Demand_previous!$D$2:$AY$2&amp;Demand_previous!$D$3:$AY$3, 0))/1000</f>
        <v>2.9976850961538517</v>
      </c>
      <c r="AN103" s="314">
        <f t="array" ref="AN103">INDEX(Demand_previous!$D$4:$AY$138, MATCH('Staging Table'!$A103, Demand_previous!$B$4:$B$138, 0), MATCH(AN$4&amp;AN$5,Demand_previous!$D$2:$AY$2&amp;Demand_previous!$D$3:$AY$3, 0))/1000</f>
        <v>6.8825624999999997</v>
      </c>
      <c r="AO103" s="314">
        <f t="array" ref="AO103">INDEX(Demand_previous!$D$4:$AY$138, MATCH('Staging Table'!$A103, Demand_previous!$B$4:$B$138, 0), MATCH(AO$4&amp;AO$5,Demand_previous!$D$2:$AY$2&amp;Demand_previous!$D$3:$AY$3, 0))/1000</f>
        <v>3.3201442307692304</v>
      </c>
      <c r="AP103" s="314">
        <f t="array" ref="AP103">INDEX(Demand_previous!$D$4:$AY$138, MATCH('Staging Table'!$A103, Demand_previous!$B$4:$B$138, 0), MATCH(AP$4&amp;AP$5,Demand_previous!$D$2:$AY$2&amp;Demand_previous!$D$3:$AY$3, 0))/1000</f>
        <v>0.71797596153846388</v>
      </c>
      <c r="AQ103" s="314">
        <f t="array" ref="AQ103">INDEX(Demand_previous!$D$4:$AY$138, MATCH('Staging Table'!$A103, Demand_previous!$B$4:$B$138, 0), MATCH(AQ$4&amp;AQ$5,Demand_previous!$D$2:$AY$2&amp;Demand_previous!$D$3:$AY$3, 0))/1000</f>
        <v>1.138874999999997</v>
      </c>
      <c r="AR103" s="314">
        <f t="array" ref="AR103">INDEX(Demand_previous!$D$4:$AY$138, MATCH('Staging Table'!$A103, Demand_previous!$B$4:$B$138, 0), MATCH(AR$4&amp;AR$5,Demand_previous!$D$2:$AY$2&amp;Demand_previous!$D$3:$AY$3, 0))/1000</f>
        <v>1.419274038461543</v>
      </c>
      <c r="AS103" s="314">
        <f t="array" ref="AS103">INDEX(Demand_previous!$D$4:$AY$138, MATCH('Staging Table'!$A103, Demand_previous!$B$4:$B$138, 0), MATCH(AS$4&amp;AS$5,Demand_previous!$D$2:$AY$2&amp;Demand_previous!$D$3:$AY$3, 0))/1000</f>
        <v>3.8276754807692264</v>
      </c>
      <c r="AT103" s="314">
        <f t="array" ref="AT103">INDEX(Demand_previous!$D$4:$AY$138, MATCH('Staging Table'!$A103, Demand_previous!$B$4:$B$138, 0), MATCH(AT$4&amp;AT$5,Demand_previous!$D$2:$AY$2&amp;Demand_previous!$D$3:$AY$3, 0))/1000</f>
        <v>1.2803365384615333</v>
      </c>
      <c r="AU103" s="314">
        <f t="array" ref="AU103">INDEX(Demand_previous!$D$4:$AY$138, MATCH('Staging Table'!$A103, Demand_previous!$B$4:$B$138, 0), MATCH(AU$4&amp;AU$5,Demand_previous!$D$2:$AY$2&amp;Demand_previous!$D$3:$AY$3, 0))/1000</f>
        <v>4.5183525000000015</v>
      </c>
      <c r="AV103" s="192">
        <f>$F103*(VLOOKUP(AV$4, Rates_previous!$G$6:$Q$29, 10, FALSE)+VLOOKUP(AV$4, Rates_previous!$G$6:$Q$29, 11, FALSE))</f>
        <v>19404.737247909597</v>
      </c>
      <c r="AW103" s="192">
        <f>$F103*(VLOOKUP(AW$4, Rates_previous!$G$6:$Q$29, 10, FALSE)+VLOOKUP(AW$4, Rates_previous!$G$6:$Q$29, 11, FALSE))</f>
        <v>24650.069730221399</v>
      </c>
      <c r="AX103" s="192">
        <f>$F103*(VLOOKUP(AX$4, Rates_previous!$G$6:$Q$29, 10, FALSE)+VLOOKUP(AX$4, Rates_previous!$G$6:$Q$29, 11, FALSE))</f>
        <v>24352.3867837096</v>
      </c>
      <c r="AY103" s="192">
        <f>$F103*(VLOOKUP(AY$4, Rates_previous!$G$6:$Q$29, 10, FALSE)+VLOOKUP(AY$4, Rates_previous!$G$6:$Q$29, 11, FALSE))</f>
        <v>20299.197618909602</v>
      </c>
      <c r="AZ103" s="192">
        <f>$F103*(VLOOKUP(AZ$4, Rates_previous!$G$6:$Q$29, 10, FALSE)+VLOOKUP(AZ$4, Rates_previous!$G$6:$Q$29, 11, FALSE))</f>
        <v>18388.967163679998</v>
      </c>
      <c r="BA103" s="192">
        <f>$F103*(VLOOKUP(BA$4, Rates_previous!$G$6:$Q$29, 10, FALSE)+VLOOKUP(BA$4, Rates_previous!$G$6:$Q$29, 11, FALSE))</f>
        <v>20454.3733328362</v>
      </c>
      <c r="BB103" s="192">
        <f>$F103*(VLOOKUP(BB$4, Rates_previous!$G$6:$Q$29, 10, FALSE)+VLOOKUP(BB$4, Rates_previous!$G$6:$Q$29, 11, FALSE))</f>
        <v>16653.972840047998</v>
      </c>
      <c r="BC103" s="192">
        <f>$F103*(VLOOKUP(BC$4, Rates_previous!$G$6:$Q$29, 10, FALSE)+VLOOKUP(BC$4, Rates_previous!$G$6:$Q$29, 11, FALSE))</f>
        <v>22460.365757209602</v>
      </c>
      <c r="BD103" s="192">
        <f>$F103*(VLOOKUP(BD$4, Rates_previous!$G$6:$Q$29, 10, FALSE)+VLOOKUP(BD$4, Rates_previous!$G$6:$Q$29, 11, FALSE))</f>
        <v>28657.899144748</v>
      </c>
      <c r="BE103" s="192">
        <f>$F103*(VLOOKUP(BE$4, Rates_previous!$G$6:$Q$29, 10, FALSE)+VLOOKUP(BE$4, Rates_previous!$G$6:$Q$29, 11, FALSE))</f>
        <v>22468.701614309601</v>
      </c>
      <c r="BF103" s="192">
        <f>$F103*(VLOOKUP(BF$4, Rates_previous!$G$6:$Q$29, 10, FALSE)+VLOOKUP(BF$4, Rates_previous!$G$6:$Q$29, 11, FALSE))</f>
        <v>21880.041331009601</v>
      </c>
      <c r="BG103" s="192">
        <f>$F103*(VLOOKUP(BG$4, Rates_previous!$G$6:$Q$29, 10, FALSE)+VLOOKUP(BG$4, Rates_previous!$G$6:$Q$29, 11, FALSE))</f>
        <v>19643.622630648002</v>
      </c>
      <c r="BH103" s="314">
        <f>IF($D103=0,IF(C103=0, MAX(BJ103 - (VLOOKUP($A103,TOCA_previous!$A$2:$AI$137,MATCH("RHWM 2020",TOCA_previous!$A$2:$AI$2,0),FALSE)*$F$2*TOCA_previous!C100),0),0), 0)</f>
        <v>0</v>
      </c>
      <c r="BI103" s="204">
        <f>MIN(VLOOKUP($A103,TOCA_previous!$A$2:$AI$137,MATCH("TRL - NLSL - Existing Resource "&amp;$F$1,TOCA_previous!$A$2:$AI$2,0),FALSE)*$F$2,(VLOOKUP($A103,TOCA_previous!$A$2:$AI$137,MATCH("RHWM 2020",TOCA_previous!$A$2:$AI$2,0),FALSE)*$F$2))</f>
        <v>259312.46400000001</v>
      </c>
      <c r="BJ103" s="418">
        <f>SUM(L103:AI103)+(F103*RT1SC!$C$3*$F$2)</f>
        <v>244005.62373322158</v>
      </c>
      <c r="BK103" s="417">
        <f>VLOOKUP($A103,TOCA_previous!$A$2:$AI$137,MATCH("Above RHWM Not Served with LS "&amp;$F$1,TOCA_previous!$A$2:$AI$2,0),FALSE)*$F$2</f>
        <v>0</v>
      </c>
      <c r="BL103" s="418">
        <f t="shared" si="27"/>
        <v>-15306.840266778425</v>
      </c>
      <c r="BM103" s="417">
        <f>(VLOOKUP($A103,TOCA_previous!$A$2:$AI$137,MATCH("RHWM 2020",TOCA_previous!$A$2:$AI$2,0),FALSE)*$F$2) - $BI103</f>
        <v>6825.167999999976</v>
      </c>
      <c r="BN103" s="418">
        <f t="shared" si="28"/>
        <v>0</v>
      </c>
      <c r="BO103" s="417">
        <f t="shared" si="29"/>
        <v>15306.840266778425</v>
      </c>
      <c r="BP103" s="418">
        <f t="shared" si="30"/>
        <v>0</v>
      </c>
      <c r="BQ103" s="417">
        <f t="shared" si="37"/>
        <v>15306.840266778425</v>
      </c>
      <c r="BR103" s="120">
        <f>VLOOKUP($A103,TOCA_current!$A$2:$AI$137,MATCH(BR$4,TOCA_current!$A$2:$AI$2,0),FALSE)</f>
        <v>4.3131999999999997E-3</v>
      </c>
      <c r="BS103" s="120">
        <f>VLOOKUP($A103,TOCA_current!$A$2:$AI$137,MATCH(BS$4,TOCA_current!$A$2:$AI$2,0),FALSE)</f>
        <v>4.3131999999999997E-3</v>
      </c>
      <c r="BT103" s="201">
        <f t="shared" si="31"/>
        <v>0</v>
      </c>
      <c r="BU103" s="120">
        <f>VLOOKUP($A103,TOCA_current!A99:BG234,MATCH(BU$4,TOCA_current!$A$2:$BG$2,0),FALSE)</f>
        <v>0</v>
      </c>
      <c r="BV103" s="120">
        <f t="shared" si="38"/>
        <v>0</v>
      </c>
      <c r="BW103" s="120">
        <f t="shared" si="39"/>
        <v>0</v>
      </c>
      <c r="BX103" s="191">
        <f>VLOOKUP($A103,IRD!$A$4:$G$139, 7, FALSE)</f>
        <v>0</v>
      </c>
      <c r="BY103" s="192">
        <f t="array" ref="BY103">IF($BT103=0, INDEX(LS_current!$D$4:$AY$138, MATCH('Staging Table'!$A103, LS_current!$B$4:$B$138, 0), MATCH(BY$4&amp;BY$5, LS_current!$D$2:$AY$2&amp;LS_current!$D$3:$AY$3, 0)),SUM(VLOOKUP($A103, LS_current!$B$4:$AY$138, LS_current!D$148, FALSE), VLOOKUP($A103, LS_current!$B$4:$AY$138,LS_current!AB$148, FALSE))/2)</f>
        <v>-1638.8515689945161</v>
      </c>
      <c r="BZ103" s="192">
        <f t="array" ref="BZ103">IF($BT103=0, INDEX(LS_current!$D$4:$AY$138, MATCH('Staging Table'!$A103, LS_current!$B$4:$B$138, 0), MATCH(BZ$4&amp;BZ$5, LS_current!$D$2:$AY$2&amp;LS_current!$D$3:$AY$3, 0)),SUM(VLOOKUP($A103, LS_current!$B$4:$AY$138, LS_current!E$148, FALSE), VLOOKUP($A103, LS_current!$B$4:$AY$138,LS_current!AC$148, FALSE))/2)</f>
        <v>714.96575735954684</v>
      </c>
      <c r="CA103" s="192">
        <f t="array" ref="CA103">IF($BT103=0, INDEX(LS_current!$D$4:$AY$138, MATCH('Staging Table'!$A103, LS_current!$B$4:$B$138, 0), MATCH(CA$4&amp;CA$5, LS_current!$D$2:$AY$2&amp;LS_current!$D$3:$AY$3, 0)),SUM(VLOOKUP($A103, LS_current!$B$4:$AY$138, LS_current!F$148, FALSE), VLOOKUP($A103, LS_current!$B$4:$AY$138,LS_current!AD$148, FALSE))/2)</f>
        <v>-5015.1351096399812</v>
      </c>
      <c r="CB103" s="192">
        <f t="array" ref="CB103">IF($BT103=0, INDEX(LS_current!$D$4:$AY$138, MATCH('Staging Table'!$A103, LS_current!$B$4:$B$138, 0), MATCH(CB$4&amp;CB$5, LS_current!$D$2:$AY$2&amp;LS_current!$D$3:$AY$3, 0)),SUM(VLOOKUP($A103, LS_current!$B$4:$AY$138, LS_current!G$148, FALSE), VLOOKUP($A103, LS_current!$B$4:$AY$138,LS_current!AE$148, FALSE))/2)</f>
        <v>-2263.6140506466554</v>
      </c>
      <c r="CC103" s="192">
        <f t="array" ref="CC103">IF($BT103=0, INDEX(LS_current!$D$4:$AY$138, MATCH('Staging Table'!$A103, LS_current!$B$4:$B$138, 0), MATCH(CC$4&amp;CC$5, LS_current!$D$2:$AY$2&amp;LS_current!$D$3:$AY$3, 0)),SUM(VLOOKUP($A103, LS_current!$B$4:$AY$138, LS_current!H$148, FALSE), VLOOKUP($A103, LS_current!$B$4:$AY$138,LS_current!AF$148, FALSE))/2)</f>
        <v>-2325.7468835285035</v>
      </c>
      <c r="CD103" s="192">
        <f t="array" ref="CD103">IF($BT103=0, INDEX(LS_current!$D$4:$AY$138, MATCH('Staging Table'!$A103, LS_current!$B$4:$B$138, 0), MATCH(CD$4&amp;CD$5, LS_current!$D$2:$AY$2&amp;LS_current!$D$3:$AY$3, 0)),SUM(VLOOKUP($A103, LS_current!$B$4:$AY$138, LS_current!I$148, FALSE), VLOOKUP($A103, LS_current!$B$4:$AY$138,LS_current!AG$148, FALSE))/2)</f>
        <v>-2175.0343426346517</v>
      </c>
      <c r="CE103" s="192">
        <f t="array" ref="CE103">IF($BT103=0, INDEX(LS_current!$D$4:$AY$138, MATCH('Staging Table'!$A103, LS_current!$B$4:$B$138, 0), MATCH(CE$4&amp;CE$5, LS_current!$D$2:$AY$2&amp;LS_current!$D$3:$AY$3, 0)),SUM(VLOOKUP($A103, LS_current!$B$4:$AY$138, LS_current!J$148, FALSE), VLOOKUP($A103, LS_current!$B$4:$AY$138,LS_current!AH$148, FALSE))/2)</f>
        <v>172.29732925657845</v>
      </c>
      <c r="CF103" s="192">
        <f t="array" ref="CF103">IF($BT103=0, INDEX(LS_current!$D$4:$AY$138, MATCH('Staging Table'!$A103, LS_current!$B$4:$B$138, 0), MATCH(CF$4&amp;CF$5, LS_current!$D$2:$AY$2&amp;LS_current!$D$3:$AY$3, 0)),SUM(VLOOKUP($A103, LS_current!$B$4:$AY$138, LS_current!K$148, FALSE), VLOOKUP($A103, LS_current!$B$4:$AY$138,LS_current!AI$148, FALSE))/2)</f>
        <v>387.26579262863197</v>
      </c>
      <c r="CG103" s="192">
        <f t="array" ref="CG103">IF($BT103=0, INDEX(LS_current!$D$4:$AY$138, MATCH('Staging Table'!$A103, LS_current!$B$4:$B$138, 0), MATCH(CG$4&amp;CG$5, LS_current!$D$2:$AY$2&amp;LS_current!$D$3:$AY$3, 0)),SUM(VLOOKUP($A103, LS_current!$B$4:$AY$138, LS_current!L$148, FALSE), VLOOKUP($A103, LS_current!$B$4:$AY$138,LS_current!AJ$148, FALSE))/2)</f>
        <v>736.38316724315155</v>
      </c>
      <c r="CH103" s="192">
        <f t="array" ref="CH103">IF($BT103=0, INDEX(LS_current!$D$4:$AY$138, MATCH('Staging Table'!$A103, LS_current!$B$4:$B$138, 0), MATCH(CH$4&amp;CH$5, LS_current!$D$2:$AY$2&amp;LS_current!$D$3:$AY$3, 0)),SUM(VLOOKUP($A103, LS_current!$B$4:$AY$138, LS_current!M$148, FALSE), VLOOKUP($A103, LS_current!$B$4:$AY$138,LS_current!AK$148, FALSE))/2)</f>
        <v>153.35471510063508</v>
      </c>
      <c r="CI103" s="192">
        <f t="array" ref="CI103">IF($BT103=0, INDEX(LS_current!$D$4:$AY$138, MATCH('Staging Table'!$A103, LS_current!$B$4:$B$138, 0), MATCH(CI$4&amp;CI$5, LS_current!$D$2:$AY$2&amp;LS_current!$D$3:$AY$3, 0)),SUM(VLOOKUP($A103, LS_current!$B$4:$AY$138, LS_current!N$148, FALSE), VLOOKUP($A103, LS_current!$B$4:$AY$138,LS_current!AL$148, FALSE))/2)</f>
        <v>-468.18505875675692</v>
      </c>
      <c r="CJ103" s="192">
        <f t="array" ref="CJ103">IF($BT103=0, INDEX(LS_current!$D$4:$AY$138, MATCH('Staging Table'!$A103, LS_current!$B$4:$B$138, 0), MATCH(CJ$4&amp;CJ$5, LS_current!$D$2:$AY$2&amp;LS_current!$D$3:$AY$3, 0)),SUM(VLOOKUP($A103, LS_current!$B$4:$AY$138, LS_current!O$148, FALSE), VLOOKUP($A103, LS_current!$B$4:$AY$138,LS_current!AM$148, FALSE))/2)</f>
        <v>58.956097122347273</v>
      </c>
      <c r="CK103" s="192">
        <f t="array" ref="CK103">IF($BT103=0, INDEX(LS_current!$D$4:$AY$138, MATCH('Staging Table'!$A103, LS_current!$B$4:$B$138, 0), MATCH(CK$4&amp;CK$5, LS_current!$D$2:$AY$2&amp;LS_current!$D$3:$AY$3, 0)),SUM(VLOOKUP($A103, LS_current!$B$4:$AY$138, LS_current!P$148, FALSE), VLOOKUP($A103, LS_current!$B$4:$AY$138,LS_current!AN$148, FALSE))/2)</f>
        <v>1059.6248402514011</v>
      </c>
      <c r="CL103" s="192">
        <f t="array" ref="CL103">IF($BT103=0, INDEX(LS_current!$D$4:$AY$138, MATCH('Staging Table'!$A103, LS_current!$B$4:$B$138, 0), MATCH(CL$4&amp;CL$5, LS_current!$D$2:$AY$2&amp;LS_current!$D$3:$AY$3, 0)),SUM(VLOOKUP($A103, LS_current!$B$4:$AY$138, LS_current!Q$148, FALSE), VLOOKUP($A103, LS_current!$B$4:$AY$138,LS_current!AO$148, FALSE))/2)</f>
        <v>1075.0733404416696</v>
      </c>
      <c r="CM103" s="192">
        <f t="array" ref="CM103">IF($BT103=0, INDEX(LS_current!$D$4:$AY$138, MATCH('Staging Table'!$A103, LS_current!$B$4:$B$138, 0), MATCH(CM$4&amp;CM$5, LS_current!$D$2:$AY$2&amp;LS_current!$D$3:$AY$3, 0)),SUM(VLOOKUP($A103, LS_current!$B$4:$AY$138, LS_current!R$148, FALSE), VLOOKUP($A103, LS_current!$B$4:$AY$138,LS_current!AP$148, FALSE))/2)</f>
        <v>-4321.2449664553569</v>
      </c>
      <c r="CN103" s="192">
        <f t="array" ref="CN103">IF($BT103=0, INDEX(LS_current!$D$4:$AY$138, MATCH('Staging Table'!$A103, LS_current!$B$4:$B$138, 0), MATCH(CN$4&amp;CN$5, LS_current!$D$2:$AY$2&amp;LS_current!$D$3:$AY$3, 0)),SUM(VLOOKUP($A103, LS_current!$B$4:$AY$138, LS_current!S$148, FALSE), VLOOKUP($A103, LS_current!$B$4:$AY$138,LS_current!AQ$148, FALSE))/2)</f>
        <v>990.60013737768622</v>
      </c>
      <c r="CO103" s="192">
        <f t="array" ref="CO103">IF($BT103=0, INDEX(LS_current!$D$4:$AY$138, MATCH('Staging Table'!$A103, LS_current!$B$4:$B$138, 0), MATCH(CO$4&amp;CO$5, LS_current!$D$2:$AY$2&amp;LS_current!$D$3:$AY$3, 0)),SUM(VLOOKUP($A103, LS_current!$B$4:$AY$138, LS_current!T$148, FALSE), VLOOKUP($A103, LS_current!$B$4:$AY$138,LS_current!AR$148, FALSE))/2)</f>
        <v>-7330.0642400108572</v>
      </c>
      <c r="CP103" s="192">
        <f t="array" ref="CP103">IF($BT103=0, INDEX(LS_current!$D$4:$AY$138, MATCH('Staging Table'!$A103, LS_current!$B$4:$B$138, 0), MATCH(CP$4&amp;CP$5, LS_current!$D$2:$AY$2&amp;LS_current!$D$3:$AY$3, 0)),SUM(VLOOKUP($A103, LS_current!$B$4:$AY$138, LS_current!U$148, FALSE), VLOOKUP($A103, LS_current!$B$4:$AY$138,LS_current!AS$148, FALSE))/2)</f>
        <v>-618.16443615177013</v>
      </c>
      <c r="CQ103" s="192">
        <f t="array" ref="CQ103">IF($BT103=0, INDEX(LS_current!$D$4:$AY$138, MATCH('Staging Table'!$A103, LS_current!$B$4:$B$138, 0), MATCH(CQ$4&amp;CQ$5, LS_current!$D$2:$AY$2&amp;LS_current!$D$3:$AY$3, 0)),SUM(VLOOKUP($A103, LS_current!$B$4:$AY$138, LS_current!V$148, FALSE), VLOOKUP($A103, LS_current!$B$4:$AY$138,LS_current!AT$148, FALSE))/2)</f>
        <v>-5682.0705122478357</v>
      </c>
      <c r="CR103" s="192">
        <f t="array" ref="CR103">IF($BT103=0, INDEX(LS_current!$D$4:$AY$138, MATCH('Staging Table'!$A103, LS_current!$B$4:$B$138, 0), MATCH(CR$4&amp;CR$5, LS_current!$D$2:$AY$2&amp;LS_current!$D$3:$AY$3, 0)),SUM(VLOOKUP($A103, LS_current!$B$4:$AY$138, LS_current!W$148, FALSE), VLOOKUP($A103, LS_current!$B$4:$AY$138,LS_current!AU$148, FALSE))/2)</f>
        <v>-306.75489991209724</v>
      </c>
      <c r="CS103" s="192">
        <f t="array" ref="CS103">IF($BT103=0, INDEX(LS_current!$D$4:$AY$138, MATCH('Staging Table'!$A103, LS_current!$B$4:$B$138, 0), MATCH(CS$4&amp;CS$5, LS_current!$D$2:$AY$2&amp;LS_current!$D$3:$AY$3, 0)),SUM(VLOOKUP($A103, LS_current!$B$4:$AY$138, LS_current!X$148, FALSE), VLOOKUP($A103, LS_current!$B$4:$AY$138,LS_current!AV$148, FALSE))/2)</f>
        <v>-4765.0717817151144</v>
      </c>
      <c r="CT103" s="192">
        <f t="array" ref="CT103">IF($BT103=0, INDEX(LS_current!$D$4:$AY$138, MATCH('Staging Table'!$A103, LS_current!$B$4:$B$138, 0), MATCH(CT$4&amp;CT$5, LS_current!$D$2:$AY$2&amp;LS_current!$D$3:$AY$3, 0)),SUM(VLOOKUP($A103, LS_current!$B$4:$AY$138, LS_current!Y$148, FALSE), VLOOKUP($A103, LS_current!$B$4:$AY$138,LS_current!AW$148, FALSE))/2)</f>
        <v>-926.5342537838178</v>
      </c>
      <c r="CU103" s="192">
        <f t="array" ref="CU103">IF($BT103=0, INDEX(LS_current!$D$4:$AY$138, MATCH('Staging Table'!$A103, LS_current!$B$4:$B$138, 0), MATCH(CU$4&amp;CU$5, LS_current!$D$2:$AY$2&amp;LS_current!$D$3:$AY$3, 0)),SUM(VLOOKUP($A103, LS_current!$B$4:$AY$138, LS_current!Z$148, FALSE), VLOOKUP($A103, LS_current!$B$4:$AY$138,LS_current!AX$148, FALSE))/2)</f>
        <v>-3865.1823151740518</v>
      </c>
      <c r="CV103" s="192">
        <f t="array" ref="CV103">IF($BT103=0, INDEX(LS_current!$D$4:$AY$138, MATCH('Staging Table'!$A103, LS_current!$B$4:$B$138, 0), MATCH(CV$4&amp;CV$5, LS_current!$D$2:$AY$2&amp;LS_current!$D$3:$AY$3, 0)),SUM(VLOOKUP($A103, LS_current!$B$4:$AY$138, LS_current!AA$148, FALSE), VLOOKUP($A103, LS_current!$B$4:$AY$138,LS_current!AY$148, FALSE))/2)</f>
        <v>-1076.0692130088137</v>
      </c>
      <c r="CW103" s="194">
        <f t="array" ref="CW103">INDEX(Demand_current!$D$4:$AY$138, MATCH($A103, Demand_current!$B$4:$B$138, 0), MATCH(CW$4&amp;CW$5,Demand_current!$D$2:$AY$2&amp;Demand_current!$D$3:$AY$3, 0))/1000</f>
        <v>2.5340072115384604</v>
      </c>
      <c r="CX103" s="194">
        <f t="array" ref="CX103">INDEX(Demand_current!$D$4:$AY$138, MATCH($A103, Demand_current!$B$4:$B$138, 0), MATCH(CX$4&amp;CX$5,Demand_current!$D$2:$AY$2&amp;Demand_current!$D$3:$AY$3, 0))/1000</f>
        <v>0</v>
      </c>
      <c r="CY103" s="194">
        <f t="array" ref="CY103">INDEX(Demand_current!$D$4:$AY$138, MATCH($A103, Demand_current!$B$4:$B$138, 0), MATCH(CY$4&amp;CY$5,Demand_current!$D$2:$AY$2&amp;Demand_current!$D$3:$AY$3, 0))/1000</f>
        <v>4.9877572115384652</v>
      </c>
      <c r="CZ103" s="194">
        <f t="array" ref="CZ103">INDEX(Demand_current!$D$4:$AY$138, MATCH($A103, Demand_current!$B$4:$B$138, 0), MATCH(CZ$4&amp;CZ$5,Demand_current!$D$2:$AY$2&amp;Demand_current!$D$3:$AY$3, 0))/1000</f>
        <v>1.7632725000000065</v>
      </c>
      <c r="DA103" s="194">
        <f t="array" ref="DA103">INDEX(Demand_current!$D$4:$AY$138, MATCH($A103, Demand_current!$B$4:$B$138, 0), MATCH(DA$4&amp;DA$5,Demand_current!$D$2:$AY$2&amp;Demand_current!$D$3:$AY$3, 0))/1000</f>
        <v>5.6286276041666605</v>
      </c>
      <c r="DB103" s="194">
        <f t="array" ref="DB103">INDEX(Demand_current!$D$4:$AY$138, MATCH($A103, Demand_current!$B$4:$B$138, 0), MATCH(DB$4&amp;DB$5,Demand_current!$D$2:$AY$2&amp;Demand_current!$D$3:$AY$3, 0))/1000</f>
        <v>4.5339907407407409</v>
      </c>
      <c r="DC103" s="194">
        <f t="array" ref="DC103">INDEX(Demand_current!$D$4:$AY$138, MATCH($A103, Demand_current!$B$4:$B$138, 0), MATCH(DC$4&amp;DC$5,Demand_current!$D$2:$AY$2&amp;Demand_current!$D$3:$AY$3, 0))/1000</f>
        <v>0.71797596153846388</v>
      </c>
      <c r="DD103" s="194">
        <f t="array" ref="DD103">INDEX(Demand_current!$D$4:$AY$138, MATCH($A103, Demand_current!$B$4:$B$138, 0), MATCH(DD$4&amp;DD$5,Demand_current!$D$2:$AY$2&amp;Demand_current!$D$3:$AY$3, 0))/1000</f>
        <v>1.138874999999997</v>
      </c>
      <c r="DE103" s="194">
        <f t="array" ref="DE103">INDEX(Demand_current!$D$4:$AY$138, MATCH($A103, Demand_current!$B$4:$B$138, 0), MATCH(DE$4&amp;DE$5,Demand_current!$D$2:$AY$2&amp;Demand_current!$D$3:$AY$3, 0))/1000</f>
        <v>1.419274038461543</v>
      </c>
      <c r="DF103" s="194">
        <f t="array" ref="DF103">INDEX(Demand_current!$D$4:$AY$138, MATCH($A103, Demand_current!$B$4:$B$138, 0), MATCH(DF$4&amp;DF$5,Demand_current!$D$2:$AY$2&amp;Demand_current!$D$3:$AY$3, 0))/1000</f>
        <v>2.8021024999999966</v>
      </c>
      <c r="DG103" s="194">
        <f t="array" ref="DG103">INDEX(Demand_current!$D$4:$AY$138, MATCH($A103, Demand_current!$B$4:$B$138, 0), MATCH(DG$4&amp;DG$5,Demand_current!$D$2:$AY$2&amp;Demand_current!$D$3:$AY$3, 0))/1000</f>
        <v>2.2895833333333293</v>
      </c>
      <c r="DH103" s="194">
        <f t="array" ref="DH103">INDEX(Demand_current!$D$4:$AY$138, MATCH($A103, Demand_current!$B$4:$B$138, 0), MATCH(DH$4&amp;DH$5,Demand_current!$D$2:$AY$2&amp;Demand_current!$D$3:$AY$3, 0))/1000</f>
        <v>4.5183525000000015</v>
      </c>
      <c r="DI103" s="192">
        <f>$BS103*(VLOOKUP(DI$4, Rates_current!$G$6:$Q$29, 10, FALSE)+VLOOKUP(DI$4, Rates_current!$G$6:$Q$29, 11, FALSE))</f>
        <v>19641.986811634968</v>
      </c>
      <c r="DJ103" s="192">
        <f>$BS103*(VLOOKUP(DJ$4, Rates_current!$G$6:$Q$29, 10, FALSE)+VLOOKUP(DJ$4, Rates_current!$G$6:$Q$29, 11, FALSE))</f>
        <v>24867.46816028664</v>
      </c>
      <c r="DK103" s="192">
        <f>$BS103*(VLOOKUP(DK$4, Rates_current!$G$6:$Q$29, 10, FALSE)+VLOOKUP(DK$4, Rates_current!$G$6:$Q$29, 11, FALSE))</f>
        <v>24340.283226163159</v>
      </c>
      <c r="DL103" s="192">
        <f>$BS103*(VLOOKUP(DL$4, Rates_current!$G$6:$Q$29, 10, FALSE)+VLOOKUP(DL$4, Rates_current!$G$6:$Q$29, 11, FALSE))</f>
        <v>20104.038878114792</v>
      </c>
      <c r="DM103" s="192">
        <f>$BS103*(VLOOKUP(DM$4, Rates_current!$G$6:$Q$29, 10, FALSE)+VLOOKUP(DM$4, Rates_current!$G$6:$Q$29, 11, FALSE))</f>
        <v>17424.611117656215</v>
      </c>
      <c r="DN103" s="192">
        <f>$BS103*(VLOOKUP(DN$4, Rates_current!$G$6:$Q$29, 10, FALSE)+VLOOKUP(DN$4, Rates_current!$G$6:$Q$29, 11, FALSE))</f>
        <v>20801.466961634414</v>
      </c>
      <c r="DO103" s="192">
        <f>$BS103*(VLOOKUP(DO$4, Rates_current!$G$6:$Q$29, 10, FALSE)+VLOOKUP(DO$4, Rates_current!$G$6:$Q$29, 11, FALSE))</f>
        <v>16149.569819306931</v>
      </c>
      <c r="DP103" s="192">
        <f>$BS103*(VLOOKUP(DP$4, Rates_current!$G$6:$Q$29, 10, FALSE)+VLOOKUP(DP$4, Rates_current!$G$6:$Q$29, 11, FALSE))</f>
        <v>22375.347829077673</v>
      </c>
      <c r="DQ103" s="192">
        <f>$BS103*(VLOOKUP(DQ$4, Rates_current!$G$6:$Q$29, 10, FALSE)+VLOOKUP(DQ$4, Rates_current!$G$6:$Q$29, 11, FALSE))</f>
        <v>23908.527676162626</v>
      </c>
      <c r="DR103" s="192">
        <f>$BS103*(VLOOKUP(DR$4, Rates_current!$G$6:$Q$29, 10, FALSE)+VLOOKUP(DR$4, Rates_current!$G$6:$Q$29, 11, FALSE))</f>
        <v>22700.064412159936</v>
      </c>
      <c r="DS103" s="192">
        <f>$BS103*(VLOOKUP(DS$4, Rates_current!$G$6:$Q$29, 10, FALSE)+VLOOKUP(DS$4, Rates_current!$G$6:$Q$29, 11, FALSE))</f>
        <v>21937.861035498932</v>
      </c>
      <c r="DT103" s="192">
        <f>$BS103*(VLOOKUP(DT$4, Rates_current!$G$6:$Q$29, 10, FALSE)+VLOOKUP(DT$4, Rates_current!$G$6:$Q$29, 11, FALSE))</f>
        <v>20272.870528182866</v>
      </c>
      <c r="DU103" s="418">
        <f>IF(D103=0,IF(C103=0,MAX(0,DW103 - (VLOOKUP($A103,TOCA_current!$A$2:$AI$137,MATCH("RHWM 2022",TOCA_current!$A$2:$AI$2,0),FALSE)*$BS$2)), 0),0)</f>
        <v>0</v>
      </c>
      <c r="DV103" s="419">
        <f>MIN(VLOOKUP($A103,TOCA_current!$A$2:$AI$137,MATCH("TRL - NLSL - Existing Resource "&amp;$BS$1,TOCA_current!$A$2:$AI$2,0),FALSE)*$BS$2, VLOOKUP($A103,TOCA_current!$A$2:$AI$137,MATCH("RHWM 2022",TOCA_current!$A$2:$AI$2,0),FALSE)*$BS$2)</f>
        <v>254521.8</v>
      </c>
      <c r="DW103" s="419">
        <f>SUM(BY103:CV103)+(BS103*RT1SC!$C$4*$BS$2)</f>
        <v>217094.90702000886</v>
      </c>
      <c r="DX103" s="419">
        <f>VLOOKUP($A103,TOCA_current!$A$2:$AI$137,MATCH("Above RHWM Not Served with LS "&amp;$BS$1,TOCA_current!$A$2:$AI$2,0),FALSE)*$BS$2</f>
        <v>26910.720000000001</v>
      </c>
      <c r="DY103" s="419">
        <f t="shared" si="32"/>
        <v>-37426.892979991128</v>
      </c>
      <c r="DZ103" s="419">
        <f>(VLOOKUP($A103,TOCA_current!$A$2:$AI$137,MATCH("RHWM 2022",TOCA_current!$A$2:$AI$2,0),FALSE)*$BS$2) - $DV103</f>
        <v>0</v>
      </c>
      <c r="EA103" s="419">
        <f t="shared" si="33"/>
        <v>0</v>
      </c>
      <c r="EB103" s="419">
        <f t="shared" si="34"/>
        <v>10516.172979991126</v>
      </c>
      <c r="EC103" s="419">
        <f t="shared" si="35"/>
        <v>0</v>
      </c>
      <c r="ED103" s="419">
        <f t="shared" si="36"/>
        <v>10516.172979991126</v>
      </c>
    </row>
    <row r="104" spans="1:134">
      <c r="A104" s="135">
        <v>10331</v>
      </c>
      <c r="B104" s="136" t="s">
        <v>105</v>
      </c>
      <c r="C104" s="244">
        <f>VLOOKUP(A104, TOCA_current!$A$3:$D$137, 4, FALSE)</f>
        <v>1</v>
      </c>
      <c r="D104" s="203">
        <v>0</v>
      </c>
      <c r="E104" s="119">
        <f>VLOOKUP($A104,TOCA_previous!$A$2:$AI$137,MATCH(E$4,TOCA_previous!$A$2:$AI$2,0),FALSE)</f>
        <v>5.1156999999999999E-3</v>
      </c>
      <c r="F104" s="120">
        <f>VLOOKUP($A104,TOCA_previous!$A$2:$AI$137,MATCH(F$4,TOCA_previous!$A$2:$AI$2,0),FALSE)</f>
        <v>5.1156999999999999E-3</v>
      </c>
      <c r="G104" s="120">
        <f t="shared" si="24"/>
        <v>0</v>
      </c>
      <c r="H104" s="120">
        <f>VLOOKUP($A104,TOCA_previous!$A$2:$AI$137,MATCH(H$4,TOCA_previous!$A$2:$AI$2,0),FALSE)</f>
        <v>7.0000000000000007E-2</v>
      </c>
      <c r="I104" s="120">
        <f t="shared" si="25"/>
        <v>7.0000000000000007E-2</v>
      </c>
      <c r="J104" s="120">
        <f t="shared" si="26"/>
        <v>5.1156999999999999E-3</v>
      </c>
      <c r="K104" s="191">
        <f>VLOOKUP(A104, IRD!$A$5:$C$139, 3, FALSE)</f>
        <v>133086.85800000001</v>
      </c>
      <c r="L104" s="192">
        <f t="array" ref="L104">IF($G104=0, INDEX(LS_previous!$D$4:$AY$138, MATCH('Staging Table'!$A104, LS_previous!$B$4:$B$138, 0), MATCH(L$4&amp;L$5, LS_previous!$D$2:$AY$2&amp;LS_previous!$D$3:$AY$3, 0)),SUM(VLOOKUP($A104, LS_previous!$B$4:$AY$138, LS_previous!D$149, FALSE), VLOOKUP('Staging Table'!$A104, LS_previous!$B$4:$AY$138,LS_previous!AB$149, FALSE))/2)</f>
        <v>0</v>
      </c>
      <c r="M104" s="192">
        <f t="array" ref="M104">IF($G104=0, INDEX(LS_previous!$D$4:$AY$138, MATCH('Staging Table'!$A104, LS_previous!$B$4:$B$138, 0), MATCH(M$4&amp;M$5, LS_previous!$D$2:$AY$2&amp;LS_previous!$D$3:$AY$3, 0)),SUM(VLOOKUP($A104, LS_previous!$B$4:$AY$138, LS_previous!E$149, FALSE), VLOOKUP('Staging Table'!$A104, LS_previous!$B$4:$AY$138,LS_previous!AC$149, FALSE))/2)</f>
        <v>0</v>
      </c>
      <c r="N104" s="192">
        <f t="array" ref="N104">IF($G104=0, INDEX(LS_previous!$D$4:$AY$138, MATCH('Staging Table'!$A104, LS_previous!$B$4:$B$138, 0), MATCH(N$4&amp;N$5, LS_previous!$D$2:$AY$2&amp;LS_previous!$D$3:$AY$3, 0)),SUM(VLOOKUP($A104, LS_previous!$B$4:$AY$138, LS_previous!F$149, FALSE), VLOOKUP('Staging Table'!$A104, LS_previous!$B$4:$AY$138,LS_previous!AD$149, FALSE))/2)</f>
        <v>0</v>
      </c>
      <c r="O104" s="192">
        <f t="array" ref="O104">IF($G104=0, INDEX(LS_previous!$D$4:$AY$138, MATCH('Staging Table'!$A104, LS_previous!$B$4:$B$138, 0), MATCH(O$4&amp;O$5, LS_previous!$D$2:$AY$2&amp;LS_previous!$D$3:$AY$3, 0)),SUM(VLOOKUP($A104, LS_previous!$B$4:$AY$138, LS_previous!G$149, FALSE), VLOOKUP('Staging Table'!$A104, LS_previous!$B$4:$AY$138,LS_previous!AE$149, FALSE))/2)</f>
        <v>0</v>
      </c>
      <c r="P104" s="192">
        <f t="array" ref="P104">IF($G104=0, INDEX(LS_previous!$D$4:$AY$138, MATCH('Staging Table'!$A104, LS_previous!$B$4:$B$138, 0), MATCH(P$4&amp;P$5, LS_previous!$D$2:$AY$2&amp;LS_previous!$D$3:$AY$3, 0)),SUM(VLOOKUP($A104, LS_previous!$B$4:$AY$138, LS_previous!H$149, FALSE), VLOOKUP('Staging Table'!$A104, LS_previous!$B$4:$AY$138,LS_previous!AF$149, FALSE))/2)</f>
        <v>0</v>
      </c>
      <c r="Q104" s="192">
        <f t="array" ref="Q104">IF($G104=0, INDEX(LS_previous!$D$4:$AY$138, MATCH('Staging Table'!$A104, LS_previous!$B$4:$B$138, 0), MATCH(Q$4&amp;Q$5, LS_previous!$D$2:$AY$2&amp;LS_previous!$D$3:$AY$3, 0)),SUM(VLOOKUP($A104, LS_previous!$B$4:$AY$138, LS_previous!I$149, FALSE), VLOOKUP('Staging Table'!$A104, LS_previous!$B$4:$AY$138,LS_previous!AG$149, FALSE))/2)</f>
        <v>0</v>
      </c>
      <c r="R104" s="192">
        <f t="array" ref="R104">IF($G104=0, INDEX(LS_previous!$D$4:$AY$138, MATCH('Staging Table'!$A104, LS_previous!$B$4:$B$138, 0), MATCH(R$4&amp;R$5, LS_previous!$D$2:$AY$2&amp;LS_previous!$D$3:$AY$3, 0)),SUM(VLOOKUP($A104, LS_previous!$B$4:$AY$138, LS_previous!J$149, FALSE), VLOOKUP('Staging Table'!$A104, LS_previous!$B$4:$AY$138,LS_previous!AH$149, FALSE))/2)</f>
        <v>0</v>
      </c>
      <c r="S104" s="192">
        <f t="array" ref="S104">IF($G104=0, INDEX(LS_previous!$D$4:$AY$138, MATCH('Staging Table'!$A104, LS_previous!$B$4:$B$138, 0), MATCH(S$4&amp;S$5, LS_previous!$D$2:$AY$2&amp;LS_previous!$D$3:$AY$3, 0)),SUM(VLOOKUP($A104, LS_previous!$B$4:$AY$138, LS_previous!K$149, FALSE), VLOOKUP('Staging Table'!$A104, LS_previous!$B$4:$AY$138,LS_previous!AI$149, FALSE))/2)</f>
        <v>0</v>
      </c>
      <c r="T104" s="192">
        <f t="array" ref="T104">IF($G104=0, INDEX(LS_previous!$D$4:$AY$138, MATCH('Staging Table'!$A104, LS_previous!$B$4:$B$138, 0), MATCH(T$4&amp;T$5, LS_previous!$D$2:$AY$2&amp;LS_previous!$D$3:$AY$3, 0)),SUM(VLOOKUP($A104, LS_previous!$B$4:$AY$138, LS_previous!L$149, FALSE), VLOOKUP('Staging Table'!$A104, LS_previous!$B$4:$AY$138,LS_previous!AJ$149, FALSE))/2)</f>
        <v>0</v>
      </c>
      <c r="U104" s="192">
        <f t="array" ref="U104">IF($G104=0, INDEX(LS_previous!$D$4:$AY$138, MATCH('Staging Table'!$A104, LS_previous!$B$4:$B$138, 0), MATCH(U$4&amp;U$5, LS_previous!$D$2:$AY$2&amp;LS_previous!$D$3:$AY$3, 0)),SUM(VLOOKUP($A104, LS_previous!$B$4:$AY$138, LS_previous!M$149, FALSE), VLOOKUP('Staging Table'!$A104, LS_previous!$B$4:$AY$138,LS_previous!AK$149, FALSE))/2)</f>
        <v>0</v>
      </c>
      <c r="V104" s="192">
        <f t="array" ref="V104">IF($G104=0, INDEX(LS_previous!$D$4:$AY$138, MATCH('Staging Table'!$A104, LS_previous!$B$4:$B$138, 0), MATCH(V$4&amp;V$5, LS_previous!$D$2:$AY$2&amp;LS_previous!$D$3:$AY$3, 0)),SUM(VLOOKUP($A104, LS_previous!$B$4:$AY$138, LS_previous!N$149, FALSE), VLOOKUP('Staging Table'!$A104, LS_previous!$B$4:$AY$138,LS_previous!AL$149, FALSE))/2)</f>
        <v>0</v>
      </c>
      <c r="W104" s="192">
        <f t="array" ref="W104">IF($G104=0, INDEX(LS_previous!$D$4:$AY$138, MATCH('Staging Table'!$A104, LS_previous!$B$4:$B$138, 0), MATCH(W$4&amp;W$5, LS_previous!$D$2:$AY$2&amp;LS_previous!$D$3:$AY$3, 0)),SUM(VLOOKUP($A104, LS_previous!$B$4:$AY$138, LS_previous!O$149, FALSE), VLOOKUP('Staging Table'!$A104, LS_previous!$B$4:$AY$138,LS_previous!AM$149, FALSE))/2)</f>
        <v>0</v>
      </c>
      <c r="X104" s="192">
        <f t="array" ref="X104">IF($G104=0, INDEX(LS_previous!$D$4:$AY$138, MATCH('Staging Table'!$A104, LS_previous!$B$4:$B$138, 0), MATCH(X$4&amp;X$5, LS_previous!$D$2:$AY$2&amp;LS_previous!$D$3:$AY$3, 0)),SUM(VLOOKUP($A104, LS_previous!$B$4:$AY$138, LS_previous!P$149, FALSE), VLOOKUP('Staging Table'!$A104, LS_previous!$B$4:$AY$138,LS_previous!AN$149, FALSE))/2)</f>
        <v>0</v>
      </c>
      <c r="Y104" s="192">
        <f t="array" ref="Y104">IF($G104=0, INDEX(LS_previous!$D$4:$AY$138, MATCH('Staging Table'!$A104, LS_previous!$B$4:$B$138, 0), MATCH(Y$4&amp;Y$5, LS_previous!$D$2:$AY$2&amp;LS_previous!$D$3:$AY$3, 0)),SUM(VLOOKUP($A104, LS_previous!$B$4:$AY$138, LS_previous!Q$149, FALSE), VLOOKUP('Staging Table'!$A104, LS_previous!$B$4:$AY$138,LS_previous!AO$149, FALSE))/2)</f>
        <v>0</v>
      </c>
      <c r="Z104" s="192">
        <f t="array" ref="Z104">IF($G104=0, INDEX(LS_previous!$D$4:$AY$138, MATCH('Staging Table'!$A104, LS_previous!$B$4:$B$138, 0), MATCH(Z$4&amp;Z$5, LS_previous!$D$2:$AY$2&amp;LS_previous!$D$3:$AY$3, 0)),SUM(VLOOKUP($A104, LS_previous!$B$4:$AY$138, LS_previous!R$149, FALSE), VLOOKUP('Staging Table'!$A104, LS_previous!$B$4:$AY$138,LS_previous!AP$149, FALSE))/2)</f>
        <v>0</v>
      </c>
      <c r="AA104" s="192">
        <f t="array" ref="AA104">IF($G104=0, INDEX(LS_previous!$D$4:$AY$138, MATCH('Staging Table'!$A104, LS_previous!$B$4:$B$138, 0), MATCH(AA$4&amp;AA$5, LS_previous!$D$2:$AY$2&amp;LS_previous!$D$3:$AY$3, 0)),SUM(VLOOKUP($A104, LS_previous!$B$4:$AY$138, LS_previous!S$149, FALSE), VLOOKUP('Staging Table'!$A104, LS_previous!$B$4:$AY$138,LS_previous!AQ$149, FALSE))/2)</f>
        <v>0</v>
      </c>
      <c r="AB104" s="192">
        <f t="array" ref="AB104">IF($G104=0, INDEX(LS_previous!$D$4:$AY$138, MATCH('Staging Table'!$A104, LS_previous!$B$4:$B$138, 0), MATCH(AB$4&amp;AB$5, LS_previous!$D$2:$AY$2&amp;LS_previous!$D$3:$AY$3, 0)),SUM(VLOOKUP($A104, LS_previous!$B$4:$AY$138, LS_previous!T$149, FALSE), VLOOKUP('Staging Table'!$A104, LS_previous!$B$4:$AY$138,LS_previous!AR$149, FALSE))/2)</f>
        <v>0</v>
      </c>
      <c r="AC104" s="192">
        <f t="array" ref="AC104">IF($G104=0, INDEX(LS_previous!$D$4:$AY$138, MATCH('Staging Table'!$A104, LS_previous!$B$4:$B$138, 0), MATCH(AC$4&amp;AC$5, LS_previous!$D$2:$AY$2&amp;LS_previous!$D$3:$AY$3, 0)),SUM(VLOOKUP($A104, LS_previous!$B$4:$AY$138, LS_previous!U$149, FALSE), VLOOKUP('Staging Table'!$A104, LS_previous!$B$4:$AY$138,LS_previous!AS$149, FALSE))/2)</f>
        <v>0</v>
      </c>
      <c r="AD104" s="192">
        <f t="array" ref="AD104">IF($G104=0, INDEX(LS_previous!$D$4:$AY$138, MATCH('Staging Table'!$A104, LS_previous!$B$4:$B$138, 0), MATCH(AD$4&amp;AD$5, LS_previous!$D$2:$AY$2&amp;LS_previous!$D$3:$AY$3, 0)),SUM(VLOOKUP($A104, LS_previous!$B$4:$AY$138, LS_previous!V$149, FALSE), VLOOKUP('Staging Table'!$A104, LS_previous!$B$4:$AY$138,LS_previous!AT$149, FALSE))/2)</f>
        <v>0</v>
      </c>
      <c r="AE104" s="192">
        <f t="array" ref="AE104">IF($G104=0, INDEX(LS_previous!$D$4:$AY$138, MATCH('Staging Table'!$A104, LS_previous!$B$4:$B$138, 0), MATCH(AE$4&amp;AE$5, LS_previous!$D$2:$AY$2&amp;LS_previous!$D$3:$AY$3, 0)),SUM(VLOOKUP($A104, LS_previous!$B$4:$AY$138, LS_previous!W$149, FALSE), VLOOKUP('Staging Table'!$A104, LS_previous!$B$4:$AY$138,LS_previous!AU$149, FALSE))/2)</f>
        <v>0</v>
      </c>
      <c r="AF104" s="192">
        <f t="array" ref="AF104">IF($G104=0, INDEX(LS_previous!$D$4:$AY$138, MATCH('Staging Table'!$A104, LS_previous!$B$4:$B$138, 0), MATCH(AF$4&amp;AF$5, LS_previous!$D$2:$AY$2&amp;LS_previous!$D$3:$AY$3, 0)),SUM(VLOOKUP($A104, LS_previous!$B$4:$AY$138, LS_previous!X$149, FALSE), VLOOKUP('Staging Table'!$A104, LS_previous!$B$4:$AY$138,LS_previous!AV$149, FALSE))/2)</f>
        <v>0</v>
      </c>
      <c r="AG104" s="192">
        <f t="array" ref="AG104">IF($G104=0, INDEX(LS_previous!$D$4:$AY$138, MATCH('Staging Table'!$A104, LS_previous!$B$4:$B$138, 0), MATCH(AG$4&amp;AG$5, LS_previous!$D$2:$AY$2&amp;LS_previous!$D$3:$AY$3, 0)),SUM(VLOOKUP($A104, LS_previous!$B$4:$AY$138, LS_previous!Y$149, FALSE), VLOOKUP('Staging Table'!$A104, LS_previous!$B$4:$AY$138,LS_previous!AW$149, FALSE))/2)</f>
        <v>0</v>
      </c>
      <c r="AH104" s="192">
        <f t="array" ref="AH104">IF($G104=0, INDEX(LS_previous!$D$4:$AY$138, MATCH('Staging Table'!$A104, LS_previous!$B$4:$B$138, 0), MATCH(AH$4&amp;AH$5, LS_previous!$D$2:$AY$2&amp;LS_previous!$D$3:$AY$3, 0)),SUM(VLOOKUP($A104, LS_previous!$B$4:$AY$138, LS_previous!Z$149, FALSE), VLOOKUP('Staging Table'!$A104, LS_previous!$B$4:$AY$138,LS_previous!AX$149, FALSE))/2)</f>
        <v>0</v>
      </c>
      <c r="AI104" s="192">
        <f t="array" ref="AI104">IF($G104=0, INDEX(LS_previous!$D$4:$AY$138, MATCH('Staging Table'!$A104, LS_previous!$B$4:$B$138, 0), MATCH(AI$4&amp;AI$5, LS_previous!$D$2:$AY$2&amp;LS_previous!$D$3:$AY$3, 0)),SUM(VLOOKUP($A104, LS_previous!$B$4:$AY$138, LS_previous!AA$149, FALSE), VLOOKUP('Staging Table'!$A104, LS_previous!$B$4:$AY$138,LS_previous!AY$149, FALSE))/2)</f>
        <v>0</v>
      </c>
      <c r="AJ104" s="314">
        <f t="array" ref="AJ104">INDEX(Demand_previous!$D$4:$AY$138, MATCH('Staging Table'!$A104, Demand_previous!$B$4:$B$138, 0), MATCH(AJ$4&amp;AJ$5,Demand_previous!$D$2:$AY$2&amp;Demand_previous!$D$3:$AY$3, 0))/1000</f>
        <v>0</v>
      </c>
      <c r="AK104" s="314">
        <f t="array" ref="AK104">INDEX(Demand_previous!$D$4:$AY$138, MATCH('Staging Table'!$A104, Demand_previous!$B$4:$B$138, 0), MATCH(AK$4&amp;AK$5,Demand_previous!$D$2:$AY$2&amp;Demand_previous!$D$3:$AY$3, 0))/1000</f>
        <v>0</v>
      </c>
      <c r="AL104" s="314">
        <f t="array" ref="AL104">INDEX(Demand_previous!$D$4:$AY$138, MATCH('Staging Table'!$A104, Demand_previous!$B$4:$B$138, 0), MATCH(AL$4&amp;AL$5,Demand_previous!$D$2:$AY$2&amp;Demand_previous!$D$3:$AY$3, 0))/1000</f>
        <v>0</v>
      </c>
      <c r="AM104" s="314">
        <f t="array" ref="AM104">INDEX(Demand_previous!$D$4:$AY$138, MATCH('Staging Table'!$A104, Demand_previous!$B$4:$B$138, 0), MATCH(AM$4&amp;AM$5,Demand_previous!$D$2:$AY$2&amp;Demand_previous!$D$3:$AY$3, 0))/1000</f>
        <v>0</v>
      </c>
      <c r="AN104" s="314">
        <f t="array" ref="AN104">INDEX(Demand_previous!$D$4:$AY$138, MATCH('Staging Table'!$A104, Demand_previous!$B$4:$B$138, 0), MATCH(AN$4&amp;AN$5,Demand_previous!$D$2:$AY$2&amp;Demand_previous!$D$3:$AY$3, 0))/1000</f>
        <v>0</v>
      </c>
      <c r="AO104" s="314">
        <f t="array" ref="AO104">INDEX(Demand_previous!$D$4:$AY$138, MATCH('Staging Table'!$A104, Demand_previous!$B$4:$B$138, 0), MATCH(AO$4&amp;AO$5,Demand_previous!$D$2:$AY$2&amp;Demand_previous!$D$3:$AY$3, 0))/1000</f>
        <v>0</v>
      </c>
      <c r="AP104" s="314">
        <f t="array" ref="AP104">INDEX(Demand_previous!$D$4:$AY$138, MATCH('Staging Table'!$A104, Demand_previous!$B$4:$B$138, 0), MATCH(AP$4&amp;AP$5,Demand_previous!$D$2:$AY$2&amp;Demand_previous!$D$3:$AY$3, 0))/1000</f>
        <v>0</v>
      </c>
      <c r="AQ104" s="314">
        <f t="array" ref="AQ104">INDEX(Demand_previous!$D$4:$AY$138, MATCH('Staging Table'!$A104, Demand_previous!$B$4:$B$138, 0), MATCH(AQ$4&amp;AQ$5,Demand_previous!$D$2:$AY$2&amp;Demand_previous!$D$3:$AY$3, 0))/1000</f>
        <v>0</v>
      </c>
      <c r="AR104" s="314">
        <f t="array" ref="AR104">INDEX(Demand_previous!$D$4:$AY$138, MATCH('Staging Table'!$A104, Demand_previous!$B$4:$B$138, 0), MATCH(AR$4&amp;AR$5,Demand_previous!$D$2:$AY$2&amp;Demand_previous!$D$3:$AY$3, 0))/1000</f>
        <v>0</v>
      </c>
      <c r="AS104" s="314">
        <f t="array" ref="AS104">INDEX(Demand_previous!$D$4:$AY$138, MATCH('Staging Table'!$A104, Demand_previous!$B$4:$B$138, 0), MATCH(AS$4&amp;AS$5,Demand_previous!$D$2:$AY$2&amp;Demand_previous!$D$3:$AY$3, 0))/1000</f>
        <v>0</v>
      </c>
      <c r="AT104" s="314">
        <f t="array" ref="AT104">INDEX(Demand_previous!$D$4:$AY$138, MATCH('Staging Table'!$A104, Demand_previous!$B$4:$B$138, 0), MATCH(AT$4&amp;AT$5,Demand_previous!$D$2:$AY$2&amp;Demand_previous!$D$3:$AY$3, 0))/1000</f>
        <v>0</v>
      </c>
      <c r="AU104" s="314">
        <f t="array" ref="AU104">INDEX(Demand_previous!$D$4:$AY$138, MATCH('Staging Table'!$A104, Demand_previous!$B$4:$B$138, 0), MATCH(AU$4&amp;AU$5,Demand_previous!$D$2:$AY$2&amp;Demand_previous!$D$3:$AY$3, 0))/1000</f>
        <v>0</v>
      </c>
      <c r="AV104" s="192">
        <f>$F104*(VLOOKUP(AV$4, Rates_previous!$G$6:$Q$29, 10, FALSE)+VLOOKUP(AV$4, Rates_previous!$G$6:$Q$29, 11, FALSE))</f>
        <v>23620.809579577199</v>
      </c>
      <c r="AW104" s="192">
        <f>$F104*(VLOOKUP(AW$4, Rates_previous!$G$6:$Q$29, 10, FALSE)+VLOOKUP(AW$4, Rates_previous!$G$6:$Q$29, 11, FALSE))</f>
        <v>30005.796820752301</v>
      </c>
      <c r="AX104" s="192">
        <f>$F104*(VLOOKUP(AX$4, Rates_previous!$G$6:$Q$29, 10, FALSE)+VLOOKUP(AX$4, Rates_previous!$G$6:$Q$29, 11, FALSE))</f>
        <v>29643.436222677203</v>
      </c>
      <c r="AY104" s="192">
        <f>$F104*(VLOOKUP(AY$4, Rates_previous!$G$6:$Q$29, 10, FALSE)+VLOOKUP(AY$4, Rates_previous!$G$6:$Q$29, 11, FALSE))</f>
        <v>24709.609589077201</v>
      </c>
      <c r="AZ104" s="192">
        <f>$F104*(VLOOKUP(AZ$4, Rates_previous!$G$6:$Q$29, 10, FALSE)+VLOOKUP(AZ$4, Rates_previous!$G$6:$Q$29, 11, FALSE))</f>
        <v>22384.342863759997</v>
      </c>
      <c r="BA104" s="192">
        <f>$F104*(VLOOKUP(BA$4, Rates_previous!$G$6:$Q$29, 10, FALSE)+VLOOKUP(BA$4, Rates_previous!$G$6:$Q$29, 11, FALSE))</f>
        <v>24898.500370910901</v>
      </c>
      <c r="BB104" s="192">
        <f>$F104*(VLOOKUP(BB$4, Rates_previous!$G$6:$Q$29, 10, FALSE)+VLOOKUP(BB$4, Rates_previous!$G$6:$Q$29, 11, FALSE))</f>
        <v>20272.385870136</v>
      </c>
      <c r="BC104" s="192">
        <f>$F104*(VLOOKUP(BC$4, Rates_previous!$G$6:$Q$29, 10, FALSE)+VLOOKUP(BC$4, Rates_previous!$G$6:$Q$29, 11, FALSE))</f>
        <v>27340.335293427201</v>
      </c>
      <c r="BD104" s="192">
        <f>$F104*(VLOOKUP(BD$4, Rates_previous!$G$6:$Q$29, 10, FALSE)+VLOOKUP(BD$4, Rates_previous!$G$6:$Q$29, 11, FALSE))</f>
        <v>34884.408379286004</v>
      </c>
      <c r="BE104" s="192">
        <f>$F104*(VLOOKUP(BE$4, Rates_previous!$G$6:$Q$29, 10, FALSE)+VLOOKUP(BE$4, Rates_previous!$G$6:$Q$29, 11, FALSE))</f>
        <v>27350.482284377202</v>
      </c>
      <c r="BF104" s="192">
        <f>$F104*(VLOOKUP(BF$4, Rates_previous!$G$6:$Q$29, 10, FALSE)+VLOOKUP(BF$4, Rates_previous!$G$6:$Q$29, 11, FALSE))</f>
        <v>26633.923627527201</v>
      </c>
      <c r="BG104" s="192">
        <f>$F104*(VLOOKUP(BG$4, Rates_previous!$G$6:$Q$29, 10, FALSE)+VLOOKUP(BG$4, Rates_previous!$G$6:$Q$29, 11, FALSE))</f>
        <v>23911.597651836</v>
      </c>
      <c r="BH104" s="314">
        <f>IF($D104=0,IF(C104=0, MAX(BJ104 - (VLOOKUP($A104,TOCA_previous!$A$2:$AI$137,MATCH("RHWM 2020",TOCA_previous!$A$2:$AI$2,0),FALSE)*$F$2*TOCA_previous!C101),0),0), 0)</f>
        <v>0</v>
      </c>
      <c r="BI104" s="204">
        <f>MIN(VLOOKUP($A104,TOCA_previous!$A$2:$AI$137,MATCH("TRL - NLSL - Existing Resource "&amp;$F$1,TOCA_previous!$A$2:$AI$2,0),FALSE)*$F$2,(VLOOKUP($A104,TOCA_previous!$A$2:$AI$137,MATCH("RHWM 2020",TOCA_previous!$A$2:$AI$2,0),FALSE)*$F$2))</f>
        <v>315653.04000000004</v>
      </c>
      <c r="BJ104" s="418">
        <f>SUM(L104:AI104)+(F104*RT1SC!$C$3*$F$2)</f>
        <v>315655.64040130557</v>
      </c>
      <c r="BK104" s="417">
        <f>VLOOKUP($A104,TOCA_previous!$A$2:$AI$137,MATCH("Above RHWM Not Served with LS "&amp;$F$1,TOCA_previous!$A$2:$AI$2,0),FALSE)*$F$2</f>
        <v>0</v>
      </c>
      <c r="BL104" s="418">
        <f t="shared" si="27"/>
        <v>2.6004013055353425</v>
      </c>
      <c r="BM104" s="417">
        <f>(VLOOKUP($A104,TOCA_previous!$A$2:$AI$137,MATCH("RHWM 2020",TOCA_previous!$A$2:$AI$2,0),FALSE)*$F$2) - $BI104</f>
        <v>4154.8319999999949</v>
      </c>
      <c r="BN104" s="418">
        <f t="shared" si="28"/>
        <v>-2.6004013055353425</v>
      </c>
      <c r="BO104" s="417">
        <f t="shared" si="29"/>
        <v>0</v>
      </c>
      <c r="BP104" s="418">
        <f t="shared" si="30"/>
        <v>0</v>
      </c>
      <c r="BQ104" s="417">
        <f t="shared" si="37"/>
        <v>-2.6004013055353425</v>
      </c>
      <c r="BR104" s="120">
        <f>VLOOKUP($A104,TOCA_current!$A$2:$AI$137,MATCH(BR$4,TOCA_current!$A$2:$AI$2,0),FALSE)</f>
        <v>5.1831000000000004E-3</v>
      </c>
      <c r="BS104" s="120">
        <f>VLOOKUP($A104,TOCA_current!$A$2:$AI$137,MATCH(BS$4,TOCA_current!$A$2:$AI$2,0),FALSE)</f>
        <v>5.1831000000000004E-3</v>
      </c>
      <c r="BT104" s="201">
        <f t="shared" si="31"/>
        <v>0</v>
      </c>
      <c r="BU104" s="120">
        <f>VLOOKUP($A104,TOCA_current!A100:BG235,MATCH(BU$4,TOCA_current!$A$2:$BG$2,0),FALSE)</f>
        <v>7.0988400400973803E-2</v>
      </c>
      <c r="BV104" s="120">
        <f t="shared" si="38"/>
        <v>7.0988400400973803E-2</v>
      </c>
      <c r="BW104" s="120">
        <f t="shared" si="39"/>
        <v>5.1831000000000004E-3</v>
      </c>
      <c r="BX104" s="191">
        <f>VLOOKUP($A104,IRD!$A$4:$G$139, 7, FALSE)</f>
        <v>133086.85800000001</v>
      </c>
      <c r="BY104" s="192">
        <f t="array" ref="BY104">IF($BT104=0, INDEX(LS_current!$D$4:$AY$138, MATCH('Staging Table'!$A104, LS_current!$B$4:$B$138, 0), MATCH(BY$4&amp;BY$5, LS_current!$D$2:$AY$2&amp;LS_current!$D$3:$AY$3, 0)),SUM(VLOOKUP($A104, LS_current!$B$4:$AY$138, LS_current!D$148, FALSE), VLOOKUP($A104, LS_current!$B$4:$AY$138,LS_current!AB$148, FALSE))/2)</f>
        <v>0</v>
      </c>
      <c r="BZ104" s="192">
        <f t="array" ref="BZ104">IF($BT104=0, INDEX(LS_current!$D$4:$AY$138, MATCH('Staging Table'!$A104, LS_current!$B$4:$B$138, 0), MATCH(BZ$4&amp;BZ$5, LS_current!$D$2:$AY$2&amp;LS_current!$D$3:$AY$3, 0)),SUM(VLOOKUP($A104, LS_current!$B$4:$AY$138, LS_current!E$148, FALSE), VLOOKUP($A104, LS_current!$B$4:$AY$138,LS_current!AC$148, FALSE))/2)</f>
        <v>0</v>
      </c>
      <c r="CA104" s="192">
        <f t="array" ref="CA104">IF($BT104=0, INDEX(LS_current!$D$4:$AY$138, MATCH('Staging Table'!$A104, LS_current!$B$4:$B$138, 0), MATCH(CA$4&amp;CA$5, LS_current!$D$2:$AY$2&amp;LS_current!$D$3:$AY$3, 0)),SUM(VLOOKUP($A104, LS_current!$B$4:$AY$138, LS_current!F$148, FALSE), VLOOKUP($A104, LS_current!$B$4:$AY$138,LS_current!AD$148, FALSE))/2)</f>
        <v>0</v>
      </c>
      <c r="CB104" s="192">
        <f t="array" ref="CB104">IF($BT104=0, INDEX(LS_current!$D$4:$AY$138, MATCH('Staging Table'!$A104, LS_current!$B$4:$B$138, 0), MATCH(CB$4&amp;CB$5, LS_current!$D$2:$AY$2&amp;LS_current!$D$3:$AY$3, 0)),SUM(VLOOKUP($A104, LS_current!$B$4:$AY$138, LS_current!G$148, FALSE), VLOOKUP($A104, LS_current!$B$4:$AY$138,LS_current!AE$148, FALSE))/2)</f>
        <v>0</v>
      </c>
      <c r="CC104" s="192">
        <f t="array" ref="CC104">IF($BT104=0, INDEX(LS_current!$D$4:$AY$138, MATCH('Staging Table'!$A104, LS_current!$B$4:$B$138, 0), MATCH(CC$4&amp;CC$5, LS_current!$D$2:$AY$2&amp;LS_current!$D$3:$AY$3, 0)),SUM(VLOOKUP($A104, LS_current!$B$4:$AY$138, LS_current!H$148, FALSE), VLOOKUP($A104, LS_current!$B$4:$AY$138,LS_current!AF$148, FALSE))/2)</f>
        <v>0</v>
      </c>
      <c r="CD104" s="192">
        <f t="array" ref="CD104">IF($BT104=0, INDEX(LS_current!$D$4:$AY$138, MATCH('Staging Table'!$A104, LS_current!$B$4:$B$138, 0), MATCH(CD$4&amp;CD$5, LS_current!$D$2:$AY$2&amp;LS_current!$D$3:$AY$3, 0)),SUM(VLOOKUP($A104, LS_current!$B$4:$AY$138, LS_current!I$148, FALSE), VLOOKUP($A104, LS_current!$B$4:$AY$138,LS_current!AG$148, FALSE))/2)</f>
        <v>0</v>
      </c>
      <c r="CE104" s="192">
        <f t="array" ref="CE104">IF($BT104=0, INDEX(LS_current!$D$4:$AY$138, MATCH('Staging Table'!$A104, LS_current!$B$4:$B$138, 0), MATCH(CE$4&amp;CE$5, LS_current!$D$2:$AY$2&amp;LS_current!$D$3:$AY$3, 0)),SUM(VLOOKUP($A104, LS_current!$B$4:$AY$138, LS_current!J$148, FALSE), VLOOKUP($A104, LS_current!$B$4:$AY$138,LS_current!AH$148, FALSE))/2)</f>
        <v>0</v>
      </c>
      <c r="CF104" s="192">
        <f t="array" ref="CF104">IF($BT104=0, INDEX(LS_current!$D$4:$AY$138, MATCH('Staging Table'!$A104, LS_current!$B$4:$B$138, 0), MATCH(CF$4&amp;CF$5, LS_current!$D$2:$AY$2&amp;LS_current!$D$3:$AY$3, 0)),SUM(VLOOKUP($A104, LS_current!$B$4:$AY$138, LS_current!K$148, FALSE), VLOOKUP($A104, LS_current!$B$4:$AY$138,LS_current!AI$148, FALSE))/2)</f>
        <v>0</v>
      </c>
      <c r="CG104" s="192">
        <f t="array" ref="CG104">IF($BT104=0, INDEX(LS_current!$D$4:$AY$138, MATCH('Staging Table'!$A104, LS_current!$B$4:$B$138, 0), MATCH(CG$4&amp;CG$5, LS_current!$D$2:$AY$2&amp;LS_current!$D$3:$AY$3, 0)),SUM(VLOOKUP($A104, LS_current!$B$4:$AY$138, LS_current!L$148, FALSE), VLOOKUP($A104, LS_current!$B$4:$AY$138,LS_current!AJ$148, FALSE))/2)</f>
        <v>0</v>
      </c>
      <c r="CH104" s="192">
        <f t="array" ref="CH104">IF($BT104=0, INDEX(LS_current!$D$4:$AY$138, MATCH('Staging Table'!$A104, LS_current!$B$4:$B$138, 0), MATCH(CH$4&amp;CH$5, LS_current!$D$2:$AY$2&amp;LS_current!$D$3:$AY$3, 0)),SUM(VLOOKUP($A104, LS_current!$B$4:$AY$138, LS_current!M$148, FALSE), VLOOKUP($A104, LS_current!$B$4:$AY$138,LS_current!AK$148, FALSE))/2)</f>
        <v>0</v>
      </c>
      <c r="CI104" s="192">
        <f t="array" ref="CI104">IF($BT104=0, INDEX(LS_current!$D$4:$AY$138, MATCH('Staging Table'!$A104, LS_current!$B$4:$B$138, 0), MATCH(CI$4&amp;CI$5, LS_current!$D$2:$AY$2&amp;LS_current!$D$3:$AY$3, 0)),SUM(VLOOKUP($A104, LS_current!$B$4:$AY$138, LS_current!N$148, FALSE), VLOOKUP($A104, LS_current!$B$4:$AY$138,LS_current!AL$148, FALSE))/2)</f>
        <v>0</v>
      </c>
      <c r="CJ104" s="192">
        <f t="array" ref="CJ104">IF($BT104=0, INDEX(LS_current!$D$4:$AY$138, MATCH('Staging Table'!$A104, LS_current!$B$4:$B$138, 0), MATCH(CJ$4&amp;CJ$5, LS_current!$D$2:$AY$2&amp;LS_current!$D$3:$AY$3, 0)),SUM(VLOOKUP($A104, LS_current!$B$4:$AY$138, LS_current!O$148, FALSE), VLOOKUP($A104, LS_current!$B$4:$AY$138,LS_current!AM$148, FALSE))/2)</f>
        <v>0</v>
      </c>
      <c r="CK104" s="192">
        <f t="array" ref="CK104">IF($BT104=0, INDEX(LS_current!$D$4:$AY$138, MATCH('Staging Table'!$A104, LS_current!$B$4:$B$138, 0), MATCH(CK$4&amp;CK$5, LS_current!$D$2:$AY$2&amp;LS_current!$D$3:$AY$3, 0)),SUM(VLOOKUP($A104, LS_current!$B$4:$AY$138, LS_current!P$148, FALSE), VLOOKUP($A104, LS_current!$B$4:$AY$138,LS_current!AN$148, FALSE))/2)</f>
        <v>0</v>
      </c>
      <c r="CL104" s="192">
        <f t="array" ref="CL104">IF($BT104=0, INDEX(LS_current!$D$4:$AY$138, MATCH('Staging Table'!$A104, LS_current!$B$4:$B$138, 0), MATCH(CL$4&amp;CL$5, LS_current!$D$2:$AY$2&amp;LS_current!$D$3:$AY$3, 0)),SUM(VLOOKUP($A104, LS_current!$B$4:$AY$138, LS_current!Q$148, FALSE), VLOOKUP($A104, LS_current!$B$4:$AY$138,LS_current!AO$148, FALSE))/2)</f>
        <v>0</v>
      </c>
      <c r="CM104" s="192">
        <f t="array" ref="CM104">IF($BT104=0, INDEX(LS_current!$D$4:$AY$138, MATCH('Staging Table'!$A104, LS_current!$B$4:$B$138, 0), MATCH(CM$4&amp;CM$5, LS_current!$D$2:$AY$2&amp;LS_current!$D$3:$AY$3, 0)),SUM(VLOOKUP($A104, LS_current!$B$4:$AY$138, LS_current!R$148, FALSE), VLOOKUP($A104, LS_current!$B$4:$AY$138,LS_current!AP$148, FALSE))/2)</f>
        <v>0</v>
      </c>
      <c r="CN104" s="192">
        <f t="array" ref="CN104">IF($BT104=0, INDEX(LS_current!$D$4:$AY$138, MATCH('Staging Table'!$A104, LS_current!$B$4:$B$138, 0), MATCH(CN$4&amp;CN$5, LS_current!$D$2:$AY$2&amp;LS_current!$D$3:$AY$3, 0)),SUM(VLOOKUP($A104, LS_current!$B$4:$AY$138, LS_current!S$148, FALSE), VLOOKUP($A104, LS_current!$B$4:$AY$138,LS_current!AQ$148, FALSE))/2)</f>
        <v>0</v>
      </c>
      <c r="CO104" s="192">
        <f t="array" ref="CO104">IF($BT104=0, INDEX(LS_current!$D$4:$AY$138, MATCH('Staging Table'!$A104, LS_current!$B$4:$B$138, 0), MATCH(CO$4&amp;CO$5, LS_current!$D$2:$AY$2&amp;LS_current!$D$3:$AY$3, 0)),SUM(VLOOKUP($A104, LS_current!$B$4:$AY$138, LS_current!T$148, FALSE), VLOOKUP($A104, LS_current!$B$4:$AY$138,LS_current!AR$148, FALSE))/2)</f>
        <v>0</v>
      </c>
      <c r="CP104" s="192">
        <f t="array" ref="CP104">IF($BT104=0, INDEX(LS_current!$D$4:$AY$138, MATCH('Staging Table'!$A104, LS_current!$B$4:$B$138, 0), MATCH(CP$4&amp;CP$5, LS_current!$D$2:$AY$2&amp;LS_current!$D$3:$AY$3, 0)),SUM(VLOOKUP($A104, LS_current!$B$4:$AY$138, LS_current!U$148, FALSE), VLOOKUP($A104, LS_current!$B$4:$AY$138,LS_current!AS$148, FALSE))/2)</f>
        <v>0</v>
      </c>
      <c r="CQ104" s="192">
        <f t="array" ref="CQ104">IF($BT104=0, INDEX(LS_current!$D$4:$AY$138, MATCH('Staging Table'!$A104, LS_current!$B$4:$B$138, 0), MATCH(CQ$4&amp;CQ$5, LS_current!$D$2:$AY$2&amp;LS_current!$D$3:$AY$3, 0)),SUM(VLOOKUP($A104, LS_current!$B$4:$AY$138, LS_current!V$148, FALSE), VLOOKUP($A104, LS_current!$B$4:$AY$138,LS_current!AT$148, FALSE))/2)</f>
        <v>0</v>
      </c>
      <c r="CR104" s="192">
        <f t="array" ref="CR104">IF($BT104=0, INDEX(LS_current!$D$4:$AY$138, MATCH('Staging Table'!$A104, LS_current!$B$4:$B$138, 0), MATCH(CR$4&amp;CR$5, LS_current!$D$2:$AY$2&amp;LS_current!$D$3:$AY$3, 0)),SUM(VLOOKUP($A104, LS_current!$B$4:$AY$138, LS_current!W$148, FALSE), VLOOKUP($A104, LS_current!$B$4:$AY$138,LS_current!AU$148, FALSE))/2)</f>
        <v>0</v>
      </c>
      <c r="CS104" s="192">
        <f t="array" ref="CS104">IF($BT104=0, INDEX(LS_current!$D$4:$AY$138, MATCH('Staging Table'!$A104, LS_current!$B$4:$B$138, 0), MATCH(CS$4&amp;CS$5, LS_current!$D$2:$AY$2&amp;LS_current!$D$3:$AY$3, 0)),SUM(VLOOKUP($A104, LS_current!$B$4:$AY$138, LS_current!X$148, FALSE), VLOOKUP($A104, LS_current!$B$4:$AY$138,LS_current!AV$148, FALSE))/2)</f>
        <v>0</v>
      </c>
      <c r="CT104" s="192">
        <f t="array" ref="CT104">IF($BT104=0, INDEX(LS_current!$D$4:$AY$138, MATCH('Staging Table'!$A104, LS_current!$B$4:$B$138, 0), MATCH(CT$4&amp;CT$5, LS_current!$D$2:$AY$2&amp;LS_current!$D$3:$AY$3, 0)),SUM(VLOOKUP($A104, LS_current!$B$4:$AY$138, LS_current!Y$148, FALSE), VLOOKUP($A104, LS_current!$B$4:$AY$138,LS_current!AW$148, FALSE))/2)</f>
        <v>0</v>
      </c>
      <c r="CU104" s="192">
        <f t="array" ref="CU104">IF($BT104=0, INDEX(LS_current!$D$4:$AY$138, MATCH('Staging Table'!$A104, LS_current!$B$4:$B$138, 0), MATCH(CU$4&amp;CU$5, LS_current!$D$2:$AY$2&amp;LS_current!$D$3:$AY$3, 0)),SUM(VLOOKUP($A104, LS_current!$B$4:$AY$138, LS_current!Z$148, FALSE), VLOOKUP($A104, LS_current!$B$4:$AY$138,LS_current!AX$148, FALSE))/2)</f>
        <v>0</v>
      </c>
      <c r="CV104" s="192">
        <f t="array" ref="CV104">IF($BT104=0, INDEX(LS_current!$D$4:$AY$138, MATCH('Staging Table'!$A104, LS_current!$B$4:$B$138, 0), MATCH(CV$4&amp;CV$5, LS_current!$D$2:$AY$2&amp;LS_current!$D$3:$AY$3, 0)),SUM(VLOOKUP($A104, LS_current!$B$4:$AY$138, LS_current!AA$148, FALSE), VLOOKUP($A104, LS_current!$B$4:$AY$138,LS_current!AY$148, FALSE))/2)</f>
        <v>0</v>
      </c>
      <c r="CW104" s="194">
        <f t="array" ref="CW104">INDEX(Demand_current!$D$4:$AY$138, MATCH($A104, Demand_current!$B$4:$B$138, 0), MATCH(CW$4&amp;CW$5,Demand_current!$D$2:$AY$2&amp;Demand_current!$D$3:$AY$3, 0))/1000</f>
        <v>0</v>
      </c>
      <c r="CX104" s="194">
        <f t="array" ref="CX104">INDEX(Demand_current!$D$4:$AY$138, MATCH($A104, Demand_current!$B$4:$B$138, 0), MATCH(CX$4&amp;CX$5,Demand_current!$D$2:$AY$2&amp;Demand_current!$D$3:$AY$3, 0))/1000</f>
        <v>0</v>
      </c>
      <c r="CY104" s="194">
        <f t="array" ref="CY104">INDEX(Demand_current!$D$4:$AY$138, MATCH($A104, Demand_current!$B$4:$B$138, 0), MATCH(CY$4&amp;CY$5,Demand_current!$D$2:$AY$2&amp;Demand_current!$D$3:$AY$3, 0))/1000</f>
        <v>0</v>
      </c>
      <c r="CZ104" s="194">
        <f t="array" ref="CZ104">INDEX(Demand_current!$D$4:$AY$138, MATCH($A104, Demand_current!$B$4:$B$138, 0), MATCH(CZ$4&amp;CZ$5,Demand_current!$D$2:$AY$2&amp;Demand_current!$D$3:$AY$3, 0))/1000</f>
        <v>0</v>
      </c>
      <c r="DA104" s="194">
        <f t="array" ref="DA104">INDEX(Demand_current!$D$4:$AY$138, MATCH($A104, Demand_current!$B$4:$B$138, 0), MATCH(DA$4&amp;DA$5,Demand_current!$D$2:$AY$2&amp;Demand_current!$D$3:$AY$3, 0))/1000</f>
        <v>0</v>
      </c>
      <c r="DB104" s="194">
        <f t="array" ref="DB104">INDEX(Demand_current!$D$4:$AY$138, MATCH($A104, Demand_current!$B$4:$B$138, 0), MATCH(DB$4&amp;DB$5,Demand_current!$D$2:$AY$2&amp;Demand_current!$D$3:$AY$3, 0))/1000</f>
        <v>0</v>
      </c>
      <c r="DC104" s="194">
        <f t="array" ref="DC104">INDEX(Demand_current!$D$4:$AY$138, MATCH($A104, Demand_current!$B$4:$B$138, 0), MATCH(DC$4&amp;DC$5,Demand_current!$D$2:$AY$2&amp;Demand_current!$D$3:$AY$3, 0))/1000</f>
        <v>0</v>
      </c>
      <c r="DD104" s="194">
        <f t="array" ref="DD104">INDEX(Demand_current!$D$4:$AY$138, MATCH($A104, Demand_current!$B$4:$B$138, 0), MATCH(DD$4&amp;DD$5,Demand_current!$D$2:$AY$2&amp;Demand_current!$D$3:$AY$3, 0))/1000</f>
        <v>0</v>
      </c>
      <c r="DE104" s="194">
        <f t="array" ref="DE104">INDEX(Demand_current!$D$4:$AY$138, MATCH($A104, Demand_current!$B$4:$B$138, 0), MATCH(DE$4&amp;DE$5,Demand_current!$D$2:$AY$2&amp;Demand_current!$D$3:$AY$3, 0))/1000</f>
        <v>0</v>
      </c>
      <c r="DF104" s="194">
        <f t="array" ref="DF104">INDEX(Demand_current!$D$4:$AY$138, MATCH($A104, Demand_current!$B$4:$B$138, 0), MATCH(DF$4&amp;DF$5,Demand_current!$D$2:$AY$2&amp;Demand_current!$D$3:$AY$3, 0))/1000</f>
        <v>0</v>
      </c>
      <c r="DG104" s="194">
        <f t="array" ref="DG104">INDEX(Demand_current!$D$4:$AY$138, MATCH($A104, Demand_current!$B$4:$B$138, 0), MATCH(DG$4&amp;DG$5,Demand_current!$D$2:$AY$2&amp;Demand_current!$D$3:$AY$3, 0))/1000</f>
        <v>0</v>
      </c>
      <c r="DH104" s="194">
        <f t="array" ref="DH104">INDEX(Demand_current!$D$4:$AY$138, MATCH($A104, Demand_current!$B$4:$B$138, 0), MATCH(DH$4&amp;DH$5,Demand_current!$D$2:$AY$2&amp;Demand_current!$D$3:$AY$3, 0))/1000</f>
        <v>0</v>
      </c>
      <c r="DI104" s="192">
        <f>$BS104*(VLOOKUP(DI$4, Rates_current!$G$6:$Q$29, 10, FALSE)+VLOOKUP(DI$4, Rates_current!$G$6:$Q$29, 11, FALSE))</f>
        <v>23603.445665256706</v>
      </c>
      <c r="DJ104" s="192">
        <f>$BS104*(VLOOKUP(DJ$4, Rates_current!$G$6:$Q$29, 10, FALSE)+VLOOKUP(DJ$4, Rates_current!$G$6:$Q$29, 11, FALSE))</f>
        <v>29882.818840207205</v>
      </c>
      <c r="DK104" s="192">
        <f>$BS104*(VLOOKUP(DK$4, Rates_current!$G$6:$Q$29, 10, FALSE)+VLOOKUP(DK$4, Rates_current!$G$6:$Q$29, 11, FALSE))</f>
        <v>29249.30955891827</v>
      </c>
      <c r="DL104" s="192">
        <f>$BS104*(VLOOKUP(DL$4, Rates_current!$G$6:$Q$29, 10, FALSE)+VLOOKUP(DL$4, Rates_current!$G$6:$Q$29, 11, FALSE))</f>
        <v>24158.685873401831</v>
      </c>
      <c r="DM104" s="192">
        <f>$BS104*(VLOOKUP(DM$4, Rates_current!$G$6:$Q$29, 10, FALSE)+VLOOKUP(DM$4, Rates_current!$G$6:$Q$29, 11, FALSE))</f>
        <v>20938.862534527485</v>
      </c>
      <c r="DN104" s="192">
        <f>$BS104*(VLOOKUP(DN$4, Rates_current!$G$6:$Q$29, 10, FALSE)+VLOOKUP(DN$4, Rates_current!$G$6:$Q$29, 11, FALSE))</f>
        <v>24996.77348809407</v>
      </c>
      <c r="DO104" s="192">
        <f>$BS104*(VLOOKUP(DO$4, Rates_current!$G$6:$Q$29, 10, FALSE)+VLOOKUP(DO$4, Rates_current!$G$6:$Q$29, 11, FALSE))</f>
        <v>19406.666820562405</v>
      </c>
      <c r="DP104" s="192">
        <f>$BS104*(VLOOKUP(DP$4, Rates_current!$G$6:$Q$29, 10, FALSE)+VLOOKUP(DP$4, Rates_current!$G$6:$Q$29, 11, FALSE))</f>
        <v>26888.079693242256</v>
      </c>
      <c r="DQ104" s="192">
        <f>$BS104*(VLOOKUP(DQ$4, Rates_current!$G$6:$Q$29, 10, FALSE)+VLOOKUP(DQ$4, Rates_current!$G$6:$Q$29, 11, FALSE))</f>
        <v>28730.476165797674</v>
      </c>
      <c r="DR104" s="192">
        <f>$BS104*(VLOOKUP(DR$4, Rates_current!$G$6:$Q$29, 10, FALSE)+VLOOKUP(DR$4, Rates_current!$G$6:$Q$29, 11, FALSE))</f>
        <v>27278.286157531806</v>
      </c>
      <c r="DS104" s="192">
        <f>$BS104*(VLOOKUP(DS$4, Rates_current!$G$6:$Q$29, 10, FALSE)+VLOOKUP(DS$4, Rates_current!$G$6:$Q$29, 11, FALSE))</f>
        <v>26362.359160969707</v>
      </c>
      <c r="DT104" s="192">
        <f>$BS104*(VLOOKUP(DT$4, Rates_current!$G$6:$Q$29, 10, FALSE)+VLOOKUP(DT$4, Rates_current!$G$6:$Q$29, 11, FALSE))</f>
        <v>24361.568031768671</v>
      </c>
      <c r="DU104" s="418">
        <f>IF(D104=0,IF(C104=0,MAX(0,DW104 - (VLOOKUP($A104,TOCA_current!$A$2:$AI$137,MATCH("RHWM 2022",TOCA_current!$A$2:$AI$2,0),FALSE)*$BS$2)), 0),0)</f>
        <v>0</v>
      </c>
      <c r="DV104" s="419">
        <f>MIN(VLOOKUP($A104,TOCA_current!$A$2:$AI$137,MATCH("TRL - NLSL - Existing Resource "&amp;$BS$1,TOCA_current!$A$2:$AI$2,0),FALSE)*$BS$2, VLOOKUP($A104,TOCA_current!$A$2:$AI$137,MATCH("RHWM 2022",TOCA_current!$A$2:$AI$2,0),FALSE)*$BS$2)</f>
        <v>305855.39999999997</v>
      </c>
      <c r="DW104" s="419">
        <f>SUM(BY104:CV104)+(BS104*RT1SC!$C$4*$BS$2)</f>
        <v>305857.3476362041</v>
      </c>
      <c r="DX104" s="419">
        <f>VLOOKUP($A104,TOCA_current!$A$2:$AI$137,MATCH("Above RHWM Not Served with LS "&amp;$BS$1,TOCA_current!$A$2:$AI$2,0),FALSE)*$BS$2</f>
        <v>4318.68</v>
      </c>
      <c r="DY104" s="419">
        <f t="shared" si="32"/>
        <v>1.9476362041314133</v>
      </c>
      <c r="DZ104" s="419">
        <f>(VLOOKUP($A104,TOCA_current!$A$2:$AI$137,MATCH("RHWM 2022",TOCA_current!$A$2:$AI$2,0),FALSE)*$BS$2) - $DV104</f>
        <v>0</v>
      </c>
      <c r="EA104" s="419">
        <f t="shared" si="33"/>
        <v>0</v>
      </c>
      <c r="EB104" s="419">
        <f t="shared" si="34"/>
        <v>0</v>
      </c>
      <c r="EC104" s="419">
        <f t="shared" si="35"/>
        <v>0</v>
      </c>
      <c r="ED104" s="419">
        <f t="shared" si="36"/>
        <v>0</v>
      </c>
    </row>
    <row r="105" spans="1:134">
      <c r="A105" s="135">
        <v>10333</v>
      </c>
      <c r="B105" s="136" t="s">
        <v>106</v>
      </c>
      <c r="C105" s="244">
        <f>VLOOKUP(A105, TOCA_current!$A$3:$D$137, 4, FALSE)</f>
        <v>1</v>
      </c>
      <c r="D105" s="203">
        <v>0</v>
      </c>
      <c r="E105" s="119">
        <f>VLOOKUP($A105,TOCA_previous!$A$2:$AI$137,MATCH(E$4,TOCA_previous!$A$2:$AI$2,0),FALSE)</f>
        <v>2.6026999999999999E-3</v>
      </c>
      <c r="F105" s="120">
        <f>VLOOKUP($A105,TOCA_previous!$A$2:$AI$137,MATCH(F$4,TOCA_previous!$A$2:$AI$2,0),FALSE)</f>
        <v>2.6026999999999999E-3</v>
      </c>
      <c r="G105" s="120">
        <f t="shared" si="24"/>
        <v>0</v>
      </c>
      <c r="H105" s="120">
        <f>VLOOKUP($A105,TOCA_previous!$A$2:$AI$137,MATCH(H$4,TOCA_previous!$A$2:$AI$2,0),FALSE)</f>
        <v>6.5000000000000002E-2</v>
      </c>
      <c r="I105" s="120">
        <f t="shared" si="25"/>
        <v>6.5000000000000002E-2</v>
      </c>
      <c r="J105" s="120">
        <f t="shared" si="26"/>
        <v>2.6026999999999999E-3</v>
      </c>
      <c r="K105" s="191">
        <f>VLOOKUP(A105, IRD!$A$5:$C$139, 3, FALSE)</f>
        <v>0</v>
      </c>
      <c r="L105" s="192">
        <f t="array" ref="L105">IF($G105=0, INDEX(LS_previous!$D$4:$AY$138, MATCH('Staging Table'!$A105, LS_previous!$B$4:$B$138, 0), MATCH(L$4&amp;L$5, LS_previous!$D$2:$AY$2&amp;LS_previous!$D$3:$AY$3, 0)),SUM(VLOOKUP($A105, LS_previous!$B$4:$AY$138, LS_previous!D$149, FALSE), VLOOKUP('Staging Table'!$A105, LS_previous!$B$4:$AY$138,LS_previous!AB$149, FALSE))/2)</f>
        <v>0</v>
      </c>
      <c r="M105" s="192">
        <f t="array" ref="M105">IF($G105=0, INDEX(LS_previous!$D$4:$AY$138, MATCH('Staging Table'!$A105, LS_previous!$B$4:$B$138, 0), MATCH(M$4&amp;M$5, LS_previous!$D$2:$AY$2&amp;LS_previous!$D$3:$AY$3, 0)),SUM(VLOOKUP($A105, LS_previous!$B$4:$AY$138, LS_previous!E$149, FALSE), VLOOKUP('Staging Table'!$A105, LS_previous!$B$4:$AY$138,LS_previous!AC$149, FALSE))/2)</f>
        <v>0</v>
      </c>
      <c r="N105" s="192">
        <f t="array" ref="N105">IF($G105=0, INDEX(LS_previous!$D$4:$AY$138, MATCH('Staging Table'!$A105, LS_previous!$B$4:$B$138, 0), MATCH(N$4&amp;N$5, LS_previous!$D$2:$AY$2&amp;LS_previous!$D$3:$AY$3, 0)),SUM(VLOOKUP($A105, LS_previous!$B$4:$AY$138, LS_previous!F$149, FALSE), VLOOKUP('Staging Table'!$A105, LS_previous!$B$4:$AY$138,LS_previous!AD$149, FALSE))/2)</f>
        <v>0</v>
      </c>
      <c r="O105" s="192">
        <f t="array" ref="O105">IF($G105=0, INDEX(LS_previous!$D$4:$AY$138, MATCH('Staging Table'!$A105, LS_previous!$B$4:$B$138, 0), MATCH(O$4&amp;O$5, LS_previous!$D$2:$AY$2&amp;LS_previous!$D$3:$AY$3, 0)),SUM(VLOOKUP($A105, LS_previous!$B$4:$AY$138, LS_previous!G$149, FALSE), VLOOKUP('Staging Table'!$A105, LS_previous!$B$4:$AY$138,LS_previous!AE$149, FALSE))/2)</f>
        <v>0</v>
      </c>
      <c r="P105" s="192">
        <f t="array" ref="P105">IF($G105=0, INDEX(LS_previous!$D$4:$AY$138, MATCH('Staging Table'!$A105, LS_previous!$B$4:$B$138, 0), MATCH(P$4&amp;P$5, LS_previous!$D$2:$AY$2&amp;LS_previous!$D$3:$AY$3, 0)),SUM(VLOOKUP($A105, LS_previous!$B$4:$AY$138, LS_previous!H$149, FALSE), VLOOKUP('Staging Table'!$A105, LS_previous!$B$4:$AY$138,LS_previous!AF$149, FALSE))/2)</f>
        <v>0</v>
      </c>
      <c r="Q105" s="192">
        <f t="array" ref="Q105">IF($G105=0, INDEX(LS_previous!$D$4:$AY$138, MATCH('Staging Table'!$A105, LS_previous!$B$4:$B$138, 0), MATCH(Q$4&amp;Q$5, LS_previous!$D$2:$AY$2&amp;LS_previous!$D$3:$AY$3, 0)),SUM(VLOOKUP($A105, LS_previous!$B$4:$AY$138, LS_previous!I$149, FALSE), VLOOKUP('Staging Table'!$A105, LS_previous!$B$4:$AY$138,LS_previous!AG$149, FALSE))/2)</f>
        <v>0</v>
      </c>
      <c r="R105" s="192">
        <f t="array" ref="R105">IF($G105=0, INDEX(LS_previous!$D$4:$AY$138, MATCH('Staging Table'!$A105, LS_previous!$B$4:$B$138, 0), MATCH(R$4&amp;R$5, LS_previous!$D$2:$AY$2&amp;LS_previous!$D$3:$AY$3, 0)),SUM(VLOOKUP($A105, LS_previous!$B$4:$AY$138, LS_previous!J$149, FALSE), VLOOKUP('Staging Table'!$A105, LS_previous!$B$4:$AY$138,LS_previous!AH$149, FALSE))/2)</f>
        <v>0</v>
      </c>
      <c r="S105" s="192">
        <f t="array" ref="S105">IF($G105=0, INDEX(LS_previous!$D$4:$AY$138, MATCH('Staging Table'!$A105, LS_previous!$B$4:$B$138, 0), MATCH(S$4&amp;S$5, LS_previous!$D$2:$AY$2&amp;LS_previous!$D$3:$AY$3, 0)),SUM(VLOOKUP($A105, LS_previous!$B$4:$AY$138, LS_previous!K$149, FALSE), VLOOKUP('Staging Table'!$A105, LS_previous!$B$4:$AY$138,LS_previous!AI$149, FALSE))/2)</f>
        <v>0</v>
      </c>
      <c r="T105" s="192">
        <f t="array" ref="T105">IF($G105=0, INDEX(LS_previous!$D$4:$AY$138, MATCH('Staging Table'!$A105, LS_previous!$B$4:$B$138, 0), MATCH(T$4&amp;T$5, LS_previous!$D$2:$AY$2&amp;LS_previous!$D$3:$AY$3, 0)),SUM(VLOOKUP($A105, LS_previous!$B$4:$AY$138, LS_previous!L$149, FALSE), VLOOKUP('Staging Table'!$A105, LS_previous!$B$4:$AY$138,LS_previous!AJ$149, FALSE))/2)</f>
        <v>0</v>
      </c>
      <c r="U105" s="192">
        <f t="array" ref="U105">IF($G105=0, INDEX(LS_previous!$D$4:$AY$138, MATCH('Staging Table'!$A105, LS_previous!$B$4:$B$138, 0), MATCH(U$4&amp;U$5, LS_previous!$D$2:$AY$2&amp;LS_previous!$D$3:$AY$3, 0)),SUM(VLOOKUP($A105, LS_previous!$B$4:$AY$138, LS_previous!M$149, FALSE), VLOOKUP('Staging Table'!$A105, LS_previous!$B$4:$AY$138,LS_previous!AK$149, FALSE))/2)</f>
        <v>0</v>
      </c>
      <c r="V105" s="192">
        <f t="array" ref="V105">IF($G105=0, INDEX(LS_previous!$D$4:$AY$138, MATCH('Staging Table'!$A105, LS_previous!$B$4:$B$138, 0), MATCH(V$4&amp;V$5, LS_previous!$D$2:$AY$2&amp;LS_previous!$D$3:$AY$3, 0)),SUM(VLOOKUP($A105, LS_previous!$B$4:$AY$138, LS_previous!N$149, FALSE), VLOOKUP('Staging Table'!$A105, LS_previous!$B$4:$AY$138,LS_previous!AL$149, FALSE))/2)</f>
        <v>0</v>
      </c>
      <c r="W105" s="192">
        <f t="array" ref="W105">IF($G105=0, INDEX(LS_previous!$D$4:$AY$138, MATCH('Staging Table'!$A105, LS_previous!$B$4:$B$138, 0), MATCH(W$4&amp;W$5, LS_previous!$D$2:$AY$2&amp;LS_previous!$D$3:$AY$3, 0)),SUM(VLOOKUP($A105, LS_previous!$B$4:$AY$138, LS_previous!O$149, FALSE), VLOOKUP('Staging Table'!$A105, LS_previous!$B$4:$AY$138,LS_previous!AM$149, FALSE))/2)</f>
        <v>0</v>
      </c>
      <c r="X105" s="192">
        <f t="array" ref="X105">IF($G105=0, INDEX(LS_previous!$D$4:$AY$138, MATCH('Staging Table'!$A105, LS_previous!$B$4:$B$138, 0), MATCH(X$4&amp;X$5, LS_previous!$D$2:$AY$2&amp;LS_previous!$D$3:$AY$3, 0)),SUM(VLOOKUP($A105, LS_previous!$B$4:$AY$138, LS_previous!P$149, FALSE), VLOOKUP('Staging Table'!$A105, LS_previous!$B$4:$AY$138,LS_previous!AN$149, FALSE))/2)</f>
        <v>0</v>
      </c>
      <c r="Y105" s="192">
        <f t="array" ref="Y105">IF($G105=0, INDEX(LS_previous!$D$4:$AY$138, MATCH('Staging Table'!$A105, LS_previous!$B$4:$B$138, 0), MATCH(Y$4&amp;Y$5, LS_previous!$D$2:$AY$2&amp;LS_previous!$D$3:$AY$3, 0)),SUM(VLOOKUP($A105, LS_previous!$B$4:$AY$138, LS_previous!Q$149, FALSE), VLOOKUP('Staging Table'!$A105, LS_previous!$B$4:$AY$138,LS_previous!AO$149, FALSE))/2)</f>
        <v>0</v>
      </c>
      <c r="Z105" s="192">
        <f t="array" ref="Z105">IF($G105=0, INDEX(LS_previous!$D$4:$AY$138, MATCH('Staging Table'!$A105, LS_previous!$B$4:$B$138, 0), MATCH(Z$4&amp;Z$5, LS_previous!$D$2:$AY$2&amp;LS_previous!$D$3:$AY$3, 0)),SUM(VLOOKUP($A105, LS_previous!$B$4:$AY$138, LS_previous!R$149, FALSE), VLOOKUP('Staging Table'!$A105, LS_previous!$B$4:$AY$138,LS_previous!AP$149, FALSE))/2)</f>
        <v>0</v>
      </c>
      <c r="AA105" s="192">
        <f t="array" ref="AA105">IF($G105=0, INDEX(LS_previous!$D$4:$AY$138, MATCH('Staging Table'!$A105, LS_previous!$B$4:$B$138, 0), MATCH(AA$4&amp;AA$5, LS_previous!$D$2:$AY$2&amp;LS_previous!$D$3:$AY$3, 0)),SUM(VLOOKUP($A105, LS_previous!$B$4:$AY$138, LS_previous!S$149, FALSE), VLOOKUP('Staging Table'!$A105, LS_previous!$B$4:$AY$138,LS_previous!AQ$149, FALSE))/2)</f>
        <v>0</v>
      </c>
      <c r="AB105" s="192">
        <f t="array" ref="AB105">IF($G105=0, INDEX(LS_previous!$D$4:$AY$138, MATCH('Staging Table'!$A105, LS_previous!$B$4:$B$138, 0), MATCH(AB$4&amp;AB$5, LS_previous!$D$2:$AY$2&amp;LS_previous!$D$3:$AY$3, 0)),SUM(VLOOKUP($A105, LS_previous!$B$4:$AY$138, LS_previous!T$149, FALSE), VLOOKUP('Staging Table'!$A105, LS_previous!$B$4:$AY$138,LS_previous!AR$149, FALSE))/2)</f>
        <v>0</v>
      </c>
      <c r="AC105" s="192">
        <f t="array" ref="AC105">IF($G105=0, INDEX(LS_previous!$D$4:$AY$138, MATCH('Staging Table'!$A105, LS_previous!$B$4:$B$138, 0), MATCH(AC$4&amp;AC$5, LS_previous!$D$2:$AY$2&amp;LS_previous!$D$3:$AY$3, 0)),SUM(VLOOKUP($A105, LS_previous!$B$4:$AY$138, LS_previous!U$149, FALSE), VLOOKUP('Staging Table'!$A105, LS_previous!$B$4:$AY$138,LS_previous!AS$149, FALSE))/2)</f>
        <v>0</v>
      </c>
      <c r="AD105" s="192">
        <f t="array" ref="AD105">IF($G105=0, INDEX(LS_previous!$D$4:$AY$138, MATCH('Staging Table'!$A105, LS_previous!$B$4:$B$138, 0), MATCH(AD$4&amp;AD$5, LS_previous!$D$2:$AY$2&amp;LS_previous!$D$3:$AY$3, 0)),SUM(VLOOKUP($A105, LS_previous!$B$4:$AY$138, LS_previous!V$149, FALSE), VLOOKUP('Staging Table'!$A105, LS_previous!$B$4:$AY$138,LS_previous!AT$149, FALSE))/2)</f>
        <v>0</v>
      </c>
      <c r="AE105" s="192">
        <f t="array" ref="AE105">IF($G105=0, INDEX(LS_previous!$D$4:$AY$138, MATCH('Staging Table'!$A105, LS_previous!$B$4:$B$138, 0), MATCH(AE$4&amp;AE$5, LS_previous!$D$2:$AY$2&amp;LS_previous!$D$3:$AY$3, 0)),SUM(VLOOKUP($A105, LS_previous!$B$4:$AY$138, LS_previous!W$149, FALSE), VLOOKUP('Staging Table'!$A105, LS_previous!$B$4:$AY$138,LS_previous!AU$149, FALSE))/2)</f>
        <v>0</v>
      </c>
      <c r="AF105" s="192">
        <f t="array" ref="AF105">IF($G105=0, INDEX(LS_previous!$D$4:$AY$138, MATCH('Staging Table'!$A105, LS_previous!$B$4:$B$138, 0), MATCH(AF$4&amp;AF$5, LS_previous!$D$2:$AY$2&amp;LS_previous!$D$3:$AY$3, 0)),SUM(VLOOKUP($A105, LS_previous!$B$4:$AY$138, LS_previous!X$149, FALSE), VLOOKUP('Staging Table'!$A105, LS_previous!$B$4:$AY$138,LS_previous!AV$149, FALSE))/2)</f>
        <v>0</v>
      </c>
      <c r="AG105" s="192">
        <f t="array" ref="AG105">IF($G105=0, INDEX(LS_previous!$D$4:$AY$138, MATCH('Staging Table'!$A105, LS_previous!$B$4:$B$138, 0), MATCH(AG$4&amp;AG$5, LS_previous!$D$2:$AY$2&amp;LS_previous!$D$3:$AY$3, 0)),SUM(VLOOKUP($A105, LS_previous!$B$4:$AY$138, LS_previous!Y$149, FALSE), VLOOKUP('Staging Table'!$A105, LS_previous!$B$4:$AY$138,LS_previous!AW$149, FALSE))/2)</f>
        <v>0</v>
      </c>
      <c r="AH105" s="192">
        <f t="array" ref="AH105">IF($G105=0, INDEX(LS_previous!$D$4:$AY$138, MATCH('Staging Table'!$A105, LS_previous!$B$4:$B$138, 0), MATCH(AH$4&amp;AH$5, LS_previous!$D$2:$AY$2&amp;LS_previous!$D$3:$AY$3, 0)),SUM(VLOOKUP($A105, LS_previous!$B$4:$AY$138, LS_previous!Z$149, FALSE), VLOOKUP('Staging Table'!$A105, LS_previous!$B$4:$AY$138,LS_previous!AX$149, FALSE))/2)</f>
        <v>0</v>
      </c>
      <c r="AI105" s="192">
        <f t="array" ref="AI105">IF($G105=0, INDEX(LS_previous!$D$4:$AY$138, MATCH('Staging Table'!$A105, LS_previous!$B$4:$B$138, 0), MATCH(AI$4&amp;AI$5, LS_previous!$D$2:$AY$2&amp;LS_previous!$D$3:$AY$3, 0)),SUM(VLOOKUP($A105, LS_previous!$B$4:$AY$138, LS_previous!AA$149, FALSE), VLOOKUP('Staging Table'!$A105, LS_previous!$B$4:$AY$138,LS_previous!AY$149, FALSE))/2)</f>
        <v>0</v>
      </c>
      <c r="AJ105" s="314">
        <f t="array" ref="AJ105">INDEX(Demand_previous!$D$4:$AY$138, MATCH('Staging Table'!$A105, Demand_previous!$B$4:$B$138, 0), MATCH(AJ$4&amp;AJ$5,Demand_previous!$D$2:$AY$2&amp;Demand_previous!$D$3:$AY$3, 0))/1000</f>
        <v>0</v>
      </c>
      <c r="AK105" s="314">
        <f t="array" ref="AK105">INDEX(Demand_previous!$D$4:$AY$138, MATCH('Staging Table'!$A105, Demand_previous!$B$4:$B$138, 0), MATCH(AK$4&amp;AK$5,Demand_previous!$D$2:$AY$2&amp;Demand_previous!$D$3:$AY$3, 0))/1000</f>
        <v>0</v>
      </c>
      <c r="AL105" s="314">
        <f t="array" ref="AL105">INDEX(Demand_previous!$D$4:$AY$138, MATCH('Staging Table'!$A105, Demand_previous!$B$4:$B$138, 0), MATCH(AL$4&amp;AL$5,Demand_previous!$D$2:$AY$2&amp;Demand_previous!$D$3:$AY$3, 0))/1000</f>
        <v>0</v>
      </c>
      <c r="AM105" s="314">
        <f t="array" ref="AM105">INDEX(Demand_previous!$D$4:$AY$138, MATCH('Staging Table'!$A105, Demand_previous!$B$4:$B$138, 0), MATCH(AM$4&amp;AM$5,Demand_previous!$D$2:$AY$2&amp;Demand_previous!$D$3:$AY$3, 0))/1000</f>
        <v>0</v>
      </c>
      <c r="AN105" s="314">
        <f t="array" ref="AN105">INDEX(Demand_previous!$D$4:$AY$138, MATCH('Staging Table'!$A105, Demand_previous!$B$4:$B$138, 0), MATCH(AN$4&amp;AN$5,Demand_previous!$D$2:$AY$2&amp;Demand_previous!$D$3:$AY$3, 0))/1000</f>
        <v>0</v>
      </c>
      <c r="AO105" s="314">
        <f t="array" ref="AO105">INDEX(Demand_previous!$D$4:$AY$138, MATCH('Staging Table'!$A105, Demand_previous!$B$4:$B$138, 0), MATCH(AO$4&amp;AO$5,Demand_previous!$D$2:$AY$2&amp;Demand_previous!$D$3:$AY$3, 0))/1000</f>
        <v>0</v>
      </c>
      <c r="AP105" s="314">
        <f t="array" ref="AP105">INDEX(Demand_previous!$D$4:$AY$138, MATCH('Staging Table'!$A105, Demand_previous!$B$4:$B$138, 0), MATCH(AP$4&amp;AP$5,Demand_previous!$D$2:$AY$2&amp;Demand_previous!$D$3:$AY$3, 0))/1000</f>
        <v>0</v>
      </c>
      <c r="AQ105" s="314">
        <f t="array" ref="AQ105">INDEX(Demand_previous!$D$4:$AY$138, MATCH('Staging Table'!$A105, Demand_previous!$B$4:$B$138, 0), MATCH(AQ$4&amp;AQ$5,Demand_previous!$D$2:$AY$2&amp;Demand_previous!$D$3:$AY$3, 0))/1000</f>
        <v>0</v>
      </c>
      <c r="AR105" s="314">
        <f t="array" ref="AR105">INDEX(Demand_previous!$D$4:$AY$138, MATCH('Staging Table'!$A105, Demand_previous!$B$4:$B$138, 0), MATCH(AR$4&amp;AR$5,Demand_previous!$D$2:$AY$2&amp;Demand_previous!$D$3:$AY$3, 0))/1000</f>
        <v>0</v>
      </c>
      <c r="AS105" s="314">
        <f t="array" ref="AS105">INDEX(Demand_previous!$D$4:$AY$138, MATCH('Staging Table'!$A105, Demand_previous!$B$4:$B$138, 0), MATCH(AS$4&amp;AS$5,Demand_previous!$D$2:$AY$2&amp;Demand_previous!$D$3:$AY$3, 0))/1000</f>
        <v>0</v>
      </c>
      <c r="AT105" s="314">
        <f t="array" ref="AT105">INDEX(Demand_previous!$D$4:$AY$138, MATCH('Staging Table'!$A105, Demand_previous!$B$4:$B$138, 0), MATCH(AT$4&amp;AT$5,Demand_previous!$D$2:$AY$2&amp;Demand_previous!$D$3:$AY$3, 0))/1000</f>
        <v>0</v>
      </c>
      <c r="AU105" s="314">
        <f t="array" ref="AU105">INDEX(Demand_previous!$D$4:$AY$138, MATCH('Staging Table'!$A105, Demand_previous!$B$4:$B$138, 0), MATCH(AU$4&amp;AU$5,Demand_previous!$D$2:$AY$2&amp;Demand_previous!$D$3:$AY$3, 0))/1000</f>
        <v>0</v>
      </c>
      <c r="AV105" s="192">
        <f>$F105*(VLOOKUP(AV$4, Rates_previous!$G$6:$Q$29, 10, FALSE)+VLOOKUP(AV$4, Rates_previous!$G$6:$Q$29, 11, FALSE))</f>
        <v>12017.491466029198</v>
      </c>
      <c r="AW105" s="192">
        <f>$F105*(VLOOKUP(AW$4, Rates_previous!$G$6:$Q$29, 10, FALSE)+VLOOKUP(AW$4, Rates_previous!$G$6:$Q$29, 11, FALSE))</f>
        <v>15265.963091145299</v>
      </c>
      <c r="AX105" s="192">
        <f>$F105*(VLOOKUP(AX$4, Rates_previous!$G$6:$Q$29, 10, FALSE)+VLOOKUP(AX$4, Rates_previous!$G$6:$Q$29, 11, FALSE))</f>
        <v>15081.605930129201</v>
      </c>
      <c r="AY105" s="192">
        <f>$F105*(VLOOKUP(AY$4, Rates_previous!$G$6:$Q$29, 10, FALSE)+VLOOKUP(AY$4, Rates_previous!$G$6:$Q$29, 11, FALSE))</f>
        <v>12571.437120529201</v>
      </c>
      <c r="AZ105" s="192">
        <f>$F105*(VLOOKUP(AZ$4, Rates_previous!$G$6:$Q$29, 10, FALSE)+VLOOKUP(AZ$4, Rates_previous!$G$6:$Q$29, 11, FALSE))</f>
        <v>11388.41784536</v>
      </c>
      <c r="BA105" s="192">
        <f>$F105*(VLOOKUP(BA$4, Rates_previous!$G$6:$Q$29, 10, FALSE)+VLOOKUP(BA$4, Rates_previous!$G$6:$Q$29, 11, FALSE))</f>
        <v>12667.5385412299</v>
      </c>
      <c r="BB105" s="192">
        <f>$F105*(VLOOKUP(BB$4, Rates_previous!$G$6:$Q$29, 10, FALSE)+VLOOKUP(BB$4, Rates_previous!$G$6:$Q$29, 11, FALSE))</f>
        <v>10313.923549895999</v>
      </c>
      <c r="BC105" s="192">
        <f>$F105*(VLOOKUP(BC$4, Rates_previous!$G$6:$Q$29, 10, FALSE)+VLOOKUP(BC$4, Rates_previous!$G$6:$Q$29, 11, FALSE))</f>
        <v>13909.863883379201</v>
      </c>
      <c r="BD105" s="192">
        <f>$F105*(VLOOKUP(BD$4, Rates_previous!$G$6:$Q$29, 10, FALSE)+VLOOKUP(BD$4, Rates_previous!$G$6:$Q$29, 11, FALSE))</f>
        <v>17748.040285546002</v>
      </c>
      <c r="BE105" s="192">
        <f>$F105*(VLOOKUP(BE$4, Rates_previous!$G$6:$Q$29, 10, FALSE)+VLOOKUP(BE$4, Rates_previous!$G$6:$Q$29, 11, FALSE))</f>
        <v>13915.026338829201</v>
      </c>
      <c r="BF105" s="192">
        <f>$F105*(VLOOKUP(BF$4, Rates_previous!$G$6:$Q$29, 10, FALSE)+VLOOKUP(BF$4, Rates_previous!$G$6:$Q$29, 11, FALSE))</f>
        <v>13550.464848479201</v>
      </c>
      <c r="BG105" s="192">
        <f>$F105*(VLOOKUP(BG$4, Rates_previous!$G$6:$Q$29, 10, FALSE)+VLOOKUP(BG$4, Rates_previous!$G$6:$Q$29, 11, FALSE))</f>
        <v>12165.434878596001</v>
      </c>
      <c r="BH105" s="314">
        <f>IF($D105=0,IF(C105=0, MAX(BJ105 - (VLOOKUP($A105,TOCA_previous!$A$2:$AI$137,MATCH("RHWM 2020",TOCA_previous!$A$2:$AI$2,0),FALSE)*$F$2*TOCA_previous!C102),0),0), 0)</f>
        <v>0</v>
      </c>
      <c r="BI105" s="204">
        <f>MIN(VLOOKUP($A105,TOCA_previous!$A$2:$AI$137,MATCH("TRL - NLSL - Existing Resource "&amp;$F$1,TOCA_previous!$A$2:$AI$2,0),FALSE)*$F$2,(VLOOKUP($A105,TOCA_previous!$A$2:$AI$137,MATCH("RHWM 2020",TOCA_previous!$A$2:$AI$2,0),FALSE)*$F$2))</f>
        <v>160597.872</v>
      </c>
      <c r="BJ105" s="418">
        <f>SUM(L105:AI105)+(F105*RT1SC!$C$3*$F$2)</f>
        <v>160595.21380700159</v>
      </c>
      <c r="BK105" s="417">
        <f>VLOOKUP($A105,TOCA_previous!$A$2:$AI$137,MATCH("Above RHWM Not Served with LS "&amp;$F$1,TOCA_previous!$A$2:$AI$2,0),FALSE)*$F$2</f>
        <v>0</v>
      </c>
      <c r="BL105" s="418">
        <f t="shared" si="27"/>
        <v>-2.6581929984095041</v>
      </c>
      <c r="BM105" s="417">
        <f>(VLOOKUP($A105,TOCA_previous!$A$2:$AI$137,MATCH("RHWM 2020",TOCA_previous!$A$2:$AI$2,0),FALSE)*$F$2) - $BI105</f>
        <v>1177.0560000000114</v>
      </c>
      <c r="BN105" s="418">
        <f t="shared" si="28"/>
        <v>0</v>
      </c>
      <c r="BO105" s="417">
        <f t="shared" si="29"/>
        <v>2.6581929984095041</v>
      </c>
      <c r="BP105" s="418">
        <f t="shared" si="30"/>
        <v>0</v>
      </c>
      <c r="BQ105" s="417">
        <f t="shared" si="37"/>
        <v>2.6581929984095041</v>
      </c>
      <c r="BR105" s="120">
        <f>VLOOKUP($A105,TOCA_current!$A$2:$AI$137,MATCH(BR$4,TOCA_current!$A$2:$AI$2,0),FALSE)</f>
        <v>2.6216999999999998E-3</v>
      </c>
      <c r="BS105" s="120">
        <f>VLOOKUP($A105,TOCA_current!$A$2:$AI$137,MATCH(BS$4,TOCA_current!$A$2:$AI$2,0),FALSE)</f>
        <v>2.6216999999999998E-3</v>
      </c>
      <c r="BT105" s="201">
        <f t="shared" si="31"/>
        <v>0</v>
      </c>
      <c r="BU105" s="120">
        <f>VLOOKUP($A105,TOCA_current!A101:BG236,MATCH(BU$4,TOCA_current!$A$2:$BG$2,0),FALSE)</f>
        <v>6.3794802106335993E-2</v>
      </c>
      <c r="BV105" s="120">
        <f t="shared" si="38"/>
        <v>6.3794802106335993E-2</v>
      </c>
      <c r="BW105" s="120">
        <f t="shared" si="39"/>
        <v>2.6216999999999998E-3</v>
      </c>
      <c r="BX105" s="191">
        <f>VLOOKUP($A105,IRD!$A$4:$G$139, 7, FALSE)</f>
        <v>0</v>
      </c>
      <c r="BY105" s="192">
        <f t="array" ref="BY105">IF($BT105=0, INDEX(LS_current!$D$4:$AY$138, MATCH('Staging Table'!$A105, LS_current!$B$4:$B$138, 0), MATCH(BY$4&amp;BY$5, LS_current!$D$2:$AY$2&amp;LS_current!$D$3:$AY$3, 0)),SUM(VLOOKUP($A105, LS_current!$B$4:$AY$138, LS_current!D$148, FALSE), VLOOKUP($A105, LS_current!$B$4:$AY$138,LS_current!AB$148, FALSE))/2)</f>
        <v>0</v>
      </c>
      <c r="BZ105" s="192">
        <f t="array" ref="BZ105">IF($BT105=0, INDEX(LS_current!$D$4:$AY$138, MATCH('Staging Table'!$A105, LS_current!$B$4:$B$138, 0), MATCH(BZ$4&amp;BZ$5, LS_current!$D$2:$AY$2&amp;LS_current!$D$3:$AY$3, 0)),SUM(VLOOKUP($A105, LS_current!$B$4:$AY$138, LS_current!E$148, FALSE), VLOOKUP($A105, LS_current!$B$4:$AY$138,LS_current!AC$148, FALSE))/2)</f>
        <v>0</v>
      </c>
      <c r="CA105" s="192">
        <f t="array" ref="CA105">IF($BT105=0, INDEX(LS_current!$D$4:$AY$138, MATCH('Staging Table'!$A105, LS_current!$B$4:$B$138, 0), MATCH(CA$4&amp;CA$5, LS_current!$D$2:$AY$2&amp;LS_current!$D$3:$AY$3, 0)),SUM(VLOOKUP($A105, LS_current!$B$4:$AY$138, LS_current!F$148, FALSE), VLOOKUP($A105, LS_current!$B$4:$AY$138,LS_current!AD$148, FALSE))/2)</f>
        <v>0</v>
      </c>
      <c r="CB105" s="192">
        <f t="array" ref="CB105">IF($BT105=0, INDEX(LS_current!$D$4:$AY$138, MATCH('Staging Table'!$A105, LS_current!$B$4:$B$138, 0), MATCH(CB$4&amp;CB$5, LS_current!$D$2:$AY$2&amp;LS_current!$D$3:$AY$3, 0)),SUM(VLOOKUP($A105, LS_current!$B$4:$AY$138, LS_current!G$148, FALSE), VLOOKUP($A105, LS_current!$B$4:$AY$138,LS_current!AE$148, FALSE))/2)</f>
        <v>0</v>
      </c>
      <c r="CC105" s="192">
        <f t="array" ref="CC105">IF($BT105=0, INDEX(LS_current!$D$4:$AY$138, MATCH('Staging Table'!$A105, LS_current!$B$4:$B$138, 0), MATCH(CC$4&amp;CC$5, LS_current!$D$2:$AY$2&amp;LS_current!$D$3:$AY$3, 0)),SUM(VLOOKUP($A105, LS_current!$B$4:$AY$138, LS_current!H$148, FALSE), VLOOKUP($A105, LS_current!$B$4:$AY$138,LS_current!AF$148, FALSE))/2)</f>
        <v>0</v>
      </c>
      <c r="CD105" s="192">
        <f t="array" ref="CD105">IF($BT105=0, INDEX(LS_current!$D$4:$AY$138, MATCH('Staging Table'!$A105, LS_current!$B$4:$B$138, 0), MATCH(CD$4&amp;CD$5, LS_current!$D$2:$AY$2&amp;LS_current!$D$3:$AY$3, 0)),SUM(VLOOKUP($A105, LS_current!$B$4:$AY$138, LS_current!I$148, FALSE), VLOOKUP($A105, LS_current!$B$4:$AY$138,LS_current!AG$148, FALSE))/2)</f>
        <v>0</v>
      </c>
      <c r="CE105" s="192">
        <f t="array" ref="CE105">IF($BT105=0, INDEX(LS_current!$D$4:$AY$138, MATCH('Staging Table'!$A105, LS_current!$B$4:$B$138, 0), MATCH(CE$4&amp;CE$5, LS_current!$D$2:$AY$2&amp;LS_current!$D$3:$AY$3, 0)),SUM(VLOOKUP($A105, LS_current!$B$4:$AY$138, LS_current!J$148, FALSE), VLOOKUP($A105, LS_current!$B$4:$AY$138,LS_current!AH$148, FALSE))/2)</f>
        <v>0</v>
      </c>
      <c r="CF105" s="192">
        <f t="array" ref="CF105">IF($BT105=0, INDEX(LS_current!$D$4:$AY$138, MATCH('Staging Table'!$A105, LS_current!$B$4:$B$138, 0), MATCH(CF$4&amp;CF$5, LS_current!$D$2:$AY$2&amp;LS_current!$D$3:$AY$3, 0)),SUM(VLOOKUP($A105, LS_current!$B$4:$AY$138, LS_current!K$148, FALSE), VLOOKUP($A105, LS_current!$B$4:$AY$138,LS_current!AI$148, FALSE))/2)</f>
        <v>0</v>
      </c>
      <c r="CG105" s="192">
        <f t="array" ref="CG105">IF($BT105=0, INDEX(LS_current!$D$4:$AY$138, MATCH('Staging Table'!$A105, LS_current!$B$4:$B$138, 0), MATCH(CG$4&amp;CG$5, LS_current!$D$2:$AY$2&amp;LS_current!$D$3:$AY$3, 0)),SUM(VLOOKUP($A105, LS_current!$B$4:$AY$138, LS_current!L$148, FALSE), VLOOKUP($A105, LS_current!$B$4:$AY$138,LS_current!AJ$148, FALSE))/2)</f>
        <v>0</v>
      </c>
      <c r="CH105" s="192">
        <f t="array" ref="CH105">IF($BT105=0, INDEX(LS_current!$D$4:$AY$138, MATCH('Staging Table'!$A105, LS_current!$B$4:$B$138, 0), MATCH(CH$4&amp;CH$5, LS_current!$D$2:$AY$2&amp;LS_current!$D$3:$AY$3, 0)),SUM(VLOOKUP($A105, LS_current!$B$4:$AY$138, LS_current!M$148, FALSE), VLOOKUP($A105, LS_current!$B$4:$AY$138,LS_current!AK$148, FALSE))/2)</f>
        <v>0</v>
      </c>
      <c r="CI105" s="192">
        <f t="array" ref="CI105">IF($BT105=0, INDEX(LS_current!$D$4:$AY$138, MATCH('Staging Table'!$A105, LS_current!$B$4:$B$138, 0), MATCH(CI$4&amp;CI$5, LS_current!$D$2:$AY$2&amp;LS_current!$D$3:$AY$3, 0)),SUM(VLOOKUP($A105, LS_current!$B$4:$AY$138, LS_current!N$148, FALSE), VLOOKUP($A105, LS_current!$B$4:$AY$138,LS_current!AL$148, FALSE))/2)</f>
        <v>0</v>
      </c>
      <c r="CJ105" s="192">
        <f t="array" ref="CJ105">IF($BT105=0, INDEX(LS_current!$D$4:$AY$138, MATCH('Staging Table'!$A105, LS_current!$B$4:$B$138, 0), MATCH(CJ$4&amp;CJ$5, LS_current!$D$2:$AY$2&amp;LS_current!$D$3:$AY$3, 0)),SUM(VLOOKUP($A105, LS_current!$B$4:$AY$138, LS_current!O$148, FALSE), VLOOKUP($A105, LS_current!$B$4:$AY$138,LS_current!AM$148, FALSE))/2)</f>
        <v>0</v>
      </c>
      <c r="CK105" s="192">
        <f t="array" ref="CK105">IF($BT105=0, INDEX(LS_current!$D$4:$AY$138, MATCH('Staging Table'!$A105, LS_current!$B$4:$B$138, 0), MATCH(CK$4&amp;CK$5, LS_current!$D$2:$AY$2&amp;LS_current!$D$3:$AY$3, 0)),SUM(VLOOKUP($A105, LS_current!$B$4:$AY$138, LS_current!P$148, FALSE), VLOOKUP($A105, LS_current!$B$4:$AY$138,LS_current!AN$148, FALSE))/2)</f>
        <v>0</v>
      </c>
      <c r="CL105" s="192">
        <f t="array" ref="CL105">IF($BT105=0, INDEX(LS_current!$D$4:$AY$138, MATCH('Staging Table'!$A105, LS_current!$B$4:$B$138, 0), MATCH(CL$4&amp;CL$5, LS_current!$D$2:$AY$2&amp;LS_current!$D$3:$AY$3, 0)),SUM(VLOOKUP($A105, LS_current!$B$4:$AY$138, LS_current!Q$148, FALSE), VLOOKUP($A105, LS_current!$B$4:$AY$138,LS_current!AO$148, FALSE))/2)</f>
        <v>0</v>
      </c>
      <c r="CM105" s="192">
        <f t="array" ref="CM105">IF($BT105=0, INDEX(LS_current!$D$4:$AY$138, MATCH('Staging Table'!$A105, LS_current!$B$4:$B$138, 0), MATCH(CM$4&amp;CM$5, LS_current!$D$2:$AY$2&amp;LS_current!$D$3:$AY$3, 0)),SUM(VLOOKUP($A105, LS_current!$B$4:$AY$138, LS_current!R$148, FALSE), VLOOKUP($A105, LS_current!$B$4:$AY$138,LS_current!AP$148, FALSE))/2)</f>
        <v>0</v>
      </c>
      <c r="CN105" s="192">
        <f t="array" ref="CN105">IF($BT105=0, INDEX(LS_current!$D$4:$AY$138, MATCH('Staging Table'!$A105, LS_current!$B$4:$B$138, 0), MATCH(CN$4&amp;CN$5, LS_current!$D$2:$AY$2&amp;LS_current!$D$3:$AY$3, 0)),SUM(VLOOKUP($A105, LS_current!$B$4:$AY$138, LS_current!S$148, FALSE), VLOOKUP($A105, LS_current!$B$4:$AY$138,LS_current!AQ$148, FALSE))/2)</f>
        <v>0</v>
      </c>
      <c r="CO105" s="192">
        <f t="array" ref="CO105">IF($BT105=0, INDEX(LS_current!$D$4:$AY$138, MATCH('Staging Table'!$A105, LS_current!$B$4:$B$138, 0), MATCH(CO$4&amp;CO$5, LS_current!$D$2:$AY$2&amp;LS_current!$D$3:$AY$3, 0)),SUM(VLOOKUP($A105, LS_current!$B$4:$AY$138, LS_current!T$148, FALSE), VLOOKUP($A105, LS_current!$B$4:$AY$138,LS_current!AR$148, FALSE))/2)</f>
        <v>0</v>
      </c>
      <c r="CP105" s="192">
        <f t="array" ref="CP105">IF($BT105=0, INDEX(LS_current!$D$4:$AY$138, MATCH('Staging Table'!$A105, LS_current!$B$4:$B$138, 0), MATCH(CP$4&amp;CP$5, LS_current!$D$2:$AY$2&amp;LS_current!$D$3:$AY$3, 0)),SUM(VLOOKUP($A105, LS_current!$B$4:$AY$138, LS_current!U$148, FALSE), VLOOKUP($A105, LS_current!$B$4:$AY$138,LS_current!AS$148, FALSE))/2)</f>
        <v>0</v>
      </c>
      <c r="CQ105" s="192">
        <f t="array" ref="CQ105">IF($BT105=0, INDEX(LS_current!$D$4:$AY$138, MATCH('Staging Table'!$A105, LS_current!$B$4:$B$138, 0), MATCH(CQ$4&amp;CQ$5, LS_current!$D$2:$AY$2&amp;LS_current!$D$3:$AY$3, 0)),SUM(VLOOKUP($A105, LS_current!$B$4:$AY$138, LS_current!V$148, FALSE), VLOOKUP($A105, LS_current!$B$4:$AY$138,LS_current!AT$148, FALSE))/2)</f>
        <v>0</v>
      </c>
      <c r="CR105" s="192">
        <f t="array" ref="CR105">IF($BT105=0, INDEX(LS_current!$D$4:$AY$138, MATCH('Staging Table'!$A105, LS_current!$B$4:$B$138, 0), MATCH(CR$4&amp;CR$5, LS_current!$D$2:$AY$2&amp;LS_current!$D$3:$AY$3, 0)),SUM(VLOOKUP($A105, LS_current!$B$4:$AY$138, LS_current!W$148, FALSE), VLOOKUP($A105, LS_current!$B$4:$AY$138,LS_current!AU$148, FALSE))/2)</f>
        <v>0</v>
      </c>
      <c r="CS105" s="192">
        <f t="array" ref="CS105">IF($BT105=0, INDEX(LS_current!$D$4:$AY$138, MATCH('Staging Table'!$A105, LS_current!$B$4:$B$138, 0), MATCH(CS$4&amp;CS$5, LS_current!$D$2:$AY$2&amp;LS_current!$D$3:$AY$3, 0)),SUM(VLOOKUP($A105, LS_current!$B$4:$AY$138, LS_current!X$148, FALSE), VLOOKUP($A105, LS_current!$B$4:$AY$138,LS_current!AV$148, FALSE))/2)</f>
        <v>0</v>
      </c>
      <c r="CT105" s="192">
        <f t="array" ref="CT105">IF($BT105=0, INDEX(LS_current!$D$4:$AY$138, MATCH('Staging Table'!$A105, LS_current!$B$4:$B$138, 0), MATCH(CT$4&amp;CT$5, LS_current!$D$2:$AY$2&amp;LS_current!$D$3:$AY$3, 0)),SUM(VLOOKUP($A105, LS_current!$B$4:$AY$138, LS_current!Y$148, FALSE), VLOOKUP($A105, LS_current!$B$4:$AY$138,LS_current!AW$148, FALSE))/2)</f>
        <v>0</v>
      </c>
      <c r="CU105" s="192">
        <f t="array" ref="CU105">IF($BT105=0, INDEX(LS_current!$D$4:$AY$138, MATCH('Staging Table'!$A105, LS_current!$B$4:$B$138, 0), MATCH(CU$4&amp;CU$5, LS_current!$D$2:$AY$2&amp;LS_current!$D$3:$AY$3, 0)),SUM(VLOOKUP($A105, LS_current!$B$4:$AY$138, LS_current!Z$148, FALSE), VLOOKUP($A105, LS_current!$B$4:$AY$138,LS_current!AX$148, FALSE))/2)</f>
        <v>0</v>
      </c>
      <c r="CV105" s="192">
        <f t="array" ref="CV105">IF($BT105=0, INDEX(LS_current!$D$4:$AY$138, MATCH('Staging Table'!$A105, LS_current!$B$4:$B$138, 0), MATCH(CV$4&amp;CV$5, LS_current!$D$2:$AY$2&amp;LS_current!$D$3:$AY$3, 0)),SUM(VLOOKUP($A105, LS_current!$B$4:$AY$138, LS_current!AA$148, FALSE), VLOOKUP($A105, LS_current!$B$4:$AY$138,LS_current!AY$148, FALSE))/2)</f>
        <v>0</v>
      </c>
      <c r="CW105" s="194">
        <f t="array" ref="CW105">INDEX(Demand_current!$D$4:$AY$138, MATCH($A105, Demand_current!$B$4:$B$138, 0), MATCH(CW$4&amp;CW$5,Demand_current!$D$2:$AY$2&amp;Demand_current!$D$3:$AY$3, 0))/1000</f>
        <v>0</v>
      </c>
      <c r="CX105" s="194">
        <f t="array" ref="CX105">INDEX(Demand_current!$D$4:$AY$138, MATCH($A105, Demand_current!$B$4:$B$138, 0), MATCH(CX$4&amp;CX$5,Demand_current!$D$2:$AY$2&amp;Demand_current!$D$3:$AY$3, 0))/1000</f>
        <v>0</v>
      </c>
      <c r="CY105" s="194">
        <f t="array" ref="CY105">INDEX(Demand_current!$D$4:$AY$138, MATCH($A105, Demand_current!$B$4:$B$138, 0), MATCH(CY$4&amp;CY$5,Demand_current!$D$2:$AY$2&amp;Demand_current!$D$3:$AY$3, 0))/1000</f>
        <v>0</v>
      </c>
      <c r="CZ105" s="194">
        <f t="array" ref="CZ105">INDEX(Demand_current!$D$4:$AY$138, MATCH($A105, Demand_current!$B$4:$B$138, 0), MATCH(CZ$4&amp;CZ$5,Demand_current!$D$2:$AY$2&amp;Demand_current!$D$3:$AY$3, 0))/1000</f>
        <v>0</v>
      </c>
      <c r="DA105" s="194">
        <f t="array" ref="DA105">INDEX(Demand_current!$D$4:$AY$138, MATCH($A105, Demand_current!$B$4:$B$138, 0), MATCH(DA$4&amp;DA$5,Demand_current!$D$2:$AY$2&amp;Demand_current!$D$3:$AY$3, 0))/1000</f>
        <v>0</v>
      </c>
      <c r="DB105" s="194">
        <f t="array" ref="DB105">INDEX(Demand_current!$D$4:$AY$138, MATCH($A105, Demand_current!$B$4:$B$138, 0), MATCH(DB$4&amp;DB$5,Demand_current!$D$2:$AY$2&amp;Demand_current!$D$3:$AY$3, 0))/1000</f>
        <v>0</v>
      </c>
      <c r="DC105" s="194">
        <f t="array" ref="DC105">INDEX(Demand_current!$D$4:$AY$138, MATCH($A105, Demand_current!$B$4:$B$138, 0), MATCH(DC$4&amp;DC$5,Demand_current!$D$2:$AY$2&amp;Demand_current!$D$3:$AY$3, 0))/1000</f>
        <v>0</v>
      </c>
      <c r="DD105" s="194">
        <f t="array" ref="DD105">INDEX(Demand_current!$D$4:$AY$138, MATCH($A105, Demand_current!$B$4:$B$138, 0), MATCH(DD$4&amp;DD$5,Demand_current!$D$2:$AY$2&amp;Demand_current!$D$3:$AY$3, 0))/1000</f>
        <v>0</v>
      </c>
      <c r="DE105" s="194">
        <f t="array" ref="DE105">INDEX(Demand_current!$D$4:$AY$138, MATCH($A105, Demand_current!$B$4:$B$138, 0), MATCH(DE$4&amp;DE$5,Demand_current!$D$2:$AY$2&amp;Demand_current!$D$3:$AY$3, 0))/1000</f>
        <v>0</v>
      </c>
      <c r="DF105" s="194">
        <f t="array" ref="DF105">INDEX(Demand_current!$D$4:$AY$138, MATCH($A105, Demand_current!$B$4:$B$138, 0), MATCH(DF$4&amp;DF$5,Demand_current!$D$2:$AY$2&amp;Demand_current!$D$3:$AY$3, 0))/1000</f>
        <v>0</v>
      </c>
      <c r="DG105" s="194">
        <f t="array" ref="DG105">INDEX(Demand_current!$D$4:$AY$138, MATCH($A105, Demand_current!$B$4:$B$138, 0), MATCH(DG$4&amp;DG$5,Demand_current!$D$2:$AY$2&amp;Demand_current!$D$3:$AY$3, 0))/1000</f>
        <v>0</v>
      </c>
      <c r="DH105" s="194">
        <f t="array" ref="DH105">INDEX(Demand_current!$D$4:$AY$138, MATCH($A105, Demand_current!$B$4:$B$138, 0), MATCH(DH$4&amp;DH$5,Demand_current!$D$2:$AY$2&amp;Demand_current!$D$3:$AY$3, 0))/1000</f>
        <v>0</v>
      </c>
      <c r="DI105" s="192">
        <f>$BS105*(VLOOKUP(DI$4, Rates_current!$G$6:$Q$29, 10, FALSE)+VLOOKUP(DI$4, Rates_current!$G$6:$Q$29, 11, FALSE))</f>
        <v>11939.023653914355</v>
      </c>
      <c r="DJ105" s="192">
        <f>$BS105*(VLOOKUP(DJ$4, Rates_current!$G$6:$Q$29, 10, FALSE)+VLOOKUP(DJ$4, Rates_current!$G$6:$Q$29, 11, FALSE))</f>
        <v>15115.237242841391</v>
      </c>
      <c r="DK105" s="192">
        <f>$BS105*(VLOOKUP(DK$4, Rates_current!$G$6:$Q$29, 10, FALSE)+VLOOKUP(DK$4, Rates_current!$G$6:$Q$29, 11, FALSE))</f>
        <v>14794.797490038012</v>
      </c>
      <c r="DL105" s="192">
        <f>$BS105*(VLOOKUP(DL$4, Rates_current!$G$6:$Q$29, 10, FALSE)+VLOOKUP(DL$4, Rates_current!$G$6:$Q$29, 11, FALSE))</f>
        <v>12219.873580347201</v>
      </c>
      <c r="DM105" s="192">
        <f>$BS105*(VLOOKUP(DM$4, Rates_current!$G$6:$Q$29, 10, FALSE)+VLOOKUP(DM$4, Rates_current!$G$6:$Q$29, 11, FALSE))</f>
        <v>10591.232256134494</v>
      </c>
      <c r="DN105" s="192">
        <f>$BS105*(VLOOKUP(DN$4, Rates_current!$G$6:$Q$29, 10, FALSE)+VLOOKUP(DN$4, Rates_current!$G$6:$Q$29, 11, FALSE))</f>
        <v>12643.792528358746</v>
      </c>
      <c r="DO105" s="192">
        <f>$BS105*(VLOOKUP(DO$4, Rates_current!$G$6:$Q$29, 10, FALSE)+VLOOKUP(DO$4, Rates_current!$G$6:$Q$29, 11, FALSE))</f>
        <v>9816.2216440872162</v>
      </c>
      <c r="DP105" s="192">
        <f>$BS105*(VLOOKUP(DP$4, Rates_current!$G$6:$Q$29, 10, FALSE)+VLOOKUP(DP$4, Rates_current!$G$6:$Q$29, 11, FALSE))</f>
        <v>13600.447325302081</v>
      </c>
      <c r="DQ105" s="192">
        <f>$BS105*(VLOOKUP(DQ$4, Rates_current!$G$6:$Q$29, 10, FALSE)+VLOOKUP(DQ$4, Rates_current!$G$6:$Q$29, 11, FALSE))</f>
        <v>14532.362748909292</v>
      </c>
      <c r="DR105" s="192">
        <f>$BS105*(VLOOKUP(DR$4, Rates_current!$G$6:$Q$29, 10, FALSE)+VLOOKUP(DR$4, Rates_current!$G$6:$Q$29, 11, FALSE))</f>
        <v>13797.820381470765</v>
      </c>
      <c r="DS105" s="192">
        <f>$BS105*(VLOOKUP(DS$4, Rates_current!$G$6:$Q$29, 10, FALSE)+VLOOKUP(DS$4, Rates_current!$G$6:$Q$29, 11, FALSE))</f>
        <v>13334.528952232115</v>
      </c>
      <c r="DT105" s="192">
        <f>$BS105*(VLOOKUP(DT$4, Rates_current!$G$6:$Q$29, 10, FALSE)+VLOOKUP(DT$4, Rates_current!$G$6:$Q$29, 11, FALSE))</f>
        <v>12322.494821417282</v>
      </c>
      <c r="DU105" s="418">
        <f>IF(D105=0,IF(C105=0,MAX(0,DW105 - (VLOOKUP($A105,TOCA_current!$A$2:$AI$137,MATCH("RHWM 2022",TOCA_current!$A$2:$AI$2,0),FALSE)*$BS$2)), 0),0)</f>
        <v>0</v>
      </c>
      <c r="DV105" s="419">
        <f>MIN(VLOOKUP($A105,TOCA_current!$A$2:$AI$137,MATCH("TRL - NLSL - Existing Resource "&amp;$BS$1,TOCA_current!$A$2:$AI$2,0),FALSE)*$BS$2, VLOOKUP($A105,TOCA_current!$A$2:$AI$137,MATCH("RHWM 2022",TOCA_current!$A$2:$AI$2,0),FALSE)*$BS$2)</f>
        <v>154710.36000000002</v>
      </c>
      <c r="DW105" s="419">
        <f>SUM(BY105:CV105)+(BS105*RT1SC!$C$4*$BS$2)</f>
        <v>154707.84053902799</v>
      </c>
      <c r="DX105" s="419">
        <f>VLOOKUP($A105,TOCA_current!$A$2:$AI$137,MATCH("Above RHWM Not Served with LS "&amp;$BS$1,TOCA_current!$A$2:$AI$2,0),FALSE)*$BS$2</f>
        <v>9784.92</v>
      </c>
      <c r="DY105" s="419">
        <f t="shared" si="32"/>
        <v>-2.5194609720201697</v>
      </c>
      <c r="DZ105" s="419">
        <f>(VLOOKUP($A105,TOCA_current!$A$2:$AI$137,MATCH("RHWM 2022",TOCA_current!$A$2:$AI$2,0),FALSE)*$BS$2) - $DV105</f>
        <v>0</v>
      </c>
      <c r="EA105" s="419">
        <f t="shared" si="33"/>
        <v>0</v>
      </c>
      <c r="EB105" s="419">
        <f t="shared" si="34"/>
        <v>0</v>
      </c>
      <c r="EC105" s="419">
        <f t="shared" si="35"/>
        <v>0</v>
      </c>
      <c r="ED105" s="419">
        <f t="shared" si="36"/>
        <v>0</v>
      </c>
    </row>
    <row r="106" spans="1:134">
      <c r="A106" s="135">
        <v>10338</v>
      </c>
      <c r="B106" s="136" t="s">
        <v>107</v>
      </c>
      <c r="C106" s="244">
        <f>VLOOKUP(A106, TOCA_current!$A$3:$D$137, 4, FALSE)</f>
        <v>0</v>
      </c>
      <c r="D106" s="203">
        <v>0</v>
      </c>
      <c r="E106" s="119">
        <f>VLOOKUP($A106,TOCA_previous!$A$2:$AI$137,MATCH(E$4,TOCA_previous!$A$2:$AI$2,0),FALSE)</f>
        <v>3.3599999999999998E-4</v>
      </c>
      <c r="F106" s="120">
        <f>VLOOKUP($A106,TOCA_previous!$A$2:$AI$137,MATCH(F$4,TOCA_previous!$A$2:$AI$2,0),FALSE)</f>
        <v>3.3599999999999998E-4</v>
      </c>
      <c r="G106" s="120">
        <f t="shared" si="24"/>
        <v>0</v>
      </c>
      <c r="H106" s="120">
        <f>VLOOKUP($A106,TOCA_previous!$A$2:$AI$137,MATCH(H$4,TOCA_previous!$A$2:$AI$2,0),FALSE)</f>
        <v>3.6082627118644073E-2</v>
      </c>
      <c r="I106" s="120">
        <f t="shared" si="25"/>
        <v>0</v>
      </c>
      <c r="J106" s="120">
        <f t="shared" si="26"/>
        <v>0</v>
      </c>
      <c r="K106" s="191">
        <f>VLOOKUP(A106, IRD!$A$5:$C$139, 3, FALSE)</f>
        <v>4155.21</v>
      </c>
      <c r="L106" s="192">
        <f t="array" ref="L106">IF($G106=0, INDEX(LS_previous!$D$4:$AY$138, MATCH('Staging Table'!$A106, LS_previous!$B$4:$B$138, 0), MATCH(L$4&amp;L$5, LS_previous!$D$2:$AY$2&amp;LS_previous!$D$3:$AY$3, 0)),SUM(VLOOKUP($A106, LS_previous!$B$4:$AY$138, LS_previous!D$149, FALSE), VLOOKUP('Staging Table'!$A106, LS_previous!$B$4:$AY$138,LS_previous!AB$149, FALSE))/2)</f>
        <v>-271.49697036799989</v>
      </c>
      <c r="M106" s="192">
        <f t="array" ref="M106">IF($G106=0, INDEX(LS_previous!$D$4:$AY$138, MATCH('Staging Table'!$A106, LS_previous!$B$4:$B$138, 0), MATCH(M$4&amp;M$5, LS_previous!$D$2:$AY$2&amp;LS_previous!$D$3:$AY$3, 0)),SUM(VLOOKUP($A106, LS_previous!$B$4:$AY$138, LS_previous!E$149, FALSE), VLOOKUP('Staging Table'!$A106, LS_previous!$B$4:$AY$138,LS_previous!AC$149, FALSE))/2)</f>
        <v>-6.4246074879999924</v>
      </c>
      <c r="N106" s="192">
        <f t="array" ref="N106">IF($G106=0, INDEX(LS_previous!$D$4:$AY$138, MATCH('Staging Table'!$A106, LS_previous!$B$4:$B$138, 0), MATCH(N$4&amp;N$5, LS_previous!$D$2:$AY$2&amp;LS_previous!$D$3:$AY$3, 0)),SUM(VLOOKUP($A106, LS_previous!$B$4:$AY$138, LS_previous!F$149, FALSE), VLOOKUP('Staging Table'!$A106, LS_previous!$B$4:$AY$138,LS_previous!AD$149, FALSE))/2)</f>
        <v>-461.96248940799978</v>
      </c>
      <c r="O106" s="192">
        <f t="array" ref="O106">IF($G106=0, INDEX(LS_previous!$D$4:$AY$138, MATCH('Staging Table'!$A106, LS_previous!$B$4:$B$138, 0), MATCH(O$4&amp;O$5, LS_previous!$D$2:$AY$2&amp;LS_previous!$D$3:$AY$3, 0)),SUM(VLOOKUP($A106, LS_previous!$B$4:$AY$138, LS_previous!G$149, FALSE), VLOOKUP('Staging Table'!$A106, LS_previous!$B$4:$AY$138,LS_previous!AE$149, FALSE))/2)</f>
        <v>-137.22107889599999</v>
      </c>
      <c r="P106" s="192">
        <f t="array" ref="P106">IF($G106=0, INDEX(LS_previous!$D$4:$AY$138, MATCH('Staging Table'!$A106, LS_previous!$B$4:$B$138, 0), MATCH(P$4&amp;P$5, LS_previous!$D$2:$AY$2&amp;LS_previous!$D$3:$AY$3, 0)),SUM(VLOOKUP($A106, LS_previous!$B$4:$AY$138, LS_previous!H$149, FALSE), VLOOKUP('Staging Table'!$A106, LS_previous!$B$4:$AY$138,LS_previous!AF$149, FALSE))/2)</f>
        <v>13.106558208000024</v>
      </c>
      <c r="Q106" s="192">
        <f t="array" ref="Q106">IF($G106=0, INDEX(LS_previous!$D$4:$AY$138, MATCH('Staging Table'!$A106, LS_previous!$B$4:$B$138, 0), MATCH(Q$4&amp;Q$5, LS_previous!$D$2:$AY$2&amp;LS_previous!$D$3:$AY$3, 0)),SUM(VLOOKUP($A106, LS_previous!$B$4:$AY$138, LS_previous!I$149, FALSE), VLOOKUP('Staging Table'!$A106, LS_previous!$B$4:$AY$138,LS_previous!AG$149, FALSE))/2)</f>
        <v>194.31577593600002</v>
      </c>
      <c r="R106" s="192">
        <f t="array" ref="R106">IF($G106=0, INDEX(LS_previous!$D$4:$AY$138, MATCH('Staging Table'!$A106, LS_previous!$B$4:$B$138, 0), MATCH(R$4&amp;R$5, LS_previous!$D$2:$AY$2&amp;LS_previous!$D$3:$AY$3, 0)),SUM(VLOOKUP($A106, LS_previous!$B$4:$AY$138, LS_previous!J$149, FALSE), VLOOKUP('Staging Table'!$A106, LS_previous!$B$4:$AY$138,LS_previous!AH$149, FALSE))/2)</f>
        <v>151.06289420799999</v>
      </c>
      <c r="S106" s="192">
        <f t="array" ref="S106">IF($G106=0, INDEX(LS_previous!$D$4:$AY$138, MATCH('Staging Table'!$A106, LS_previous!$B$4:$B$138, 0), MATCH(S$4&amp;S$5, LS_previous!$D$2:$AY$2&amp;LS_previous!$D$3:$AY$3, 0)),SUM(VLOOKUP($A106, LS_previous!$B$4:$AY$138, LS_previous!K$149, FALSE), VLOOKUP('Staging Table'!$A106, LS_previous!$B$4:$AY$138,LS_previous!AI$149, FALSE))/2)</f>
        <v>399.05096793600012</v>
      </c>
      <c r="T106" s="192">
        <f t="array" ref="T106">IF($G106=0, INDEX(LS_previous!$D$4:$AY$138, MATCH('Staging Table'!$A106, LS_previous!$B$4:$B$138, 0), MATCH(T$4&amp;T$5, LS_previous!$D$2:$AY$2&amp;LS_previous!$D$3:$AY$3, 0)),SUM(VLOOKUP($A106, LS_previous!$B$4:$AY$138, LS_previous!L$149, FALSE), VLOOKUP('Staging Table'!$A106, LS_previous!$B$4:$AY$138,LS_previous!AJ$149, FALSE))/2)</f>
        <v>23.450366336000116</v>
      </c>
      <c r="U106" s="192">
        <f t="array" ref="U106">IF($G106=0, INDEX(LS_previous!$D$4:$AY$138, MATCH('Staging Table'!$A106, LS_previous!$B$4:$B$138, 0), MATCH(U$4&amp;U$5, LS_previous!$D$2:$AY$2&amp;LS_previous!$D$3:$AY$3, 0)),SUM(VLOOKUP($A106, LS_previous!$B$4:$AY$138, LS_previous!M$149, FALSE), VLOOKUP('Staging Table'!$A106, LS_previous!$B$4:$AY$138,LS_previous!AK$149, FALSE))/2)</f>
        <v>156.13838886400004</v>
      </c>
      <c r="V106" s="192">
        <f t="array" ref="V106">IF($G106=0, INDEX(LS_previous!$D$4:$AY$138, MATCH('Staging Table'!$A106, LS_previous!$B$4:$B$138, 0), MATCH(V$4&amp;V$5, LS_previous!$D$2:$AY$2&amp;LS_previous!$D$3:$AY$3, 0)),SUM(VLOOKUP($A106, LS_previous!$B$4:$AY$138, LS_previous!N$149, FALSE), VLOOKUP('Staging Table'!$A106, LS_previous!$B$4:$AY$138,LS_previous!AL$149, FALSE))/2)</f>
        <v>-182.70352217599986</v>
      </c>
      <c r="W106" s="192">
        <f t="array" ref="W106">IF($G106=0, INDEX(LS_previous!$D$4:$AY$138, MATCH('Staging Table'!$A106, LS_previous!$B$4:$B$138, 0), MATCH(W$4&amp;W$5, LS_previous!$D$2:$AY$2&amp;LS_previous!$D$3:$AY$3, 0)),SUM(VLOOKUP($A106, LS_previous!$B$4:$AY$138, LS_previous!O$149, FALSE), VLOOKUP('Staging Table'!$A106, LS_previous!$B$4:$AY$138,LS_previous!AM$149, FALSE))/2)</f>
        <v>13.418007343999989</v>
      </c>
      <c r="X106" s="192">
        <f t="array" ref="X106">IF($G106=0, INDEX(LS_previous!$D$4:$AY$138, MATCH('Staging Table'!$A106, LS_previous!$B$4:$B$138, 0), MATCH(X$4&amp;X$5, LS_previous!$D$2:$AY$2&amp;LS_previous!$D$3:$AY$3, 0)),SUM(VLOOKUP($A106, LS_previous!$B$4:$AY$138, LS_previous!P$149, FALSE), VLOOKUP('Staging Table'!$A106, LS_previous!$B$4:$AY$138,LS_previous!AN$149, FALSE))/2)</f>
        <v>109.06852601600008</v>
      </c>
      <c r="Y106" s="192">
        <f t="array" ref="Y106">IF($G106=0, INDEX(LS_previous!$D$4:$AY$138, MATCH('Staging Table'!$A106, LS_previous!$B$4:$B$138, 0), MATCH(Y$4&amp;Y$5, LS_previous!$D$2:$AY$2&amp;LS_previous!$D$3:$AY$3, 0)),SUM(VLOOKUP($A106, LS_previous!$B$4:$AY$138, LS_previous!Q$149, FALSE), VLOOKUP('Staging Table'!$A106, LS_previous!$B$4:$AY$138,LS_previous!AO$149, FALSE))/2)</f>
        <v>148.92990470399997</v>
      </c>
      <c r="Z106" s="192">
        <f t="array" ref="Z106">IF($G106=0, INDEX(LS_previous!$D$4:$AY$138, MATCH('Staging Table'!$A106, LS_previous!$B$4:$B$138, 0), MATCH(Z$4&amp;Z$5, LS_previous!$D$2:$AY$2&amp;LS_previous!$D$3:$AY$3, 0)),SUM(VLOOKUP($A106, LS_previous!$B$4:$AY$138, LS_previous!R$149, FALSE), VLOOKUP('Staging Table'!$A106, LS_previous!$B$4:$AY$138,LS_previous!AP$149, FALSE))/2)</f>
        <v>18.085734400000092</v>
      </c>
      <c r="AA106" s="192">
        <f t="array" ref="AA106">IF($G106=0, INDEX(LS_previous!$D$4:$AY$138, MATCH('Staging Table'!$A106, LS_previous!$B$4:$B$138, 0), MATCH(AA$4&amp;AA$5, LS_previous!$D$2:$AY$2&amp;LS_previous!$D$3:$AY$3, 0)),SUM(VLOOKUP($A106, LS_previous!$B$4:$AY$138, LS_previous!S$149, FALSE), VLOOKUP('Staging Table'!$A106, LS_previous!$B$4:$AY$138,LS_previous!AQ$149, FALSE))/2)</f>
        <v>249.94663974399998</v>
      </c>
      <c r="AB106" s="192">
        <f t="array" ref="AB106">IF($G106=0, INDEX(LS_previous!$D$4:$AY$138, MATCH('Staging Table'!$A106, LS_previous!$B$4:$B$138, 0), MATCH(AB$4&amp;AB$5, LS_previous!$D$2:$AY$2&amp;LS_previous!$D$3:$AY$3, 0)),SUM(VLOOKUP($A106, LS_previous!$B$4:$AY$138, LS_previous!T$149, FALSE), VLOOKUP('Staging Table'!$A106, LS_previous!$B$4:$AY$138,LS_previous!AR$149, FALSE))/2)</f>
        <v>56.807630016000076</v>
      </c>
      <c r="AC106" s="192">
        <f t="array" ref="AC106">IF($G106=0, INDEX(LS_previous!$D$4:$AY$138, MATCH('Staging Table'!$A106, LS_previous!$B$4:$B$138, 0), MATCH(AC$4&amp;AC$5, LS_previous!$D$2:$AY$2&amp;LS_previous!$D$3:$AY$3, 0)),SUM(VLOOKUP($A106, LS_previous!$B$4:$AY$138, LS_previous!U$149, FALSE), VLOOKUP('Staging Table'!$A106, LS_previous!$B$4:$AY$138,LS_previous!AS$149, FALSE))/2)</f>
        <v>137.06380870400005</v>
      </c>
      <c r="AD106" s="192">
        <f t="array" ref="AD106">IF($G106=0, INDEX(LS_previous!$D$4:$AY$138, MATCH('Staging Table'!$A106, LS_previous!$B$4:$B$138, 0), MATCH(AD$4&amp;AD$5, LS_previous!$D$2:$AY$2&amp;LS_previous!$D$3:$AY$3, 0)),SUM(VLOOKUP($A106, LS_previous!$B$4:$AY$138, LS_previous!V$149, FALSE), VLOOKUP('Staging Table'!$A106, LS_previous!$B$4:$AY$138,LS_previous!AT$149, FALSE))/2)</f>
        <v>258.42775001600012</v>
      </c>
      <c r="AE106" s="192">
        <f t="array" ref="AE106">IF($G106=0, INDEX(LS_previous!$D$4:$AY$138, MATCH('Staging Table'!$A106, LS_previous!$B$4:$B$138, 0), MATCH(AE$4&amp;AE$5, LS_previous!$D$2:$AY$2&amp;LS_previous!$D$3:$AY$3, 0)),SUM(VLOOKUP($A106, LS_previous!$B$4:$AY$138, LS_previous!W$149, FALSE), VLOOKUP('Staging Table'!$A106, LS_previous!$B$4:$AY$138,LS_previous!AU$149, FALSE))/2)</f>
        <v>525.40616812799999</v>
      </c>
      <c r="AF106" s="192">
        <f t="array" ref="AF106">IF($G106=0, INDEX(LS_previous!$D$4:$AY$138, MATCH('Staging Table'!$A106, LS_previous!$B$4:$B$138, 0), MATCH(AF$4&amp;AF$5, LS_previous!$D$2:$AY$2&amp;LS_previous!$D$3:$AY$3, 0)),SUM(VLOOKUP($A106, LS_previous!$B$4:$AY$138, LS_previous!X$149, FALSE), VLOOKUP('Staging Table'!$A106, LS_previous!$B$4:$AY$138,LS_previous!AV$149, FALSE))/2)</f>
        <v>268.94471801600002</v>
      </c>
      <c r="AG106" s="192">
        <f t="array" ref="AG106">IF($G106=0, INDEX(LS_previous!$D$4:$AY$138, MATCH('Staging Table'!$A106, LS_previous!$B$4:$B$138, 0), MATCH(AG$4&amp;AG$5, LS_previous!$D$2:$AY$2&amp;LS_previous!$D$3:$AY$3, 0)),SUM(VLOOKUP($A106, LS_previous!$B$4:$AY$138, LS_previous!Y$149, FALSE), VLOOKUP('Staging Table'!$A106, LS_previous!$B$4:$AY$138,LS_previous!AW$149, FALSE))/2)</f>
        <v>316.69188812800007</v>
      </c>
      <c r="AH106" s="192">
        <f t="array" ref="AH106">IF($G106=0, INDEX(LS_previous!$D$4:$AY$138, MATCH('Staging Table'!$A106, LS_previous!$B$4:$B$138, 0), MATCH(AH$4&amp;AH$5, LS_previous!$D$2:$AY$2&amp;LS_previous!$D$3:$AY$3, 0)),SUM(VLOOKUP($A106, LS_previous!$B$4:$AY$138, LS_previous!Z$149, FALSE), VLOOKUP('Staging Table'!$A106, LS_previous!$B$4:$AY$138,LS_previous!AX$149, FALSE))/2)</f>
        <v>-118.53556160000005</v>
      </c>
      <c r="AI106" s="192">
        <f t="array" ref="AI106">IF($G106=0, INDEX(LS_previous!$D$4:$AY$138, MATCH('Staging Table'!$A106, LS_previous!$B$4:$B$138, 0), MATCH(AI$4&amp;AI$5, LS_previous!$D$2:$AY$2&amp;LS_previous!$D$3:$AY$3, 0)),SUM(VLOOKUP($A106, LS_previous!$B$4:$AY$138, LS_previous!AA$149, FALSE), VLOOKUP('Staging Table'!$A106, LS_previous!$B$4:$AY$138,LS_previous!AY$149, FALSE))/2)</f>
        <v>45.031976320000126</v>
      </c>
      <c r="AJ106" s="314">
        <f t="array" ref="AJ106">INDEX(Demand_previous!$D$4:$AY$138, MATCH('Staging Table'!$A106, Demand_previous!$B$4:$B$138, 0), MATCH(AJ$4&amp;AJ$5,Demand_previous!$D$2:$AY$2&amp;Demand_previous!$D$3:$AY$3, 0))/1000</f>
        <v>0</v>
      </c>
      <c r="AK106" s="314">
        <f t="array" ref="AK106">INDEX(Demand_previous!$D$4:$AY$138, MATCH('Staging Table'!$A106, Demand_previous!$B$4:$B$138, 0), MATCH(AK$4&amp;AK$5,Demand_previous!$D$2:$AY$2&amp;Demand_previous!$D$3:$AY$3, 0))/1000</f>
        <v>0</v>
      </c>
      <c r="AL106" s="314">
        <f t="array" ref="AL106">INDEX(Demand_previous!$D$4:$AY$138, MATCH('Staging Table'!$A106, Demand_previous!$B$4:$B$138, 0), MATCH(AL$4&amp;AL$5,Demand_previous!$D$2:$AY$2&amp;Demand_previous!$D$3:$AY$3, 0))/1000</f>
        <v>0.13853000000000026</v>
      </c>
      <c r="AM106" s="314">
        <f t="array" ref="AM106">INDEX(Demand_previous!$D$4:$AY$138, MATCH('Staging Table'!$A106, Demand_previous!$B$4:$B$138, 0), MATCH(AM$4&amp;AM$5,Demand_previous!$D$2:$AY$2&amp;Demand_previous!$D$3:$AY$3, 0))/1000</f>
        <v>0.38405288461538456</v>
      </c>
      <c r="AN106" s="314">
        <f t="array" ref="AN106">INDEX(Demand_previous!$D$4:$AY$138, MATCH('Staging Table'!$A106, Demand_previous!$B$4:$B$138, 0), MATCH(AN$4&amp;AN$5,Demand_previous!$D$2:$AY$2&amp;Demand_previous!$D$3:$AY$3, 0))/1000</f>
        <v>7.7472500000000055E-2</v>
      </c>
      <c r="AO106" s="314">
        <f t="array" ref="AO106">INDEX(Demand_previous!$D$4:$AY$138, MATCH('Staging Table'!$A106, Demand_previous!$B$4:$B$138, 0), MATCH(AO$4&amp;AO$5,Demand_previous!$D$2:$AY$2&amp;Demand_previous!$D$3:$AY$3, 0))/1000</f>
        <v>2.0711538461538618E-2</v>
      </c>
      <c r="AP106" s="314">
        <f t="array" ref="AP106">INDEX(Demand_previous!$D$4:$AY$138, MATCH('Staging Table'!$A106, Demand_previous!$B$4:$B$138, 0), MATCH(AP$4&amp;AP$5,Demand_previous!$D$2:$AY$2&amp;Demand_previous!$D$3:$AY$3, 0))/1000</f>
        <v>4.7766826923076877E-2</v>
      </c>
      <c r="AQ106" s="314">
        <f t="array" ref="AQ106">INDEX(Demand_previous!$D$4:$AY$138, MATCH('Staging Table'!$A106, Demand_previous!$B$4:$B$138, 0), MATCH(AQ$4&amp;AQ$5,Demand_previous!$D$2:$AY$2&amp;Demand_previous!$D$3:$AY$3, 0))/1000</f>
        <v>0.59959249999999964</v>
      </c>
      <c r="AR106" s="314">
        <f t="array" ref="AR106">INDEX(Demand_previous!$D$4:$AY$138, MATCH('Staging Table'!$A106, Demand_previous!$B$4:$B$138, 0), MATCH(AR$4&amp;AR$5,Demand_previous!$D$2:$AY$2&amp;Demand_previous!$D$3:$AY$3, 0))/1000</f>
        <v>0.26391346153846151</v>
      </c>
      <c r="AS106" s="314">
        <f t="array" ref="AS106">INDEX(Demand_previous!$D$4:$AY$138, MATCH('Staging Table'!$A106, Demand_previous!$B$4:$B$138, 0), MATCH(AS$4&amp;AS$5,Demand_previous!$D$2:$AY$2&amp;Demand_previous!$D$3:$AY$3, 0))/1000</f>
        <v>0.57521875000000022</v>
      </c>
      <c r="AT106" s="314">
        <f t="array" ref="AT106">INDEX(Demand_previous!$D$4:$AY$138, MATCH('Staging Table'!$A106, Demand_previous!$B$4:$B$138, 0), MATCH(AT$4&amp;AT$5,Demand_previous!$D$2:$AY$2&amp;Demand_previous!$D$3:$AY$3, 0))/1000</f>
        <v>0.21984374999999978</v>
      </c>
      <c r="AU106" s="314">
        <f t="array" ref="AU106">INDEX(Demand_previous!$D$4:$AY$138, MATCH('Staging Table'!$A106, Demand_previous!$B$4:$B$138, 0), MATCH(AU$4&amp;AU$5,Demand_previous!$D$2:$AY$2&amp;Demand_previous!$D$3:$AY$3, 0))/1000</f>
        <v>0.15889500000000001</v>
      </c>
      <c r="AV106" s="192">
        <f>$F106*(VLOOKUP(AV$4, Rates_previous!$G$6:$Q$29, 10, FALSE)+VLOOKUP(AV$4, Rates_previous!$G$6:$Q$29, 11, FALSE))</f>
        <v>1551.4185778559997</v>
      </c>
      <c r="AW106" s="192">
        <f>$F106*(VLOOKUP(AW$4, Rates_previous!$G$6:$Q$29, 10, FALSE)+VLOOKUP(AW$4, Rates_previous!$G$6:$Q$29, 11, FALSE))</f>
        <v>1970.785568304</v>
      </c>
      <c r="AX106" s="192">
        <f>$F106*(VLOOKUP(AX$4, Rates_previous!$G$6:$Q$29, 10, FALSE)+VLOOKUP(AX$4, Rates_previous!$G$6:$Q$29, 11, FALSE))</f>
        <v>1946.985665856</v>
      </c>
      <c r="AY106" s="192">
        <f>$F106*(VLOOKUP(AY$4, Rates_previous!$G$6:$Q$29, 10, FALSE)+VLOOKUP(AY$4, Rates_previous!$G$6:$Q$29, 11, FALSE))</f>
        <v>1622.9311378560001</v>
      </c>
      <c r="AZ106" s="192">
        <f>$F106*(VLOOKUP(AZ$4, Rates_previous!$G$6:$Q$29, 10, FALSE)+VLOOKUP(AZ$4, Rates_previous!$G$6:$Q$29, 11, FALSE))</f>
        <v>1470.2072447999999</v>
      </c>
      <c r="BA106" s="192">
        <f>$F106*(VLOOKUP(BA$4, Rates_previous!$G$6:$Q$29, 10, FALSE)+VLOOKUP(BA$4, Rates_previous!$G$6:$Q$29, 11, FALSE))</f>
        <v>1635.3375148319999</v>
      </c>
      <c r="BB106" s="192">
        <f>$F106*(VLOOKUP(BB$4, Rates_previous!$G$6:$Q$29, 10, FALSE)+VLOOKUP(BB$4, Rates_previous!$G$6:$Q$29, 11, FALSE))</f>
        <v>1331.49356928</v>
      </c>
      <c r="BC106" s="192">
        <f>$F106*(VLOOKUP(BC$4, Rates_previous!$G$6:$Q$29, 10, FALSE)+VLOOKUP(BC$4, Rates_previous!$G$6:$Q$29, 11, FALSE))</f>
        <v>1795.717625856</v>
      </c>
      <c r="BD106" s="192">
        <f>$F106*(VLOOKUP(BD$4, Rates_previous!$G$6:$Q$29, 10, FALSE)+VLOOKUP(BD$4, Rates_previous!$G$6:$Q$29, 11, FALSE))</f>
        <v>2291.2135612800002</v>
      </c>
      <c r="BE106" s="192">
        <f>$F106*(VLOOKUP(BE$4, Rates_previous!$G$6:$Q$29, 10, FALSE)+VLOOKUP(BE$4, Rates_previous!$G$6:$Q$29, 11, FALSE))</f>
        <v>1796.384081856</v>
      </c>
      <c r="BF106" s="192">
        <f>$F106*(VLOOKUP(BF$4, Rates_previous!$G$6:$Q$29, 10, FALSE)+VLOOKUP(BF$4, Rates_previous!$G$6:$Q$29, 11, FALSE))</f>
        <v>1749.320393856</v>
      </c>
      <c r="BG106" s="192">
        <f>$F106*(VLOOKUP(BG$4, Rates_previous!$G$6:$Q$29, 10, FALSE)+VLOOKUP(BG$4, Rates_previous!$G$6:$Q$29, 11, FALSE))</f>
        <v>1570.51758528</v>
      </c>
      <c r="BH106" s="314">
        <f>IF($D106=0,IF(C106=0, MAX(BJ106 - (VLOOKUP($A106,TOCA_previous!$A$2:$AI$137,MATCH("RHWM 2020",TOCA_previous!$A$2:$AI$2,0),FALSE)*$F$2*TOCA_previous!C103),0),0), 0)</f>
        <v>1908.6767781760027</v>
      </c>
      <c r="BI106" s="204">
        <f>MIN(VLOOKUP($A106,TOCA_previous!$A$2:$AI$137,MATCH("TRL - NLSL - Existing Resource "&amp;$F$1,TOCA_previous!$A$2:$AI$2,0),FALSE)*$F$2,(VLOOKUP($A106,TOCA_previous!$A$2:$AI$137,MATCH("RHWM 2020",TOCA_previous!$A$2:$AI$2,0),FALSE)*$F$2))</f>
        <v>20730.239999999998</v>
      </c>
      <c r="BJ106" s="418">
        <f>SUM(L106:AI106)+(F106*RT1SC!$C$3*$F$2)</f>
        <v>22638.916778176001</v>
      </c>
      <c r="BK106" s="417">
        <f>VLOOKUP($A106,TOCA_previous!$A$2:$AI$137,MATCH("Above RHWM Not Served with LS "&amp;$F$1,TOCA_previous!$A$2:$AI$2,0),FALSE)*$F$2</f>
        <v>0</v>
      </c>
      <c r="BL106" s="418">
        <f t="shared" si="27"/>
        <v>1908.6767781760027</v>
      </c>
      <c r="BM106" s="417">
        <f>(VLOOKUP($A106,TOCA_previous!$A$2:$AI$137,MATCH("RHWM 2020",TOCA_previous!$A$2:$AI$2,0),FALSE)*$F$2) - $BI106</f>
        <v>0</v>
      </c>
      <c r="BN106" s="418">
        <f t="shared" si="28"/>
        <v>0</v>
      </c>
      <c r="BO106" s="417">
        <f t="shared" si="29"/>
        <v>0</v>
      </c>
      <c r="BP106" s="418">
        <f t="shared" si="30"/>
        <v>0</v>
      </c>
      <c r="BQ106" s="417">
        <f t="shared" si="37"/>
        <v>0</v>
      </c>
      <c r="BR106" s="120">
        <f>VLOOKUP($A106,TOCA_current!$A$2:$AI$137,MATCH(BR$4,TOCA_current!$A$2:$AI$2,0),FALSE)</f>
        <v>3.3589999999999998E-4</v>
      </c>
      <c r="BS106" s="120">
        <f>VLOOKUP($A106,TOCA_current!$A$2:$AI$137,MATCH(BS$4,TOCA_current!$A$2:$AI$2,0),FALSE)</f>
        <v>3.3589999999999998E-4</v>
      </c>
      <c r="BT106" s="201">
        <f t="shared" si="31"/>
        <v>0</v>
      </c>
      <c r="BU106" s="120">
        <f>VLOOKUP($A106,TOCA_current!A102:BG237,MATCH(BU$4,TOCA_current!$A$2:$BG$2,0),FALSE)</f>
        <v>3.9315068493150689E-2</v>
      </c>
      <c r="BV106" s="120">
        <f t="shared" si="38"/>
        <v>0</v>
      </c>
      <c r="BW106" s="120">
        <f t="shared" si="39"/>
        <v>0</v>
      </c>
      <c r="BX106" s="191">
        <f>VLOOKUP($A106,IRD!$A$4:$G$139, 7, FALSE)</f>
        <v>4155.21</v>
      </c>
      <c r="BY106" s="192">
        <f t="array" ref="BY106">IF($BT106=0, INDEX(LS_current!$D$4:$AY$138, MATCH('Staging Table'!$A106, LS_current!$B$4:$B$138, 0), MATCH(BY$4&amp;BY$5, LS_current!$D$2:$AY$2&amp;LS_current!$D$3:$AY$3, 0)),SUM(VLOOKUP($A106, LS_current!$B$4:$AY$138, LS_current!D$148, FALSE), VLOOKUP($A106, LS_current!$B$4:$AY$138,LS_current!AB$148, FALSE))/2)</f>
        <v>-241.54444985747432</v>
      </c>
      <c r="BZ106" s="192">
        <f t="array" ref="BZ106">IF($BT106=0, INDEX(LS_current!$D$4:$AY$138, MATCH('Staging Table'!$A106, LS_current!$B$4:$B$138, 0), MATCH(BZ$4&amp;BZ$5, LS_current!$D$2:$AY$2&amp;LS_current!$D$3:$AY$3, 0)),SUM(VLOOKUP($A106, LS_current!$B$4:$AY$138, LS_current!E$148, FALSE), VLOOKUP($A106, LS_current!$B$4:$AY$138,LS_current!AC$148, FALSE))/2)</f>
        <v>-14.621763076817274</v>
      </c>
      <c r="CA106" s="192">
        <f t="array" ref="CA106">IF($BT106=0, INDEX(LS_current!$D$4:$AY$138, MATCH('Staging Table'!$A106, LS_current!$B$4:$B$138, 0), MATCH(CA$4&amp;CA$5, LS_current!$D$2:$AY$2&amp;LS_current!$D$3:$AY$3, 0)),SUM(VLOOKUP($A106, LS_current!$B$4:$AY$138, LS_current!F$148, FALSE), VLOOKUP($A106, LS_current!$B$4:$AY$138,LS_current!AD$148, FALSE))/2)</f>
        <v>-414.76278278959239</v>
      </c>
      <c r="CB106" s="192">
        <f t="array" ref="CB106">IF($BT106=0, INDEX(LS_current!$D$4:$AY$138, MATCH('Staging Table'!$A106, LS_current!$B$4:$B$138, 0), MATCH(CB$4&amp;CB$5, LS_current!$D$2:$AY$2&amp;LS_current!$D$3:$AY$3, 0)),SUM(VLOOKUP($A106, LS_current!$B$4:$AY$138, LS_current!G$148, FALSE), VLOOKUP($A106, LS_current!$B$4:$AY$138,LS_current!AE$148, FALSE))/2)</f>
        <v>-150.24436008351381</v>
      </c>
      <c r="CC106" s="192">
        <f t="array" ref="CC106">IF($BT106=0, INDEX(LS_current!$D$4:$AY$138, MATCH('Staging Table'!$A106, LS_current!$B$4:$B$138, 0), MATCH(CC$4&amp;CC$5, LS_current!$D$2:$AY$2&amp;LS_current!$D$3:$AY$3, 0)),SUM(VLOOKUP($A106, LS_current!$B$4:$AY$138, LS_current!H$148, FALSE), VLOOKUP($A106, LS_current!$B$4:$AY$138,LS_current!AF$148, FALSE))/2)</f>
        <v>139.28914808559193</v>
      </c>
      <c r="CD106" s="192">
        <f t="array" ref="CD106">IF($BT106=0, INDEX(LS_current!$D$4:$AY$138, MATCH('Staging Table'!$A106, LS_current!$B$4:$B$138, 0), MATCH(CD$4&amp;CD$5, LS_current!$D$2:$AY$2&amp;LS_current!$D$3:$AY$3, 0)),SUM(VLOOKUP($A106, LS_current!$B$4:$AY$138, LS_current!I$148, FALSE), VLOOKUP($A106, LS_current!$B$4:$AY$138,LS_current!AG$148, FALSE))/2)</f>
        <v>119.5654030439166</v>
      </c>
      <c r="CE106" s="192">
        <f t="array" ref="CE106">IF($BT106=0, INDEX(LS_current!$D$4:$AY$138, MATCH('Staging Table'!$A106, LS_current!$B$4:$B$138, 0), MATCH(CE$4&amp;CE$5, LS_current!$D$2:$AY$2&amp;LS_current!$D$3:$AY$3, 0)),SUM(VLOOKUP($A106, LS_current!$B$4:$AY$138, LS_current!J$148, FALSE), VLOOKUP($A106, LS_current!$B$4:$AY$138,LS_current!AH$148, FALSE))/2)</f>
        <v>280.35237030448036</v>
      </c>
      <c r="CF106" s="192">
        <f t="array" ref="CF106">IF($BT106=0, INDEX(LS_current!$D$4:$AY$138, MATCH('Staging Table'!$A106, LS_current!$B$4:$B$138, 0), MATCH(CF$4&amp;CF$5, LS_current!$D$2:$AY$2&amp;LS_current!$D$3:$AY$3, 0)),SUM(VLOOKUP($A106, LS_current!$B$4:$AY$138, LS_current!K$148, FALSE), VLOOKUP($A106, LS_current!$B$4:$AY$138,LS_current!AI$148, FALSE))/2)</f>
        <v>327.04608903921849</v>
      </c>
      <c r="CG106" s="192">
        <f t="array" ref="CG106">IF($BT106=0, INDEX(LS_current!$D$4:$AY$138, MATCH('Staging Table'!$A106, LS_current!$B$4:$B$138, 0), MATCH(CG$4&amp;CG$5, LS_current!$D$2:$AY$2&amp;LS_current!$D$3:$AY$3, 0)),SUM(VLOOKUP($A106, LS_current!$B$4:$AY$138, LS_current!L$148, FALSE), VLOOKUP($A106, LS_current!$B$4:$AY$138,LS_current!AJ$148, FALSE))/2)</f>
        <v>162.75778813339844</v>
      </c>
      <c r="CH106" s="192">
        <f t="array" ref="CH106">IF($BT106=0, INDEX(LS_current!$D$4:$AY$138, MATCH('Staging Table'!$A106, LS_current!$B$4:$B$138, 0), MATCH(CH$4&amp;CH$5, LS_current!$D$2:$AY$2&amp;LS_current!$D$3:$AY$3, 0)),SUM(VLOOKUP($A106, LS_current!$B$4:$AY$138, LS_current!M$148, FALSE), VLOOKUP($A106, LS_current!$B$4:$AY$138,LS_current!AK$148, FALSE))/2)</f>
        <v>130.05804066639689</v>
      </c>
      <c r="CI106" s="192">
        <f t="array" ref="CI106">IF($BT106=0, INDEX(LS_current!$D$4:$AY$138, MATCH('Staging Table'!$A106, LS_current!$B$4:$B$138, 0), MATCH(CI$4&amp;CI$5, LS_current!$D$2:$AY$2&amp;LS_current!$D$3:$AY$3, 0)),SUM(VLOOKUP($A106, LS_current!$B$4:$AY$138, LS_current!N$148, FALSE), VLOOKUP($A106, LS_current!$B$4:$AY$138,LS_current!AL$148, FALSE))/2)</f>
        <v>-137.80180451553258</v>
      </c>
      <c r="CJ106" s="192">
        <f t="array" ref="CJ106">IF($BT106=0, INDEX(LS_current!$D$4:$AY$138, MATCH('Staging Table'!$A106, LS_current!$B$4:$B$138, 0), MATCH(CJ$4&amp;CJ$5, LS_current!$D$2:$AY$2&amp;LS_current!$D$3:$AY$3, 0)),SUM(VLOOKUP($A106, LS_current!$B$4:$AY$138, LS_current!O$148, FALSE), VLOOKUP($A106, LS_current!$B$4:$AY$138,LS_current!AM$148, FALSE))/2)</f>
        <v>-16.106492343643595</v>
      </c>
      <c r="CK106" s="192">
        <f t="array" ref="CK106">IF($BT106=0, INDEX(LS_current!$D$4:$AY$138, MATCH('Staging Table'!$A106, LS_current!$B$4:$B$138, 0), MATCH(CK$4&amp;CK$5, LS_current!$D$2:$AY$2&amp;LS_current!$D$3:$AY$3, 0)),SUM(VLOOKUP($A106, LS_current!$B$4:$AY$138, LS_current!P$148, FALSE), VLOOKUP($A106, LS_current!$B$4:$AY$138,LS_current!AN$148, FALSE))/2)</f>
        <v>171.88635083938732</v>
      </c>
      <c r="CL106" s="192">
        <f t="array" ref="CL106">IF($BT106=0, INDEX(LS_current!$D$4:$AY$138, MATCH('Staging Table'!$A106, LS_current!$B$4:$B$138, 0), MATCH(CL$4&amp;CL$5, LS_current!$D$2:$AY$2&amp;LS_current!$D$3:$AY$3, 0)),SUM(VLOOKUP($A106, LS_current!$B$4:$AY$138, LS_current!Q$148, FALSE), VLOOKUP($A106, LS_current!$B$4:$AY$138,LS_current!AO$148, FALSE))/2)</f>
        <v>159.92214218083012</v>
      </c>
      <c r="CM106" s="192">
        <f t="array" ref="CM106">IF($BT106=0, INDEX(LS_current!$D$4:$AY$138, MATCH('Staging Table'!$A106, LS_current!$B$4:$B$138, 0), MATCH(CM$4&amp;CM$5, LS_current!$D$2:$AY$2&amp;LS_current!$D$3:$AY$3, 0)),SUM(VLOOKUP($A106, LS_current!$B$4:$AY$138, LS_current!R$148, FALSE), VLOOKUP($A106, LS_current!$B$4:$AY$138,LS_current!AP$148, FALSE))/2)</f>
        <v>9.1541204599011508</v>
      </c>
      <c r="CN106" s="192">
        <f t="array" ref="CN106">IF($BT106=0, INDEX(LS_current!$D$4:$AY$138, MATCH('Staging Table'!$A106, LS_current!$B$4:$B$138, 0), MATCH(CN$4&amp;CN$5, LS_current!$D$2:$AY$2&amp;LS_current!$D$3:$AY$3, 0)),SUM(VLOOKUP($A106, LS_current!$B$4:$AY$138, LS_current!S$148, FALSE), VLOOKUP($A106, LS_current!$B$4:$AY$138,LS_current!AQ$148, FALSE))/2)</f>
        <v>312.06612534664851</v>
      </c>
      <c r="CO106" s="192">
        <f t="array" ref="CO106">IF($BT106=0, INDEX(LS_current!$D$4:$AY$138, MATCH('Staging Table'!$A106, LS_current!$B$4:$B$138, 0), MATCH(CO$4&amp;CO$5, LS_current!$D$2:$AY$2&amp;LS_current!$D$3:$AY$3, 0)),SUM(VLOOKUP($A106, LS_current!$B$4:$AY$138, LS_current!T$148, FALSE), VLOOKUP($A106, LS_current!$B$4:$AY$138,LS_current!AR$148, FALSE))/2)</f>
        <v>216.02183454983606</v>
      </c>
      <c r="CP106" s="192">
        <f t="array" ref="CP106">IF($BT106=0, INDEX(LS_current!$D$4:$AY$138, MATCH('Staging Table'!$A106, LS_current!$B$4:$B$138, 0), MATCH(CP$4&amp;CP$5, LS_current!$D$2:$AY$2&amp;LS_current!$D$3:$AY$3, 0)),SUM(VLOOKUP($A106, LS_current!$B$4:$AY$138, LS_current!U$148, FALSE), VLOOKUP($A106, LS_current!$B$4:$AY$138,LS_current!AS$148, FALSE))/2)</f>
        <v>407.13363600032926</v>
      </c>
      <c r="CQ106" s="192">
        <f t="array" ref="CQ106">IF($BT106=0, INDEX(LS_current!$D$4:$AY$138, MATCH('Staging Table'!$A106, LS_current!$B$4:$B$138, 0), MATCH(CQ$4&amp;CQ$5, LS_current!$D$2:$AY$2&amp;LS_current!$D$3:$AY$3, 0)),SUM(VLOOKUP($A106, LS_current!$B$4:$AY$138, LS_current!V$148, FALSE), VLOOKUP($A106, LS_current!$B$4:$AY$138,LS_current!AT$148, FALSE))/2)</f>
        <v>317.5695257432883</v>
      </c>
      <c r="CR106" s="192">
        <f t="array" ref="CR106">IF($BT106=0, INDEX(LS_current!$D$4:$AY$138, MATCH('Staging Table'!$A106, LS_current!$B$4:$B$138, 0), MATCH(CR$4&amp;CR$5, LS_current!$D$2:$AY$2&amp;LS_current!$D$3:$AY$3, 0)),SUM(VLOOKUP($A106, LS_current!$B$4:$AY$138, LS_current!W$148, FALSE), VLOOKUP($A106, LS_current!$B$4:$AY$138,LS_current!AU$148, FALSE))/2)</f>
        <v>494.83069718991146</v>
      </c>
      <c r="CS106" s="192">
        <f t="array" ref="CS106">IF($BT106=0, INDEX(LS_current!$D$4:$AY$138, MATCH('Staging Table'!$A106, LS_current!$B$4:$B$138, 0), MATCH(CS$4&amp;CS$5, LS_current!$D$2:$AY$2&amp;LS_current!$D$3:$AY$3, 0)),SUM(VLOOKUP($A106, LS_current!$B$4:$AY$138, LS_current!X$148, FALSE), VLOOKUP($A106, LS_current!$B$4:$AY$138,LS_current!AV$148, FALSE))/2)</f>
        <v>317.16845027401746</v>
      </c>
      <c r="CT106" s="192">
        <f t="array" ref="CT106">IF($BT106=0, INDEX(LS_current!$D$4:$AY$138, MATCH('Staging Table'!$A106, LS_current!$B$4:$B$138, 0), MATCH(CT$4&amp;CT$5, LS_current!$D$2:$AY$2&amp;LS_current!$D$3:$AY$3, 0)),SUM(VLOOKUP($A106, LS_current!$B$4:$AY$138, LS_current!Y$148, FALSE), VLOOKUP($A106, LS_current!$B$4:$AY$138,LS_current!AW$148, FALSE))/2)</f>
        <v>309.32904823657975</v>
      </c>
      <c r="CU106" s="192">
        <f t="array" ref="CU106">IF($BT106=0, INDEX(LS_current!$D$4:$AY$138, MATCH('Staging Table'!$A106, LS_current!$B$4:$B$138, 0), MATCH(CU$4&amp;CU$5, LS_current!$D$2:$AY$2&amp;LS_current!$D$3:$AY$3, 0)),SUM(VLOOKUP($A106, LS_current!$B$4:$AY$138, LS_current!Z$148, FALSE), VLOOKUP($A106, LS_current!$B$4:$AY$138,LS_current!AX$148, FALSE))/2)</f>
        <v>-120.35218941086998</v>
      </c>
      <c r="CV106" s="192">
        <f t="array" ref="CV106">IF($BT106=0, INDEX(LS_current!$D$4:$AY$138, MATCH('Staging Table'!$A106, LS_current!$B$4:$B$138, 0), MATCH(CV$4&amp;CV$5, LS_current!$D$2:$AY$2&amp;LS_current!$D$3:$AY$3, 0)),SUM(VLOOKUP($A106, LS_current!$B$4:$AY$138, LS_current!AA$148, FALSE), VLOOKUP($A106, LS_current!$B$4:$AY$138,LS_current!AY$148, FALSE))/2)</f>
        <v>38.571510189729111</v>
      </c>
      <c r="CW106" s="194">
        <f t="array" ref="CW106">INDEX(Demand_current!$D$4:$AY$138, MATCH($A106, Demand_current!$B$4:$B$138, 0), MATCH(CW$4&amp;CW$5,Demand_current!$D$2:$AY$2&amp;Demand_current!$D$3:$AY$3, 0))/1000</f>
        <v>0</v>
      </c>
      <c r="CX106" s="194">
        <f t="array" ref="CX106">INDEX(Demand_current!$D$4:$AY$138, MATCH($A106, Demand_current!$B$4:$B$138, 0), MATCH(CX$4&amp;CX$5,Demand_current!$D$2:$AY$2&amp;Demand_current!$D$3:$AY$3, 0))/1000</f>
        <v>0</v>
      </c>
      <c r="CY106" s="194">
        <f t="array" ref="CY106">INDEX(Demand_current!$D$4:$AY$138, MATCH($A106, Demand_current!$B$4:$B$138, 0), MATCH(CY$4&amp;CY$5,Demand_current!$D$2:$AY$2&amp;Demand_current!$D$3:$AY$3, 0))/1000</f>
        <v>0.25604807692307707</v>
      </c>
      <c r="CZ106" s="194">
        <f t="array" ref="CZ106">INDEX(Demand_current!$D$4:$AY$138, MATCH($A106, Demand_current!$B$4:$B$138, 0), MATCH(CZ$4&amp;CZ$5,Demand_current!$D$2:$AY$2&amp;Demand_current!$D$3:$AY$3, 0))/1000</f>
        <v>0.27145499999999961</v>
      </c>
      <c r="DA106" s="194">
        <f t="array" ref="DA106">INDEX(Demand_current!$D$4:$AY$138, MATCH($A106, Demand_current!$B$4:$B$138, 0), MATCH(DA$4&amp;DA$5,Demand_current!$D$2:$AY$2&amp;Demand_current!$D$3:$AY$3, 0))/1000</f>
        <v>0</v>
      </c>
      <c r="DB106" s="194">
        <f t="array" ref="DB106">INDEX(Demand_current!$D$4:$AY$138, MATCH($A106, Demand_current!$B$4:$B$138, 0), MATCH(DB$4&amp;DB$5,Demand_current!$D$2:$AY$2&amp;Demand_current!$D$3:$AY$3, 0))/1000</f>
        <v>9.7018518518518615E-2</v>
      </c>
      <c r="DC106" s="194">
        <f t="array" ref="DC106">INDEX(Demand_current!$D$4:$AY$138, MATCH($A106, Demand_current!$B$4:$B$138, 0), MATCH(DC$4&amp;DC$5,Demand_current!$D$2:$AY$2&amp;Demand_current!$D$3:$AY$3, 0))/1000</f>
        <v>4.7766826923076877E-2</v>
      </c>
      <c r="DD106" s="194">
        <f t="array" ref="DD106">INDEX(Demand_current!$D$4:$AY$138, MATCH($A106, Demand_current!$B$4:$B$138, 0), MATCH(DD$4&amp;DD$5,Demand_current!$D$2:$AY$2&amp;Demand_current!$D$3:$AY$3, 0))/1000</f>
        <v>0.59959249999999964</v>
      </c>
      <c r="DE106" s="194">
        <f t="array" ref="DE106">INDEX(Demand_current!$D$4:$AY$138, MATCH($A106, Demand_current!$B$4:$B$138, 0), MATCH(DE$4&amp;DE$5,Demand_current!$D$2:$AY$2&amp;Demand_current!$D$3:$AY$3, 0))/1000</f>
        <v>0.26391346153846151</v>
      </c>
      <c r="DF106" s="194">
        <f t="array" ref="DF106">INDEX(Demand_current!$D$4:$AY$138, MATCH($A106, Demand_current!$B$4:$B$138, 0), MATCH(DF$4&amp;DF$5,Demand_current!$D$2:$AY$2&amp;Demand_current!$D$3:$AY$3, 0))/1000</f>
        <v>0.4314675</v>
      </c>
      <c r="DG106" s="194">
        <f t="array" ref="DG106">INDEX(Demand_current!$D$4:$AY$138, MATCH($A106, Demand_current!$B$4:$B$138, 0), MATCH(DG$4&amp;DG$5,Demand_current!$D$2:$AY$2&amp;Demand_current!$D$3:$AY$3, 0))/1000</f>
        <v>0.3505162037037034</v>
      </c>
      <c r="DH106" s="194">
        <f t="array" ref="DH106">INDEX(Demand_current!$D$4:$AY$138, MATCH($A106, Demand_current!$B$4:$B$138, 0), MATCH(DH$4&amp;DH$5,Demand_current!$D$2:$AY$2&amp;Demand_current!$D$3:$AY$3, 0))/1000</f>
        <v>0.15889500000000001</v>
      </c>
      <c r="DI106" s="192">
        <f>$BS106*(VLOOKUP(DI$4, Rates_current!$G$6:$Q$29, 10, FALSE)+VLOOKUP(DI$4, Rates_current!$G$6:$Q$29, 11, FALSE))</f>
        <v>1529.6632129342916</v>
      </c>
      <c r="DJ106" s="192">
        <f>$BS106*(VLOOKUP(DJ$4, Rates_current!$G$6:$Q$29, 10, FALSE)+VLOOKUP(DJ$4, Rates_current!$G$6:$Q$29, 11, FALSE))</f>
        <v>1936.6091428731065</v>
      </c>
      <c r="DK106" s="192">
        <f>$BS106*(VLOOKUP(DK$4, Rates_current!$G$6:$Q$29, 10, FALSE)+VLOOKUP(DK$4, Rates_current!$G$6:$Q$29, 11, FALSE))</f>
        <v>1895.5534488704918</v>
      </c>
      <c r="DL106" s="192">
        <f>$BS106*(VLOOKUP(DL$4, Rates_current!$G$6:$Q$29, 10, FALSE)+VLOOKUP(DL$4, Rates_current!$G$6:$Q$29, 11, FALSE))</f>
        <v>1565.6465406563011</v>
      </c>
      <c r="DM106" s="192">
        <f>$BS106*(VLOOKUP(DM$4, Rates_current!$G$6:$Q$29, 10, FALSE)+VLOOKUP(DM$4, Rates_current!$G$6:$Q$29, 11, FALSE))</f>
        <v>1356.9801712002047</v>
      </c>
      <c r="DN106" s="192">
        <f>$BS106*(VLOOKUP(DN$4, Rates_current!$G$6:$Q$29, 10, FALSE)+VLOOKUP(DN$4, Rates_current!$G$6:$Q$29, 11, FALSE))</f>
        <v>1619.9602968591764</v>
      </c>
      <c r="DO106" s="192">
        <f>$BS106*(VLOOKUP(DO$4, Rates_current!$G$6:$Q$29, 10, FALSE)+VLOOKUP(DO$4, Rates_current!$G$6:$Q$29, 11, FALSE))</f>
        <v>1257.6835069797826</v>
      </c>
      <c r="DP106" s="192">
        <f>$BS106*(VLOOKUP(DP$4, Rates_current!$G$6:$Q$29, 10, FALSE)+VLOOKUP(DP$4, Rates_current!$G$6:$Q$29, 11, FALSE))</f>
        <v>1742.5297541934503</v>
      </c>
      <c r="DQ106" s="192">
        <f>$BS106*(VLOOKUP(DQ$4, Rates_current!$G$6:$Q$29, 10, FALSE)+VLOOKUP(DQ$4, Rates_current!$G$6:$Q$29, 11, FALSE))</f>
        <v>1861.9295294498345</v>
      </c>
      <c r="DR106" s="192">
        <f>$BS106*(VLOOKUP(DR$4, Rates_current!$G$6:$Q$29, 10, FALSE)+VLOOKUP(DR$4, Rates_current!$G$6:$Q$29, 11, FALSE))</f>
        <v>1767.8177770668003</v>
      </c>
      <c r="DS106" s="192">
        <f>$BS106*(VLOOKUP(DS$4, Rates_current!$G$6:$Q$29, 10, FALSE)+VLOOKUP(DS$4, Rates_current!$G$6:$Q$29, 11, FALSE))</f>
        <v>1708.4595014894028</v>
      </c>
      <c r="DT106" s="192">
        <f>$BS106*(VLOOKUP(DT$4, Rates_current!$G$6:$Q$29, 10, FALSE)+VLOOKUP(DT$4, Rates_current!$G$6:$Q$29, 11, FALSE))</f>
        <v>1578.794679221141</v>
      </c>
      <c r="DU106" s="418">
        <f>IF(D106=0,IF(C106=0,MAX(0,DW106 - (VLOOKUP($A106,TOCA_current!$A$2:$AI$137,MATCH("RHWM 2022",TOCA_current!$A$2:$AI$2,0),FALSE)*$BS$2)), 0),0)</f>
        <v>2815.0370139620209</v>
      </c>
      <c r="DV106" s="419">
        <f>MIN(VLOOKUP($A106,TOCA_current!$A$2:$AI$137,MATCH("TRL - NLSL - Existing Resource "&amp;$BS$1,TOCA_current!$A$2:$AI$2,0),FALSE)*$BS$2, VLOOKUP($A106,TOCA_current!$A$2:$AI$137,MATCH("RHWM 2022",TOCA_current!$A$2:$AI$2,0),FALSE)*$BS$2)</f>
        <v>19823.879999999997</v>
      </c>
      <c r="DW106" s="419">
        <f>SUM(BY106:CV106)+(BS106*RT1SC!$C$4*$BS$2)</f>
        <v>22638.917013962018</v>
      </c>
      <c r="DX106" s="419">
        <f>VLOOKUP($A106,TOCA_current!$A$2:$AI$137,MATCH("Above RHWM Not Served with LS "&amp;$BS$1,TOCA_current!$A$2:$AI$2,0),FALSE)*$BS$2</f>
        <v>0</v>
      </c>
      <c r="DY106" s="419">
        <f t="shared" si="32"/>
        <v>2815.0370139620209</v>
      </c>
      <c r="DZ106" s="419">
        <f>(VLOOKUP($A106,TOCA_current!$A$2:$AI$137,MATCH("RHWM 2022",TOCA_current!$A$2:$AI$2,0),FALSE)*$BS$2) - $DV106</f>
        <v>0</v>
      </c>
      <c r="EA106" s="419">
        <f t="shared" si="33"/>
        <v>0</v>
      </c>
      <c r="EB106" s="419">
        <f t="shared" si="34"/>
        <v>0</v>
      </c>
      <c r="EC106" s="419">
        <f t="shared" si="35"/>
        <v>0</v>
      </c>
      <c r="ED106" s="419">
        <f t="shared" si="36"/>
        <v>0</v>
      </c>
    </row>
    <row r="107" spans="1:134">
      <c r="A107" s="135">
        <v>10342</v>
      </c>
      <c r="B107" s="136" t="s">
        <v>108</v>
      </c>
      <c r="C107" s="244">
        <f>VLOOKUP(A107, TOCA_current!$A$3:$D$137, 4, FALSE)</f>
        <v>0</v>
      </c>
      <c r="D107" s="203">
        <v>0</v>
      </c>
      <c r="E107" s="119">
        <f>VLOOKUP($A107,TOCA_previous!$A$2:$AI$137,MATCH(E$4,TOCA_previous!$A$2:$AI$2,0),FALSE)</f>
        <v>5.4015000000000001E-3</v>
      </c>
      <c r="F107" s="120">
        <f>VLOOKUP($A107,TOCA_previous!$A$2:$AI$137,MATCH(F$4,TOCA_previous!$A$2:$AI$2,0),FALSE)</f>
        <v>5.4015000000000001E-3</v>
      </c>
      <c r="G107" s="120">
        <f t="shared" si="24"/>
        <v>0</v>
      </c>
      <c r="H107" s="120">
        <f>VLOOKUP($A107,TOCA_previous!$A$2:$AI$137,MATCH(H$4,TOCA_previous!$A$2:$AI$2,0),FALSE)</f>
        <v>0</v>
      </c>
      <c r="I107" s="120">
        <f t="shared" si="25"/>
        <v>0</v>
      </c>
      <c r="J107" s="120">
        <f t="shared" si="26"/>
        <v>0</v>
      </c>
      <c r="K107" s="191">
        <f>VLOOKUP(A107, IRD!$A$5:$C$139, 3, FALSE)</f>
        <v>0</v>
      </c>
      <c r="L107" s="192">
        <f t="array" ref="L107">IF($G107=0, INDEX(LS_previous!$D$4:$AY$138, MATCH('Staging Table'!$A107, LS_previous!$B$4:$B$138, 0), MATCH(L$4&amp;L$5, LS_previous!$D$2:$AY$2&amp;LS_previous!$D$3:$AY$3, 0)),SUM(VLOOKUP($A107, LS_previous!$B$4:$AY$138, LS_previous!D$149, FALSE), VLOOKUP('Staging Table'!$A107, LS_previous!$B$4:$AY$138,LS_previous!AB$149, FALSE))/2)</f>
        <v>-254.12269328199909</v>
      </c>
      <c r="M107" s="192">
        <f t="array" ref="M107">IF($G107=0, INDEX(LS_previous!$D$4:$AY$138, MATCH('Staging Table'!$A107, LS_previous!$B$4:$B$138, 0), MATCH(M$4&amp;M$5, LS_previous!$D$2:$AY$2&amp;LS_previous!$D$3:$AY$3, 0)),SUM(VLOOKUP($A107, LS_previous!$B$4:$AY$138, LS_previous!E$149, FALSE), VLOOKUP('Staging Table'!$A107, LS_previous!$B$4:$AY$138,LS_previous!AC$149, FALSE))/2)</f>
        <v>571.51685908800027</v>
      </c>
      <c r="N107" s="192">
        <f t="array" ref="N107">IF($G107=0, INDEX(LS_previous!$D$4:$AY$138, MATCH('Staging Table'!$A107, LS_previous!$B$4:$B$138, 0), MATCH(N$4&amp;N$5, LS_previous!$D$2:$AY$2&amp;LS_previous!$D$3:$AY$3, 0)),SUM(VLOOKUP($A107, LS_previous!$B$4:$AY$138, LS_previous!F$149, FALSE), VLOOKUP('Staging Table'!$A107, LS_previous!$B$4:$AY$138,LS_previous!AD$149, FALSE))/2)</f>
        <v>-1425.0297024920001</v>
      </c>
      <c r="O107" s="192">
        <f t="array" ref="O107">IF($G107=0, INDEX(LS_previous!$D$4:$AY$138, MATCH('Staging Table'!$A107, LS_previous!$B$4:$B$138, 0), MATCH(O$4&amp;O$5, LS_previous!$D$2:$AY$2&amp;LS_previous!$D$3:$AY$3, 0)),SUM(VLOOKUP($A107, LS_previous!$B$4:$AY$138, LS_previous!G$149, FALSE), VLOOKUP('Staging Table'!$A107, LS_previous!$B$4:$AY$138,LS_previous!AE$149, FALSE))/2)</f>
        <v>-568.31893796650002</v>
      </c>
      <c r="P107" s="192">
        <f t="array" ref="P107">IF($G107=0, INDEX(LS_previous!$D$4:$AY$138, MATCH('Staging Table'!$A107, LS_previous!$B$4:$B$138, 0), MATCH(P$4&amp;P$5, LS_previous!$D$2:$AY$2&amp;LS_previous!$D$3:$AY$3, 0)),SUM(VLOOKUP($A107, LS_previous!$B$4:$AY$138, LS_previous!H$149, FALSE), VLOOKUP('Staging Table'!$A107, LS_previous!$B$4:$AY$138,LS_previous!AF$149, FALSE))/2)</f>
        <v>2040.1392861919994</v>
      </c>
      <c r="Q107" s="192">
        <f t="array" ref="Q107">IF($G107=0, INDEX(LS_previous!$D$4:$AY$138, MATCH('Staging Table'!$A107, LS_previous!$B$4:$B$138, 0), MATCH(Q$4&amp;Q$5, LS_previous!$D$2:$AY$2&amp;LS_previous!$D$3:$AY$3, 0)),SUM(VLOOKUP($A107, LS_previous!$B$4:$AY$138, LS_previous!I$149, FALSE), VLOOKUP('Staging Table'!$A107, LS_previous!$B$4:$AY$138,LS_previous!AG$149, FALSE))/2)</f>
        <v>1102.590755113999</v>
      </c>
      <c r="R107" s="192">
        <f t="array" ref="R107">IF($G107=0, INDEX(LS_previous!$D$4:$AY$138, MATCH('Staging Table'!$A107, LS_previous!$B$4:$B$138, 0), MATCH(R$4&amp;R$5, LS_previous!$D$2:$AY$2&amp;LS_previous!$D$3:$AY$3, 0)),SUM(VLOOKUP($A107, LS_previous!$B$4:$AY$138, LS_previous!J$149, FALSE), VLOOKUP('Staging Table'!$A107, LS_previous!$B$4:$AY$138,LS_previous!AH$149, FALSE))/2)</f>
        <v>3170.1200001920006</v>
      </c>
      <c r="S107" s="192">
        <f t="array" ref="S107">IF($G107=0, INDEX(LS_previous!$D$4:$AY$138, MATCH('Staging Table'!$A107, LS_previous!$B$4:$B$138, 0), MATCH(S$4&amp;S$5, LS_previous!$D$2:$AY$2&amp;LS_previous!$D$3:$AY$3, 0)),SUM(VLOOKUP($A107, LS_previous!$B$4:$AY$138, LS_previous!K$149, FALSE), VLOOKUP('Staging Table'!$A107, LS_previous!$B$4:$AY$138,LS_previous!AI$149, FALSE))/2)</f>
        <v>3473.7539131140002</v>
      </c>
      <c r="T107" s="192">
        <f t="array" ref="T107">IF($G107=0, INDEX(LS_previous!$D$4:$AY$138, MATCH('Staging Table'!$A107, LS_previous!$B$4:$B$138, 0), MATCH(T$4&amp;T$5, LS_previous!$D$2:$AY$2&amp;LS_previous!$D$3:$AY$3, 0)),SUM(VLOOKUP($A107, LS_previous!$B$4:$AY$138, LS_previous!L$149, FALSE), VLOOKUP('Staging Table'!$A107, LS_previous!$B$4:$AY$138,LS_previous!AJ$149, FALSE))/2)</f>
        <v>3761.1696347140005</v>
      </c>
      <c r="U107" s="192">
        <f t="array" ref="U107">IF($G107=0, INDEX(LS_previous!$D$4:$AY$138, MATCH('Staging Table'!$A107, LS_previous!$B$4:$B$138, 0), MATCH(U$4&amp;U$5, LS_previous!$D$2:$AY$2&amp;LS_previous!$D$3:$AY$3, 0)),SUM(VLOOKUP($A107, LS_previous!$B$4:$AY$138, LS_previous!M$149, FALSE), VLOOKUP('Staging Table'!$A107, LS_previous!$B$4:$AY$138,LS_previous!AK$149, FALSE))/2)</f>
        <v>2040.0532200859998</v>
      </c>
      <c r="V107" s="192">
        <f t="array" ref="V107">IF($G107=0, INDEX(LS_previous!$D$4:$AY$138, MATCH('Staging Table'!$A107, LS_previous!$B$4:$B$138, 0), MATCH(V$4&amp;V$5, LS_previous!$D$2:$AY$2&amp;LS_previous!$D$3:$AY$3, 0)),SUM(VLOOKUP($A107, LS_previous!$B$4:$AY$138, LS_previous!N$149, FALSE), VLOOKUP('Staging Table'!$A107, LS_previous!$B$4:$AY$138,LS_previous!AL$149, FALSE))/2)</f>
        <v>1692.8955028760029</v>
      </c>
      <c r="W107" s="192">
        <f t="array" ref="W107">IF($G107=0, INDEX(LS_previous!$D$4:$AY$138, MATCH('Staging Table'!$A107, LS_previous!$B$4:$B$138, 0), MATCH(W$4&amp;W$5, LS_previous!$D$2:$AY$2&amp;LS_previous!$D$3:$AY$3, 0)),SUM(VLOOKUP($A107, LS_previous!$B$4:$AY$138, LS_previous!O$149, FALSE), VLOOKUP('Staging Table'!$A107, LS_previous!$B$4:$AY$138,LS_previous!AM$149, FALSE))/2)</f>
        <v>577.06582341850117</v>
      </c>
      <c r="X107" s="192">
        <f t="array" ref="X107">IF($G107=0, INDEX(LS_previous!$D$4:$AY$138, MATCH('Staging Table'!$A107, LS_previous!$B$4:$B$138, 0), MATCH(X$4&amp;X$5, LS_previous!$D$2:$AY$2&amp;LS_previous!$D$3:$AY$3, 0)),SUM(VLOOKUP($A107, LS_previous!$B$4:$AY$138, LS_previous!P$149, FALSE), VLOOKUP('Staging Table'!$A107, LS_previous!$B$4:$AY$138,LS_previous!AN$149, FALSE))/2)</f>
        <v>2889.4300052840008</v>
      </c>
      <c r="Y107" s="192">
        <f t="array" ref="Y107">IF($G107=0, INDEX(LS_previous!$D$4:$AY$138, MATCH('Staging Table'!$A107, LS_previous!$B$4:$B$138, 0), MATCH(Y$4&amp;Y$5, LS_previous!$D$2:$AY$2&amp;LS_previous!$D$3:$AY$3, 0)),SUM(VLOOKUP($A107, LS_previous!$B$4:$AY$138, LS_previous!Q$149, FALSE), VLOOKUP('Staging Table'!$A107, LS_previous!$B$4:$AY$138,LS_previous!AO$149, FALSE))/2)</f>
        <v>1079.3790349959991</v>
      </c>
      <c r="Z107" s="192">
        <f t="array" ref="Z107">IF($G107=0, INDEX(LS_previous!$D$4:$AY$138, MATCH('Staging Table'!$A107, LS_previous!$B$4:$B$138, 0), MATCH(Z$4&amp;Z$5, LS_previous!$D$2:$AY$2&amp;LS_previous!$D$3:$AY$3, 0)),SUM(VLOOKUP($A107, LS_previous!$B$4:$AY$138, LS_previous!R$149, FALSE), VLOOKUP('Staging Table'!$A107, LS_previous!$B$4:$AY$138,LS_previous!AP$149, FALSE))/2)</f>
        <v>-3948.7264706499991</v>
      </c>
      <c r="AA107" s="192">
        <f t="array" ref="AA107">IF($G107=0, INDEX(LS_previous!$D$4:$AY$138, MATCH('Staging Table'!$A107, LS_previous!$B$4:$B$138, 0), MATCH(AA$4&amp;AA$5, LS_previous!$D$2:$AY$2&amp;LS_previous!$D$3:$AY$3, 0)),SUM(VLOOKUP($A107, LS_previous!$B$4:$AY$138, LS_previous!S$149, FALSE), VLOOKUP('Staging Table'!$A107, LS_previous!$B$4:$AY$138,LS_previous!AQ$149, FALSE))/2)</f>
        <v>-674.42368429399903</v>
      </c>
      <c r="AB107" s="192">
        <f t="array" ref="AB107">IF($G107=0, INDEX(LS_previous!$D$4:$AY$138, MATCH('Staging Table'!$A107, LS_previous!$B$4:$B$138, 0), MATCH(AB$4&amp;AB$5, LS_previous!$D$2:$AY$2&amp;LS_previous!$D$3:$AY$3, 0)),SUM(VLOOKUP($A107, LS_previous!$B$4:$AY$138, LS_previous!T$149, FALSE), VLOOKUP('Staging Table'!$A107, LS_previous!$B$4:$AY$138,LS_previous!AR$149, FALSE))/2)</f>
        <v>-8597.5219299660002</v>
      </c>
      <c r="AC107" s="192">
        <f t="array" ref="AC107">IF($G107=0, INDEX(LS_previous!$D$4:$AY$138, MATCH('Staging Table'!$A107, LS_previous!$B$4:$B$138, 0), MATCH(AC$4&amp;AC$5, LS_previous!$D$2:$AY$2&amp;LS_previous!$D$3:$AY$3, 0)),SUM(VLOOKUP($A107, LS_previous!$B$4:$AY$138, LS_previous!U$149, FALSE), VLOOKUP('Staging Table'!$A107, LS_previous!$B$4:$AY$138,LS_previous!AS$149, FALSE))/2)</f>
        <v>-4722.681794004</v>
      </c>
      <c r="AD107" s="192">
        <f t="array" ref="AD107">IF($G107=0, INDEX(LS_previous!$D$4:$AY$138, MATCH('Staging Table'!$A107, LS_previous!$B$4:$B$138, 0), MATCH(AD$4&amp;AD$5, LS_previous!$D$2:$AY$2&amp;LS_previous!$D$3:$AY$3, 0)),SUM(VLOOKUP($A107, LS_previous!$B$4:$AY$138, LS_previous!V$149, FALSE), VLOOKUP('Staging Table'!$A107, LS_previous!$B$4:$AY$138,LS_previous!AT$149, FALSE))/2)</f>
        <v>-3096.9719874659968</v>
      </c>
      <c r="AE107" s="192">
        <f t="array" ref="AE107">IF($G107=0, INDEX(LS_previous!$D$4:$AY$138, MATCH('Staging Table'!$A107, LS_previous!$B$4:$B$138, 0), MATCH(AE$4&amp;AE$5, LS_previous!$D$2:$AY$2&amp;LS_previous!$D$3:$AY$3, 0)),SUM(VLOOKUP($A107, LS_previous!$B$4:$AY$138, LS_previous!W$149, FALSE), VLOOKUP('Staging Table'!$A107, LS_previous!$B$4:$AY$138,LS_previous!AU$149, FALSE))/2)</f>
        <v>1440.1929572720001</v>
      </c>
      <c r="AF107" s="192">
        <f t="array" ref="AF107">IF($G107=0, INDEX(LS_previous!$D$4:$AY$138, MATCH('Staging Table'!$A107, LS_previous!$B$4:$B$138, 0), MATCH(AF$4&amp;AF$5, LS_previous!$D$2:$AY$2&amp;LS_previous!$D$3:$AY$3, 0)),SUM(VLOOKUP($A107, LS_previous!$B$4:$AY$138, LS_previous!X$149, FALSE), VLOOKUP('Staging Table'!$A107, LS_previous!$B$4:$AY$138,LS_previous!AV$149, FALSE))/2)</f>
        <v>-1199.887461716</v>
      </c>
      <c r="AG107" s="192">
        <f t="array" ref="AG107">IF($G107=0, INDEX(LS_previous!$D$4:$AY$138, MATCH('Staging Table'!$A107, LS_previous!$B$4:$B$138, 0), MATCH(AG$4&amp;AG$5, LS_previous!$D$2:$AY$2&amp;LS_previous!$D$3:$AY$3, 0)),SUM(VLOOKUP($A107, LS_previous!$B$4:$AY$138, LS_previous!Y$149, FALSE), VLOOKUP('Staging Table'!$A107, LS_previous!$B$4:$AY$138,LS_previous!AW$149, FALSE))/2)</f>
        <v>301.76723727199897</v>
      </c>
      <c r="AH107" s="192">
        <f t="array" ref="AH107">IF($G107=0, INDEX(LS_previous!$D$4:$AY$138, MATCH('Staging Table'!$A107, LS_previous!$B$4:$B$138, 0), MATCH(AH$4&amp;AH$5, LS_previous!$D$2:$AY$2&amp;LS_previous!$D$3:$AY$3, 0)),SUM(VLOOKUP($A107, LS_previous!$B$4:$AY$138, LS_previous!Z$149, FALSE), VLOOKUP('Staging Table'!$A107, LS_previous!$B$4:$AY$138,LS_previous!AX$149, FALSE))/2)</f>
        <v>-1124.5993183999999</v>
      </c>
      <c r="AI107" s="192">
        <f t="array" ref="AI107">IF($G107=0, INDEX(LS_previous!$D$4:$AY$138, MATCH('Staging Table'!$A107, LS_previous!$B$4:$B$138, 0), MATCH(AI$4&amp;AI$5, LS_previous!$D$2:$AY$2&amp;LS_previous!$D$3:$AY$3, 0)),SUM(VLOOKUP($A107, LS_previous!$B$4:$AY$138, LS_previous!AA$149, FALSE), VLOOKUP('Staging Table'!$A107, LS_previous!$B$4:$AY$138,LS_previous!AY$149, FALSE))/2)</f>
        <v>-387.22211281999989</v>
      </c>
      <c r="AJ107" s="314">
        <f t="array" ref="AJ107">INDEX(Demand_previous!$D$4:$AY$138, MATCH('Staging Table'!$A107, Demand_previous!$B$4:$B$138, 0), MATCH(AJ$4&amp;AJ$5,Demand_previous!$D$2:$AY$2&amp;Demand_previous!$D$3:$AY$3, 0))/1000</f>
        <v>3.9094814814814827</v>
      </c>
      <c r="AK107" s="314">
        <f t="array" ref="AK107">INDEX(Demand_previous!$D$4:$AY$138, MATCH('Staging Table'!$A107, Demand_previous!$B$4:$B$138, 0), MATCH(AK$4&amp;AK$5,Demand_previous!$D$2:$AY$2&amp;Demand_previous!$D$3:$AY$3, 0))/1000</f>
        <v>0</v>
      </c>
      <c r="AL107" s="314">
        <f t="array" ref="AL107">INDEX(Demand_previous!$D$4:$AY$138, MATCH('Staging Table'!$A107, Demand_previous!$B$4:$B$138, 0), MATCH(AL$4&amp;AL$5,Demand_previous!$D$2:$AY$2&amp;Demand_previous!$D$3:$AY$3, 0))/1000</f>
        <v>0.25299249999999596</v>
      </c>
      <c r="AM107" s="314">
        <f t="array" ref="AM107">INDEX(Demand_previous!$D$4:$AY$138, MATCH('Staging Table'!$A107, Demand_previous!$B$4:$B$138, 0), MATCH(AM$4&amp;AM$5,Demand_previous!$D$2:$AY$2&amp;Demand_previous!$D$3:$AY$3, 0))/1000</f>
        <v>7.1404014423076863</v>
      </c>
      <c r="AN107" s="314">
        <f t="array" ref="AN107">INDEX(Demand_previous!$D$4:$AY$138, MATCH('Staging Table'!$A107, Demand_previous!$B$4:$B$138, 0), MATCH(AN$4&amp;AN$5,Demand_previous!$D$2:$AY$2&amp;Demand_previous!$D$3:$AY$3, 0))/1000</f>
        <v>1.4746625000000027</v>
      </c>
      <c r="AO107" s="314">
        <f t="array" ref="AO107">INDEX(Demand_previous!$D$4:$AY$138, MATCH('Staging Table'!$A107, Demand_previous!$B$4:$B$138, 0), MATCH(AO$4&amp;AO$5,Demand_previous!$D$2:$AY$2&amp;Demand_previous!$D$3:$AY$3, 0))/1000</f>
        <v>4.7411730769230687</v>
      </c>
      <c r="AP107" s="314">
        <f t="array" ref="AP107">INDEX(Demand_previous!$D$4:$AY$138, MATCH('Staging Table'!$A107, Demand_previous!$B$4:$B$138, 0), MATCH(AP$4&amp;AP$5,Demand_previous!$D$2:$AY$2&amp;Demand_previous!$D$3:$AY$3, 0))/1000</f>
        <v>2.596615384615383</v>
      </c>
      <c r="AQ107" s="314">
        <f t="array" ref="AQ107">INDEX(Demand_previous!$D$4:$AY$138, MATCH('Staging Table'!$A107, Demand_previous!$B$4:$B$138, 0), MATCH(AQ$4&amp;AQ$5,Demand_previous!$D$2:$AY$2&amp;Demand_previous!$D$3:$AY$3, 0))/1000</f>
        <v>6.8326349999999962</v>
      </c>
      <c r="AR107" s="314">
        <f t="array" ref="AR107">INDEX(Demand_previous!$D$4:$AY$138, MATCH('Staging Table'!$A107, Demand_previous!$B$4:$B$138, 0), MATCH(AR$4&amp;AR$5,Demand_previous!$D$2:$AY$2&amp;Demand_previous!$D$3:$AY$3, 0))/1000</f>
        <v>15.345362980769227</v>
      </c>
      <c r="AS107" s="314">
        <f t="array" ref="AS107">INDEX(Demand_previous!$D$4:$AY$138, MATCH('Staging Table'!$A107, Demand_previous!$B$4:$B$138, 0), MATCH(AS$4&amp;AS$5,Demand_previous!$D$2:$AY$2&amp;Demand_previous!$D$3:$AY$3, 0))/1000</f>
        <v>10.60507692307692</v>
      </c>
      <c r="AT107" s="314">
        <f t="array" ref="AT107">INDEX(Demand_previous!$D$4:$AY$138, MATCH('Staging Table'!$A107, Demand_previous!$B$4:$B$138, 0), MATCH(AT$4&amp;AT$5,Demand_previous!$D$2:$AY$2&amp;Demand_previous!$D$3:$AY$3, 0))/1000</f>
        <v>13.064175480769226</v>
      </c>
      <c r="AU107" s="314">
        <f t="array" ref="AU107">INDEX(Demand_previous!$D$4:$AY$138, MATCH('Staging Table'!$A107, Demand_previous!$B$4:$B$138, 0), MATCH(AU$4&amp;AU$5,Demand_previous!$D$2:$AY$2&amp;Demand_previous!$D$3:$AY$3, 0))/1000</f>
        <v>15.063567500000001</v>
      </c>
      <c r="AV107" s="192">
        <f>$F107*(VLOOKUP(AV$4, Rates_previous!$G$6:$Q$29, 10, FALSE)+VLOOKUP(AV$4, Rates_previous!$G$6:$Q$29, 11, FALSE))</f>
        <v>24940.438834193999</v>
      </c>
      <c r="AW107" s="192">
        <f>$F107*(VLOOKUP(AW$4, Rates_previous!$G$6:$Q$29, 10, FALSE)+VLOOKUP(AW$4, Rates_previous!$G$6:$Q$29, 11, FALSE))</f>
        <v>31682.137640458499</v>
      </c>
      <c r="AX107" s="192">
        <f>$F107*(VLOOKUP(AX$4, Rates_previous!$G$6:$Q$29, 10, FALSE)+VLOOKUP(AX$4, Rates_previous!$G$6:$Q$29, 11, FALSE))</f>
        <v>31299.532958694002</v>
      </c>
      <c r="AY107" s="192">
        <f>$F107*(VLOOKUP(AY$4, Rates_previous!$G$6:$Q$29, 10, FALSE)+VLOOKUP(AY$4, Rates_previous!$G$6:$Q$29, 11, FALSE))</f>
        <v>26090.067086694002</v>
      </c>
      <c r="AZ107" s="192">
        <f>$F107*(VLOOKUP(AZ$4, Rates_previous!$G$6:$Q$29, 10, FALSE)+VLOOKUP(AZ$4, Rates_previous!$G$6:$Q$29, 11, FALSE))</f>
        <v>23634.8941452</v>
      </c>
      <c r="BA107" s="192">
        <f>$F107*(VLOOKUP(BA$4, Rates_previous!$G$6:$Q$29, 10, FALSE)+VLOOKUP(BA$4, Rates_previous!$G$6:$Q$29, 11, FALSE))</f>
        <v>26289.510673705499</v>
      </c>
      <c r="BB107" s="192">
        <f>$F107*(VLOOKUP(BB$4, Rates_previous!$G$6:$Q$29, 10, FALSE)+VLOOKUP(BB$4, Rates_previous!$G$6:$Q$29, 11, FALSE))</f>
        <v>21404.947959720001</v>
      </c>
      <c r="BC107" s="192">
        <f>$F107*(VLOOKUP(BC$4, Rates_previous!$G$6:$Q$29, 10, FALSE)+VLOOKUP(BC$4, Rates_previous!$G$6:$Q$29, 11, FALSE))</f>
        <v>28867.764154944001</v>
      </c>
      <c r="BD107" s="192">
        <f>$F107*(VLOOKUP(BD$4, Rates_previous!$G$6:$Q$29, 10, FALSE)+VLOOKUP(BD$4, Rates_previous!$G$6:$Q$29, 11, FALSE))</f>
        <v>36833.303723970006</v>
      </c>
      <c r="BE107" s="192">
        <f>$F107*(VLOOKUP(BE$4, Rates_previous!$G$6:$Q$29, 10, FALSE)+VLOOKUP(BE$4, Rates_previous!$G$6:$Q$29, 11, FALSE))</f>
        <v>28878.478030194005</v>
      </c>
      <c r="BF107" s="192">
        <f>$F107*(VLOOKUP(BF$4, Rates_previous!$G$6:$Q$29, 10, FALSE)+VLOOKUP(BF$4, Rates_previous!$G$6:$Q$29, 11, FALSE))</f>
        <v>28121.887224444003</v>
      </c>
      <c r="BG107" s="192">
        <f>$F107*(VLOOKUP(BG$4, Rates_previous!$G$6:$Q$29, 10, FALSE)+VLOOKUP(BG$4, Rates_previous!$G$6:$Q$29, 11, FALSE))</f>
        <v>25247.472431220001</v>
      </c>
      <c r="BH107" s="314">
        <f>IF($D107=0,IF(C107=0, MAX(BJ107 - (VLOOKUP($A107,TOCA_previous!$A$2:$AI$137,MATCH("RHWM 2020",TOCA_previous!$A$2:$AI$2,0),FALSE)*$F$2*TOCA_previous!C104),0),0), 0)</f>
        <v>0</v>
      </c>
      <c r="BI107" s="204">
        <f>MIN(VLOOKUP($A107,TOCA_previous!$A$2:$AI$137,MATCH("TRL - NLSL - Existing Resource "&amp;$F$1,TOCA_previous!$A$2:$AI$2,0),FALSE)*$F$2,(VLOOKUP($A107,TOCA_previous!$A$2:$AI$137,MATCH("RHWM 2020",TOCA_previous!$A$2:$AI$2,0),FALSE)*$F$2))</f>
        <v>333291.31199999998</v>
      </c>
      <c r="BJ107" s="418">
        <f>SUM(L107:AI107)+(F107*RT1SC!$C$3*$F$2)</f>
        <v>331431.01550987398</v>
      </c>
      <c r="BK107" s="417">
        <f>VLOOKUP($A107,TOCA_previous!$A$2:$AI$137,MATCH("Above RHWM Not Served with LS "&amp;$F$1,TOCA_previous!$A$2:$AI$2,0),FALSE)*$F$2</f>
        <v>0</v>
      </c>
      <c r="BL107" s="418">
        <f t="shared" si="27"/>
        <v>-1860.2964901259984</v>
      </c>
      <c r="BM107" s="417">
        <f>(VLOOKUP($A107,TOCA_previous!$A$2:$AI$137,MATCH("RHWM 2020",TOCA_previous!$A$2:$AI$2,0),FALSE)*$F$2) - $BI107</f>
        <v>4769.7119999999995</v>
      </c>
      <c r="BN107" s="418">
        <f t="shared" si="28"/>
        <v>0</v>
      </c>
      <c r="BO107" s="417">
        <f t="shared" si="29"/>
        <v>1860.2964901259984</v>
      </c>
      <c r="BP107" s="418">
        <f t="shared" si="30"/>
        <v>0</v>
      </c>
      <c r="BQ107" s="417">
        <f t="shared" si="37"/>
        <v>1860.2964901259984</v>
      </c>
      <c r="BR107" s="120">
        <f>VLOOKUP($A107,TOCA_current!$A$2:$AI$137,MATCH(BR$4,TOCA_current!$A$2:$AI$2,0),FALSE)</f>
        <v>5.4787999999999998E-3</v>
      </c>
      <c r="BS107" s="120">
        <f>VLOOKUP($A107,TOCA_current!$A$2:$AI$137,MATCH(BS$4,TOCA_current!$A$2:$AI$2,0),FALSE)</f>
        <v>5.4787999999999998E-3</v>
      </c>
      <c r="BT107" s="201">
        <f t="shared" si="31"/>
        <v>0</v>
      </c>
      <c r="BU107" s="120">
        <f>VLOOKUP($A107,TOCA_current!A103:BG238,MATCH(BU$4,TOCA_current!$A$2:$BG$2,0),FALSE)</f>
        <v>0</v>
      </c>
      <c r="BV107" s="120">
        <f t="shared" si="38"/>
        <v>0</v>
      </c>
      <c r="BW107" s="120">
        <f t="shared" si="39"/>
        <v>0</v>
      </c>
      <c r="BX107" s="191">
        <f>VLOOKUP($A107,IRD!$A$4:$G$139, 7, FALSE)</f>
        <v>0</v>
      </c>
      <c r="BY107" s="192">
        <f t="array" ref="BY107">IF($BT107=0, INDEX(LS_current!$D$4:$AY$138, MATCH('Staging Table'!$A107, LS_current!$B$4:$B$138, 0), MATCH(BY$4&amp;BY$5, LS_current!$D$2:$AY$2&amp;LS_current!$D$3:$AY$3, 0)),SUM(VLOOKUP($A107, LS_current!$B$4:$AY$138, LS_current!D$148, FALSE), VLOOKUP($A107, LS_current!$B$4:$AY$138,LS_current!AB$148, FALSE))/2)</f>
        <v>-464.84170133709631</v>
      </c>
      <c r="BZ107" s="192">
        <f t="array" ref="BZ107">IF($BT107=0, INDEX(LS_current!$D$4:$AY$138, MATCH('Staging Table'!$A107, LS_current!$B$4:$B$138, 0), MATCH(BZ$4&amp;BZ$5, LS_current!$D$2:$AY$2&amp;LS_current!$D$3:$AY$3, 0)),SUM(VLOOKUP($A107, LS_current!$B$4:$AY$138, LS_current!E$148, FALSE), VLOOKUP($A107, LS_current!$B$4:$AY$138,LS_current!AC$148, FALSE))/2)</f>
        <v>-53.206415139227829</v>
      </c>
      <c r="CA107" s="192">
        <f t="array" ref="CA107">IF($BT107=0, INDEX(LS_current!$D$4:$AY$138, MATCH('Staging Table'!$A107, LS_current!$B$4:$B$138, 0), MATCH(CA$4&amp;CA$5, LS_current!$D$2:$AY$2&amp;LS_current!$D$3:$AY$3, 0)),SUM(VLOOKUP($A107, LS_current!$B$4:$AY$138, LS_current!F$148, FALSE), VLOOKUP($A107, LS_current!$B$4:$AY$138,LS_current!AD$148, FALSE))/2)</f>
        <v>-1389.423000439474</v>
      </c>
      <c r="CB107" s="192">
        <f t="array" ref="CB107">IF($BT107=0, INDEX(LS_current!$D$4:$AY$138, MATCH('Staging Table'!$A107, LS_current!$B$4:$B$138, 0), MATCH(CB$4&amp;CB$5, LS_current!$D$2:$AY$2&amp;LS_current!$D$3:$AY$3, 0)),SUM(VLOOKUP($A107, LS_current!$B$4:$AY$138, LS_current!G$148, FALSE), VLOOKUP($A107, LS_current!$B$4:$AY$138,LS_current!AE$148, FALSE))/2)</f>
        <v>-1309.7555523237734</v>
      </c>
      <c r="CC107" s="192">
        <f t="array" ref="CC107">IF($BT107=0, INDEX(LS_current!$D$4:$AY$138, MATCH('Staging Table'!$A107, LS_current!$B$4:$B$138, 0), MATCH(CC$4&amp;CC$5, LS_current!$D$2:$AY$2&amp;LS_current!$D$3:$AY$3, 0)),SUM(VLOOKUP($A107, LS_current!$B$4:$AY$138, LS_current!H$148, FALSE), VLOOKUP($A107, LS_current!$B$4:$AY$138,LS_current!AF$148, FALSE))/2)</f>
        <v>3352.4890557646359</v>
      </c>
      <c r="CD107" s="192">
        <f t="array" ref="CD107">IF($BT107=0, INDEX(LS_current!$D$4:$AY$138, MATCH('Staging Table'!$A107, LS_current!$B$4:$B$138, 0), MATCH(CD$4&amp;CD$5, LS_current!$D$2:$AY$2&amp;LS_current!$D$3:$AY$3, 0)),SUM(VLOOKUP($A107, LS_current!$B$4:$AY$138, LS_current!I$148, FALSE), VLOOKUP($A107, LS_current!$B$4:$AY$138,LS_current!AG$148, FALSE))/2)</f>
        <v>-654.07211611488674</v>
      </c>
      <c r="CE107" s="192">
        <f t="array" ref="CE107">IF($BT107=0, INDEX(LS_current!$D$4:$AY$138, MATCH('Staging Table'!$A107, LS_current!$B$4:$B$138, 0), MATCH(CE$4&amp;CE$5, LS_current!$D$2:$AY$2&amp;LS_current!$D$3:$AY$3, 0)),SUM(VLOOKUP($A107, LS_current!$B$4:$AY$138, LS_current!J$148, FALSE), VLOOKUP($A107, LS_current!$B$4:$AY$138,LS_current!AH$148, FALSE))/2)</f>
        <v>4595.3340015605445</v>
      </c>
      <c r="CF107" s="192">
        <f t="array" ref="CF107">IF($BT107=0, INDEX(LS_current!$D$4:$AY$138, MATCH('Staging Table'!$A107, LS_current!$B$4:$B$138, 0), MATCH(CF$4&amp;CF$5, LS_current!$D$2:$AY$2&amp;LS_current!$D$3:$AY$3, 0)),SUM(VLOOKUP($A107, LS_current!$B$4:$AY$138, LS_current!K$148, FALSE), VLOOKUP($A107, LS_current!$B$4:$AY$138,LS_current!AI$148, FALSE))/2)</f>
        <v>1775.8087759097052</v>
      </c>
      <c r="CG107" s="192">
        <f t="array" ref="CG107">IF($BT107=0, INDEX(LS_current!$D$4:$AY$138, MATCH('Staging Table'!$A107, LS_current!$B$4:$B$138, 0), MATCH(CG$4&amp;CG$5, LS_current!$D$2:$AY$2&amp;LS_current!$D$3:$AY$3, 0)),SUM(VLOOKUP($A107, LS_current!$B$4:$AY$138, LS_current!L$148, FALSE), VLOOKUP($A107, LS_current!$B$4:$AY$138,LS_current!AJ$148, FALSE))/2)</f>
        <v>5389.2491614327573</v>
      </c>
      <c r="CH107" s="192">
        <f t="array" ref="CH107">IF($BT107=0, INDEX(LS_current!$D$4:$AY$138, MATCH('Staging Table'!$A107, LS_current!$B$4:$B$138, 0), MATCH(CH$4&amp;CH$5, LS_current!$D$2:$AY$2&amp;LS_current!$D$3:$AY$3, 0)),SUM(VLOOKUP($A107, LS_current!$B$4:$AY$138, LS_current!M$148, FALSE), VLOOKUP($A107, LS_current!$B$4:$AY$138,LS_current!AK$148, FALSE))/2)</f>
        <v>1167.5064513338948</v>
      </c>
      <c r="CI107" s="192">
        <f t="array" ref="CI107">IF($BT107=0, INDEX(LS_current!$D$4:$AY$138, MATCH('Staging Table'!$A107, LS_current!$B$4:$B$138, 0), MATCH(CI$4&amp;CI$5, LS_current!$D$2:$AY$2&amp;LS_current!$D$3:$AY$3, 0)),SUM(VLOOKUP($A107, LS_current!$B$4:$AY$138, LS_current!N$148, FALSE), VLOOKUP($A107, LS_current!$B$4:$AY$138,LS_current!AL$148, FALSE))/2)</f>
        <v>1701.4991099145573</v>
      </c>
      <c r="CJ107" s="192">
        <f t="array" ref="CJ107">IF($BT107=0, INDEX(LS_current!$D$4:$AY$138, MATCH('Staging Table'!$A107, LS_current!$B$4:$B$138, 0), MATCH(CJ$4&amp;CJ$5, LS_current!$D$2:$AY$2&amp;LS_current!$D$3:$AY$3, 0)),SUM(VLOOKUP($A107, LS_current!$B$4:$AY$138, LS_current!O$148, FALSE), VLOOKUP($A107, LS_current!$B$4:$AY$138,LS_current!AM$148, FALSE))/2)</f>
        <v>-389.61651578551391</v>
      </c>
      <c r="CK107" s="192">
        <f t="array" ref="CK107">IF($BT107=0, INDEX(LS_current!$D$4:$AY$138, MATCH('Staging Table'!$A107, LS_current!$B$4:$B$138, 0), MATCH(CK$4&amp;CK$5, LS_current!$D$2:$AY$2&amp;LS_current!$D$3:$AY$3, 0)),SUM(VLOOKUP($A107, LS_current!$B$4:$AY$138, LS_current!P$148, FALSE), VLOOKUP($A107, LS_current!$B$4:$AY$138,LS_current!AN$148, FALSE))/2)</f>
        <v>3255.4580701959949</v>
      </c>
      <c r="CL107" s="192">
        <f t="array" ref="CL107">IF($BT107=0, INDEX(LS_current!$D$4:$AY$138, MATCH('Staging Table'!$A107, LS_current!$B$4:$B$138, 0), MATCH(CL$4&amp;CL$5, LS_current!$D$2:$AY$2&amp;LS_current!$D$3:$AY$3, 0)),SUM(VLOOKUP($A107, LS_current!$B$4:$AY$138, LS_current!Q$148, FALSE), VLOOKUP($A107, LS_current!$B$4:$AY$138,LS_current!AO$148, FALSE))/2)</f>
        <v>805.26624733650442</v>
      </c>
      <c r="CM107" s="192">
        <f t="array" ref="CM107">IF($BT107=0, INDEX(LS_current!$D$4:$AY$138, MATCH('Staging Table'!$A107, LS_current!$B$4:$B$138, 0), MATCH(CM$4&amp;CM$5, LS_current!$D$2:$AY$2&amp;LS_current!$D$3:$AY$3, 0)),SUM(VLOOKUP($A107, LS_current!$B$4:$AY$138, LS_current!R$148, FALSE), VLOOKUP($A107, LS_current!$B$4:$AY$138,LS_current!AP$148, FALSE))/2)</f>
        <v>-4812.1481626207024</v>
      </c>
      <c r="CN107" s="192">
        <f t="array" ref="CN107">IF($BT107=0, INDEX(LS_current!$D$4:$AY$138, MATCH('Staging Table'!$A107, LS_current!$B$4:$B$138, 0), MATCH(CN$4&amp;CN$5, LS_current!$D$2:$AY$2&amp;LS_current!$D$3:$AY$3, 0)),SUM(VLOOKUP($A107, LS_current!$B$4:$AY$138, LS_current!S$148, FALSE), VLOOKUP($A107, LS_current!$B$4:$AY$138,LS_current!AQ$148, FALSE))/2)</f>
        <v>-191.14397990706129</v>
      </c>
      <c r="CO107" s="192">
        <f t="array" ref="CO107">IF($BT107=0, INDEX(LS_current!$D$4:$AY$138, MATCH('Staging Table'!$A107, LS_current!$B$4:$B$138, 0), MATCH(CO$4&amp;CO$5, LS_current!$D$2:$AY$2&amp;LS_current!$D$3:$AY$3, 0)),SUM(VLOOKUP($A107, LS_current!$B$4:$AY$138, LS_current!T$148, FALSE), VLOOKUP($A107, LS_current!$B$4:$AY$138,LS_current!AR$148, FALSE))/2)</f>
        <v>-6811.6878433115744</v>
      </c>
      <c r="CP107" s="192">
        <f t="array" ref="CP107">IF($BT107=0, INDEX(LS_current!$D$4:$AY$138, MATCH('Staging Table'!$A107, LS_current!$B$4:$B$138, 0), MATCH(CP$4&amp;CP$5, LS_current!$D$2:$AY$2&amp;LS_current!$D$3:$AY$3, 0)),SUM(VLOOKUP($A107, LS_current!$B$4:$AY$138, LS_current!U$148, FALSE), VLOOKUP($A107, LS_current!$B$4:$AY$138,LS_current!AS$148, FALSE))/2)</f>
        <v>-843.98496392198831</v>
      </c>
      <c r="CQ107" s="192">
        <f t="array" ref="CQ107">IF($BT107=0, INDEX(LS_current!$D$4:$AY$138, MATCH('Staging Table'!$A107, LS_current!$B$4:$B$138, 0), MATCH(CQ$4&amp;CQ$5, LS_current!$D$2:$AY$2&amp;LS_current!$D$3:$AY$3, 0)),SUM(VLOOKUP($A107, LS_current!$B$4:$AY$138, LS_current!V$148, FALSE), VLOOKUP($A107, LS_current!$B$4:$AY$138,LS_current!AT$148, FALSE))/2)</f>
        <v>-2866.8130120799979</v>
      </c>
      <c r="CR107" s="192">
        <f t="array" ref="CR107">IF($BT107=0, INDEX(LS_current!$D$4:$AY$138, MATCH('Staging Table'!$A107, LS_current!$B$4:$B$138, 0), MATCH(CR$4&amp;CR$5, LS_current!$D$2:$AY$2&amp;LS_current!$D$3:$AY$3, 0)),SUM(VLOOKUP($A107, LS_current!$B$4:$AY$138, LS_current!W$148, FALSE), VLOOKUP($A107, LS_current!$B$4:$AY$138,LS_current!AU$148, FALSE))/2)</f>
        <v>428.13781442121945</v>
      </c>
      <c r="CS107" s="192">
        <f t="array" ref="CS107">IF($BT107=0, INDEX(LS_current!$D$4:$AY$138, MATCH('Staging Table'!$A107, LS_current!$B$4:$B$138, 0), MATCH(CS$4&amp;CS$5, LS_current!$D$2:$AY$2&amp;LS_current!$D$3:$AY$3, 0)),SUM(VLOOKUP($A107, LS_current!$B$4:$AY$138, LS_current!X$148, FALSE), VLOOKUP($A107, LS_current!$B$4:$AY$138,LS_current!AV$148, FALSE))/2)</f>
        <v>-1174.4468512614221</v>
      </c>
      <c r="CT107" s="192">
        <f t="array" ref="CT107">IF($BT107=0, INDEX(LS_current!$D$4:$AY$138, MATCH('Staging Table'!$A107, LS_current!$B$4:$B$138, 0), MATCH(CT$4&amp;CT$5, LS_current!$D$2:$AY$2&amp;LS_current!$D$3:$AY$3, 0)),SUM(VLOOKUP($A107, LS_current!$B$4:$AY$138, LS_current!Y$148, FALSE), VLOOKUP($A107, LS_current!$B$4:$AY$138,LS_current!AW$148, FALSE))/2)</f>
        <v>-293.97898220133175</v>
      </c>
      <c r="CU107" s="192">
        <f t="array" ref="CU107">IF($BT107=0, INDEX(LS_current!$D$4:$AY$138, MATCH('Staging Table'!$A107, LS_current!$B$4:$B$138, 0), MATCH(CU$4&amp;CU$5, LS_current!$D$2:$AY$2&amp;LS_current!$D$3:$AY$3, 0)),SUM(VLOOKUP($A107, LS_current!$B$4:$AY$138, LS_current!Z$148, FALSE), VLOOKUP($A107, LS_current!$B$4:$AY$138,LS_current!AX$148, FALSE))/2)</f>
        <v>-1834.5011439246027</v>
      </c>
      <c r="CV107" s="192">
        <f t="array" ref="CV107">IF($BT107=0, INDEX(LS_current!$D$4:$AY$138, MATCH('Staging Table'!$A107, LS_current!$B$4:$B$138, 0), MATCH(CV$4&amp;CV$5, LS_current!$D$2:$AY$2&amp;LS_current!$D$3:$AY$3, 0)),SUM(VLOOKUP($A107, LS_current!$B$4:$AY$138, LS_current!AA$148, FALSE), VLOOKUP($A107, LS_current!$B$4:$AY$138,LS_current!AY$148, FALSE))/2)</f>
        <v>-980.46282635460921</v>
      </c>
      <c r="CW107" s="194">
        <f t="array" ref="CW107">INDEX(Demand_current!$D$4:$AY$138, MATCH($A107, Demand_current!$B$4:$B$138, 0), MATCH(CW$4&amp;CW$5,Demand_current!$D$2:$AY$2&amp;Demand_current!$D$3:$AY$3, 0))/1000</f>
        <v>2.4850384615384629</v>
      </c>
      <c r="CX107" s="194">
        <f t="array" ref="CX107">INDEX(Demand_current!$D$4:$AY$138, MATCH($A107, Demand_current!$B$4:$B$138, 0), MATCH(CX$4&amp;CX$5,Demand_current!$D$2:$AY$2&amp;Demand_current!$D$3:$AY$3, 0))/1000</f>
        <v>0</v>
      </c>
      <c r="CY107" s="194">
        <f t="array" ref="CY107">INDEX(Demand_current!$D$4:$AY$138, MATCH($A107, Demand_current!$B$4:$B$138, 0), MATCH(CY$4&amp;CY$5,Demand_current!$D$2:$AY$2&amp;Demand_current!$D$3:$AY$3, 0))/1000</f>
        <v>2.3181081730769133</v>
      </c>
      <c r="CZ107" s="194">
        <f t="array" ref="CZ107">INDEX(Demand_current!$D$4:$AY$138, MATCH($A107, Demand_current!$B$4:$B$138, 0), MATCH(CZ$4&amp;CZ$5,Demand_current!$D$2:$AY$2&amp;Demand_current!$D$3:$AY$3, 0))/1000</f>
        <v>5.258977499999995</v>
      </c>
      <c r="DA107" s="194">
        <f t="array" ref="DA107">INDEX(Demand_current!$D$4:$AY$138, MATCH($A107, Demand_current!$B$4:$B$138, 0), MATCH(DA$4&amp;DA$5,Demand_current!$D$2:$AY$2&amp;Demand_current!$D$3:$AY$3, 0))/1000</f>
        <v>0</v>
      </c>
      <c r="DB107" s="194">
        <f t="array" ref="DB107">INDEX(Demand_current!$D$4:$AY$138, MATCH($A107, Demand_current!$B$4:$B$138, 0), MATCH(DB$4&amp;DB$5,Demand_current!$D$2:$AY$2&amp;Demand_current!$D$3:$AY$3, 0))/1000</f>
        <v>6.3800925925925895</v>
      </c>
      <c r="DC107" s="194">
        <f t="array" ref="DC107">INDEX(Demand_current!$D$4:$AY$138, MATCH($A107, Demand_current!$B$4:$B$138, 0), MATCH(DC$4&amp;DC$5,Demand_current!$D$2:$AY$2&amp;Demand_current!$D$3:$AY$3, 0))/1000</f>
        <v>2.596615384615383</v>
      </c>
      <c r="DD107" s="194">
        <f t="array" ref="DD107">INDEX(Demand_current!$D$4:$AY$138, MATCH($A107, Demand_current!$B$4:$B$138, 0), MATCH(DD$4&amp;DD$5,Demand_current!$D$2:$AY$2&amp;Demand_current!$D$3:$AY$3, 0))/1000</f>
        <v>6.8326349999999962</v>
      </c>
      <c r="DE107" s="194">
        <f t="array" ref="DE107">INDEX(Demand_current!$D$4:$AY$138, MATCH($A107, Demand_current!$B$4:$B$138, 0), MATCH(DE$4&amp;DE$5,Demand_current!$D$2:$AY$2&amp;Demand_current!$D$3:$AY$3, 0))/1000</f>
        <v>15.345362980769227</v>
      </c>
      <c r="DF107" s="194">
        <f t="array" ref="DF107">INDEX(Demand_current!$D$4:$AY$138, MATCH($A107, Demand_current!$B$4:$B$138, 0), MATCH(DF$4&amp;DF$5,Demand_current!$D$2:$AY$2&amp;Demand_current!$D$3:$AY$3, 0))/1000</f>
        <v>8.991399999999997</v>
      </c>
      <c r="DG107" s="194">
        <f t="array" ref="DG107">INDEX(Demand_current!$D$4:$AY$138, MATCH($A107, Demand_current!$B$4:$B$138, 0), MATCH(DG$4&amp;DG$5,Demand_current!$D$2:$AY$2&amp;Demand_current!$D$3:$AY$3, 0))/1000</f>
        <v>14.6730949074074</v>
      </c>
      <c r="DH107" s="194">
        <f t="array" ref="DH107">INDEX(Demand_current!$D$4:$AY$138, MATCH($A107, Demand_current!$B$4:$B$138, 0), MATCH(DH$4&amp;DH$5,Demand_current!$D$2:$AY$2&amp;Demand_current!$D$3:$AY$3, 0))/1000</f>
        <v>15.063567500000001</v>
      </c>
      <c r="DI107" s="192">
        <f>$BS107*(VLOOKUP(DI$4, Rates_current!$G$6:$Q$29, 10, FALSE)+VLOOKUP(DI$4, Rates_current!$G$6:$Q$29, 11, FALSE))</f>
        <v>24950.041116476325</v>
      </c>
      <c r="DJ107" s="192">
        <f>$BS107*(VLOOKUP(DJ$4, Rates_current!$G$6:$Q$29, 10, FALSE)+VLOOKUP(DJ$4, Rates_current!$G$6:$Q$29, 11, FALSE))</f>
        <v>31587.657552763252</v>
      </c>
      <c r="DK107" s="192">
        <f>$BS107*(VLOOKUP(DK$4, Rates_current!$G$6:$Q$29, 10, FALSE)+VLOOKUP(DK$4, Rates_current!$G$6:$Q$29, 11, FALSE))</f>
        <v>30918.006060350253</v>
      </c>
      <c r="DL107" s="192">
        <f>$BS107*(VLOOKUP(DL$4, Rates_current!$G$6:$Q$29, 10, FALSE)+VLOOKUP(DL$4, Rates_current!$G$6:$Q$29, 11, FALSE))</f>
        <v>25536.958222529749</v>
      </c>
      <c r="DM107" s="192">
        <f>$BS107*(VLOOKUP(DM$4, Rates_current!$G$6:$Q$29, 10, FALSE)+VLOOKUP(DM$4, Rates_current!$G$6:$Q$29, 11, FALSE))</f>
        <v>22133.441387233346</v>
      </c>
      <c r="DN107" s="192">
        <f>$BS107*(VLOOKUP(DN$4, Rates_current!$G$6:$Q$29, 10, FALSE)+VLOOKUP(DN$4, Rates_current!$G$6:$Q$29, 11, FALSE))</f>
        <v>26422.85940587096</v>
      </c>
      <c r="DO107" s="192">
        <f>$BS107*(VLOOKUP(DO$4, Rates_current!$G$6:$Q$29, 10, FALSE)+VLOOKUP(DO$4, Rates_current!$G$6:$Q$29, 11, FALSE))</f>
        <v>20513.832682467499</v>
      </c>
      <c r="DP107" s="192">
        <f>$BS107*(VLOOKUP(DP$4, Rates_current!$G$6:$Q$29, 10, FALSE)+VLOOKUP(DP$4, Rates_current!$G$6:$Q$29, 11, FALSE))</f>
        <v>28422.066142527765</v>
      </c>
      <c r="DQ107" s="192">
        <f>$BS107*(VLOOKUP(DQ$4, Rates_current!$G$6:$Q$29, 10, FALSE)+VLOOKUP(DQ$4, Rates_current!$G$6:$Q$29, 11, FALSE))</f>
        <v>30369.572807233562</v>
      </c>
      <c r="DR107" s="192">
        <f>$BS107*(VLOOKUP(DR$4, Rates_current!$G$6:$Q$29, 10, FALSE)+VLOOKUP(DR$4, Rates_current!$G$6:$Q$29, 11, FALSE))</f>
        <v>28834.534197658784</v>
      </c>
      <c r="DS107" s="192">
        <f>$BS107*(VLOOKUP(DS$4, Rates_current!$G$6:$Q$29, 10, FALSE)+VLOOKUP(DS$4, Rates_current!$G$6:$Q$29, 11, FALSE))</f>
        <v>27866.352833462755</v>
      </c>
      <c r="DT107" s="192">
        <f>$BS107*(VLOOKUP(DT$4, Rates_current!$G$6:$Q$29, 10, FALSE)+VLOOKUP(DT$4, Rates_current!$G$6:$Q$29, 11, FALSE))</f>
        <v>25751.414970279213</v>
      </c>
      <c r="DU107" s="418">
        <f>IF(D107=0,IF(C107=0,MAX(0,DW107 - (VLOOKUP($A107,TOCA_current!$A$2:$AI$137,MATCH("RHWM 2022",TOCA_current!$A$2:$AI$2,0),FALSE)*$BS$2)), 0),0)</f>
        <v>0</v>
      </c>
      <c r="DV107" s="419">
        <f>MIN(VLOOKUP($A107,TOCA_current!$A$2:$AI$137,MATCH("TRL - NLSL - Existing Resource "&amp;$BS$1,TOCA_current!$A$2:$AI$2,0),FALSE)*$BS$2, VLOOKUP($A107,TOCA_current!$A$2:$AI$137,MATCH("RHWM 2022",TOCA_current!$A$2:$AI$2,0),FALSE)*$BS$2)</f>
        <v>323305.31999999995</v>
      </c>
      <c r="DW107" s="419">
        <f>SUM(BY107:CV107)+(BS107*RT1SC!$C$4*$BS$2)</f>
        <v>321707.41953853861</v>
      </c>
      <c r="DX107" s="419">
        <f>VLOOKUP($A107,TOCA_current!$A$2:$AI$137,MATCH("Above RHWM Not Served with LS "&amp;$BS$1,TOCA_current!$A$2:$AI$2,0),FALSE)*$BS$2</f>
        <v>9723.6</v>
      </c>
      <c r="DY107" s="419">
        <f t="shared" si="32"/>
        <v>-1597.9004614613368</v>
      </c>
      <c r="DZ107" s="419">
        <f>(VLOOKUP($A107,TOCA_current!$A$2:$AI$137,MATCH("RHWM 2022",TOCA_current!$A$2:$AI$2,0),FALSE)*$BS$2) - $DV107</f>
        <v>0</v>
      </c>
      <c r="EA107" s="419">
        <f t="shared" si="33"/>
        <v>0</v>
      </c>
      <c r="EB107" s="419">
        <f t="shared" si="34"/>
        <v>0</v>
      </c>
      <c r="EC107" s="419">
        <f t="shared" si="35"/>
        <v>0</v>
      </c>
      <c r="ED107" s="419">
        <f t="shared" si="36"/>
        <v>0</v>
      </c>
    </row>
    <row r="108" spans="1:134">
      <c r="A108" s="135">
        <v>10343</v>
      </c>
      <c r="B108" s="136" t="s">
        <v>109</v>
      </c>
      <c r="C108" s="244">
        <f>VLOOKUP(A108, TOCA_current!$A$3:$D$137, 4, FALSE)</f>
        <v>0</v>
      </c>
      <c r="D108" s="203">
        <v>0</v>
      </c>
      <c r="E108" s="119">
        <f>VLOOKUP($A108,TOCA_previous!$A$2:$AI$137,MATCH(E$4,TOCA_previous!$A$2:$AI$2,0),FALSE)</f>
        <v>1.7191000000000001E-3</v>
      </c>
      <c r="F108" s="120">
        <f>VLOOKUP($A108,TOCA_previous!$A$2:$AI$137,MATCH(F$4,TOCA_previous!$A$2:$AI$2,0),FALSE)</f>
        <v>1.7191000000000001E-3</v>
      </c>
      <c r="G108" s="120">
        <f t="shared" si="24"/>
        <v>0</v>
      </c>
      <c r="H108" s="120">
        <f>VLOOKUP($A108,TOCA_previous!$A$2:$AI$137,MATCH(H$4,TOCA_previous!$A$2:$AI$2,0),FALSE)</f>
        <v>7.0000000000000007E-2</v>
      </c>
      <c r="I108" s="120">
        <f t="shared" si="25"/>
        <v>0</v>
      </c>
      <c r="J108" s="120">
        <f t="shared" si="26"/>
        <v>0</v>
      </c>
      <c r="K108" s="191">
        <f>VLOOKUP(A108, IRD!$A$5:$C$139, 3, FALSE)</f>
        <v>10505.661</v>
      </c>
      <c r="L108" s="192">
        <f t="array" ref="L108">IF($G108=0, INDEX(LS_previous!$D$4:$AY$138, MATCH('Staging Table'!$A108, LS_previous!$B$4:$B$138, 0), MATCH(L$4&amp;L$5, LS_previous!$D$2:$AY$2&amp;LS_previous!$D$3:$AY$3, 0)),SUM(VLOOKUP($A108, LS_previous!$B$4:$AY$138, LS_previous!D$149, FALSE), VLOOKUP('Staging Table'!$A108, LS_previous!$B$4:$AY$138,LS_previous!AB$149, FALSE))/2)</f>
        <v>-1122.8803085108002</v>
      </c>
      <c r="M108" s="192">
        <f t="array" ref="M108">IF($G108=0, INDEX(LS_previous!$D$4:$AY$138, MATCH('Staging Table'!$A108, LS_previous!$B$4:$B$138, 0), MATCH(M$4&amp;M$5, LS_previous!$D$2:$AY$2&amp;LS_previous!$D$3:$AY$3, 0)),SUM(VLOOKUP($A108, LS_previous!$B$4:$AY$138, LS_previous!E$149, FALSE), VLOOKUP('Staging Table'!$A108, LS_previous!$B$4:$AY$138,LS_previous!AC$149, FALSE))/2)</f>
        <v>95.184316867199868</v>
      </c>
      <c r="N108" s="192">
        <f t="array" ref="N108">IF($G108=0, INDEX(LS_previous!$D$4:$AY$138, MATCH('Staging Table'!$A108, LS_previous!$B$4:$B$138, 0), MATCH(N$4&amp;N$5, LS_previous!$D$2:$AY$2&amp;LS_previous!$D$3:$AY$3, 0)),SUM(VLOOKUP($A108, LS_previous!$B$4:$AY$138, LS_previous!F$149, FALSE), VLOOKUP('Staging Table'!$A108, LS_previous!$B$4:$AY$138,LS_previous!AD$149, FALSE))/2)</f>
        <v>-1760.3715173848004</v>
      </c>
      <c r="O108" s="192">
        <f t="array" ref="O108">IF($G108=0, INDEX(LS_previous!$D$4:$AY$138, MATCH('Staging Table'!$A108, LS_previous!$B$4:$B$138, 0), MATCH(O$4&amp;O$5, LS_previous!$D$2:$AY$2&amp;LS_previous!$D$3:$AY$3, 0)),SUM(VLOOKUP($A108, LS_previous!$B$4:$AY$138, LS_previous!G$149, FALSE), VLOOKUP('Staging Table'!$A108, LS_previous!$B$4:$AY$138,LS_previous!AE$149, FALSE))/2)</f>
        <v>-245.41876378010056</v>
      </c>
      <c r="P108" s="192">
        <f t="array" ref="P108">IF($G108=0, INDEX(LS_previous!$D$4:$AY$138, MATCH('Staging Table'!$A108, LS_previous!$B$4:$B$138, 0), MATCH(P$4&amp;P$5, LS_previous!$D$2:$AY$2&amp;LS_previous!$D$3:$AY$3, 0)),SUM(VLOOKUP($A108, LS_previous!$B$4:$AY$138, LS_previous!H$149, FALSE), VLOOKUP('Staging Table'!$A108, LS_previous!$B$4:$AY$138,LS_previous!AF$149, FALSE))/2)</f>
        <v>-304.92886483520124</v>
      </c>
      <c r="Q108" s="192">
        <f t="array" ref="Q108">IF($G108=0, INDEX(LS_previous!$D$4:$AY$138, MATCH('Staging Table'!$A108, LS_previous!$B$4:$B$138, 0), MATCH(Q$4&amp;Q$5, LS_previous!$D$2:$AY$2&amp;LS_previous!$D$3:$AY$3, 0)),SUM(VLOOKUP($A108, LS_previous!$B$4:$AY$138, LS_previous!I$149, FALSE), VLOOKUP('Staging Table'!$A108, LS_previous!$B$4:$AY$138,LS_previous!AG$149, FALSE))/2)</f>
        <v>807.4226678915993</v>
      </c>
      <c r="R108" s="192">
        <f t="array" ref="R108">IF($G108=0, INDEX(LS_previous!$D$4:$AY$138, MATCH('Staging Table'!$A108, LS_previous!$B$4:$B$138, 0), MATCH(R$4&amp;R$5, LS_previous!$D$2:$AY$2&amp;LS_previous!$D$3:$AY$3, 0)),SUM(VLOOKUP($A108, LS_previous!$B$4:$AY$138, LS_previous!J$149, FALSE), VLOOKUP('Staging Table'!$A108, LS_previous!$B$4:$AY$138,LS_previous!AH$149, FALSE))/2)</f>
        <v>590.96426676479859</v>
      </c>
      <c r="S108" s="192">
        <f t="array" ref="S108">IF($G108=0, INDEX(LS_previous!$D$4:$AY$138, MATCH('Staging Table'!$A108, LS_previous!$B$4:$B$138, 0), MATCH(S$4&amp;S$5, LS_previous!$D$2:$AY$2&amp;LS_previous!$D$3:$AY$3, 0)),SUM(VLOOKUP($A108, LS_previous!$B$4:$AY$138, LS_previous!K$149, FALSE), VLOOKUP('Staging Table'!$A108, LS_previous!$B$4:$AY$138,LS_previous!AI$149, FALSE))/2)</f>
        <v>1585.9170930916002</v>
      </c>
      <c r="T108" s="192">
        <f t="array" ref="T108">IF($G108=0, INDEX(LS_previous!$D$4:$AY$138, MATCH('Staging Table'!$A108, LS_previous!$B$4:$B$138, 0), MATCH(T$4&amp;T$5, LS_previous!$D$2:$AY$2&amp;LS_previous!$D$3:$AY$3, 0)),SUM(VLOOKUP($A108, LS_previous!$B$4:$AY$138, LS_previous!L$149, FALSE), VLOOKUP('Staging Table'!$A108, LS_previous!$B$4:$AY$138,LS_previous!AJ$149, FALSE))/2)</f>
        <v>280.74748413159978</v>
      </c>
      <c r="U108" s="192">
        <f t="array" ref="U108">IF($G108=0, INDEX(LS_previous!$D$4:$AY$138, MATCH('Staging Table'!$A108, LS_previous!$B$4:$B$138, 0), MATCH(U$4&amp;U$5, LS_previous!$D$2:$AY$2&amp;LS_previous!$D$3:$AY$3, 0)),SUM(VLOOKUP($A108, LS_previous!$B$4:$AY$138, LS_previous!M$149, FALSE), VLOOKUP('Staging Table'!$A108, LS_previous!$B$4:$AY$138,LS_previous!AK$149, FALSE))/2)</f>
        <v>1035.4666749884</v>
      </c>
      <c r="V108" s="192">
        <f t="array" ref="V108">IF($G108=0, INDEX(LS_previous!$D$4:$AY$138, MATCH('Staging Table'!$A108, LS_previous!$B$4:$B$138, 0), MATCH(V$4&amp;V$5, LS_previous!$D$2:$AY$2&amp;LS_previous!$D$3:$AY$3, 0)),SUM(VLOOKUP($A108, LS_previous!$B$4:$AY$138, LS_previous!N$149, FALSE), VLOOKUP('Staging Table'!$A108, LS_previous!$B$4:$AY$138,LS_previous!AL$149, FALSE))/2)</f>
        <v>-399.94022908559964</v>
      </c>
      <c r="W108" s="192">
        <f t="array" ref="W108">IF($G108=0, INDEX(LS_previous!$D$4:$AY$138, MATCH('Staging Table'!$A108, LS_previous!$B$4:$B$138, 0), MATCH(W$4&amp;W$5, LS_previous!$D$2:$AY$2&amp;LS_previous!$D$3:$AY$3, 0)),SUM(VLOOKUP($A108, LS_previous!$B$4:$AY$138, LS_previous!O$149, FALSE), VLOOKUP('Staging Table'!$A108, LS_previous!$B$4:$AY$138,LS_previous!AM$149, FALSE))/2)</f>
        <v>619.90398578889972</v>
      </c>
      <c r="X108" s="192">
        <f t="array" ref="X108">IF($G108=0, INDEX(LS_previous!$D$4:$AY$138, MATCH('Staging Table'!$A108, LS_previous!$B$4:$B$138, 0), MATCH(X$4&amp;X$5, LS_previous!$D$2:$AY$2&amp;LS_previous!$D$3:$AY$3, 0)),SUM(VLOOKUP($A108, LS_previous!$B$4:$AY$138, LS_previous!P$149, FALSE), VLOOKUP('Staging Table'!$A108, LS_previous!$B$4:$AY$138,LS_previous!AN$149, FALSE))/2)</f>
        <v>43.599466589599615</v>
      </c>
      <c r="Y108" s="192">
        <f t="array" ref="Y108">IF($G108=0, INDEX(LS_previous!$D$4:$AY$138, MATCH('Staging Table'!$A108, LS_previous!$B$4:$B$138, 0), MATCH(Y$4&amp;Y$5, LS_previous!$D$2:$AY$2&amp;LS_previous!$D$3:$AY$3, 0)),SUM(VLOOKUP($A108, LS_previous!$B$4:$AY$138, LS_previous!Q$149, FALSE), VLOOKUP('Staging Table'!$A108, LS_previous!$B$4:$AY$138,LS_previous!AO$149, FALSE))/2)</f>
        <v>671.78004844239967</v>
      </c>
      <c r="Z108" s="192">
        <f t="array" ref="Z108">IF($G108=0, INDEX(LS_previous!$D$4:$AY$138, MATCH('Staging Table'!$A108, LS_previous!$B$4:$B$138, 0), MATCH(Z$4&amp;Z$5, LS_previous!$D$2:$AY$2&amp;LS_previous!$D$3:$AY$3, 0)),SUM(VLOOKUP($A108, LS_previous!$B$4:$AY$138, LS_previous!R$149, FALSE), VLOOKUP('Staging Table'!$A108, LS_previous!$B$4:$AY$138,LS_previous!AP$149, FALSE))/2)</f>
        <v>-792.3305336100002</v>
      </c>
      <c r="AA108" s="192">
        <f t="array" ref="AA108">IF($G108=0, INDEX(LS_previous!$D$4:$AY$138, MATCH('Staging Table'!$A108, LS_previous!$B$4:$B$138, 0), MATCH(AA$4&amp;AA$5, LS_previous!$D$2:$AY$2&amp;LS_previous!$D$3:$AY$3, 0)),SUM(VLOOKUP($A108, LS_previous!$B$4:$AY$138, LS_previous!S$149, FALSE), VLOOKUP('Staging Table'!$A108, LS_previous!$B$4:$AY$138,LS_previous!AQ$149, FALSE))/2)</f>
        <v>841.42645441640025</v>
      </c>
      <c r="AB108" s="192">
        <f t="array" ref="AB108">IF($G108=0, INDEX(LS_previous!$D$4:$AY$138, MATCH('Staging Table'!$A108, LS_previous!$B$4:$B$138, 0), MATCH(AB$4&amp;AB$5, LS_previous!$D$2:$AY$2&amp;LS_previous!$D$3:$AY$3, 0)),SUM(VLOOKUP($A108, LS_previous!$B$4:$AY$138, LS_previous!T$149, FALSE), VLOOKUP('Staging Table'!$A108, LS_previous!$B$4:$AY$138,LS_previous!AR$149, FALSE))/2)</f>
        <v>-2373.8431322604001</v>
      </c>
      <c r="AC108" s="192">
        <f t="array" ref="AC108">IF($G108=0, INDEX(LS_previous!$D$4:$AY$138, MATCH('Staging Table'!$A108, LS_previous!$B$4:$B$138, 0), MATCH(AC$4&amp;AC$5, LS_previous!$D$2:$AY$2&amp;LS_previous!$D$3:$AY$3, 0)),SUM(VLOOKUP($A108, LS_previous!$B$4:$AY$138, LS_previous!U$149, FALSE), VLOOKUP('Staging Table'!$A108, LS_previous!$B$4:$AY$138,LS_previous!AS$149, FALSE))/2)</f>
        <v>-355.00101415760037</v>
      </c>
      <c r="AD108" s="192">
        <f t="array" ref="AD108">IF($G108=0, INDEX(LS_previous!$D$4:$AY$138, MATCH('Staging Table'!$A108, LS_previous!$B$4:$B$138, 0), MATCH(AD$4&amp;AD$5, LS_previous!$D$2:$AY$2&amp;LS_previous!$D$3:$AY$3, 0)),SUM(VLOOKUP($A108, LS_previous!$B$4:$AY$138, LS_previous!V$149, FALSE), VLOOKUP('Staging Table'!$A108, LS_previous!$B$4:$AY$138,LS_previous!AT$149, FALSE))/2)</f>
        <v>-926.17949776040041</v>
      </c>
      <c r="AE108" s="192">
        <f t="array" ref="AE108">IF($G108=0, INDEX(LS_previous!$D$4:$AY$138, MATCH('Staging Table'!$A108, LS_previous!$B$4:$B$138, 0), MATCH(AE$4&amp;AE$5, LS_previous!$D$2:$AY$2&amp;LS_previous!$D$3:$AY$3, 0)),SUM(VLOOKUP($A108, LS_previous!$B$4:$AY$138, LS_previous!W$149, FALSE), VLOOKUP('Staging Table'!$A108, LS_previous!$B$4:$AY$138,LS_previous!AU$149, FALSE))/2)</f>
        <v>1259.8305837167995</v>
      </c>
      <c r="AF108" s="192">
        <f t="array" ref="AF108">IF($G108=0, INDEX(LS_previous!$D$4:$AY$138, MATCH('Staging Table'!$A108, LS_previous!$B$4:$B$138, 0), MATCH(AF$4&amp;AF$5, LS_previous!$D$2:$AY$2&amp;LS_previous!$D$3:$AY$3, 0)),SUM(VLOOKUP($A108, LS_previous!$B$4:$AY$138, LS_previous!X$149, FALSE), VLOOKUP('Staging Table'!$A108, LS_previous!$B$4:$AY$138,LS_previous!AV$149, FALSE))/2)</f>
        <v>-964.26893321040006</v>
      </c>
      <c r="AG108" s="192">
        <f t="array" ref="AG108">IF($G108=0, INDEX(LS_previous!$D$4:$AY$138, MATCH('Staging Table'!$A108, LS_previous!$B$4:$B$138, 0), MATCH(AG$4&amp;AG$5, LS_previous!$D$2:$AY$2&amp;LS_previous!$D$3:$AY$3, 0)),SUM(VLOOKUP($A108, LS_previous!$B$4:$AY$138, LS_previous!Y$149, FALSE), VLOOKUP('Staging Table'!$A108, LS_previous!$B$4:$AY$138,LS_previous!AW$149, FALSE))/2)</f>
        <v>815.75721571679969</v>
      </c>
      <c r="AH108" s="192">
        <f t="array" ref="AH108">IF($G108=0, INDEX(LS_previous!$D$4:$AY$138, MATCH('Staging Table'!$A108, LS_previous!$B$4:$B$138, 0), MATCH(AH$4&amp;AH$5, LS_previous!$D$2:$AY$2&amp;LS_previous!$D$3:$AY$3, 0)),SUM(VLOOKUP($A108, LS_previous!$B$4:$AY$138, LS_previous!Z$149, FALSE), VLOOKUP('Staging Table'!$A108, LS_previous!$B$4:$AY$138,LS_previous!AX$149, FALSE))/2)</f>
        <v>-1054.36918496</v>
      </c>
      <c r="AI108" s="192">
        <f t="array" ref="AI108">IF($G108=0, INDEX(LS_previous!$D$4:$AY$138, MATCH('Staging Table'!$A108, LS_previous!$B$4:$B$138, 0), MATCH(AI$4&amp;AI$5, LS_previous!$D$2:$AY$2&amp;LS_previous!$D$3:$AY$3, 0)),SUM(VLOOKUP($A108, LS_previous!$B$4:$AY$138, LS_previous!AA$149, FALSE), VLOOKUP('Staging Table'!$A108, LS_previous!$B$4:$AY$138,LS_previous!AY$149, FALSE))/2)</f>
        <v>282.40562289199988</v>
      </c>
      <c r="AJ108" s="314">
        <f t="array" ref="AJ108">INDEX(Demand_previous!$D$4:$AY$138, MATCH('Staging Table'!$A108, Demand_previous!$B$4:$B$138, 0), MATCH(AJ$4&amp;AJ$5,Demand_previous!$D$2:$AY$2&amp;Demand_previous!$D$3:$AY$3, 0))/1000</f>
        <v>0</v>
      </c>
      <c r="AK108" s="314">
        <f t="array" ref="AK108">INDEX(Demand_previous!$D$4:$AY$138, MATCH('Staging Table'!$A108, Demand_previous!$B$4:$B$138, 0), MATCH(AK$4&amp;AK$5,Demand_previous!$D$2:$AY$2&amp;Demand_previous!$D$3:$AY$3, 0))/1000</f>
        <v>0</v>
      </c>
      <c r="AL108" s="314">
        <f t="array" ref="AL108">INDEX(Demand_previous!$D$4:$AY$138, MATCH('Staging Table'!$A108, Demand_previous!$B$4:$B$138, 0), MATCH(AL$4&amp;AL$5,Demand_previous!$D$2:$AY$2&amp;Demand_previous!$D$3:$AY$3, 0))/1000</f>
        <v>0</v>
      </c>
      <c r="AM108" s="314">
        <f t="array" ref="AM108">INDEX(Demand_previous!$D$4:$AY$138, MATCH('Staging Table'!$A108, Demand_previous!$B$4:$B$138, 0), MATCH(AM$4&amp;AM$5,Demand_previous!$D$2:$AY$2&amp;Demand_previous!$D$3:$AY$3, 0))/1000</f>
        <v>0</v>
      </c>
      <c r="AN108" s="314">
        <f t="array" ref="AN108">INDEX(Demand_previous!$D$4:$AY$138, MATCH('Staging Table'!$A108, Demand_previous!$B$4:$B$138, 0), MATCH(AN$4&amp;AN$5,Demand_previous!$D$2:$AY$2&amp;Demand_previous!$D$3:$AY$3, 0))/1000</f>
        <v>0</v>
      </c>
      <c r="AO108" s="314">
        <f t="array" ref="AO108">INDEX(Demand_previous!$D$4:$AY$138, MATCH('Staging Table'!$A108, Demand_previous!$B$4:$B$138, 0), MATCH(AO$4&amp;AO$5,Demand_previous!$D$2:$AY$2&amp;Demand_previous!$D$3:$AY$3, 0))/1000</f>
        <v>0</v>
      </c>
      <c r="AP108" s="314">
        <f t="array" ref="AP108">INDEX(Demand_previous!$D$4:$AY$138, MATCH('Staging Table'!$A108, Demand_previous!$B$4:$B$138, 0), MATCH(AP$4&amp;AP$5,Demand_previous!$D$2:$AY$2&amp;Demand_previous!$D$3:$AY$3, 0))/1000</f>
        <v>0</v>
      </c>
      <c r="AQ108" s="314">
        <f t="array" ref="AQ108">INDEX(Demand_previous!$D$4:$AY$138, MATCH('Staging Table'!$A108, Demand_previous!$B$4:$B$138, 0), MATCH(AQ$4&amp;AQ$5,Demand_previous!$D$2:$AY$2&amp;Demand_previous!$D$3:$AY$3, 0))/1000</f>
        <v>0</v>
      </c>
      <c r="AR108" s="314">
        <f t="array" ref="AR108">INDEX(Demand_previous!$D$4:$AY$138, MATCH('Staging Table'!$A108, Demand_previous!$B$4:$B$138, 0), MATCH(AR$4&amp;AR$5,Demand_previous!$D$2:$AY$2&amp;Demand_previous!$D$3:$AY$3, 0))/1000</f>
        <v>0</v>
      </c>
      <c r="AS108" s="314">
        <f t="array" ref="AS108">INDEX(Demand_previous!$D$4:$AY$138, MATCH('Staging Table'!$A108, Demand_previous!$B$4:$B$138, 0), MATCH(AS$4&amp;AS$5,Demand_previous!$D$2:$AY$2&amp;Demand_previous!$D$3:$AY$3, 0))/1000</f>
        <v>0</v>
      </c>
      <c r="AT108" s="314">
        <f t="array" ref="AT108">INDEX(Demand_previous!$D$4:$AY$138, MATCH('Staging Table'!$A108, Demand_previous!$B$4:$B$138, 0), MATCH(AT$4&amp;AT$5,Demand_previous!$D$2:$AY$2&amp;Demand_previous!$D$3:$AY$3, 0))/1000</f>
        <v>0</v>
      </c>
      <c r="AU108" s="314">
        <f t="array" ref="AU108">INDEX(Demand_previous!$D$4:$AY$138, MATCH('Staging Table'!$A108, Demand_previous!$B$4:$B$138, 0), MATCH(AU$4&amp;AU$5,Demand_previous!$D$2:$AY$2&amp;Demand_previous!$D$3:$AY$3, 0))/1000</f>
        <v>0</v>
      </c>
      <c r="AV108" s="192">
        <f>$F108*(VLOOKUP(AV$4, Rates_previous!$G$6:$Q$29, 10, FALSE)+VLOOKUP(AV$4, Rates_previous!$G$6:$Q$29, 11, FALSE))</f>
        <v>7937.6299916436001</v>
      </c>
      <c r="AW108" s="192">
        <f>$F108*(VLOOKUP(AW$4, Rates_previous!$G$6:$Q$29, 10, FALSE)+VLOOKUP(AW$4, Rates_previous!$G$6:$Q$29, 11, FALSE))</f>
        <v>10083.266281164901</v>
      </c>
      <c r="AX108" s="192">
        <f>$F108*(VLOOKUP(AX$4, Rates_previous!$G$6:$Q$29, 10, FALSE)+VLOOKUP(AX$4, Rates_previous!$G$6:$Q$29, 11, FALSE))</f>
        <v>9961.497196943601</v>
      </c>
      <c r="AY108" s="192">
        <f>$F108*(VLOOKUP(AY$4, Rates_previous!$G$6:$Q$29, 10, FALSE)+VLOOKUP(AY$4, Rates_previous!$G$6:$Q$29, 11, FALSE))</f>
        <v>8303.5146401436014</v>
      </c>
      <c r="AZ108" s="192">
        <f>$F108*(VLOOKUP(AZ$4, Rates_previous!$G$6:$Q$29, 10, FALSE)+VLOOKUP(AZ$4, Rates_previous!$G$6:$Q$29, 11, FALSE))</f>
        <v>7522.1228408799998</v>
      </c>
      <c r="BA108" s="192">
        <f>$F108*(VLOOKUP(BA$4, Rates_previous!$G$6:$Q$29, 10, FALSE)+VLOOKUP(BA$4, Rates_previous!$G$6:$Q$29, 11, FALSE))</f>
        <v>8366.990243296701</v>
      </c>
      <c r="BB108" s="192">
        <f>$F108*(VLOOKUP(BB$4, Rates_previous!$G$6:$Q$29, 10, FALSE)+VLOOKUP(BB$4, Rates_previous!$G$6:$Q$29, 11, FALSE))</f>
        <v>6812.4124849680002</v>
      </c>
      <c r="BC108" s="192">
        <f>$F108*(VLOOKUP(BC$4, Rates_previous!$G$6:$Q$29, 10, FALSE)+VLOOKUP(BC$4, Rates_previous!$G$6:$Q$29, 11, FALSE))</f>
        <v>9187.5540791936019</v>
      </c>
      <c r="BD108" s="192">
        <f>$F108*(VLOOKUP(BD$4, Rates_previous!$G$6:$Q$29, 10, FALSE)+VLOOKUP(BD$4, Rates_previous!$G$6:$Q$29, 11, FALSE))</f>
        <v>11722.694146418002</v>
      </c>
      <c r="BE108" s="192">
        <f>$F108*(VLOOKUP(BE$4, Rates_previous!$G$6:$Q$29, 10, FALSE)+VLOOKUP(BE$4, Rates_previous!$G$6:$Q$29, 11, FALSE))</f>
        <v>9190.9639140436011</v>
      </c>
      <c r="BF108" s="192">
        <f>$F108*(VLOOKUP(BF$4, Rates_previous!$G$6:$Q$29, 10, FALSE)+VLOOKUP(BF$4, Rates_previous!$G$6:$Q$29, 11, FALSE))</f>
        <v>8950.1687174936014</v>
      </c>
      <c r="BG108" s="192">
        <f>$F108*(VLOOKUP(BG$4, Rates_previous!$G$6:$Q$29, 10, FALSE)+VLOOKUP(BG$4, Rates_previous!$G$6:$Q$29, 11, FALSE))</f>
        <v>8035.347562068001</v>
      </c>
      <c r="BH108" s="314">
        <f>IF($D108=0,IF(C108=0, MAX(BJ108 - (VLOOKUP($A108,TOCA_previous!$A$2:$AI$137,MATCH("RHWM 2020",TOCA_previous!$A$2:$AI$2,0),FALSE)*$F$2*TOCA_previous!C105),0),0), 0)</f>
        <v>0</v>
      </c>
      <c r="BI108" s="204">
        <f>MIN(VLOOKUP($A108,TOCA_previous!$A$2:$AI$137,MATCH("TRL - NLSL - Existing Resource "&amp;$F$1,TOCA_previous!$A$2:$AI$2,0),FALSE)*$F$2,(VLOOKUP($A108,TOCA_previous!$A$2:$AI$137,MATCH("RHWM 2020",TOCA_previous!$A$2:$AI$2,0),FALSE)*$F$2))</f>
        <v>106075.584</v>
      </c>
      <c r="BJ108" s="418">
        <f>SUM(L108:AI108)+(F108*RT1SC!$C$3*$F$2)</f>
        <v>104705.03998143559</v>
      </c>
      <c r="BK108" s="417">
        <f>VLOOKUP($A108,TOCA_previous!$A$2:$AI$137,MATCH("Above RHWM Not Served with LS "&amp;$F$1,TOCA_previous!$A$2:$AI$2,0),FALSE)*$F$2</f>
        <v>0</v>
      </c>
      <c r="BL108" s="418">
        <f t="shared" si="27"/>
        <v>-1370.5440185644111</v>
      </c>
      <c r="BM108" s="417">
        <f>(VLOOKUP($A108,TOCA_previous!$A$2:$AI$137,MATCH("RHWM 2020",TOCA_previous!$A$2:$AI$2,0),FALSE)*$F$2) - $BI108</f>
        <v>168187.24799999999</v>
      </c>
      <c r="BN108" s="418">
        <f t="shared" si="28"/>
        <v>0</v>
      </c>
      <c r="BO108" s="417">
        <f t="shared" si="29"/>
        <v>1370.5440185644111</v>
      </c>
      <c r="BP108" s="418">
        <f t="shared" si="30"/>
        <v>0</v>
      </c>
      <c r="BQ108" s="417">
        <f t="shared" si="37"/>
        <v>1370.5440185644111</v>
      </c>
      <c r="BR108" s="120">
        <f>VLOOKUP($A108,TOCA_current!$A$2:$AI$137,MATCH(BR$4,TOCA_current!$A$2:$AI$2,0),FALSE)</f>
        <v>1.7838000000000001E-3</v>
      </c>
      <c r="BS108" s="120">
        <f>VLOOKUP($A108,TOCA_current!$A$2:$AI$137,MATCH(BS$4,TOCA_current!$A$2:$AI$2,0),FALSE)</f>
        <v>1.7838000000000001E-3</v>
      </c>
      <c r="BT108" s="201">
        <f t="shared" si="31"/>
        <v>0</v>
      </c>
      <c r="BU108" s="120">
        <f>VLOOKUP($A108,TOCA_current!A104:BG239,MATCH(BU$4,TOCA_current!$A$2:$BG$2,0),FALSE)</f>
        <v>7.0000000000000007E-2</v>
      </c>
      <c r="BV108" s="120">
        <f t="shared" si="38"/>
        <v>0</v>
      </c>
      <c r="BW108" s="120">
        <f t="shared" si="39"/>
        <v>0</v>
      </c>
      <c r="BX108" s="191">
        <f>VLOOKUP($A108,IRD!$A$4:$G$139, 7, FALSE)</f>
        <v>10505.661</v>
      </c>
      <c r="BY108" s="192">
        <f t="array" ref="BY108">IF($BT108=0, INDEX(LS_current!$D$4:$AY$138, MATCH('Staging Table'!$A108, LS_current!$B$4:$B$138, 0), MATCH(BY$4&amp;BY$5, LS_current!$D$2:$AY$2&amp;LS_current!$D$3:$AY$3, 0)),SUM(VLOOKUP($A108, LS_current!$B$4:$AY$138, LS_current!D$148, FALSE), VLOOKUP($A108, LS_current!$B$4:$AY$138,LS_current!AB$148, FALSE))/2)</f>
        <v>-1160.1016738784247</v>
      </c>
      <c r="BZ108" s="192">
        <f t="array" ref="BZ108">IF($BT108=0, INDEX(LS_current!$D$4:$AY$138, MATCH('Staging Table'!$A108, LS_current!$B$4:$B$138, 0), MATCH(BZ$4&amp;BZ$5, LS_current!$D$2:$AY$2&amp;LS_current!$D$3:$AY$3, 0)),SUM(VLOOKUP($A108, LS_current!$B$4:$AY$138, LS_current!E$148, FALSE), VLOOKUP($A108, LS_current!$B$4:$AY$138,LS_current!AC$148, FALSE))/2)</f>
        <v>-53.254707878615136</v>
      </c>
      <c r="CA108" s="192">
        <f t="array" ref="CA108">IF($BT108=0, INDEX(LS_current!$D$4:$AY$138, MATCH('Staging Table'!$A108, LS_current!$B$4:$B$138, 0), MATCH(CA$4&amp;CA$5, LS_current!$D$2:$AY$2&amp;LS_current!$D$3:$AY$3, 0)),SUM(VLOOKUP($A108, LS_current!$B$4:$AY$138, LS_current!F$148, FALSE), VLOOKUP($A108, LS_current!$B$4:$AY$138,LS_current!AD$148, FALSE))/2)</f>
        <v>-1749.5955952369022</v>
      </c>
      <c r="CB108" s="192">
        <f t="array" ref="CB108">IF($BT108=0, INDEX(LS_current!$D$4:$AY$138, MATCH('Staging Table'!$A108, LS_current!$B$4:$B$138, 0), MATCH(CB$4&amp;CB$5, LS_current!$D$2:$AY$2&amp;LS_current!$D$3:$AY$3, 0)),SUM(VLOOKUP($A108, LS_current!$B$4:$AY$138, LS_current!G$148, FALSE), VLOOKUP($A108, LS_current!$B$4:$AY$138,LS_current!AE$148, FALSE))/2)</f>
        <v>-457.30884256317995</v>
      </c>
      <c r="CC108" s="192">
        <f t="array" ref="CC108">IF($BT108=0, INDEX(LS_current!$D$4:$AY$138, MATCH('Staging Table'!$A108, LS_current!$B$4:$B$138, 0), MATCH(CC$4&amp;CC$5, LS_current!$D$2:$AY$2&amp;LS_current!$D$3:$AY$3, 0)),SUM(VLOOKUP($A108, LS_current!$B$4:$AY$138, LS_current!H$148, FALSE), VLOOKUP($A108, LS_current!$B$4:$AY$138,LS_current!AF$148, FALSE))/2)</f>
        <v>130.43381409669109</v>
      </c>
      <c r="CD108" s="192">
        <f t="array" ref="CD108">IF($BT108=0, INDEX(LS_current!$D$4:$AY$138, MATCH('Staging Table'!$A108, LS_current!$B$4:$B$138, 0), MATCH(CD$4&amp;CD$5, LS_current!$D$2:$AY$2&amp;LS_current!$D$3:$AY$3, 0)),SUM(VLOOKUP($A108, LS_current!$B$4:$AY$138, LS_current!I$148, FALSE), VLOOKUP($A108, LS_current!$B$4:$AY$138,LS_current!AG$148, FALSE))/2)</f>
        <v>267.20338389323661</v>
      </c>
      <c r="CE108" s="192">
        <f t="array" ref="CE108">IF($BT108=0, INDEX(LS_current!$D$4:$AY$138, MATCH('Staging Table'!$A108, LS_current!$B$4:$B$138, 0), MATCH(CE$4&amp;CE$5, LS_current!$D$2:$AY$2&amp;LS_current!$D$3:$AY$3, 0)),SUM(VLOOKUP($A108, LS_current!$B$4:$AY$138, LS_current!J$148, FALSE), VLOOKUP($A108, LS_current!$B$4:$AY$138,LS_current!AH$148, FALSE))/2)</f>
        <v>1079.5430861837804</v>
      </c>
      <c r="CF108" s="192">
        <f t="array" ref="CF108">IF($BT108=0, INDEX(LS_current!$D$4:$AY$138, MATCH('Staging Table'!$A108, LS_current!$B$4:$B$138, 0), MATCH(CF$4&amp;CF$5, LS_current!$D$2:$AY$2&amp;LS_current!$D$3:$AY$3, 0)),SUM(VLOOKUP($A108, LS_current!$B$4:$AY$138, LS_current!K$148, FALSE), VLOOKUP($A108, LS_current!$B$4:$AY$138,LS_current!AI$148, FALSE))/2)</f>
        <v>1086.4727434598326</v>
      </c>
      <c r="CG108" s="192">
        <f t="array" ref="CG108">IF($BT108=0, INDEX(LS_current!$D$4:$AY$138, MATCH('Staging Table'!$A108, LS_current!$B$4:$B$138, 0), MATCH(CG$4&amp;CG$5, LS_current!$D$2:$AY$2&amp;LS_current!$D$3:$AY$3, 0)),SUM(VLOOKUP($A108, LS_current!$B$4:$AY$138, LS_current!L$148, FALSE), VLOOKUP($A108, LS_current!$B$4:$AY$138,LS_current!AJ$148, FALSE))/2)</f>
        <v>840.46416097754081</v>
      </c>
      <c r="CH108" s="192">
        <f t="array" ref="CH108">IF($BT108=0, INDEX(LS_current!$D$4:$AY$138, MATCH('Staging Table'!$A108, LS_current!$B$4:$B$138, 0), MATCH(CH$4&amp;CH$5, LS_current!$D$2:$AY$2&amp;LS_current!$D$3:$AY$3, 0)),SUM(VLOOKUP($A108, LS_current!$B$4:$AY$138, LS_current!M$148, FALSE), VLOOKUP($A108, LS_current!$B$4:$AY$138,LS_current!AK$148, FALSE))/2)</f>
        <v>791.61731837070192</v>
      </c>
      <c r="CI108" s="192">
        <f t="array" ref="CI108">IF($BT108=0, INDEX(LS_current!$D$4:$AY$138, MATCH('Staging Table'!$A108, LS_current!$B$4:$B$138, 0), MATCH(CI$4&amp;CI$5, LS_current!$D$2:$AY$2&amp;LS_current!$D$3:$AY$3, 0)),SUM(VLOOKUP($A108, LS_current!$B$4:$AY$138, LS_current!N$148, FALSE), VLOOKUP($A108, LS_current!$B$4:$AY$138,LS_current!AL$148, FALSE))/2)</f>
        <v>-363.3528564894541</v>
      </c>
      <c r="CJ108" s="192">
        <f t="array" ref="CJ108">IF($BT108=0, INDEX(LS_current!$D$4:$AY$138, MATCH('Staging Table'!$A108, LS_current!$B$4:$B$138, 0), MATCH(CJ$4&amp;CJ$5, LS_current!$D$2:$AY$2&amp;LS_current!$D$3:$AY$3, 0)),SUM(VLOOKUP($A108, LS_current!$B$4:$AY$138, LS_current!O$148, FALSE), VLOOKUP($A108, LS_current!$B$4:$AY$138,LS_current!AM$148, FALSE))/2)</f>
        <v>347.49299064426486</v>
      </c>
      <c r="CK108" s="192">
        <f t="array" ref="CK108">IF($BT108=0, INDEX(LS_current!$D$4:$AY$138, MATCH('Staging Table'!$A108, LS_current!$B$4:$B$138, 0), MATCH(CK$4&amp;CK$5, LS_current!$D$2:$AY$2&amp;LS_current!$D$3:$AY$3, 0)),SUM(VLOOKUP($A108, LS_current!$B$4:$AY$138, LS_current!P$148, FALSE), VLOOKUP($A108, LS_current!$B$4:$AY$138,LS_current!AN$148, FALSE))/2)</f>
        <v>214.53494232598678</v>
      </c>
      <c r="CL108" s="192">
        <f t="array" ref="CL108">IF($BT108=0, INDEX(LS_current!$D$4:$AY$138, MATCH('Staging Table'!$A108, LS_current!$B$4:$B$138, 0), MATCH(CL$4&amp;CL$5, LS_current!$D$2:$AY$2&amp;LS_current!$D$3:$AY$3, 0)),SUM(VLOOKUP($A108, LS_current!$B$4:$AY$138, LS_current!Q$148, FALSE), VLOOKUP($A108, LS_current!$B$4:$AY$138,LS_current!AO$148, FALSE))/2)</f>
        <v>634.31737398679616</v>
      </c>
      <c r="CM108" s="192">
        <f t="array" ref="CM108">IF($BT108=0, INDEX(LS_current!$D$4:$AY$138, MATCH('Staging Table'!$A108, LS_current!$B$4:$B$138, 0), MATCH(CM$4&amp;CM$5, LS_current!$D$2:$AY$2&amp;LS_current!$D$3:$AY$3, 0)),SUM(VLOOKUP($A108, LS_current!$B$4:$AY$138, LS_current!R$148, FALSE), VLOOKUP($A108, LS_current!$B$4:$AY$138,LS_current!AP$148, FALSE))/2)</f>
        <v>-1065.9889167122019</v>
      </c>
      <c r="CN108" s="192">
        <f t="array" ref="CN108">IF($BT108=0, INDEX(LS_current!$D$4:$AY$138, MATCH('Staging Table'!$A108, LS_current!$B$4:$B$138, 0), MATCH(CN$4&amp;CN$5, LS_current!$D$2:$AY$2&amp;LS_current!$D$3:$AY$3, 0)),SUM(VLOOKUP($A108, LS_current!$B$4:$AY$138, LS_current!S$148, FALSE), VLOOKUP($A108, LS_current!$B$4:$AY$138,LS_current!AQ$148, FALSE))/2)</f>
        <v>1048.918834752461</v>
      </c>
      <c r="CO108" s="192">
        <f t="array" ref="CO108">IF($BT108=0, INDEX(LS_current!$D$4:$AY$138, MATCH('Staging Table'!$A108, LS_current!$B$4:$B$138, 0), MATCH(CO$4&amp;CO$5, LS_current!$D$2:$AY$2&amp;LS_current!$D$3:$AY$3, 0)),SUM(VLOOKUP($A108, LS_current!$B$4:$AY$138, LS_current!T$148, FALSE), VLOOKUP($A108, LS_current!$B$4:$AY$138,LS_current!AR$148, FALSE))/2)</f>
        <v>-1817.0217300684808</v>
      </c>
      <c r="CP108" s="192">
        <f t="array" ref="CP108">IF($BT108=0, INDEX(LS_current!$D$4:$AY$138, MATCH('Staging Table'!$A108, LS_current!$B$4:$B$138, 0), MATCH(CP$4&amp;CP$5, LS_current!$D$2:$AY$2&amp;LS_current!$D$3:$AY$3, 0)),SUM(VLOOKUP($A108, LS_current!$B$4:$AY$138, LS_current!U$148, FALSE), VLOOKUP($A108, LS_current!$B$4:$AY$138,LS_current!AS$148, FALSE))/2)</f>
        <v>923.07805744979851</v>
      </c>
      <c r="CQ108" s="192">
        <f t="array" ref="CQ108">IF($BT108=0, INDEX(LS_current!$D$4:$AY$138, MATCH('Staging Table'!$A108, LS_current!$B$4:$B$138, 0), MATCH(CQ$4&amp;CQ$5, LS_current!$D$2:$AY$2&amp;LS_current!$D$3:$AY$3, 0)),SUM(VLOOKUP($A108, LS_current!$B$4:$AY$138, LS_current!V$148, FALSE), VLOOKUP($A108, LS_current!$B$4:$AY$138,LS_current!AT$148, FALSE))/2)</f>
        <v>-852.17726132516327</v>
      </c>
      <c r="CR108" s="192">
        <f t="array" ref="CR108">IF($BT108=0, INDEX(LS_current!$D$4:$AY$138, MATCH('Staging Table'!$A108, LS_current!$B$4:$B$138, 0), MATCH(CR$4&amp;CR$5, LS_current!$D$2:$AY$2&amp;LS_current!$D$3:$AY$3, 0)),SUM(VLOOKUP($A108, LS_current!$B$4:$AY$138, LS_current!W$148, FALSE), VLOOKUP($A108, LS_current!$B$4:$AY$138,LS_current!AU$148, FALSE))/2)</f>
        <v>988.77990427914256</v>
      </c>
      <c r="CS108" s="192">
        <f t="array" ref="CS108">IF($BT108=0, INDEX(LS_current!$D$4:$AY$138, MATCH('Staging Table'!$A108, LS_current!$B$4:$B$138, 0), MATCH(CS$4&amp;CS$5, LS_current!$D$2:$AY$2&amp;LS_current!$D$3:$AY$3, 0)),SUM(VLOOKUP($A108, LS_current!$B$4:$AY$138, LS_current!X$148, FALSE), VLOOKUP($A108, LS_current!$B$4:$AY$138,LS_current!AV$148, FALSE))/2)</f>
        <v>-940.90527836024921</v>
      </c>
      <c r="CT108" s="192">
        <f t="array" ref="CT108">IF($BT108=0, INDEX(LS_current!$D$4:$AY$138, MATCH('Staging Table'!$A108, LS_current!$B$4:$B$138, 0), MATCH(CT$4&amp;CT$5, LS_current!$D$2:$AY$2&amp;LS_current!$D$3:$AY$3, 0)),SUM(VLOOKUP($A108, LS_current!$B$4:$AY$138, LS_current!Y$148, FALSE), VLOOKUP($A108, LS_current!$B$4:$AY$138,LS_current!AW$148, FALSE))/2)</f>
        <v>669.77258274608721</v>
      </c>
      <c r="CU108" s="192">
        <f t="array" ref="CU108">IF($BT108=0, INDEX(LS_current!$D$4:$AY$138, MATCH('Staging Table'!$A108, LS_current!$B$4:$B$138, 0), MATCH(CU$4&amp;CU$5, LS_current!$D$2:$AY$2&amp;LS_current!$D$3:$AY$3, 0)),SUM(VLOOKUP($A108, LS_current!$B$4:$AY$138, LS_current!Z$148, FALSE), VLOOKUP($A108, LS_current!$B$4:$AY$138,LS_current!AX$148, FALSE))/2)</f>
        <v>-1259.2780919056559</v>
      </c>
      <c r="CV108" s="192">
        <f t="array" ref="CV108">IF($BT108=0, INDEX(LS_current!$D$4:$AY$138, MATCH('Staging Table'!$A108, LS_current!$B$4:$B$138, 0), MATCH(CV$4&amp;CV$5, LS_current!$D$2:$AY$2&amp;LS_current!$D$3:$AY$3, 0)),SUM(VLOOKUP($A108, LS_current!$B$4:$AY$138, LS_current!AA$148, FALSE), VLOOKUP($A108, LS_current!$B$4:$AY$138,LS_current!AY$148, FALSE))/2)</f>
        <v>138.45861231449408</v>
      </c>
      <c r="CW108" s="194">
        <f t="array" ref="CW108">INDEX(Demand_current!$D$4:$AY$138, MATCH($A108, Demand_current!$B$4:$B$138, 0), MATCH(CW$4&amp;CW$5,Demand_current!$D$2:$AY$2&amp;Demand_current!$D$3:$AY$3, 0))/1000</f>
        <v>0</v>
      </c>
      <c r="CX108" s="194">
        <f t="array" ref="CX108">INDEX(Demand_current!$D$4:$AY$138, MATCH($A108, Demand_current!$B$4:$B$138, 0), MATCH(CX$4&amp;CX$5,Demand_current!$D$2:$AY$2&amp;Demand_current!$D$3:$AY$3, 0))/1000</f>
        <v>0</v>
      </c>
      <c r="CY108" s="194">
        <f t="array" ref="CY108">INDEX(Demand_current!$D$4:$AY$138, MATCH($A108, Demand_current!$B$4:$B$138, 0), MATCH(CY$4&amp;CY$5,Demand_current!$D$2:$AY$2&amp;Demand_current!$D$3:$AY$3, 0))/1000</f>
        <v>0</v>
      </c>
      <c r="CZ108" s="194">
        <f t="array" ref="CZ108">INDEX(Demand_current!$D$4:$AY$138, MATCH($A108, Demand_current!$B$4:$B$138, 0), MATCH(CZ$4&amp;CZ$5,Demand_current!$D$2:$AY$2&amp;Demand_current!$D$3:$AY$3, 0))/1000</f>
        <v>0</v>
      </c>
      <c r="DA108" s="194">
        <f t="array" ref="DA108">INDEX(Demand_current!$D$4:$AY$138, MATCH($A108, Demand_current!$B$4:$B$138, 0), MATCH(DA$4&amp;DA$5,Demand_current!$D$2:$AY$2&amp;Demand_current!$D$3:$AY$3, 0))/1000</f>
        <v>0</v>
      </c>
      <c r="DB108" s="194">
        <f t="array" ref="DB108">INDEX(Demand_current!$D$4:$AY$138, MATCH($A108, Demand_current!$B$4:$B$138, 0), MATCH(DB$4&amp;DB$5,Demand_current!$D$2:$AY$2&amp;Demand_current!$D$3:$AY$3, 0))/1000</f>
        <v>0</v>
      </c>
      <c r="DC108" s="194">
        <f t="array" ref="DC108">INDEX(Demand_current!$D$4:$AY$138, MATCH($A108, Demand_current!$B$4:$B$138, 0), MATCH(DC$4&amp;DC$5,Demand_current!$D$2:$AY$2&amp;Demand_current!$D$3:$AY$3, 0))/1000</f>
        <v>0</v>
      </c>
      <c r="DD108" s="194">
        <f t="array" ref="DD108">INDEX(Demand_current!$D$4:$AY$138, MATCH($A108, Demand_current!$B$4:$B$138, 0), MATCH(DD$4&amp;DD$5,Demand_current!$D$2:$AY$2&amp;Demand_current!$D$3:$AY$3, 0))/1000</f>
        <v>0</v>
      </c>
      <c r="DE108" s="194">
        <f t="array" ref="DE108">INDEX(Demand_current!$D$4:$AY$138, MATCH($A108, Demand_current!$B$4:$B$138, 0), MATCH(DE$4&amp;DE$5,Demand_current!$D$2:$AY$2&amp;Demand_current!$D$3:$AY$3, 0))/1000</f>
        <v>0</v>
      </c>
      <c r="DF108" s="194">
        <f t="array" ref="DF108">INDEX(Demand_current!$D$4:$AY$138, MATCH($A108, Demand_current!$B$4:$B$138, 0), MATCH(DF$4&amp;DF$5,Demand_current!$D$2:$AY$2&amp;Demand_current!$D$3:$AY$3, 0))/1000</f>
        <v>0</v>
      </c>
      <c r="DG108" s="194">
        <f t="array" ref="DG108">INDEX(Demand_current!$D$4:$AY$138, MATCH($A108, Demand_current!$B$4:$B$138, 0), MATCH(DG$4&amp;DG$5,Demand_current!$D$2:$AY$2&amp;Demand_current!$D$3:$AY$3, 0))/1000</f>
        <v>0</v>
      </c>
      <c r="DH108" s="194">
        <f t="array" ref="DH108">INDEX(Demand_current!$D$4:$AY$138, MATCH($A108, Demand_current!$B$4:$B$138, 0), MATCH(DH$4&amp;DH$5,Demand_current!$D$2:$AY$2&amp;Demand_current!$D$3:$AY$3, 0))/1000</f>
        <v>0</v>
      </c>
      <c r="DI108" s="192">
        <f>$BS108*(VLOOKUP(DI$4, Rates_current!$G$6:$Q$29, 10, FALSE)+VLOOKUP(DI$4, Rates_current!$G$6:$Q$29, 11, FALSE))</f>
        <v>8123.2903817570395</v>
      </c>
      <c r="DJ108" s="192">
        <f>$BS108*(VLOOKUP(DJ$4, Rates_current!$G$6:$Q$29, 10, FALSE)+VLOOKUP(DJ$4, Rates_current!$G$6:$Q$29, 11, FALSE))</f>
        <v>10284.380437800082</v>
      </c>
      <c r="DK108" s="192">
        <f>$BS108*(VLOOKUP(DK$4, Rates_current!$G$6:$Q$29, 10, FALSE)+VLOOKUP(DK$4, Rates_current!$G$6:$Q$29, 11, FALSE))</f>
        <v>10066.353802010073</v>
      </c>
      <c r="DL108" s="192">
        <f>$BS108*(VLOOKUP(DL$4, Rates_current!$G$6:$Q$29, 10, FALSE)+VLOOKUP(DL$4, Rates_current!$G$6:$Q$29, 11, FALSE))</f>
        <v>8314.3801703563877</v>
      </c>
      <c r="DM108" s="192">
        <f>$BS108*(VLOOKUP(DM$4, Rates_current!$G$6:$Q$29, 10, FALSE)+VLOOKUP(DM$4, Rates_current!$G$6:$Q$29, 11, FALSE))</f>
        <v>7206.2555206517573</v>
      </c>
      <c r="DN108" s="192">
        <f>$BS108*(VLOOKUP(DN$4, Rates_current!$G$6:$Q$29, 10, FALSE)+VLOOKUP(DN$4, Rates_current!$G$6:$Q$29, 11, FALSE))</f>
        <v>8602.8138658451899</v>
      </c>
      <c r="DO108" s="192">
        <f>$BS108*(VLOOKUP(DO$4, Rates_current!$G$6:$Q$29, 10, FALSE)+VLOOKUP(DO$4, Rates_current!$G$6:$Q$29, 11, FALSE))</f>
        <v>6678.9396836872174</v>
      </c>
      <c r="DP108" s="192">
        <f>$BS108*(VLOOKUP(DP$4, Rates_current!$G$6:$Q$29, 10, FALSE)+VLOOKUP(DP$4, Rates_current!$G$6:$Q$29, 11, FALSE))</f>
        <v>9253.7200819597419</v>
      </c>
      <c r="DQ108" s="192">
        <f>$BS108*(VLOOKUP(DQ$4, Rates_current!$G$6:$Q$29, 10, FALSE)+VLOOKUP(DQ$4, Rates_current!$G$6:$Q$29, 11, FALSE))</f>
        <v>9887.7936726186817</v>
      </c>
      <c r="DR108" s="192">
        <f>$BS108*(VLOOKUP(DR$4, Rates_current!$G$6:$Q$29, 10, FALSE)+VLOOKUP(DR$4, Rates_current!$G$6:$Q$29, 11, FALSE))</f>
        <v>9388.0123570460219</v>
      </c>
      <c r="DS108" s="192">
        <f>$BS108*(VLOOKUP(DS$4, Rates_current!$G$6:$Q$29, 10, FALSE)+VLOOKUP(DS$4, Rates_current!$G$6:$Q$29, 11, FALSE))</f>
        <v>9072.7896956141612</v>
      </c>
      <c r="DT108" s="192">
        <f>$BS108*(VLOOKUP(DT$4, Rates_current!$G$6:$Q$29, 10, FALSE)+VLOOKUP(DT$4, Rates_current!$G$6:$Q$29, 11, FALSE))</f>
        <v>8384.2034795911622</v>
      </c>
      <c r="DU108" s="418">
        <f>IF(D108=0,IF(C108=0,MAX(0,DW108 - (VLOOKUP($A108,TOCA_current!$A$2:$AI$137,MATCH("RHWM 2022",TOCA_current!$A$2:$AI$2,0),FALSE)*$BS$2)), 0),0)</f>
        <v>0</v>
      </c>
      <c r="DV108" s="419">
        <f>MIN(VLOOKUP($A108,TOCA_current!$A$2:$AI$137,MATCH("TRL - NLSL - Existing Resource "&amp;$BS$1,TOCA_current!$A$2:$AI$2,0),FALSE)*$BS$2, VLOOKUP($A108,TOCA_current!$A$2:$AI$137,MATCH("RHWM 2022",TOCA_current!$A$2:$AI$2,0),FALSE)*$BS$2)</f>
        <v>105260.16</v>
      </c>
      <c r="DW108" s="419">
        <f>SUM(BY108:CV108)+(BS108*RT1SC!$C$4*$BS$2)</f>
        <v>104705.04138465451</v>
      </c>
      <c r="DX108" s="419">
        <f>VLOOKUP($A108,TOCA_current!$A$2:$AI$137,MATCH("Above RHWM Not Served with LS "&amp;$BS$1,TOCA_current!$A$2:$AI$2,0),FALSE)*$BS$2</f>
        <v>0</v>
      </c>
      <c r="DY108" s="419">
        <f t="shared" si="32"/>
        <v>-555.11861534549098</v>
      </c>
      <c r="DZ108" s="419">
        <f>(VLOOKUP($A108,TOCA_current!$A$2:$AI$137,MATCH("RHWM 2022",TOCA_current!$A$2:$AI$2,0),FALSE)*$BS$2) - $DV108</f>
        <v>157031.75999999998</v>
      </c>
      <c r="EA108" s="419">
        <f t="shared" si="33"/>
        <v>0</v>
      </c>
      <c r="EB108" s="419">
        <f t="shared" si="34"/>
        <v>555.11861534549098</v>
      </c>
      <c r="EC108" s="419">
        <f t="shared" si="35"/>
        <v>0</v>
      </c>
      <c r="ED108" s="419">
        <f t="shared" si="36"/>
        <v>555.11861534549098</v>
      </c>
    </row>
    <row r="109" spans="1:134">
      <c r="A109" s="135">
        <v>10349</v>
      </c>
      <c r="B109" s="136" t="s">
        <v>110</v>
      </c>
      <c r="C109" s="244">
        <f>VLOOKUP(A109, TOCA_current!$A$3:$D$137, 4, FALSE)</f>
        <v>0</v>
      </c>
      <c r="D109" s="203">
        <v>1</v>
      </c>
      <c r="E109" s="119">
        <f>VLOOKUP($A109,TOCA_previous!$A$2:$AI$137,MATCH(E$4,TOCA_previous!$A$2:$AI$2,0),FALSE)</f>
        <v>6.11359E-2</v>
      </c>
      <c r="F109" s="120">
        <f>VLOOKUP($A109,TOCA_previous!$A$2:$AI$137,MATCH(F$4,TOCA_previous!$A$2:$AI$2,0),FALSE)</f>
        <v>6.11359E-2</v>
      </c>
      <c r="G109" s="120">
        <f t="shared" si="24"/>
        <v>0</v>
      </c>
      <c r="H109" s="120">
        <f>VLOOKUP($A109,TOCA_previous!$A$2:$AI$137,MATCH(H$4,TOCA_previous!$A$2:$AI$2,0),FALSE)</f>
        <v>0</v>
      </c>
      <c r="I109" s="120">
        <f t="shared" si="25"/>
        <v>0</v>
      </c>
      <c r="J109" s="120">
        <f t="shared" si="26"/>
        <v>0</v>
      </c>
      <c r="K109" s="191">
        <f>VLOOKUP(A109, IRD!$A$5:$C$139, 3, FALSE)</f>
        <v>0</v>
      </c>
      <c r="L109" s="192">
        <f t="array" ref="L109">IF($G109=0, INDEX(LS_previous!$D$4:$AY$138, MATCH('Staging Table'!$A109, LS_previous!$B$4:$B$138, 0), MATCH(L$4&amp;L$5, LS_previous!$D$2:$AY$2&amp;LS_previous!$D$3:$AY$3, 0)),SUM(VLOOKUP($A109, LS_previous!$B$4:$AY$138, LS_previous!D$149, FALSE), VLOOKUP('Staging Table'!$A109, LS_previous!$B$4:$AY$138,LS_previous!AB$149, FALSE))/2)</f>
        <v>-2892.0582542291959</v>
      </c>
      <c r="M109" s="192">
        <f t="array" ref="M109">IF($G109=0, INDEX(LS_previous!$D$4:$AY$138, MATCH('Staging Table'!$A109, LS_previous!$B$4:$B$138, 0), MATCH(M$4&amp;M$5, LS_previous!$D$2:$AY$2&amp;LS_previous!$D$3:$AY$3, 0)),SUM(VLOOKUP($A109, LS_previous!$B$4:$AY$138, LS_previous!E$149, FALSE), VLOOKUP('Staging Table'!$A109, LS_previous!$B$4:$AY$138,LS_previous!AC$149, FALSE))/2)</f>
        <v>22391.319891292675</v>
      </c>
      <c r="N109" s="192">
        <f t="array" ref="N109">IF($G109=0, INDEX(LS_previous!$D$4:$AY$138, MATCH('Staging Table'!$A109, LS_previous!$B$4:$B$138, 0), MATCH(N$4&amp;N$5, LS_previous!$D$2:$AY$2&amp;LS_previous!$D$3:$AY$3, 0)),SUM(VLOOKUP($A109, LS_previous!$B$4:$AY$138, LS_previous!F$149, FALSE), VLOOKUP('Staging Table'!$A109, LS_previous!$B$4:$AY$138,LS_previous!AD$149, FALSE))/2)</f>
        <v>62629.23310494484</v>
      </c>
      <c r="O109" s="192">
        <f t="array" ref="O109">IF($G109=0, INDEX(LS_previous!$D$4:$AY$138, MATCH('Staging Table'!$A109, LS_previous!$B$4:$B$138, 0), MATCH(O$4&amp;O$5, LS_previous!$D$2:$AY$2&amp;LS_previous!$D$3:$AY$3, 0)),SUM(VLOOKUP($A109, LS_previous!$B$4:$AY$138, LS_previous!G$149, FALSE), VLOOKUP('Staging Table'!$A109, LS_previous!$B$4:$AY$138,LS_previous!AE$149, FALSE))/2)</f>
        <v>57862.904538875038</v>
      </c>
      <c r="P109" s="192">
        <f t="array" ref="P109">IF($G109=0, INDEX(LS_previous!$D$4:$AY$138, MATCH('Staging Table'!$A109, LS_previous!$B$4:$B$138, 0), MATCH(P$4&amp;P$5, LS_previous!$D$2:$AY$2&amp;LS_previous!$D$3:$AY$3, 0)),SUM(VLOOKUP($A109, LS_previous!$B$4:$AY$138, LS_previous!H$149, FALSE), VLOOKUP('Staging Table'!$A109, LS_previous!$B$4:$AY$138,LS_previous!AF$149, FALSE))/2)</f>
        <v>71980.265866275207</v>
      </c>
      <c r="Q109" s="192">
        <f t="array" ref="Q109">IF($G109=0, INDEX(LS_previous!$D$4:$AY$138, MATCH('Staging Table'!$A109, LS_previous!$B$4:$B$138, 0), MATCH(Q$4&amp;Q$5, LS_previous!$D$2:$AY$2&amp;LS_previous!$D$3:$AY$3, 0)),SUM(VLOOKUP($A109, LS_previous!$B$4:$AY$138, LS_previous!I$149, FALSE), VLOOKUP('Staging Table'!$A109, LS_previous!$B$4:$AY$138,LS_previous!AG$149, FALSE))/2)</f>
        <v>60386.891211088368</v>
      </c>
      <c r="R109" s="192">
        <f t="array" ref="R109">IF($G109=0, INDEX(LS_previous!$D$4:$AY$138, MATCH('Staging Table'!$A109, LS_previous!$B$4:$B$138, 0), MATCH(R$4&amp;R$5, LS_previous!$D$2:$AY$2&amp;LS_previous!$D$3:$AY$3, 0)),SUM(VLOOKUP($A109, LS_previous!$B$4:$AY$138, LS_previous!J$149, FALSE), VLOOKUP('Staging Table'!$A109, LS_previous!$B$4:$AY$138,LS_previous!AH$149, FALSE))/2)</f>
        <v>131289.3027946754</v>
      </c>
      <c r="S109" s="192">
        <f t="array" ref="S109">IF($G109=0, INDEX(LS_previous!$D$4:$AY$138, MATCH('Staging Table'!$A109, LS_previous!$B$4:$B$138, 0), MATCH(S$4&amp;S$5, LS_previous!$D$2:$AY$2&amp;LS_previous!$D$3:$AY$3, 0)),SUM(VLOOKUP($A109, LS_previous!$B$4:$AY$138, LS_previous!K$149, FALSE), VLOOKUP('Staging Table'!$A109, LS_previous!$B$4:$AY$138,LS_previous!AI$149, FALSE))/2)</f>
        <v>101535.42756588837</v>
      </c>
      <c r="T109" s="192">
        <f t="array" ref="T109">IF($G109=0, INDEX(LS_previous!$D$4:$AY$138, MATCH('Staging Table'!$A109, LS_previous!$B$4:$B$138, 0), MATCH(T$4&amp;T$5, LS_previous!$D$2:$AY$2&amp;LS_previous!$D$3:$AY$3, 0)),SUM(VLOOKUP($A109, LS_previous!$B$4:$AY$138, LS_previous!L$149, FALSE), VLOOKUP('Staging Table'!$A109, LS_previous!$B$4:$AY$138,LS_previous!AJ$149, FALSE))/2)</f>
        <v>100569.83060684838</v>
      </c>
      <c r="U109" s="192">
        <f t="array" ref="U109">IF($G109=0, INDEX(LS_previous!$D$4:$AY$138, MATCH('Staging Table'!$A109, LS_previous!$B$4:$B$138, 0), MATCH(U$4&amp;U$5, LS_previous!$D$2:$AY$2&amp;LS_previous!$D$3:$AY$3, 0)),SUM(VLOOKUP($A109, LS_previous!$B$4:$AY$138, LS_previous!M$149, FALSE), VLOOKUP('Staging Table'!$A109, LS_previous!$B$4:$AY$138,LS_previous!AK$149, FALSE))/2)</f>
        <v>80825.265470031751</v>
      </c>
      <c r="V109" s="192">
        <f t="array" ref="V109">IF($G109=0, INDEX(LS_previous!$D$4:$AY$138, MATCH('Staging Table'!$A109, LS_previous!$B$4:$B$138, 0), MATCH(V$4&amp;V$5, LS_previous!$D$2:$AY$2&amp;LS_previous!$D$3:$AY$3, 0)),SUM(VLOOKUP($A109, LS_previous!$B$4:$AY$138, LS_previous!N$149, FALSE), VLOOKUP('Staging Table'!$A109, LS_previous!$B$4:$AY$138,LS_previous!AL$149, FALSE))/2)</f>
        <v>95994.25520440549</v>
      </c>
      <c r="W109" s="192">
        <f t="array" ref="W109">IF($G109=0, INDEX(LS_previous!$D$4:$AY$138, MATCH('Staging Table'!$A109, LS_previous!$B$4:$B$138, 0), MATCH(W$4&amp;W$5, LS_previous!$D$2:$AY$2&amp;LS_previous!$D$3:$AY$3, 0)),SUM(VLOOKUP($A109, LS_previous!$B$4:$AY$138, LS_previous!O$149, FALSE), VLOOKUP('Staging Table'!$A109, LS_previous!$B$4:$AY$138,LS_previous!AM$149, FALSE))/2)</f>
        <v>81761.065818756048</v>
      </c>
      <c r="X109" s="192">
        <f t="array" ref="X109">IF($G109=0, INDEX(LS_previous!$D$4:$AY$138, MATCH('Staging Table'!$A109, LS_previous!$B$4:$B$138, 0), MATCH(X$4&amp;X$5, LS_previous!$D$2:$AY$2&amp;LS_previous!$D$3:$AY$3, 0)),SUM(VLOOKUP($A109, LS_previous!$B$4:$AY$138, LS_previous!P$149, FALSE), VLOOKUP('Staging Table'!$A109, LS_previous!$B$4:$AY$138,LS_previous!AN$149, FALSE))/2)</f>
        <v>-14381.777470709756</v>
      </c>
      <c r="Y109" s="192">
        <f t="array" ref="Y109">IF($G109=0, INDEX(LS_previous!$D$4:$AY$138, MATCH('Staging Table'!$A109, LS_previous!$B$4:$B$138, 0), MATCH(Y$4&amp;Y$5, LS_previous!$D$2:$AY$2&amp;LS_previous!$D$3:$AY$3, 0)),SUM(VLOOKUP($A109, LS_previous!$B$4:$AY$138, LS_previous!Q$149, FALSE), VLOOKUP('Staging Table'!$A109, LS_previous!$B$4:$AY$138,LS_previous!AO$149, FALSE))/2)</f>
        <v>2223.3653952774766</v>
      </c>
      <c r="Z109" s="192">
        <f t="array" ref="Z109">IF($G109=0, INDEX(LS_previous!$D$4:$AY$138, MATCH('Staging Table'!$A109, LS_previous!$B$4:$B$138, 0), MATCH(Z$4&amp;Z$5, LS_previous!$D$2:$AY$2&amp;LS_previous!$D$3:$AY$3, 0)),SUM(VLOOKUP($A109, LS_previous!$B$4:$AY$138, LS_previous!R$149, FALSE), VLOOKUP('Staging Table'!$A109, LS_previous!$B$4:$AY$138,LS_previous!AP$149, FALSE))/2)</f>
        <v>-166757.16053689001</v>
      </c>
      <c r="AA109" s="192">
        <f t="array" ref="AA109">IF($G109=0, INDEX(LS_previous!$D$4:$AY$138, MATCH('Staging Table'!$A109, LS_previous!$B$4:$B$138, 0), MATCH(AA$4&amp;AA$5, LS_previous!$D$2:$AY$2&amp;LS_previous!$D$3:$AY$3, 0)),SUM(VLOOKUP($A109, LS_previous!$B$4:$AY$138, LS_previous!S$149, FALSE), VLOOKUP('Staging Table'!$A109, LS_previous!$B$4:$AY$138,LS_previous!AQ$149, FALSE))/2)</f>
        <v>-84531.626565996412</v>
      </c>
      <c r="AB109" s="192">
        <f t="array" ref="AB109">IF($G109=0, INDEX(LS_previous!$D$4:$AY$138, MATCH('Staging Table'!$A109, LS_previous!$B$4:$B$138, 0), MATCH(AB$4&amp;AB$5, LS_previous!$D$2:$AY$2&amp;LS_previous!$D$3:$AY$3, 0)),SUM(VLOOKUP($A109, LS_previous!$B$4:$AY$138, LS_previous!T$149, FALSE), VLOOKUP('Staging Table'!$A109, LS_previous!$B$4:$AY$138,LS_previous!AR$149, FALSE))/2)</f>
        <v>-270563.5430443596</v>
      </c>
      <c r="AC109" s="192">
        <f t="array" ref="AC109">IF($G109=0, INDEX(LS_previous!$D$4:$AY$138, MATCH('Staging Table'!$A109, LS_previous!$B$4:$B$138, 0), MATCH(AC$4&amp;AC$5, LS_previous!$D$2:$AY$2&amp;LS_previous!$D$3:$AY$3, 0)),SUM(VLOOKUP($A109, LS_previous!$B$4:$AY$138, LS_previous!U$149, FALSE), VLOOKUP('Staging Table'!$A109, LS_previous!$B$4:$AY$138,LS_previous!AS$149, FALSE))/2)</f>
        <v>-146327.5377921224</v>
      </c>
      <c r="AD109" s="192">
        <f t="array" ref="AD109">IF($G109=0, INDEX(LS_previous!$D$4:$AY$138, MATCH('Staging Table'!$A109, LS_previous!$B$4:$B$138, 0), MATCH(AD$4&amp;AD$5, LS_previous!$D$2:$AY$2&amp;LS_previous!$D$3:$AY$3, 0)),SUM(VLOOKUP($A109, LS_previous!$B$4:$AY$138, LS_previous!V$149, FALSE), VLOOKUP('Staging Table'!$A109, LS_previous!$B$4:$AY$138,LS_previous!AT$149, FALSE))/2)</f>
        <v>-116357.34501385974</v>
      </c>
      <c r="AE109" s="192">
        <f t="array" ref="AE109">IF($G109=0, INDEX(LS_previous!$D$4:$AY$138, MATCH('Staging Table'!$A109, LS_previous!$B$4:$B$138, 0), MATCH(AE$4&amp;AE$5, LS_previous!$D$2:$AY$2&amp;LS_previous!$D$3:$AY$3, 0)),SUM(VLOOKUP($A109, LS_previous!$B$4:$AY$138, LS_previous!W$149, FALSE), VLOOKUP('Staging Table'!$A109, LS_previous!$B$4:$AY$138,LS_previous!AU$149, FALSE))/2)</f>
        <v>-29428.618746676686</v>
      </c>
      <c r="AF109" s="192">
        <f t="array" ref="AF109">IF($G109=0, INDEX(LS_previous!$D$4:$AY$138, MATCH('Staging Table'!$A109, LS_previous!$B$4:$B$138, 0), MATCH(AF$4&amp;AF$5, LS_previous!$D$2:$AY$2&amp;LS_previous!$D$3:$AY$3, 0)),SUM(VLOOKUP($A109, LS_previous!$B$4:$AY$138, LS_previous!X$149, FALSE), VLOOKUP('Staging Table'!$A109, LS_previous!$B$4:$AY$138,LS_previous!AV$149, FALSE))/2)</f>
        <v>-89106.109380909518</v>
      </c>
      <c r="AG109" s="192">
        <f t="array" ref="AG109">IF($G109=0, INDEX(LS_previous!$D$4:$AY$138, MATCH('Staging Table'!$A109, LS_previous!$B$4:$B$138, 0), MATCH(AG$4&amp;AG$5, LS_previous!$D$2:$AY$2&amp;LS_previous!$D$3:$AY$3, 0)),SUM(VLOOKUP($A109, LS_previous!$B$4:$AY$138, LS_previous!Y$149, FALSE), VLOOKUP('Staging Table'!$A109, LS_previous!$B$4:$AY$138,LS_previous!AW$149, FALSE))/2)</f>
        <v>-14165.919098676866</v>
      </c>
      <c r="AH109" s="192">
        <f t="array" ref="AH109">IF($G109=0, INDEX(LS_previous!$D$4:$AY$138, MATCH('Staging Table'!$A109, LS_previous!$B$4:$B$138, 0), MATCH(AH$4&amp;AH$5, LS_previous!$D$2:$AY$2&amp;LS_previous!$D$3:$AY$3, 0)),SUM(VLOOKUP($A109, LS_previous!$B$4:$AY$138, LS_previous!Z$149, FALSE), VLOOKUP('Staging Table'!$A109, LS_previous!$B$4:$AY$138,LS_previous!AX$149, FALSE))/2)</f>
        <v>27490.392336960009</v>
      </c>
      <c r="AI109" s="192">
        <f t="array" ref="AI109">IF($G109=0, INDEX(LS_previous!$D$4:$AY$138, MATCH('Staging Table'!$A109, LS_previous!$B$4:$B$138, 0), MATCH(AI$4&amp;AI$5, LS_previous!$D$2:$AY$2&amp;LS_previous!$D$3:$AY$3, 0)),SUM(VLOOKUP($A109, LS_previous!$B$4:$AY$138, LS_previous!AA$149, FALSE), VLOOKUP('Staging Table'!$A109, LS_previous!$B$4:$AY$138,LS_previous!AY$149, FALSE))/2)</f>
        <v>37573.519509708</v>
      </c>
      <c r="AJ109" s="314">
        <f t="array" ref="AJ109">INDEX(Demand_previous!$D$4:$AY$138, MATCH('Staging Table'!$A109, Demand_previous!$B$4:$B$138, 0), MATCH(AJ$4&amp;AJ$5,Demand_previous!$D$2:$AY$2&amp;Demand_previous!$D$3:$AY$3, 0))/1000</f>
        <v>0</v>
      </c>
      <c r="AK109" s="314">
        <f t="array" ref="AK109">INDEX(Demand_previous!$D$4:$AY$138, MATCH('Staging Table'!$A109, Demand_previous!$B$4:$B$138, 0), MATCH(AK$4&amp;AK$5,Demand_previous!$D$2:$AY$2&amp;Demand_previous!$D$3:$AY$3, 0))/1000</f>
        <v>0</v>
      </c>
      <c r="AL109" s="314">
        <f t="array" ref="AL109">INDEX(Demand_previous!$D$4:$AY$138, MATCH('Staging Table'!$A109, Demand_previous!$B$4:$B$138, 0), MATCH(AL$4&amp;AL$5,Demand_previous!$D$2:$AY$2&amp;Demand_previous!$D$3:$AY$3, 0))/1000</f>
        <v>0</v>
      </c>
      <c r="AM109" s="314">
        <f t="array" ref="AM109">INDEX(Demand_previous!$D$4:$AY$138, MATCH('Staging Table'!$A109, Demand_previous!$B$4:$B$138, 0), MATCH(AM$4&amp;AM$5,Demand_previous!$D$2:$AY$2&amp;Demand_previous!$D$3:$AY$3, 0))/1000</f>
        <v>0</v>
      </c>
      <c r="AN109" s="314">
        <f t="array" ref="AN109">INDEX(Demand_previous!$D$4:$AY$138, MATCH('Staging Table'!$A109, Demand_previous!$B$4:$B$138, 0), MATCH(AN$4&amp;AN$5,Demand_previous!$D$2:$AY$2&amp;Demand_previous!$D$3:$AY$3, 0))/1000</f>
        <v>0</v>
      </c>
      <c r="AO109" s="314">
        <f t="array" ref="AO109">INDEX(Demand_previous!$D$4:$AY$138, MATCH('Staging Table'!$A109, Demand_previous!$B$4:$B$138, 0), MATCH(AO$4&amp;AO$5,Demand_previous!$D$2:$AY$2&amp;Demand_previous!$D$3:$AY$3, 0))/1000</f>
        <v>0</v>
      </c>
      <c r="AP109" s="314">
        <f t="array" ref="AP109">INDEX(Demand_previous!$D$4:$AY$138, MATCH('Staging Table'!$A109, Demand_previous!$B$4:$B$138, 0), MATCH(AP$4&amp;AP$5,Demand_previous!$D$2:$AY$2&amp;Demand_previous!$D$3:$AY$3, 0))/1000</f>
        <v>0</v>
      </c>
      <c r="AQ109" s="314">
        <f t="array" ref="AQ109">INDEX(Demand_previous!$D$4:$AY$138, MATCH('Staging Table'!$A109, Demand_previous!$B$4:$B$138, 0), MATCH(AQ$4&amp;AQ$5,Demand_previous!$D$2:$AY$2&amp;Demand_previous!$D$3:$AY$3, 0))/1000</f>
        <v>0</v>
      </c>
      <c r="AR109" s="314">
        <f t="array" ref="AR109">INDEX(Demand_previous!$D$4:$AY$138, MATCH('Staging Table'!$A109, Demand_previous!$B$4:$B$138, 0), MATCH(AR$4&amp;AR$5,Demand_previous!$D$2:$AY$2&amp;Demand_previous!$D$3:$AY$3, 0))/1000</f>
        <v>0</v>
      </c>
      <c r="AS109" s="314">
        <f t="array" ref="AS109">INDEX(Demand_previous!$D$4:$AY$138, MATCH('Staging Table'!$A109, Demand_previous!$B$4:$B$138, 0), MATCH(AS$4&amp;AS$5,Demand_previous!$D$2:$AY$2&amp;Demand_previous!$D$3:$AY$3, 0))/1000</f>
        <v>0</v>
      </c>
      <c r="AT109" s="314">
        <f t="array" ref="AT109">INDEX(Demand_previous!$D$4:$AY$138, MATCH('Staging Table'!$A109, Demand_previous!$B$4:$B$138, 0), MATCH(AT$4&amp;AT$5,Demand_previous!$D$2:$AY$2&amp;Demand_previous!$D$3:$AY$3, 0))/1000</f>
        <v>0</v>
      </c>
      <c r="AU109" s="314">
        <f t="array" ref="AU109">INDEX(Demand_previous!$D$4:$AY$138, MATCH('Staging Table'!$A109, Demand_previous!$B$4:$B$138, 0), MATCH(AU$4&amp;AU$5,Demand_previous!$D$2:$AY$2&amp;Demand_previous!$D$3:$AY$3, 0))/1000</f>
        <v>0</v>
      </c>
      <c r="AV109" s="192">
        <f>$F109*(VLOOKUP(AV$4, Rates_previous!$G$6:$Q$29, 10, FALSE)+VLOOKUP(AV$4, Rates_previous!$G$6:$Q$29, 11, FALSE))</f>
        <v>282283.84236293635</v>
      </c>
      <c r="AW109" s="192">
        <f>$F109*(VLOOKUP(AW$4, Rates_previous!$G$6:$Q$29, 10, FALSE)+VLOOKUP(AW$4, Rates_previous!$G$6:$Q$29, 11, FALSE))</f>
        <v>358588.53995618009</v>
      </c>
      <c r="AX109" s="192">
        <f>$F109*(VLOOKUP(AX$4, Rates_previous!$G$6:$Q$29, 10, FALSE)+VLOOKUP(AX$4, Rates_previous!$G$6:$Q$29, 11, FALSE))</f>
        <v>354258.09812263644</v>
      </c>
      <c r="AY109" s="192">
        <f>$F109*(VLOOKUP(AY$4, Rates_previous!$G$6:$Q$29, 10, FALSE)+VLOOKUP(AY$4, Rates_previous!$G$6:$Q$29, 11, FALSE))</f>
        <v>295295.70163943642</v>
      </c>
      <c r="AZ109" s="192">
        <f>$F109*(VLOOKUP(AZ$4, Rates_previous!$G$6:$Q$29, 10, FALSE)+VLOOKUP(AZ$4, Rates_previous!$G$6:$Q$29, 11, FALSE))</f>
        <v>267507.27112311998</v>
      </c>
      <c r="BA109" s="192">
        <f>$F109*(VLOOKUP(BA$4, Rates_previous!$G$6:$Q$29, 10, FALSE)+VLOOKUP(BA$4, Rates_previous!$G$6:$Q$29, 11, FALSE))</f>
        <v>297553.06777683832</v>
      </c>
      <c r="BB109" s="192">
        <f>$F109*(VLOOKUP(BB$4, Rates_previous!$G$6:$Q$29, 10, FALSE)+VLOOKUP(BB$4, Rates_previous!$G$6:$Q$29, 11, FALSE))</f>
        <v>242268.02887543201</v>
      </c>
      <c r="BC109" s="192">
        <f>$F109*(VLOOKUP(BC$4, Rates_previous!$G$6:$Q$29, 10, FALSE)+VLOOKUP(BC$4, Rates_previous!$G$6:$Q$29, 11, FALSE))</f>
        <v>326734.56310288643</v>
      </c>
      <c r="BD109" s="192">
        <f>$F109*(VLOOKUP(BD$4, Rates_previous!$G$6:$Q$29, 10, FALSE)+VLOOKUP(BD$4, Rates_previous!$G$6:$Q$29, 11, FALSE))</f>
        <v>416891.08083648206</v>
      </c>
      <c r="BE109" s="192">
        <f>$F109*(VLOOKUP(BE$4, Rates_previous!$G$6:$Q$29, 10, FALSE)+VLOOKUP(BE$4, Rates_previous!$G$6:$Q$29, 11, FALSE))</f>
        <v>326855.82616053644</v>
      </c>
      <c r="BF109" s="192">
        <f>$F109*(VLOOKUP(BF$4, Rates_previous!$G$6:$Q$29, 10, FALSE)+VLOOKUP(BF$4, Rates_previous!$G$6:$Q$29, 11, FALSE))</f>
        <v>318292.49007958645</v>
      </c>
      <c r="BG109" s="192">
        <f>$F109*(VLOOKUP(BG$4, Rates_previous!$G$6:$Q$29, 10, FALSE)+VLOOKUP(BG$4, Rates_previous!$G$6:$Q$29, 11, FALSE))</f>
        <v>285758.94655333203</v>
      </c>
      <c r="BH109" s="314">
        <f>IF($D109=0,IF(C109=0, MAX(BJ109 - (VLOOKUP($A109,TOCA_previous!$A$2:$AI$137,MATCH("RHWM 2020",TOCA_previous!$A$2:$AI$2,0),FALSE)*$F$2*TOCA_previous!C106),0),0), 0)</f>
        <v>0</v>
      </c>
      <c r="BI109" s="204">
        <f>MIN(VLOOKUP($A109,TOCA_previous!$A$2:$AI$137,MATCH("TRL - NLSL - Existing Resource "&amp;$F$1,TOCA_previous!$A$2:$AI$2,0),FALSE)*$F$2,(VLOOKUP($A109,TOCA_previous!$A$2:$AI$137,MATCH("RHWM 2020",TOCA_previous!$A$2:$AI$2,0),FALSE)*$F$2))</f>
        <v>3772288.8</v>
      </c>
      <c r="BJ109" s="418">
        <f>SUM(L109:AI109)+(F109*RT1SC!$C$3*$F$2)</f>
        <v>3772288.9415907436</v>
      </c>
      <c r="BK109" s="417">
        <f>VLOOKUP($A109,TOCA_previous!$A$2:$AI$137,MATCH("Above RHWM Not Served with LS "&amp;$F$1,TOCA_previous!$A$2:$AI$2,0),FALSE)*$F$2</f>
        <v>0</v>
      </c>
      <c r="BL109" s="418">
        <f t="shared" si="27"/>
        <v>0.14159074379131198</v>
      </c>
      <c r="BM109" s="417">
        <f>(VLOOKUP($A109,TOCA_previous!$A$2:$AI$137,MATCH("RHWM 2020",TOCA_previous!$A$2:$AI$2,0),FALSE)*$F$2) - $BI109</f>
        <v>805387.39200000092</v>
      </c>
      <c r="BN109" s="418">
        <f t="shared" si="28"/>
        <v>-0.14159074379131198</v>
      </c>
      <c r="BO109" s="417">
        <f t="shared" si="29"/>
        <v>0</v>
      </c>
      <c r="BP109" s="418">
        <f t="shared" si="30"/>
        <v>0</v>
      </c>
      <c r="BQ109" s="417">
        <f t="shared" si="37"/>
        <v>0</v>
      </c>
      <c r="BR109" s="120">
        <f>VLOOKUP($A109,TOCA_current!$A$2:$AI$137,MATCH(BR$4,TOCA_current!$A$2:$AI$2,0),FALSE)</f>
        <v>6.3925800000000005E-2</v>
      </c>
      <c r="BS109" s="120">
        <f>VLOOKUP($A109,TOCA_current!$A$2:$AI$137,MATCH(BS$4,TOCA_current!$A$2:$AI$2,0),FALSE)</f>
        <v>6.3925800000000005E-2</v>
      </c>
      <c r="BT109" s="201">
        <f t="shared" si="31"/>
        <v>0</v>
      </c>
      <c r="BU109" s="120">
        <f>VLOOKUP($A109,TOCA_current!A105:BG240,MATCH(BU$4,TOCA_current!$A$2:$BG$2,0),FALSE)</f>
        <v>0</v>
      </c>
      <c r="BV109" s="120">
        <f t="shared" si="38"/>
        <v>0</v>
      </c>
      <c r="BW109" s="120">
        <f t="shared" si="39"/>
        <v>0</v>
      </c>
      <c r="BX109" s="191">
        <f>VLOOKUP($A109,IRD!$A$4:$G$139, 7, FALSE)</f>
        <v>0</v>
      </c>
      <c r="BY109" s="192">
        <f t="array" ref="BY109">IF($BT109=0, INDEX(LS_current!$D$4:$AY$138, MATCH('Staging Table'!$A109, LS_current!$B$4:$B$138, 0), MATCH(BY$4&amp;BY$5, LS_current!$D$2:$AY$2&amp;LS_current!$D$3:$AY$3, 0)),SUM(VLOOKUP($A109, LS_current!$B$4:$AY$138, LS_current!D$148, FALSE), VLOOKUP($A109, LS_current!$B$4:$AY$138,LS_current!AB$148, FALSE))/2)</f>
        <v>-5643.8133326432726</v>
      </c>
      <c r="BZ109" s="192">
        <f t="array" ref="BZ109">IF($BT109=0, INDEX(LS_current!$D$4:$AY$138, MATCH('Staging Table'!$A109, LS_current!$B$4:$B$138, 0), MATCH(BZ$4&amp;BZ$5, LS_current!$D$2:$AY$2&amp;LS_current!$D$3:$AY$3, 0)),SUM(VLOOKUP($A109, LS_current!$B$4:$AY$138, LS_current!E$148, FALSE), VLOOKUP($A109, LS_current!$B$4:$AY$138,LS_current!AC$148, FALSE))/2)</f>
        <v>16313.953195831942</v>
      </c>
      <c r="CA109" s="192">
        <f t="array" ref="CA109">IF($BT109=0, INDEX(LS_current!$D$4:$AY$138, MATCH('Staging Table'!$A109, LS_current!$B$4:$B$138, 0), MATCH(CA$4&amp;CA$5, LS_current!$D$2:$AY$2&amp;LS_current!$D$3:$AY$3, 0)),SUM(VLOOKUP($A109, LS_current!$B$4:$AY$138, LS_current!F$148, FALSE), VLOOKUP($A109, LS_current!$B$4:$AY$138,LS_current!AD$148, FALSE))/2)</f>
        <v>61282.714640103193</v>
      </c>
      <c r="CB109" s="192">
        <f t="array" ref="CB109">IF($BT109=0, INDEX(LS_current!$D$4:$AY$138, MATCH('Staging Table'!$A109, LS_current!$B$4:$B$138, 0), MATCH(CB$4&amp;CB$5, LS_current!$D$2:$AY$2&amp;LS_current!$D$3:$AY$3, 0)),SUM(VLOOKUP($A109, LS_current!$B$4:$AY$138, LS_current!G$148, FALSE), VLOOKUP($A109, LS_current!$B$4:$AY$138,LS_current!AE$148, FALSE))/2)</f>
        <v>49238.480813777162</v>
      </c>
      <c r="CC109" s="192">
        <f t="array" ref="CC109">IF($BT109=0, INDEX(LS_current!$D$4:$AY$138, MATCH('Staging Table'!$A109, LS_current!$B$4:$B$138, 0), MATCH(CC$4&amp;CC$5, LS_current!$D$2:$AY$2&amp;LS_current!$D$3:$AY$3, 0)),SUM(VLOOKUP($A109, LS_current!$B$4:$AY$138, LS_current!H$148, FALSE), VLOOKUP($A109, LS_current!$B$4:$AY$138,LS_current!AF$148, FALSE))/2)</f>
        <v>85886.797321563208</v>
      </c>
      <c r="CD109" s="192">
        <f t="array" ref="CD109">IF($BT109=0, INDEX(LS_current!$D$4:$AY$138, MATCH('Staging Table'!$A109, LS_current!$B$4:$B$138, 0), MATCH(CD$4&amp;CD$5, LS_current!$D$2:$AY$2&amp;LS_current!$D$3:$AY$3, 0)),SUM(VLOOKUP($A109, LS_current!$B$4:$AY$138, LS_current!I$148, FALSE), VLOOKUP($A109, LS_current!$B$4:$AY$138,LS_current!AG$148, FALSE))/2)</f>
        <v>39992.374311561784</v>
      </c>
      <c r="CE109" s="192">
        <f t="array" ref="CE109">IF($BT109=0, INDEX(LS_current!$D$4:$AY$138, MATCH('Staging Table'!$A109, LS_current!$B$4:$B$138, 0), MATCH(CE$4&amp;CE$5, LS_current!$D$2:$AY$2&amp;LS_current!$D$3:$AY$3, 0)),SUM(VLOOKUP($A109, LS_current!$B$4:$AY$138, LS_current!J$148, FALSE), VLOOKUP($A109, LS_current!$B$4:$AY$138,LS_current!AH$148, FALSE))/2)</f>
        <v>147368.21648265002</v>
      </c>
      <c r="CF109" s="192">
        <f t="array" ref="CF109">IF($BT109=0, INDEX(LS_current!$D$4:$AY$138, MATCH('Staging Table'!$A109, LS_current!$B$4:$B$138, 0), MATCH(CF$4&amp;CF$5, LS_current!$D$2:$AY$2&amp;LS_current!$D$3:$AY$3, 0)),SUM(VLOOKUP($A109, LS_current!$B$4:$AY$138, LS_current!K$148, FALSE), VLOOKUP($A109, LS_current!$B$4:$AY$138,LS_current!AI$148, FALSE))/2)</f>
        <v>82791.415600807668</v>
      </c>
      <c r="CG109" s="192">
        <f t="array" ref="CG109">IF($BT109=0, INDEX(LS_current!$D$4:$AY$138, MATCH('Staging Table'!$A109, LS_current!$B$4:$B$138, 0), MATCH(CG$4&amp;CG$5, LS_current!$D$2:$AY$2&amp;LS_current!$D$3:$AY$3, 0)),SUM(VLOOKUP($A109, LS_current!$B$4:$AY$138, LS_current!L$148, FALSE), VLOOKUP($A109, LS_current!$B$4:$AY$138,LS_current!AJ$148, FALSE))/2)</f>
        <v>119327.64254859544</v>
      </c>
      <c r="CH109" s="192">
        <f t="array" ref="CH109">IF($BT109=0, INDEX(LS_current!$D$4:$AY$138, MATCH('Staging Table'!$A109, LS_current!$B$4:$B$138, 0), MATCH(CH$4&amp;CH$5, LS_current!$D$2:$AY$2&amp;LS_current!$D$3:$AY$3, 0)),SUM(VLOOKUP($A109, LS_current!$B$4:$AY$138, LS_current!M$148, FALSE), VLOOKUP($A109, LS_current!$B$4:$AY$138,LS_current!AK$148, FALSE))/2)</f>
        <v>71325.56022181813</v>
      </c>
      <c r="CI109" s="192">
        <f t="array" ref="CI109">IF($BT109=0, INDEX(LS_current!$D$4:$AY$138, MATCH('Staging Table'!$A109, LS_current!$B$4:$B$138, 0), MATCH(CI$4&amp;CI$5, LS_current!$D$2:$AY$2&amp;LS_current!$D$3:$AY$3, 0)),SUM(VLOOKUP($A109, LS_current!$B$4:$AY$138, LS_current!N$148, FALSE), VLOOKUP($A109, LS_current!$B$4:$AY$138,LS_current!AL$148, FALSE))/2)</f>
        <v>95847.370900511334</v>
      </c>
      <c r="CJ109" s="192">
        <f t="array" ref="CJ109">IF($BT109=0, INDEX(LS_current!$D$4:$AY$138, MATCH('Staging Table'!$A109, LS_current!$B$4:$B$138, 0), MATCH(CJ$4&amp;CJ$5, LS_current!$D$2:$AY$2&amp;LS_current!$D$3:$AY$3, 0)),SUM(VLOOKUP($A109, LS_current!$B$4:$AY$138, LS_current!O$148, FALSE), VLOOKUP($A109, LS_current!$B$4:$AY$138,LS_current!AM$148, FALSE))/2)</f>
        <v>71163.606461821604</v>
      </c>
      <c r="CK109" s="192">
        <f t="array" ref="CK109">IF($BT109=0, INDEX(LS_current!$D$4:$AY$138, MATCH('Staging Table'!$A109, LS_current!$B$4:$B$138, 0), MATCH(CK$4&amp;CK$5, LS_current!$D$2:$AY$2&amp;LS_current!$D$3:$AY$3, 0)),SUM(VLOOKUP($A109, LS_current!$B$4:$AY$138, LS_current!P$148, FALSE), VLOOKUP($A109, LS_current!$B$4:$AY$138,LS_current!AN$148, FALSE))/2)</f>
        <v>-9430.9635772035981</v>
      </c>
      <c r="CL109" s="192">
        <f t="array" ref="CL109">IF($BT109=0, INDEX(LS_current!$D$4:$AY$138, MATCH('Staging Table'!$A109, LS_current!$B$4:$B$138, 0), MATCH(CL$4&amp;CL$5, LS_current!$D$2:$AY$2&amp;LS_current!$D$3:$AY$3, 0)),SUM(VLOOKUP($A109, LS_current!$B$4:$AY$138, LS_current!Q$148, FALSE), VLOOKUP($A109, LS_current!$B$4:$AY$138,LS_current!AO$148, FALSE))/2)</f>
        <v>188.54671224333288</v>
      </c>
      <c r="CM109" s="192">
        <f t="array" ref="CM109">IF($BT109=0, INDEX(LS_current!$D$4:$AY$138, MATCH('Staging Table'!$A109, LS_current!$B$4:$B$138, 0), MATCH(CM$4&amp;CM$5, LS_current!$D$2:$AY$2&amp;LS_current!$D$3:$AY$3, 0)),SUM(VLOOKUP($A109, LS_current!$B$4:$AY$138, LS_current!R$148, FALSE), VLOOKUP($A109, LS_current!$B$4:$AY$138,LS_current!AP$148, FALSE))/2)</f>
        <v>-178198.52724646759</v>
      </c>
      <c r="CN109" s="192">
        <f t="array" ref="CN109">IF($BT109=0, INDEX(LS_current!$D$4:$AY$138, MATCH('Staging Table'!$A109, LS_current!$B$4:$B$138, 0), MATCH(CN$4&amp;CN$5, LS_current!$D$2:$AY$2&amp;LS_current!$D$3:$AY$3, 0)),SUM(VLOOKUP($A109, LS_current!$B$4:$AY$138, LS_current!S$148, FALSE), VLOOKUP($A109, LS_current!$B$4:$AY$138,LS_current!AQ$148, FALSE))/2)</f>
        <v>-77979.940783480852</v>
      </c>
      <c r="CO109" s="192">
        <f t="array" ref="CO109">IF($BT109=0, INDEX(LS_current!$D$4:$AY$138, MATCH('Staging Table'!$A109, LS_current!$B$4:$B$138, 0), MATCH(CO$4&amp;CO$5, LS_current!$D$2:$AY$2&amp;LS_current!$D$3:$AY$3, 0)),SUM(VLOOKUP($A109, LS_current!$B$4:$AY$138, LS_current!T$148, FALSE), VLOOKUP($A109, LS_current!$B$4:$AY$138,LS_current!AR$148, FALSE))/2)</f>
        <v>-252694.3988048053</v>
      </c>
      <c r="CP109" s="192">
        <f t="array" ref="CP109">IF($BT109=0, INDEX(LS_current!$D$4:$AY$138, MATCH('Staging Table'!$A109, LS_current!$B$4:$B$138, 0), MATCH(CP$4&amp;CP$5, LS_current!$D$2:$AY$2&amp;LS_current!$D$3:$AY$3, 0)),SUM(VLOOKUP($A109, LS_current!$B$4:$AY$138, LS_current!U$148, FALSE), VLOOKUP($A109, LS_current!$B$4:$AY$138,LS_current!AS$148, FALSE))/2)</f>
        <v>-101653.12936936635</v>
      </c>
      <c r="CQ109" s="192">
        <f t="array" ref="CQ109">IF($BT109=0, INDEX(LS_current!$D$4:$AY$138, MATCH('Staging Table'!$A109, LS_current!$B$4:$B$138, 0), MATCH(CQ$4&amp;CQ$5, LS_current!$D$2:$AY$2&amp;LS_current!$D$3:$AY$3, 0)),SUM(VLOOKUP($A109, LS_current!$B$4:$AY$138, LS_current!V$148, FALSE), VLOOKUP($A109, LS_current!$B$4:$AY$138,LS_current!AT$148, FALSE))/2)</f>
        <v>-115439.59509247189</v>
      </c>
      <c r="CR109" s="192">
        <f t="array" ref="CR109">IF($BT109=0, INDEX(LS_current!$D$4:$AY$138, MATCH('Staging Table'!$A109, LS_current!$B$4:$B$138, 0), MATCH(CR$4&amp;CR$5, LS_current!$D$2:$AY$2&amp;LS_current!$D$3:$AY$3, 0)),SUM(VLOOKUP($A109, LS_current!$B$4:$AY$138, LS_current!W$148, FALSE), VLOOKUP($A109, LS_current!$B$4:$AY$138,LS_current!AU$148, FALSE))/2)</f>
        <v>-39927.296526321981</v>
      </c>
      <c r="CS109" s="192">
        <f t="array" ref="CS109">IF($BT109=0, INDEX(LS_current!$D$4:$AY$138, MATCH('Staging Table'!$A109, LS_current!$B$4:$B$138, 0), MATCH(CS$4&amp;CS$5, LS_current!$D$2:$AY$2&amp;LS_current!$D$3:$AY$3, 0)),SUM(VLOOKUP($A109, LS_current!$B$4:$AY$138, LS_current!X$148, FALSE), VLOOKUP($A109, LS_current!$B$4:$AY$138,LS_current!AV$148, FALSE))/2)</f>
        <v>-89950.027423243882</v>
      </c>
      <c r="CT109" s="192">
        <f t="array" ref="CT109">IF($BT109=0, INDEX(LS_current!$D$4:$AY$138, MATCH('Staging Table'!$A109, LS_current!$B$4:$B$138, 0), MATCH(CT$4&amp;CT$5, LS_current!$D$2:$AY$2&amp;LS_current!$D$3:$AY$3, 0)),SUM(VLOOKUP($A109, LS_current!$B$4:$AY$138, LS_current!Y$148, FALSE), VLOOKUP($A109, LS_current!$B$4:$AY$138,LS_current!AW$148, FALSE))/2)</f>
        <v>-20169.639515235758</v>
      </c>
      <c r="CU109" s="192">
        <f t="array" ref="CU109">IF($BT109=0, INDEX(LS_current!$D$4:$AY$138, MATCH('Staging Table'!$A109, LS_current!$B$4:$B$138, 0), MATCH(CU$4&amp;CU$5, LS_current!$D$2:$AY$2&amp;LS_current!$D$3:$AY$3, 0)),SUM(VLOOKUP($A109, LS_current!$B$4:$AY$138, LS_current!Z$148, FALSE), VLOOKUP($A109, LS_current!$B$4:$AY$138,LS_current!AX$148, FALSE))/2)</f>
        <v>18736.659640586469</v>
      </c>
      <c r="CV109" s="192">
        <f t="array" ref="CV109">IF($BT109=0, INDEX(LS_current!$D$4:$AY$138, MATCH('Staging Table'!$A109, LS_current!$B$4:$B$138, 0), MATCH(CV$4&amp;CV$5, LS_current!$D$2:$AY$2&amp;LS_current!$D$3:$AY$3, 0)),SUM(VLOOKUP($A109, LS_current!$B$4:$AY$138, LS_current!AA$148, FALSE), VLOOKUP($A109, LS_current!$B$4:$AY$138,LS_current!AY$148, FALSE))/2)</f>
        <v>31622.975487633754</v>
      </c>
      <c r="CW109" s="194">
        <f t="array" ref="CW109">INDEX(Demand_current!$D$4:$AY$138, MATCH($A109, Demand_current!$B$4:$B$138, 0), MATCH(CW$4&amp;CW$5,Demand_current!$D$2:$AY$2&amp;Demand_current!$D$3:$AY$3, 0))/1000</f>
        <v>0</v>
      </c>
      <c r="CX109" s="194">
        <f t="array" ref="CX109">INDEX(Demand_current!$D$4:$AY$138, MATCH($A109, Demand_current!$B$4:$B$138, 0), MATCH(CX$4&amp;CX$5,Demand_current!$D$2:$AY$2&amp;Demand_current!$D$3:$AY$3, 0))/1000</f>
        <v>0</v>
      </c>
      <c r="CY109" s="194">
        <f t="array" ref="CY109">INDEX(Demand_current!$D$4:$AY$138, MATCH($A109, Demand_current!$B$4:$B$138, 0), MATCH(CY$4&amp;CY$5,Demand_current!$D$2:$AY$2&amp;Demand_current!$D$3:$AY$3, 0))/1000</f>
        <v>0</v>
      </c>
      <c r="CZ109" s="194">
        <f t="array" ref="CZ109">INDEX(Demand_current!$D$4:$AY$138, MATCH($A109, Demand_current!$B$4:$B$138, 0), MATCH(CZ$4&amp;CZ$5,Demand_current!$D$2:$AY$2&amp;Demand_current!$D$3:$AY$3, 0))/1000</f>
        <v>0</v>
      </c>
      <c r="DA109" s="194">
        <f t="array" ref="DA109">INDEX(Demand_current!$D$4:$AY$138, MATCH($A109, Demand_current!$B$4:$B$138, 0), MATCH(DA$4&amp;DA$5,Demand_current!$D$2:$AY$2&amp;Demand_current!$D$3:$AY$3, 0))/1000</f>
        <v>0</v>
      </c>
      <c r="DB109" s="194">
        <f t="array" ref="DB109">INDEX(Demand_current!$D$4:$AY$138, MATCH($A109, Demand_current!$B$4:$B$138, 0), MATCH(DB$4&amp;DB$5,Demand_current!$D$2:$AY$2&amp;Demand_current!$D$3:$AY$3, 0))/1000</f>
        <v>0</v>
      </c>
      <c r="DC109" s="194">
        <f t="array" ref="DC109">INDEX(Demand_current!$D$4:$AY$138, MATCH($A109, Demand_current!$B$4:$B$138, 0), MATCH(DC$4&amp;DC$5,Demand_current!$D$2:$AY$2&amp;Demand_current!$D$3:$AY$3, 0))/1000</f>
        <v>0</v>
      </c>
      <c r="DD109" s="194">
        <f t="array" ref="DD109">INDEX(Demand_current!$D$4:$AY$138, MATCH($A109, Demand_current!$B$4:$B$138, 0), MATCH(DD$4&amp;DD$5,Demand_current!$D$2:$AY$2&amp;Demand_current!$D$3:$AY$3, 0))/1000</f>
        <v>0</v>
      </c>
      <c r="DE109" s="194">
        <f t="array" ref="DE109">INDEX(Demand_current!$D$4:$AY$138, MATCH($A109, Demand_current!$B$4:$B$138, 0), MATCH(DE$4&amp;DE$5,Demand_current!$D$2:$AY$2&amp;Demand_current!$D$3:$AY$3, 0))/1000</f>
        <v>0</v>
      </c>
      <c r="DF109" s="194">
        <f t="array" ref="DF109">INDEX(Demand_current!$D$4:$AY$138, MATCH($A109, Demand_current!$B$4:$B$138, 0), MATCH(DF$4&amp;DF$5,Demand_current!$D$2:$AY$2&amp;Demand_current!$D$3:$AY$3, 0))/1000</f>
        <v>0</v>
      </c>
      <c r="DG109" s="194">
        <f t="array" ref="DG109">INDEX(Demand_current!$D$4:$AY$138, MATCH($A109, Demand_current!$B$4:$B$138, 0), MATCH(DG$4&amp;DG$5,Demand_current!$D$2:$AY$2&amp;Demand_current!$D$3:$AY$3, 0))/1000</f>
        <v>0</v>
      </c>
      <c r="DH109" s="194">
        <f t="array" ref="DH109">INDEX(Demand_current!$D$4:$AY$138, MATCH($A109, Demand_current!$B$4:$B$138, 0), MATCH(DH$4&amp;DH$5,Demand_current!$D$2:$AY$2&amp;Demand_current!$D$3:$AY$3, 0))/1000</f>
        <v>0</v>
      </c>
      <c r="DI109" s="192">
        <f>$BS109*(VLOOKUP(DI$4, Rates_current!$G$6:$Q$29, 10, FALSE)+VLOOKUP(DI$4, Rates_current!$G$6:$Q$29, 11, FALSE))</f>
        <v>291113.26173681143</v>
      </c>
      <c r="DJ109" s="192">
        <f>$BS109*(VLOOKUP(DJ$4, Rates_current!$G$6:$Q$29, 10, FALSE)+VLOOKUP(DJ$4, Rates_current!$G$6:$Q$29, 11, FALSE))</f>
        <v>368559.9545861198</v>
      </c>
      <c r="DK109" s="192">
        <f>$BS109*(VLOOKUP(DK$4, Rates_current!$G$6:$Q$29, 10, FALSE)+VLOOKUP(DK$4, Rates_current!$G$6:$Q$29, 11, FALSE))</f>
        <v>360746.56344687496</v>
      </c>
      <c r="DL109" s="192">
        <f>$BS109*(VLOOKUP(DL$4, Rates_current!$G$6:$Q$29, 10, FALSE)+VLOOKUP(DL$4, Rates_current!$G$6:$Q$29, 11, FALSE))</f>
        <v>297961.32071654242</v>
      </c>
      <c r="DM109" s="192">
        <f>$BS109*(VLOOKUP(DM$4, Rates_current!$G$6:$Q$29, 10, FALSE)+VLOOKUP(DM$4, Rates_current!$G$6:$Q$29, 11, FALSE))</f>
        <v>258249.60710958636</v>
      </c>
      <c r="DN109" s="192">
        <f>$BS109*(VLOOKUP(DN$4, Rates_current!$G$6:$Q$29, 10, FALSE)+VLOOKUP(DN$4, Rates_current!$G$6:$Q$29, 11, FALSE))</f>
        <v>308297.88015766704</v>
      </c>
      <c r="DO109" s="192">
        <f>$BS109*(VLOOKUP(DO$4, Rates_current!$G$6:$Q$29, 10, FALSE)+VLOOKUP(DO$4, Rates_current!$G$6:$Q$29, 11, FALSE))</f>
        <v>239352.2605849604</v>
      </c>
      <c r="DP109" s="192">
        <f>$BS109*(VLOOKUP(DP$4, Rates_current!$G$6:$Q$29, 10, FALSE)+VLOOKUP(DP$4, Rates_current!$G$6:$Q$29, 11, FALSE))</f>
        <v>331624.31842994847</v>
      </c>
      <c r="DQ109" s="192">
        <f>$BS109*(VLOOKUP(DQ$4, Rates_current!$G$6:$Q$29, 10, FALSE)+VLOOKUP(DQ$4, Rates_current!$G$6:$Q$29, 11, FALSE))</f>
        <v>354347.52817417163</v>
      </c>
      <c r="DR109" s="192">
        <f>$BS109*(VLOOKUP(DR$4, Rates_current!$G$6:$Q$29, 10, FALSE)+VLOOKUP(DR$4, Rates_current!$G$6:$Q$29, 11, FALSE))</f>
        <v>336436.9325787939</v>
      </c>
      <c r="DS109" s="192">
        <f>$BS109*(VLOOKUP(DS$4, Rates_current!$G$6:$Q$29, 10, FALSE)+VLOOKUP(DS$4, Rates_current!$G$6:$Q$29, 11, FALSE))</f>
        <v>325140.34057847952</v>
      </c>
      <c r="DT109" s="192">
        <f>$BS109*(VLOOKUP(DT$4, Rates_current!$G$6:$Q$29, 10, FALSE)+VLOOKUP(DT$4, Rates_current!$G$6:$Q$29, 11, FALSE))</f>
        <v>300463.56923177978</v>
      </c>
      <c r="DU109" s="418">
        <f>IF(D109=0,IF(C109=0,MAX(0,DW109 - (VLOOKUP($A109,TOCA_current!$A$2:$AI$137,MATCH("RHWM 2022",TOCA_current!$A$2:$AI$2,0),FALSE)*$BS$2)), 0),0)</f>
        <v>0</v>
      </c>
      <c r="DV109" s="419">
        <f>MIN(VLOOKUP($A109,TOCA_current!$A$2:$AI$137,MATCH("TRL - NLSL - Existing Resource "&amp;$BS$1,TOCA_current!$A$2:$AI$2,0),FALSE)*$BS$2, VLOOKUP($A109,TOCA_current!$A$2:$AI$137,MATCH("RHWM 2022",TOCA_current!$A$2:$AI$2,0),FALSE)*$BS$2)</f>
        <v>3772292.52</v>
      </c>
      <c r="DW109" s="419">
        <f>SUM(BY109:CV109)+(BS109*RT1SC!$C$4*$BS$2)</f>
        <v>3772292.7129691374</v>
      </c>
      <c r="DX109" s="419">
        <f>VLOOKUP($A109,TOCA_current!$A$2:$AI$137,MATCH("Above RHWM Not Served with LS "&amp;$BS$1,TOCA_current!$A$2:$AI$2,0),FALSE)*$BS$2</f>
        <v>0</v>
      </c>
      <c r="DY109" s="419">
        <f t="shared" si="32"/>
        <v>0.19296913733705878</v>
      </c>
      <c r="DZ109" s="419">
        <f>(VLOOKUP($A109,TOCA_current!$A$2:$AI$137,MATCH("RHWM 2022",TOCA_current!$A$2:$AI$2,0),FALSE)*$BS$2) - $DV109</f>
        <v>605605.07999999961</v>
      </c>
      <c r="EA109" s="419">
        <f t="shared" si="33"/>
        <v>-0.19296913733705878</v>
      </c>
      <c r="EB109" s="419">
        <f t="shared" si="34"/>
        <v>0</v>
      </c>
      <c r="EC109" s="419">
        <f t="shared" si="35"/>
        <v>0</v>
      </c>
      <c r="ED109" s="419">
        <f t="shared" si="36"/>
        <v>0</v>
      </c>
    </row>
    <row r="110" spans="1:134">
      <c r="A110" s="135">
        <v>10352</v>
      </c>
      <c r="B110" s="136" t="s">
        <v>111</v>
      </c>
      <c r="C110" s="244">
        <f>VLOOKUP(A110, TOCA_current!$A$3:$D$137, 4, FALSE)</f>
        <v>0</v>
      </c>
      <c r="D110" s="203">
        <v>0</v>
      </c>
      <c r="E110" s="119">
        <f>VLOOKUP($A110,TOCA_previous!$A$2:$AI$137,MATCH(E$4,TOCA_previous!$A$2:$AI$2,0),FALSE)</f>
        <v>2.1808000000000001E-3</v>
      </c>
      <c r="F110" s="120">
        <f>VLOOKUP($A110,TOCA_previous!$A$2:$AI$137,MATCH(F$4,TOCA_previous!$A$2:$AI$2,0),FALSE)</f>
        <v>2.1808000000000001E-3</v>
      </c>
      <c r="G110" s="120">
        <f t="shared" si="24"/>
        <v>0</v>
      </c>
      <c r="H110" s="120">
        <f>VLOOKUP($A110,TOCA_previous!$A$2:$AI$137,MATCH(H$4,TOCA_previous!$A$2:$AI$2,0),FALSE)</f>
        <v>4.4999999999999998E-2</v>
      </c>
      <c r="I110" s="120">
        <f t="shared" si="25"/>
        <v>0</v>
      </c>
      <c r="J110" s="120">
        <f t="shared" si="26"/>
        <v>0</v>
      </c>
      <c r="K110" s="191">
        <f>VLOOKUP(A110, IRD!$A$5:$C$139, 3, FALSE)</f>
        <v>0</v>
      </c>
      <c r="L110" s="192">
        <f t="array" ref="L110">IF($G110=0, INDEX(LS_previous!$D$4:$AY$138, MATCH('Staging Table'!$A110, LS_previous!$B$4:$B$138, 0), MATCH(L$4&amp;L$5, LS_previous!$D$2:$AY$2&amp;LS_previous!$D$3:$AY$3, 0)),SUM(VLOOKUP($A110, LS_previous!$B$4:$AY$138, LS_previous!D$149, FALSE), VLOOKUP('Staging Table'!$A110, LS_previous!$B$4:$AY$138,LS_previous!AB$149, FALSE))/2)</f>
        <v>494.84920184959992</v>
      </c>
      <c r="M110" s="192">
        <f t="array" ref="M110">IF($G110=0, INDEX(LS_previous!$D$4:$AY$138, MATCH('Staging Table'!$A110, LS_previous!$B$4:$B$138, 0), MATCH(M$4&amp;M$5, LS_previous!$D$2:$AY$2&amp;LS_previous!$D$3:$AY$3, 0)),SUM(VLOOKUP($A110, LS_previous!$B$4:$AY$138, LS_previous!E$149, FALSE), VLOOKUP('Staging Table'!$A110, LS_previous!$B$4:$AY$138,LS_previous!AC$149, FALSE))/2)</f>
        <v>583.84645711359963</v>
      </c>
      <c r="N110" s="192">
        <f t="array" ref="N110">IF($G110=0, INDEX(LS_previous!$D$4:$AY$138, MATCH('Staging Table'!$A110, LS_previous!$B$4:$B$138, 0), MATCH(N$4&amp;N$5, LS_previous!$D$2:$AY$2&amp;LS_previous!$D$3:$AY$3, 0)),SUM(VLOOKUP($A110, LS_previous!$B$4:$AY$138, LS_previous!F$149, FALSE), VLOOKUP('Staging Table'!$A110, LS_previous!$B$4:$AY$138,LS_previous!AD$149, FALSE))/2)</f>
        <v>108.52189493759943</v>
      </c>
      <c r="O110" s="192">
        <f t="array" ref="O110">IF($G110=0, INDEX(LS_previous!$D$4:$AY$138, MATCH('Staging Table'!$A110, LS_previous!$B$4:$B$138, 0), MATCH(O$4&amp;O$5, LS_previous!$D$2:$AY$2&amp;LS_previous!$D$3:$AY$3, 0)),SUM(VLOOKUP($A110, LS_previous!$B$4:$AY$138, LS_previous!G$149, FALSE), VLOOKUP('Staging Table'!$A110, LS_previous!$B$4:$AY$138,LS_previous!AE$149, FALSE))/2)</f>
        <v>314.91129745119997</v>
      </c>
      <c r="P110" s="192">
        <f t="array" ref="P110">IF($G110=0, INDEX(LS_previous!$D$4:$AY$138, MATCH('Staging Table'!$A110, LS_previous!$B$4:$B$138, 0), MATCH(P$4&amp;P$5, LS_previous!$D$2:$AY$2&amp;LS_previous!$D$3:$AY$3, 0)),SUM(VLOOKUP($A110, LS_previous!$B$4:$AY$138, LS_previous!H$149, FALSE), VLOOKUP('Staging Table'!$A110, LS_previous!$B$4:$AY$138,LS_previous!AF$149, FALSE))/2)</f>
        <v>2214.8396897023986</v>
      </c>
      <c r="Q110" s="192">
        <f t="array" ref="Q110">IF($G110=0, INDEX(LS_previous!$D$4:$AY$138, MATCH('Staging Table'!$A110, LS_previous!$B$4:$B$138, 0), MATCH(Q$4&amp;Q$5, LS_previous!$D$2:$AY$2&amp;LS_previous!$D$3:$AY$3, 0)),SUM(VLOOKUP($A110, LS_previous!$B$4:$AY$138, LS_previous!I$149, FALSE), VLOOKUP('Staging Table'!$A110, LS_previous!$B$4:$AY$138,LS_previous!AG$149, FALSE))/2)</f>
        <v>1543.939202860799</v>
      </c>
      <c r="R110" s="192">
        <f t="array" ref="R110">IF($G110=0, INDEX(LS_previous!$D$4:$AY$138, MATCH('Staging Table'!$A110, LS_previous!$B$4:$B$138, 0), MATCH(R$4&amp;R$5, LS_previous!$D$2:$AY$2&amp;LS_previous!$D$3:$AY$3, 0)),SUM(VLOOKUP($A110, LS_previous!$B$4:$AY$138, LS_previous!J$149, FALSE), VLOOKUP('Staging Table'!$A110, LS_previous!$B$4:$AY$138,LS_previous!AH$149, FALSE))/2)</f>
        <v>3235.3506705023983</v>
      </c>
      <c r="S110" s="192">
        <f t="array" ref="S110">IF($G110=0, INDEX(LS_previous!$D$4:$AY$138, MATCH('Staging Table'!$A110, LS_previous!$B$4:$B$138, 0), MATCH(S$4&amp;S$5, LS_previous!$D$2:$AY$2&amp;LS_previous!$D$3:$AY$3, 0)),SUM(VLOOKUP($A110, LS_previous!$B$4:$AY$138, LS_previous!K$149, FALSE), VLOOKUP('Staging Table'!$A110, LS_previous!$B$4:$AY$138,LS_previous!AI$149, FALSE))/2)</f>
        <v>2973.7114204608001</v>
      </c>
      <c r="T110" s="192">
        <f t="array" ref="T110">IF($G110=0, INDEX(LS_previous!$D$4:$AY$138, MATCH('Staging Table'!$A110, LS_previous!$B$4:$B$138, 0), MATCH(T$4&amp;T$5, LS_previous!$D$2:$AY$2&amp;LS_previous!$D$3:$AY$3, 0)),SUM(VLOOKUP($A110, LS_previous!$B$4:$AY$138, LS_previous!L$149, FALSE), VLOOKUP('Staging Table'!$A110, LS_previous!$B$4:$AY$138,LS_previous!AJ$149, FALSE))/2)</f>
        <v>2980.1917919808002</v>
      </c>
      <c r="U110" s="192">
        <f t="array" ref="U110">IF($G110=0, INDEX(LS_previous!$D$4:$AY$138, MATCH('Staging Table'!$A110, LS_previous!$B$4:$B$138, 0), MATCH(U$4&amp;U$5, LS_previous!$D$2:$AY$2&amp;LS_previous!$D$3:$AY$3, 0)),SUM(VLOOKUP($A110, LS_previous!$B$4:$AY$138, LS_previous!M$149, FALSE), VLOOKUP('Staging Table'!$A110, LS_previous!$B$4:$AY$138,LS_previous!AK$149, FALSE))/2)</f>
        <v>1839.2820905792</v>
      </c>
      <c r="V110" s="192">
        <f t="array" ref="V110">IF($G110=0, INDEX(LS_previous!$D$4:$AY$138, MATCH('Staging Table'!$A110, LS_previous!$B$4:$B$138, 0), MATCH(V$4&amp;V$5, LS_previous!$D$2:$AY$2&amp;LS_previous!$D$3:$AY$3, 0)),SUM(VLOOKUP($A110, LS_previous!$B$4:$AY$138, LS_previous!N$149, FALSE), VLOOKUP('Staging Table'!$A110, LS_previous!$B$4:$AY$138,LS_previous!AL$149, FALSE))/2)</f>
        <v>2779.2598060672008</v>
      </c>
      <c r="W110" s="192">
        <f t="array" ref="W110">IF($G110=0, INDEX(LS_previous!$D$4:$AY$138, MATCH('Staging Table'!$A110, LS_previous!$B$4:$B$138, 0), MATCH(W$4&amp;W$5, LS_previous!$D$2:$AY$2&amp;LS_previous!$D$3:$AY$3, 0)),SUM(VLOOKUP($A110, LS_previous!$B$4:$AY$138, LS_previous!O$149, FALSE), VLOOKUP('Staging Table'!$A110, LS_previous!$B$4:$AY$138,LS_previous!AM$149, FALSE))/2)</f>
        <v>1508.9789905232001</v>
      </c>
      <c r="X110" s="192">
        <f t="array" ref="X110">IF($G110=0, INDEX(LS_previous!$D$4:$AY$138, MATCH('Staging Table'!$A110, LS_previous!$B$4:$B$138, 0), MATCH(X$4&amp;X$5, LS_previous!$D$2:$AY$2&amp;LS_previous!$D$3:$AY$3, 0)),SUM(VLOOKUP($A110, LS_previous!$B$4:$AY$138, LS_previous!P$149, FALSE), VLOOKUP('Staging Table'!$A110, LS_previous!$B$4:$AY$138,LS_previous!AN$149, FALSE))/2)</f>
        <v>1868.2073902847997</v>
      </c>
      <c r="Y110" s="192">
        <f t="array" ref="Y110">IF($G110=0, INDEX(LS_previous!$D$4:$AY$138, MATCH('Staging Table'!$A110, LS_previous!$B$4:$B$138, 0), MATCH(Y$4&amp;Y$5, LS_previous!$D$2:$AY$2&amp;LS_previous!$D$3:$AY$3, 0)),SUM(VLOOKUP($A110, LS_previous!$B$4:$AY$138, LS_previous!Q$149, FALSE), VLOOKUP('Staging Table'!$A110, LS_previous!$B$4:$AY$138,LS_previous!AO$149, FALSE))/2)</f>
        <v>884.33730053119962</v>
      </c>
      <c r="Z110" s="192">
        <f t="array" ref="Z110">IF($G110=0, INDEX(LS_previous!$D$4:$AY$138, MATCH('Staging Table'!$A110, LS_previous!$B$4:$B$138, 0), MATCH(Z$4&amp;Z$5, LS_previous!$D$2:$AY$2&amp;LS_previous!$D$3:$AY$3, 0)),SUM(VLOOKUP($A110, LS_previous!$B$4:$AY$138, LS_previous!R$149, FALSE), VLOOKUP('Staging Table'!$A110, LS_previous!$B$4:$AY$138,LS_previous!AP$149, FALSE))/2)</f>
        <v>-1623.8213476800011</v>
      </c>
      <c r="AA110" s="192">
        <f t="array" ref="AA110">IF($G110=0, INDEX(LS_previous!$D$4:$AY$138, MATCH('Staging Table'!$A110, LS_previous!$B$4:$B$138, 0), MATCH(AA$4&amp;AA$5, LS_previous!$D$2:$AY$2&amp;LS_previous!$D$3:$AY$3, 0)),SUM(VLOOKUP($A110, LS_previous!$B$4:$AY$138, LS_previous!S$149, FALSE), VLOOKUP('Staging Table'!$A110, LS_previous!$B$4:$AY$138,LS_previous!AQ$149, FALSE))/2)</f>
        <v>-342.41014775680014</v>
      </c>
      <c r="AB110" s="192">
        <f t="array" ref="AB110">IF($G110=0, INDEX(LS_previous!$D$4:$AY$138, MATCH('Staging Table'!$A110, LS_previous!$B$4:$B$138, 0), MATCH(AB$4&amp;AB$5, LS_previous!$D$2:$AY$2&amp;LS_previous!$D$3:$AY$3, 0)),SUM(VLOOKUP($A110, LS_previous!$B$4:$AY$138, LS_previous!T$149, FALSE), VLOOKUP('Staging Table'!$A110, LS_previous!$B$4:$AY$138,LS_previous!AR$149, FALSE))/2)</f>
        <v>-3513.2384585152004</v>
      </c>
      <c r="AC110" s="192">
        <f t="array" ref="AC110">IF($G110=0, INDEX(LS_previous!$D$4:$AY$138, MATCH('Staging Table'!$A110, LS_previous!$B$4:$B$138, 0), MATCH(AC$4&amp;AC$5, LS_previous!$D$2:$AY$2&amp;LS_previous!$D$3:$AY$3, 0)),SUM(VLOOKUP($A110, LS_previous!$B$4:$AY$138, LS_previous!U$149, FALSE), VLOOKUP('Staging Table'!$A110, LS_previous!$B$4:$AY$138,LS_previous!AS$149, FALSE))/2)</f>
        <v>-2057.5676082688005</v>
      </c>
      <c r="AD110" s="192">
        <f t="array" ref="AD110">IF($G110=0, INDEX(LS_previous!$D$4:$AY$138, MATCH('Staging Table'!$A110, LS_previous!$B$4:$B$138, 0), MATCH(AD$4&amp;AD$5, LS_previous!$D$2:$AY$2&amp;LS_previous!$D$3:$AY$3, 0)),SUM(VLOOKUP($A110, LS_previous!$B$4:$AY$138, LS_previous!V$149, FALSE), VLOOKUP('Staging Table'!$A110, LS_previous!$B$4:$AY$138,LS_previous!AT$149, FALSE))/2)</f>
        <v>-1748.0271225152001</v>
      </c>
      <c r="AE110" s="192">
        <f t="array" ref="AE110">IF($G110=0, INDEX(LS_previous!$D$4:$AY$138, MATCH('Staging Table'!$A110, LS_previous!$B$4:$B$138, 0), MATCH(AE$4&amp;AE$5, LS_previous!$D$2:$AY$2&amp;LS_previous!$D$3:$AY$3, 0)),SUM(VLOOKUP($A110, LS_previous!$B$4:$AY$138, LS_previous!W$149, FALSE), VLOOKUP('Staging Table'!$A110, LS_previous!$B$4:$AY$138,LS_previous!AU$149, FALSE))/2)</f>
        <v>257.01401027839984</v>
      </c>
      <c r="AF110" s="192">
        <f t="array" ref="AF110">IF($G110=0, INDEX(LS_previous!$D$4:$AY$138, MATCH('Staging Table'!$A110, LS_previous!$B$4:$B$138, 0), MATCH(AF$4&amp;AF$5, LS_previous!$D$2:$AY$2&amp;LS_previous!$D$3:$AY$3, 0)),SUM(VLOOKUP($A110, LS_previous!$B$4:$AY$138, LS_previous!X$149, FALSE), VLOOKUP('Staging Table'!$A110, LS_previous!$B$4:$AY$138,LS_previous!AV$149, FALSE))/2)</f>
        <v>-1087.7979921152</v>
      </c>
      <c r="AG110" s="192">
        <f t="array" ref="AG110">IF($G110=0, INDEX(LS_previous!$D$4:$AY$138, MATCH('Staging Table'!$A110, LS_previous!$B$4:$B$138, 0), MATCH(AG$4&amp;AG$5, LS_previous!$D$2:$AY$2&amp;LS_previous!$D$3:$AY$3, 0)),SUM(VLOOKUP($A110, LS_previous!$B$4:$AY$138, LS_previous!Y$149, FALSE), VLOOKUP('Staging Table'!$A110, LS_previous!$B$4:$AY$138,LS_previous!AW$149, FALSE))/2)</f>
        <v>-226.03237372160038</v>
      </c>
      <c r="AH110" s="192">
        <f t="array" ref="AH110">IF($G110=0, INDEX(LS_previous!$D$4:$AY$138, MATCH('Staging Table'!$A110, LS_previous!$B$4:$B$138, 0), MATCH(AH$4&amp;AH$5, LS_previous!$D$2:$AY$2&amp;LS_previous!$D$3:$AY$3, 0)),SUM(VLOOKUP($A110, LS_previous!$B$4:$AY$138, LS_previous!Z$149, FALSE), VLOOKUP('Staging Table'!$A110, LS_previous!$B$4:$AY$138,LS_previous!AX$149, FALSE))/2)</f>
        <v>-593.90031648000058</v>
      </c>
      <c r="AI110" s="192">
        <f t="array" ref="AI110">IF($G110=0, INDEX(LS_previous!$D$4:$AY$138, MATCH('Staging Table'!$A110, LS_previous!$B$4:$B$138, 0), MATCH(AI$4&amp;AI$5, LS_previous!$D$2:$AY$2&amp;LS_previous!$D$3:$AY$3, 0)),SUM(VLOOKUP($A110, LS_previous!$B$4:$AY$138, LS_previous!AA$149, FALSE), VLOOKUP('Staging Table'!$A110, LS_previous!$B$4:$AY$138,LS_previous!AY$149, FALSE))/2)</f>
        <v>-291.5516775039996</v>
      </c>
      <c r="AJ110" s="314">
        <f t="array" ref="AJ110">INDEX(Demand_previous!$D$4:$AY$138, MATCH('Staging Table'!$A110, Demand_previous!$B$4:$B$138, 0), MATCH(AJ$4&amp;AJ$5,Demand_previous!$D$2:$AY$2&amp;Demand_previous!$D$3:$AY$3, 0))/1000</f>
        <v>0</v>
      </c>
      <c r="AK110" s="314">
        <f t="array" ref="AK110">INDEX(Demand_previous!$D$4:$AY$138, MATCH('Staging Table'!$A110, Demand_previous!$B$4:$B$138, 0), MATCH(AK$4&amp;AK$5,Demand_previous!$D$2:$AY$2&amp;Demand_previous!$D$3:$AY$3, 0))/1000</f>
        <v>0.10268749999999914</v>
      </c>
      <c r="AL110" s="314">
        <f t="array" ref="AL110">INDEX(Demand_previous!$D$4:$AY$138, MATCH('Staging Table'!$A110, Demand_previous!$B$4:$B$138, 0), MATCH(AL$4&amp;AL$5,Demand_previous!$D$2:$AY$2&amp;Demand_previous!$D$3:$AY$3, 0))/1000</f>
        <v>1.1971150000000015</v>
      </c>
      <c r="AM110" s="314">
        <f t="array" ref="AM110">INDEX(Demand_previous!$D$4:$AY$138, MATCH('Staging Table'!$A110, Demand_previous!$B$4:$B$138, 0), MATCH(AM$4&amp;AM$5,Demand_previous!$D$2:$AY$2&amp;Demand_previous!$D$3:$AY$3, 0))/1000</f>
        <v>2.6292668269230788</v>
      </c>
      <c r="AN110" s="314">
        <f t="array" ref="AN110">INDEX(Demand_previous!$D$4:$AY$138, MATCH('Staging Table'!$A110, Demand_previous!$B$4:$B$138, 0), MATCH(AN$4&amp;AN$5,Demand_previous!$D$2:$AY$2&amp;Demand_previous!$D$3:$AY$3, 0))/1000</f>
        <v>5.1717449999999978</v>
      </c>
      <c r="AO110" s="314">
        <f t="array" ref="AO110">INDEX(Demand_previous!$D$4:$AY$138, MATCH('Staging Table'!$A110, Demand_previous!$B$4:$B$138, 0), MATCH(AO$4&amp;AO$5,Demand_previous!$D$2:$AY$2&amp;Demand_previous!$D$3:$AY$3, 0))/1000</f>
        <v>2.0152740384615369</v>
      </c>
      <c r="AP110" s="314">
        <f t="array" ref="AP110">INDEX(Demand_previous!$D$4:$AY$138, MATCH('Staging Table'!$A110, Demand_previous!$B$4:$B$138, 0), MATCH(AP$4&amp;AP$5,Demand_previous!$D$2:$AY$2&amp;Demand_previous!$D$3:$AY$3, 0))/1000</f>
        <v>1.2529783653846147</v>
      </c>
      <c r="AQ110" s="314">
        <f t="array" ref="AQ110">INDEX(Demand_previous!$D$4:$AY$138, MATCH('Staging Table'!$A110, Demand_previous!$B$4:$B$138, 0), MATCH(AQ$4&amp;AQ$5,Demand_previous!$D$2:$AY$2&amp;Demand_previous!$D$3:$AY$3, 0))/1000</f>
        <v>0.4885424999999976</v>
      </c>
      <c r="AR110" s="314">
        <f t="array" ref="AR110">INDEX(Demand_previous!$D$4:$AY$138, MATCH('Staging Table'!$A110, Demand_previous!$B$4:$B$138, 0), MATCH(AR$4&amp;AR$5,Demand_previous!$D$2:$AY$2&amp;Demand_previous!$D$3:$AY$3, 0))/1000</f>
        <v>1.6718846153846161</v>
      </c>
      <c r="AS110" s="314">
        <f t="array" ref="AS110">INDEX(Demand_previous!$D$4:$AY$138, MATCH('Staging Table'!$A110, Demand_previous!$B$4:$B$138, 0), MATCH(AS$4&amp;AS$5,Demand_previous!$D$2:$AY$2&amp;Demand_previous!$D$3:$AY$3, 0))/1000</f>
        <v>1.3446538461538462</v>
      </c>
      <c r="AT110" s="314">
        <f t="array" ref="AT110">INDEX(Demand_previous!$D$4:$AY$138, MATCH('Staging Table'!$A110, Demand_previous!$B$4:$B$138, 0), MATCH(AT$4&amp;AT$5,Demand_previous!$D$2:$AY$2&amp;Demand_previous!$D$3:$AY$3, 0))/1000</f>
        <v>2.8805889423076909</v>
      </c>
      <c r="AU110" s="314">
        <f t="array" ref="AU110">INDEX(Demand_previous!$D$4:$AY$138, MATCH('Staging Table'!$A110, Demand_previous!$B$4:$B$138, 0), MATCH(AU$4&amp;AU$5,Demand_previous!$D$2:$AY$2&amp;Demand_previous!$D$3:$AY$3, 0))/1000</f>
        <v>0.96781250000000174</v>
      </c>
      <c r="AV110" s="192">
        <f>$F110*(VLOOKUP(AV$4, Rates_previous!$G$6:$Q$29, 10, FALSE)+VLOOKUP(AV$4, Rates_previous!$G$6:$Q$29, 11, FALSE))</f>
        <v>10069.445341036799</v>
      </c>
      <c r="AW110" s="192">
        <f>$F110*(VLOOKUP(AW$4, Rates_previous!$G$6:$Q$29, 10, FALSE)+VLOOKUP(AW$4, Rates_previous!$G$6:$Q$29, 11, FALSE))</f>
        <v>12791.3368076112</v>
      </c>
      <c r="AX110" s="192">
        <f>$F110*(VLOOKUP(AX$4, Rates_previous!$G$6:$Q$29, 10, FALSE)+VLOOKUP(AX$4, Rates_previous!$G$6:$Q$29, 11, FALSE))</f>
        <v>12636.864107436802</v>
      </c>
      <c r="AY110" s="192">
        <f>$F110*(VLOOKUP(AY$4, Rates_previous!$G$6:$Q$29, 10, FALSE)+VLOOKUP(AY$4, Rates_previous!$G$6:$Q$29, 11, FALSE))</f>
        <v>10533.595909036801</v>
      </c>
      <c r="AZ110" s="192">
        <f>$F110*(VLOOKUP(AZ$4, Rates_previous!$G$6:$Q$29, 10, FALSE)+VLOOKUP(AZ$4, Rates_previous!$G$6:$Q$29, 11, FALSE))</f>
        <v>9542.3451174399997</v>
      </c>
      <c r="BA110" s="192">
        <f>$F110*(VLOOKUP(BA$4, Rates_previous!$G$6:$Q$29, 10, FALSE)+VLOOKUP(BA$4, Rates_previous!$G$6:$Q$29, 11, FALSE))</f>
        <v>10614.1192034096</v>
      </c>
      <c r="BB110" s="192">
        <f>$F110*(VLOOKUP(BB$4, Rates_previous!$G$6:$Q$29, 10, FALSE)+VLOOKUP(BB$4, Rates_previous!$G$6:$Q$29, 11, FALSE))</f>
        <v>8642.0273091840008</v>
      </c>
      <c r="BC110" s="192">
        <f>$F110*(VLOOKUP(BC$4, Rates_previous!$G$6:$Q$29, 10, FALSE)+VLOOKUP(BC$4, Rates_previous!$G$6:$Q$29, 11, FALSE))</f>
        <v>11655.062495436801</v>
      </c>
      <c r="BD110" s="192">
        <f>$F110*(VLOOKUP(BD$4, Rates_previous!$G$6:$Q$29, 10, FALSE)+VLOOKUP(BD$4, Rates_previous!$G$6:$Q$29, 11, FALSE))</f>
        <v>14871.067066784002</v>
      </c>
      <c r="BE110" s="192">
        <f>$F110*(VLOOKUP(BE$4, Rates_previous!$G$6:$Q$29, 10, FALSE)+VLOOKUP(BE$4, Rates_previous!$G$6:$Q$29, 11, FALSE))</f>
        <v>11659.388112236802</v>
      </c>
      <c r="BF110" s="192">
        <f>$F110*(VLOOKUP(BF$4, Rates_previous!$G$6:$Q$29, 10, FALSE)+VLOOKUP(BF$4, Rates_previous!$G$6:$Q$29, 11, FALSE))</f>
        <v>11353.922365836801</v>
      </c>
      <c r="BG110" s="192">
        <f>$F110*(VLOOKUP(BG$4, Rates_previous!$G$6:$Q$29, 10, FALSE)+VLOOKUP(BG$4, Rates_previous!$G$6:$Q$29, 11, FALSE))</f>
        <v>10193.406993984001</v>
      </c>
      <c r="BH110" s="314">
        <f>IF($D110=0,IF(C110=0, MAX(BJ110 - (VLOOKUP($A110,TOCA_previous!$A$2:$AI$137,MATCH("RHWM 2020",TOCA_previous!$A$2:$AI$2,0),FALSE)*$F$2*TOCA_previous!C107),0),0), 0)</f>
        <v>7685.0320507328142</v>
      </c>
      <c r="BI110" s="204">
        <f>MIN(VLOOKUP($A110,TOCA_previous!$A$2:$AI$137,MATCH("TRL - NLSL - Existing Resource "&amp;$F$1,TOCA_previous!$A$2:$AI$2,0),FALSE)*$F$2,(VLOOKUP($A110,TOCA_previous!$A$2:$AI$137,MATCH("RHWM 2020",TOCA_previous!$A$2:$AI$2,0),FALSE)*$F$2))</f>
        <v>134562.09600000002</v>
      </c>
      <c r="BJ110" s="418">
        <f>SUM(L110:AI110)+(F110*RT1SC!$C$3*$F$2)</f>
        <v>146665.48005073282</v>
      </c>
      <c r="BK110" s="417">
        <f>VLOOKUP($A110,TOCA_previous!$A$2:$AI$137,MATCH("Above RHWM Not Served with LS "&amp;$F$1,TOCA_previous!$A$2:$AI$2,0),FALSE)*$F$2</f>
        <v>0</v>
      </c>
      <c r="BL110" s="418">
        <f t="shared" si="27"/>
        <v>12103.384050732799</v>
      </c>
      <c r="BM110" s="417">
        <f>(VLOOKUP($A110,TOCA_previous!$A$2:$AI$137,MATCH("RHWM 2020",TOCA_previous!$A$2:$AI$2,0),FALSE)*$F$2) - $BI110</f>
        <v>4418.3519999999844</v>
      </c>
      <c r="BN110" s="418">
        <f t="shared" si="28"/>
        <v>-4418.3519999999844</v>
      </c>
      <c r="BO110" s="417">
        <f t="shared" si="29"/>
        <v>0</v>
      </c>
      <c r="BP110" s="418">
        <f t="shared" si="30"/>
        <v>0</v>
      </c>
      <c r="BQ110" s="417">
        <f t="shared" si="37"/>
        <v>-4418.3519999999844</v>
      </c>
      <c r="BR110" s="120">
        <f>VLOOKUP($A110,TOCA_current!$A$2:$AI$137,MATCH(BR$4,TOCA_current!$A$2:$AI$2,0),FALSE)</f>
        <v>2.2523999999999999E-3</v>
      </c>
      <c r="BS110" s="120">
        <f>VLOOKUP($A110,TOCA_current!$A$2:$AI$137,MATCH(BS$4,TOCA_current!$A$2:$AI$2,0),FALSE)</f>
        <v>2.2523999999999999E-3</v>
      </c>
      <c r="BT110" s="201">
        <f t="shared" si="31"/>
        <v>0</v>
      </c>
      <c r="BU110" s="120">
        <f>VLOOKUP($A110,TOCA_current!A106:BG241,MATCH(BU$4,TOCA_current!$A$2:$BG$2,0),FALSE)</f>
        <v>5.0425097212153165E-2</v>
      </c>
      <c r="BV110" s="120">
        <f t="shared" si="38"/>
        <v>0</v>
      </c>
      <c r="BW110" s="120">
        <f t="shared" si="39"/>
        <v>0</v>
      </c>
      <c r="BX110" s="191">
        <f>VLOOKUP($A110,IRD!$A$4:$G$139, 7, FALSE)</f>
        <v>0</v>
      </c>
      <c r="BY110" s="192">
        <f t="array" ref="BY110">IF($BT110=0, INDEX(LS_current!$D$4:$AY$138, MATCH('Staging Table'!$A110, LS_current!$B$4:$B$138, 0), MATCH(BY$4&amp;BY$5, LS_current!$D$2:$AY$2&amp;LS_current!$D$3:$AY$3, 0)),SUM(VLOOKUP($A110, LS_current!$B$4:$AY$138, LS_current!D$148, FALSE), VLOOKUP($A110, LS_current!$B$4:$AY$138,LS_current!AB$148, FALSE))/2)</f>
        <v>478.23100816024089</v>
      </c>
      <c r="BZ110" s="192">
        <f t="array" ref="BZ110">IF($BT110=0, INDEX(LS_current!$D$4:$AY$138, MATCH('Staging Table'!$A110, LS_current!$B$4:$B$138, 0), MATCH(BZ$4&amp;BZ$5, LS_current!$D$2:$AY$2&amp;LS_current!$D$3:$AY$3, 0)),SUM(VLOOKUP($A110, LS_current!$B$4:$AY$138, LS_current!E$148, FALSE), VLOOKUP($A110, LS_current!$B$4:$AY$138,LS_current!AC$148, FALSE))/2)</f>
        <v>412.65062651317885</v>
      </c>
      <c r="CA110" s="192">
        <f t="array" ref="CA110">IF($BT110=0, INDEX(LS_current!$D$4:$AY$138, MATCH('Staging Table'!$A110, LS_current!$B$4:$B$138, 0), MATCH(CA$4&amp;CA$5, LS_current!$D$2:$AY$2&amp;LS_current!$D$3:$AY$3, 0)),SUM(VLOOKUP($A110, LS_current!$B$4:$AY$138, LS_current!F$148, FALSE), VLOOKUP($A110, LS_current!$B$4:$AY$138,LS_current!AD$148, FALSE))/2)</f>
        <v>159.25729784079158</v>
      </c>
      <c r="CB110" s="192">
        <f t="array" ref="CB110">IF($BT110=0, INDEX(LS_current!$D$4:$AY$138, MATCH('Staging Table'!$A110, LS_current!$B$4:$B$138, 0), MATCH(CB$4&amp;CB$5, LS_current!$D$2:$AY$2&amp;LS_current!$D$3:$AY$3, 0)),SUM(VLOOKUP($A110, LS_current!$B$4:$AY$138, LS_current!G$148, FALSE), VLOOKUP($A110, LS_current!$B$4:$AY$138,LS_current!AE$148, FALSE))/2)</f>
        <v>69.450084096140017</v>
      </c>
      <c r="CC110" s="192">
        <f t="array" ref="CC110">IF($BT110=0, INDEX(LS_current!$D$4:$AY$138, MATCH('Staging Table'!$A110, LS_current!$B$4:$B$138, 0), MATCH(CC$4&amp;CC$5, LS_current!$D$2:$AY$2&amp;LS_current!$D$3:$AY$3, 0)),SUM(VLOOKUP($A110, LS_current!$B$4:$AY$138, LS_current!H$148, FALSE), VLOOKUP($A110, LS_current!$B$4:$AY$138,LS_current!AF$148, FALSE))/2)</f>
        <v>2800.9030501577463</v>
      </c>
      <c r="CD110" s="192">
        <f t="array" ref="CD110">IF($BT110=0, INDEX(LS_current!$D$4:$AY$138, MATCH('Staging Table'!$A110, LS_current!$B$4:$B$138, 0), MATCH(CD$4&amp;CD$5, LS_current!$D$2:$AY$2&amp;LS_current!$D$3:$AY$3, 0)),SUM(VLOOKUP($A110, LS_current!$B$4:$AY$138, LS_current!I$148, FALSE), VLOOKUP($A110, LS_current!$B$4:$AY$138,LS_current!AG$148, FALSE))/2)</f>
        <v>883.97904410871524</v>
      </c>
      <c r="CE110" s="192">
        <f t="array" ref="CE110">IF($BT110=0, INDEX(LS_current!$D$4:$AY$138, MATCH('Staging Table'!$A110, LS_current!$B$4:$B$138, 0), MATCH(CE$4&amp;CE$5, LS_current!$D$2:$AY$2&amp;LS_current!$D$3:$AY$3, 0)),SUM(VLOOKUP($A110, LS_current!$B$4:$AY$138, LS_current!J$148, FALSE), VLOOKUP($A110, LS_current!$B$4:$AY$138,LS_current!AH$148, FALSE))/2)</f>
        <v>3882.9268269538888</v>
      </c>
      <c r="CF110" s="192">
        <f t="array" ref="CF110">IF($BT110=0, INDEX(LS_current!$D$4:$AY$138, MATCH('Staging Table'!$A110, LS_current!$B$4:$B$138, 0), MATCH(CF$4&amp;CF$5, LS_current!$D$2:$AY$2&amp;LS_current!$D$3:$AY$3, 0)),SUM(VLOOKUP($A110, LS_current!$B$4:$AY$138, LS_current!K$148, FALSE), VLOOKUP($A110, LS_current!$B$4:$AY$138,LS_current!AI$148, FALSE))/2)</f>
        <v>2361.1831880081445</v>
      </c>
      <c r="CG110" s="192">
        <f t="array" ref="CG110">IF($BT110=0, INDEX(LS_current!$D$4:$AY$138, MATCH('Staging Table'!$A110, LS_current!$B$4:$B$138, 0), MATCH(CG$4&amp;CG$5, LS_current!$D$2:$AY$2&amp;LS_current!$D$3:$AY$3, 0)),SUM(VLOOKUP($A110, LS_current!$B$4:$AY$138, LS_current!L$148, FALSE), VLOOKUP($A110, LS_current!$B$4:$AY$138,LS_current!AJ$148, FALSE))/2)</f>
        <v>3714.8171699662607</v>
      </c>
      <c r="CH110" s="192">
        <f t="array" ref="CH110">IF($BT110=0, INDEX(LS_current!$D$4:$AY$138, MATCH('Staging Table'!$A110, LS_current!$B$4:$B$138, 0), MATCH(CH$4&amp;CH$5, LS_current!$D$2:$AY$2&amp;LS_current!$D$3:$AY$3, 0)),SUM(VLOOKUP($A110, LS_current!$B$4:$AY$138, LS_current!M$148, FALSE), VLOOKUP($A110, LS_current!$B$4:$AY$138,LS_current!AK$148, FALSE))/2)</f>
        <v>1547.680193798727</v>
      </c>
      <c r="CI110" s="192">
        <f t="array" ref="CI110">IF($BT110=0, INDEX(LS_current!$D$4:$AY$138, MATCH('Staging Table'!$A110, LS_current!$B$4:$B$138, 0), MATCH(CI$4&amp;CI$5, LS_current!$D$2:$AY$2&amp;LS_current!$D$3:$AY$3, 0)),SUM(VLOOKUP($A110, LS_current!$B$4:$AY$138, LS_current!N$148, FALSE), VLOOKUP($A110, LS_current!$B$4:$AY$138,LS_current!AL$148, FALSE))/2)</f>
        <v>2856.703270345979</v>
      </c>
      <c r="CJ110" s="192">
        <f t="array" ref="CJ110">IF($BT110=0, INDEX(LS_current!$D$4:$AY$138, MATCH('Staging Table'!$A110, LS_current!$B$4:$B$138, 0), MATCH(CJ$4&amp;CJ$5, LS_current!$D$2:$AY$2&amp;LS_current!$D$3:$AY$3, 0)),SUM(VLOOKUP($A110, LS_current!$B$4:$AY$138, LS_current!O$148, FALSE), VLOOKUP($A110, LS_current!$B$4:$AY$138,LS_current!AM$148, FALSE))/2)</f>
        <v>1182.902206148191</v>
      </c>
      <c r="CK110" s="192">
        <f t="array" ref="CK110">IF($BT110=0, INDEX(LS_current!$D$4:$AY$138, MATCH('Staging Table'!$A110, LS_current!$B$4:$B$138, 0), MATCH(CK$4&amp;CK$5, LS_current!$D$2:$AY$2&amp;LS_current!$D$3:$AY$3, 0)),SUM(VLOOKUP($A110, LS_current!$B$4:$AY$138, LS_current!P$148, FALSE), VLOOKUP($A110, LS_current!$B$4:$AY$138,LS_current!AN$148, FALSE))/2)</f>
        <v>2109.2237741310973</v>
      </c>
      <c r="CL110" s="192">
        <f t="array" ref="CL110">IF($BT110=0, INDEX(LS_current!$D$4:$AY$138, MATCH('Staging Table'!$A110, LS_current!$B$4:$B$138, 0), MATCH(CL$4&amp;CL$5, LS_current!$D$2:$AY$2&amp;LS_current!$D$3:$AY$3, 0)),SUM(VLOOKUP($A110, LS_current!$B$4:$AY$138, LS_current!Q$148, FALSE), VLOOKUP($A110, LS_current!$B$4:$AY$138,LS_current!AO$148, FALSE))/2)</f>
        <v>851.86703765436687</v>
      </c>
      <c r="CM110" s="192">
        <f t="array" ref="CM110">IF($BT110=0, INDEX(LS_current!$D$4:$AY$138, MATCH('Staging Table'!$A110, LS_current!$B$4:$B$138, 0), MATCH(CM$4&amp;CM$5, LS_current!$D$2:$AY$2&amp;LS_current!$D$3:$AY$3, 0)),SUM(VLOOKUP($A110, LS_current!$B$4:$AY$138, LS_current!R$148, FALSE), VLOOKUP($A110, LS_current!$B$4:$AY$138,LS_current!AP$148, FALSE))/2)</f>
        <v>-1934.353470009286</v>
      </c>
      <c r="CN110" s="192">
        <f t="array" ref="CN110">IF($BT110=0, INDEX(LS_current!$D$4:$AY$138, MATCH('Staging Table'!$A110, LS_current!$B$4:$B$138, 0), MATCH(CN$4&amp;CN$5, LS_current!$D$2:$AY$2&amp;LS_current!$D$3:$AY$3, 0)),SUM(VLOOKUP($A110, LS_current!$B$4:$AY$138, LS_current!S$148, FALSE), VLOOKUP($A110, LS_current!$B$4:$AY$138,LS_current!AQ$148, FALSE))/2)</f>
        <v>-61.465778116132242</v>
      </c>
      <c r="CO110" s="192">
        <f t="array" ref="CO110">IF($BT110=0, INDEX(LS_current!$D$4:$AY$138, MATCH('Staging Table'!$A110, LS_current!$B$4:$B$138, 0), MATCH(CO$4&amp;CO$5, LS_current!$D$2:$AY$2&amp;LS_current!$D$3:$AY$3, 0)),SUM(VLOOKUP($A110, LS_current!$B$4:$AY$138, LS_current!T$148, FALSE), VLOOKUP($A110, LS_current!$B$4:$AY$138,LS_current!AR$148, FALSE))/2)</f>
        <v>-2765.458093063261</v>
      </c>
      <c r="CP110" s="192">
        <f t="array" ref="CP110">IF($BT110=0, INDEX(LS_current!$D$4:$AY$138, MATCH('Staging Table'!$A110, LS_current!$B$4:$B$138, 0), MATCH(CP$4&amp;CP$5, LS_current!$D$2:$AY$2&amp;LS_current!$D$3:$AY$3, 0)),SUM(VLOOKUP($A110, LS_current!$B$4:$AY$138, LS_current!U$148, FALSE), VLOOKUP($A110, LS_current!$B$4:$AY$138,LS_current!AS$148, FALSE))/2)</f>
        <v>-419.57436371794711</v>
      </c>
      <c r="CQ110" s="192">
        <f t="array" ref="CQ110">IF($BT110=0, INDEX(LS_current!$D$4:$AY$138, MATCH('Staging Table'!$A110, LS_current!$B$4:$B$138, 0), MATCH(CQ$4&amp;CQ$5, LS_current!$D$2:$AY$2&amp;LS_current!$D$3:$AY$3, 0)),SUM(VLOOKUP($A110, LS_current!$B$4:$AY$138, LS_current!V$148, FALSE), VLOOKUP($A110, LS_current!$B$4:$AY$138,LS_current!AT$148, FALSE))/2)</f>
        <v>-1617.4262620298223</v>
      </c>
      <c r="CR110" s="192">
        <f t="array" ref="CR110">IF($BT110=0, INDEX(LS_current!$D$4:$AY$138, MATCH('Staging Table'!$A110, LS_current!$B$4:$B$138, 0), MATCH(CR$4&amp;CR$5, LS_current!$D$2:$AY$2&amp;LS_current!$D$3:$AY$3, 0)),SUM(VLOOKUP($A110, LS_current!$B$4:$AY$138, LS_current!W$148, FALSE), VLOOKUP($A110, LS_current!$B$4:$AY$138,LS_current!AU$148, FALSE))/2)</f>
        <v>-68.41952113558591</v>
      </c>
      <c r="CS110" s="192">
        <f t="array" ref="CS110">IF($BT110=0, INDEX(LS_current!$D$4:$AY$138, MATCH('Staging Table'!$A110, LS_current!$B$4:$B$138, 0), MATCH(CS$4&amp;CS$5, LS_current!$D$2:$AY$2&amp;LS_current!$D$3:$AY$3, 0)),SUM(VLOOKUP($A110, LS_current!$B$4:$AY$138, LS_current!X$148, FALSE), VLOOKUP($A110, LS_current!$B$4:$AY$138,LS_current!AV$148, FALSE))/2)</f>
        <v>-1022.2747177814908</v>
      </c>
      <c r="CT110" s="192">
        <f t="array" ref="CT110">IF($BT110=0, INDEX(LS_current!$D$4:$AY$138, MATCH('Staging Table'!$A110, LS_current!$B$4:$B$138, 0), MATCH(CT$4&amp;CT$5, LS_current!$D$2:$AY$2&amp;LS_current!$D$3:$AY$3, 0)),SUM(VLOOKUP($A110, LS_current!$B$4:$AY$138, LS_current!Y$148, FALSE), VLOOKUP($A110, LS_current!$B$4:$AY$138,LS_current!AW$148, FALSE))/2)</f>
        <v>-393.82316359609376</v>
      </c>
      <c r="CU110" s="192">
        <f t="array" ref="CU110">IF($BT110=0, INDEX(LS_current!$D$4:$AY$138, MATCH('Staging Table'!$A110, LS_current!$B$4:$B$138, 0), MATCH(CU$4&amp;CU$5, LS_current!$D$2:$AY$2&amp;LS_current!$D$3:$AY$3, 0)),SUM(VLOOKUP($A110, LS_current!$B$4:$AY$138, LS_current!Z$148, FALSE), VLOOKUP($A110, LS_current!$B$4:$AY$138,LS_current!AX$148, FALSE))/2)</f>
        <v>-822.41547999119848</v>
      </c>
      <c r="CV110" s="192">
        <f t="array" ref="CV110">IF($BT110=0, INDEX(LS_current!$D$4:$AY$138, MATCH('Staging Table'!$A110, LS_current!$B$4:$B$138, 0), MATCH(CV$4&amp;CV$5, LS_current!$D$2:$AY$2&amp;LS_current!$D$3:$AY$3, 0)),SUM(VLOOKUP($A110, LS_current!$B$4:$AY$138, LS_current!AA$148, FALSE), VLOOKUP($A110, LS_current!$B$4:$AY$138,LS_current!AY$148, FALSE))/2)</f>
        <v>-456.34323086827726</v>
      </c>
      <c r="CW110" s="194">
        <f t="array" ref="CW110">INDEX(Demand_current!$D$4:$AY$138, MATCH($A110, Demand_current!$B$4:$B$138, 0), MATCH(CW$4&amp;CW$5,Demand_current!$D$2:$AY$2&amp;Demand_current!$D$3:$AY$3, 0))/1000</f>
        <v>0</v>
      </c>
      <c r="CX110" s="194">
        <f t="array" ref="CX110">INDEX(Demand_current!$D$4:$AY$138, MATCH($A110, Demand_current!$B$4:$B$138, 0), MATCH(CX$4&amp;CX$5,Demand_current!$D$2:$AY$2&amp;Demand_current!$D$3:$AY$3, 0))/1000</f>
        <v>0.10268749999999914</v>
      </c>
      <c r="CY110" s="194">
        <f t="array" ref="CY110">INDEX(Demand_current!$D$4:$AY$138, MATCH($A110, Demand_current!$B$4:$B$138, 0), MATCH(CY$4&amp;CY$5,Demand_current!$D$2:$AY$2&amp;Demand_current!$D$3:$AY$3, 0))/1000</f>
        <v>2.1646490384615382</v>
      </c>
      <c r="CZ110" s="194">
        <f t="array" ref="CZ110">INDEX(Demand_current!$D$4:$AY$138, MATCH($A110, Demand_current!$B$4:$B$138, 0), MATCH(CZ$4&amp;CZ$5,Demand_current!$D$2:$AY$2&amp;Demand_current!$D$3:$AY$3, 0))/1000</f>
        <v>1.6816375000000008</v>
      </c>
      <c r="DA110" s="194">
        <f t="array" ref="DA110">INDEX(Demand_current!$D$4:$AY$138, MATCH($A110, Demand_current!$B$4:$B$138, 0), MATCH(DA$4&amp;DA$5,Demand_current!$D$2:$AY$2&amp;Demand_current!$D$3:$AY$3, 0))/1000</f>
        <v>4.2341927083333317</v>
      </c>
      <c r="DB110" s="194">
        <f t="array" ref="DB110">INDEX(Demand_current!$D$4:$AY$138, MATCH($A110, Demand_current!$B$4:$B$138, 0), MATCH(DB$4&amp;DB$5,Demand_current!$D$2:$AY$2&amp;Demand_current!$D$3:$AY$3, 0))/1000</f>
        <v>2.8635601851851815</v>
      </c>
      <c r="DC110" s="194">
        <f t="array" ref="DC110">INDEX(Demand_current!$D$4:$AY$138, MATCH($A110, Demand_current!$B$4:$B$138, 0), MATCH(DC$4&amp;DC$5,Demand_current!$D$2:$AY$2&amp;Demand_current!$D$3:$AY$3, 0))/1000</f>
        <v>1.2529783653846147</v>
      </c>
      <c r="DD110" s="194">
        <f t="array" ref="DD110">INDEX(Demand_current!$D$4:$AY$138, MATCH($A110, Demand_current!$B$4:$B$138, 0), MATCH(DD$4&amp;DD$5,Demand_current!$D$2:$AY$2&amp;Demand_current!$D$3:$AY$3, 0))/1000</f>
        <v>0.4885424999999976</v>
      </c>
      <c r="DE110" s="194">
        <f t="array" ref="DE110">INDEX(Demand_current!$D$4:$AY$138, MATCH($A110, Demand_current!$B$4:$B$138, 0), MATCH(DE$4&amp;DE$5,Demand_current!$D$2:$AY$2&amp;Demand_current!$D$3:$AY$3, 0))/1000</f>
        <v>1.6718846153846161</v>
      </c>
      <c r="DF110" s="194">
        <f t="array" ref="DF110">INDEX(Demand_current!$D$4:$AY$138, MATCH($A110, Demand_current!$B$4:$B$138, 0), MATCH(DF$4&amp;DF$5,Demand_current!$D$2:$AY$2&amp;Demand_current!$D$3:$AY$3, 0))/1000</f>
        <v>0.74099999999999921</v>
      </c>
      <c r="DG110" s="194">
        <f t="array" ref="DG110">INDEX(Demand_current!$D$4:$AY$138, MATCH($A110, Demand_current!$B$4:$B$138, 0), MATCH(DG$4&amp;DG$5,Demand_current!$D$2:$AY$2&amp;Demand_current!$D$3:$AY$3, 0))/1000</f>
        <v>3.4764560185185172</v>
      </c>
      <c r="DH110" s="194">
        <f t="array" ref="DH110">INDEX(Demand_current!$D$4:$AY$138, MATCH($A110, Demand_current!$B$4:$B$138, 0), MATCH(DH$4&amp;DH$5,Demand_current!$D$2:$AY$2&amp;Demand_current!$D$3:$AY$3, 0))/1000</f>
        <v>0.96781250000000174</v>
      </c>
      <c r="DI110" s="192">
        <f>$BS110*(VLOOKUP(DI$4, Rates_current!$G$6:$Q$29, 10, FALSE)+VLOOKUP(DI$4, Rates_current!$G$6:$Q$29, 11, FALSE))</f>
        <v>10257.259365326581</v>
      </c>
      <c r="DJ110" s="192">
        <f>$BS110*(VLOOKUP(DJ$4, Rates_current!$G$6:$Q$29, 10, FALSE)+VLOOKUP(DJ$4, Rates_current!$G$6:$Q$29, 11, FALSE))</f>
        <v>12986.06261806307</v>
      </c>
      <c r="DK110" s="192">
        <f>$BS110*(VLOOKUP(DK$4, Rates_current!$G$6:$Q$29, 10, FALSE)+VLOOKUP(DK$4, Rates_current!$G$6:$Q$29, 11, FALSE))</f>
        <v>12710.760905733539</v>
      </c>
      <c r="DL110" s="192">
        <f>$BS110*(VLOOKUP(DL$4, Rates_current!$G$6:$Q$29, 10, FALSE)+VLOOKUP(DL$4, Rates_current!$G$6:$Q$29, 11, FALSE))</f>
        <v>10498.547985037967</v>
      </c>
      <c r="DM110" s="192">
        <f>$BS110*(VLOOKUP(DM$4, Rates_current!$G$6:$Q$29, 10, FALSE)+VLOOKUP(DM$4, Rates_current!$G$6:$Q$29, 11, FALSE))</f>
        <v>9099.321636235014</v>
      </c>
      <c r="DN110" s="192">
        <f>$BS110*(VLOOKUP(DN$4, Rates_current!$G$6:$Q$29, 10, FALSE)+VLOOKUP(DN$4, Rates_current!$G$6:$Q$29, 11, FALSE))</f>
        <v>10862.752523505831</v>
      </c>
      <c r="DO110" s="192">
        <f>$BS110*(VLOOKUP(DO$4, Rates_current!$G$6:$Q$29, 10, FALSE)+VLOOKUP(DO$4, Rates_current!$G$6:$Q$29, 11, FALSE))</f>
        <v>8433.481188214535</v>
      </c>
      <c r="DP110" s="192">
        <f>$BS110*(VLOOKUP(DP$4, Rates_current!$G$6:$Q$29, 10, FALSE)+VLOOKUP(DP$4, Rates_current!$G$6:$Q$29, 11, FALSE))</f>
        <v>11684.650248125417</v>
      </c>
      <c r="DQ110" s="192">
        <f>$BS110*(VLOOKUP(DQ$4, Rates_current!$G$6:$Q$29, 10, FALSE)+VLOOKUP(DQ$4, Rates_current!$G$6:$Q$29, 11, FALSE))</f>
        <v>12485.293456781206</v>
      </c>
      <c r="DR110" s="192">
        <f>$BS110*(VLOOKUP(DR$4, Rates_current!$G$6:$Q$29, 10, FALSE)+VLOOKUP(DR$4, Rates_current!$G$6:$Q$29, 11, FALSE))</f>
        <v>11854.220783165409</v>
      </c>
      <c r="DS110" s="192">
        <f>$BS110*(VLOOKUP(DS$4, Rates_current!$G$6:$Q$29, 10, FALSE)+VLOOKUP(DS$4, Rates_current!$G$6:$Q$29, 11, FALSE))</f>
        <v>11456.189881377584</v>
      </c>
      <c r="DT110" s="192">
        <f>$BS110*(VLOOKUP(DT$4, Rates_current!$G$6:$Q$29, 10, FALSE)+VLOOKUP(DT$4, Rates_current!$G$6:$Q$29, 11, FALSE))</f>
        <v>10586.713710859476</v>
      </c>
      <c r="DU110" s="418">
        <f>IF(D110=0,IF(C110=0,MAX(0,DW110 - (VLOOKUP($A110,TOCA_current!$A$2:$AI$137,MATCH("RHWM 2022",TOCA_current!$A$2:$AI$2,0),FALSE)*$BS$2)), 0),0)</f>
        <v>13750.001799190359</v>
      </c>
      <c r="DV110" s="419">
        <f>MIN(VLOOKUP($A110,TOCA_current!$A$2:$AI$137,MATCH("TRL - NLSL - Existing Resource "&amp;$BS$1,TOCA_current!$A$2:$AI$2,0),FALSE)*$BS$2, VLOOKUP($A110,TOCA_current!$A$2:$AI$137,MATCH("RHWM 2022",TOCA_current!$A$2:$AI$2,0),FALSE)*$BS$2)</f>
        <v>132915.48000000001</v>
      </c>
      <c r="DW110" s="419">
        <f>SUM(BY110:CV110)+(BS110*RT1SC!$C$4*$BS$2)</f>
        <v>146665.48179919037</v>
      </c>
      <c r="DX110" s="419">
        <f>VLOOKUP($A110,TOCA_current!$A$2:$AI$137,MATCH("Above RHWM Not Served with LS "&amp;$BS$1,TOCA_current!$A$2:$AI$2,0),FALSE)*$BS$2</f>
        <v>0</v>
      </c>
      <c r="DY110" s="419">
        <f t="shared" si="32"/>
        <v>13750.001799190359</v>
      </c>
      <c r="DZ110" s="419">
        <f>(VLOOKUP($A110,TOCA_current!$A$2:$AI$137,MATCH("RHWM 2022",TOCA_current!$A$2:$AI$2,0),FALSE)*$BS$2) - $DV110</f>
        <v>0</v>
      </c>
      <c r="EA110" s="419">
        <f t="shared" si="33"/>
        <v>0</v>
      </c>
      <c r="EB110" s="419">
        <f t="shared" si="34"/>
        <v>0</v>
      </c>
      <c r="EC110" s="419">
        <f t="shared" si="35"/>
        <v>0</v>
      </c>
      <c r="ED110" s="419">
        <f t="shared" si="36"/>
        <v>0</v>
      </c>
    </row>
    <row r="111" spans="1:134">
      <c r="A111" s="135">
        <v>10354</v>
      </c>
      <c r="B111" s="136" t="s">
        <v>112</v>
      </c>
      <c r="C111" s="244">
        <f>VLOOKUP(A111, TOCA_current!$A$3:$D$137, 4, FALSE)</f>
        <v>0</v>
      </c>
      <c r="D111" s="203">
        <v>1</v>
      </c>
      <c r="E111" s="119">
        <f>VLOOKUP($A111,TOCA_previous!$A$2:$AI$137,MATCH(E$4,TOCA_previous!$A$2:$AI$2,0),FALSE)</f>
        <v>0.1001995</v>
      </c>
      <c r="F111" s="120">
        <f>VLOOKUP($A111,TOCA_previous!$A$2:$AI$137,MATCH(F$4,TOCA_previous!$A$2:$AI$2,0),FALSE)</f>
        <v>4.5835799999999996E-2</v>
      </c>
      <c r="G111" s="120">
        <f t="shared" si="24"/>
        <v>5.4363700000000001E-2</v>
      </c>
      <c r="H111" s="120">
        <f>VLOOKUP($A111,TOCA_previous!$A$2:$AI$137,MATCH(H$4,TOCA_previous!$A$2:$AI$2,0),FALSE)</f>
        <v>0</v>
      </c>
      <c r="I111" s="120">
        <f t="shared" si="25"/>
        <v>0</v>
      </c>
      <c r="J111" s="120">
        <f t="shared" si="26"/>
        <v>0</v>
      </c>
      <c r="K111" s="191">
        <f>VLOOKUP(A111, IRD!$A$5:$C$139, 3, FALSE)</f>
        <v>0</v>
      </c>
      <c r="L111" s="192">
        <f t="array" ref="L111">IF($G111=0, INDEX(LS_previous!$D$4:$AY$138, MATCH('Staging Table'!$A111, LS_previous!$B$4:$B$138, 0), MATCH(L$4&amp;L$5, LS_previous!$D$2:$AY$2&amp;LS_previous!$D$3:$AY$3, 0)),SUM(VLOOKUP($A111, LS_previous!$B$4:$AY$138, LS_previous!D$149, FALSE), VLOOKUP('Staging Table'!$A111, LS_previous!$B$4:$AY$138,LS_previous!AB$149, FALSE))/2)</f>
        <v>-3431.2899111665174</v>
      </c>
      <c r="M111" s="192">
        <f t="array" ref="M111">IF($G111=0, INDEX(LS_previous!$D$4:$AY$138, MATCH('Staging Table'!$A111, LS_previous!$B$4:$B$138, 0), MATCH(M$4&amp;M$5, LS_previous!$D$2:$AY$2&amp;LS_previous!$D$3:$AY$3, 0)),SUM(VLOOKUP($A111, LS_previous!$B$4:$AY$138, LS_previous!E$149, FALSE), VLOOKUP('Staging Table'!$A111, LS_previous!$B$4:$AY$138,LS_previous!AC$149, FALSE))/2)</f>
        <v>23305.670478747787</v>
      </c>
      <c r="N111" s="192">
        <f t="array" ref="N111">IF($G111=0, INDEX(LS_previous!$D$4:$AY$138, MATCH('Staging Table'!$A111, LS_previous!$B$4:$B$138, 0), MATCH(N$4&amp;N$5, LS_previous!$D$2:$AY$2&amp;LS_previous!$D$3:$AY$3, 0)),SUM(VLOOKUP($A111, LS_previous!$B$4:$AY$138, LS_previous!F$149, FALSE), VLOOKUP('Staging Table'!$A111, LS_previous!$B$4:$AY$138,LS_previous!AD$149, FALSE))/2)</f>
        <v>-27161.819332195024</v>
      </c>
      <c r="O111" s="192">
        <f t="array" ref="O111">IF($G111=0, INDEX(LS_previous!$D$4:$AY$138, MATCH('Staging Table'!$A111, LS_previous!$B$4:$B$138, 0), MATCH(O$4&amp;O$5, LS_previous!$D$2:$AY$2&amp;LS_previous!$D$3:$AY$3, 0)),SUM(VLOOKUP($A111, LS_previous!$B$4:$AY$138, LS_previous!G$149, FALSE), VLOOKUP('Staging Table'!$A111, LS_previous!$B$4:$AY$138,LS_previous!AE$149, FALSE))/2)</f>
        <v>18196.467755376369</v>
      </c>
      <c r="P111" s="192">
        <f t="array" ref="P111">IF($G111=0, INDEX(LS_previous!$D$4:$AY$138, MATCH('Staging Table'!$A111, LS_previous!$B$4:$B$138, 0), MATCH(P$4&amp;P$5, LS_previous!$D$2:$AY$2&amp;LS_previous!$D$3:$AY$3, 0)),SUM(VLOOKUP($A111, LS_previous!$B$4:$AY$138, LS_previous!H$149, FALSE), VLOOKUP('Staging Table'!$A111, LS_previous!$B$4:$AY$138,LS_previous!AF$149, FALSE))/2)</f>
        <v>783.38849376096914</v>
      </c>
      <c r="Q111" s="192">
        <f t="array" ref="Q111">IF($G111=0, INDEX(LS_previous!$D$4:$AY$138, MATCH('Staging Table'!$A111, LS_previous!$B$4:$B$138, 0), MATCH(Q$4&amp;Q$5, LS_previous!$D$2:$AY$2&amp;LS_previous!$D$3:$AY$3, 0)),SUM(VLOOKUP($A111, LS_previous!$B$4:$AY$138, LS_previous!I$149, FALSE), VLOOKUP('Staging Table'!$A111, LS_previous!$B$4:$AY$138,LS_previous!AG$149, FALSE))/2)</f>
        <v>35666.911535970736</v>
      </c>
      <c r="R111" s="192">
        <f t="array" ref="R111">IF($G111=0, INDEX(LS_previous!$D$4:$AY$138, MATCH('Staging Table'!$A111, LS_previous!$B$4:$B$138, 0), MATCH(R$4&amp;R$5, LS_previous!$D$2:$AY$2&amp;LS_previous!$D$3:$AY$3, 0)),SUM(VLOOKUP($A111, LS_previous!$B$4:$AY$138, LS_previous!J$149, FALSE), VLOOKUP('Staging Table'!$A111, LS_previous!$B$4:$AY$138,LS_previous!AH$149, FALSE))/2)</f>
        <v>23392.017895474928</v>
      </c>
      <c r="S111" s="192">
        <f t="array" ref="S111">IF($G111=0, INDEX(LS_previous!$D$4:$AY$138, MATCH('Staging Table'!$A111, LS_previous!$B$4:$B$138, 0), MATCH(S$4&amp;S$5, LS_previous!$D$2:$AY$2&amp;LS_previous!$D$3:$AY$3, 0)),SUM(VLOOKUP($A111, LS_previous!$B$4:$AY$138, LS_previous!K$149, FALSE), VLOOKUP('Staging Table'!$A111, LS_previous!$B$4:$AY$138,LS_previous!AI$149, FALSE))/2)</f>
        <v>51449.509616768883</v>
      </c>
      <c r="T111" s="192">
        <f t="array" ref="T111">IF($G111=0, INDEX(LS_previous!$D$4:$AY$138, MATCH('Staging Table'!$A111, LS_previous!$B$4:$B$138, 0), MATCH(T$4&amp;T$5, LS_previous!$D$2:$AY$2&amp;LS_previous!$D$3:$AY$3, 0)),SUM(VLOOKUP($A111, LS_previous!$B$4:$AY$138, LS_previous!L$149, FALSE), VLOOKUP('Staging Table'!$A111, LS_previous!$B$4:$AY$138,LS_previous!AJ$149, FALSE))/2)</f>
        <v>18385.029619161593</v>
      </c>
      <c r="U111" s="192">
        <f t="array" ref="U111">IF($G111=0, INDEX(LS_previous!$D$4:$AY$138, MATCH('Staging Table'!$A111, LS_previous!$B$4:$B$138, 0), MATCH(U$4&amp;U$5, LS_previous!$D$2:$AY$2&amp;LS_previous!$D$3:$AY$3, 0)),SUM(VLOOKUP($A111, LS_previous!$B$4:$AY$138, LS_previous!M$149, FALSE), VLOOKUP('Staging Table'!$A111, LS_previous!$B$4:$AY$138,LS_previous!AK$149, FALSE))/2)</f>
        <v>33223.662952623548</v>
      </c>
      <c r="V111" s="192">
        <f t="array" ref="V111">IF($G111=0, INDEX(LS_previous!$D$4:$AY$138, MATCH('Staging Table'!$A111, LS_previous!$B$4:$B$138, 0), MATCH(V$4&amp;V$5, LS_previous!$D$2:$AY$2&amp;LS_previous!$D$3:$AY$3, 0)),SUM(VLOOKUP($A111, LS_previous!$B$4:$AY$138, LS_previous!N$149, FALSE), VLOOKUP('Staging Table'!$A111, LS_previous!$B$4:$AY$138,LS_previous!AL$149, FALSE))/2)</f>
        <v>1594.472060224798</v>
      </c>
      <c r="W111" s="192">
        <f t="array" ref="W111">IF($G111=0, INDEX(LS_previous!$D$4:$AY$138, MATCH('Staging Table'!$A111, LS_previous!$B$4:$B$138, 0), MATCH(W$4&amp;W$5, LS_previous!$D$2:$AY$2&amp;LS_previous!$D$3:$AY$3, 0)),SUM(VLOOKUP($A111, LS_previous!$B$4:$AY$138, LS_previous!O$149, FALSE), VLOOKUP('Staging Table'!$A111, LS_previous!$B$4:$AY$138,LS_previous!AM$149, FALSE))/2)</f>
        <v>26566.764152195639</v>
      </c>
      <c r="X111" s="192">
        <f t="array" ref="X111">IF($G111=0, INDEX(LS_previous!$D$4:$AY$138, MATCH('Staging Table'!$A111, LS_previous!$B$4:$B$138, 0), MATCH(X$4&amp;X$5, LS_previous!$D$2:$AY$2&amp;LS_previous!$D$3:$AY$3, 0)),SUM(VLOOKUP($A111, LS_previous!$B$4:$AY$138, LS_previous!P$149, FALSE), VLOOKUP('Staging Table'!$A111, LS_previous!$B$4:$AY$138,LS_previous!AN$149, FALSE))/2)</f>
        <v>12933.772944719894</v>
      </c>
      <c r="Y111" s="192">
        <f t="array" ref="Y111">IF($G111=0, INDEX(LS_previous!$D$4:$AY$138, MATCH('Staging Table'!$A111, LS_previous!$B$4:$B$138, 0), MATCH(Y$4&amp;Y$5, LS_previous!$D$2:$AY$2&amp;LS_previous!$D$3:$AY$3, 0)),SUM(VLOOKUP($A111, LS_previous!$B$4:$AY$138, LS_previous!Q$149, FALSE), VLOOKUP('Staging Table'!$A111, LS_previous!$B$4:$AY$138,LS_previous!AO$149, FALSE))/2)</f>
        <v>25563.753707101081</v>
      </c>
      <c r="Z111" s="192">
        <f t="array" ref="Z111">IF($G111=0, INDEX(LS_previous!$D$4:$AY$138, MATCH('Staging Table'!$A111, LS_previous!$B$4:$B$138, 0), MATCH(Z$4&amp;Z$5, LS_previous!$D$2:$AY$2&amp;LS_previous!$D$3:$AY$3, 0)),SUM(VLOOKUP($A111, LS_previous!$B$4:$AY$138, LS_previous!R$149, FALSE), VLOOKUP('Staging Table'!$A111, LS_previous!$B$4:$AY$138,LS_previous!AP$149, FALSE))/2)</f>
        <v>-46393.952765952781</v>
      </c>
      <c r="AA111" s="192">
        <f t="array" ref="AA111">IF($G111=0, INDEX(LS_previous!$D$4:$AY$138, MATCH('Staging Table'!$A111, LS_previous!$B$4:$B$138, 0), MATCH(AA$4&amp;AA$5, LS_previous!$D$2:$AY$2&amp;LS_previous!$D$3:$AY$3, 0)),SUM(VLOOKUP($A111, LS_previous!$B$4:$AY$138, LS_previous!S$149, FALSE), VLOOKUP('Staging Table'!$A111, LS_previous!$B$4:$AY$138,LS_previous!AQ$149, FALSE))/2)</f>
        <v>10588.144377707111</v>
      </c>
      <c r="AB111" s="192">
        <f t="array" ref="AB111">IF($G111=0, INDEX(LS_previous!$D$4:$AY$138, MATCH('Staging Table'!$A111, LS_previous!$B$4:$B$138, 0), MATCH(AB$4&amp;AB$5, LS_previous!$D$2:$AY$2&amp;LS_previous!$D$3:$AY$3, 0)),SUM(VLOOKUP($A111, LS_previous!$B$4:$AY$138, LS_previous!T$149, FALSE), VLOOKUP('Staging Table'!$A111, LS_previous!$B$4:$AY$138,LS_previous!AR$149, FALSE))/2)</f>
        <v>-86613.98192492986</v>
      </c>
      <c r="AC111" s="192">
        <f t="array" ref="AC111">IF($G111=0, INDEX(LS_previous!$D$4:$AY$138, MATCH('Staging Table'!$A111, LS_previous!$B$4:$B$138, 0), MATCH(AC$4&amp;AC$5, LS_previous!$D$2:$AY$2&amp;LS_previous!$D$3:$AY$3, 0)),SUM(VLOOKUP($A111, LS_previous!$B$4:$AY$138, LS_previous!U$149, FALSE), VLOOKUP('Staging Table'!$A111, LS_previous!$B$4:$AY$138,LS_previous!AS$149, FALSE))/2)</f>
        <v>-24930.555361082414</v>
      </c>
      <c r="AD111" s="192">
        <f t="array" ref="AD111">IF($G111=0, INDEX(LS_previous!$D$4:$AY$138, MATCH('Staging Table'!$A111, LS_previous!$B$4:$B$138, 0), MATCH(AD$4&amp;AD$5, LS_previous!$D$2:$AY$2&amp;LS_previous!$D$3:$AY$3, 0)),SUM(VLOOKUP($A111, LS_previous!$B$4:$AY$138, LS_previous!V$149, FALSE), VLOOKUP('Staging Table'!$A111, LS_previous!$B$4:$AY$138,LS_previous!AT$149, FALSE))/2)</f>
        <v>-56321.47082248576</v>
      </c>
      <c r="AE111" s="192">
        <f t="array" ref="AE111">IF($G111=0, INDEX(LS_previous!$D$4:$AY$138, MATCH('Staging Table'!$A111, LS_previous!$B$4:$B$138, 0), MATCH(AE$4&amp;AE$5, LS_previous!$D$2:$AY$2&amp;LS_previous!$D$3:$AY$3, 0)),SUM(VLOOKUP($A111, LS_previous!$B$4:$AY$138, LS_previous!W$149, FALSE), VLOOKUP('Staging Table'!$A111, LS_previous!$B$4:$AY$138,LS_previous!AU$149, FALSE))/2)</f>
        <v>11988.546650682852</v>
      </c>
      <c r="AF111" s="192">
        <f t="array" ref="AF111">IF($G111=0, INDEX(LS_previous!$D$4:$AY$138, MATCH('Staging Table'!$A111, LS_previous!$B$4:$B$138, 0), MATCH(AF$4&amp;AF$5, LS_previous!$D$2:$AY$2&amp;LS_previous!$D$3:$AY$3, 0)),SUM(VLOOKUP($A111, LS_previous!$B$4:$AY$138, LS_previous!X$149, FALSE), VLOOKUP('Staging Table'!$A111, LS_previous!$B$4:$AY$138,LS_previous!AV$149, FALSE))/2)</f>
        <v>-51184.874220910759</v>
      </c>
      <c r="AG111" s="192">
        <f t="array" ref="AG111">IF($G111=0, INDEX(LS_previous!$D$4:$AY$138, MATCH('Staging Table'!$A111, LS_previous!$B$4:$B$138, 0), MATCH(AG$4&amp;AG$5, LS_previous!$D$2:$AY$2&amp;LS_previous!$D$3:$AY$3, 0)),SUM(VLOOKUP($A111, LS_previous!$B$4:$AY$138, LS_previous!Y$149, FALSE), VLOOKUP('Staging Table'!$A111, LS_previous!$B$4:$AY$138,LS_previous!AW$149, FALSE))/2)</f>
        <v>13244.50853868285</v>
      </c>
      <c r="AH111" s="192">
        <f t="array" ref="AH111">IF($G111=0, INDEX(LS_previous!$D$4:$AY$138, MATCH('Staging Table'!$A111, LS_previous!$B$4:$B$138, 0), MATCH(AH$4&amp;AH$5, LS_previous!$D$2:$AY$2&amp;LS_previous!$D$3:$AY$3, 0)),SUM(VLOOKUP($A111, LS_previous!$B$4:$AY$138, LS_previous!Z$149, FALSE), VLOOKUP('Staging Table'!$A111, LS_previous!$B$4:$AY$138,LS_previous!AX$149, FALSE))/2)</f>
        <v>-24124.680846879593</v>
      </c>
      <c r="AI111" s="192">
        <f t="array" ref="AI111">IF($G111=0, INDEX(LS_previous!$D$4:$AY$138, MATCH('Staging Table'!$A111, LS_previous!$B$4:$B$138, 0), MATCH(AI$4&amp;AI$5, LS_previous!$D$2:$AY$2&amp;LS_previous!$D$3:$AY$3, 0)),SUM(VLOOKUP($A111, LS_previous!$B$4:$AY$138, LS_previous!AA$149, FALSE), VLOOKUP('Staging Table'!$A111, LS_previous!$B$4:$AY$138,LS_previous!AY$149, FALSE))/2)</f>
        <v>13282.909687486324</v>
      </c>
      <c r="AJ111" s="314">
        <f t="array" ref="AJ111">INDEX(Demand_previous!$D$4:$AY$138, MATCH('Staging Table'!$A111, Demand_previous!$B$4:$B$138, 0), MATCH(AJ$4&amp;AJ$5,Demand_previous!$D$2:$AY$2&amp;Demand_previous!$D$3:$AY$3, 0))/1000</f>
        <v>0</v>
      </c>
      <c r="AK111" s="314">
        <f t="array" ref="AK111">INDEX(Demand_previous!$D$4:$AY$138, MATCH('Staging Table'!$A111, Demand_previous!$B$4:$B$138, 0), MATCH(AK$4&amp;AK$5,Demand_previous!$D$2:$AY$2&amp;Demand_previous!$D$3:$AY$3, 0))/1000</f>
        <v>0</v>
      </c>
      <c r="AL111" s="314">
        <f t="array" ref="AL111">INDEX(Demand_previous!$D$4:$AY$138, MATCH('Staging Table'!$A111, Demand_previous!$B$4:$B$138, 0), MATCH(AL$4&amp;AL$5,Demand_previous!$D$2:$AY$2&amp;Demand_previous!$D$3:$AY$3, 0))/1000</f>
        <v>0</v>
      </c>
      <c r="AM111" s="314">
        <f t="array" ref="AM111">INDEX(Demand_previous!$D$4:$AY$138, MATCH('Staging Table'!$A111, Demand_previous!$B$4:$B$138, 0), MATCH(AM$4&amp;AM$5,Demand_previous!$D$2:$AY$2&amp;Demand_previous!$D$3:$AY$3, 0))/1000</f>
        <v>0</v>
      </c>
      <c r="AN111" s="314">
        <f t="array" ref="AN111">INDEX(Demand_previous!$D$4:$AY$138, MATCH('Staging Table'!$A111, Demand_previous!$B$4:$B$138, 0), MATCH(AN$4&amp;AN$5,Demand_previous!$D$2:$AY$2&amp;Demand_previous!$D$3:$AY$3, 0))/1000</f>
        <v>0</v>
      </c>
      <c r="AO111" s="314">
        <f t="array" ref="AO111">INDEX(Demand_previous!$D$4:$AY$138, MATCH('Staging Table'!$A111, Demand_previous!$B$4:$B$138, 0), MATCH(AO$4&amp;AO$5,Demand_previous!$D$2:$AY$2&amp;Demand_previous!$D$3:$AY$3, 0))/1000</f>
        <v>0</v>
      </c>
      <c r="AP111" s="314">
        <f t="array" ref="AP111">INDEX(Demand_previous!$D$4:$AY$138, MATCH('Staging Table'!$A111, Demand_previous!$B$4:$B$138, 0), MATCH(AP$4&amp;AP$5,Demand_previous!$D$2:$AY$2&amp;Demand_previous!$D$3:$AY$3, 0))/1000</f>
        <v>0</v>
      </c>
      <c r="AQ111" s="314">
        <f t="array" ref="AQ111">INDEX(Demand_previous!$D$4:$AY$138, MATCH('Staging Table'!$A111, Demand_previous!$B$4:$B$138, 0), MATCH(AQ$4&amp;AQ$5,Demand_previous!$D$2:$AY$2&amp;Demand_previous!$D$3:$AY$3, 0))/1000</f>
        <v>0</v>
      </c>
      <c r="AR111" s="314">
        <f t="array" ref="AR111">INDEX(Demand_previous!$D$4:$AY$138, MATCH('Staging Table'!$A111, Demand_previous!$B$4:$B$138, 0), MATCH(AR$4&amp;AR$5,Demand_previous!$D$2:$AY$2&amp;Demand_previous!$D$3:$AY$3, 0))/1000</f>
        <v>0</v>
      </c>
      <c r="AS111" s="314">
        <f t="array" ref="AS111">INDEX(Demand_previous!$D$4:$AY$138, MATCH('Staging Table'!$A111, Demand_previous!$B$4:$B$138, 0), MATCH(AS$4&amp;AS$5,Demand_previous!$D$2:$AY$2&amp;Demand_previous!$D$3:$AY$3, 0))/1000</f>
        <v>0</v>
      </c>
      <c r="AT111" s="314">
        <f t="array" ref="AT111">INDEX(Demand_previous!$D$4:$AY$138, MATCH('Staging Table'!$A111, Demand_previous!$B$4:$B$138, 0), MATCH(AT$4&amp;AT$5,Demand_previous!$D$2:$AY$2&amp;Demand_previous!$D$3:$AY$3, 0))/1000</f>
        <v>0</v>
      </c>
      <c r="AU111" s="314">
        <f t="array" ref="AU111">INDEX(Demand_previous!$D$4:$AY$138, MATCH('Staging Table'!$A111, Demand_previous!$B$4:$B$138, 0), MATCH(AU$4&amp;AU$5,Demand_previous!$D$2:$AY$2&amp;Demand_previous!$D$3:$AY$3, 0))/1000</f>
        <v>0</v>
      </c>
      <c r="AV111" s="192">
        <f>$F111*(VLOOKUP(AV$4, Rates_previous!$G$6:$Q$29, 10, FALSE)+VLOOKUP(AV$4, Rates_previous!$G$6:$Q$29, 11, FALSE))</f>
        <v>211638.42753241677</v>
      </c>
      <c r="AW111" s="192">
        <f>$F111*(VLOOKUP(AW$4, Rates_previous!$G$6:$Q$29, 10, FALSE)+VLOOKUP(AW$4, Rates_previous!$G$6:$Q$29, 11, FALSE))</f>
        <v>268846.82485615619</v>
      </c>
      <c r="AX111" s="192">
        <f>$F111*(VLOOKUP(AX$4, Rates_previous!$G$6:$Q$29, 10, FALSE)+VLOOKUP(AX$4, Rates_previous!$G$6:$Q$29, 11, FALSE))</f>
        <v>265600.13566381682</v>
      </c>
      <c r="AY111" s="192">
        <f>$F111*(VLOOKUP(AY$4, Rates_previous!$G$6:$Q$29, 10, FALSE)+VLOOKUP(AY$4, Rates_previous!$G$6:$Q$29, 11, FALSE))</f>
        <v>221393.8900254168</v>
      </c>
      <c r="AZ111" s="192">
        <f>$F111*(VLOOKUP(AZ$4, Rates_previous!$G$6:$Q$29, 10, FALSE)+VLOOKUP(AZ$4, Rates_previous!$G$6:$Q$29, 11, FALSE))</f>
        <v>200559.89652143998</v>
      </c>
      <c r="BA111" s="192">
        <f>$F111*(VLOOKUP(BA$4, Rates_previous!$G$6:$Q$29, 10, FALSE)+VLOOKUP(BA$4, Rates_previous!$G$6:$Q$29, 11, FALSE))</f>
        <v>223086.31923314458</v>
      </c>
      <c r="BB111" s="192">
        <f>$F111*(VLOOKUP(BB$4, Rates_previous!$G$6:$Q$29, 10, FALSE)+VLOOKUP(BB$4, Rates_previous!$G$6:$Q$29, 11, FALSE))</f>
        <v>181637.12185358399</v>
      </c>
      <c r="BC111" s="192">
        <f>$F111*(VLOOKUP(BC$4, Rates_previous!$G$6:$Q$29, 10, FALSE)+VLOOKUP(BC$4, Rates_previous!$G$6:$Q$29, 11, FALSE))</f>
        <v>244964.74391431679</v>
      </c>
      <c r="BD111" s="192">
        <f>$F111*(VLOOKUP(BD$4, Rates_previous!$G$6:$Q$29, 10, FALSE)+VLOOKUP(BD$4, Rates_previous!$G$6:$Q$29, 11, FALSE))</f>
        <v>312558.35283368401</v>
      </c>
      <c r="BE111" s="192">
        <f>$F111*(VLOOKUP(BE$4, Rates_previous!$G$6:$Q$29, 10, FALSE)+VLOOKUP(BE$4, Rates_previous!$G$6:$Q$29, 11, FALSE))</f>
        <v>245055.65922361679</v>
      </c>
      <c r="BF111" s="192">
        <f>$F111*(VLOOKUP(BF$4, Rates_previous!$G$6:$Q$29, 10, FALSE)+VLOOKUP(BF$4, Rates_previous!$G$6:$Q$29, 11, FALSE))</f>
        <v>238635.41579971681</v>
      </c>
      <c r="BG111" s="192">
        <f>$F111*(VLOOKUP(BG$4, Rates_previous!$G$6:$Q$29, 10, FALSE)+VLOOKUP(BG$4, Rates_previous!$G$6:$Q$29, 11, FALSE))</f>
        <v>214243.83909338401</v>
      </c>
      <c r="BH111" s="314">
        <f>IF($D111=0,IF(C111=0, MAX(BJ111 - (VLOOKUP($A111,TOCA_previous!$A$2:$AI$137,MATCH("RHWM 2020",TOCA_previous!$A$2:$AI$2,0),FALSE)*$F$2*TOCA_previous!C108),0),0), 0)</f>
        <v>0</v>
      </c>
      <c r="BI111" s="204">
        <f>MIN(VLOOKUP($A111,TOCA_previous!$A$2:$AI$137,MATCH("TRL - NLSL - Existing Resource "&amp;$F$1,TOCA_previous!$A$2:$AI$2,0),FALSE)*$F$2,(VLOOKUP($A111,TOCA_previous!$A$2:$AI$137,MATCH("RHWM 2020",TOCA_previous!$A$2:$AI$2,0),FALSE)*$F$2))</f>
        <v>6182644.7519999994</v>
      </c>
      <c r="BJ111" s="418">
        <f>SUM(L111:AI111)+(F111*RT1SC!$C$3*$F$2)</f>
        <v>2828223.6379874884</v>
      </c>
      <c r="BK111" s="417">
        <f>VLOOKUP($A111,TOCA_previous!$A$2:$AI$137,MATCH("Above RHWM Not Served with LS "&amp;$F$1,TOCA_previous!$A$2:$AI$2,0),FALSE)*$F$2</f>
        <v>0</v>
      </c>
      <c r="BL111" s="418">
        <f t="shared" si="27"/>
        <v>-3354421.114012511</v>
      </c>
      <c r="BM111" s="417">
        <f>(VLOOKUP($A111,TOCA_previous!$A$2:$AI$137,MATCH("RHWM 2020",TOCA_previous!$A$2:$AI$2,0),FALSE)*$F$2) - $BI111</f>
        <v>799221.02400000114</v>
      </c>
      <c r="BN111" s="418">
        <f t="shared" si="28"/>
        <v>0</v>
      </c>
      <c r="BO111" s="417">
        <f t="shared" si="29"/>
        <v>3354421.114012511</v>
      </c>
      <c r="BP111" s="418">
        <f t="shared" si="30"/>
        <v>0</v>
      </c>
      <c r="BQ111" s="417">
        <f t="shared" si="37"/>
        <v>0</v>
      </c>
      <c r="BR111" s="120">
        <f>VLOOKUP($A111,TOCA_current!$A$2:$AI$137,MATCH(BR$4,TOCA_current!$A$2:$AI$2,0),FALSE)</f>
        <v>0.104772</v>
      </c>
      <c r="BS111" s="120">
        <f>VLOOKUP($A111,TOCA_current!$A$2:$AI$137,MATCH(BS$4,TOCA_current!$A$2:$AI$2,0),FALSE)</f>
        <v>5.0408300000000003E-2</v>
      </c>
      <c r="BT111" s="201">
        <f t="shared" si="31"/>
        <v>5.4363700000000001E-2</v>
      </c>
      <c r="BU111" s="120">
        <f>VLOOKUP($A111,TOCA_current!A107:BG242,MATCH(BU$4,TOCA_current!$A$2:$BG$2,0),FALSE)</f>
        <v>0</v>
      </c>
      <c r="BV111" s="120">
        <f t="shared" si="38"/>
        <v>0</v>
      </c>
      <c r="BW111" s="120">
        <f t="shared" si="39"/>
        <v>0</v>
      </c>
      <c r="BX111" s="191">
        <f>VLOOKUP($A111,IRD!$A$4:$G$139, 7, FALSE)</f>
        <v>0</v>
      </c>
      <c r="BY111" s="192">
        <f t="array" ref="BY111">IF($BT111=0, INDEX(LS_current!$D$4:$AY$138, MATCH('Staging Table'!$A111, LS_current!$B$4:$B$138, 0), MATCH(BY$4&amp;BY$5, LS_current!$D$2:$AY$2&amp;LS_current!$D$3:$AY$3, 0)),SUM(VLOOKUP($A111, LS_current!$B$4:$AY$138, LS_current!D$148, FALSE), VLOOKUP($A111, LS_current!$B$4:$AY$138,LS_current!AB$148, FALSE))/2)</f>
        <v>-10772.123534312472</v>
      </c>
      <c r="BZ111" s="192">
        <f t="array" ref="BZ111">IF($BT111=0, INDEX(LS_current!$D$4:$AY$138, MATCH('Staging Table'!$A111, LS_current!$B$4:$B$138, 0), MATCH(BZ$4&amp;BZ$5, LS_current!$D$2:$AY$2&amp;LS_current!$D$3:$AY$3, 0)),SUM(VLOOKUP($A111, LS_current!$B$4:$AY$138, LS_current!E$148, FALSE), VLOOKUP($A111, LS_current!$B$4:$AY$138,LS_current!AC$148, FALSE))/2)</f>
        <v>25035.944370347461</v>
      </c>
      <c r="CA111" s="192">
        <f t="array" ref="CA111">IF($BT111=0, INDEX(LS_current!$D$4:$AY$138, MATCH('Staging Table'!$A111, LS_current!$B$4:$B$138, 0), MATCH(CA$4&amp;CA$5, LS_current!$D$2:$AY$2&amp;LS_current!$D$3:$AY$3, 0)),SUM(VLOOKUP($A111, LS_current!$B$4:$AY$138, LS_current!F$148, FALSE), VLOOKUP($A111, LS_current!$B$4:$AY$138,LS_current!AD$148, FALSE))/2)</f>
        <v>-26332.731475166584</v>
      </c>
      <c r="CB111" s="192">
        <f t="array" ref="CB111">IF($BT111=0, INDEX(LS_current!$D$4:$AY$138, MATCH('Staging Table'!$A111, LS_current!$B$4:$B$138, 0), MATCH(CB$4&amp;CB$5, LS_current!$D$2:$AY$2&amp;LS_current!$D$3:$AY$3, 0)),SUM(VLOOKUP($A111, LS_current!$B$4:$AY$138, LS_current!G$148, FALSE), VLOOKUP($A111, LS_current!$B$4:$AY$138,LS_current!AE$148, FALSE))/2)</f>
        <v>9489.7030308852991</v>
      </c>
      <c r="CC111" s="192">
        <f t="array" ref="CC111">IF($BT111=0, INDEX(LS_current!$D$4:$AY$138, MATCH('Staging Table'!$A111, LS_current!$B$4:$B$138, 0), MATCH(CC$4&amp;CC$5, LS_current!$D$2:$AY$2&amp;LS_current!$D$3:$AY$3, 0)),SUM(VLOOKUP($A111, LS_current!$B$4:$AY$138, LS_current!H$148, FALSE), VLOOKUP($A111, LS_current!$B$4:$AY$138,LS_current!AF$148, FALSE))/2)</f>
        <v>15348.467481175976</v>
      </c>
      <c r="CD111" s="192">
        <f t="array" ref="CD111">IF($BT111=0, INDEX(LS_current!$D$4:$AY$138, MATCH('Staging Table'!$A111, LS_current!$B$4:$B$138, 0), MATCH(CD$4&amp;CD$5, LS_current!$D$2:$AY$2&amp;LS_current!$D$3:$AY$3, 0)),SUM(VLOOKUP($A111, LS_current!$B$4:$AY$138, LS_current!I$148, FALSE), VLOOKUP($A111, LS_current!$B$4:$AY$138,LS_current!AG$148, FALSE))/2)</f>
        <v>18237.144849774799</v>
      </c>
      <c r="CE111" s="192">
        <f t="array" ref="CE111">IF($BT111=0, INDEX(LS_current!$D$4:$AY$138, MATCH('Staging Table'!$A111, LS_current!$B$4:$B$138, 0), MATCH(CE$4&amp;CE$5, LS_current!$D$2:$AY$2&amp;LS_current!$D$3:$AY$3, 0)),SUM(VLOOKUP($A111, LS_current!$B$4:$AY$138, LS_current!J$148, FALSE), VLOOKUP($A111, LS_current!$B$4:$AY$138,LS_current!AH$148, FALSE))/2)</f>
        <v>34023.133075925653</v>
      </c>
      <c r="CF111" s="192">
        <f t="array" ref="CF111">IF($BT111=0, INDEX(LS_current!$D$4:$AY$138, MATCH('Staging Table'!$A111, LS_current!$B$4:$B$138, 0), MATCH(CF$4&amp;CF$5, LS_current!$D$2:$AY$2&amp;LS_current!$D$3:$AY$3, 0)),SUM(VLOOKUP($A111, LS_current!$B$4:$AY$138, LS_current!K$148, FALSE), VLOOKUP($A111, LS_current!$B$4:$AY$138,LS_current!AI$148, FALSE))/2)</f>
        <v>42820.314299932354</v>
      </c>
      <c r="CG111" s="192">
        <f t="array" ref="CG111">IF($BT111=0, INDEX(LS_current!$D$4:$AY$138, MATCH('Staging Table'!$A111, LS_current!$B$4:$B$138, 0), MATCH(CG$4&amp;CG$5, LS_current!$D$2:$AY$2&amp;LS_current!$D$3:$AY$3, 0)),SUM(VLOOKUP($A111, LS_current!$B$4:$AY$138, LS_current!L$148, FALSE), VLOOKUP($A111, LS_current!$B$4:$AY$138,LS_current!AJ$148, FALSE))/2)</f>
        <v>31071.482826995161</v>
      </c>
      <c r="CH111" s="192">
        <f t="array" ref="CH111">IF($BT111=0, INDEX(LS_current!$D$4:$AY$138, MATCH('Staging Table'!$A111, LS_current!$B$4:$B$138, 0), MATCH(CH$4&amp;CH$5, LS_current!$D$2:$AY$2&amp;LS_current!$D$3:$AY$3, 0)),SUM(VLOOKUP($A111, LS_current!$B$4:$AY$138, LS_current!M$148, FALSE), VLOOKUP($A111, LS_current!$B$4:$AY$138,LS_current!AK$148, FALSE))/2)</f>
        <v>26651.253657435322</v>
      </c>
      <c r="CI111" s="192">
        <f t="array" ref="CI111">IF($BT111=0, INDEX(LS_current!$D$4:$AY$138, MATCH('Staging Table'!$A111, LS_current!$B$4:$B$138, 0), MATCH(CI$4&amp;CI$5, LS_current!$D$2:$AY$2&amp;LS_current!$D$3:$AY$3, 0)),SUM(VLOOKUP($A111, LS_current!$B$4:$AY$138, LS_current!N$148, FALSE), VLOOKUP($A111, LS_current!$B$4:$AY$138,LS_current!AL$148, FALSE))/2)</f>
        <v>4594.2999460785213</v>
      </c>
      <c r="CJ111" s="192">
        <f t="array" ref="CJ111">IF($BT111=0, INDEX(LS_current!$D$4:$AY$138, MATCH('Staging Table'!$A111, LS_current!$B$4:$B$138, 0), MATCH(CJ$4&amp;CJ$5, LS_current!$D$2:$AY$2&amp;LS_current!$D$3:$AY$3, 0)),SUM(VLOOKUP($A111, LS_current!$B$4:$AY$138, LS_current!O$148, FALSE), VLOOKUP($A111, LS_current!$B$4:$AY$138,LS_current!AM$148, FALSE))/2)</f>
        <v>16890.65580894563</v>
      </c>
      <c r="CK111" s="192">
        <f t="array" ref="CK111">IF($BT111=0, INDEX(LS_current!$D$4:$AY$138, MATCH('Staging Table'!$A111, LS_current!$B$4:$B$138, 0), MATCH(CK$4&amp;CK$5, LS_current!$D$2:$AY$2&amp;LS_current!$D$3:$AY$3, 0)),SUM(VLOOKUP($A111, LS_current!$B$4:$AY$138, LS_current!P$148, FALSE), VLOOKUP($A111, LS_current!$B$4:$AY$138,LS_current!AN$148, FALSE))/2)</f>
        <v>15056.021215289795</v>
      </c>
      <c r="CL111" s="192">
        <f t="array" ref="CL111">IF($BT111=0, INDEX(LS_current!$D$4:$AY$138, MATCH('Staging Table'!$A111, LS_current!$B$4:$B$138, 0), MATCH(CL$4&amp;CL$5, LS_current!$D$2:$AY$2&amp;LS_current!$D$3:$AY$3, 0)),SUM(VLOOKUP($A111, LS_current!$B$4:$AY$138, LS_current!Q$148, FALSE), VLOOKUP($A111, LS_current!$B$4:$AY$138,LS_current!AO$148, FALSE))/2)</f>
        <v>27924.756592930818</v>
      </c>
      <c r="CM111" s="192">
        <f t="array" ref="CM111">IF($BT111=0, INDEX(LS_current!$D$4:$AY$138, MATCH('Staging Table'!$A111, LS_current!$B$4:$B$138, 0), MATCH(CM$4&amp;CM$5, LS_current!$D$2:$AY$2&amp;LS_current!$D$3:$AY$3, 0)),SUM(VLOOKUP($A111, LS_current!$B$4:$AY$138, LS_current!R$148, FALSE), VLOOKUP($A111, LS_current!$B$4:$AY$138,LS_current!AP$148, FALSE))/2)</f>
        <v>-55107.557260499678</v>
      </c>
      <c r="CN111" s="192">
        <f t="array" ref="CN111">IF($BT111=0, INDEX(LS_current!$D$4:$AY$138, MATCH('Staging Table'!$A111, LS_current!$B$4:$B$138, 0), MATCH(CN$4&amp;CN$5, LS_current!$D$2:$AY$2&amp;LS_current!$D$3:$AY$3, 0)),SUM(VLOOKUP($A111, LS_current!$B$4:$AY$138, LS_current!S$148, FALSE), VLOOKUP($A111, LS_current!$B$4:$AY$138,LS_current!AQ$148, FALSE))/2)</f>
        <v>14015.919044044036</v>
      </c>
      <c r="CO111" s="192">
        <f t="array" ref="CO111">IF($BT111=0, INDEX(LS_current!$D$4:$AY$138, MATCH('Staging Table'!$A111, LS_current!$B$4:$B$138, 0), MATCH(CO$4&amp;CO$5, LS_current!$D$2:$AY$2&amp;LS_current!$D$3:$AY$3, 0)),SUM(VLOOKUP($A111, LS_current!$B$4:$AY$138, LS_current!T$148, FALSE), VLOOKUP($A111, LS_current!$B$4:$AY$138,LS_current!AR$148, FALSE))/2)</f>
        <v>-76699.86233991562</v>
      </c>
      <c r="CP111" s="192">
        <f t="array" ref="CP111">IF($BT111=0, INDEX(LS_current!$D$4:$AY$138, MATCH('Staging Table'!$A111, LS_current!$B$4:$B$138, 0), MATCH(CP$4&amp;CP$5, LS_current!$D$2:$AY$2&amp;LS_current!$D$3:$AY$3, 0)),SUM(VLOOKUP($A111, LS_current!$B$4:$AY$138, LS_current!U$148, FALSE), VLOOKUP($A111, LS_current!$B$4:$AY$138,LS_current!AS$148, FALSE))/2)</f>
        <v>8952.1120674196209</v>
      </c>
      <c r="CQ111" s="192">
        <f t="array" ref="CQ111">IF($BT111=0, INDEX(LS_current!$D$4:$AY$138, MATCH('Staging Table'!$A111, LS_current!$B$4:$B$138, 0), MATCH(CQ$4&amp;CQ$5, LS_current!$D$2:$AY$2&amp;LS_current!$D$3:$AY$3, 0)),SUM(VLOOKUP($A111, LS_current!$B$4:$AY$138, LS_current!V$148, FALSE), VLOOKUP($A111, LS_current!$B$4:$AY$138,LS_current!AT$148, FALSE))/2)</f>
        <v>-62713.228710767668</v>
      </c>
      <c r="CR111" s="192">
        <f t="array" ref="CR111">IF($BT111=0, INDEX(LS_current!$D$4:$AY$138, MATCH('Staging Table'!$A111, LS_current!$B$4:$B$138, 0), MATCH(CR$4&amp;CR$5, LS_current!$D$2:$AY$2&amp;LS_current!$D$3:$AY$3, 0)),SUM(VLOOKUP($A111, LS_current!$B$4:$AY$138, LS_current!W$148, FALSE), VLOOKUP($A111, LS_current!$B$4:$AY$138,LS_current!AU$148, FALSE))/2)</f>
        <v>8990.9033044295065</v>
      </c>
      <c r="CS111" s="192">
        <f t="array" ref="CS111">IF($BT111=0, INDEX(LS_current!$D$4:$AY$138, MATCH('Staging Table'!$A111, LS_current!$B$4:$B$138, 0), MATCH(CS$4&amp;CS$5, LS_current!$D$2:$AY$2&amp;LS_current!$D$3:$AY$3, 0)),SUM(VLOOKUP($A111, LS_current!$B$4:$AY$138, LS_current!X$148, FALSE), VLOOKUP($A111, LS_current!$B$4:$AY$138,LS_current!AV$148, FALSE))/2)</f>
        <v>-49683.652017128581</v>
      </c>
      <c r="CT111" s="192">
        <f t="array" ref="CT111">IF($BT111=0, INDEX(LS_current!$D$4:$AY$138, MATCH('Staging Table'!$A111, LS_current!$B$4:$B$138, 0), MATCH(CT$4&amp;CT$5, LS_current!$D$2:$AY$2&amp;LS_current!$D$3:$AY$3, 0)),SUM(VLOOKUP($A111, LS_current!$B$4:$AY$138, LS_current!Y$148, FALSE), VLOOKUP($A111, LS_current!$B$4:$AY$138,LS_current!AW$148, FALSE))/2)</f>
        <v>4807.4591416893163</v>
      </c>
      <c r="CU111" s="192">
        <f t="array" ref="CU111">IF($BT111=0, INDEX(LS_current!$D$4:$AY$138, MATCH('Staging Table'!$A111, LS_current!$B$4:$B$138, 0), MATCH(CU$4&amp;CU$5, LS_current!$D$2:$AY$2&amp;LS_current!$D$3:$AY$3, 0)),SUM(VLOOKUP($A111, LS_current!$B$4:$AY$138, LS_current!Z$148, FALSE), VLOOKUP($A111, LS_current!$B$4:$AY$138,LS_current!AX$148, FALSE))/2)</f>
        <v>-32000.878218287464</v>
      </c>
      <c r="CV111" s="192">
        <f t="array" ref="CV111">IF($BT111=0, INDEX(LS_current!$D$4:$AY$138, MATCH('Staging Table'!$A111, LS_current!$B$4:$B$138, 0), MATCH(CV$4&amp;CV$5, LS_current!$D$2:$AY$2&amp;LS_current!$D$3:$AY$3, 0)),SUM(VLOOKUP($A111, LS_current!$B$4:$AY$138, LS_current!AA$148, FALSE), VLOOKUP($A111, LS_current!$B$4:$AY$138,LS_current!AY$148, FALSE))/2)</f>
        <v>9402.574301710134</v>
      </c>
      <c r="CW111" s="194">
        <f t="array" ref="CW111">INDEX(Demand_current!$D$4:$AY$138, MATCH($A111, Demand_current!$B$4:$B$138, 0), MATCH(CW$4&amp;CW$5,Demand_current!$D$2:$AY$2&amp;Demand_current!$D$3:$AY$3, 0))/1000</f>
        <v>0</v>
      </c>
      <c r="CX111" s="194">
        <f t="array" ref="CX111">INDEX(Demand_current!$D$4:$AY$138, MATCH($A111, Demand_current!$B$4:$B$138, 0), MATCH(CX$4&amp;CX$5,Demand_current!$D$2:$AY$2&amp;Demand_current!$D$3:$AY$3, 0))/1000</f>
        <v>0</v>
      </c>
      <c r="CY111" s="194">
        <f t="array" ref="CY111">INDEX(Demand_current!$D$4:$AY$138, MATCH($A111, Demand_current!$B$4:$B$138, 0), MATCH(CY$4&amp;CY$5,Demand_current!$D$2:$AY$2&amp;Demand_current!$D$3:$AY$3, 0))/1000</f>
        <v>0</v>
      </c>
      <c r="CZ111" s="194">
        <f t="array" ref="CZ111">INDEX(Demand_current!$D$4:$AY$138, MATCH($A111, Demand_current!$B$4:$B$138, 0), MATCH(CZ$4&amp;CZ$5,Demand_current!$D$2:$AY$2&amp;Demand_current!$D$3:$AY$3, 0))/1000</f>
        <v>0</v>
      </c>
      <c r="DA111" s="194">
        <f t="array" ref="DA111">INDEX(Demand_current!$D$4:$AY$138, MATCH($A111, Demand_current!$B$4:$B$138, 0), MATCH(DA$4&amp;DA$5,Demand_current!$D$2:$AY$2&amp;Demand_current!$D$3:$AY$3, 0))/1000</f>
        <v>0</v>
      </c>
      <c r="DB111" s="194">
        <f t="array" ref="DB111">INDEX(Demand_current!$D$4:$AY$138, MATCH($A111, Demand_current!$B$4:$B$138, 0), MATCH(DB$4&amp;DB$5,Demand_current!$D$2:$AY$2&amp;Demand_current!$D$3:$AY$3, 0))/1000</f>
        <v>0</v>
      </c>
      <c r="DC111" s="194">
        <f t="array" ref="DC111">INDEX(Demand_current!$D$4:$AY$138, MATCH($A111, Demand_current!$B$4:$B$138, 0), MATCH(DC$4&amp;DC$5,Demand_current!$D$2:$AY$2&amp;Demand_current!$D$3:$AY$3, 0))/1000</f>
        <v>0</v>
      </c>
      <c r="DD111" s="194">
        <f t="array" ref="DD111">INDEX(Demand_current!$D$4:$AY$138, MATCH($A111, Demand_current!$B$4:$B$138, 0), MATCH(DD$4&amp;DD$5,Demand_current!$D$2:$AY$2&amp;Demand_current!$D$3:$AY$3, 0))/1000</f>
        <v>0</v>
      </c>
      <c r="DE111" s="194">
        <f t="array" ref="DE111">INDEX(Demand_current!$D$4:$AY$138, MATCH($A111, Demand_current!$B$4:$B$138, 0), MATCH(DE$4&amp;DE$5,Demand_current!$D$2:$AY$2&amp;Demand_current!$D$3:$AY$3, 0))/1000</f>
        <v>0</v>
      </c>
      <c r="DF111" s="194">
        <f t="array" ref="DF111">INDEX(Demand_current!$D$4:$AY$138, MATCH($A111, Demand_current!$B$4:$B$138, 0), MATCH(DF$4&amp;DF$5,Demand_current!$D$2:$AY$2&amp;Demand_current!$D$3:$AY$3, 0))/1000</f>
        <v>0</v>
      </c>
      <c r="DG111" s="194">
        <f t="array" ref="DG111">INDEX(Demand_current!$D$4:$AY$138, MATCH($A111, Demand_current!$B$4:$B$138, 0), MATCH(DG$4&amp;DG$5,Demand_current!$D$2:$AY$2&amp;Demand_current!$D$3:$AY$3, 0))/1000</f>
        <v>0</v>
      </c>
      <c r="DH111" s="194">
        <f t="array" ref="DH111">INDEX(Demand_current!$D$4:$AY$138, MATCH($A111, Demand_current!$B$4:$B$138, 0), MATCH(DH$4&amp;DH$5,Demand_current!$D$2:$AY$2&amp;Demand_current!$D$3:$AY$3, 0))/1000</f>
        <v>0</v>
      </c>
      <c r="DI111" s="192">
        <f>$BS111*(VLOOKUP(DI$4, Rates_current!$G$6:$Q$29, 10, FALSE)+VLOOKUP(DI$4, Rates_current!$G$6:$Q$29, 11, FALSE))</f>
        <v>229555.58837914755</v>
      </c>
      <c r="DJ111" s="192">
        <f>$BS111*(VLOOKUP(DJ$4, Rates_current!$G$6:$Q$29, 10, FALSE)+VLOOKUP(DJ$4, Rates_current!$G$6:$Q$29, 11, FALSE))</f>
        <v>290625.70603361249</v>
      </c>
      <c r="DK111" s="192">
        <f>$BS111*(VLOOKUP(DK$4, Rates_current!$G$6:$Q$29, 10, FALSE)+VLOOKUP(DK$4, Rates_current!$G$6:$Q$29, 11, FALSE))</f>
        <v>284464.50406876579</v>
      </c>
      <c r="DL111" s="192">
        <f>$BS111*(VLOOKUP(DL$4, Rates_current!$G$6:$Q$29, 10, FALSE)+VLOOKUP(DL$4, Rates_current!$G$6:$Q$29, 11, FALSE))</f>
        <v>234955.58355273903</v>
      </c>
      <c r="DM111" s="192">
        <f>$BS111*(VLOOKUP(DM$4, Rates_current!$G$6:$Q$29, 10, FALSE)+VLOOKUP(DM$4, Rates_current!$G$6:$Q$29, 11, FALSE))</f>
        <v>203641.15380741673</v>
      </c>
      <c r="DN111" s="192">
        <f>$BS111*(VLOOKUP(DN$4, Rates_current!$G$6:$Q$29, 10, FALSE)+VLOOKUP(DN$4, Rates_current!$G$6:$Q$29, 11, FALSE))</f>
        <v>243106.41450481224</v>
      </c>
      <c r="DO111" s="192">
        <f>$BS111*(VLOOKUP(DO$4, Rates_current!$G$6:$Q$29, 10, FALSE)+VLOOKUP(DO$4, Rates_current!$G$6:$Q$29, 11, FALSE))</f>
        <v>188739.7663735903</v>
      </c>
      <c r="DP111" s="192">
        <f>$BS111*(VLOOKUP(DP$4, Rates_current!$G$6:$Q$29, 10, FALSE)+VLOOKUP(DP$4, Rates_current!$G$6:$Q$29, 11, FALSE))</f>
        <v>261500.33524355377</v>
      </c>
      <c r="DQ111" s="192">
        <f>$BS111*(VLOOKUP(DQ$4, Rates_current!$G$6:$Q$29, 10, FALSE)+VLOOKUP(DQ$4, Rates_current!$G$6:$Q$29, 11, FALSE))</f>
        <v>279418.58380281663</v>
      </c>
      <c r="DR111" s="192">
        <f>$BS111*(VLOOKUP(DR$4, Rates_current!$G$6:$Q$29, 10, FALSE)+VLOOKUP(DR$4, Rates_current!$G$6:$Q$29, 11, FALSE))</f>
        <v>265295.29280058469</v>
      </c>
      <c r="DS111" s="192">
        <f>$BS111*(VLOOKUP(DS$4, Rates_current!$G$6:$Q$29, 10, FALSE)+VLOOKUP(DS$4, Rates_current!$G$6:$Q$29, 11, FALSE))</f>
        <v>256387.43402479388</v>
      </c>
      <c r="DT111" s="192">
        <f>$BS111*(VLOOKUP(DT$4, Rates_current!$G$6:$Q$29, 10, FALSE)+VLOOKUP(DT$4, Rates_current!$G$6:$Q$29, 11, FALSE))</f>
        <v>236928.71636970242</v>
      </c>
      <c r="DU111" s="418">
        <f>IF(D111=0,IF(C111=0,MAX(0,DW111 - (VLOOKUP($A111,TOCA_current!$A$2:$AI$137,MATCH("RHWM 2022",TOCA_current!$A$2:$AI$2,0),FALSE)*$BS$2)), 0),0)</f>
        <v>0</v>
      </c>
      <c r="DV111" s="419">
        <f>MIN(VLOOKUP($A111,TOCA_current!$A$2:$AI$137,MATCH("TRL - NLSL - Existing Resource "&amp;$BS$1,TOCA_current!$A$2:$AI$2,0),FALSE)*$BS$2, VLOOKUP($A111,TOCA_current!$A$2:$AI$137,MATCH("RHWM 2022",TOCA_current!$A$2:$AI$2,0),FALSE)*$BS$2)</f>
        <v>6182650.3200000003</v>
      </c>
      <c r="DW111" s="419">
        <f>SUM(BY111:CV111)+(BS111*RT1SC!$C$4*$BS$2)</f>
        <v>2974621.3425851041</v>
      </c>
      <c r="DX111" s="419">
        <f>VLOOKUP($A111,TOCA_current!$A$2:$AI$137,MATCH("Above RHWM Not Served with LS "&amp;$BS$1,TOCA_current!$A$2:$AI$2,0),FALSE)*$BS$2</f>
        <v>0</v>
      </c>
      <c r="DY111" s="419">
        <f t="shared" si="32"/>
        <v>-3208028.9774148962</v>
      </c>
      <c r="DZ111" s="419">
        <f>(VLOOKUP($A111,TOCA_current!$A$2:$AI$137,MATCH("RHWM 2022",TOCA_current!$A$2:$AI$2,0),FALSE)*$BS$2) - $DV111</f>
        <v>494519.52000000048</v>
      </c>
      <c r="EA111" s="419">
        <f t="shared" si="33"/>
        <v>0</v>
      </c>
      <c r="EB111" s="419">
        <f t="shared" si="34"/>
        <v>3208028.9774148962</v>
      </c>
      <c r="EC111" s="419">
        <f t="shared" si="35"/>
        <v>0</v>
      </c>
      <c r="ED111" s="419">
        <f t="shared" si="36"/>
        <v>0</v>
      </c>
    </row>
    <row r="112" spans="1:134">
      <c r="A112" s="135">
        <v>10360</v>
      </c>
      <c r="B112" s="136" t="s">
        <v>113</v>
      </c>
      <c r="C112" s="244">
        <f>VLOOKUP(A112, TOCA_current!$A$3:$D$137, 4, FALSE)</f>
        <v>0</v>
      </c>
      <c r="D112" s="203">
        <v>0</v>
      </c>
      <c r="E112" s="119">
        <f>VLOOKUP($A112,TOCA_previous!$A$2:$AI$137,MATCH(E$4,TOCA_previous!$A$2:$AI$2,0),FALSE)</f>
        <v>9.5790000000000003E-4</v>
      </c>
      <c r="F112" s="120">
        <f>VLOOKUP($A112,TOCA_previous!$A$2:$AI$137,MATCH(F$4,TOCA_previous!$A$2:$AI$2,0),FALSE)</f>
        <v>9.5790000000000003E-4</v>
      </c>
      <c r="G112" s="120">
        <f t="shared" si="24"/>
        <v>0</v>
      </c>
      <c r="H112" s="120">
        <f>VLOOKUP($A112,TOCA_previous!$A$2:$AI$137,MATCH(H$4,TOCA_previous!$A$2:$AI$2,0),FALSE)</f>
        <v>4.7795363352652699E-2</v>
      </c>
      <c r="I112" s="120">
        <f t="shared" si="25"/>
        <v>0</v>
      </c>
      <c r="J112" s="120">
        <f t="shared" si="26"/>
        <v>0</v>
      </c>
      <c r="K112" s="191">
        <f>VLOOKUP(A112, IRD!$A$5:$C$139, 3, FALSE)</f>
        <v>20009.34</v>
      </c>
      <c r="L112" s="192">
        <f t="array" ref="L112">IF($G112=0, INDEX(LS_previous!$D$4:$AY$138, MATCH('Staging Table'!$A112, LS_previous!$B$4:$B$138, 0), MATCH(L$4&amp;L$5, LS_previous!$D$2:$AY$2&amp;LS_previous!$D$3:$AY$3, 0)),SUM(VLOOKUP($A112, LS_previous!$B$4:$AY$138, LS_previous!D$149, FALSE), VLOOKUP('Staging Table'!$A112, LS_previous!$B$4:$AY$138,LS_previous!AB$149, FALSE))/2)</f>
        <v>-1167.3387351652</v>
      </c>
      <c r="M112" s="192">
        <f t="array" ref="M112">IF($G112=0, INDEX(LS_previous!$D$4:$AY$138, MATCH('Staging Table'!$A112, LS_previous!$B$4:$B$138, 0), MATCH(M$4&amp;M$5, LS_previous!$D$2:$AY$2&amp;LS_previous!$D$3:$AY$3, 0)),SUM(VLOOKUP($A112, LS_previous!$B$4:$AY$138, LS_previous!E$149, FALSE), VLOOKUP('Staging Table'!$A112, LS_previous!$B$4:$AY$138,LS_previous!AC$149, FALSE))/2)</f>
        <v>-279.76240688320013</v>
      </c>
      <c r="N112" s="192">
        <f t="array" ref="N112">IF($G112=0, INDEX(LS_previous!$D$4:$AY$138, MATCH('Staging Table'!$A112, LS_previous!$B$4:$B$138, 0), MATCH(N$4&amp;N$5, LS_previous!$D$2:$AY$2&amp;LS_previous!$D$3:$AY$3, 0)),SUM(VLOOKUP($A112, LS_previous!$B$4:$AY$138, LS_previous!F$149, FALSE), VLOOKUP('Staging Table'!$A112, LS_previous!$B$4:$AY$138,LS_previous!AD$149, FALSE))/2)</f>
        <v>-1920.2873550712002</v>
      </c>
      <c r="O112" s="192">
        <f t="array" ref="O112">IF($G112=0, INDEX(LS_previous!$D$4:$AY$138, MATCH('Staging Table'!$A112, LS_previous!$B$4:$B$138, 0), MATCH(O$4&amp;O$5, LS_previous!$D$2:$AY$2&amp;LS_previous!$D$3:$AY$3, 0)),SUM(VLOOKUP($A112, LS_previous!$B$4:$AY$138, LS_previous!G$149, FALSE), VLOOKUP('Staging Table'!$A112, LS_previous!$B$4:$AY$138,LS_previous!AE$149, FALSE))/2)</f>
        <v>-832.14214456690024</v>
      </c>
      <c r="P112" s="192">
        <f t="array" ref="P112">IF($G112=0, INDEX(LS_previous!$D$4:$AY$138, MATCH('Staging Table'!$A112, LS_previous!$B$4:$B$138, 0), MATCH(P$4&amp;P$5, LS_previous!$D$2:$AY$2&amp;LS_previous!$D$3:$AY$3, 0)),SUM(VLOOKUP($A112, LS_previous!$B$4:$AY$138, LS_previous!H$149, FALSE), VLOOKUP('Staging Table'!$A112, LS_previous!$B$4:$AY$138,LS_previous!AF$149, FALSE))/2)</f>
        <v>-1129.7306461088001</v>
      </c>
      <c r="Q112" s="192">
        <f t="array" ref="Q112">IF($G112=0, INDEX(LS_previous!$D$4:$AY$138, MATCH('Staging Table'!$A112, LS_previous!$B$4:$B$138, 0), MATCH(Q$4&amp;Q$5, LS_previous!$D$2:$AY$2&amp;LS_previous!$D$3:$AY$3, 0)),SUM(VLOOKUP($A112, LS_previous!$B$4:$AY$138, LS_previous!I$149, FALSE), VLOOKUP('Staging Table'!$A112, LS_previous!$B$4:$AY$138,LS_previous!AG$149, FALSE))/2)</f>
        <v>-326.53088163960024</v>
      </c>
      <c r="R112" s="192">
        <f t="array" ref="R112">IF($G112=0, INDEX(LS_previous!$D$4:$AY$138, MATCH('Staging Table'!$A112, LS_previous!$B$4:$B$138, 0), MATCH(R$4&amp;R$5, LS_previous!$D$2:$AY$2&amp;LS_previous!$D$3:$AY$3, 0)),SUM(VLOOKUP($A112, LS_previous!$B$4:$AY$138, LS_previous!J$149, FALSE), VLOOKUP('Staging Table'!$A112, LS_previous!$B$4:$AY$138,LS_previous!AH$149, FALSE))/2)</f>
        <v>-704.42672570879995</v>
      </c>
      <c r="S112" s="192">
        <f t="array" ref="S112">IF($G112=0, INDEX(LS_previous!$D$4:$AY$138, MATCH('Staging Table'!$A112, LS_previous!$B$4:$B$138, 0), MATCH(S$4&amp;S$5, LS_previous!$D$2:$AY$2&amp;LS_previous!$D$3:$AY$3, 0)),SUM(VLOOKUP($A112, LS_previous!$B$4:$AY$138, LS_previous!K$149, FALSE), VLOOKUP('Staging Table'!$A112, LS_previous!$B$4:$AY$138,LS_previous!AI$149, FALSE))/2)</f>
        <v>165.11893716039981</v>
      </c>
      <c r="T112" s="192">
        <f t="array" ref="T112">IF($G112=0, INDEX(LS_previous!$D$4:$AY$138, MATCH('Staging Table'!$A112, LS_previous!$B$4:$B$138, 0), MATCH(T$4&amp;T$5, LS_previous!$D$2:$AY$2&amp;LS_previous!$D$3:$AY$3, 0)),SUM(VLOOKUP($A112, LS_previous!$B$4:$AY$138, LS_previous!L$149, FALSE), VLOOKUP('Staging Table'!$A112, LS_previous!$B$4:$AY$138,LS_previous!AJ$149, FALSE))/2)</f>
        <v>-818.8709850795999</v>
      </c>
      <c r="U112" s="192">
        <f t="array" ref="U112">IF($G112=0, INDEX(LS_previous!$D$4:$AY$138, MATCH('Staging Table'!$A112, LS_previous!$B$4:$B$138, 0), MATCH(U$4&amp;U$5, LS_previous!$D$2:$AY$2&amp;LS_previous!$D$3:$AY$3, 0)),SUM(VLOOKUP($A112, LS_previous!$B$4:$AY$138, LS_previous!M$149, FALSE), VLOOKUP('Staging Table'!$A112, LS_previous!$B$4:$AY$138,LS_previous!AK$149, FALSE))/2)</f>
        <v>-190.99134764039991</v>
      </c>
      <c r="V112" s="192">
        <f t="array" ref="V112">IF($G112=0, INDEX(LS_previous!$D$4:$AY$138, MATCH('Staging Table'!$A112, LS_previous!$B$4:$B$138, 0), MATCH(V$4&amp;V$5, LS_previous!$D$2:$AY$2&amp;LS_previous!$D$3:$AY$3, 0)),SUM(VLOOKUP($A112, LS_previous!$B$4:$AY$138, LS_previous!N$149, FALSE), VLOOKUP('Staging Table'!$A112, LS_previous!$B$4:$AY$138,LS_previous!AL$149, FALSE))/2)</f>
        <v>-1275.5104163463998</v>
      </c>
      <c r="W112" s="192">
        <f t="array" ref="W112">IF($G112=0, INDEX(LS_previous!$D$4:$AY$138, MATCH('Staging Table'!$A112, LS_previous!$B$4:$B$138, 0), MATCH(W$4&amp;W$5, LS_previous!$D$2:$AY$2&amp;LS_previous!$D$3:$AY$3, 0)),SUM(VLOOKUP($A112, LS_previous!$B$4:$AY$138, LS_previous!O$149, FALSE), VLOOKUP('Staging Table'!$A112, LS_previous!$B$4:$AY$138,LS_previous!AM$149, FALSE))/2)</f>
        <v>-481.45662370590003</v>
      </c>
      <c r="X112" s="192">
        <f t="array" ref="X112">IF($G112=0, INDEX(LS_previous!$D$4:$AY$138, MATCH('Staging Table'!$A112, LS_previous!$B$4:$B$138, 0), MATCH(X$4&amp;X$5, LS_previous!$D$2:$AY$2&amp;LS_previous!$D$3:$AY$3, 0)),SUM(VLOOKUP($A112, LS_previous!$B$4:$AY$138, LS_previous!P$149, FALSE), VLOOKUP('Staging Table'!$A112, LS_previous!$B$4:$AY$138,LS_previous!AN$149, FALSE))/2)</f>
        <v>-259.56982627759999</v>
      </c>
      <c r="Y112" s="192">
        <f t="array" ref="Y112">IF($G112=0, INDEX(LS_previous!$D$4:$AY$138, MATCH('Staging Table'!$A112, LS_previous!$B$4:$B$138, 0), MATCH(Y$4&amp;Y$5, LS_previous!$D$2:$AY$2&amp;LS_previous!$D$3:$AY$3, 0)),SUM(VLOOKUP($A112, LS_previous!$B$4:$AY$138, LS_previous!Q$149, FALSE), VLOOKUP('Staging Table'!$A112, LS_previous!$B$4:$AY$138,LS_previous!AO$149, FALSE))/2)</f>
        <v>48.804320285599943</v>
      </c>
      <c r="Z112" s="192">
        <f t="array" ref="Z112">IF($G112=0, INDEX(LS_previous!$D$4:$AY$138, MATCH('Staging Table'!$A112, LS_previous!$B$4:$B$138, 0), MATCH(Z$4&amp;Z$5, LS_previous!$D$2:$AY$2&amp;LS_previous!$D$3:$AY$3, 0)),SUM(VLOOKUP($A112, LS_previous!$B$4:$AY$138, LS_previous!R$149, FALSE), VLOOKUP('Staging Table'!$A112, LS_previous!$B$4:$AY$138,LS_previous!AP$149, FALSE))/2)</f>
        <v>98.873366910000186</v>
      </c>
      <c r="AA112" s="192">
        <f t="array" ref="AA112">IF($G112=0, INDEX(LS_previous!$D$4:$AY$138, MATCH('Staging Table'!$A112, LS_previous!$B$4:$B$138, 0), MATCH(AA$4&amp;AA$5, LS_previous!$D$2:$AY$2&amp;LS_previous!$D$3:$AY$3, 0)),SUM(VLOOKUP($A112, LS_previous!$B$4:$AY$138, LS_previous!S$149, FALSE), VLOOKUP('Staging Table'!$A112, LS_previous!$B$4:$AY$138,LS_previous!AQ$149, FALSE))/2)</f>
        <v>867.39408009160002</v>
      </c>
      <c r="AB112" s="192">
        <f t="array" ref="AB112">IF($G112=0, INDEX(LS_previous!$D$4:$AY$138, MATCH('Staging Table'!$A112, LS_previous!$B$4:$B$138, 0), MATCH(AB$4&amp;AB$5, LS_previous!$D$2:$AY$2&amp;LS_previous!$D$3:$AY$3, 0)),SUM(VLOOKUP($A112, LS_previous!$B$4:$AY$138, LS_previous!T$149, FALSE), VLOOKUP('Staging Table'!$A112, LS_previous!$B$4:$AY$138,LS_previous!AR$149, FALSE))/2)</f>
        <v>1329.8318630724007</v>
      </c>
      <c r="AC112" s="192">
        <f t="array" ref="AC112">IF($G112=0, INDEX(LS_previous!$D$4:$AY$138, MATCH('Staging Table'!$A112, LS_previous!$B$4:$B$138, 0), MATCH(AC$4&amp;AC$5, LS_previous!$D$2:$AY$2&amp;LS_previous!$D$3:$AY$3, 0)),SUM(VLOOKUP($A112, LS_previous!$B$4:$AY$138, LS_previous!U$149, FALSE), VLOOKUP('Staging Table'!$A112, LS_previous!$B$4:$AY$138,LS_previous!AS$149, FALSE))/2)</f>
        <v>1482.4027608855999</v>
      </c>
      <c r="AD112" s="192">
        <f t="array" ref="AD112">IF($G112=0, INDEX(LS_previous!$D$4:$AY$138, MATCH('Staging Table'!$A112, LS_previous!$B$4:$B$138, 0), MATCH(AD$4&amp;AD$5, LS_previous!$D$2:$AY$2&amp;LS_previous!$D$3:$AY$3, 0)),SUM(VLOOKUP($A112, LS_previous!$B$4:$AY$138, LS_previous!V$149, FALSE), VLOOKUP('Staging Table'!$A112, LS_previous!$B$4:$AY$138,LS_previous!AT$149, FALSE))/2)</f>
        <v>1888.5759435724003</v>
      </c>
      <c r="AE112" s="192">
        <f t="array" ref="AE112">IF($G112=0, INDEX(LS_previous!$D$4:$AY$138, MATCH('Staging Table'!$A112, LS_previous!$B$4:$B$138, 0), MATCH(AE$4&amp;AE$5, LS_previous!$D$2:$AY$2&amp;LS_previous!$D$3:$AY$3, 0)),SUM(VLOOKUP($A112, LS_previous!$B$4:$AY$138, LS_previous!W$149, FALSE), VLOOKUP('Staging Table'!$A112, LS_previous!$B$4:$AY$138,LS_previous!AU$149, FALSE))/2)</f>
        <v>2790.0465087791999</v>
      </c>
      <c r="AF112" s="192">
        <f t="array" ref="AF112">IF($G112=0, INDEX(LS_previous!$D$4:$AY$138, MATCH('Staging Table'!$A112, LS_previous!$B$4:$B$138, 0), MATCH(AF$4&amp;AF$5, LS_previous!$D$2:$AY$2&amp;LS_previous!$D$3:$AY$3, 0)),SUM(VLOOKUP($A112, LS_previous!$B$4:$AY$138, LS_previous!X$149, FALSE), VLOOKUP('Staging Table'!$A112, LS_previous!$B$4:$AY$138,LS_previous!AV$149, FALSE))/2)</f>
        <v>1929.6650675224005</v>
      </c>
      <c r="AG112" s="192">
        <f t="array" ref="AG112">IF($G112=0, INDEX(LS_previous!$D$4:$AY$138, MATCH('Staging Table'!$A112, LS_previous!$B$4:$B$138, 0), MATCH(AG$4&amp;AG$5, LS_previous!$D$2:$AY$2&amp;LS_previous!$D$3:$AY$3, 0)),SUM(VLOOKUP($A112, LS_previous!$B$4:$AY$138, LS_previous!Y$149, FALSE), VLOOKUP('Staging Table'!$A112, LS_previous!$B$4:$AY$138,LS_previous!AW$149, FALSE))/2)</f>
        <v>1987.8659167792</v>
      </c>
      <c r="AH112" s="192">
        <f t="array" ref="AH112">IF($G112=0, INDEX(LS_previous!$D$4:$AY$138, MATCH('Staging Table'!$A112, LS_previous!$B$4:$B$138, 0), MATCH(AH$4&amp;AH$5, LS_previous!$D$2:$AY$2&amp;LS_previous!$D$3:$AY$3, 0)),SUM(VLOOKUP($A112, LS_previous!$B$4:$AY$138, LS_previous!Z$149, FALSE), VLOOKUP('Staging Table'!$A112, LS_previous!$B$4:$AY$138,LS_previous!AX$149, FALSE))/2)</f>
        <v>-16.249066240000502</v>
      </c>
      <c r="AI112" s="192">
        <f t="array" ref="AI112">IF($G112=0, INDEX(LS_previous!$D$4:$AY$138, MATCH('Staging Table'!$A112, LS_previous!$B$4:$B$138, 0), MATCH(AI$4&amp;AI$5, LS_previous!$D$2:$AY$2&amp;LS_previous!$D$3:$AY$3, 0)),SUM(VLOOKUP($A112, LS_previous!$B$4:$AY$138, LS_previous!AA$149, FALSE), VLOOKUP('Staging Table'!$A112, LS_previous!$B$4:$AY$138,LS_previous!AY$149, FALSE))/2)</f>
        <v>551.79970034800021</v>
      </c>
      <c r="AJ112" s="314">
        <f t="array" ref="AJ112">INDEX(Demand_previous!$D$4:$AY$138, MATCH('Staging Table'!$A112, Demand_previous!$B$4:$B$138, 0), MATCH(AJ$4&amp;AJ$5,Demand_previous!$D$2:$AY$2&amp;Demand_previous!$D$3:$AY$3, 0))/1000</f>
        <v>1.1459884259259259</v>
      </c>
      <c r="AK112" s="314">
        <f t="array" ref="AK112">INDEX(Demand_previous!$D$4:$AY$138, MATCH('Staging Table'!$A112, Demand_previous!$B$4:$B$138, 0), MATCH(AK$4&amp;AK$5,Demand_previous!$D$2:$AY$2&amp;Demand_previous!$D$3:$AY$3, 0))/1000</f>
        <v>0.37634250000000069</v>
      </c>
      <c r="AL112" s="314">
        <f t="array" ref="AL112">INDEX(Demand_previous!$D$4:$AY$138, MATCH('Staging Table'!$A112, Demand_previous!$B$4:$B$138, 0), MATCH(AL$4&amp;AL$5,Demand_previous!$D$2:$AY$2&amp;Demand_previous!$D$3:$AY$3, 0))/1000</f>
        <v>0.61192249999999926</v>
      </c>
      <c r="AM112" s="314">
        <f t="array" ref="AM112">INDEX(Demand_previous!$D$4:$AY$138, MATCH('Staging Table'!$A112, Demand_previous!$B$4:$B$138, 0), MATCH(AM$4&amp;AM$5,Demand_previous!$D$2:$AY$2&amp;Demand_previous!$D$3:$AY$3, 0))/1000</f>
        <v>1.0904711538461529</v>
      </c>
      <c r="AN112" s="314">
        <f t="array" ref="AN112">INDEX(Demand_previous!$D$4:$AY$138, MATCH('Staging Table'!$A112, Demand_previous!$B$4:$B$138, 0), MATCH(AN$4&amp;AN$5,Demand_previous!$D$2:$AY$2&amp;Demand_previous!$D$3:$AY$3, 0))/1000</f>
        <v>0.53523749999999959</v>
      </c>
      <c r="AO112" s="314">
        <f t="array" ref="AO112">INDEX(Demand_previous!$D$4:$AY$138, MATCH('Staging Table'!$A112, Demand_previous!$B$4:$B$138, 0), MATCH(AO$4&amp;AO$5,Demand_previous!$D$2:$AY$2&amp;Demand_previous!$D$3:$AY$3, 0))/1000</f>
        <v>0.2463822115384624</v>
      </c>
      <c r="AP112" s="314">
        <f t="array" ref="AP112">INDEX(Demand_previous!$D$4:$AY$138, MATCH('Staging Table'!$A112, Demand_previous!$B$4:$B$138, 0), MATCH(AP$4&amp;AP$5,Demand_previous!$D$2:$AY$2&amp;Demand_previous!$D$3:$AY$3, 0))/1000</f>
        <v>1.4211274038461537</v>
      </c>
      <c r="AQ112" s="314">
        <f t="array" ref="AQ112">INDEX(Demand_previous!$D$4:$AY$138, MATCH('Staging Table'!$A112, Demand_previous!$B$4:$B$138, 0), MATCH(AQ$4&amp;AQ$5,Demand_previous!$D$2:$AY$2&amp;Demand_previous!$D$3:$AY$3, 0))/1000</f>
        <v>0.89561499999999894</v>
      </c>
      <c r="AR112" s="314">
        <f t="array" ref="AR112">INDEX(Demand_previous!$D$4:$AY$138, MATCH('Staging Table'!$A112, Demand_previous!$B$4:$B$138, 0), MATCH(AR$4&amp;AR$5,Demand_previous!$D$2:$AY$2&amp;Demand_previous!$D$3:$AY$3, 0))/1000</f>
        <v>1.9336874999999982</v>
      </c>
      <c r="AS112" s="314">
        <f t="array" ref="AS112">INDEX(Demand_previous!$D$4:$AY$138, MATCH('Staging Table'!$A112, Demand_previous!$B$4:$B$138, 0), MATCH(AS$4&amp;AS$5,Demand_previous!$D$2:$AY$2&amp;Demand_previous!$D$3:$AY$3, 0))/1000</f>
        <v>2.931701923076921</v>
      </c>
      <c r="AT112" s="314">
        <f t="array" ref="AT112">INDEX(Demand_previous!$D$4:$AY$138, MATCH('Staging Table'!$A112, Demand_previous!$B$4:$B$138, 0), MATCH(AT$4&amp;AT$5,Demand_previous!$D$2:$AY$2&amp;Demand_previous!$D$3:$AY$3, 0))/1000</f>
        <v>0.72209374999999842</v>
      </c>
      <c r="AU112" s="314">
        <f t="array" ref="AU112">INDEX(Demand_previous!$D$4:$AY$138, MATCH('Staging Table'!$A112, Demand_previous!$B$4:$B$138, 0), MATCH(AU$4&amp;AU$5,Demand_previous!$D$2:$AY$2&amp;Demand_previous!$D$3:$AY$3, 0))/1000</f>
        <v>1.3632124999999999</v>
      </c>
      <c r="AV112" s="192">
        <f>$F112*(VLOOKUP(AV$4, Rates_previous!$G$6:$Q$29, 10, FALSE)+VLOOKUP(AV$4, Rates_previous!$G$6:$Q$29, 11, FALSE))</f>
        <v>4422.9281420483994</v>
      </c>
      <c r="AW112" s="192">
        <f>$F112*(VLOOKUP(AW$4, Rates_previous!$G$6:$Q$29, 10, FALSE)+VLOOKUP(AW$4, Rates_previous!$G$6:$Q$29, 11, FALSE))</f>
        <v>5618.4984996380999</v>
      </c>
      <c r="AX112" s="192">
        <f>$F112*(VLOOKUP(AX$4, Rates_previous!$G$6:$Q$29, 10, FALSE)+VLOOKUP(AX$4, Rates_previous!$G$6:$Q$29, 11, FALSE))</f>
        <v>5550.6475277484005</v>
      </c>
      <c r="AY112" s="192">
        <f>$F112*(VLOOKUP(AY$4, Rates_previous!$G$6:$Q$29, 10, FALSE)+VLOOKUP(AY$4, Rates_previous!$G$6:$Q$29, 11, FALSE))</f>
        <v>4626.8027885484007</v>
      </c>
      <c r="AZ112" s="192">
        <f>$F112*(VLOOKUP(AZ$4, Rates_previous!$G$6:$Q$29, 10, FALSE)+VLOOKUP(AZ$4, Rates_previous!$G$6:$Q$29, 11, FALSE))</f>
        <v>4191.4033327199995</v>
      </c>
      <c r="BA112" s="192">
        <f>$F112*(VLOOKUP(BA$4, Rates_previous!$G$6:$Q$29, 10, FALSE)+VLOOKUP(BA$4, Rates_previous!$G$6:$Q$29, 11, FALSE))</f>
        <v>4662.1720400523</v>
      </c>
      <c r="BB112" s="192">
        <f>$F112*(VLOOKUP(BB$4, Rates_previous!$G$6:$Q$29, 10, FALSE)+VLOOKUP(BB$4, Rates_previous!$G$6:$Q$29, 11, FALSE))</f>
        <v>3795.9455059920001</v>
      </c>
      <c r="BC112" s="192">
        <f>$F112*(VLOOKUP(BC$4, Rates_previous!$G$6:$Q$29, 10, FALSE)+VLOOKUP(BC$4, Rates_previous!$G$6:$Q$29, 11, FALSE))</f>
        <v>5119.3985529984002</v>
      </c>
      <c r="BD112" s="192">
        <f>$F112*(VLOOKUP(BD$4, Rates_previous!$G$6:$Q$29, 10, FALSE)+VLOOKUP(BD$4, Rates_previous!$G$6:$Q$29, 11, FALSE))</f>
        <v>6532.0043760420003</v>
      </c>
      <c r="BE112" s="192">
        <f>$F112*(VLOOKUP(BE$4, Rates_previous!$G$6:$Q$29, 10, FALSE)+VLOOKUP(BE$4, Rates_previous!$G$6:$Q$29, 11, FALSE))</f>
        <v>5121.2985476484009</v>
      </c>
      <c r="BF112" s="192">
        <f>$F112*(VLOOKUP(BF$4, Rates_previous!$G$6:$Q$29, 10, FALSE)+VLOOKUP(BF$4, Rates_previous!$G$6:$Q$29, 11, FALSE))</f>
        <v>4987.1250156984006</v>
      </c>
      <c r="BG112" s="192">
        <f>$F112*(VLOOKUP(BG$4, Rates_previous!$G$6:$Q$29, 10, FALSE)+VLOOKUP(BG$4, Rates_previous!$G$6:$Q$29, 11, FALSE))</f>
        <v>4477.3773658920009</v>
      </c>
      <c r="BH112" s="314">
        <f>IF($D112=0,IF(C112=0, MAX(BJ112 - (VLOOKUP($A112,TOCA_previous!$A$2:$AI$137,MATCH("RHWM 2020",TOCA_previous!$A$2:$AI$2,0),FALSE)*$F$2*TOCA_previous!C109),0),0), 0)</f>
        <v>3735.5792184964012</v>
      </c>
      <c r="BI112" s="204">
        <f>MIN(VLOOKUP($A112,TOCA_previous!$A$2:$AI$137,MATCH("TRL - NLSL - Existing Resource "&amp;$F$1,TOCA_previous!$A$2:$AI$2,0),FALSE)*$F$2,(VLOOKUP($A112,TOCA_previous!$A$2:$AI$137,MATCH("RHWM 2020",TOCA_previous!$A$2:$AI$2,0),FALSE)*$F$2))</f>
        <v>59107.536</v>
      </c>
      <c r="BJ112" s="418">
        <f>SUM(L112:AI112)+(F112*RT1SC!$C$3*$F$2)</f>
        <v>62843.115218496401</v>
      </c>
      <c r="BK112" s="417">
        <f>VLOOKUP($A112,TOCA_previous!$A$2:$AI$137,MATCH("Above RHWM Not Served with LS "&amp;$F$1,TOCA_previous!$A$2:$AI$2,0),FALSE)*$F$2</f>
        <v>0</v>
      </c>
      <c r="BL112" s="418">
        <f t="shared" si="27"/>
        <v>3735.5792184964012</v>
      </c>
      <c r="BM112" s="417">
        <f>(VLOOKUP($A112,TOCA_previous!$A$2:$AI$137,MATCH("RHWM 2020",TOCA_previous!$A$2:$AI$2,0),FALSE)*$F$2) - $BI112</f>
        <v>0</v>
      </c>
      <c r="BN112" s="418">
        <f t="shared" si="28"/>
        <v>0</v>
      </c>
      <c r="BO112" s="417">
        <f t="shared" si="29"/>
        <v>0</v>
      </c>
      <c r="BP112" s="418">
        <f t="shared" si="30"/>
        <v>0</v>
      </c>
      <c r="BQ112" s="417">
        <f t="shared" si="37"/>
        <v>0</v>
      </c>
      <c r="BR112" s="120">
        <f>VLOOKUP($A112,TOCA_current!$A$2:$AI$137,MATCH(BR$4,TOCA_current!$A$2:$AI$2,0),FALSE)</f>
        <v>9.5790000000000003E-4</v>
      </c>
      <c r="BS112" s="120">
        <f>VLOOKUP($A112,TOCA_current!$A$2:$AI$137,MATCH(BS$4,TOCA_current!$A$2:$AI$2,0),FALSE)</f>
        <v>9.5790000000000003E-4</v>
      </c>
      <c r="BT112" s="201">
        <f t="shared" si="31"/>
        <v>0</v>
      </c>
      <c r="BU112" s="120">
        <f>VLOOKUP($A112,TOCA_current!A108:BG243,MATCH(BU$4,TOCA_current!$A$2:$BG$2,0),FALSE)</f>
        <v>5.0251046025104606E-2</v>
      </c>
      <c r="BV112" s="120">
        <f t="shared" si="38"/>
        <v>0</v>
      </c>
      <c r="BW112" s="120">
        <f t="shared" si="39"/>
        <v>0</v>
      </c>
      <c r="BX112" s="191">
        <f>VLOOKUP($A112,IRD!$A$4:$G$139, 7, FALSE)</f>
        <v>20009.34</v>
      </c>
      <c r="BY112" s="192">
        <f t="array" ref="BY112">IF($BT112=0, INDEX(LS_current!$D$4:$AY$138, MATCH('Staging Table'!$A112, LS_current!$B$4:$B$138, 0), MATCH(BY$4&amp;BY$5, LS_current!$D$2:$AY$2&amp;LS_current!$D$3:$AY$3, 0)),SUM(VLOOKUP($A112, LS_current!$B$4:$AY$138, LS_current!D$148, FALSE), VLOOKUP($A112, LS_current!$B$4:$AY$138,LS_current!AB$148, FALSE))/2)</f>
        <v>-1082.7799943985551</v>
      </c>
      <c r="BZ112" s="192">
        <f t="array" ref="BZ112">IF($BT112=0, INDEX(LS_current!$D$4:$AY$138, MATCH('Staging Table'!$A112, LS_current!$B$4:$B$138, 0), MATCH(BZ$4&amp;BZ$5, LS_current!$D$2:$AY$2&amp;LS_current!$D$3:$AY$3, 0)),SUM(VLOOKUP($A112, LS_current!$B$4:$AY$138, LS_current!E$148, FALSE), VLOOKUP($A112, LS_current!$B$4:$AY$138,LS_current!AC$148, FALSE))/2)</f>
        <v>-303.59720825032264</v>
      </c>
      <c r="CA112" s="192">
        <f t="array" ref="CA112">IF($BT112=0, INDEX(LS_current!$D$4:$AY$138, MATCH('Staging Table'!$A112, LS_current!$B$4:$B$138, 0), MATCH(CA$4&amp;CA$5, LS_current!$D$2:$AY$2&amp;LS_current!$D$3:$AY$3, 0)),SUM(VLOOKUP($A112, LS_current!$B$4:$AY$138, LS_current!F$148, FALSE), VLOOKUP($A112, LS_current!$B$4:$AY$138,LS_current!AD$148, FALSE))/2)</f>
        <v>-1786.7346788751138</v>
      </c>
      <c r="CB112" s="192">
        <f t="array" ref="CB112">IF($BT112=0, INDEX(LS_current!$D$4:$AY$138, MATCH('Staging Table'!$A112, LS_current!$B$4:$B$138, 0), MATCH(CB$4&amp;CB$5, LS_current!$D$2:$AY$2&amp;LS_current!$D$3:$AY$3, 0)),SUM(VLOOKUP($A112, LS_current!$B$4:$AY$138, LS_current!G$148, FALSE), VLOOKUP($A112, LS_current!$B$4:$AY$138,LS_current!AE$148, FALSE))/2)</f>
        <v>-869.9051569633757</v>
      </c>
      <c r="CC112" s="192">
        <f t="array" ref="CC112">IF($BT112=0, INDEX(LS_current!$D$4:$AY$138, MATCH('Staging Table'!$A112, LS_current!$B$4:$B$138, 0), MATCH(CC$4&amp;CC$5, LS_current!$D$2:$AY$2&amp;LS_current!$D$3:$AY$3, 0)),SUM(VLOOKUP($A112, LS_current!$B$4:$AY$138, LS_current!H$148, FALSE), VLOOKUP($A112, LS_current!$B$4:$AY$138,LS_current!AF$148, FALSE))/2)</f>
        <v>-770.91669350643497</v>
      </c>
      <c r="CD112" s="192">
        <f t="array" ref="CD112">IF($BT112=0, INDEX(LS_current!$D$4:$AY$138, MATCH('Staging Table'!$A112, LS_current!$B$4:$B$138, 0), MATCH(CD$4&amp;CD$5, LS_current!$D$2:$AY$2&amp;LS_current!$D$3:$AY$3, 0)),SUM(VLOOKUP($A112, LS_current!$B$4:$AY$138, LS_current!I$148, FALSE), VLOOKUP($A112, LS_current!$B$4:$AY$138,LS_current!AG$148, FALSE))/2)</f>
        <v>-540.32591224838484</v>
      </c>
      <c r="CE112" s="192">
        <f t="array" ref="CE112">IF($BT112=0, INDEX(LS_current!$D$4:$AY$138, MATCH('Staging Table'!$A112, LS_current!$B$4:$B$138, 0), MATCH(CE$4&amp;CE$5, LS_current!$D$2:$AY$2&amp;LS_current!$D$3:$AY$3, 0)),SUM(VLOOKUP($A112, LS_current!$B$4:$AY$138, LS_current!J$148, FALSE), VLOOKUP($A112, LS_current!$B$4:$AY$138,LS_current!AH$148, FALSE))/2)</f>
        <v>-336.59221877147456</v>
      </c>
      <c r="CF112" s="192">
        <f t="array" ref="CF112">IF($BT112=0, INDEX(LS_current!$D$4:$AY$138, MATCH('Staging Table'!$A112, LS_current!$B$4:$B$138, 0), MATCH(CF$4&amp;CF$5, LS_current!$D$2:$AY$2&amp;LS_current!$D$3:$AY$3, 0)),SUM(VLOOKUP($A112, LS_current!$B$4:$AY$138, LS_current!K$148, FALSE), VLOOKUP($A112, LS_current!$B$4:$AY$138,LS_current!AI$148, FALSE))/2)</f>
        <v>-40.73213608018068</v>
      </c>
      <c r="CG112" s="192">
        <f t="array" ref="CG112">IF($BT112=0, INDEX(LS_current!$D$4:$AY$138, MATCH('Staging Table'!$A112, LS_current!$B$4:$B$138, 0), MATCH(CG$4&amp;CG$5, LS_current!$D$2:$AY$2&amp;LS_current!$D$3:$AY$3, 0)),SUM(VLOOKUP($A112, LS_current!$B$4:$AY$138, LS_current!L$148, FALSE), VLOOKUP($A112, LS_current!$B$4:$AY$138,LS_current!AJ$148, FALSE))/2)</f>
        <v>-422.38946754098697</v>
      </c>
      <c r="CH112" s="192">
        <f t="array" ref="CH112">IF($BT112=0, INDEX(LS_current!$D$4:$AY$138, MATCH('Staging Table'!$A112, LS_current!$B$4:$B$138, 0), MATCH(CH$4&amp;CH$5, LS_current!$D$2:$AY$2&amp;LS_current!$D$3:$AY$3, 0)),SUM(VLOOKUP($A112, LS_current!$B$4:$AY$138, LS_current!M$148, FALSE), VLOOKUP($A112, LS_current!$B$4:$AY$138,LS_current!AK$148, FALSE))/2)</f>
        <v>-265.82632314873013</v>
      </c>
      <c r="CI112" s="192">
        <f t="array" ref="CI112">IF($BT112=0, INDEX(LS_current!$D$4:$AY$138, MATCH('Staging Table'!$A112, LS_current!$B$4:$B$138, 0), MATCH(CI$4&amp;CI$5, LS_current!$D$2:$AY$2&amp;LS_current!$D$3:$AY$3, 0)),SUM(VLOOKUP($A112, LS_current!$B$4:$AY$138, LS_current!N$148, FALSE), VLOOKUP($A112, LS_current!$B$4:$AY$138,LS_current!AL$148, FALSE))/2)</f>
        <v>-1148.3448188312855</v>
      </c>
      <c r="CJ112" s="192">
        <f t="array" ref="CJ112">IF($BT112=0, INDEX(LS_current!$D$4:$AY$138, MATCH('Staging Table'!$A112, LS_current!$B$4:$B$138, 0), MATCH(CJ$4&amp;CJ$5, LS_current!$D$2:$AY$2&amp;LS_current!$D$3:$AY$3, 0)),SUM(VLOOKUP($A112, LS_current!$B$4:$AY$138, LS_current!O$148, FALSE), VLOOKUP($A112, LS_current!$B$4:$AY$138,LS_current!AM$148, FALSE))/2)</f>
        <v>-566.15833348013166</v>
      </c>
      <c r="CK112" s="192">
        <f t="array" ref="CK112">IF($BT112=0, INDEX(LS_current!$D$4:$AY$138, MATCH('Staging Table'!$A112, LS_current!$B$4:$B$138, 0), MATCH(CK$4&amp;CK$5, LS_current!$D$2:$AY$2&amp;LS_current!$D$3:$AY$3, 0)),SUM(VLOOKUP($A112, LS_current!$B$4:$AY$138, LS_current!P$148, FALSE), VLOOKUP($A112, LS_current!$B$4:$AY$138,LS_current!AN$148, FALSE))/2)</f>
        <v>-81.14072858276586</v>
      </c>
      <c r="CL112" s="192">
        <f t="array" ref="CL112">IF($BT112=0, INDEX(LS_current!$D$4:$AY$138, MATCH('Staging Table'!$A112, LS_current!$B$4:$B$138, 0), MATCH(CL$4&amp;CL$5, LS_current!$D$2:$AY$2&amp;LS_current!$D$3:$AY$3, 0)),SUM(VLOOKUP($A112, LS_current!$B$4:$AY$138, LS_current!Q$148, FALSE), VLOOKUP($A112, LS_current!$B$4:$AY$138,LS_current!AO$148, FALSE))/2)</f>
        <v>79.732364974745906</v>
      </c>
      <c r="CM112" s="192">
        <f t="array" ref="CM112">IF($BT112=0, INDEX(LS_current!$D$4:$AY$138, MATCH('Staging Table'!$A112, LS_current!$B$4:$B$138, 0), MATCH(CM$4&amp;CM$5, LS_current!$D$2:$AY$2&amp;LS_current!$D$3:$AY$3, 0)),SUM(VLOOKUP($A112, LS_current!$B$4:$AY$138, LS_current!R$148, FALSE), VLOOKUP($A112, LS_current!$B$4:$AY$138,LS_current!AP$148, FALSE))/2)</f>
        <v>72.41370315135191</v>
      </c>
      <c r="CN112" s="192">
        <f t="array" ref="CN112">IF($BT112=0, INDEX(LS_current!$D$4:$AY$138, MATCH('Staging Table'!$A112, LS_current!$B$4:$B$138, 0), MATCH(CN$4&amp;CN$5, LS_current!$D$2:$AY$2&amp;LS_current!$D$3:$AY$3, 0)),SUM(VLOOKUP($A112, LS_current!$B$4:$AY$138, LS_current!S$148, FALSE), VLOOKUP($A112, LS_current!$B$4:$AY$138,LS_current!AQ$148, FALSE))/2)</f>
        <v>1044.0077254229075</v>
      </c>
      <c r="CO112" s="192">
        <f t="array" ref="CO112">IF($BT112=0, INDEX(LS_current!$D$4:$AY$138, MATCH('Staging Table'!$A112, LS_current!$B$4:$B$138, 0), MATCH(CO$4&amp;CO$5, LS_current!$D$2:$AY$2&amp;LS_current!$D$3:$AY$3, 0)),SUM(VLOOKUP($A112, LS_current!$B$4:$AY$138, LS_current!T$148, FALSE), VLOOKUP($A112, LS_current!$B$4:$AY$138,LS_current!AR$148, FALSE))/2)</f>
        <v>1782.607562712974</v>
      </c>
      <c r="CP112" s="192">
        <f t="array" ref="CP112">IF($BT112=0, INDEX(LS_current!$D$4:$AY$138, MATCH('Staging Table'!$A112, LS_current!$B$4:$B$138, 0), MATCH(CP$4&amp;CP$5, LS_current!$D$2:$AY$2&amp;LS_current!$D$3:$AY$3, 0)),SUM(VLOOKUP($A112, LS_current!$B$4:$AY$138, LS_current!U$148, FALSE), VLOOKUP($A112, LS_current!$B$4:$AY$138,LS_current!AS$148, FALSE))/2)</f>
        <v>2251.8895609547944</v>
      </c>
      <c r="CQ112" s="192">
        <f t="array" ref="CQ112">IF($BT112=0, INDEX(LS_current!$D$4:$AY$138, MATCH('Staging Table'!$A112, LS_current!$B$4:$B$138, 0), MATCH(CQ$4&amp;CQ$5, LS_current!$D$2:$AY$2&amp;LS_current!$D$3:$AY$3, 0)),SUM(VLOOKUP($A112, LS_current!$B$4:$AY$138, LS_current!V$148, FALSE), VLOOKUP($A112, LS_current!$B$4:$AY$138,LS_current!AT$148, FALSE))/2)</f>
        <v>2056.1834748719734</v>
      </c>
      <c r="CR112" s="192">
        <f t="array" ref="CR112">IF($BT112=0, INDEX(LS_current!$D$4:$AY$138, MATCH('Staging Table'!$A112, LS_current!$B$4:$B$138, 0), MATCH(CR$4&amp;CR$5, LS_current!$D$2:$AY$2&amp;LS_current!$D$3:$AY$3, 0)),SUM(VLOOKUP($A112, LS_current!$B$4:$AY$138, LS_current!W$148, FALSE), VLOOKUP($A112, LS_current!$B$4:$AY$138,LS_current!AU$148, FALSE))/2)</f>
        <v>2702.3780471515811</v>
      </c>
      <c r="CS112" s="192">
        <f t="array" ref="CS112">IF($BT112=0, INDEX(LS_current!$D$4:$AY$138, MATCH('Staging Table'!$A112, LS_current!$B$4:$B$138, 0), MATCH(CS$4&amp;CS$5, LS_current!$D$2:$AY$2&amp;LS_current!$D$3:$AY$3, 0)),SUM(VLOOKUP($A112, LS_current!$B$4:$AY$138, LS_current!X$148, FALSE), VLOOKUP($A112, LS_current!$B$4:$AY$138,LS_current!AV$148, FALSE))/2)</f>
        <v>2066.1692566760389</v>
      </c>
      <c r="CT112" s="192">
        <f t="array" ref="CT112">IF($BT112=0, INDEX(LS_current!$D$4:$AY$138, MATCH('Staging Table'!$A112, LS_current!$B$4:$B$138, 0), MATCH(CT$4&amp;CT$5, LS_current!$D$2:$AY$2&amp;LS_current!$D$3:$AY$3, 0)),SUM(VLOOKUP($A112, LS_current!$B$4:$AY$138, LS_current!Y$148, FALSE), VLOOKUP($A112, LS_current!$B$4:$AY$138,LS_current!AW$148, FALSE))/2)</f>
        <v>1966.4017285079478</v>
      </c>
      <c r="CU112" s="192">
        <f t="array" ref="CU112">IF($BT112=0, INDEX(LS_current!$D$4:$AY$138, MATCH('Staging Table'!$A112, LS_current!$B$4:$B$138, 0), MATCH(CU$4&amp;CU$5, LS_current!$D$2:$AY$2&amp;LS_current!$D$3:$AY$3, 0)),SUM(VLOOKUP($A112, LS_current!$B$4:$AY$138, LS_current!Z$148, FALSE), VLOOKUP($A112, LS_current!$B$4:$AY$138,LS_current!AX$148, FALSE))/2)</f>
        <v>-22.283255542341522</v>
      </c>
      <c r="CV112" s="192">
        <f t="array" ref="CV112">IF($BT112=0, INDEX(LS_current!$D$4:$AY$138, MATCH('Staging Table'!$A112, LS_current!$B$4:$B$138, 0), MATCH(CV$4&amp;CV$5, LS_current!$D$2:$AY$2&amp;LS_current!$D$3:$AY$3, 0)),SUM(VLOOKUP($A112, LS_current!$B$4:$AY$138, LS_current!AA$148, FALSE), VLOOKUP($A112, LS_current!$B$4:$AY$138,LS_current!AY$148, FALSE))/2)</f>
        <v>532.89680711742017</v>
      </c>
      <c r="CW112" s="194">
        <f t="array" ref="CW112">INDEX(Demand_current!$D$4:$AY$138, MATCH($A112, Demand_current!$B$4:$B$138, 0), MATCH(CW$4&amp;CW$5,Demand_current!$D$2:$AY$2&amp;Demand_current!$D$3:$AY$3, 0))/1000</f>
        <v>0.99329567307692357</v>
      </c>
      <c r="CX112" s="194">
        <f t="array" ref="CX112">INDEX(Demand_current!$D$4:$AY$138, MATCH($A112, Demand_current!$B$4:$B$138, 0), MATCH(CX$4&amp;CX$5,Demand_current!$D$2:$AY$2&amp;Demand_current!$D$3:$AY$3, 0))/1000</f>
        <v>0.37634250000000069</v>
      </c>
      <c r="CY112" s="194">
        <f t="array" ref="CY112">INDEX(Demand_current!$D$4:$AY$138, MATCH($A112, Demand_current!$B$4:$B$138, 0), MATCH(CY$4&amp;CY$5,Demand_current!$D$2:$AY$2&amp;Demand_current!$D$3:$AY$3, 0))/1000</f>
        <v>0.8347331730769223</v>
      </c>
      <c r="CZ112" s="194">
        <f t="array" ref="CZ112">INDEX(Demand_current!$D$4:$AY$138, MATCH($A112, Demand_current!$B$4:$B$138, 0), MATCH(CZ$4&amp;CZ$5,Demand_current!$D$2:$AY$2&amp;Demand_current!$D$3:$AY$3, 0))/1000</f>
        <v>0.87860999999999945</v>
      </c>
      <c r="DA112" s="194">
        <f t="array" ref="DA112">INDEX(Demand_current!$D$4:$AY$138, MATCH($A112, Demand_current!$B$4:$B$138, 0), MATCH(DA$4&amp;DA$5,Demand_current!$D$2:$AY$2&amp;Demand_current!$D$3:$AY$3, 0))/1000</f>
        <v>0.34508072916666643</v>
      </c>
      <c r="DB112" s="194">
        <f t="array" ref="DB112">INDEX(Demand_current!$D$4:$AY$138, MATCH($A112, Demand_current!$B$4:$B$138, 0), MATCH(DB$4&amp;DB$5,Demand_current!$D$2:$AY$2&amp;Demand_current!$D$3:$AY$3, 0))/1000</f>
        <v>0.39673842592592656</v>
      </c>
      <c r="DC112" s="194">
        <f t="array" ref="DC112">INDEX(Demand_current!$D$4:$AY$138, MATCH($A112, Demand_current!$B$4:$B$138, 0), MATCH(DC$4&amp;DC$5,Demand_current!$D$2:$AY$2&amp;Demand_current!$D$3:$AY$3, 0))/1000</f>
        <v>1.4211274038461537</v>
      </c>
      <c r="DD112" s="194">
        <f t="array" ref="DD112">INDEX(Demand_current!$D$4:$AY$138, MATCH($A112, Demand_current!$B$4:$B$138, 0), MATCH(DD$4&amp;DD$5,Demand_current!$D$2:$AY$2&amp;Demand_current!$D$3:$AY$3, 0))/1000</f>
        <v>0.89561499999999894</v>
      </c>
      <c r="DE112" s="194">
        <f t="array" ref="DE112">INDEX(Demand_current!$D$4:$AY$138, MATCH($A112, Demand_current!$B$4:$B$138, 0), MATCH(DE$4&amp;DE$5,Demand_current!$D$2:$AY$2&amp;Demand_current!$D$3:$AY$3, 0))/1000</f>
        <v>1.9336874999999982</v>
      </c>
      <c r="DF112" s="194">
        <f t="array" ref="DF112">INDEX(Demand_current!$D$4:$AY$138, MATCH($A112, Demand_current!$B$4:$B$138, 0), MATCH(DF$4&amp;DF$5,Demand_current!$D$2:$AY$2&amp;Demand_current!$D$3:$AY$3, 0))/1000</f>
        <v>2.4111299999999973</v>
      </c>
      <c r="DG112" s="194">
        <f t="array" ref="DG112">INDEX(Demand_current!$D$4:$AY$138, MATCH($A112, Demand_current!$B$4:$B$138, 0), MATCH(DG$4&amp;DG$5,Demand_current!$D$2:$AY$2&amp;Demand_current!$D$3:$AY$3, 0))/1000</f>
        <v>1.1981643518518503</v>
      </c>
      <c r="DH112" s="194">
        <f t="array" ref="DH112">INDEX(Demand_current!$D$4:$AY$138, MATCH($A112, Demand_current!$B$4:$B$138, 0), MATCH(DH$4&amp;DH$5,Demand_current!$D$2:$AY$2&amp;Demand_current!$D$3:$AY$3, 0))/1000</f>
        <v>1.3632124999999999</v>
      </c>
      <c r="DI112" s="192">
        <f>$BS112*(VLOOKUP(DI$4, Rates_current!$G$6:$Q$29, 10, FALSE)+VLOOKUP(DI$4, Rates_current!$G$6:$Q$29, 11, FALSE))</f>
        <v>4362.204202648878</v>
      </c>
      <c r="DJ112" s="192">
        <f>$BS112*(VLOOKUP(DJ$4, Rates_current!$G$6:$Q$29, 10, FALSE)+VLOOKUP(DJ$4, Rates_current!$G$6:$Q$29, 11, FALSE))</f>
        <v>5522.7088358384899</v>
      </c>
      <c r="DK112" s="192">
        <f>$BS112*(VLOOKUP(DK$4, Rates_current!$G$6:$Q$29, 10, FALSE)+VLOOKUP(DK$4, Rates_current!$G$6:$Q$29, 11, FALSE))</f>
        <v>5405.6286057548205</v>
      </c>
      <c r="DL112" s="192">
        <f>$BS112*(VLOOKUP(DL$4, Rates_current!$G$6:$Q$29, 10, FALSE)+VLOOKUP(DL$4, Rates_current!$G$6:$Q$29, 11, FALSE))</f>
        <v>4464.8193548516556</v>
      </c>
      <c r="DM112" s="192">
        <f>$BS112*(VLOOKUP(DM$4, Rates_current!$G$6:$Q$29, 10, FALSE)+VLOOKUP(DM$4, Rates_current!$G$6:$Q$29, 11, FALSE))</f>
        <v>3869.7567906897175</v>
      </c>
      <c r="DN112" s="192">
        <f>$BS112*(VLOOKUP(DN$4, Rates_current!$G$6:$Q$29, 10, FALSE)+VLOOKUP(DN$4, Rates_current!$G$6:$Q$29, 11, FALSE))</f>
        <v>4619.7081523114175</v>
      </c>
      <c r="DO112" s="192">
        <f>$BS112*(VLOOKUP(DO$4, Rates_current!$G$6:$Q$29, 10, FALSE)+VLOOKUP(DO$4, Rates_current!$G$6:$Q$29, 11, FALSE))</f>
        <v>3586.5883636080198</v>
      </c>
      <c r="DP112" s="192">
        <f>$BS112*(VLOOKUP(DP$4, Rates_current!$G$6:$Q$29, 10, FALSE)+VLOOKUP(DP$4, Rates_current!$G$6:$Q$29, 11, FALSE))</f>
        <v>4969.2445714257401</v>
      </c>
      <c r="DQ112" s="192">
        <f>$BS112*(VLOOKUP(DQ$4, Rates_current!$G$6:$Q$29, 10, FALSE)+VLOOKUP(DQ$4, Rates_current!$G$6:$Q$29, 11, FALSE))</f>
        <v>5309.7418763322321</v>
      </c>
      <c r="DR112" s="192">
        <f>$BS112*(VLOOKUP(DR$4, Rates_current!$G$6:$Q$29, 10, FALSE)+VLOOKUP(DR$4, Rates_current!$G$6:$Q$29, 11, FALSE))</f>
        <v>5041.3594779764453</v>
      </c>
      <c r="DS112" s="192">
        <f>$BS112*(VLOOKUP(DS$4, Rates_current!$G$6:$Q$29, 10, FALSE)+VLOOKUP(DS$4, Rates_current!$G$6:$Q$29, 11, FALSE))</f>
        <v>4872.0850148160134</v>
      </c>
      <c r="DT112" s="192">
        <f>$BS112*(VLOOKUP(DT$4, Rates_current!$G$6:$Q$29, 10, FALSE)+VLOOKUP(DT$4, Rates_current!$G$6:$Q$29, 11, FALSE))</f>
        <v>4502.3144484249215</v>
      </c>
      <c r="DU112" s="418">
        <f>IF(D112=0,IF(C112=0,MAX(0,DW112 - (VLOOKUP($A112,TOCA_current!$A$2:$AI$137,MATCH("RHWM 2022",TOCA_current!$A$2:$AI$2,0),FALSE)*$BS$2)), 0),0)</f>
        <v>6314.8358915576537</v>
      </c>
      <c r="DV112" s="419">
        <f>MIN(VLOOKUP($A112,TOCA_current!$A$2:$AI$137,MATCH("TRL - NLSL - Existing Resource "&amp;$BS$1,TOCA_current!$A$2:$AI$2,0),FALSE)*$BS$2, VLOOKUP($A112,TOCA_current!$A$2:$AI$137,MATCH("RHWM 2022",TOCA_current!$A$2:$AI$2,0),FALSE)*$BS$2)</f>
        <v>56528.280000000006</v>
      </c>
      <c r="DW112" s="419">
        <f>SUM(BY112:CV112)+(BS112*RT1SC!$C$4*$BS$2)</f>
        <v>62843.11589155766</v>
      </c>
      <c r="DX112" s="419">
        <f>VLOOKUP($A112,TOCA_current!$A$2:$AI$137,MATCH("Above RHWM Not Served with LS "&amp;$BS$1,TOCA_current!$A$2:$AI$2,0),FALSE)*$BS$2</f>
        <v>0</v>
      </c>
      <c r="DY112" s="419">
        <f t="shared" si="32"/>
        <v>6314.8358915576537</v>
      </c>
      <c r="DZ112" s="419">
        <f>(VLOOKUP($A112,TOCA_current!$A$2:$AI$137,MATCH("RHWM 2022",TOCA_current!$A$2:$AI$2,0),FALSE)*$BS$2) - $DV112</f>
        <v>0</v>
      </c>
      <c r="EA112" s="419">
        <f t="shared" si="33"/>
        <v>0</v>
      </c>
      <c r="EB112" s="419">
        <f t="shared" si="34"/>
        <v>0</v>
      </c>
      <c r="EC112" s="419">
        <f t="shared" si="35"/>
        <v>0</v>
      </c>
      <c r="ED112" s="419">
        <f t="shared" si="36"/>
        <v>0</v>
      </c>
    </row>
    <row r="113" spans="1:134">
      <c r="A113" s="135">
        <v>10363</v>
      </c>
      <c r="B113" s="136" t="s">
        <v>114</v>
      </c>
      <c r="C113" s="244">
        <f>VLOOKUP(A113, TOCA_current!$A$3:$D$137, 4, FALSE)</f>
        <v>0</v>
      </c>
      <c r="D113" s="203">
        <v>0</v>
      </c>
      <c r="E113" s="119">
        <f>VLOOKUP($A113,TOCA_previous!$A$2:$AI$137,MATCH(E$4,TOCA_previous!$A$2:$AI$2,0),FALSE)</f>
        <v>1.3498599999999999E-2</v>
      </c>
      <c r="F113" s="120">
        <f>VLOOKUP($A113,TOCA_previous!$A$2:$AI$137,MATCH(F$4,TOCA_previous!$A$2:$AI$2,0),FALSE)</f>
        <v>1.3498599999999999E-2</v>
      </c>
      <c r="G113" s="120">
        <f t="shared" si="24"/>
        <v>0</v>
      </c>
      <c r="H113" s="120">
        <f>VLOOKUP($A113,TOCA_previous!$A$2:$AI$137,MATCH(H$4,TOCA_previous!$A$2:$AI$2,0),FALSE)</f>
        <v>0</v>
      </c>
      <c r="I113" s="120">
        <f t="shared" si="25"/>
        <v>0</v>
      </c>
      <c r="J113" s="120">
        <f t="shared" si="26"/>
        <v>0</v>
      </c>
      <c r="K113" s="191">
        <f>VLOOKUP(A113, IRD!$A$5:$C$139, 3, FALSE)</f>
        <v>0</v>
      </c>
      <c r="L113" s="192">
        <f t="array" ref="L113">IF($G113=0, INDEX(LS_previous!$D$4:$AY$138, MATCH('Staging Table'!$A113, LS_previous!$B$4:$B$138, 0), MATCH(L$4&amp;L$5, LS_previous!$D$2:$AY$2&amp;LS_previous!$D$3:$AY$3, 0)),SUM(VLOOKUP($A113, LS_previous!$B$4:$AY$138, LS_previous!D$149, FALSE), VLOOKUP('Staging Table'!$A113, LS_previous!$B$4:$AY$138,LS_previous!AB$149, FALSE))/2)</f>
        <v>-1602.1860464568017</v>
      </c>
      <c r="M113" s="192">
        <f t="array" ref="M113">IF($G113=0, INDEX(LS_previous!$D$4:$AY$138, MATCH('Staging Table'!$A113, LS_previous!$B$4:$B$138, 0), MATCH(M$4&amp;M$5, LS_previous!$D$2:$AY$2&amp;LS_previous!$D$3:$AY$3, 0)),SUM(VLOOKUP($A113, LS_previous!$B$4:$AY$138, LS_previous!E$149, FALSE), VLOOKUP('Staging Table'!$A113, LS_previous!$B$4:$AY$138,LS_previous!AC$149, FALSE))/2)</f>
        <v>2553.0981445311991</v>
      </c>
      <c r="N113" s="192">
        <f t="array" ref="N113">IF($G113=0, INDEX(LS_previous!$D$4:$AY$138, MATCH('Staging Table'!$A113, LS_previous!$B$4:$B$138, 0), MATCH(N$4&amp;N$5, LS_previous!$D$2:$AY$2&amp;LS_previous!$D$3:$AY$3, 0)),SUM(VLOOKUP($A113, LS_previous!$B$4:$AY$138, LS_previous!F$149, FALSE), VLOOKUP('Staging Table'!$A113, LS_previous!$B$4:$AY$138,LS_previous!AD$149, FALSE))/2)</f>
        <v>-9895.2973134607964</v>
      </c>
      <c r="O113" s="192">
        <f t="array" ref="O113">IF($G113=0, INDEX(LS_previous!$D$4:$AY$138, MATCH('Staging Table'!$A113, LS_previous!$B$4:$B$138, 0), MATCH(O$4&amp;O$5, LS_previous!$D$2:$AY$2&amp;LS_previous!$D$3:$AY$3, 0)),SUM(VLOOKUP($A113, LS_previous!$B$4:$AY$138, LS_previous!G$149, FALSE), VLOOKUP('Staging Table'!$A113, LS_previous!$B$4:$AY$138,LS_previous!AE$149, FALSE))/2)</f>
        <v>-3424.0938065045993</v>
      </c>
      <c r="P113" s="192">
        <f t="array" ref="P113">IF($G113=0, INDEX(LS_previous!$D$4:$AY$138, MATCH('Staging Table'!$A113, LS_previous!$B$4:$B$138, 0), MATCH(P$4&amp;P$5, LS_previous!$D$2:$AY$2&amp;LS_previous!$D$3:$AY$3, 0)),SUM(VLOOKUP($A113, LS_previous!$B$4:$AY$138, LS_previous!H$149, FALSE), VLOOKUP('Staging Table'!$A113, LS_previous!$B$4:$AY$138,LS_previous!AF$149, FALSE))/2)</f>
        <v>4644.9157673407972</v>
      </c>
      <c r="Q113" s="192">
        <f t="array" ref="Q113">IF($G113=0, INDEX(LS_previous!$D$4:$AY$138, MATCH('Staging Table'!$A113, LS_previous!$B$4:$B$138, 0), MATCH(Q$4&amp;Q$5, LS_previous!$D$2:$AY$2&amp;LS_previous!$D$3:$AY$3, 0)),SUM(VLOOKUP($A113, LS_previous!$B$4:$AY$138, LS_previous!I$149, FALSE), VLOOKUP('Staging Table'!$A113, LS_previous!$B$4:$AY$138,LS_previous!AG$149, FALSE))/2)</f>
        <v>4935.4770269335932</v>
      </c>
      <c r="R113" s="192">
        <f t="array" ref="R113">IF($G113=0, INDEX(LS_previous!$D$4:$AY$138, MATCH('Staging Table'!$A113, LS_previous!$B$4:$B$138, 0), MATCH(R$4&amp;R$5, LS_previous!$D$2:$AY$2&amp;LS_previous!$D$3:$AY$3, 0)),SUM(VLOOKUP($A113, LS_previous!$B$4:$AY$138, LS_previous!J$149, FALSE), VLOOKUP('Staging Table'!$A113, LS_previous!$B$4:$AY$138,LS_previous!AH$149, FALSE))/2)</f>
        <v>9327.8907409407984</v>
      </c>
      <c r="S113" s="192">
        <f t="array" ref="S113">IF($G113=0, INDEX(LS_previous!$D$4:$AY$138, MATCH('Staging Table'!$A113, LS_previous!$B$4:$B$138, 0), MATCH(S$4&amp;S$5, LS_previous!$D$2:$AY$2&amp;LS_previous!$D$3:$AY$3, 0)),SUM(VLOOKUP($A113, LS_previous!$B$4:$AY$138, LS_previous!K$149, FALSE), VLOOKUP('Staging Table'!$A113, LS_previous!$B$4:$AY$138,LS_previous!AI$149, FALSE))/2)</f>
        <v>12223.5668261336</v>
      </c>
      <c r="T113" s="192">
        <f t="array" ref="T113">IF($G113=0, INDEX(LS_previous!$D$4:$AY$138, MATCH('Staging Table'!$A113, LS_previous!$B$4:$B$138, 0), MATCH(T$4&amp;T$5, LS_previous!$D$2:$AY$2&amp;LS_previous!$D$3:$AY$3, 0)),SUM(VLOOKUP($A113, LS_previous!$B$4:$AY$138, LS_previous!L$149, FALSE), VLOOKUP('Staging Table'!$A113, LS_previous!$B$4:$AY$138,LS_previous!AJ$149, FALSE))/2)</f>
        <v>5347.3386619736048</v>
      </c>
      <c r="U113" s="192">
        <f t="array" ref="U113">IF($G113=0, INDEX(LS_previous!$D$4:$AY$138, MATCH('Staging Table'!$A113, LS_previous!$B$4:$B$138, 0), MATCH(U$4&amp;U$5, LS_previous!$D$2:$AY$2&amp;LS_previous!$D$3:$AY$3, 0)),SUM(VLOOKUP($A113, LS_previous!$B$4:$AY$138, LS_previous!M$149, FALSE), VLOOKUP('Staging Table'!$A113, LS_previous!$B$4:$AY$138,LS_previous!AK$149, FALSE))/2)</f>
        <v>4840.3904015464032</v>
      </c>
      <c r="V113" s="192">
        <f t="array" ref="V113">IF($G113=0, INDEX(LS_previous!$D$4:$AY$138, MATCH('Staging Table'!$A113, LS_previous!$B$4:$B$138, 0), MATCH(V$4&amp;V$5, LS_previous!$D$2:$AY$2&amp;LS_previous!$D$3:$AY$3, 0)),SUM(VLOOKUP($A113, LS_previous!$B$4:$AY$138, LS_previous!N$149, FALSE), VLOOKUP('Staging Table'!$A113, LS_previous!$B$4:$AY$138,LS_previous!AL$149, FALSE))/2)</f>
        <v>3146.8199153424066</v>
      </c>
      <c r="W113" s="192">
        <f t="array" ref="W113">IF($G113=0, INDEX(LS_previous!$D$4:$AY$138, MATCH('Staging Table'!$A113, LS_previous!$B$4:$B$138, 0), MATCH(W$4&amp;W$5, LS_previous!$D$2:$AY$2&amp;LS_previous!$D$3:$AY$3, 0)),SUM(VLOOKUP($A113, LS_previous!$B$4:$AY$138, LS_previous!O$149, FALSE), VLOOKUP('Staging Table'!$A113, LS_previous!$B$4:$AY$138,LS_previous!AM$149, FALSE))/2)</f>
        <v>2675.8658414694</v>
      </c>
      <c r="X113" s="192">
        <f t="array" ref="X113">IF($G113=0, INDEX(LS_previous!$D$4:$AY$138, MATCH('Staging Table'!$A113, LS_previous!$B$4:$B$138, 0), MATCH(X$4&amp;X$5, LS_previous!$D$2:$AY$2&amp;LS_previous!$D$3:$AY$3, 0)),SUM(VLOOKUP($A113, LS_previous!$B$4:$AY$138, LS_previous!P$149, FALSE), VLOOKUP('Staging Table'!$A113, LS_previous!$B$4:$AY$138,LS_previous!AN$149, FALSE))/2)</f>
        <v>5756.0739746416002</v>
      </c>
      <c r="Y113" s="192">
        <f t="array" ref="Y113">IF($G113=0, INDEX(LS_previous!$D$4:$AY$138, MATCH('Staging Table'!$A113, LS_previous!$B$4:$B$138, 0), MATCH(Y$4&amp;Y$5, LS_previous!$D$2:$AY$2&amp;LS_previous!$D$3:$AY$3, 0)),SUM(VLOOKUP($A113, LS_previous!$B$4:$AY$138, LS_previous!Q$149, FALSE), VLOOKUP('Staging Table'!$A113, LS_previous!$B$4:$AY$138,LS_previous!AO$149, FALSE))/2)</f>
        <v>3170.4724352304002</v>
      </c>
      <c r="Z113" s="192">
        <f t="array" ref="Z113">IF($G113=0, INDEX(LS_previous!$D$4:$AY$138, MATCH('Staging Table'!$A113, LS_previous!$B$4:$B$138, 0), MATCH(Z$4&amp;Z$5, LS_previous!$D$2:$AY$2&amp;LS_previous!$D$3:$AY$3, 0)),SUM(VLOOKUP($A113, LS_previous!$B$4:$AY$138, LS_previous!R$149, FALSE), VLOOKUP('Staging Table'!$A113, LS_previous!$B$4:$AY$138,LS_previous!AP$149, FALSE))/2)</f>
        <v>-13151.410528059998</v>
      </c>
      <c r="AA113" s="192">
        <f t="array" ref="AA113">IF($G113=0, INDEX(LS_previous!$D$4:$AY$138, MATCH('Staging Table'!$A113, LS_previous!$B$4:$B$138, 0), MATCH(AA$4&amp;AA$5, LS_previous!$D$2:$AY$2&amp;LS_previous!$D$3:$AY$3, 0)),SUM(VLOOKUP($A113, LS_previous!$B$4:$AY$138, LS_previous!S$149, FALSE), VLOOKUP('Staging Table'!$A113, LS_previous!$B$4:$AY$138,LS_previous!AQ$149, FALSE))/2)</f>
        <v>-2754.6712111655979</v>
      </c>
      <c r="AB113" s="192">
        <f t="array" ref="AB113">IF($G113=0, INDEX(LS_previous!$D$4:$AY$138, MATCH('Staging Table'!$A113, LS_previous!$B$4:$B$138, 0), MATCH(AB$4&amp;AB$5, LS_previous!$D$2:$AY$2&amp;LS_previous!$D$3:$AY$3, 0)),SUM(VLOOKUP($A113, LS_previous!$B$4:$AY$138, LS_previous!T$149, FALSE), VLOOKUP('Staging Table'!$A113, LS_previous!$B$4:$AY$138,LS_previous!AR$149, FALSE))/2)</f>
        <v>-23899.277442458399</v>
      </c>
      <c r="AC113" s="192">
        <f t="array" ref="AC113">IF($G113=0, INDEX(LS_previous!$D$4:$AY$138, MATCH('Staging Table'!$A113, LS_previous!$B$4:$B$138, 0), MATCH(AC$4&amp;AC$5, LS_previous!$D$2:$AY$2&amp;LS_previous!$D$3:$AY$3, 0)),SUM(VLOOKUP($A113, LS_previous!$B$4:$AY$138, LS_previous!U$149, FALSE), VLOOKUP('Staging Table'!$A113, LS_previous!$B$4:$AY$138,LS_previous!AS$149, FALSE))/2)</f>
        <v>-12467.7935643696</v>
      </c>
      <c r="AD113" s="192">
        <f t="array" ref="AD113">IF($G113=0, INDEX(LS_previous!$D$4:$AY$138, MATCH('Staging Table'!$A113, LS_previous!$B$4:$B$138, 0), MATCH(AD$4&amp;AD$5, LS_previous!$D$2:$AY$2&amp;LS_previous!$D$3:$AY$3, 0)),SUM(VLOOKUP($A113, LS_previous!$B$4:$AY$138, LS_previous!V$149, FALSE), VLOOKUP('Staging Table'!$A113, LS_previous!$B$4:$AY$138,LS_previous!AT$149, FALSE))/2)</f>
        <v>-12986.599355458398</v>
      </c>
      <c r="AE113" s="192">
        <f t="array" ref="AE113">IF($G113=0, INDEX(LS_previous!$D$4:$AY$138, MATCH('Staging Table'!$A113, LS_previous!$B$4:$B$138, 0), MATCH(AE$4&amp;AE$5, LS_previous!$D$2:$AY$2&amp;LS_previous!$D$3:$AY$3, 0)),SUM(VLOOKUP($A113, LS_previous!$B$4:$AY$138, LS_previous!W$149, FALSE), VLOOKUP('Staging Table'!$A113, LS_previous!$B$4:$AY$138,LS_previous!AU$149, FALSE))/2)</f>
        <v>1338.093143132799</v>
      </c>
      <c r="AF113" s="192">
        <f t="array" ref="AF113">IF($G113=0, INDEX(LS_previous!$D$4:$AY$138, MATCH('Staging Table'!$A113, LS_previous!$B$4:$B$138, 0), MATCH(AF$4&amp;AF$5, LS_previous!$D$2:$AY$2&amp;LS_previous!$D$3:$AY$3, 0)),SUM(VLOOKUP($A113, LS_previous!$B$4:$AY$138, LS_previous!X$149, FALSE), VLOOKUP('Staging Table'!$A113, LS_previous!$B$4:$AY$138,LS_previous!AV$149, FALSE))/2)</f>
        <v>-8287.5831761583977</v>
      </c>
      <c r="AG113" s="192">
        <f t="array" ref="AG113">IF($G113=0, INDEX(LS_previous!$D$4:$AY$138, MATCH('Staging Table'!$A113, LS_previous!$B$4:$B$138, 0), MATCH(AG$4&amp;AG$5, LS_previous!$D$2:$AY$2&amp;LS_previous!$D$3:$AY$3, 0)),SUM(VLOOKUP($A113, LS_previous!$B$4:$AY$138, LS_previous!Y$149, FALSE), VLOOKUP('Staging Table'!$A113, LS_previous!$B$4:$AY$138,LS_previous!AW$149, FALSE))/2)</f>
        <v>-883.90638486720127</v>
      </c>
      <c r="AH113" s="192">
        <f t="array" ref="AH113">IF($G113=0, INDEX(LS_previous!$D$4:$AY$138, MATCH('Staging Table'!$A113, LS_previous!$B$4:$B$138, 0), MATCH(AH$4&amp;AH$5, LS_previous!$D$2:$AY$2&amp;LS_previous!$D$3:$AY$3, 0)),SUM(VLOOKUP($A113, LS_previous!$B$4:$AY$138, LS_previous!Z$149, FALSE), VLOOKUP('Staging Table'!$A113, LS_previous!$B$4:$AY$138,LS_previous!AX$149, FALSE))/2)</f>
        <v>-6799.4328601599991</v>
      </c>
      <c r="AI113" s="192">
        <f t="array" ref="AI113">IF($G113=0, INDEX(LS_previous!$D$4:$AY$138, MATCH('Staging Table'!$A113, LS_previous!$B$4:$B$138, 0), MATCH(AI$4&amp;AI$5, LS_previous!$D$2:$AY$2&amp;LS_previous!$D$3:$AY$3, 0)),SUM(VLOOKUP($A113, LS_previous!$B$4:$AY$138, LS_previous!AA$149, FALSE), VLOOKUP('Staging Table'!$A113, LS_previous!$B$4:$AY$138,LS_previous!AY$149, FALSE))/2)</f>
        <v>-2285.8642965679974</v>
      </c>
      <c r="AJ113" s="314">
        <f t="array" ref="AJ113">INDEX(Demand_previous!$D$4:$AY$138, MATCH('Staging Table'!$A113, Demand_previous!$B$4:$B$138, 0), MATCH(AJ$4&amp;AJ$5,Demand_previous!$D$2:$AY$2&amp;Demand_previous!$D$3:$AY$3, 0))/1000</f>
        <v>0</v>
      </c>
      <c r="AK113" s="314">
        <f t="array" ref="AK113">INDEX(Demand_previous!$D$4:$AY$138, MATCH('Staging Table'!$A113, Demand_previous!$B$4:$B$138, 0), MATCH(AK$4&amp;AK$5,Demand_previous!$D$2:$AY$2&amp;Demand_previous!$D$3:$AY$3, 0))/1000</f>
        <v>3.1179600000000001</v>
      </c>
      <c r="AL113" s="314">
        <f t="array" ref="AL113">INDEX(Demand_previous!$D$4:$AY$138, MATCH('Staging Table'!$A113, Demand_previous!$B$4:$B$138, 0), MATCH(AL$4&amp;AL$5,Demand_previous!$D$2:$AY$2&amp;Demand_previous!$D$3:$AY$3, 0))/1000</f>
        <v>7.7413925000000141</v>
      </c>
      <c r="AM113" s="314">
        <f t="array" ref="AM113">INDEX(Demand_previous!$D$4:$AY$138, MATCH('Staging Table'!$A113, Demand_previous!$B$4:$B$138, 0), MATCH(AM$4&amp;AM$5,Demand_previous!$D$2:$AY$2&amp;Demand_previous!$D$3:$AY$3, 0))/1000</f>
        <v>11.186971153846155</v>
      </c>
      <c r="AN113" s="314">
        <f t="array" ref="AN113">INDEX(Demand_previous!$D$4:$AY$138, MATCH('Staging Table'!$A113, Demand_previous!$B$4:$B$138, 0), MATCH(AN$4&amp;AN$5,Demand_previous!$D$2:$AY$2&amp;Demand_previous!$D$3:$AY$3, 0))/1000</f>
        <v>2.580162499999993</v>
      </c>
      <c r="AO113" s="314">
        <f t="array" ref="AO113">INDEX(Demand_previous!$D$4:$AY$138, MATCH('Staging Table'!$A113, Demand_previous!$B$4:$B$138, 0), MATCH(AO$4&amp;AO$5,Demand_previous!$D$2:$AY$2&amp;Demand_previous!$D$3:$AY$3, 0))/1000</f>
        <v>8.694423076923087</v>
      </c>
      <c r="AP113" s="314">
        <f t="array" ref="AP113">INDEX(Demand_previous!$D$4:$AY$138, MATCH('Staging Table'!$A113, Demand_previous!$B$4:$B$138, 0), MATCH(AP$4&amp;AP$5,Demand_previous!$D$2:$AY$2&amp;Demand_previous!$D$3:$AY$3, 0))/1000</f>
        <v>5.9040552884615458</v>
      </c>
      <c r="AQ113" s="314">
        <f t="array" ref="AQ113">INDEX(Demand_previous!$D$4:$AY$138, MATCH('Staging Table'!$A113, Demand_previous!$B$4:$B$138, 0), MATCH(AQ$4&amp;AQ$5,Demand_previous!$D$2:$AY$2&amp;Demand_previous!$D$3:$AY$3, 0))/1000</f>
        <v>2.1397249999999808</v>
      </c>
      <c r="AR113" s="314">
        <f t="array" ref="AR113">INDEX(Demand_previous!$D$4:$AY$138, MATCH('Staging Table'!$A113, Demand_previous!$B$4:$B$138, 0), MATCH(AR$4&amp;AR$5,Demand_previous!$D$2:$AY$2&amp;Demand_previous!$D$3:$AY$3, 0))/1000</f>
        <v>15.373581730769233</v>
      </c>
      <c r="AS113" s="314">
        <f t="array" ref="AS113">INDEX(Demand_previous!$D$4:$AY$138, MATCH('Staging Table'!$A113, Demand_previous!$B$4:$B$138, 0), MATCH(AS$4&amp;AS$5,Demand_previous!$D$2:$AY$2&amp;Demand_previous!$D$3:$AY$3, 0))/1000</f>
        <v>10.831930288461532</v>
      </c>
      <c r="AT113" s="314">
        <f t="array" ref="AT113">INDEX(Demand_previous!$D$4:$AY$138, MATCH('Staging Table'!$A113, Demand_previous!$B$4:$B$138, 0), MATCH(AT$4&amp;AT$5,Demand_previous!$D$2:$AY$2&amp;Demand_previous!$D$3:$AY$3, 0))/1000</f>
        <v>11.530319711538466</v>
      </c>
      <c r="AU113" s="314">
        <f t="array" ref="AU113">INDEX(Demand_previous!$D$4:$AY$138, MATCH('Staging Table'!$A113, Demand_previous!$B$4:$B$138, 0), MATCH(AU$4&amp;AU$5,Demand_previous!$D$2:$AY$2&amp;Demand_previous!$D$3:$AY$3, 0))/1000</f>
        <v>8.2442949999999868</v>
      </c>
      <c r="AV113" s="192">
        <f>$F113*(VLOOKUP(AV$4, Rates_previous!$G$6:$Q$29, 10, FALSE)+VLOOKUP(AV$4, Rates_previous!$G$6:$Q$29, 11, FALSE))</f>
        <v>62327.317901925591</v>
      </c>
      <c r="AW113" s="192">
        <f>$F113*(VLOOKUP(AW$4, Rates_previous!$G$6:$Q$29, 10, FALSE)+VLOOKUP(AW$4, Rates_previous!$G$6:$Q$29, 11, FALSE))</f>
        <v>79175.137119965395</v>
      </c>
      <c r="AX113" s="192">
        <f>$F113*(VLOOKUP(AX$4, Rates_previous!$G$6:$Q$29, 10, FALSE)+VLOOKUP(AX$4, Rates_previous!$G$6:$Q$29, 11, FALSE))</f>
        <v>78218.990205725597</v>
      </c>
      <c r="AY113" s="192">
        <f>$F113*(VLOOKUP(AY$4, Rates_previous!$G$6:$Q$29, 10, FALSE)+VLOOKUP(AY$4, Rates_previous!$G$6:$Q$29, 11, FALSE))</f>
        <v>65200.292432925606</v>
      </c>
      <c r="AZ113" s="192">
        <f>$F113*(VLOOKUP(AZ$4, Rates_previous!$G$6:$Q$29, 10, FALSE)+VLOOKUP(AZ$4, Rates_previous!$G$6:$Q$29, 11, FALSE))</f>
        <v>59064.700936479996</v>
      </c>
      <c r="BA113" s="192">
        <f>$F113*(VLOOKUP(BA$4, Rates_previous!$G$6:$Q$29, 10, FALSE)+VLOOKUP(BA$4, Rates_previous!$G$6:$Q$29, 11, FALSE))</f>
        <v>65698.711243188198</v>
      </c>
      <c r="BB113" s="192">
        <f>$F113*(VLOOKUP(BB$4, Rates_previous!$G$6:$Q$29, 10, FALSE)+VLOOKUP(BB$4, Rates_previous!$G$6:$Q$29, 11, FALSE))</f>
        <v>53491.961590127998</v>
      </c>
      <c r="BC113" s="192">
        <f>$F113*(VLOOKUP(BC$4, Rates_previous!$G$6:$Q$29, 10, FALSE)+VLOOKUP(BC$4, Rates_previous!$G$6:$Q$29, 11, FALSE))</f>
        <v>72141.886739225607</v>
      </c>
      <c r="BD113" s="192">
        <f>$F113*(VLOOKUP(BD$4, Rates_previous!$G$6:$Q$29, 10, FALSE)+VLOOKUP(BD$4, Rates_previous!$G$6:$Q$29, 11, FALSE))</f>
        <v>92048.141006828009</v>
      </c>
      <c r="BE113" s="192">
        <f>$F113*(VLOOKUP(BE$4, Rates_previous!$G$6:$Q$29, 10, FALSE)+VLOOKUP(BE$4, Rates_previous!$G$6:$Q$29, 11, FALSE))</f>
        <v>72168.661212325605</v>
      </c>
      <c r="BF113" s="192">
        <f>$F113*(VLOOKUP(BF$4, Rates_previous!$G$6:$Q$29, 10, FALSE)+VLOOKUP(BF$4, Rates_previous!$G$6:$Q$29, 11, FALSE))</f>
        <v>70277.905561025604</v>
      </c>
      <c r="BG113" s="192">
        <f>$F113*(VLOOKUP(BG$4, Rates_previous!$G$6:$Q$29, 10, FALSE)+VLOOKUP(BG$4, Rates_previous!$G$6:$Q$29, 11, FALSE))</f>
        <v>63094.609156728002</v>
      </c>
      <c r="BH113" s="314">
        <f>IF($D113=0,IF(C113=0, MAX(BJ113 - (VLOOKUP($A113,TOCA_previous!$A$2:$AI$137,MATCH("RHWM 2020",TOCA_previous!$A$2:$AI$2,0),FALSE)*$F$2*TOCA_previous!C110),0),0), 0)</f>
        <v>0</v>
      </c>
      <c r="BI113" s="204">
        <f>MIN(VLOOKUP($A113,TOCA_previous!$A$2:$AI$137,MATCH("TRL - NLSL - Existing Resource "&amp;$F$1,TOCA_previous!$A$2:$AI$2,0),FALSE)*$F$2,(VLOOKUP($A113,TOCA_previous!$A$2:$AI$137,MATCH("RHWM 2020",TOCA_previous!$A$2:$AI$2,0),FALSE)*$F$2))</f>
        <v>832907.66399999999</v>
      </c>
      <c r="BJ113" s="418">
        <f>SUM(L113:AI113)+(F113*RT1SC!$C$3*$F$2)</f>
        <v>794430.23326275754</v>
      </c>
      <c r="BK113" s="417">
        <f>VLOOKUP($A113,TOCA_previous!$A$2:$AI$137,MATCH("Above RHWM Not Served with LS "&amp;$F$1,TOCA_previous!$A$2:$AI$2,0),FALSE)*$F$2</f>
        <v>0</v>
      </c>
      <c r="BL113" s="418">
        <f t="shared" si="27"/>
        <v>-38477.430737242452</v>
      </c>
      <c r="BM113" s="417">
        <f>(VLOOKUP($A113,TOCA_previous!$A$2:$AI$137,MATCH("RHWM 2020",TOCA_previous!$A$2:$AI$2,0),FALSE)*$F$2) - $BI113</f>
        <v>47011.967999999993</v>
      </c>
      <c r="BN113" s="418">
        <f t="shared" si="28"/>
        <v>0</v>
      </c>
      <c r="BO113" s="417">
        <f t="shared" si="29"/>
        <v>38477.430737242452</v>
      </c>
      <c r="BP113" s="418">
        <f t="shared" si="30"/>
        <v>0</v>
      </c>
      <c r="BQ113" s="417">
        <f t="shared" si="37"/>
        <v>38477.430737242452</v>
      </c>
      <c r="BR113" s="120">
        <f>VLOOKUP($A113,TOCA_current!$A$2:$AI$137,MATCH(BR$4,TOCA_current!$A$2:$AI$2,0),FALSE)</f>
        <v>1.3526099999999999E-2</v>
      </c>
      <c r="BS113" s="120">
        <f>VLOOKUP($A113,TOCA_current!$A$2:$AI$137,MATCH(BS$4,TOCA_current!$A$2:$AI$2,0),FALSE)</f>
        <v>1.3526099999999999E-2</v>
      </c>
      <c r="BT113" s="201">
        <f t="shared" si="31"/>
        <v>0</v>
      </c>
      <c r="BU113" s="120">
        <f>VLOOKUP($A113,TOCA_current!A109:BG244,MATCH(BU$4,TOCA_current!$A$2:$BG$2,0),FALSE)</f>
        <v>0</v>
      </c>
      <c r="BV113" s="120">
        <f t="shared" si="38"/>
        <v>0</v>
      </c>
      <c r="BW113" s="120">
        <f t="shared" si="39"/>
        <v>0</v>
      </c>
      <c r="BX113" s="191">
        <f>VLOOKUP($A113,IRD!$A$4:$G$139, 7, FALSE)</f>
        <v>0</v>
      </c>
      <c r="BY113" s="192">
        <f t="array" ref="BY113">IF($BT113=0, INDEX(LS_current!$D$4:$AY$138, MATCH('Staging Table'!$A113, LS_current!$B$4:$B$138, 0), MATCH(BY$4&amp;BY$5, LS_current!$D$2:$AY$2&amp;LS_current!$D$3:$AY$3, 0)),SUM(VLOOKUP($A113, LS_current!$B$4:$AY$138, LS_current!D$148, FALSE), VLOOKUP($A113, LS_current!$B$4:$AY$138,LS_current!AB$148, FALSE))/2)</f>
        <v>-490.91719713362545</v>
      </c>
      <c r="BZ113" s="192">
        <f t="array" ref="BZ113">IF($BT113=0, INDEX(LS_current!$D$4:$AY$138, MATCH('Staging Table'!$A113, LS_current!$B$4:$B$138, 0), MATCH(BZ$4&amp;BZ$5, LS_current!$D$2:$AY$2&amp;LS_current!$D$3:$AY$3, 0)),SUM(VLOOKUP($A113, LS_current!$B$4:$AY$138, LS_current!E$148, FALSE), VLOOKUP($A113, LS_current!$B$4:$AY$138,LS_current!AC$148, FALSE))/2)</f>
        <v>2172.3100894512099</v>
      </c>
      <c r="CA113" s="192">
        <f t="array" ref="CA113">IF($BT113=0, INDEX(LS_current!$D$4:$AY$138, MATCH('Staging Table'!$A113, LS_current!$B$4:$B$138, 0), MATCH(CA$4&amp;CA$5, LS_current!$D$2:$AY$2&amp;LS_current!$D$3:$AY$3, 0)),SUM(VLOOKUP($A113, LS_current!$B$4:$AY$138, LS_current!F$148, FALSE), VLOOKUP($A113, LS_current!$B$4:$AY$138,LS_current!AD$148, FALSE))/2)</f>
        <v>-8110.5841714507478</v>
      </c>
      <c r="CB113" s="192">
        <f t="array" ref="CB113">IF($BT113=0, INDEX(LS_current!$D$4:$AY$138, MATCH('Staging Table'!$A113, LS_current!$B$4:$B$138, 0), MATCH(CB$4&amp;CB$5, LS_current!$D$2:$AY$2&amp;LS_current!$D$3:$AY$3, 0)),SUM(VLOOKUP($A113, LS_current!$B$4:$AY$138, LS_current!G$148, FALSE), VLOOKUP($A113, LS_current!$B$4:$AY$138,LS_current!AE$148, FALSE))/2)</f>
        <v>-4017.5011099303847</v>
      </c>
      <c r="CC113" s="192">
        <f t="array" ref="CC113">IF($BT113=0, INDEX(LS_current!$D$4:$AY$138, MATCH('Staging Table'!$A113, LS_current!$B$4:$B$138, 0), MATCH(CC$4&amp;CC$5, LS_current!$D$2:$AY$2&amp;LS_current!$D$3:$AY$3, 0)),SUM(VLOOKUP($A113, LS_current!$B$4:$AY$138, LS_current!H$148, FALSE), VLOOKUP($A113, LS_current!$B$4:$AY$138,LS_current!AF$148, FALSE))/2)</f>
        <v>9612.6179899390409</v>
      </c>
      <c r="CD113" s="192">
        <f t="array" ref="CD113">IF($BT113=0, INDEX(LS_current!$D$4:$AY$138, MATCH('Staging Table'!$A113, LS_current!$B$4:$B$138, 0), MATCH(CD$4&amp;CD$5, LS_current!$D$2:$AY$2&amp;LS_current!$D$3:$AY$3, 0)),SUM(VLOOKUP($A113, LS_current!$B$4:$AY$138, LS_current!I$148, FALSE), VLOOKUP($A113, LS_current!$B$4:$AY$138,LS_current!AG$148, FALSE))/2)</f>
        <v>1856.174046181357</v>
      </c>
      <c r="CE113" s="192">
        <f t="array" ref="CE113">IF($BT113=0, INDEX(LS_current!$D$4:$AY$138, MATCH('Staging Table'!$A113, LS_current!$B$4:$B$138, 0), MATCH(CE$4&amp;CE$5, LS_current!$D$2:$AY$2&amp;LS_current!$D$3:$AY$3, 0)),SUM(VLOOKUP($A113, LS_current!$B$4:$AY$138, LS_current!J$148, FALSE), VLOOKUP($A113, LS_current!$B$4:$AY$138,LS_current!AH$148, FALSE))/2)</f>
        <v>14438.447478938469</v>
      </c>
      <c r="CF113" s="192">
        <f t="array" ref="CF113">IF($BT113=0, INDEX(LS_current!$D$4:$AY$138, MATCH('Staging Table'!$A113, LS_current!$B$4:$B$138, 0), MATCH(CF$4&amp;CF$5, LS_current!$D$2:$AY$2&amp;LS_current!$D$3:$AY$3, 0)),SUM(VLOOKUP($A113, LS_current!$B$4:$AY$138, LS_current!K$148, FALSE), VLOOKUP($A113, LS_current!$B$4:$AY$138,LS_current!AI$148, FALSE))/2)</f>
        <v>9267.4803312098011</v>
      </c>
      <c r="CG113" s="192">
        <f t="array" ref="CG113">IF($BT113=0, INDEX(LS_current!$D$4:$AY$138, MATCH('Staging Table'!$A113, LS_current!$B$4:$B$138, 0), MATCH(CG$4&amp;CG$5, LS_current!$D$2:$AY$2&amp;LS_current!$D$3:$AY$3, 0)),SUM(VLOOKUP($A113, LS_current!$B$4:$AY$138, LS_current!L$148, FALSE), VLOOKUP($A113, LS_current!$B$4:$AY$138,LS_current!AJ$148, FALSE))/2)</f>
        <v>10869.969745374106</v>
      </c>
      <c r="CH113" s="192">
        <f t="array" ref="CH113">IF($BT113=0, INDEX(LS_current!$D$4:$AY$138, MATCH('Staging Table'!$A113, LS_current!$B$4:$B$138, 0), MATCH(CH$4&amp;CH$5, LS_current!$D$2:$AY$2&amp;LS_current!$D$3:$AY$3, 0)),SUM(VLOOKUP($A113, LS_current!$B$4:$AY$138, LS_current!M$148, FALSE), VLOOKUP($A113, LS_current!$B$4:$AY$138,LS_current!AK$148, FALSE))/2)</f>
        <v>3739.264381833138</v>
      </c>
      <c r="CI113" s="192">
        <f t="array" ref="CI113">IF($BT113=0, INDEX(LS_current!$D$4:$AY$138, MATCH('Staging Table'!$A113, LS_current!$B$4:$B$138, 0), MATCH(CI$4&amp;CI$5, LS_current!$D$2:$AY$2&amp;LS_current!$D$3:$AY$3, 0)),SUM(VLOOKUP($A113, LS_current!$B$4:$AY$138, LS_current!N$148, FALSE), VLOOKUP($A113, LS_current!$B$4:$AY$138,LS_current!AL$148, FALSE))/2)</f>
        <v>4857.3701028355281</v>
      </c>
      <c r="CJ113" s="192">
        <f t="array" ref="CJ113">IF($BT113=0, INDEX(LS_current!$D$4:$AY$138, MATCH('Staging Table'!$A113, LS_current!$B$4:$B$138, 0), MATCH(CJ$4&amp;CJ$5, LS_current!$D$2:$AY$2&amp;LS_current!$D$3:$AY$3, 0)),SUM(VLOOKUP($A113, LS_current!$B$4:$AY$138, LS_current!O$148, FALSE), VLOOKUP($A113, LS_current!$B$4:$AY$138,LS_current!AM$148, FALSE))/2)</f>
        <v>1431.0856308741968</v>
      </c>
      <c r="CK113" s="192">
        <f t="array" ref="CK113">IF($BT113=0, INDEX(LS_current!$D$4:$AY$138, MATCH('Staging Table'!$A113, LS_current!$B$4:$B$138, 0), MATCH(CK$4&amp;CK$5, LS_current!$D$2:$AY$2&amp;LS_current!$D$3:$AY$3, 0)),SUM(VLOOKUP($A113, LS_current!$B$4:$AY$138, LS_current!P$148, FALSE), VLOOKUP($A113, LS_current!$B$4:$AY$138,LS_current!AN$148, FALSE))/2)</f>
        <v>8207.0220752862042</v>
      </c>
      <c r="CL113" s="192">
        <f t="array" ref="CL113">IF($BT113=0, INDEX(LS_current!$D$4:$AY$138, MATCH('Staging Table'!$A113, LS_current!$B$4:$B$138, 0), MATCH(CL$4&amp;CL$5, LS_current!$D$2:$AY$2&amp;LS_current!$D$3:$AY$3, 0)),SUM(VLOOKUP($A113, LS_current!$B$4:$AY$138, LS_current!Q$148, FALSE), VLOOKUP($A113, LS_current!$B$4:$AY$138,LS_current!AO$148, FALSE))/2)</f>
        <v>3566.791421113805</v>
      </c>
      <c r="CM113" s="192">
        <f t="array" ref="CM113">IF($BT113=0, INDEX(LS_current!$D$4:$AY$138, MATCH('Staging Table'!$A113, LS_current!$B$4:$B$138, 0), MATCH(CM$4&amp;CM$5, LS_current!$D$2:$AY$2&amp;LS_current!$D$3:$AY$3, 0)),SUM(VLOOKUP($A113, LS_current!$B$4:$AY$138, LS_current!R$148, FALSE), VLOOKUP($A113, LS_current!$B$4:$AY$138,LS_current!AP$148, FALSE))/2)</f>
        <v>-13620.408623243027</v>
      </c>
      <c r="CN113" s="192">
        <f t="array" ref="CN113">IF($BT113=0, INDEX(LS_current!$D$4:$AY$138, MATCH('Staging Table'!$A113, LS_current!$B$4:$B$138, 0), MATCH(CN$4&amp;CN$5, LS_current!$D$2:$AY$2&amp;LS_current!$D$3:$AY$3, 0)),SUM(VLOOKUP($A113, LS_current!$B$4:$AY$138, LS_current!S$148, FALSE), VLOOKUP($A113, LS_current!$B$4:$AY$138,LS_current!AQ$148, FALSE))/2)</f>
        <v>-312.38330499760923</v>
      </c>
      <c r="CO113" s="192">
        <f t="array" ref="CO113">IF($BT113=0, INDEX(LS_current!$D$4:$AY$138, MATCH('Staging Table'!$A113, LS_current!$B$4:$B$138, 0), MATCH(CO$4&amp;CO$5, LS_current!$D$2:$AY$2&amp;LS_current!$D$3:$AY$3, 0)),SUM(VLOOKUP($A113, LS_current!$B$4:$AY$138, LS_current!T$148, FALSE), VLOOKUP($A113, LS_current!$B$4:$AY$138,LS_current!AR$148, FALSE))/2)</f>
        <v>-17627.527873460742</v>
      </c>
      <c r="CP113" s="192">
        <f t="array" ref="CP113">IF($BT113=0, INDEX(LS_current!$D$4:$AY$138, MATCH('Staging Table'!$A113, LS_current!$B$4:$B$138, 0), MATCH(CP$4&amp;CP$5, LS_current!$D$2:$AY$2&amp;LS_current!$D$3:$AY$3, 0)),SUM(VLOOKUP($A113, LS_current!$B$4:$AY$138, LS_current!U$148, FALSE), VLOOKUP($A113, LS_current!$B$4:$AY$138,LS_current!AS$148, FALSE))/2)</f>
        <v>-1668.017215230564</v>
      </c>
      <c r="CQ113" s="192">
        <f t="array" ref="CQ113">IF($BT113=0, INDEX(LS_current!$D$4:$AY$138, MATCH('Staging Table'!$A113, LS_current!$B$4:$B$138, 0), MATCH(CQ$4&amp;CQ$5, LS_current!$D$2:$AY$2&amp;LS_current!$D$3:$AY$3, 0)),SUM(VLOOKUP($A113, LS_current!$B$4:$AY$138, LS_current!V$148, FALSE), VLOOKUP($A113, LS_current!$B$4:$AY$138,LS_current!AT$148, FALSE))/2)</f>
        <v>-10721.093042106899</v>
      </c>
      <c r="CR113" s="192">
        <f t="array" ref="CR113">IF($BT113=0, INDEX(LS_current!$D$4:$AY$138, MATCH('Staging Table'!$A113, LS_current!$B$4:$B$138, 0), MATCH(CR$4&amp;CR$5, LS_current!$D$2:$AY$2&amp;LS_current!$D$3:$AY$3, 0)),SUM(VLOOKUP($A113, LS_current!$B$4:$AY$138, LS_current!W$148, FALSE), VLOOKUP($A113, LS_current!$B$4:$AY$138,LS_current!AU$148, FALSE))/2)</f>
        <v>54.347076393158204</v>
      </c>
      <c r="CS113" s="192">
        <f t="array" ref="CS113">IF($BT113=0, INDEX(LS_current!$D$4:$AY$138, MATCH('Staging Table'!$A113, LS_current!$B$4:$B$138, 0), MATCH(CS$4&amp;CS$5, LS_current!$D$2:$AY$2&amp;LS_current!$D$3:$AY$3, 0)),SUM(VLOOKUP($A113, LS_current!$B$4:$AY$138, LS_current!X$148, FALSE), VLOOKUP($A113, LS_current!$B$4:$AY$138,LS_current!AV$148, FALSE))/2)</f>
        <v>-6458.1788387871711</v>
      </c>
      <c r="CT113" s="192">
        <f t="array" ref="CT113">IF($BT113=0, INDEX(LS_current!$D$4:$AY$138, MATCH('Staging Table'!$A113, LS_current!$B$4:$B$138, 0), MATCH(CT$4&amp;CT$5, LS_current!$D$2:$AY$2&amp;LS_current!$D$3:$AY$3, 0)),SUM(VLOOKUP($A113, LS_current!$B$4:$AY$138, LS_current!Y$148, FALSE), VLOOKUP($A113, LS_current!$B$4:$AY$138,LS_current!AW$148, FALSE))/2)</f>
        <v>-1232.0531609026475</v>
      </c>
      <c r="CU113" s="192">
        <f t="array" ref="CU113">IF($BT113=0, INDEX(LS_current!$D$4:$AY$138, MATCH('Staging Table'!$A113, LS_current!$B$4:$B$138, 0), MATCH(CU$4&amp;CU$5, LS_current!$D$2:$AY$2&amp;LS_current!$D$3:$AY$3, 0)),SUM(VLOOKUP($A113, LS_current!$B$4:$AY$138, LS_current!Z$148, FALSE), VLOOKUP($A113, LS_current!$B$4:$AY$138,LS_current!AX$148, FALSE))/2)</f>
        <v>-6966.9571943744231</v>
      </c>
      <c r="CV113" s="192">
        <f t="array" ref="CV113">IF($BT113=0, INDEX(LS_current!$D$4:$AY$138, MATCH('Staging Table'!$A113, LS_current!$B$4:$B$138, 0), MATCH(CV$4&amp;CV$5, LS_current!$D$2:$AY$2&amp;LS_current!$D$3:$AY$3, 0)),SUM(VLOOKUP($A113, LS_current!$B$4:$AY$138, LS_current!AA$148, FALSE), VLOOKUP($A113, LS_current!$B$4:$AY$138,LS_current!AY$148, FALSE))/2)</f>
        <v>-2599.005323675814</v>
      </c>
      <c r="CW113" s="194">
        <f t="array" ref="CW113">INDEX(Demand_current!$D$4:$AY$138, MATCH($A113, Demand_current!$B$4:$B$138, 0), MATCH(CW$4&amp;CW$5,Demand_current!$D$2:$AY$2&amp;Demand_current!$D$3:$AY$3, 0))/1000</f>
        <v>0</v>
      </c>
      <c r="CX113" s="194">
        <f t="array" ref="CX113">INDEX(Demand_current!$D$4:$AY$138, MATCH($A113, Demand_current!$B$4:$B$138, 0), MATCH(CX$4&amp;CX$5,Demand_current!$D$2:$AY$2&amp;Demand_current!$D$3:$AY$3, 0))/1000</f>
        <v>3.1179600000000001</v>
      </c>
      <c r="CY113" s="194">
        <f t="array" ref="CY113">INDEX(Demand_current!$D$4:$AY$138, MATCH($A113, Demand_current!$B$4:$B$138, 0), MATCH(CY$4&amp;CY$5,Demand_current!$D$2:$AY$2&amp;Demand_current!$D$3:$AY$3, 0))/1000</f>
        <v>12.858608173076941</v>
      </c>
      <c r="CZ113" s="194">
        <f t="array" ref="CZ113">INDEX(Demand_current!$D$4:$AY$138, MATCH($A113, Demand_current!$B$4:$B$138, 0), MATCH(CZ$4&amp;CZ$5,Demand_current!$D$2:$AY$2&amp;Demand_current!$D$3:$AY$3, 0))/1000</f>
        <v>6.3500500000000066</v>
      </c>
      <c r="DA113" s="194">
        <f t="array" ref="DA113">INDEX(Demand_current!$D$4:$AY$138, MATCH($A113, Demand_current!$B$4:$B$138, 0), MATCH(DA$4&amp;DA$5,Demand_current!$D$2:$AY$2&amp;Demand_current!$D$3:$AY$3, 0))/1000</f>
        <v>0</v>
      </c>
      <c r="DB113" s="194">
        <f t="array" ref="DB113">INDEX(Demand_current!$D$4:$AY$138, MATCH($A113, Demand_current!$B$4:$B$138, 0), MATCH(DB$4&amp;DB$5,Demand_current!$D$2:$AY$2&amp;Demand_current!$D$3:$AY$3, 0))/1000</f>
        <v>12.693666666666671</v>
      </c>
      <c r="DC113" s="194">
        <f t="array" ref="DC113">INDEX(Demand_current!$D$4:$AY$138, MATCH($A113, Demand_current!$B$4:$B$138, 0), MATCH(DC$4&amp;DC$5,Demand_current!$D$2:$AY$2&amp;Demand_current!$D$3:$AY$3, 0))/1000</f>
        <v>5.9040552884615458</v>
      </c>
      <c r="DD113" s="194">
        <f t="array" ref="DD113">INDEX(Demand_current!$D$4:$AY$138, MATCH($A113, Demand_current!$B$4:$B$138, 0), MATCH(DD$4&amp;DD$5,Demand_current!$D$2:$AY$2&amp;Demand_current!$D$3:$AY$3, 0))/1000</f>
        <v>2.1397249999999808</v>
      </c>
      <c r="DE113" s="194">
        <f t="array" ref="DE113">INDEX(Demand_current!$D$4:$AY$138, MATCH($A113, Demand_current!$B$4:$B$138, 0), MATCH(DE$4&amp;DE$5,Demand_current!$D$2:$AY$2&amp;Demand_current!$D$3:$AY$3, 0))/1000</f>
        <v>15.373581730769233</v>
      </c>
      <c r="DF113" s="194">
        <f t="array" ref="DF113">INDEX(Demand_current!$D$4:$AY$138, MATCH($A113, Demand_current!$B$4:$B$138, 0), MATCH(DF$4&amp;DF$5,Demand_current!$D$2:$AY$2&amp;Demand_current!$D$3:$AY$3, 0))/1000</f>
        <v>7.3038075000000013</v>
      </c>
      <c r="DG113" s="194">
        <f t="array" ref="DG113">INDEX(Demand_current!$D$4:$AY$138, MATCH($A113, Demand_current!$B$4:$B$138, 0), MATCH(DG$4&amp;DG$5,Demand_current!$D$2:$AY$2&amp;Demand_current!$D$3:$AY$3, 0))/1000</f>
        <v>15.080196759259264</v>
      </c>
      <c r="DH113" s="194">
        <f t="array" ref="DH113">INDEX(Demand_current!$D$4:$AY$138, MATCH($A113, Demand_current!$B$4:$B$138, 0), MATCH(DH$4&amp;DH$5,Demand_current!$D$2:$AY$2&amp;Demand_current!$D$3:$AY$3, 0))/1000</f>
        <v>8.2442949999999868</v>
      </c>
      <c r="DI113" s="192">
        <f>$BS113*(VLOOKUP(DI$4, Rates_current!$G$6:$Q$29, 10, FALSE)+VLOOKUP(DI$4, Rates_current!$G$6:$Q$29, 11, FALSE))</f>
        <v>61596.837107682411</v>
      </c>
      <c r="DJ113" s="192">
        <f>$BS113*(VLOOKUP(DJ$4, Rates_current!$G$6:$Q$29, 10, FALSE)+VLOOKUP(DJ$4, Rates_current!$G$6:$Q$29, 11, FALSE))</f>
        <v>77983.831281381135</v>
      </c>
      <c r="DK113" s="192">
        <f>$BS113*(VLOOKUP(DK$4, Rates_current!$G$6:$Q$29, 10, FALSE)+VLOOKUP(DK$4, Rates_current!$G$6:$Q$29, 11, FALSE))</f>
        <v>76330.5909638796</v>
      </c>
      <c r="DL113" s="192">
        <f>$BS113*(VLOOKUP(DL$4, Rates_current!$G$6:$Q$29, 10, FALSE)+VLOOKUP(DL$4, Rates_current!$G$6:$Q$29, 11, FALSE))</f>
        <v>63045.822189851729</v>
      </c>
      <c r="DM113" s="192">
        <f>$BS113*(VLOOKUP(DM$4, Rates_current!$G$6:$Q$29, 10, FALSE)+VLOOKUP(DM$4, Rates_current!$G$6:$Q$29, 11, FALSE))</f>
        <v>54643.195872792763</v>
      </c>
      <c r="DN113" s="192">
        <f>$BS113*(VLOOKUP(DN$4, Rates_current!$G$6:$Q$29, 10, FALSE)+VLOOKUP(DN$4, Rates_current!$G$6:$Q$29, 11, FALSE))</f>
        <v>65232.941266290283</v>
      </c>
      <c r="DO113" s="192">
        <f>$BS113*(VLOOKUP(DO$4, Rates_current!$G$6:$Q$29, 10, FALSE)+VLOOKUP(DO$4, Rates_current!$G$6:$Q$29, 11, FALSE))</f>
        <v>50644.694503599989</v>
      </c>
      <c r="DP113" s="192">
        <f>$BS113*(VLOOKUP(DP$4, Rates_current!$G$6:$Q$29, 10, FALSE)+VLOOKUP(DP$4, Rates_current!$G$6:$Q$29, 11, FALSE))</f>
        <v>70168.596928240629</v>
      </c>
      <c r="DQ113" s="192">
        <f>$BS113*(VLOOKUP(DQ$4, Rates_current!$G$6:$Q$29, 10, FALSE)+VLOOKUP(DQ$4, Rates_current!$G$6:$Q$29, 11, FALSE))</f>
        <v>74976.615088691295</v>
      </c>
      <c r="DR113" s="192">
        <f>$BS113*(VLOOKUP(DR$4, Rates_current!$G$6:$Q$29, 10, FALSE)+VLOOKUP(DR$4, Rates_current!$G$6:$Q$29, 11, FALSE))</f>
        <v>71186.90096571375</v>
      </c>
      <c r="DS113" s="192">
        <f>$BS113*(VLOOKUP(DS$4, Rates_current!$G$6:$Q$29, 10, FALSE)+VLOOKUP(DS$4, Rates_current!$G$6:$Q$29, 11, FALSE))</f>
        <v>68796.647999689812</v>
      </c>
      <c r="DT113" s="192">
        <f>$BS113*(VLOOKUP(DT$4, Rates_current!$G$6:$Q$29, 10, FALSE)+VLOOKUP(DT$4, Rates_current!$G$6:$Q$29, 11, FALSE))</f>
        <v>63575.274518050239</v>
      </c>
      <c r="DU113" s="418">
        <f>IF(D113=0,IF(C113=0,MAX(0,DW113 - (VLOOKUP($A113,TOCA_current!$A$2:$AI$137,MATCH("RHWM 2022",TOCA_current!$A$2:$AI$2,0),FALSE)*$BS$2)), 0),0)</f>
        <v>0</v>
      </c>
      <c r="DV113" s="419">
        <f>MIN(VLOOKUP($A113,TOCA_current!$A$2:$AI$137,MATCH("TRL - NLSL - Existing Resource "&amp;$BS$1,TOCA_current!$A$2:$AI$2,0),FALSE)*$BS$2, VLOOKUP($A113,TOCA_current!$A$2:$AI$137,MATCH("RHWM 2022",TOCA_current!$A$2:$AI$2,0),FALSE)*$BS$2)</f>
        <v>798184.92</v>
      </c>
      <c r="DW113" s="419">
        <f>SUM(BY113:CV113)+(BS113*RT1SC!$C$4*$BS$2)</f>
        <v>794430.24283046043</v>
      </c>
      <c r="DX113" s="419">
        <f>VLOOKUP($A113,TOCA_current!$A$2:$AI$137,MATCH("Above RHWM Not Served with LS "&amp;$BS$1,TOCA_current!$A$2:$AI$2,0),FALSE)*$BS$2</f>
        <v>0</v>
      </c>
      <c r="DY113" s="419">
        <f t="shared" si="32"/>
        <v>-3754.6771695396164</v>
      </c>
      <c r="DZ113" s="419">
        <f>(VLOOKUP($A113,TOCA_current!$A$2:$AI$137,MATCH("RHWM 2022",TOCA_current!$A$2:$AI$2,0),FALSE)*$BS$2) - $DV113</f>
        <v>43326.959999999963</v>
      </c>
      <c r="EA113" s="419">
        <f t="shared" si="33"/>
        <v>0</v>
      </c>
      <c r="EB113" s="419">
        <f t="shared" si="34"/>
        <v>3754.6771695396164</v>
      </c>
      <c r="EC113" s="419">
        <f t="shared" si="35"/>
        <v>0</v>
      </c>
      <c r="ED113" s="419">
        <f t="shared" si="36"/>
        <v>3754.6771695396164</v>
      </c>
    </row>
    <row r="114" spans="1:134">
      <c r="A114" s="135">
        <v>10369</v>
      </c>
      <c r="B114" s="136" t="s">
        <v>115</v>
      </c>
      <c r="C114" s="244">
        <f>VLOOKUP(A114, TOCA_current!$A$3:$D$137, 4, FALSE)</f>
        <v>0</v>
      </c>
      <c r="D114" s="203">
        <v>0</v>
      </c>
      <c r="E114" s="119">
        <f>VLOOKUP($A114,TOCA_previous!$A$2:$AI$137,MATCH(E$4,TOCA_previous!$A$2:$AI$2,0),FALSE)</f>
        <v>2.3268999999999998E-3</v>
      </c>
      <c r="F114" s="120">
        <f>VLOOKUP($A114,TOCA_previous!$A$2:$AI$137,MATCH(F$4,TOCA_previous!$A$2:$AI$2,0),FALSE)</f>
        <v>2.3268999999999998E-3</v>
      </c>
      <c r="G114" s="120">
        <f t="shared" si="24"/>
        <v>0</v>
      </c>
      <c r="H114" s="120">
        <f>VLOOKUP($A114,TOCA_previous!$A$2:$AI$137,MATCH(H$4,TOCA_previous!$A$2:$AI$2,0),FALSE)</f>
        <v>7.714775160599574E-2</v>
      </c>
      <c r="I114" s="120">
        <f t="shared" si="25"/>
        <v>0</v>
      </c>
      <c r="J114" s="120">
        <f t="shared" si="26"/>
        <v>0</v>
      </c>
      <c r="K114" s="191">
        <f>VLOOKUP(A114, IRD!$A$5:$C$139, 3, FALSE)</f>
        <v>46210.901000000005</v>
      </c>
      <c r="L114" s="192">
        <f t="array" ref="L114">IF($G114=0, INDEX(LS_previous!$D$4:$AY$138, MATCH('Staging Table'!$A114, LS_previous!$B$4:$B$138, 0), MATCH(L$4&amp;L$5, LS_previous!$D$2:$AY$2&amp;LS_previous!$D$3:$AY$3, 0)),SUM(VLOOKUP($A114, LS_previous!$B$4:$AY$138, LS_previous!D$149, FALSE), VLOOKUP('Staging Table'!$A114, LS_previous!$B$4:$AY$138,LS_previous!AB$149, FALSE))/2)</f>
        <v>-3219.7562513371986</v>
      </c>
      <c r="M114" s="192">
        <f t="array" ref="M114">IF($G114=0, INDEX(LS_previous!$D$4:$AY$138, MATCH('Staging Table'!$A114, LS_previous!$B$4:$B$138, 0), MATCH(M$4&amp;M$5, LS_previous!$D$2:$AY$2&amp;LS_previous!$D$3:$AY$3, 0)),SUM(VLOOKUP($A114, LS_previous!$B$4:$AY$138, LS_previous!E$149, FALSE), VLOOKUP('Staging Table'!$A114, LS_previous!$B$4:$AY$138,LS_previous!AC$149, FALSE))/2)</f>
        <v>-1080.4091320351995</v>
      </c>
      <c r="N114" s="192">
        <f t="array" ref="N114">IF($G114=0, INDEX(LS_previous!$D$4:$AY$138, MATCH('Staging Table'!$A114, LS_previous!$B$4:$B$138, 0), MATCH(N$4&amp;N$5, LS_previous!$D$2:$AY$2&amp;LS_previous!$D$3:$AY$3, 0)),SUM(VLOOKUP($A114, LS_previous!$B$4:$AY$138, LS_previous!F$149, FALSE), VLOOKUP('Staging Table'!$A114, LS_previous!$B$4:$AY$138,LS_previous!AD$149, FALSE))/2)</f>
        <v>-4793.8405009031994</v>
      </c>
      <c r="O114" s="192">
        <f t="array" ref="O114">IF($G114=0, INDEX(LS_previous!$D$4:$AY$138, MATCH('Staging Table'!$A114, LS_previous!$B$4:$B$138, 0), MATCH(O$4&amp;O$5, LS_previous!$D$2:$AY$2&amp;LS_previous!$D$3:$AY$3, 0)),SUM(VLOOKUP($A114, LS_previous!$B$4:$AY$138, LS_previous!G$149, FALSE), VLOOKUP('Staging Table'!$A114, LS_previous!$B$4:$AY$138,LS_previous!AE$149, FALSE))/2)</f>
        <v>-2341.6981029259005</v>
      </c>
      <c r="P114" s="192">
        <f t="array" ref="P114">IF($G114=0, INDEX(LS_previous!$D$4:$AY$138, MATCH('Staging Table'!$A114, LS_previous!$B$4:$B$138, 0), MATCH(P$4&amp;P$5, LS_previous!$D$2:$AY$2&amp;LS_previous!$D$3:$AY$3, 0)),SUM(VLOOKUP($A114, LS_previous!$B$4:$AY$138, LS_previous!H$149, FALSE), VLOOKUP('Staging Table'!$A114, LS_previous!$B$4:$AY$138,LS_previous!AF$149, FALSE))/2)</f>
        <v>-3652.6458300767999</v>
      </c>
      <c r="Q114" s="192">
        <f t="array" ref="Q114">IF($G114=0, INDEX(LS_previous!$D$4:$AY$138, MATCH('Staging Table'!$A114, LS_previous!$B$4:$B$138, 0), MATCH(Q$4&amp;Q$5, LS_previous!$D$2:$AY$2&amp;LS_previous!$D$3:$AY$3, 0)),SUM(VLOOKUP($A114, LS_previous!$B$4:$AY$138, LS_previous!I$149, FALSE), VLOOKUP('Staging Table'!$A114, LS_previous!$B$4:$AY$138,LS_previous!AG$149, FALSE))/2)</f>
        <v>-1722.7663659956002</v>
      </c>
      <c r="R114" s="192">
        <f t="array" ref="R114">IF($G114=0, INDEX(LS_previous!$D$4:$AY$138, MATCH('Staging Table'!$A114, LS_previous!$B$4:$B$138, 0), MATCH(R$4&amp;R$5, LS_previous!$D$2:$AY$2&amp;LS_previous!$D$3:$AY$3, 0)),SUM(VLOOKUP($A114, LS_previous!$B$4:$AY$138, LS_previous!J$149, FALSE), VLOOKUP('Staging Table'!$A114, LS_previous!$B$4:$AY$138,LS_previous!AH$149, FALSE))/2)</f>
        <v>-2196.5346656768006</v>
      </c>
      <c r="S114" s="192">
        <f t="array" ref="S114">IF($G114=0, INDEX(LS_previous!$D$4:$AY$138, MATCH('Staging Table'!$A114, LS_previous!$B$4:$B$138, 0), MATCH(S$4&amp;S$5, LS_previous!$D$2:$AY$2&amp;LS_previous!$D$3:$AY$3, 0)),SUM(VLOOKUP($A114, LS_previous!$B$4:$AY$138, LS_previous!K$149, FALSE), VLOOKUP('Staging Table'!$A114, LS_previous!$B$4:$AY$138,LS_previous!AI$149, FALSE))/2)</f>
        <v>-255.55147919559931</v>
      </c>
      <c r="T114" s="192">
        <f t="array" ref="T114">IF($G114=0, INDEX(LS_previous!$D$4:$AY$138, MATCH('Staging Table'!$A114, LS_previous!$B$4:$B$138, 0), MATCH(T$4&amp;T$5, LS_previous!$D$2:$AY$2&amp;LS_previous!$D$3:$AY$3, 0)),SUM(VLOOKUP($A114, LS_previous!$B$4:$AY$138, LS_previous!L$149, FALSE), VLOOKUP('Staging Table'!$A114, LS_previous!$B$4:$AY$138,LS_previous!AJ$149, FALSE))/2)</f>
        <v>-2402.7014478355991</v>
      </c>
      <c r="U114" s="192">
        <f t="array" ref="U114">IF($G114=0, INDEX(LS_previous!$D$4:$AY$138, MATCH('Staging Table'!$A114, LS_previous!$B$4:$B$138, 0), MATCH(U$4&amp;U$5, LS_previous!$D$2:$AY$2&amp;LS_previous!$D$3:$AY$3, 0)),SUM(VLOOKUP($A114, LS_previous!$B$4:$AY$138, LS_previous!M$149, FALSE), VLOOKUP('Staging Table'!$A114, LS_previous!$B$4:$AY$138,LS_previous!AK$149, FALSE))/2)</f>
        <v>-892.26828408439951</v>
      </c>
      <c r="V114" s="192">
        <f t="array" ref="V114">IF($G114=0, INDEX(LS_previous!$D$4:$AY$138, MATCH('Staging Table'!$A114, LS_previous!$B$4:$B$138, 0), MATCH(V$4&amp;V$5, LS_previous!$D$2:$AY$2&amp;LS_previous!$D$3:$AY$3, 0)),SUM(VLOOKUP($A114, LS_previous!$B$4:$AY$138, LS_previous!N$149, FALSE), VLOOKUP('Staging Table'!$A114, LS_previous!$B$4:$AY$138,LS_previous!AL$149, FALSE))/2)</f>
        <v>-3061.4643504503993</v>
      </c>
      <c r="W114" s="192">
        <f t="array" ref="W114">IF($G114=0, INDEX(LS_previous!$D$4:$AY$138, MATCH('Staging Table'!$A114, LS_previous!$B$4:$B$138, 0), MATCH(W$4&amp;W$5, LS_previous!$D$2:$AY$2&amp;LS_previous!$D$3:$AY$3, 0)),SUM(VLOOKUP($A114, LS_previous!$B$4:$AY$138, LS_previous!O$149, FALSE), VLOOKUP('Staging Table'!$A114, LS_previous!$B$4:$AY$138,LS_previous!AM$149, FALSE))/2)</f>
        <v>-1382.9166473548999</v>
      </c>
      <c r="X114" s="192">
        <f t="array" ref="X114">IF($G114=0, INDEX(LS_previous!$D$4:$AY$138, MATCH('Staging Table'!$A114, LS_previous!$B$4:$B$138, 0), MATCH(X$4&amp;X$5, LS_previous!$D$2:$AY$2&amp;LS_previous!$D$3:$AY$3, 0)),SUM(VLOOKUP($A114, LS_previous!$B$4:$AY$138, LS_previous!P$149, FALSE), VLOOKUP('Staging Table'!$A114, LS_previous!$B$4:$AY$138,LS_previous!AN$149, FALSE))/2)</f>
        <v>-1381.2603408135992</v>
      </c>
      <c r="Y114" s="192">
        <f t="array" ref="Y114">IF($G114=0, INDEX(LS_previous!$D$4:$AY$138, MATCH('Staging Table'!$A114, LS_previous!$B$4:$B$138, 0), MATCH(Y$4&amp;Y$5, LS_previous!$D$2:$AY$2&amp;LS_previous!$D$3:$AY$3, 0)),SUM(VLOOKUP($A114, LS_previous!$B$4:$AY$138, LS_previous!Q$149, FALSE), VLOOKUP('Staging Table'!$A114, LS_previous!$B$4:$AY$138,LS_previous!AO$149, FALSE))/2)</f>
        <v>-550.92490429840018</v>
      </c>
      <c r="Z114" s="192">
        <f t="array" ref="Z114">IF($G114=0, INDEX(LS_previous!$D$4:$AY$138, MATCH('Staging Table'!$A114, LS_previous!$B$4:$B$138, 0), MATCH(Z$4&amp;Z$5, LS_previous!$D$2:$AY$2&amp;LS_previous!$D$3:$AY$3, 0)),SUM(VLOOKUP($A114, LS_previous!$B$4:$AY$138, LS_previous!R$149, FALSE), VLOOKUP('Staging Table'!$A114, LS_previous!$B$4:$AY$138,LS_previous!AP$149, FALSE))/2)</f>
        <v>-540.04887299000075</v>
      </c>
      <c r="AA114" s="192">
        <f t="array" ref="AA114">IF($G114=0, INDEX(LS_previous!$D$4:$AY$138, MATCH('Staging Table'!$A114, LS_previous!$B$4:$B$138, 0), MATCH(AA$4&amp;AA$5, LS_previous!$D$2:$AY$2&amp;LS_previous!$D$3:$AY$3, 0)),SUM(VLOOKUP($A114, LS_previous!$B$4:$AY$138, LS_previous!S$149, FALSE), VLOOKUP('Staging Table'!$A114, LS_previous!$B$4:$AY$138,LS_previous!AQ$149, FALSE))/2)</f>
        <v>1411.3438741676009</v>
      </c>
      <c r="AB114" s="192">
        <f t="array" ref="AB114">IF($G114=0, INDEX(LS_previous!$D$4:$AY$138, MATCH('Staging Table'!$A114, LS_previous!$B$4:$B$138, 0), MATCH(AB$4&amp;AB$5, LS_previous!$D$2:$AY$2&amp;LS_previous!$D$3:$AY$3, 0)),SUM(VLOOKUP($A114, LS_previous!$B$4:$AY$138, LS_previous!T$149, FALSE), VLOOKUP('Staging Table'!$A114, LS_previous!$B$4:$AY$138,LS_previous!AR$149, FALSE))/2)</f>
        <v>-1171.3918229635983</v>
      </c>
      <c r="AC114" s="192">
        <f t="array" ref="AC114">IF($G114=0, INDEX(LS_previous!$D$4:$AY$138, MATCH('Staging Table'!$A114, LS_previous!$B$4:$B$138, 0), MATCH(AC$4&amp;AC$5, LS_previous!$D$2:$AY$2&amp;LS_previous!$D$3:$AY$3, 0)),SUM(VLOOKUP($A114, LS_previous!$B$4:$AY$138, LS_previous!U$149, FALSE), VLOOKUP('Staging Table'!$A114, LS_previous!$B$4:$AY$138,LS_previous!AS$149, FALSE))/2)</f>
        <v>232.18200230159982</v>
      </c>
      <c r="AD114" s="192">
        <f t="array" ref="AD114">IF($G114=0, INDEX(LS_previous!$D$4:$AY$138, MATCH('Staging Table'!$A114, LS_previous!$B$4:$B$138, 0), MATCH(AD$4&amp;AD$5, LS_previous!$D$2:$AY$2&amp;LS_previous!$D$3:$AY$3, 0)),SUM(VLOOKUP($A114, LS_previous!$B$4:$AY$138, LS_previous!V$149, FALSE), VLOOKUP('Staging Table'!$A114, LS_previous!$B$4:$AY$138,LS_previous!AT$149, FALSE))/2)</f>
        <v>3819.8711125364007</v>
      </c>
      <c r="AE114" s="192">
        <f t="array" ref="AE114">IF($G114=0, INDEX(LS_previous!$D$4:$AY$138, MATCH('Staging Table'!$A114, LS_previous!$B$4:$B$138, 0), MATCH(AE$4&amp;AE$5, LS_previous!$D$2:$AY$2&amp;LS_previous!$D$3:$AY$3, 0)),SUM(VLOOKUP($A114, LS_previous!$B$4:$AY$138, LS_previous!W$149, FALSE), VLOOKUP('Staging Table'!$A114, LS_previous!$B$4:$AY$138,LS_previous!AU$149, FALSE))/2)</f>
        <v>5951.4464824911993</v>
      </c>
      <c r="AF114" s="192">
        <f t="array" ref="AF114">IF($G114=0, INDEX(LS_previous!$D$4:$AY$138, MATCH('Staging Table'!$A114, LS_previous!$B$4:$B$138, 0), MATCH(AF$4&amp;AF$5, LS_previous!$D$2:$AY$2&amp;LS_previous!$D$3:$AY$3, 0)),SUM(VLOOKUP($A114, LS_previous!$B$4:$AY$138, LS_previous!X$149, FALSE), VLOOKUP('Staging Table'!$A114, LS_previous!$B$4:$AY$138,LS_previous!AV$149, FALSE))/2)</f>
        <v>4905.2938709863993</v>
      </c>
      <c r="AG114" s="192">
        <f t="array" ref="AG114">IF($G114=0, INDEX(LS_previous!$D$4:$AY$138, MATCH('Staging Table'!$A114, LS_previous!$B$4:$B$138, 0), MATCH(AG$4&amp;AG$5, LS_previous!$D$2:$AY$2&amp;LS_previous!$D$3:$AY$3, 0)),SUM(VLOOKUP($A114, LS_previous!$B$4:$AY$138, LS_previous!Y$149, FALSE), VLOOKUP('Staging Table'!$A114, LS_previous!$B$4:$AY$138,LS_previous!AW$149, FALSE))/2)</f>
        <v>4870.7807704912002</v>
      </c>
      <c r="AH114" s="192">
        <f t="array" ref="AH114">IF($G114=0, INDEX(LS_previous!$D$4:$AY$138, MATCH('Staging Table'!$A114, LS_previous!$B$4:$B$138, 0), MATCH(AH$4&amp;AH$5, LS_previous!$D$2:$AY$2&amp;LS_previous!$D$3:$AY$3, 0)),SUM(VLOOKUP($A114, LS_previous!$B$4:$AY$138, LS_previous!Z$149, FALSE), VLOOKUP('Staging Table'!$A114, LS_previous!$B$4:$AY$138,LS_previous!AX$149, FALSE))/2)</f>
        <v>922.03804735999984</v>
      </c>
      <c r="AI114" s="192">
        <f t="array" ref="AI114">IF($G114=0, INDEX(LS_previous!$D$4:$AY$138, MATCH('Staging Table'!$A114, LS_previous!$B$4:$B$138, 0), MATCH(AI$4&amp;AI$5, LS_previous!$D$2:$AY$2&amp;LS_previous!$D$3:$AY$3, 0)),SUM(VLOOKUP($A114, LS_previous!$B$4:$AY$138, LS_previous!AA$149, FALSE), VLOOKUP('Staging Table'!$A114, LS_previous!$B$4:$AY$138,LS_previous!AY$149, FALSE))/2)</f>
        <v>1937.6402586280005</v>
      </c>
      <c r="AJ114" s="314">
        <f t="array" ref="AJ114">INDEX(Demand_previous!$D$4:$AY$138, MATCH('Staging Table'!$A114, Demand_previous!$B$4:$B$138, 0), MATCH(AJ$4&amp;AJ$5,Demand_previous!$D$2:$AY$2&amp;Demand_previous!$D$3:$AY$3, 0))/1000</f>
        <v>4.0262824074074066</v>
      </c>
      <c r="AK114" s="314">
        <f t="array" ref="AK114">INDEX(Demand_previous!$D$4:$AY$138, MATCH('Staging Table'!$A114, Demand_previous!$B$4:$B$138, 0), MATCH(AK$4&amp;AK$5,Demand_previous!$D$2:$AY$2&amp;Demand_previous!$D$3:$AY$3, 0))/1000</f>
        <v>1.1014349999999995</v>
      </c>
      <c r="AL114" s="314">
        <f t="array" ref="AL114">INDEX(Demand_previous!$D$4:$AY$138, MATCH('Staging Table'!$A114, Demand_previous!$B$4:$B$138, 0), MATCH(AL$4&amp;AL$5,Demand_previous!$D$2:$AY$2&amp;Demand_previous!$D$3:$AY$3, 0))/1000</f>
        <v>0.50349249999999746</v>
      </c>
      <c r="AM114" s="314">
        <f t="array" ref="AM114">INDEX(Demand_previous!$D$4:$AY$138, MATCH('Staging Table'!$A114, Demand_previous!$B$4:$B$138, 0), MATCH(AM$4&amp;AM$5,Demand_previous!$D$2:$AY$2&amp;Demand_previous!$D$3:$AY$3, 0))/1000</f>
        <v>1.086581730769232</v>
      </c>
      <c r="AN114" s="314">
        <f t="array" ref="AN114">INDEX(Demand_previous!$D$4:$AY$138, MATCH('Staging Table'!$A114, Demand_previous!$B$4:$B$138, 0), MATCH(AN$4&amp;AN$5,Demand_previous!$D$2:$AY$2&amp;Demand_previous!$D$3:$AY$3, 0))/1000</f>
        <v>2.9956699999999996</v>
      </c>
      <c r="AO114" s="314">
        <f t="array" ref="AO114">INDEX(Demand_previous!$D$4:$AY$138, MATCH('Staging Table'!$A114, Demand_previous!$B$4:$B$138, 0), MATCH(AO$4&amp;AO$5,Demand_previous!$D$2:$AY$2&amp;Demand_previous!$D$3:$AY$3, 0))/1000</f>
        <v>2.2086490384615396</v>
      </c>
      <c r="AP114" s="314">
        <f t="array" ref="AP114">INDEX(Demand_previous!$D$4:$AY$138, MATCH('Staging Table'!$A114, Demand_previous!$B$4:$B$138, 0), MATCH(AP$4&amp;AP$5,Demand_previous!$D$2:$AY$2&amp;Demand_previous!$D$3:$AY$3, 0))/1000</f>
        <v>2.1774471153846156</v>
      </c>
      <c r="AQ114" s="314">
        <f t="array" ref="AQ114">INDEX(Demand_previous!$D$4:$AY$138, MATCH('Staging Table'!$A114, Demand_previous!$B$4:$B$138, 0), MATCH(AQ$4&amp;AQ$5,Demand_previous!$D$2:$AY$2&amp;Demand_previous!$D$3:$AY$3, 0))/1000</f>
        <v>3.9943924999999991</v>
      </c>
      <c r="AR114" s="314">
        <f t="array" ref="AR114">INDEX(Demand_previous!$D$4:$AY$138, MATCH('Staging Table'!$A114, Demand_previous!$B$4:$B$138, 0), MATCH(AR$4&amp;AR$5,Demand_previous!$D$2:$AY$2&amp;Demand_previous!$D$3:$AY$3, 0))/1000</f>
        <v>3.8011634615384553</v>
      </c>
      <c r="AS114" s="314">
        <f t="array" ref="AS114">INDEX(Demand_previous!$D$4:$AY$138, MATCH('Staging Table'!$A114, Demand_previous!$B$4:$B$138, 0), MATCH(AS$4&amp;AS$5,Demand_previous!$D$2:$AY$2&amp;Demand_previous!$D$3:$AY$3, 0))/1000</f>
        <v>3.5157499999999975</v>
      </c>
      <c r="AT114" s="314">
        <f t="array" ref="AT114">INDEX(Demand_previous!$D$4:$AY$138, MATCH('Staging Table'!$A114, Demand_previous!$B$4:$B$138, 0), MATCH(AT$4&amp;AT$5,Demand_previous!$D$2:$AY$2&amp;Demand_previous!$D$3:$AY$3, 0))/1000</f>
        <v>2.0591129807692266</v>
      </c>
      <c r="AU114" s="314">
        <f t="array" ref="AU114">INDEX(Demand_previous!$D$4:$AY$138, MATCH('Staging Table'!$A114, Demand_previous!$B$4:$B$138, 0), MATCH(AU$4&amp;AU$5,Demand_previous!$D$2:$AY$2&amp;Demand_previous!$D$3:$AY$3, 0))/1000</f>
        <v>5.6346324999999977</v>
      </c>
      <c r="AV114" s="192">
        <f>$F114*(VLOOKUP(AV$4, Rates_previous!$G$6:$Q$29, 10, FALSE)+VLOOKUP(AV$4, Rates_previous!$G$6:$Q$29, 11, FALSE))</f>
        <v>10744.035383372398</v>
      </c>
      <c r="AW114" s="192">
        <f>$F114*(VLOOKUP(AW$4, Rates_previous!$G$6:$Q$29, 10, FALSE)+VLOOKUP(AW$4, Rates_previous!$G$6:$Q$29, 11, FALSE))</f>
        <v>13648.276603829099</v>
      </c>
      <c r="AX114" s="192">
        <f>$F114*(VLOOKUP(AX$4, Rates_previous!$G$6:$Q$29, 10, FALSE)+VLOOKUP(AX$4, Rates_previous!$G$6:$Q$29, 11, FALSE))</f>
        <v>13483.4551960724</v>
      </c>
      <c r="AY114" s="192">
        <f>$F114*(VLOOKUP(AY$4, Rates_previous!$G$6:$Q$29, 10, FALSE)+VLOOKUP(AY$4, Rates_previous!$G$6:$Q$29, 11, FALSE))</f>
        <v>11239.281144872401</v>
      </c>
      <c r="AZ114" s="192">
        <f>$F114*(VLOOKUP(AZ$4, Rates_previous!$G$6:$Q$29, 10, FALSE)+VLOOKUP(AZ$4, Rates_previous!$G$6:$Q$29, 11, FALSE))</f>
        <v>10181.622731919999</v>
      </c>
      <c r="BA114" s="192">
        <f>$F114*(VLOOKUP(BA$4, Rates_previous!$G$6:$Q$29, 10, FALSE)+VLOOKUP(BA$4, Rates_previous!$G$6:$Q$29, 11, FALSE))</f>
        <v>11325.198997805299</v>
      </c>
      <c r="BB114" s="192">
        <f>$F114*(VLOOKUP(BB$4, Rates_previous!$G$6:$Q$29, 10, FALSE)+VLOOKUP(BB$4, Rates_previous!$G$6:$Q$29, 11, FALSE))</f>
        <v>9220.9892451119995</v>
      </c>
      <c r="BC114" s="192">
        <f>$F114*(VLOOKUP(BC$4, Rates_previous!$G$6:$Q$29, 10, FALSE)+VLOOKUP(BC$4, Rates_previous!$G$6:$Q$29, 11, FALSE))</f>
        <v>12435.8789988224</v>
      </c>
      <c r="BD114" s="192">
        <f>$F114*(VLOOKUP(BD$4, Rates_previous!$G$6:$Q$29, 10, FALSE)+VLOOKUP(BD$4, Rates_previous!$G$6:$Q$29, 11, FALSE))</f>
        <v>15867.335820662</v>
      </c>
      <c r="BE114" s="192">
        <f>$F114*(VLOOKUP(BE$4, Rates_previous!$G$6:$Q$29, 10, FALSE)+VLOOKUP(BE$4, Rates_previous!$G$6:$Q$29, 11, FALSE))</f>
        <v>12440.4944049724</v>
      </c>
      <c r="BF114" s="192">
        <f>$F114*(VLOOKUP(BF$4, Rates_previous!$G$6:$Q$29, 10, FALSE)+VLOOKUP(BF$4, Rates_previous!$G$6:$Q$29, 11, FALSE))</f>
        <v>12114.564358522401</v>
      </c>
      <c r="BG114" s="192">
        <f>$F114*(VLOOKUP(BG$4, Rates_previous!$G$6:$Q$29, 10, FALSE)+VLOOKUP(BG$4, Rates_previous!$G$6:$Q$29, 11, FALSE))</f>
        <v>10876.301694012</v>
      </c>
      <c r="BH114" s="314">
        <f>IF($D114=0,IF(C114=0, MAX(BJ114 - (VLOOKUP($A114,TOCA_previous!$A$2:$AI$137,MATCH("RHWM 2020",TOCA_previous!$A$2:$AI$2,0),FALSE)*$F$2*TOCA_previous!C111),0),0), 0)</f>
        <v>0</v>
      </c>
      <c r="BI114" s="204">
        <f>MIN(VLOOKUP($A114,TOCA_previous!$A$2:$AI$137,MATCH("TRL - NLSL - Existing Resource "&amp;$F$1,TOCA_previous!$A$2:$AI$2,0),FALSE)*$F$2,(VLOOKUP($A114,TOCA_previous!$A$2:$AI$137,MATCH("RHWM 2020",TOCA_previous!$A$2:$AI$2,0),FALSE)*$F$2))</f>
        <v>143574.47999999998</v>
      </c>
      <c r="BJ114" s="418">
        <f>SUM(L114:AI114)+(F114*RT1SC!$C$3*$F$2)</f>
        <v>136981.85738910039</v>
      </c>
      <c r="BK114" s="417">
        <f>VLOOKUP($A114,TOCA_previous!$A$2:$AI$137,MATCH("Above RHWM Not Served with LS "&amp;$F$1,TOCA_previous!$A$2:$AI$2,0),FALSE)*$F$2</f>
        <v>14660.496000000001</v>
      </c>
      <c r="BL114" s="418">
        <f t="shared" si="27"/>
        <v>-6592.6226108995907</v>
      </c>
      <c r="BM114" s="417">
        <f>(VLOOKUP($A114,TOCA_previous!$A$2:$AI$137,MATCH("RHWM 2020",TOCA_previous!$A$2:$AI$2,0),FALSE)*$F$2) - $BI114</f>
        <v>0</v>
      </c>
      <c r="BN114" s="418">
        <f t="shared" si="28"/>
        <v>0</v>
      </c>
      <c r="BO114" s="417">
        <f t="shared" si="29"/>
        <v>0</v>
      </c>
      <c r="BP114" s="418">
        <f t="shared" si="30"/>
        <v>0</v>
      </c>
      <c r="BQ114" s="417">
        <f t="shared" si="37"/>
        <v>0</v>
      </c>
      <c r="BR114" s="120">
        <f>VLOOKUP($A114,TOCA_current!$A$2:$AI$137,MATCH(BR$4,TOCA_current!$A$2:$AI$2,0),FALSE)</f>
        <v>2.3268E-3</v>
      </c>
      <c r="BS114" s="120">
        <f>VLOOKUP($A114,TOCA_current!$A$2:$AI$137,MATCH(BS$4,TOCA_current!$A$2:$AI$2,0),FALSE)</f>
        <v>2.3268E-3</v>
      </c>
      <c r="BT114" s="201">
        <f t="shared" si="31"/>
        <v>0</v>
      </c>
      <c r="BU114" s="120">
        <f>VLOOKUP($A114,TOCA_current!A110:BG245,MATCH(BU$4,TOCA_current!$A$2:$BG$2,0),FALSE)</f>
        <v>7.6587342095189498E-2</v>
      </c>
      <c r="BV114" s="120">
        <f t="shared" si="38"/>
        <v>0</v>
      </c>
      <c r="BW114" s="120">
        <f t="shared" si="39"/>
        <v>0</v>
      </c>
      <c r="BX114" s="191">
        <f>VLOOKUP($A114,IRD!$A$4:$G$139, 7, FALSE)</f>
        <v>46210.901000000005</v>
      </c>
      <c r="BY114" s="192">
        <f t="array" ref="BY114">IF($BT114=0, INDEX(LS_current!$D$4:$AY$138, MATCH('Staging Table'!$A114, LS_current!$B$4:$B$138, 0), MATCH(BY$4&amp;BY$5, LS_current!$D$2:$AY$2&amp;LS_current!$D$3:$AY$3, 0)),SUM(VLOOKUP($A114, LS_current!$B$4:$AY$138, LS_current!D$148, FALSE), VLOOKUP($A114, LS_current!$B$4:$AY$138,LS_current!AB$148, FALSE))/2)</f>
        <v>-2906.6487875212001</v>
      </c>
      <c r="BZ114" s="192">
        <f t="array" ref="BZ114">IF($BT114=0, INDEX(LS_current!$D$4:$AY$138, MATCH('Staging Table'!$A114, LS_current!$B$4:$B$138, 0), MATCH(BZ$4&amp;BZ$5, LS_current!$D$2:$AY$2&amp;LS_current!$D$3:$AY$3, 0)),SUM(VLOOKUP($A114, LS_current!$B$4:$AY$138, LS_current!E$148, FALSE), VLOOKUP($A114, LS_current!$B$4:$AY$138,LS_current!AC$148, FALSE))/2)</f>
        <v>-1101.2165547101476</v>
      </c>
      <c r="CA114" s="192">
        <f t="array" ref="CA114">IF($BT114=0, INDEX(LS_current!$D$4:$AY$138, MATCH('Staging Table'!$A114, LS_current!$B$4:$B$138, 0), MATCH(CA$4&amp;CA$5, LS_current!$D$2:$AY$2&amp;LS_current!$D$3:$AY$3, 0)),SUM(VLOOKUP($A114, LS_current!$B$4:$AY$138, LS_current!F$148, FALSE), VLOOKUP($A114, LS_current!$B$4:$AY$138,LS_current!AD$148, FALSE))/2)</f>
        <v>-4391.4648228485385</v>
      </c>
      <c r="CB114" s="192">
        <f t="array" ref="CB114">IF($BT114=0, INDEX(LS_current!$D$4:$AY$138, MATCH('Staging Table'!$A114, LS_current!$B$4:$B$138, 0), MATCH(CB$4&amp;CB$5, LS_current!$D$2:$AY$2&amp;LS_current!$D$3:$AY$3, 0)),SUM(VLOOKUP($A114, LS_current!$B$4:$AY$138, LS_current!G$148, FALSE), VLOOKUP($A114, LS_current!$B$4:$AY$138,LS_current!AE$148, FALSE))/2)</f>
        <v>-2370.9340543087828</v>
      </c>
      <c r="CC114" s="192">
        <f t="array" ref="CC114">IF($BT114=0, INDEX(LS_current!$D$4:$AY$138, MATCH('Staging Table'!$A114, LS_current!$B$4:$B$138, 0), MATCH(CC$4&amp;CC$5, LS_current!$D$2:$AY$2&amp;LS_current!$D$3:$AY$3, 0)),SUM(VLOOKUP($A114, LS_current!$B$4:$AY$138, LS_current!H$148, FALSE), VLOOKUP($A114, LS_current!$B$4:$AY$138,LS_current!AF$148, FALSE))/2)</f>
        <v>-2726.7040813767335</v>
      </c>
      <c r="CD114" s="192">
        <f t="array" ref="CD114">IF($BT114=0, INDEX(LS_current!$D$4:$AY$138, MATCH('Staging Table'!$A114, LS_current!$B$4:$B$138, 0), MATCH(CD$4&amp;CD$5, LS_current!$D$2:$AY$2&amp;LS_current!$D$3:$AY$3, 0)),SUM(VLOOKUP($A114, LS_current!$B$4:$AY$138, LS_current!I$148, FALSE), VLOOKUP($A114, LS_current!$B$4:$AY$138,LS_current!AG$148, FALSE))/2)</f>
        <v>-2151.5324733474699</v>
      </c>
      <c r="CE114" s="192">
        <f t="array" ref="CE114">IF($BT114=0, INDEX(LS_current!$D$4:$AY$138, MATCH('Staging Table'!$A114, LS_current!$B$4:$B$138, 0), MATCH(CE$4&amp;CE$5, LS_current!$D$2:$AY$2&amp;LS_current!$D$3:$AY$3, 0)),SUM(VLOOKUP($A114, LS_current!$B$4:$AY$138, LS_current!J$148, FALSE), VLOOKUP($A114, LS_current!$B$4:$AY$138,LS_current!AH$148, FALSE))/2)</f>
        <v>-1198.4337046011769</v>
      </c>
      <c r="CF114" s="192">
        <f t="array" ref="CF114">IF($BT114=0, INDEX(LS_current!$D$4:$AY$138, MATCH('Staging Table'!$A114, LS_current!$B$4:$B$138, 0), MATCH(CF$4&amp;CF$5, LS_current!$D$2:$AY$2&amp;LS_current!$D$3:$AY$3, 0)),SUM(VLOOKUP($A114, LS_current!$B$4:$AY$138, LS_current!K$148, FALSE), VLOOKUP($A114, LS_current!$B$4:$AY$138,LS_current!AI$148, FALSE))/2)</f>
        <v>-715.36536625051076</v>
      </c>
      <c r="CG114" s="192">
        <f t="array" ref="CG114">IF($BT114=0, INDEX(LS_current!$D$4:$AY$138, MATCH('Staging Table'!$A114, LS_current!$B$4:$B$138, 0), MATCH(CG$4&amp;CG$5, LS_current!$D$2:$AY$2&amp;LS_current!$D$3:$AY$3, 0)),SUM(VLOOKUP($A114, LS_current!$B$4:$AY$138, LS_current!L$148, FALSE), VLOOKUP($A114, LS_current!$B$4:$AY$138,LS_current!AJ$148, FALSE))/2)</f>
        <v>-1338.1465750854677</v>
      </c>
      <c r="CH114" s="192">
        <f t="array" ref="CH114">IF($BT114=0, INDEX(LS_current!$D$4:$AY$138, MATCH('Staging Table'!$A114, LS_current!$B$4:$B$138, 0), MATCH(CH$4&amp;CH$5, LS_current!$D$2:$AY$2&amp;LS_current!$D$3:$AY$3, 0)),SUM(VLOOKUP($A114, LS_current!$B$4:$AY$138, LS_current!M$148, FALSE), VLOOKUP($A114, LS_current!$B$4:$AY$138,LS_current!AK$148, FALSE))/2)</f>
        <v>-1004.6616953778739</v>
      </c>
      <c r="CI114" s="192">
        <f t="array" ref="CI114">IF($BT114=0, INDEX(LS_current!$D$4:$AY$138, MATCH('Staging Table'!$A114, LS_current!$B$4:$B$138, 0), MATCH(CI$4&amp;CI$5, LS_current!$D$2:$AY$2&amp;LS_current!$D$3:$AY$3, 0)),SUM(VLOOKUP($A114, LS_current!$B$4:$AY$138, LS_current!N$148, FALSE), VLOOKUP($A114, LS_current!$B$4:$AY$138,LS_current!AL$148, FALSE))/2)</f>
        <v>-2695.157569951597</v>
      </c>
      <c r="CJ114" s="192">
        <f t="array" ref="CJ114">IF($BT114=0, INDEX(LS_current!$D$4:$AY$138, MATCH('Staging Table'!$A114, LS_current!$B$4:$B$138, 0), MATCH(CJ$4&amp;CJ$5, LS_current!$D$2:$AY$2&amp;LS_current!$D$3:$AY$3, 0)),SUM(VLOOKUP($A114, LS_current!$B$4:$AY$138, LS_current!O$148, FALSE), VLOOKUP($A114, LS_current!$B$4:$AY$138,LS_current!AM$148, FALSE))/2)</f>
        <v>-1501.4472372289065</v>
      </c>
      <c r="CK114" s="192">
        <f t="array" ref="CK114">IF($BT114=0, INDEX(LS_current!$D$4:$AY$138, MATCH('Staging Table'!$A114, LS_current!$B$4:$B$138, 0), MATCH(CK$4&amp;CK$5, LS_current!$D$2:$AY$2&amp;LS_current!$D$3:$AY$3, 0)),SUM(VLOOKUP($A114, LS_current!$B$4:$AY$138, LS_current!P$148, FALSE), VLOOKUP($A114, LS_current!$B$4:$AY$138,LS_current!AN$148, FALSE))/2)</f>
        <v>-866.89136012775816</v>
      </c>
      <c r="CL114" s="192">
        <f t="array" ref="CL114">IF($BT114=0, INDEX(LS_current!$D$4:$AY$138, MATCH('Staging Table'!$A114, LS_current!$B$4:$B$138, 0), MATCH(CL$4&amp;CL$5, LS_current!$D$2:$AY$2&amp;LS_current!$D$3:$AY$3, 0)),SUM(VLOOKUP($A114, LS_current!$B$4:$AY$138, LS_current!Q$148, FALSE), VLOOKUP($A114, LS_current!$B$4:$AY$138,LS_current!AO$148, FALSE))/2)</f>
        <v>-416.67579807575021</v>
      </c>
      <c r="CM114" s="192">
        <f t="array" ref="CM114">IF($BT114=0, INDEX(LS_current!$D$4:$AY$138, MATCH('Staging Table'!$A114, LS_current!$B$4:$B$138, 0), MATCH(CM$4&amp;CM$5, LS_current!$D$2:$AY$2&amp;LS_current!$D$3:$AY$3, 0)),SUM(VLOOKUP($A114, LS_current!$B$4:$AY$138, LS_current!R$148, FALSE), VLOOKUP($A114, LS_current!$B$4:$AY$138,LS_current!AP$148, FALSE))/2)</f>
        <v>-526.37426976452116</v>
      </c>
      <c r="CN114" s="192">
        <f t="array" ref="CN114">IF($BT114=0, INDEX(LS_current!$D$4:$AY$138, MATCH('Staging Table'!$A114, LS_current!$B$4:$B$138, 0), MATCH(CN$4&amp;CN$5, LS_current!$D$2:$AY$2&amp;LS_current!$D$3:$AY$3, 0)),SUM(VLOOKUP($A114, LS_current!$B$4:$AY$138, LS_current!S$148, FALSE), VLOOKUP($A114, LS_current!$B$4:$AY$138,LS_current!AQ$148, FALSE))/2)</f>
        <v>1907.2732782273947</v>
      </c>
      <c r="CO114" s="192">
        <f t="array" ref="CO114">IF($BT114=0, INDEX(LS_current!$D$4:$AY$138, MATCH('Staging Table'!$A114, LS_current!$B$4:$B$138, 0), MATCH(CO$4&amp;CO$5, LS_current!$D$2:$AY$2&amp;LS_current!$D$3:$AY$3, 0)),SUM(VLOOKUP($A114, LS_current!$B$4:$AY$138, LS_current!T$148, FALSE), VLOOKUP($A114, LS_current!$B$4:$AY$138,LS_current!AR$148, FALSE))/2)</f>
        <v>9.575698215416196</v>
      </c>
      <c r="CP114" s="192">
        <f t="array" ref="CP114">IF($BT114=0, INDEX(LS_current!$D$4:$AY$138, MATCH('Staging Table'!$A114, LS_current!$B$4:$B$138, 0), MATCH(CP$4&amp;CP$5, LS_current!$D$2:$AY$2&amp;LS_current!$D$3:$AY$3, 0)),SUM(VLOOKUP($A114, LS_current!$B$4:$AY$138, LS_current!U$148, FALSE), VLOOKUP($A114, LS_current!$B$4:$AY$138,LS_current!AS$148, FALSE))/2)</f>
        <v>2160.5297089775713</v>
      </c>
      <c r="CQ114" s="192">
        <f t="array" ref="CQ114">IF($BT114=0, INDEX(LS_current!$D$4:$AY$138, MATCH('Staging Table'!$A114, LS_current!$B$4:$B$138, 0), MATCH(CQ$4&amp;CQ$5, LS_current!$D$2:$AY$2&amp;LS_current!$D$3:$AY$3, 0)),SUM(VLOOKUP($A114, LS_current!$B$4:$AY$138, LS_current!V$148, FALSE), VLOOKUP($A114, LS_current!$B$4:$AY$138,LS_current!AT$148, FALSE))/2)</f>
        <v>4331.6724933000405</v>
      </c>
      <c r="CR114" s="192">
        <f t="array" ref="CR114">IF($BT114=0, INDEX(LS_current!$D$4:$AY$138, MATCH('Staging Table'!$A114, LS_current!$B$4:$B$138, 0), MATCH(CR$4&amp;CR$5, LS_current!$D$2:$AY$2&amp;LS_current!$D$3:$AY$3, 0)),SUM(VLOOKUP($A114, LS_current!$B$4:$AY$138, LS_current!W$148, FALSE), VLOOKUP($A114, LS_current!$B$4:$AY$138,LS_current!AU$148, FALSE))/2)</f>
        <v>5778.6928223324985</v>
      </c>
      <c r="CS114" s="192">
        <f t="array" ref="CS114">IF($BT114=0, INDEX(LS_current!$D$4:$AY$138, MATCH('Staging Table'!$A114, LS_current!$B$4:$B$138, 0), MATCH(CS$4&amp;CS$5, LS_current!$D$2:$AY$2&amp;LS_current!$D$3:$AY$3, 0)),SUM(VLOOKUP($A114, LS_current!$B$4:$AY$138, LS_current!X$148, FALSE), VLOOKUP($A114, LS_current!$B$4:$AY$138,LS_current!AV$148, FALSE))/2)</f>
        <v>5294.3320011836367</v>
      </c>
      <c r="CT114" s="192">
        <f t="array" ref="CT114">IF($BT114=0, INDEX(LS_current!$D$4:$AY$138, MATCH('Staging Table'!$A114, LS_current!$B$4:$B$138, 0), MATCH(CT$4&amp;CT$5, LS_current!$D$2:$AY$2&amp;LS_current!$D$3:$AY$3, 0)),SUM(VLOOKUP($A114, LS_current!$B$4:$AY$138, LS_current!Y$148, FALSE), VLOOKUP($A114, LS_current!$B$4:$AY$138,LS_current!AW$148, FALSE))/2)</f>
        <v>4906.0387473559804</v>
      </c>
      <c r="CU114" s="192">
        <f t="array" ref="CU114">IF($BT114=0, INDEX(LS_current!$D$4:$AY$138, MATCH('Staging Table'!$A114, LS_current!$B$4:$B$138, 0), MATCH(CU$4&amp;CU$5, LS_current!$D$2:$AY$2&amp;LS_current!$D$3:$AY$3, 0)),SUM(VLOOKUP($A114, LS_current!$B$4:$AY$138, LS_current!Z$148, FALSE), VLOOKUP($A114, LS_current!$B$4:$AY$138,LS_current!AX$148, FALSE))/2)</f>
        <v>985.27995647153239</v>
      </c>
      <c r="CV114" s="192">
        <f t="array" ref="CV114">IF($BT114=0, INDEX(LS_current!$D$4:$AY$138, MATCH('Staging Table'!$A114, LS_current!$B$4:$B$138, 0), MATCH(CV$4&amp;CV$5, LS_current!$D$2:$AY$2&amp;LS_current!$D$3:$AY$3, 0)),SUM(VLOOKUP($A114, LS_current!$B$4:$AY$138, LS_current!AA$148, FALSE), VLOOKUP($A114, LS_current!$B$4:$AY$138,LS_current!AY$148, FALSE))/2)</f>
        <v>1953.9720065777356</v>
      </c>
      <c r="CW114" s="194">
        <f t="array" ref="CW114">INDEX(Demand_current!$D$4:$AY$138, MATCH($A114, Demand_current!$B$4:$B$138, 0), MATCH(CW$4&amp;CW$5,Demand_current!$D$2:$AY$2&amp;Demand_current!$D$3:$AY$3, 0))/1000</f>
        <v>3.6253701923076926</v>
      </c>
      <c r="CX114" s="194">
        <f t="array" ref="CX114">INDEX(Demand_current!$D$4:$AY$138, MATCH($A114, Demand_current!$B$4:$B$138, 0), MATCH(CX$4&amp;CX$5,Demand_current!$D$2:$AY$2&amp;Demand_current!$D$3:$AY$3, 0))/1000</f>
        <v>1.1014349999999995</v>
      </c>
      <c r="CY114" s="194">
        <f t="array" ref="CY114">INDEX(Demand_current!$D$4:$AY$138, MATCH($A114, Demand_current!$B$4:$B$138, 0), MATCH(CY$4&amp;CY$5,Demand_current!$D$2:$AY$2&amp;Demand_current!$D$3:$AY$3, 0))/1000</f>
        <v>1.02158894230769</v>
      </c>
      <c r="CZ114" s="194">
        <f t="array" ref="CZ114">INDEX(Demand_current!$D$4:$AY$138, MATCH($A114, Demand_current!$B$4:$B$138, 0), MATCH(CZ$4&amp;CZ$5,Demand_current!$D$2:$AY$2&amp;Demand_current!$D$3:$AY$3, 0))/1000</f>
        <v>0.55184500000000147</v>
      </c>
      <c r="DA114" s="194">
        <f t="array" ref="DA114">INDEX(Demand_current!$D$4:$AY$138, MATCH($A114, Demand_current!$B$4:$B$138, 0), MATCH(DA$4&amp;DA$5,Demand_current!$D$2:$AY$2&amp;Demand_current!$D$3:$AY$3, 0))/1000</f>
        <v>2.507281250000001</v>
      </c>
      <c r="DB114" s="194">
        <f t="array" ref="DB114">INDEX(Demand_current!$D$4:$AY$138, MATCH($A114, Demand_current!$B$4:$B$138, 0), MATCH(DB$4&amp;DB$5,Demand_current!$D$2:$AY$2&amp;Demand_current!$D$3:$AY$3, 0))/1000</f>
        <v>2.6389953703703708</v>
      </c>
      <c r="DC114" s="194">
        <f t="array" ref="DC114">INDEX(Demand_current!$D$4:$AY$138, MATCH($A114, Demand_current!$B$4:$B$138, 0), MATCH(DC$4&amp;DC$5,Demand_current!$D$2:$AY$2&amp;Demand_current!$D$3:$AY$3, 0))/1000</f>
        <v>2.1774471153846156</v>
      </c>
      <c r="DD114" s="194">
        <f t="array" ref="DD114">INDEX(Demand_current!$D$4:$AY$138, MATCH($A114, Demand_current!$B$4:$B$138, 0), MATCH(DD$4&amp;DD$5,Demand_current!$D$2:$AY$2&amp;Demand_current!$D$3:$AY$3, 0))/1000</f>
        <v>3.9943924999999991</v>
      </c>
      <c r="DE114" s="194">
        <f t="array" ref="DE114">INDEX(Demand_current!$D$4:$AY$138, MATCH($A114, Demand_current!$B$4:$B$138, 0), MATCH(DE$4&amp;DE$5,Demand_current!$D$2:$AY$2&amp;Demand_current!$D$3:$AY$3, 0))/1000</f>
        <v>3.8011634615384553</v>
      </c>
      <c r="DF114" s="194">
        <f t="array" ref="DF114">INDEX(Demand_current!$D$4:$AY$138, MATCH($A114, Demand_current!$B$4:$B$138, 0), MATCH(DF$4&amp;DF$5,Demand_current!$D$2:$AY$2&amp;Demand_current!$D$3:$AY$3, 0))/1000</f>
        <v>2.2582599999999964</v>
      </c>
      <c r="DG114" s="194">
        <f t="array" ref="DG114">INDEX(Demand_current!$D$4:$AY$138, MATCH($A114, Demand_current!$B$4:$B$138, 0), MATCH(DG$4&amp;DG$5,Demand_current!$D$2:$AY$2&amp;Demand_current!$D$3:$AY$3, 0))/1000</f>
        <v>3.2967754629629606</v>
      </c>
      <c r="DH114" s="194">
        <f t="array" ref="DH114">INDEX(Demand_current!$D$4:$AY$138, MATCH($A114, Demand_current!$B$4:$B$138, 0), MATCH(DH$4&amp;DH$5,Demand_current!$D$2:$AY$2&amp;Demand_current!$D$3:$AY$3, 0))/1000</f>
        <v>5.6346324999999977</v>
      </c>
      <c r="DI114" s="192">
        <f>$BS114*(VLOOKUP(DI$4, Rates_current!$G$6:$Q$29, 10, FALSE)+VLOOKUP(DI$4, Rates_current!$G$6:$Q$29, 11, FALSE))</f>
        <v>10596.071342231347</v>
      </c>
      <c r="DJ114" s="192">
        <f>$BS114*(VLOOKUP(DJ$4, Rates_current!$G$6:$Q$29, 10, FALSE)+VLOOKUP(DJ$4, Rates_current!$G$6:$Q$29, 11, FALSE))</f>
        <v>13415.010877157321</v>
      </c>
      <c r="DK114" s="192">
        <f>$BS114*(VLOOKUP(DK$4, Rates_current!$G$6:$Q$29, 10, FALSE)+VLOOKUP(DK$4, Rates_current!$G$6:$Q$29, 11, FALSE))</f>
        <v>13130.615554724205</v>
      </c>
      <c r="DL114" s="192">
        <f>$BS114*(VLOOKUP(DL$4, Rates_current!$G$6:$Q$29, 10, FALSE)+VLOOKUP(DL$4, Rates_current!$G$6:$Q$29, 11, FALSE))</f>
        <v>10845.330070851687</v>
      </c>
      <c r="DM114" s="192">
        <f>$BS114*(VLOOKUP(DM$4, Rates_current!$G$6:$Q$29, 10, FALSE)+VLOOKUP(DM$4, Rates_current!$G$6:$Q$29, 11, FALSE))</f>
        <v>9399.8852704633409</v>
      </c>
      <c r="DN114" s="192">
        <f>$BS114*(VLOOKUP(DN$4, Rates_current!$G$6:$Q$29, 10, FALSE)+VLOOKUP(DN$4, Rates_current!$G$6:$Q$29, 11, FALSE))</f>
        <v>11221.564807180506</v>
      </c>
      <c r="DO114" s="192">
        <f>$BS114*(VLOOKUP(DO$4, Rates_current!$G$6:$Q$29, 10, FALSE)+VLOOKUP(DO$4, Rates_current!$G$6:$Q$29, 11, FALSE))</f>
        <v>8712.0511582035069</v>
      </c>
      <c r="DP114" s="192">
        <f>$BS114*(VLOOKUP(DP$4, Rates_current!$G$6:$Q$29, 10, FALSE)+VLOOKUP(DP$4, Rates_current!$G$6:$Q$29, 11, FALSE))</f>
        <v>12070.610991537125</v>
      </c>
      <c r="DQ114" s="192">
        <f>$BS114*(VLOOKUP(DQ$4, Rates_current!$G$6:$Q$29, 10, FALSE)+VLOOKUP(DQ$4, Rates_current!$G$6:$Q$29, 11, FALSE))</f>
        <v>12897.700592807012</v>
      </c>
      <c r="DR114" s="192">
        <f>$BS114*(VLOOKUP(DR$4, Rates_current!$G$6:$Q$29, 10, FALSE)+VLOOKUP(DR$4, Rates_current!$G$6:$Q$29, 11, FALSE))</f>
        <v>12245.782684367463</v>
      </c>
      <c r="DS114" s="192">
        <f>$BS114*(VLOOKUP(DS$4, Rates_current!$G$6:$Q$29, 10, FALSE)+VLOOKUP(DS$4, Rates_current!$G$6:$Q$29, 11, FALSE))</f>
        <v>11834.604251460381</v>
      </c>
      <c r="DT114" s="192">
        <f>$BS114*(VLOOKUP(DT$4, Rates_current!$G$6:$Q$29, 10, FALSE)+VLOOKUP(DT$4, Rates_current!$G$6:$Q$29, 11, FALSE))</f>
        <v>10936.408036950732</v>
      </c>
      <c r="DU114" s="418">
        <f>IF(D114=0,IF(C114=0,MAX(0,DW114 - (VLOOKUP($A114,TOCA_current!$A$2:$AI$137,MATCH("RHWM 2022",TOCA_current!$A$2:$AI$2,0),FALSE)*$BS$2)), 0),0)</f>
        <v>1417.1150237773836</v>
      </c>
      <c r="DV114" s="419">
        <f>MIN(VLOOKUP($A114,TOCA_current!$A$2:$AI$137,MATCH("TRL - NLSL - Existing Resource "&amp;$BS$1,TOCA_current!$A$2:$AI$2,0),FALSE)*$BS$2, VLOOKUP($A114,TOCA_current!$A$2:$AI$137,MATCH("RHWM 2022",TOCA_current!$A$2:$AI$2,0),FALSE)*$BS$2)</f>
        <v>137304.24</v>
      </c>
      <c r="DW114" s="419">
        <f>SUM(BY114:CV114)+(BS114*RT1SC!$C$4*$BS$2)</f>
        <v>138721.35502377737</v>
      </c>
      <c r="DX114" s="419">
        <f>VLOOKUP($A114,TOCA_current!$A$2:$AI$137,MATCH("Above RHWM Not Served with LS "&amp;$BS$1,TOCA_current!$A$2:$AI$2,0),FALSE)*$BS$2</f>
        <v>12921</v>
      </c>
      <c r="DY114" s="419">
        <f t="shared" si="32"/>
        <v>1417.1150237773836</v>
      </c>
      <c r="DZ114" s="419">
        <f>(VLOOKUP($A114,TOCA_current!$A$2:$AI$137,MATCH("RHWM 2022",TOCA_current!$A$2:$AI$2,0),FALSE)*$BS$2) - $DV114</f>
        <v>0</v>
      </c>
      <c r="EA114" s="419">
        <f t="shared" si="33"/>
        <v>0</v>
      </c>
      <c r="EB114" s="419">
        <f t="shared" si="34"/>
        <v>0</v>
      </c>
      <c r="EC114" s="419">
        <f t="shared" si="35"/>
        <v>0</v>
      </c>
      <c r="ED114" s="419">
        <f t="shared" si="36"/>
        <v>0</v>
      </c>
    </row>
    <row r="115" spans="1:134">
      <c r="A115" s="135">
        <v>10370</v>
      </c>
      <c r="B115" s="136" t="s">
        <v>116</v>
      </c>
      <c r="C115" s="244">
        <f>VLOOKUP(A115, TOCA_current!$A$3:$D$137, 4, FALSE)</f>
        <v>0</v>
      </c>
      <c r="D115" s="203">
        <v>1</v>
      </c>
      <c r="E115" s="119">
        <f>VLOOKUP($A115,TOCA_previous!$A$2:$AI$137,MATCH(E$4,TOCA_previous!$A$2:$AI$2,0),FALSE)</f>
        <v>5.14137E-2</v>
      </c>
      <c r="F115" s="120">
        <f>VLOOKUP($A115,TOCA_previous!$A$2:$AI$137,MATCH(F$4,TOCA_previous!$A$2:$AI$2,0),FALSE)</f>
        <v>2.1802599999999998E-2</v>
      </c>
      <c r="G115" s="120">
        <f t="shared" si="24"/>
        <v>2.9611100000000001E-2</v>
      </c>
      <c r="H115" s="120">
        <f>VLOOKUP($A115,TOCA_previous!$A$2:$AI$137,MATCH(H$4,TOCA_previous!$A$2:$AI$2,0),FALSE)</f>
        <v>0</v>
      </c>
      <c r="I115" s="120">
        <f t="shared" si="25"/>
        <v>0</v>
      </c>
      <c r="J115" s="120">
        <f t="shared" si="26"/>
        <v>0</v>
      </c>
      <c r="K115" s="191">
        <f>VLOOKUP(A115, IRD!$A$5:$C$139, 3, FALSE)</f>
        <v>0</v>
      </c>
      <c r="L115" s="192">
        <f t="array" ref="L115">IF($G115=0, INDEX(LS_previous!$D$4:$AY$138, MATCH('Staging Table'!$A115, LS_previous!$B$4:$B$138, 0), MATCH(L$4&amp;L$5, LS_previous!$D$2:$AY$2&amp;LS_previous!$D$3:$AY$3, 0)),SUM(VLOOKUP($A115, LS_previous!$B$4:$AY$138, LS_previous!D$149, FALSE), VLOOKUP('Staging Table'!$A115, LS_previous!$B$4:$AY$138,LS_previous!AB$149, FALSE))/2)</f>
        <v>-12648.892483023119</v>
      </c>
      <c r="M115" s="192">
        <f t="array" ref="M115">IF($G115=0, INDEX(LS_previous!$D$4:$AY$138, MATCH('Staging Table'!$A115, LS_previous!$B$4:$B$138, 0), MATCH(M$4&amp;M$5, LS_previous!$D$2:$AY$2&amp;LS_previous!$D$3:$AY$3, 0)),SUM(VLOOKUP($A115, LS_previous!$B$4:$AY$138, LS_previous!E$149, FALSE), VLOOKUP('Staging Table'!$A115, LS_previous!$B$4:$AY$138,LS_previous!AC$149, FALSE))/2)</f>
        <v>3268.3748056360819</v>
      </c>
      <c r="N115" s="192">
        <f t="array" ref="N115">IF($G115=0, INDEX(LS_previous!$D$4:$AY$138, MATCH('Staging Table'!$A115, LS_previous!$B$4:$B$138, 0), MATCH(N$4&amp;N$5, LS_previous!$D$2:$AY$2&amp;LS_previous!$D$3:$AY$3, 0)),SUM(VLOOKUP($A115, LS_previous!$B$4:$AY$138, LS_previous!F$149, FALSE), VLOOKUP('Staging Table'!$A115, LS_previous!$B$4:$AY$138,LS_previous!AD$149, FALSE))/2)</f>
        <v>-16025.565026421227</v>
      </c>
      <c r="O115" s="192">
        <f t="array" ref="O115">IF($G115=0, INDEX(LS_previous!$D$4:$AY$138, MATCH('Staging Table'!$A115, LS_previous!$B$4:$B$138, 0), MATCH(O$4&amp;O$5, LS_previous!$D$2:$AY$2&amp;LS_previous!$D$3:$AY$3, 0)),SUM(VLOOKUP($A115, LS_previous!$B$4:$AY$138, LS_previous!G$149, FALSE), VLOOKUP('Staging Table'!$A115, LS_previous!$B$4:$AY$138,LS_previous!AE$149, FALSE))/2)</f>
        <v>6299.3196215948265</v>
      </c>
      <c r="P115" s="192">
        <f t="array" ref="P115">IF($G115=0, INDEX(LS_previous!$D$4:$AY$138, MATCH('Staging Table'!$A115, LS_previous!$B$4:$B$138, 0), MATCH(P$4&amp;P$5, LS_previous!$D$2:$AY$2&amp;LS_previous!$D$3:$AY$3, 0)),SUM(VLOOKUP($A115, LS_previous!$B$4:$AY$138, LS_previous!H$149, FALSE), VLOOKUP('Staging Table'!$A115, LS_previous!$B$4:$AY$138,LS_previous!AF$149, FALSE))/2)</f>
        <v>1878.2156287681937</v>
      </c>
      <c r="Q115" s="192">
        <f t="array" ref="Q115">IF($G115=0, INDEX(LS_previous!$D$4:$AY$138, MATCH('Staging Table'!$A115, LS_previous!$B$4:$B$138, 0), MATCH(Q$4&amp;Q$5, LS_previous!$D$2:$AY$2&amp;LS_previous!$D$3:$AY$3, 0)),SUM(VLOOKUP($A115, LS_previous!$B$4:$AY$138, LS_previous!I$149, FALSE), VLOOKUP('Staging Table'!$A115, LS_previous!$B$4:$AY$138,LS_previous!AG$149, FALSE))/2)</f>
        <v>18360.033286438582</v>
      </c>
      <c r="R115" s="192">
        <f t="array" ref="R115">IF($G115=0, INDEX(LS_previous!$D$4:$AY$138, MATCH('Staging Table'!$A115, LS_previous!$B$4:$B$138, 0), MATCH(R$4&amp;R$5, LS_previous!$D$2:$AY$2&amp;LS_previous!$D$3:$AY$3, 0)),SUM(VLOOKUP($A115, LS_previous!$B$4:$AY$138, LS_previous!J$149, FALSE), VLOOKUP('Staging Table'!$A115, LS_previous!$B$4:$AY$138,LS_previous!AH$149, FALSE))/2)</f>
        <v>9750.160753068667</v>
      </c>
      <c r="S115" s="192">
        <f t="array" ref="S115">IF($G115=0, INDEX(LS_previous!$D$4:$AY$138, MATCH('Staging Table'!$A115, LS_previous!$B$4:$B$138, 0), MATCH(S$4&amp;S$5, LS_previous!$D$2:$AY$2&amp;LS_previous!$D$3:$AY$3, 0)),SUM(VLOOKUP($A115, LS_previous!$B$4:$AY$138, LS_previous!K$149, FALSE), VLOOKUP('Staging Table'!$A115, LS_previous!$B$4:$AY$138,LS_previous!AI$149, FALSE))/2)</f>
        <v>23545.487001831836</v>
      </c>
      <c r="T115" s="192">
        <f t="array" ref="T115">IF($G115=0, INDEX(LS_previous!$D$4:$AY$138, MATCH('Staging Table'!$A115, LS_previous!$B$4:$B$138, 0), MATCH(T$4&amp;T$5, LS_previous!$D$2:$AY$2&amp;LS_previous!$D$3:$AY$3, 0)),SUM(VLOOKUP($A115, LS_previous!$B$4:$AY$138, LS_previous!L$149, FALSE), VLOOKUP('Staging Table'!$A115, LS_previous!$B$4:$AY$138,LS_previous!AJ$149, FALSE))/2)</f>
        <v>8854.8468944183987</v>
      </c>
      <c r="U115" s="192">
        <f t="array" ref="U115">IF($G115=0, INDEX(LS_previous!$D$4:$AY$138, MATCH('Staging Table'!$A115, LS_previous!$B$4:$B$138, 0), MATCH(U$4&amp;U$5, LS_previous!$D$2:$AY$2&amp;LS_previous!$D$3:$AY$3, 0)),SUM(VLOOKUP($A115, LS_previous!$B$4:$AY$138, LS_previous!M$149, FALSE), VLOOKUP('Staging Table'!$A115, LS_previous!$B$4:$AY$138,LS_previous!AK$149, FALSE))/2)</f>
        <v>15991.186137593064</v>
      </c>
      <c r="V115" s="192">
        <f t="array" ref="V115">IF($G115=0, INDEX(LS_previous!$D$4:$AY$138, MATCH('Staging Table'!$A115, LS_previous!$B$4:$B$138, 0), MATCH(V$4&amp;V$5, LS_previous!$D$2:$AY$2&amp;LS_previous!$D$3:$AY$3, 0)),SUM(VLOOKUP($A115, LS_previous!$B$4:$AY$138, LS_previous!N$149, FALSE), VLOOKUP('Staging Table'!$A115, LS_previous!$B$4:$AY$138,LS_previous!AL$149, FALSE))/2)</f>
        <v>10047.404422250213</v>
      </c>
      <c r="W115" s="192">
        <f t="array" ref="W115">IF($G115=0, INDEX(LS_previous!$D$4:$AY$138, MATCH('Staging Table'!$A115, LS_previous!$B$4:$B$138, 0), MATCH(W$4&amp;W$5, LS_previous!$D$2:$AY$2&amp;LS_previous!$D$3:$AY$3, 0)),SUM(VLOOKUP($A115, LS_previous!$B$4:$AY$138, LS_previous!O$149, FALSE), VLOOKUP('Staging Table'!$A115, LS_previous!$B$4:$AY$138,LS_previous!AM$149, FALSE))/2)</f>
        <v>19731.93277286712</v>
      </c>
      <c r="X115" s="192">
        <f t="array" ref="X115">IF($G115=0, INDEX(LS_previous!$D$4:$AY$138, MATCH('Staging Table'!$A115, LS_previous!$B$4:$B$138, 0), MATCH(X$4&amp;X$5, LS_previous!$D$2:$AY$2&amp;LS_previous!$D$3:$AY$3, 0)),SUM(VLOOKUP($A115, LS_previous!$B$4:$AY$138, LS_previous!P$149, FALSE), VLOOKUP('Staging Table'!$A115, LS_previous!$B$4:$AY$138,LS_previous!AN$149, FALSE))/2)</f>
        <v>11692.421591618324</v>
      </c>
      <c r="Y115" s="192">
        <f t="array" ref="Y115">IF($G115=0, INDEX(LS_previous!$D$4:$AY$138, MATCH('Staging Table'!$A115, LS_previous!$B$4:$B$138, 0), MATCH(Y$4&amp;Y$5, LS_previous!$D$2:$AY$2&amp;LS_previous!$D$3:$AY$3, 0)),SUM(VLOOKUP($A115, LS_previous!$B$4:$AY$138, LS_previous!Q$149, FALSE), VLOOKUP('Staging Table'!$A115, LS_previous!$B$4:$AY$138,LS_previous!AO$149, FALSE))/2)</f>
        <v>16295.44769417108</v>
      </c>
      <c r="Z115" s="192">
        <f t="array" ref="Z115">IF($G115=0, INDEX(LS_previous!$D$4:$AY$138, MATCH('Staging Table'!$A115, LS_previous!$B$4:$B$138, 0), MATCH(Z$4&amp;Z$5, LS_previous!$D$2:$AY$2&amp;LS_previous!$D$3:$AY$3, 0)),SUM(VLOOKUP($A115, LS_previous!$B$4:$AY$138, LS_previous!R$149, FALSE), VLOOKUP('Staging Table'!$A115, LS_previous!$B$4:$AY$138,LS_previous!AP$149, FALSE))/2)</f>
        <v>-20864.713158304996</v>
      </c>
      <c r="AA115" s="192">
        <f t="array" ref="AA115">IF($G115=0, INDEX(LS_previous!$D$4:$AY$138, MATCH('Staging Table'!$A115, LS_previous!$B$4:$B$138, 0), MATCH(AA$4&amp;AA$5, LS_previous!$D$2:$AY$2&amp;LS_previous!$D$3:$AY$3, 0)),SUM(VLOOKUP($A115, LS_previous!$B$4:$AY$138, LS_previous!S$149, FALSE), VLOOKUP('Staging Table'!$A115, LS_previous!$B$4:$AY$138,LS_previous!AQ$149, FALSE))/2)</f>
        <v>6343.829885476709</v>
      </c>
      <c r="AB115" s="192">
        <f t="array" ref="AB115">IF($G115=0, INDEX(LS_previous!$D$4:$AY$138, MATCH('Staging Table'!$A115, LS_previous!$B$4:$B$138, 0), MATCH(AB$4&amp;AB$5, LS_previous!$D$2:$AY$2&amp;LS_previous!$D$3:$AY$3, 0)),SUM(VLOOKUP($A115, LS_previous!$B$4:$AY$138, LS_previous!T$149, FALSE), VLOOKUP('Staging Table'!$A115, LS_previous!$B$4:$AY$138,LS_previous!AR$149, FALSE))/2)</f>
        <v>-44012.726206064457</v>
      </c>
      <c r="AC115" s="192">
        <f t="array" ref="AC115">IF($G115=0, INDEX(LS_previous!$D$4:$AY$138, MATCH('Staging Table'!$A115, LS_previous!$B$4:$B$138, 0), MATCH(AC$4&amp;AC$5, LS_previous!$D$2:$AY$2&amp;LS_previous!$D$3:$AY$3, 0)),SUM(VLOOKUP($A115, LS_previous!$B$4:$AY$138, LS_previous!U$149, FALSE), VLOOKUP('Staging Table'!$A115, LS_previous!$B$4:$AY$138,LS_previous!AS$149, FALSE))/2)</f>
        <v>-13707.448856964413</v>
      </c>
      <c r="AD115" s="192">
        <f t="array" ref="AD115">IF($G115=0, INDEX(LS_previous!$D$4:$AY$138, MATCH('Staging Table'!$A115, LS_previous!$B$4:$B$138, 0), MATCH(AD$4&amp;AD$5, LS_previous!$D$2:$AY$2&amp;LS_previous!$D$3:$AY$3, 0)),SUM(VLOOKUP($A115, LS_previous!$B$4:$AY$138, LS_previous!V$149, FALSE), VLOOKUP('Staging Table'!$A115, LS_previous!$B$4:$AY$138,LS_previous!AT$149, FALSE))/2)</f>
        <v>-25582.303024382938</v>
      </c>
      <c r="AE115" s="192">
        <f t="array" ref="AE115">IF($G115=0, INDEX(LS_previous!$D$4:$AY$138, MATCH('Staging Table'!$A115, LS_previous!$B$4:$B$138, 0), MATCH(AE$4&amp;AE$5, LS_previous!$D$2:$AY$2&amp;LS_previous!$D$3:$AY$3, 0)),SUM(VLOOKUP($A115, LS_previous!$B$4:$AY$138, LS_previous!W$149, FALSE), VLOOKUP('Staging Table'!$A115, LS_previous!$B$4:$AY$138,LS_previous!AU$149, FALSE))/2)</f>
        <v>6959.3919296509521</v>
      </c>
      <c r="AF115" s="192">
        <f t="array" ref="AF115">IF($G115=0, INDEX(LS_previous!$D$4:$AY$138, MATCH('Staging Table'!$A115, LS_previous!$B$4:$B$138, 0), MATCH(AF$4&amp;AF$5, LS_previous!$D$2:$AY$2&amp;LS_previous!$D$3:$AY$3, 0)),SUM(VLOOKUP($A115, LS_previous!$B$4:$AY$138, LS_previous!X$149, FALSE), VLOOKUP('Staging Table'!$A115, LS_previous!$B$4:$AY$138,LS_previous!AV$149, FALSE))/2)</f>
        <v>-26136.94510488151</v>
      </c>
      <c r="AG115" s="192">
        <f t="array" ref="AG115">IF($G115=0, INDEX(LS_previous!$D$4:$AY$138, MATCH('Staging Table'!$A115, LS_previous!$B$4:$B$138, 0), MATCH(AG$4&amp;AG$5, LS_previous!$D$2:$AY$2&amp;LS_previous!$D$3:$AY$3, 0)),SUM(VLOOKUP($A115, LS_previous!$B$4:$AY$138, LS_previous!Y$149, FALSE), VLOOKUP('Staging Table'!$A115, LS_previous!$B$4:$AY$138,LS_previous!AW$149, FALSE))/2)</f>
        <v>5177.9607935953427</v>
      </c>
      <c r="AH115" s="192">
        <f t="array" ref="AH115">IF($G115=0, INDEX(LS_previous!$D$4:$AY$138, MATCH('Staging Table'!$A115, LS_previous!$B$4:$B$138, 0), MATCH(AH$4&amp;AH$5, LS_previous!$D$2:$AY$2&amp;LS_previous!$D$3:$AY$3, 0)),SUM(VLOOKUP($A115, LS_previous!$B$4:$AY$138, LS_previous!Z$149, FALSE), VLOOKUP('Staging Table'!$A115, LS_previous!$B$4:$AY$138,LS_previous!AX$149, FALSE))/2)</f>
        <v>-11606.411139396805</v>
      </c>
      <c r="AI115" s="192">
        <f t="array" ref="AI115">IF($G115=0, INDEX(LS_previous!$D$4:$AY$138, MATCH('Staging Table'!$A115, LS_previous!$B$4:$B$138, 0), MATCH(AI$4&amp;AI$5, LS_previous!$D$2:$AY$2&amp;LS_previous!$D$3:$AY$3, 0)),SUM(VLOOKUP($A115, LS_previous!$B$4:$AY$138, LS_previous!AA$149, FALSE), VLOOKUP('Staging Table'!$A115, LS_previous!$B$4:$AY$138,LS_previous!AY$149, FALSE))/2)</f>
        <v>6389.2338380225628</v>
      </c>
      <c r="AJ115" s="314">
        <f t="array" ref="AJ115">INDEX(Demand_previous!$D$4:$AY$138, MATCH('Staging Table'!$A115, Demand_previous!$B$4:$B$138, 0), MATCH(AJ$4&amp;AJ$5,Demand_previous!$D$2:$AY$2&amp;Demand_previous!$D$3:$AY$3, 0))/1000</f>
        <v>0</v>
      </c>
      <c r="AK115" s="314">
        <f t="array" ref="AK115">INDEX(Demand_previous!$D$4:$AY$138, MATCH('Staging Table'!$A115, Demand_previous!$B$4:$B$138, 0), MATCH(AK$4&amp;AK$5,Demand_previous!$D$2:$AY$2&amp;Demand_previous!$D$3:$AY$3, 0))/1000</f>
        <v>0</v>
      </c>
      <c r="AL115" s="314">
        <f t="array" ref="AL115">INDEX(Demand_previous!$D$4:$AY$138, MATCH('Staging Table'!$A115, Demand_previous!$B$4:$B$138, 0), MATCH(AL$4&amp;AL$5,Demand_previous!$D$2:$AY$2&amp;Demand_previous!$D$3:$AY$3, 0))/1000</f>
        <v>0</v>
      </c>
      <c r="AM115" s="314">
        <f t="array" ref="AM115">INDEX(Demand_previous!$D$4:$AY$138, MATCH('Staging Table'!$A115, Demand_previous!$B$4:$B$138, 0), MATCH(AM$4&amp;AM$5,Demand_previous!$D$2:$AY$2&amp;Demand_previous!$D$3:$AY$3, 0))/1000</f>
        <v>0</v>
      </c>
      <c r="AN115" s="314">
        <f t="array" ref="AN115">INDEX(Demand_previous!$D$4:$AY$138, MATCH('Staging Table'!$A115, Demand_previous!$B$4:$B$138, 0), MATCH(AN$4&amp;AN$5,Demand_previous!$D$2:$AY$2&amp;Demand_previous!$D$3:$AY$3, 0))/1000</f>
        <v>0</v>
      </c>
      <c r="AO115" s="314">
        <f t="array" ref="AO115">INDEX(Demand_previous!$D$4:$AY$138, MATCH('Staging Table'!$A115, Demand_previous!$B$4:$B$138, 0), MATCH(AO$4&amp;AO$5,Demand_previous!$D$2:$AY$2&amp;Demand_previous!$D$3:$AY$3, 0))/1000</f>
        <v>0</v>
      </c>
      <c r="AP115" s="314">
        <f t="array" ref="AP115">INDEX(Demand_previous!$D$4:$AY$138, MATCH('Staging Table'!$A115, Demand_previous!$B$4:$B$138, 0), MATCH(AP$4&amp;AP$5,Demand_previous!$D$2:$AY$2&amp;Demand_previous!$D$3:$AY$3, 0))/1000</f>
        <v>0</v>
      </c>
      <c r="AQ115" s="314">
        <f t="array" ref="AQ115">INDEX(Demand_previous!$D$4:$AY$138, MATCH('Staging Table'!$A115, Demand_previous!$B$4:$B$138, 0), MATCH(AQ$4&amp;AQ$5,Demand_previous!$D$2:$AY$2&amp;Demand_previous!$D$3:$AY$3, 0))/1000</f>
        <v>0</v>
      </c>
      <c r="AR115" s="314">
        <f t="array" ref="AR115">INDEX(Demand_previous!$D$4:$AY$138, MATCH('Staging Table'!$A115, Demand_previous!$B$4:$B$138, 0), MATCH(AR$4&amp;AR$5,Demand_previous!$D$2:$AY$2&amp;Demand_previous!$D$3:$AY$3, 0))/1000</f>
        <v>0</v>
      </c>
      <c r="AS115" s="314">
        <f t="array" ref="AS115">INDEX(Demand_previous!$D$4:$AY$138, MATCH('Staging Table'!$A115, Demand_previous!$B$4:$B$138, 0), MATCH(AS$4&amp;AS$5,Demand_previous!$D$2:$AY$2&amp;Demand_previous!$D$3:$AY$3, 0))/1000</f>
        <v>0</v>
      </c>
      <c r="AT115" s="314">
        <f t="array" ref="AT115">INDEX(Demand_previous!$D$4:$AY$138, MATCH('Staging Table'!$A115, Demand_previous!$B$4:$B$138, 0), MATCH(AT$4&amp;AT$5,Demand_previous!$D$2:$AY$2&amp;Demand_previous!$D$3:$AY$3, 0))/1000</f>
        <v>0</v>
      </c>
      <c r="AU115" s="314">
        <f t="array" ref="AU115">INDEX(Demand_previous!$D$4:$AY$138, MATCH('Staging Table'!$A115, Demand_previous!$B$4:$B$138, 0), MATCH(AU$4&amp;AU$5,Demand_previous!$D$2:$AY$2&amp;Demand_previous!$D$3:$AY$3, 0))/1000</f>
        <v>0</v>
      </c>
      <c r="AV115" s="192">
        <f>$F115*(VLOOKUP(AV$4, Rates_previous!$G$6:$Q$29, 10, FALSE)+VLOOKUP(AV$4, Rates_previous!$G$6:$Q$29, 11, FALSE))</f>
        <v>100669.51989750958</v>
      </c>
      <c r="AW115" s="192">
        <f>$F115*(VLOOKUP(AW$4, Rates_previous!$G$6:$Q$29, 10, FALSE)+VLOOKUP(AW$4, Rates_previous!$G$6:$Q$29, 11, FALSE))</f>
        <v>127881.69473662139</v>
      </c>
      <c r="AX115" s="192">
        <f>$F115*(VLOOKUP(AX$4, Rates_previous!$G$6:$Q$29, 10, FALSE)+VLOOKUP(AX$4, Rates_previous!$G$6:$Q$29, 11, FALSE))</f>
        <v>126337.3502333096</v>
      </c>
      <c r="AY115" s="192">
        <f>$F115*(VLOOKUP(AY$4, Rates_previous!$G$6:$Q$29, 10, FALSE)+VLOOKUP(AY$4, Rates_previous!$G$6:$Q$29, 11, FALSE))</f>
        <v>105309.8762685096</v>
      </c>
      <c r="AZ115" s="192">
        <f>$F115*(VLOOKUP(AZ$4, Rates_previous!$G$6:$Q$29, 10, FALSE)+VLOOKUP(AZ$4, Rates_previous!$G$6:$Q$29, 11, FALSE))</f>
        <v>95399.822843679984</v>
      </c>
      <c r="BA115" s="192">
        <f>$F115*(VLOOKUP(BA$4, Rates_previous!$G$6:$Q$29, 10, FALSE)+VLOOKUP(BA$4, Rates_previous!$G$6:$Q$29, 11, FALSE))</f>
        <v>106114.90982403619</v>
      </c>
      <c r="BB115" s="192">
        <f>$F115*(VLOOKUP(BB$4, Rates_previous!$G$6:$Q$29, 10, FALSE)+VLOOKUP(BB$4, Rates_previous!$G$6:$Q$29, 11, FALSE))</f>
        <v>86398.874088047989</v>
      </c>
      <c r="BC115" s="192">
        <f>$F115*(VLOOKUP(BC$4, Rates_previous!$G$6:$Q$29, 10, FALSE)+VLOOKUP(BC$4, Rates_previous!$G$6:$Q$29, 11, FALSE))</f>
        <v>116521.76520680961</v>
      </c>
      <c r="BD115" s="192">
        <f>$F115*(VLOOKUP(BD$4, Rates_previous!$G$6:$Q$29, 10, FALSE)+VLOOKUP(BD$4, Rates_previous!$G$6:$Q$29, 11, FALSE))</f>
        <v>148673.847592748</v>
      </c>
      <c r="BE115" s="192">
        <f>$F115*(VLOOKUP(BE$4, Rates_previous!$G$6:$Q$29, 10, FALSE)+VLOOKUP(BE$4, Rates_previous!$G$6:$Q$29, 11, FALSE))</f>
        <v>116565.0106639096</v>
      </c>
      <c r="BF115" s="192">
        <f>$F115*(VLOOKUP(BF$4, Rates_previous!$G$6:$Q$29, 10, FALSE)+VLOOKUP(BF$4, Rates_previous!$G$6:$Q$29, 11, FALSE))</f>
        <v>113511.1095806096</v>
      </c>
      <c r="BG115" s="192">
        <f>$F115*(VLOOKUP(BG$4, Rates_previous!$G$6:$Q$29, 10, FALSE)+VLOOKUP(BG$4, Rates_previous!$G$6:$Q$29, 11, FALSE))</f>
        <v>101908.829478648</v>
      </c>
      <c r="BH115" s="314">
        <f>IF($D115=0,IF(C115=0, MAX(BJ115 - (VLOOKUP($A115,TOCA_previous!$A$2:$AI$137,MATCH("RHWM 2020",TOCA_previous!$A$2:$AI$2,0),FALSE)*$F$2*TOCA_previous!C112),0),0), 0)</f>
        <v>0</v>
      </c>
      <c r="BI115" s="204">
        <f>MIN(VLOOKUP($A115,TOCA_previous!$A$2:$AI$137,MATCH("TRL - NLSL - Existing Resource "&amp;$F$1,TOCA_previous!$A$2:$AI$2,0),FALSE)*$F$2,(VLOOKUP($A115,TOCA_previous!$A$2:$AI$137,MATCH("RHWM 2020",TOCA_previous!$A$2:$AI$2,0),FALSE)*$F$2))</f>
        <v>3172394.304</v>
      </c>
      <c r="BJ115" s="418">
        <f>SUM(L115:AI115)+(F115*RT1SC!$C$3*$F$2)</f>
        <v>1345292.9029668232</v>
      </c>
      <c r="BK115" s="417">
        <f>VLOOKUP($A115,TOCA_previous!$A$2:$AI$137,MATCH("Above RHWM Not Served with LS "&amp;$F$1,TOCA_previous!$A$2:$AI$2,0),FALSE)*$F$2</f>
        <v>0</v>
      </c>
      <c r="BL115" s="418">
        <f t="shared" si="27"/>
        <v>-1827101.4010331768</v>
      </c>
      <c r="BM115" s="417">
        <f>(VLOOKUP($A115,TOCA_previous!$A$2:$AI$137,MATCH("RHWM 2020",TOCA_previous!$A$2:$AI$2,0),FALSE)*$F$2) - $BI115</f>
        <v>343489.53599999985</v>
      </c>
      <c r="BN115" s="418">
        <f t="shared" si="28"/>
        <v>0</v>
      </c>
      <c r="BO115" s="417">
        <f t="shared" si="29"/>
        <v>1827101.4010331768</v>
      </c>
      <c r="BP115" s="418">
        <f t="shared" si="30"/>
        <v>0</v>
      </c>
      <c r="BQ115" s="417">
        <f t="shared" si="37"/>
        <v>0</v>
      </c>
      <c r="BR115" s="120">
        <f>VLOOKUP($A115,TOCA_current!$A$2:$AI$137,MATCH(BR$4,TOCA_current!$A$2:$AI$2,0),FALSE)</f>
        <v>5.3759700000000001E-2</v>
      </c>
      <c r="BS115" s="120">
        <f>VLOOKUP($A115,TOCA_current!$A$2:$AI$137,MATCH(BS$4,TOCA_current!$A$2:$AI$2,0),FALSE)</f>
        <v>2.4148599999999999E-2</v>
      </c>
      <c r="BT115" s="201">
        <f t="shared" si="31"/>
        <v>2.9611100000000001E-2</v>
      </c>
      <c r="BU115" s="120">
        <f>VLOOKUP($A115,TOCA_current!A111:BG246,MATCH(BU$4,TOCA_current!$A$2:$BG$2,0),FALSE)</f>
        <v>0</v>
      </c>
      <c r="BV115" s="120">
        <f t="shared" si="38"/>
        <v>0</v>
      </c>
      <c r="BW115" s="120">
        <f t="shared" si="39"/>
        <v>0</v>
      </c>
      <c r="BX115" s="191">
        <f>VLOOKUP($A115,IRD!$A$4:$G$139, 7, FALSE)</f>
        <v>0</v>
      </c>
      <c r="BY115" s="192">
        <f t="array" ref="BY115">IF($BT115=0, INDEX(LS_current!$D$4:$AY$138, MATCH('Staging Table'!$A115, LS_current!$B$4:$B$138, 0), MATCH(BY$4&amp;BY$5, LS_current!$D$2:$AY$2&amp;LS_current!$D$3:$AY$3, 0)),SUM(VLOOKUP($A115, LS_current!$B$4:$AY$138, LS_current!D$148, FALSE), VLOOKUP($A115, LS_current!$B$4:$AY$138,LS_current!AB$148, FALSE))/2)</f>
        <v>-16409.326247317833</v>
      </c>
      <c r="BZ115" s="192">
        <f t="array" ref="BZ115">IF($BT115=0, INDEX(LS_current!$D$4:$AY$138, MATCH('Staging Table'!$A115, LS_current!$B$4:$B$138, 0), MATCH(BZ$4&amp;BZ$5, LS_current!$D$2:$AY$2&amp;LS_current!$D$3:$AY$3, 0)),SUM(VLOOKUP($A115, LS_current!$B$4:$AY$138, LS_current!E$148, FALSE), VLOOKUP($A115, LS_current!$B$4:$AY$138,LS_current!AC$148, FALSE))/2)</f>
        <v>3293.7623855229576</v>
      </c>
      <c r="CA115" s="192">
        <f t="array" ref="CA115">IF($BT115=0, INDEX(LS_current!$D$4:$AY$138, MATCH('Staging Table'!$A115, LS_current!$B$4:$B$138, 0), MATCH(CA$4&amp;CA$5, LS_current!$D$2:$AY$2&amp;LS_current!$D$3:$AY$3, 0)),SUM(VLOOKUP($A115, LS_current!$B$4:$AY$138, LS_current!F$148, FALSE), VLOOKUP($A115, LS_current!$B$4:$AY$138,LS_current!AD$148, FALSE))/2)</f>
        <v>-15921.385132734118</v>
      </c>
      <c r="CB115" s="192">
        <f t="array" ref="CB115">IF($BT115=0, INDEX(LS_current!$D$4:$AY$138, MATCH('Staging Table'!$A115, LS_current!$B$4:$B$138, 0), MATCH(CB$4&amp;CB$5, LS_current!$D$2:$AY$2&amp;LS_current!$D$3:$AY$3, 0)),SUM(VLOOKUP($A115, LS_current!$B$4:$AY$138, LS_current!G$148, FALSE), VLOOKUP($A115, LS_current!$B$4:$AY$138,LS_current!AE$148, FALSE))/2)</f>
        <v>2047.3616791130517</v>
      </c>
      <c r="CC115" s="192">
        <f t="array" ref="CC115">IF($BT115=0, INDEX(LS_current!$D$4:$AY$138, MATCH('Staging Table'!$A115, LS_current!$B$4:$B$138, 0), MATCH(CC$4&amp;CC$5, LS_current!$D$2:$AY$2&amp;LS_current!$D$3:$AY$3, 0)),SUM(VLOOKUP($A115, LS_current!$B$4:$AY$138, LS_current!H$148, FALSE), VLOOKUP($A115, LS_current!$B$4:$AY$138,LS_current!AF$148, FALSE))/2)</f>
        <v>9029.629957304227</v>
      </c>
      <c r="CD115" s="192">
        <f t="array" ref="CD115">IF($BT115=0, INDEX(LS_current!$D$4:$AY$138, MATCH('Staging Table'!$A115, LS_current!$B$4:$B$138, 0), MATCH(CD$4&amp;CD$5, LS_current!$D$2:$AY$2&amp;LS_current!$D$3:$AY$3, 0)),SUM(VLOOKUP($A115, LS_current!$B$4:$AY$138, LS_current!I$148, FALSE), VLOOKUP($A115, LS_current!$B$4:$AY$138,LS_current!AG$148, FALSE))/2)</f>
        <v>10089.756084788449</v>
      </c>
      <c r="CE115" s="192">
        <f t="array" ref="CE115">IF($BT115=0, INDEX(LS_current!$D$4:$AY$138, MATCH('Staging Table'!$A115, LS_current!$B$4:$B$138, 0), MATCH(CE$4&amp;CE$5, LS_current!$D$2:$AY$2&amp;LS_current!$D$3:$AY$3, 0)),SUM(VLOOKUP($A115, LS_current!$B$4:$AY$138, LS_current!J$148, FALSE), VLOOKUP($A115, LS_current!$B$4:$AY$138,LS_current!AH$148, FALSE))/2)</f>
        <v>14933.295156323562</v>
      </c>
      <c r="CF115" s="192">
        <f t="array" ref="CF115">IF($BT115=0, INDEX(LS_current!$D$4:$AY$138, MATCH('Staging Table'!$A115, LS_current!$B$4:$B$138, 0), MATCH(CF$4&amp;CF$5, LS_current!$D$2:$AY$2&amp;LS_current!$D$3:$AY$3, 0)),SUM(VLOOKUP($A115, LS_current!$B$4:$AY$138, LS_current!K$148, FALSE), VLOOKUP($A115, LS_current!$B$4:$AY$138,LS_current!AI$148, FALSE))/2)</f>
        <v>19407.365306865777</v>
      </c>
      <c r="CG115" s="192">
        <f t="array" ref="CG115">IF($BT115=0, INDEX(LS_current!$D$4:$AY$138, MATCH('Staging Table'!$A115, LS_current!$B$4:$B$138, 0), MATCH(CG$4&amp;CG$5, LS_current!$D$2:$AY$2&amp;LS_current!$D$3:$AY$3, 0)),SUM(VLOOKUP($A115, LS_current!$B$4:$AY$138, LS_current!L$148, FALSE), VLOOKUP($A115, LS_current!$B$4:$AY$138,LS_current!AJ$148, FALSE))/2)</f>
        <v>15042.069935712214</v>
      </c>
      <c r="CH115" s="192">
        <f t="array" ref="CH115">IF($BT115=0, INDEX(LS_current!$D$4:$AY$138, MATCH('Staging Table'!$A115, LS_current!$B$4:$B$138, 0), MATCH(CH$4&amp;CH$5, LS_current!$D$2:$AY$2&amp;LS_current!$D$3:$AY$3, 0)),SUM(VLOOKUP($A115, LS_current!$B$4:$AY$138, LS_current!M$148, FALSE), VLOOKUP($A115, LS_current!$B$4:$AY$138,LS_current!AK$148, FALSE))/2)</f>
        <v>12902.178361097511</v>
      </c>
      <c r="CI115" s="192">
        <f t="array" ref="CI115">IF($BT115=0, INDEX(LS_current!$D$4:$AY$138, MATCH('Staging Table'!$A115, LS_current!$B$4:$B$138, 0), MATCH(CI$4&amp;CI$5, LS_current!$D$2:$AY$2&amp;LS_current!$D$3:$AY$3, 0)),SUM(VLOOKUP($A115, LS_current!$B$4:$AY$138, LS_current!N$148, FALSE), VLOOKUP($A115, LS_current!$B$4:$AY$138,LS_current!AL$148, FALSE))/2)</f>
        <v>12201.949098311663</v>
      </c>
      <c r="CJ115" s="192">
        <f t="array" ref="CJ115">IF($BT115=0, INDEX(LS_current!$D$4:$AY$138, MATCH('Staging Table'!$A115, LS_current!$B$4:$B$138, 0), MATCH(CJ$4&amp;CJ$5, LS_current!$D$2:$AY$2&amp;LS_current!$D$3:$AY$3, 0)),SUM(VLOOKUP($A115, LS_current!$B$4:$AY$138, LS_current!O$148, FALSE), VLOOKUP($A115, LS_current!$B$4:$AY$138,LS_current!AM$148, FALSE))/2)</f>
        <v>15360.025961000727</v>
      </c>
      <c r="CK115" s="192">
        <f t="array" ref="CK115">IF($BT115=0, INDEX(LS_current!$D$4:$AY$138, MATCH('Staging Table'!$A115, LS_current!$B$4:$B$138, 0), MATCH(CK$4&amp;CK$5, LS_current!$D$2:$AY$2&amp;LS_current!$D$3:$AY$3, 0)),SUM(VLOOKUP($A115, LS_current!$B$4:$AY$138, LS_current!P$148, FALSE), VLOOKUP($A115, LS_current!$B$4:$AY$138,LS_current!AN$148, FALSE))/2)</f>
        <v>12945.026460411311</v>
      </c>
      <c r="CL115" s="192">
        <f t="array" ref="CL115">IF($BT115=0, INDEX(LS_current!$D$4:$AY$138, MATCH('Staging Table'!$A115, LS_current!$B$4:$B$138, 0), MATCH(CL$4&amp;CL$5, LS_current!$D$2:$AY$2&amp;LS_current!$D$3:$AY$3, 0)),SUM(VLOOKUP($A115, LS_current!$B$4:$AY$138, LS_current!Q$148, FALSE), VLOOKUP($A115, LS_current!$B$4:$AY$138,LS_current!AO$148, FALSE))/2)</f>
        <v>17872.943509723711</v>
      </c>
      <c r="CM115" s="192">
        <f t="array" ref="CM115">IF($BT115=0, INDEX(LS_current!$D$4:$AY$138, MATCH('Staging Table'!$A115, LS_current!$B$4:$B$138, 0), MATCH(CM$4&amp;CM$5, LS_current!$D$2:$AY$2&amp;LS_current!$D$3:$AY$3, 0)),SUM(VLOOKUP($A115, LS_current!$B$4:$AY$138, LS_current!R$148, FALSE), VLOOKUP($A115, LS_current!$B$4:$AY$138,LS_current!AP$148, FALSE))/2)</f>
        <v>-25095.654969625626</v>
      </c>
      <c r="CN115" s="192">
        <f t="array" ref="CN115">IF($BT115=0, INDEX(LS_current!$D$4:$AY$138, MATCH('Staging Table'!$A115, LS_current!$B$4:$B$138, 0), MATCH(CN$4&amp;CN$5, LS_current!$D$2:$AY$2&amp;LS_current!$D$3:$AY$3, 0)),SUM(VLOOKUP($A115, LS_current!$B$4:$AY$138, LS_current!S$148, FALSE), VLOOKUP($A115, LS_current!$B$4:$AY$138,LS_current!AQ$148, FALSE))/2)</f>
        <v>8063.0151043006772</v>
      </c>
      <c r="CO115" s="192">
        <f t="array" ref="CO115">IF($BT115=0, INDEX(LS_current!$D$4:$AY$138, MATCH('Staging Table'!$A115, LS_current!$B$4:$B$138, 0), MATCH(CO$4&amp;CO$5, LS_current!$D$2:$AY$2&amp;LS_current!$D$3:$AY$3, 0)),SUM(VLOOKUP($A115, LS_current!$B$4:$AY$138, LS_current!T$148, FALSE), VLOOKUP($A115, LS_current!$B$4:$AY$138,LS_current!AR$148, FALSE))/2)</f>
        <v>-39609.881093326127</v>
      </c>
      <c r="CP115" s="192">
        <f t="array" ref="CP115">IF($BT115=0, INDEX(LS_current!$D$4:$AY$138, MATCH('Staging Table'!$A115, LS_current!$B$4:$B$138, 0), MATCH(CP$4&amp;CP$5, LS_current!$D$2:$AY$2&amp;LS_current!$D$3:$AY$3, 0)),SUM(VLOOKUP($A115, LS_current!$B$4:$AY$138, LS_current!U$148, FALSE), VLOOKUP($A115, LS_current!$B$4:$AY$138,LS_current!AS$148, FALSE))/2)</f>
        <v>2522.4252167844061</v>
      </c>
      <c r="CQ115" s="192">
        <f t="array" ref="CQ115">IF($BT115=0, INDEX(LS_current!$D$4:$AY$138, MATCH('Staging Table'!$A115, LS_current!$B$4:$B$138, 0), MATCH(CQ$4&amp;CQ$5, LS_current!$D$2:$AY$2&amp;LS_current!$D$3:$AY$3, 0)),SUM(VLOOKUP($A115, LS_current!$B$4:$AY$138, LS_current!V$148, FALSE), VLOOKUP($A115, LS_current!$B$4:$AY$138,LS_current!AT$148, FALSE))/2)</f>
        <v>-28822.333271599004</v>
      </c>
      <c r="CR115" s="192">
        <f t="array" ref="CR115">IF($BT115=0, INDEX(LS_current!$D$4:$AY$138, MATCH('Staging Table'!$A115, LS_current!$B$4:$B$138, 0), MATCH(CR$4&amp;CR$5, LS_current!$D$2:$AY$2&amp;LS_current!$D$3:$AY$3, 0)),SUM(VLOOKUP($A115, LS_current!$B$4:$AY$138, LS_current!W$148, FALSE), VLOOKUP($A115, LS_current!$B$4:$AY$138,LS_current!AU$148, FALSE))/2)</f>
        <v>5675.0508751790039</v>
      </c>
      <c r="CS115" s="192">
        <f t="array" ref="CS115">IF($BT115=0, INDEX(LS_current!$D$4:$AY$138, MATCH('Staging Table'!$A115, LS_current!$B$4:$B$138, 0), MATCH(CS$4&amp;CS$5, LS_current!$D$2:$AY$2&amp;LS_current!$D$3:$AY$3, 0)),SUM(VLOOKUP($A115, LS_current!$B$4:$AY$138, LS_current!X$148, FALSE), VLOOKUP($A115, LS_current!$B$4:$AY$138,LS_current!AV$148, FALSE))/2)</f>
        <v>-25713.010909046312</v>
      </c>
      <c r="CT115" s="192">
        <f t="array" ref="CT115">IF($BT115=0, INDEX(LS_current!$D$4:$AY$138, MATCH('Staging Table'!$A115, LS_current!$B$4:$B$138, 0), MATCH(CT$4&amp;CT$5, LS_current!$D$2:$AY$2&amp;LS_current!$D$3:$AY$3, 0)),SUM(VLOOKUP($A115, LS_current!$B$4:$AY$138, LS_current!Y$148, FALSE), VLOOKUP($A115, LS_current!$B$4:$AY$138,LS_current!AW$148, FALSE))/2)</f>
        <v>1127.9646869299795</v>
      </c>
      <c r="CU115" s="192">
        <f t="array" ref="CU115">IF($BT115=0, INDEX(LS_current!$D$4:$AY$138, MATCH('Staging Table'!$A115, LS_current!$B$4:$B$138, 0), MATCH(CU$4&amp;CU$5, LS_current!$D$2:$AY$2&amp;LS_current!$D$3:$AY$3, 0)),SUM(VLOOKUP($A115, LS_current!$B$4:$AY$138, LS_current!Z$148, FALSE), VLOOKUP($A115, LS_current!$B$4:$AY$138,LS_current!AX$148, FALSE))/2)</f>
        <v>-15491.887742822335</v>
      </c>
      <c r="CV115" s="192">
        <f t="array" ref="CV115">IF($BT115=0, INDEX(LS_current!$D$4:$AY$138, MATCH('Staging Table'!$A115, LS_current!$B$4:$B$138, 0), MATCH(CV$4&amp;CV$5, LS_current!$D$2:$AY$2&amp;LS_current!$D$3:$AY$3, 0)),SUM(VLOOKUP($A115, LS_current!$B$4:$AY$138, LS_current!AA$148, FALSE), VLOOKUP($A115, LS_current!$B$4:$AY$138,LS_current!AY$148, FALSE))/2)</f>
        <v>4551.9174408341169</v>
      </c>
      <c r="CW115" s="194">
        <f t="array" ref="CW115">INDEX(Demand_current!$D$4:$AY$138, MATCH($A115, Demand_current!$B$4:$B$138, 0), MATCH(CW$4&amp;CW$5,Demand_current!$D$2:$AY$2&amp;Demand_current!$D$3:$AY$3, 0))/1000</f>
        <v>0</v>
      </c>
      <c r="CX115" s="194">
        <f t="array" ref="CX115">INDEX(Demand_current!$D$4:$AY$138, MATCH($A115, Demand_current!$B$4:$B$138, 0), MATCH(CX$4&amp;CX$5,Demand_current!$D$2:$AY$2&amp;Demand_current!$D$3:$AY$3, 0))/1000</f>
        <v>0</v>
      </c>
      <c r="CY115" s="194">
        <f t="array" ref="CY115">INDEX(Demand_current!$D$4:$AY$138, MATCH($A115, Demand_current!$B$4:$B$138, 0), MATCH(CY$4&amp;CY$5,Demand_current!$D$2:$AY$2&amp;Demand_current!$D$3:$AY$3, 0))/1000</f>
        <v>0</v>
      </c>
      <c r="CZ115" s="194">
        <f t="array" ref="CZ115">INDEX(Demand_current!$D$4:$AY$138, MATCH($A115, Demand_current!$B$4:$B$138, 0), MATCH(CZ$4&amp;CZ$5,Demand_current!$D$2:$AY$2&amp;Demand_current!$D$3:$AY$3, 0))/1000</f>
        <v>0</v>
      </c>
      <c r="DA115" s="194">
        <f t="array" ref="DA115">INDEX(Demand_current!$D$4:$AY$138, MATCH($A115, Demand_current!$B$4:$B$138, 0), MATCH(DA$4&amp;DA$5,Demand_current!$D$2:$AY$2&amp;Demand_current!$D$3:$AY$3, 0))/1000</f>
        <v>0</v>
      </c>
      <c r="DB115" s="194">
        <f t="array" ref="DB115">INDEX(Demand_current!$D$4:$AY$138, MATCH($A115, Demand_current!$B$4:$B$138, 0), MATCH(DB$4&amp;DB$5,Demand_current!$D$2:$AY$2&amp;Demand_current!$D$3:$AY$3, 0))/1000</f>
        <v>0</v>
      </c>
      <c r="DC115" s="194">
        <f t="array" ref="DC115">INDEX(Demand_current!$D$4:$AY$138, MATCH($A115, Demand_current!$B$4:$B$138, 0), MATCH(DC$4&amp;DC$5,Demand_current!$D$2:$AY$2&amp;Demand_current!$D$3:$AY$3, 0))/1000</f>
        <v>0</v>
      </c>
      <c r="DD115" s="194">
        <f t="array" ref="DD115">INDEX(Demand_current!$D$4:$AY$138, MATCH($A115, Demand_current!$B$4:$B$138, 0), MATCH(DD$4&amp;DD$5,Demand_current!$D$2:$AY$2&amp;Demand_current!$D$3:$AY$3, 0))/1000</f>
        <v>0</v>
      </c>
      <c r="DE115" s="194">
        <f t="array" ref="DE115">INDEX(Demand_current!$D$4:$AY$138, MATCH($A115, Demand_current!$B$4:$B$138, 0), MATCH(DE$4&amp;DE$5,Demand_current!$D$2:$AY$2&amp;Demand_current!$D$3:$AY$3, 0))/1000</f>
        <v>0</v>
      </c>
      <c r="DF115" s="194">
        <f t="array" ref="DF115">INDEX(Demand_current!$D$4:$AY$138, MATCH($A115, Demand_current!$B$4:$B$138, 0), MATCH(DF$4&amp;DF$5,Demand_current!$D$2:$AY$2&amp;Demand_current!$D$3:$AY$3, 0))/1000</f>
        <v>0</v>
      </c>
      <c r="DG115" s="194">
        <f t="array" ref="DG115">INDEX(Demand_current!$D$4:$AY$138, MATCH($A115, Demand_current!$B$4:$B$138, 0), MATCH(DG$4&amp;DG$5,Demand_current!$D$2:$AY$2&amp;Demand_current!$D$3:$AY$3, 0))/1000</f>
        <v>0</v>
      </c>
      <c r="DH115" s="194">
        <f t="array" ref="DH115">INDEX(Demand_current!$D$4:$AY$138, MATCH($A115, Demand_current!$B$4:$B$138, 0), MATCH(DH$4&amp;DH$5,Demand_current!$D$2:$AY$2&amp;Demand_current!$D$3:$AY$3, 0))/1000</f>
        <v>0</v>
      </c>
      <c r="DI115" s="192">
        <f>$BS115*(VLOOKUP(DI$4, Rates_current!$G$6:$Q$29, 10, FALSE)+VLOOKUP(DI$4, Rates_current!$G$6:$Q$29, 11, FALSE))</f>
        <v>109970.89926723737</v>
      </c>
      <c r="DJ115" s="192">
        <f>$BS115*(VLOOKUP(DJ$4, Rates_current!$G$6:$Q$29, 10, FALSE)+VLOOKUP(DJ$4, Rates_current!$G$6:$Q$29, 11, FALSE))</f>
        <v>139227.14959090651</v>
      </c>
      <c r="DK115" s="192">
        <f>$BS115*(VLOOKUP(DK$4, Rates_current!$G$6:$Q$29, 10, FALSE)+VLOOKUP(DK$4, Rates_current!$G$6:$Q$29, 11, FALSE))</f>
        <v>136275.5642018278</v>
      </c>
      <c r="DL115" s="192">
        <f>$BS115*(VLOOKUP(DL$4, Rates_current!$G$6:$Q$29, 10, FALSE)+VLOOKUP(DL$4, Rates_current!$G$6:$Q$29, 11, FALSE))</f>
        <v>112557.82093388734</v>
      </c>
      <c r="DM115" s="192">
        <f>$BS115*(VLOOKUP(DM$4, Rates_current!$G$6:$Q$29, 10, FALSE)+VLOOKUP(DM$4, Rates_current!$G$6:$Q$29, 11, FALSE))</f>
        <v>97556.33034309397</v>
      </c>
      <c r="DN115" s="192">
        <f>$BS115*(VLOOKUP(DN$4, Rates_current!$G$6:$Q$29, 10, FALSE)+VLOOKUP(DN$4, Rates_current!$G$6:$Q$29, 11, FALSE))</f>
        <v>116462.55797777168</v>
      </c>
      <c r="DO115" s="192">
        <f>$BS115*(VLOOKUP(DO$4, Rates_current!$G$6:$Q$29, 10, FALSE)+VLOOKUP(DO$4, Rates_current!$G$6:$Q$29, 11, FALSE))</f>
        <v>90417.671737576587</v>
      </c>
      <c r="DP115" s="192">
        <f>$BS115*(VLOOKUP(DP$4, Rates_current!$G$6:$Q$29, 10, FALSE)+VLOOKUP(DP$4, Rates_current!$G$6:$Q$29, 11, FALSE))</f>
        <v>125274.34957462327</v>
      </c>
      <c r="DQ115" s="192">
        <f>$BS115*(VLOOKUP(DQ$4, Rates_current!$G$6:$Q$29, 10, FALSE)+VLOOKUP(DQ$4, Rates_current!$G$6:$Q$29, 11, FALSE))</f>
        <v>133858.2656590422</v>
      </c>
      <c r="DR115" s="192">
        <f>$BS115*(VLOOKUP(DR$4, Rates_current!$G$6:$Q$29, 10, FALSE)+VLOOKUP(DR$4, Rates_current!$G$6:$Q$29, 11, FALSE))</f>
        <v>127092.36192698819</v>
      </c>
      <c r="DS115" s="192">
        <f>$BS115*(VLOOKUP(DS$4, Rates_current!$G$6:$Q$29, 10, FALSE)+VLOOKUP(DS$4, Rates_current!$G$6:$Q$29, 11, FALSE))</f>
        <v>122824.96313684725</v>
      </c>
      <c r="DT115" s="192">
        <f>$BS115*(VLOOKUP(DT$4, Rates_current!$G$6:$Q$29, 10, FALSE)+VLOOKUP(DT$4, Rates_current!$G$6:$Q$29, 11, FALSE))</f>
        <v>113503.06993343151</v>
      </c>
      <c r="DU115" s="418">
        <f>IF(D115=0,IF(C115=0,MAX(0,DW115 - (VLOOKUP($A115,TOCA_current!$A$2:$AI$137,MATCH("RHWM 2022",TOCA_current!$A$2:$AI$2,0),FALSE)*$BS$2)), 0),0)</f>
        <v>0</v>
      </c>
      <c r="DV115" s="419">
        <f>MIN(VLOOKUP($A115,TOCA_current!$A$2:$AI$137,MATCH("TRL - NLSL - Existing Resource "&amp;$BS$1,TOCA_current!$A$2:$AI$2,0),FALSE)*$BS$2, VLOOKUP($A115,TOCA_current!$A$2:$AI$137,MATCH("RHWM 2022",TOCA_current!$A$2:$AI$2,0),FALSE)*$BS$2)</f>
        <v>3172390.1999999997</v>
      </c>
      <c r="DW115" s="419">
        <f>SUM(BY115:CV115)+(BS115*RT1SC!$C$4*$BS$2)</f>
        <v>1425023.335032956</v>
      </c>
      <c r="DX115" s="419">
        <f>VLOOKUP($A115,TOCA_current!$A$2:$AI$137,MATCH("Above RHWM Not Served with LS "&amp;$BS$1,TOCA_current!$A$2:$AI$2,0),FALSE)*$BS$2</f>
        <v>0</v>
      </c>
      <c r="DY115" s="419">
        <f t="shared" si="32"/>
        <v>-1747366.8649670437</v>
      </c>
      <c r="DZ115" s="419">
        <f>(VLOOKUP($A115,TOCA_current!$A$2:$AI$137,MATCH("RHWM 2022",TOCA_current!$A$2:$AI$2,0),FALSE)*$BS$2) - $DV115</f>
        <v>190056.96000000043</v>
      </c>
      <c r="EA115" s="419">
        <f t="shared" si="33"/>
        <v>0</v>
      </c>
      <c r="EB115" s="419">
        <f t="shared" si="34"/>
        <v>1747366.8649670437</v>
      </c>
      <c r="EC115" s="419">
        <f t="shared" si="35"/>
        <v>0</v>
      </c>
      <c r="ED115" s="419">
        <f t="shared" si="36"/>
        <v>0</v>
      </c>
    </row>
    <row r="116" spans="1:134">
      <c r="A116" s="135">
        <v>10371</v>
      </c>
      <c r="B116" s="136" t="s">
        <v>117</v>
      </c>
      <c r="C116" s="244">
        <f>VLOOKUP(A116, TOCA_current!$A$3:$D$137, 4, FALSE)</f>
        <v>0</v>
      </c>
      <c r="D116" s="203">
        <v>0</v>
      </c>
      <c r="E116" s="119">
        <f>VLOOKUP($A116,TOCA_previous!$A$2:$AI$137,MATCH(E$4,TOCA_previous!$A$2:$AI$2,0),FALSE)</f>
        <v>1.5621999999999999E-3</v>
      </c>
      <c r="F116" s="120">
        <f>VLOOKUP($A116,TOCA_previous!$A$2:$AI$137,MATCH(F$4,TOCA_previous!$A$2:$AI$2,0),FALSE)</f>
        <v>1.5621999999999999E-3</v>
      </c>
      <c r="G116" s="120">
        <f t="shared" si="24"/>
        <v>0</v>
      </c>
      <c r="H116" s="120">
        <f>VLOOKUP($A116,TOCA_previous!$A$2:$AI$137,MATCH(H$4,TOCA_previous!$A$2:$AI$2,0),FALSE)</f>
        <v>0</v>
      </c>
      <c r="I116" s="120">
        <f t="shared" si="25"/>
        <v>0</v>
      </c>
      <c r="J116" s="120">
        <f t="shared" si="26"/>
        <v>0</v>
      </c>
      <c r="K116" s="191">
        <f>VLOOKUP(A116, IRD!$A$5:$C$139, 3, FALSE)</f>
        <v>0</v>
      </c>
      <c r="L116" s="192">
        <f t="array" ref="L116">IF($G116=0, INDEX(LS_previous!$D$4:$AY$138, MATCH('Staging Table'!$A116, LS_previous!$B$4:$B$138, 0), MATCH(L$4&amp;L$5, LS_previous!$D$2:$AY$2&amp;LS_previous!$D$3:$AY$3, 0)),SUM(VLOOKUP($A116, LS_previous!$B$4:$AY$138, LS_previous!D$149, FALSE), VLOOKUP('Staging Table'!$A116, LS_previous!$B$4:$AY$138,LS_previous!AB$149, FALSE))/2)</f>
        <v>49.607050866400641</v>
      </c>
      <c r="M116" s="192">
        <f t="array" ref="M116">IF($G116=0, INDEX(LS_previous!$D$4:$AY$138, MATCH('Staging Table'!$A116, LS_previous!$B$4:$B$138, 0), MATCH(M$4&amp;M$5, LS_previous!$D$2:$AY$2&amp;LS_previous!$D$3:$AY$3, 0)),SUM(VLOOKUP($A116, LS_previous!$B$4:$AY$138, LS_previous!E$149, FALSE), VLOOKUP('Staging Table'!$A116, LS_previous!$B$4:$AY$138,LS_previous!AC$149, FALSE))/2)</f>
        <v>306.56102554240033</v>
      </c>
      <c r="N116" s="192">
        <f t="array" ref="N116">IF($G116=0, INDEX(LS_previous!$D$4:$AY$138, MATCH('Staging Table'!$A116, LS_previous!$B$4:$B$138, 0), MATCH(N$4&amp;N$5, LS_previous!$D$2:$AY$2&amp;LS_previous!$D$3:$AY$3, 0)),SUM(VLOOKUP($A116, LS_previous!$B$4:$AY$138, LS_previous!F$149, FALSE), VLOOKUP('Staging Table'!$A116, LS_previous!$B$4:$AY$138,LS_previous!AD$149, FALSE))/2)</f>
        <v>-226.87655224159971</v>
      </c>
      <c r="O116" s="192">
        <f t="array" ref="O116">IF($G116=0, INDEX(LS_previous!$D$4:$AY$138, MATCH('Staging Table'!$A116, LS_previous!$B$4:$B$138, 0), MATCH(O$4&amp;O$5, LS_previous!$D$2:$AY$2&amp;LS_previous!$D$3:$AY$3, 0)),SUM(VLOOKUP($A116, LS_previous!$B$4:$AY$138, LS_previous!G$149, FALSE), VLOOKUP('Staging Table'!$A116, LS_previous!$B$4:$AY$138,LS_previous!AE$149, FALSE))/2)</f>
        <v>274.92974627579997</v>
      </c>
      <c r="P116" s="192">
        <f t="array" ref="P116">IF($G116=0, INDEX(LS_previous!$D$4:$AY$138, MATCH('Staging Table'!$A116, LS_previous!$B$4:$B$138, 0), MATCH(P$4&amp;P$5, LS_previous!$D$2:$AY$2&amp;LS_previous!$D$3:$AY$3, 0)),SUM(VLOOKUP($A116, LS_previous!$B$4:$AY$138, LS_previous!H$149, FALSE), VLOOKUP('Staging Table'!$A116, LS_previous!$B$4:$AY$138,LS_previous!AF$149, FALSE))/2)</f>
        <v>790.26798700159998</v>
      </c>
      <c r="Q116" s="192">
        <f t="array" ref="Q116">IF($G116=0, INDEX(LS_previous!$D$4:$AY$138, MATCH('Staging Table'!$A116, LS_previous!$B$4:$B$138, 0), MATCH(Q$4&amp;Q$5, LS_previous!$D$2:$AY$2&amp;LS_previous!$D$3:$AY$3, 0)),SUM(VLOOKUP($A116, LS_previous!$B$4:$AY$138, LS_previous!I$149, FALSE), VLOOKUP('Staging Table'!$A116, LS_previous!$B$4:$AY$138,LS_previous!AG$149, FALSE))/2)</f>
        <v>726.34558680720011</v>
      </c>
      <c r="R116" s="192">
        <f t="array" ref="R116">IF($G116=0, INDEX(LS_previous!$D$4:$AY$138, MATCH('Staging Table'!$A116, LS_previous!$B$4:$B$138, 0), MATCH(R$4&amp;R$5, LS_previous!$D$2:$AY$2&amp;LS_previous!$D$3:$AY$3, 0)),SUM(VLOOKUP($A116, LS_previous!$B$4:$AY$138, LS_previous!J$149, FALSE), VLOOKUP('Staging Table'!$A116, LS_previous!$B$4:$AY$138,LS_previous!AH$149, FALSE))/2)</f>
        <v>1505.2638742016006</v>
      </c>
      <c r="S116" s="192">
        <f t="array" ref="S116">IF($G116=0, INDEX(LS_previous!$D$4:$AY$138, MATCH('Staging Table'!$A116, LS_previous!$B$4:$B$138, 0), MATCH(S$4&amp;S$5, LS_previous!$D$2:$AY$2&amp;LS_previous!$D$3:$AY$3, 0)),SUM(VLOOKUP($A116, LS_previous!$B$4:$AY$138, LS_previous!K$149, FALSE), VLOOKUP('Staging Table'!$A116, LS_previous!$B$4:$AY$138,LS_previous!AI$149, FALSE))/2)</f>
        <v>1443.6423652072003</v>
      </c>
      <c r="T116" s="192">
        <f t="array" ref="T116">IF($G116=0, INDEX(LS_previous!$D$4:$AY$138, MATCH('Staging Table'!$A116, LS_previous!$B$4:$B$138, 0), MATCH(T$4&amp;T$5, LS_previous!$D$2:$AY$2&amp;LS_previous!$D$3:$AY$3, 0)),SUM(VLOOKUP($A116, LS_previous!$B$4:$AY$138, LS_previous!L$149, FALSE), VLOOKUP('Staging Table'!$A116, LS_previous!$B$4:$AY$138,LS_previous!AJ$149, FALSE))/2)</f>
        <v>1385.9541728872009</v>
      </c>
      <c r="U116" s="192">
        <f t="array" ref="U116">IF($G116=0, INDEX(LS_previous!$D$4:$AY$138, MATCH('Staging Table'!$A116, LS_previous!$B$4:$B$138, 0), MATCH(U$4&amp;U$5, LS_previous!$D$2:$AY$2&amp;LS_previous!$D$3:$AY$3, 0)),SUM(VLOOKUP($A116, LS_previous!$B$4:$AY$138, LS_previous!M$149, FALSE), VLOOKUP('Staging Table'!$A116, LS_previous!$B$4:$AY$138,LS_previous!AK$149, FALSE))/2)</f>
        <v>1086.8132621528002</v>
      </c>
      <c r="V116" s="192">
        <f t="array" ref="V116">IF($G116=0, INDEX(LS_previous!$D$4:$AY$138, MATCH('Staging Table'!$A116, LS_previous!$B$4:$B$138, 0), MATCH(V$4&amp;V$5, LS_previous!$D$2:$AY$2&amp;LS_previous!$D$3:$AY$3, 0)),SUM(VLOOKUP($A116, LS_previous!$B$4:$AY$138, LS_previous!N$149, FALSE), VLOOKUP('Staging Table'!$A116, LS_previous!$B$4:$AY$138,LS_previous!AL$149, FALSE))/2)</f>
        <v>810.18854064480092</v>
      </c>
      <c r="W116" s="192">
        <f t="array" ref="W116">IF($G116=0, INDEX(LS_previous!$D$4:$AY$138, MATCH('Staging Table'!$A116, LS_previous!$B$4:$B$138, 0), MATCH(W$4&amp;W$5, LS_previous!$D$2:$AY$2&amp;LS_previous!$D$3:$AY$3, 0)),SUM(VLOOKUP($A116, LS_previous!$B$4:$AY$138, LS_previous!O$149, FALSE), VLOOKUP('Staging Table'!$A116, LS_previous!$B$4:$AY$138,LS_previous!AM$149, FALSE))/2)</f>
        <v>703.69443057380022</v>
      </c>
      <c r="X116" s="192">
        <f t="array" ref="X116">IF($G116=0, INDEX(LS_previous!$D$4:$AY$138, MATCH('Staging Table'!$A116, LS_previous!$B$4:$B$138, 0), MATCH(X$4&amp;X$5, LS_previous!$D$2:$AY$2&amp;LS_previous!$D$3:$AY$3, 0)),SUM(VLOOKUP($A116, LS_previous!$B$4:$AY$138, LS_previous!P$149, FALSE), VLOOKUP('Staging Table'!$A116, LS_previous!$B$4:$AY$138,LS_previous!AN$149, FALSE))/2)</f>
        <v>666.8389129232005</v>
      </c>
      <c r="Y116" s="192">
        <f t="array" ref="Y116">IF($G116=0, INDEX(LS_previous!$D$4:$AY$138, MATCH('Staging Table'!$A116, LS_previous!$B$4:$B$138, 0), MATCH(Y$4&amp;Y$5, LS_previous!$D$2:$AY$2&amp;LS_previous!$D$3:$AY$3, 0)),SUM(VLOOKUP($A116, LS_previous!$B$4:$AY$138, LS_previous!Q$149, FALSE), VLOOKUP('Staging Table'!$A116, LS_previous!$B$4:$AY$138,LS_previous!AO$149, FALSE))/2)</f>
        <v>532.26254562079976</v>
      </c>
      <c r="Z116" s="192">
        <f t="array" ref="Z116">IF($G116=0, INDEX(LS_previous!$D$4:$AY$138, MATCH('Staging Table'!$A116, LS_previous!$B$4:$B$138, 0), MATCH(Z$4&amp;Z$5, LS_previous!$D$2:$AY$2&amp;LS_previous!$D$3:$AY$3, 0)),SUM(VLOOKUP($A116, LS_previous!$B$4:$AY$138, LS_previous!R$149, FALSE), VLOOKUP('Staging Table'!$A116, LS_previous!$B$4:$AY$138,LS_previous!AP$149, FALSE))/2)</f>
        <v>-1356.3466676199996</v>
      </c>
      <c r="AA116" s="192">
        <f t="array" ref="AA116">IF($G116=0, INDEX(LS_previous!$D$4:$AY$138, MATCH('Staging Table'!$A116, LS_previous!$B$4:$B$138, 0), MATCH(AA$4&amp;AA$5, LS_previous!$D$2:$AY$2&amp;LS_previous!$D$3:$AY$3, 0)),SUM(VLOOKUP($A116, LS_previous!$B$4:$AY$138, LS_previous!S$149, FALSE), VLOOKUP('Staging Table'!$A116, LS_previous!$B$4:$AY$138,LS_previous!AQ$149, FALSE))/2)</f>
        <v>-147.35741307119952</v>
      </c>
      <c r="AB116" s="192">
        <f t="array" ref="AB116">IF($G116=0, INDEX(LS_previous!$D$4:$AY$138, MATCH('Staging Table'!$A116, LS_previous!$B$4:$B$138, 0), MATCH(AB$4&amp;AB$5, LS_previous!$D$2:$AY$2&amp;LS_previous!$D$3:$AY$3, 0)),SUM(VLOOKUP($A116, LS_previous!$B$4:$AY$138, LS_previous!T$149, FALSE), VLOOKUP('Staging Table'!$A116, LS_previous!$B$4:$AY$138,LS_previous!AR$149, FALSE))/2)</f>
        <v>-2670.9281987767999</v>
      </c>
      <c r="AC116" s="192">
        <f t="array" ref="AC116">IF($G116=0, INDEX(LS_previous!$D$4:$AY$138, MATCH('Staging Table'!$A116, LS_previous!$B$4:$B$138, 0), MATCH(AC$4&amp;AC$5, LS_previous!$D$2:$AY$2&amp;LS_previous!$D$3:$AY$3, 0)),SUM(VLOOKUP($A116, LS_previous!$B$4:$AY$138, LS_previous!U$149, FALSE), VLOOKUP('Staging Table'!$A116, LS_previous!$B$4:$AY$138,LS_previous!AS$149, FALSE))/2)</f>
        <v>-1126.3590435791998</v>
      </c>
      <c r="AD116" s="192">
        <f t="array" ref="AD116">IF($G116=0, INDEX(LS_previous!$D$4:$AY$138, MATCH('Staging Table'!$A116, LS_previous!$B$4:$B$138, 0), MATCH(AD$4&amp;AD$5, LS_previous!$D$2:$AY$2&amp;LS_previous!$D$3:$AY$3, 0)),SUM(VLOOKUP($A116, LS_previous!$B$4:$AY$138, LS_previous!V$149, FALSE), VLOOKUP('Staging Table'!$A116, LS_previous!$B$4:$AY$138,LS_previous!AT$149, FALSE))/2)</f>
        <v>-1394.3023497767999</v>
      </c>
      <c r="AE116" s="192">
        <f t="array" ref="AE116">IF($G116=0, INDEX(LS_previous!$D$4:$AY$138, MATCH('Staging Table'!$A116, LS_previous!$B$4:$B$138, 0), MATCH(AE$4&amp;AE$5, LS_previous!$D$2:$AY$2&amp;LS_previous!$D$3:$AY$3, 0)),SUM(VLOOKUP($A116, LS_previous!$B$4:$AY$138, LS_previous!W$149, FALSE), VLOOKUP('Staging Table'!$A116, LS_previous!$B$4:$AY$138,LS_previous!AU$149, FALSE))/2)</f>
        <v>278.8416453855998</v>
      </c>
      <c r="AF116" s="192">
        <f t="array" ref="AF116">IF($G116=0, INDEX(LS_previous!$D$4:$AY$138, MATCH('Staging Table'!$A116, LS_previous!$B$4:$B$138, 0), MATCH(AF$4&amp;AF$5, LS_previous!$D$2:$AY$2&amp;LS_previous!$D$3:$AY$3, 0)),SUM(VLOOKUP($A116, LS_previous!$B$4:$AY$138, LS_previous!X$149, FALSE), VLOOKUP('Staging Table'!$A116, LS_previous!$B$4:$AY$138,LS_previous!AV$149, FALSE))/2)</f>
        <v>-1115.2129586767996</v>
      </c>
      <c r="AG116" s="192">
        <f t="array" ref="AG116">IF($G116=0, INDEX(LS_previous!$D$4:$AY$138, MATCH('Staging Table'!$A116, LS_previous!$B$4:$B$138, 0), MATCH(AG$4&amp;AG$5, LS_previous!$D$2:$AY$2&amp;LS_previous!$D$3:$AY$3, 0)),SUM(VLOOKUP($A116, LS_previous!$B$4:$AY$138, LS_previous!Y$149, FALSE), VLOOKUP('Staging Table'!$A116, LS_previous!$B$4:$AY$138,LS_previous!AW$149, FALSE))/2)</f>
        <v>130.14438938559988</v>
      </c>
      <c r="AH116" s="192">
        <f t="array" ref="AH116">IF($G116=0, INDEX(LS_previous!$D$4:$AY$138, MATCH('Staging Table'!$A116, LS_previous!$B$4:$B$138, 0), MATCH(AH$4&amp;AH$5, LS_previous!$D$2:$AY$2&amp;LS_previous!$D$3:$AY$3, 0)),SUM(VLOOKUP($A116, LS_previous!$B$4:$AY$138, LS_previous!Z$149, FALSE), VLOOKUP('Staging Table'!$A116, LS_previous!$B$4:$AY$138,LS_previous!AX$149, FALSE))/2)</f>
        <v>-601.50898432000031</v>
      </c>
      <c r="AI116" s="192">
        <f t="array" ref="AI116">IF($G116=0, INDEX(LS_previous!$D$4:$AY$138, MATCH('Staging Table'!$A116, LS_previous!$B$4:$B$138, 0), MATCH(AI$4&amp;AI$5, LS_previous!$D$2:$AY$2&amp;LS_previous!$D$3:$AY$3, 0)),SUM(VLOOKUP($A116, LS_previous!$B$4:$AY$138, LS_previous!AA$149, FALSE), VLOOKUP('Staging Table'!$A116, LS_previous!$B$4:$AY$138,LS_previous!AY$149, FALSE))/2)</f>
        <v>67.434044664000339</v>
      </c>
      <c r="AJ116" s="314">
        <f t="array" ref="AJ116">INDEX(Demand_previous!$D$4:$AY$138, MATCH('Staging Table'!$A116, Demand_previous!$B$4:$B$138, 0), MATCH(AJ$4&amp;AJ$5,Demand_previous!$D$2:$AY$2&amp;Demand_previous!$D$3:$AY$3, 0))/1000</f>
        <v>0</v>
      </c>
      <c r="AK116" s="314">
        <f t="array" ref="AK116">INDEX(Demand_previous!$D$4:$AY$138, MATCH('Staging Table'!$A116, Demand_previous!$B$4:$B$138, 0), MATCH(AK$4&amp;AK$5,Demand_previous!$D$2:$AY$2&amp;Demand_previous!$D$3:$AY$3, 0))/1000</f>
        <v>0</v>
      </c>
      <c r="AL116" s="314">
        <f t="array" ref="AL116">INDEX(Demand_previous!$D$4:$AY$138, MATCH('Staging Table'!$A116, Demand_previous!$B$4:$B$138, 0), MATCH(AL$4&amp;AL$5,Demand_previous!$D$2:$AY$2&amp;Demand_previous!$D$3:$AY$3, 0))/1000</f>
        <v>0</v>
      </c>
      <c r="AM116" s="314">
        <f t="array" ref="AM116">INDEX(Demand_previous!$D$4:$AY$138, MATCH('Staging Table'!$A116, Demand_previous!$B$4:$B$138, 0), MATCH(AM$4&amp;AM$5,Demand_previous!$D$2:$AY$2&amp;Demand_previous!$D$3:$AY$3, 0))/1000</f>
        <v>0.7400961538461539</v>
      </c>
      <c r="AN116" s="314">
        <f t="array" ref="AN116">INDEX(Demand_previous!$D$4:$AY$138, MATCH('Staging Table'!$A116, Demand_previous!$B$4:$B$138, 0), MATCH(AN$4&amp;AN$5,Demand_previous!$D$2:$AY$2&amp;Demand_previous!$D$3:$AY$3, 0))/1000</f>
        <v>0.72260249999999893</v>
      </c>
      <c r="AO116" s="314">
        <f t="array" ref="AO116">INDEX(Demand_previous!$D$4:$AY$138, MATCH('Staging Table'!$A116, Demand_previous!$B$4:$B$138, 0), MATCH(AO$4&amp;AO$5,Demand_previous!$D$2:$AY$2&amp;Demand_previous!$D$3:$AY$3, 0))/1000</f>
        <v>0</v>
      </c>
      <c r="AP116" s="314">
        <f t="array" ref="AP116">INDEX(Demand_previous!$D$4:$AY$138, MATCH('Staging Table'!$A116, Demand_previous!$B$4:$B$138, 0), MATCH(AP$4&amp;AP$5,Demand_previous!$D$2:$AY$2&amp;Demand_previous!$D$3:$AY$3, 0))/1000</f>
        <v>0.59489182692307629</v>
      </c>
      <c r="AQ116" s="314">
        <f t="array" ref="AQ116">INDEX(Demand_previous!$D$4:$AY$138, MATCH('Staging Table'!$A116, Demand_previous!$B$4:$B$138, 0), MATCH(AQ$4&amp;AQ$5,Demand_previous!$D$2:$AY$2&amp;Demand_previous!$D$3:$AY$3, 0))/1000</f>
        <v>0.13325249999999977</v>
      </c>
      <c r="AR116" s="314">
        <f t="array" ref="AR116">INDEX(Demand_previous!$D$4:$AY$138, MATCH('Staging Table'!$A116, Demand_previous!$B$4:$B$138, 0), MATCH(AR$4&amp;AR$5,Demand_previous!$D$2:$AY$2&amp;Demand_previous!$D$3:$AY$3, 0))/1000</f>
        <v>1.6690649038461556</v>
      </c>
      <c r="AS116" s="314">
        <f t="array" ref="AS116">INDEX(Demand_previous!$D$4:$AY$138, MATCH('Staging Table'!$A116, Demand_previous!$B$4:$B$138, 0), MATCH(AS$4&amp;AS$5,Demand_previous!$D$2:$AY$2&amp;Demand_previous!$D$3:$AY$3, 0))/1000</f>
        <v>1.4520504807692307</v>
      </c>
      <c r="AT116" s="314">
        <f t="array" ref="AT116">INDEX(Demand_previous!$D$4:$AY$138, MATCH('Staging Table'!$A116, Demand_previous!$B$4:$B$138, 0), MATCH(AT$4&amp;AT$5,Demand_previous!$D$2:$AY$2&amp;Demand_previous!$D$3:$AY$3, 0))/1000</f>
        <v>1.256822115384616</v>
      </c>
      <c r="AU116" s="314">
        <f t="array" ref="AU116">INDEX(Demand_previous!$D$4:$AY$138, MATCH('Staging Table'!$A116, Demand_previous!$B$4:$B$138, 0), MATCH(AU$4&amp;AU$5,Demand_previous!$D$2:$AY$2&amp;Demand_previous!$D$3:$AY$3, 0))/1000</f>
        <v>0.21510500000000121</v>
      </c>
      <c r="AV116" s="192">
        <f>$F116*(VLOOKUP(AV$4, Rates_previous!$G$6:$Q$29, 10, FALSE)+VLOOKUP(AV$4, Rates_previous!$G$6:$Q$29, 11, FALSE))</f>
        <v>7213.1729235911989</v>
      </c>
      <c r="AW116" s="192">
        <f>$F116*(VLOOKUP(AW$4, Rates_previous!$G$6:$Q$29, 10, FALSE)+VLOOKUP(AW$4, Rates_previous!$G$6:$Q$29, 11, FALSE))</f>
        <v>9162.9798059657987</v>
      </c>
      <c r="AX116" s="192">
        <f>$F116*(VLOOKUP(AX$4, Rates_previous!$G$6:$Q$29, 10, FALSE)+VLOOKUP(AX$4, Rates_previous!$G$6:$Q$29, 11, FALSE))</f>
        <v>9052.3244261912005</v>
      </c>
      <c r="AY116" s="192">
        <f>$F116*(VLOOKUP(AY$4, Rates_previous!$G$6:$Q$29, 10, FALSE)+VLOOKUP(AY$4, Rates_previous!$G$6:$Q$29, 11, FALSE))</f>
        <v>7545.6637605912001</v>
      </c>
      <c r="AZ116" s="192">
        <f>$F116*(VLOOKUP(AZ$4, Rates_previous!$G$6:$Q$29, 10, FALSE)+VLOOKUP(AZ$4, Rates_previous!$G$6:$Q$29, 11, FALSE))</f>
        <v>6835.5885649599995</v>
      </c>
      <c r="BA116" s="192">
        <f>$F116*(VLOOKUP(BA$4, Rates_previous!$G$6:$Q$29, 10, FALSE)+VLOOKUP(BA$4, Rates_previous!$G$6:$Q$29, 11, FALSE))</f>
        <v>7603.3460287813996</v>
      </c>
      <c r="BB116" s="192">
        <f>$F116*(VLOOKUP(BB$4, Rates_previous!$G$6:$Q$29, 10, FALSE)+VLOOKUP(BB$4, Rates_previous!$G$6:$Q$29, 11, FALSE))</f>
        <v>6190.6525414559992</v>
      </c>
      <c r="BC116" s="192">
        <f>$F116*(VLOOKUP(BC$4, Rates_previous!$G$6:$Q$29, 10, FALSE)+VLOOKUP(BC$4, Rates_previous!$G$6:$Q$29, 11, FALSE))</f>
        <v>8349.0180806911994</v>
      </c>
      <c r="BD116" s="192">
        <f>$F116*(VLOOKUP(BD$4, Rates_previous!$G$6:$Q$29, 10, FALSE)+VLOOKUP(BD$4, Rates_previous!$G$6:$Q$29, 11, FALSE))</f>
        <v>10652.779242356</v>
      </c>
      <c r="BE116" s="192">
        <f>$F116*(VLOOKUP(BE$4, Rates_previous!$G$6:$Q$29, 10, FALSE)+VLOOKUP(BE$4, Rates_previous!$G$6:$Q$29, 11, FALSE))</f>
        <v>8352.116704391201</v>
      </c>
      <c r="BF116" s="192">
        <f>$F116*(VLOOKUP(BF$4, Rates_previous!$G$6:$Q$29, 10, FALSE)+VLOOKUP(BF$4, Rates_previous!$G$6:$Q$29, 11, FALSE))</f>
        <v>8133.2985692912007</v>
      </c>
      <c r="BG116" s="192">
        <f>$F116*(VLOOKUP(BG$4, Rates_previous!$G$6:$Q$29, 10, FALSE)+VLOOKUP(BG$4, Rates_previous!$G$6:$Q$29, 11, FALSE))</f>
        <v>7301.9719396560004</v>
      </c>
      <c r="BH116" s="314">
        <f>IF($D116=0,IF(C116=0, MAX(BJ116 - (VLOOKUP($A116,TOCA_previous!$A$2:$AI$137,MATCH("RHWM 2020",TOCA_previous!$A$2:$AI$2,0),FALSE)*$F$2*TOCA_previous!C113),0),0), 0)</f>
        <v>2117.197618055201</v>
      </c>
      <c r="BI116" s="204">
        <f>MIN(VLOOKUP($A116,TOCA_previous!$A$2:$AI$137,MATCH("TRL - NLSL - Existing Resource "&amp;$F$1,TOCA_previous!$A$2:$AI$2,0),FALSE)*$F$2,(VLOOKUP($A116,TOCA_previous!$A$2:$AI$137,MATCH("RHWM 2020",TOCA_previous!$A$2:$AI$2,0),FALSE)*$F$2))</f>
        <v>96395.615999999995</v>
      </c>
      <c r="BJ116" s="418">
        <f>SUM(L116:AI116)+(F116*RT1SC!$C$3*$F$2)</f>
        <v>98512.813618055196</v>
      </c>
      <c r="BK116" s="417">
        <f>VLOOKUP($A116,TOCA_previous!$A$2:$AI$137,MATCH("Above RHWM Not Served with LS "&amp;$F$1,TOCA_previous!$A$2:$AI$2,0),FALSE)*$F$2</f>
        <v>0</v>
      </c>
      <c r="BL116" s="418">
        <f t="shared" si="27"/>
        <v>2117.197618055201</v>
      </c>
      <c r="BM116" s="417">
        <f>(VLOOKUP($A116,TOCA_previous!$A$2:$AI$137,MATCH("RHWM 2020",TOCA_previous!$A$2:$AI$2,0),FALSE)*$F$2) - $BI116</f>
        <v>0</v>
      </c>
      <c r="BN116" s="418">
        <f t="shared" si="28"/>
        <v>0</v>
      </c>
      <c r="BO116" s="417">
        <f t="shared" si="29"/>
        <v>0</v>
      </c>
      <c r="BP116" s="418">
        <f t="shared" si="30"/>
        <v>0</v>
      </c>
      <c r="BQ116" s="417">
        <f t="shared" si="37"/>
        <v>0</v>
      </c>
      <c r="BR116" s="120">
        <f>VLOOKUP($A116,TOCA_current!$A$2:$AI$137,MATCH(BR$4,TOCA_current!$A$2:$AI$2,0),FALSE)</f>
        <v>1.5623E-3</v>
      </c>
      <c r="BS116" s="120">
        <f>VLOOKUP($A116,TOCA_current!$A$2:$AI$137,MATCH(BS$4,TOCA_current!$A$2:$AI$2,0),FALSE)</f>
        <v>1.5623E-3</v>
      </c>
      <c r="BT116" s="201">
        <f t="shared" si="31"/>
        <v>0</v>
      </c>
      <c r="BU116" s="120">
        <f>VLOOKUP($A116,TOCA_current!A112:BG247,MATCH(BU$4,TOCA_current!$A$2:$BG$2,0),FALSE)</f>
        <v>0</v>
      </c>
      <c r="BV116" s="120">
        <f t="shared" si="38"/>
        <v>0</v>
      </c>
      <c r="BW116" s="120">
        <f t="shared" si="39"/>
        <v>0</v>
      </c>
      <c r="BX116" s="191">
        <f>VLOOKUP($A116,IRD!$A$4:$G$139, 7, FALSE)</f>
        <v>0</v>
      </c>
      <c r="BY116" s="192">
        <f t="array" ref="BY116">IF($BT116=0, INDEX(LS_current!$D$4:$AY$138, MATCH('Staging Table'!$A116, LS_current!$B$4:$B$138, 0), MATCH(BY$4&amp;BY$5, LS_current!$D$2:$AY$2&amp;LS_current!$D$3:$AY$3, 0)),SUM(VLOOKUP($A116, LS_current!$B$4:$AY$138, LS_current!D$148, FALSE), VLOOKUP($A116, LS_current!$B$4:$AY$138,LS_current!AB$148, FALSE))/2)</f>
        <v>187.21836971618814</v>
      </c>
      <c r="BZ116" s="192">
        <f t="array" ref="BZ116">IF($BT116=0, INDEX(LS_current!$D$4:$AY$138, MATCH('Staging Table'!$A116, LS_current!$B$4:$B$138, 0), MATCH(BZ$4&amp;BZ$5, LS_current!$D$2:$AY$2&amp;LS_current!$D$3:$AY$3, 0)),SUM(VLOOKUP($A116, LS_current!$B$4:$AY$138, LS_current!E$148, FALSE), VLOOKUP($A116, LS_current!$B$4:$AY$138,LS_current!AC$148, FALSE))/2)</f>
        <v>267.52650772577681</v>
      </c>
      <c r="CA116" s="192">
        <f t="array" ref="CA116">IF($BT116=0, INDEX(LS_current!$D$4:$AY$138, MATCH('Staging Table'!$A116, LS_current!$B$4:$B$138, 0), MATCH(CA$4&amp;CA$5, LS_current!$D$2:$AY$2&amp;LS_current!$D$3:$AY$3, 0)),SUM(VLOOKUP($A116, LS_current!$B$4:$AY$138, LS_current!F$148, FALSE), VLOOKUP($A116, LS_current!$B$4:$AY$138,LS_current!AD$148, FALSE))/2)</f>
        <v>-9.4247399588575718</v>
      </c>
      <c r="CB116" s="192">
        <f t="array" ref="CB116">IF($BT116=0, INDEX(LS_current!$D$4:$AY$138, MATCH('Staging Table'!$A116, LS_current!$B$4:$B$138, 0), MATCH(CB$4&amp;CB$5, LS_current!$D$2:$AY$2&amp;LS_current!$D$3:$AY$3, 0)),SUM(VLOOKUP($A116, LS_current!$B$4:$AY$138, LS_current!G$148, FALSE), VLOOKUP($A116, LS_current!$B$4:$AY$138,LS_current!AE$148, FALSE))/2)</f>
        <v>213.12084233857195</v>
      </c>
      <c r="CC116" s="192">
        <f t="array" ref="CC116">IF($BT116=0, INDEX(LS_current!$D$4:$AY$138, MATCH('Staging Table'!$A116, LS_current!$B$4:$B$138, 0), MATCH(CC$4&amp;CC$5, LS_current!$D$2:$AY$2&amp;LS_current!$D$3:$AY$3, 0)),SUM(VLOOKUP($A116, LS_current!$B$4:$AY$138, LS_current!H$148, FALSE), VLOOKUP($A116, LS_current!$B$4:$AY$138,LS_current!AF$148, FALSE))/2)</f>
        <v>1375.1206250494797</v>
      </c>
      <c r="CD116" s="192">
        <f t="array" ref="CD116">IF($BT116=0, INDEX(LS_current!$D$4:$AY$138, MATCH('Staging Table'!$A116, LS_current!$B$4:$B$138, 0), MATCH(CD$4&amp;CD$5, LS_current!$D$2:$AY$2&amp;LS_current!$D$3:$AY$3, 0)),SUM(VLOOKUP($A116, LS_current!$B$4:$AY$138, LS_current!I$148, FALSE), VLOOKUP($A116, LS_current!$B$4:$AY$138,LS_current!AG$148, FALSE))/2)</f>
        <v>377.43406691131531</v>
      </c>
      <c r="CE116" s="192">
        <f t="array" ref="CE116">IF($BT116=0, INDEX(LS_current!$D$4:$AY$138, MATCH('Staging Table'!$A116, LS_current!$B$4:$B$138, 0), MATCH(CE$4&amp;CE$5, LS_current!$D$2:$AY$2&amp;LS_current!$D$3:$AY$3, 0)),SUM(VLOOKUP($A116, LS_current!$B$4:$AY$138, LS_current!J$148, FALSE), VLOOKUP($A116, LS_current!$B$4:$AY$138,LS_current!AH$148, FALSE))/2)</f>
        <v>2104.8849953161352</v>
      </c>
      <c r="CF116" s="192">
        <f t="array" ref="CF116">IF($BT116=0, INDEX(LS_current!$D$4:$AY$138, MATCH('Staging Table'!$A116, LS_current!$B$4:$B$138, 0), MATCH(CF$4&amp;CF$5, LS_current!$D$2:$AY$2&amp;LS_current!$D$3:$AY$3, 0)),SUM(VLOOKUP($A116, LS_current!$B$4:$AY$138, LS_current!K$148, FALSE), VLOOKUP($A116, LS_current!$B$4:$AY$138,LS_current!AI$148, FALSE))/2)</f>
        <v>1107.7273075497801</v>
      </c>
      <c r="CG116" s="192">
        <f t="array" ref="CG116">IF($BT116=0, INDEX(LS_current!$D$4:$AY$138, MATCH('Staging Table'!$A116, LS_current!$B$4:$B$138, 0), MATCH(CG$4&amp;CG$5, LS_current!$D$2:$AY$2&amp;LS_current!$D$3:$AY$3, 0)),SUM(VLOOKUP($A116, LS_current!$B$4:$AY$138, LS_current!L$148, FALSE), VLOOKUP($A116, LS_current!$B$4:$AY$138,LS_current!AJ$148, FALSE))/2)</f>
        <v>2032.3250229258961</v>
      </c>
      <c r="CH116" s="192">
        <f t="array" ref="CH116">IF($BT116=0, INDEX(LS_current!$D$4:$AY$138, MATCH('Staging Table'!$A116, LS_current!$B$4:$B$138, 0), MATCH(CH$4&amp;CH$5, LS_current!$D$2:$AY$2&amp;LS_current!$D$3:$AY$3, 0)),SUM(VLOOKUP($A116, LS_current!$B$4:$AY$138, LS_current!M$148, FALSE), VLOOKUP($A116, LS_current!$B$4:$AY$138,LS_current!AK$148, FALSE))/2)</f>
        <v>964.5986416585647</v>
      </c>
      <c r="CI116" s="192">
        <f t="array" ref="CI116">IF($BT116=0, INDEX(LS_current!$D$4:$AY$138, MATCH('Staging Table'!$A116, LS_current!$B$4:$B$138, 0), MATCH(CI$4&amp;CI$5, LS_current!$D$2:$AY$2&amp;LS_current!$D$3:$AY$3, 0)),SUM(VLOOKUP($A116, LS_current!$B$4:$AY$138, LS_current!N$148, FALSE), VLOOKUP($A116, LS_current!$B$4:$AY$138,LS_current!AL$148, FALSE))/2)</f>
        <v>1017.2815376760445</v>
      </c>
      <c r="CJ116" s="192">
        <f t="array" ref="CJ116">IF($BT116=0, INDEX(LS_current!$D$4:$AY$138, MATCH('Staging Table'!$A116, LS_current!$B$4:$B$138, 0), MATCH(CJ$4&amp;CJ$5, LS_current!$D$2:$AY$2&amp;LS_current!$D$3:$AY$3, 0)),SUM(VLOOKUP($A116, LS_current!$B$4:$AY$138, LS_current!O$148, FALSE), VLOOKUP($A116, LS_current!$B$4:$AY$138,LS_current!AM$148, FALSE))/2)</f>
        <v>565.37177973065081</v>
      </c>
      <c r="CK116" s="192">
        <f t="array" ref="CK116">IF($BT116=0, INDEX(LS_current!$D$4:$AY$138, MATCH('Staging Table'!$A116, LS_current!$B$4:$B$138, 0), MATCH(CK$4&amp;CK$5, LS_current!$D$2:$AY$2&amp;LS_current!$D$3:$AY$3, 0)),SUM(VLOOKUP($A116, LS_current!$B$4:$AY$138, LS_current!P$148, FALSE), VLOOKUP($A116, LS_current!$B$4:$AY$138,LS_current!AN$148, FALSE))/2)</f>
        <v>957.60091192728396</v>
      </c>
      <c r="CL116" s="192">
        <f t="array" ref="CL116">IF($BT116=0, INDEX(LS_current!$D$4:$AY$138, MATCH('Staging Table'!$A116, LS_current!$B$4:$B$138, 0), MATCH(CL$4&amp;CL$5, LS_current!$D$2:$AY$2&amp;LS_current!$D$3:$AY$3, 0)),SUM(VLOOKUP($A116, LS_current!$B$4:$AY$138, LS_current!Q$148, FALSE), VLOOKUP($A116, LS_current!$B$4:$AY$138,LS_current!AO$148, FALSE))/2)</f>
        <v>582.55814030696911</v>
      </c>
      <c r="CM116" s="192">
        <f t="array" ref="CM116">IF($BT116=0, INDEX(LS_current!$D$4:$AY$138, MATCH('Staging Table'!$A116, LS_current!$B$4:$B$138, 0), MATCH(CM$4&amp;CM$5, LS_current!$D$2:$AY$2&amp;LS_current!$D$3:$AY$3, 0)),SUM(VLOOKUP($A116, LS_current!$B$4:$AY$138, LS_current!R$148, FALSE), VLOOKUP($A116, LS_current!$B$4:$AY$138,LS_current!AP$148, FALSE))/2)</f>
        <v>-1399.848223892518</v>
      </c>
      <c r="CN116" s="192">
        <f t="array" ref="CN116">IF($BT116=0, INDEX(LS_current!$D$4:$AY$138, MATCH('Staging Table'!$A116, LS_current!$B$4:$B$138, 0), MATCH(CN$4&amp;CN$5, LS_current!$D$2:$AY$2&amp;LS_current!$D$3:$AY$3, 0)),SUM(VLOOKUP($A116, LS_current!$B$4:$AY$138, LS_current!S$148, FALSE), VLOOKUP($A116, LS_current!$B$4:$AY$138,LS_current!AQ$148, FALSE))/2)</f>
        <v>140.5053766867195</v>
      </c>
      <c r="CO116" s="192">
        <f t="array" ref="CO116">IF($BT116=0, INDEX(LS_current!$D$4:$AY$138, MATCH('Staging Table'!$A116, LS_current!$B$4:$B$138, 0), MATCH(CO$4&amp;CO$5, LS_current!$D$2:$AY$2&amp;LS_current!$D$3:$AY$3, 0)),SUM(VLOOKUP($A116, LS_current!$B$4:$AY$138, LS_current!T$148, FALSE), VLOOKUP($A116, LS_current!$B$4:$AY$138,LS_current!AR$148, FALSE))/2)</f>
        <v>-1932.9100898564793</v>
      </c>
      <c r="CP116" s="192">
        <f t="array" ref="CP116">IF($BT116=0, INDEX(LS_current!$D$4:$AY$138, MATCH('Staging Table'!$A116, LS_current!$B$4:$B$138, 0), MATCH(CP$4&amp;CP$5, LS_current!$D$2:$AY$2&amp;LS_current!$D$3:$AY$3, 0)),SUM(VLOOKUP($A116, LS_current!$B$4:$AY$138, LS_current!U$148, FALSE), VLOOKUP($A116, LS_current!$B$4:$AY$138,LS_current!AS$148, FALSE))/2)</f>
        <v>128.40654398128709</v>
      </c>
      <c r="CQ116" s="192">
        <f t="array" ref="CQ116">IF($BT116=0, INDEX(LS_current!$D$4:$AY$138, MATCH('Staging Table'!$A116, LS_current!$B$4:$B$138, 0), MATCH(CQ$4&amp;CQ$5, LS_current!$D$2:$AY$2&amp;LS_current!$D$3:$AY$3, 0)),SUM(VLOOKUP($A116, LS_current!$B$4:$AY$138, LS_current!V$148, FALSE), VLOOKUP($A116, LS_current!$B$4:$AY$138,LS_current!AT$148, FALSE))/2)</f>
        <v>-1121.3086041418901</v>
      </c>
      <c r="CR116" s="192">
        <f t="array" ref="CR116">IF($BT116=0, INDEX(LS_current!$D$4:$AY$138, MATCH('Staging Table'!$A116, LS_current!$B$4:$B$138, 0), MATCH(CR$4&amp;CR$5, LS_current!$D$2:$AY$2&amp;LS_current!$D$3:$AY$3, 0)),SUM(VLOOKUP($A116, LS_current!$B$4:$AY$138, LS_current!W$148, FALSE), VLOOKUP($A116, LS_current!$B$4:$AY$138,LS_current!AU$148, FALSE))/2)</f>
        <v>135.69097177671529</v>
      </c>
      <c r="CS116" s="192">
        <f t="array" ref="CS116">IF($BT116=0, INDEX(LS_current!$D$4:$AY$138, MATCH('Staging Table'!$A116, LS_current!$B$4:$B$138, 0), MATCH(CS$4&amp;CS$5, LS_current!$D$2:$AY$2&amp;LS_current!$D$3:$AY$3, 0)),SUM(VLOOKUP($A116, LS_current!$B$4:$AY$138, LS_current!X$148, FALSE), VLOOKUP($A116, LS_current!$B$4:$AY$138,LS_current!AV$148, FALSE))/2)</f>
        <v>-892.93637581691746</v>
      </c>
      <c r="CT116" s="192">
        <f t="array" ref="CT116">IF($BT116=0, INDEX(LS_current!$D$4:$AY$138, MATCH('Staging Table'!$A116, LS_current!$B$4:$B$138, 0), MATCH(CT$4&amp;CT$5, LS_current!$D$2:$AY$2&amp;LS_current!$D$3:$AY$3, 0)),SUM(VLOOKUP($A116, LS_current!$B$4:$AY$138, LS_current!Y$148, FALSE), VLOOKUP($A116, LS_current!$B$4:$AY$138,LS_current!AW$148, FALSE))/2)</f>
        <v>94.973225543341414</v>
      </c>
      <c r="CU116" s="192">
        <f t="array" ref="CU116">IF($BT116=0, INDEX(LS_current!$D$4:$AY$138, MATCH('Staging Table'!$A116, LS_current!$B$4:$B$138, 0), MATCH(CU$4&amp;CU$5, LS_current!$D$2:$AY$2&amp;LS_current!$D$3:$AY$3, 0)),SUM(VLOOKUP($A116, LS_current!$B$4:$AY$138, LS_current!Z$148, FALSE), VLOOKUP($A116, LS_current!$B$4:$AY$138,LS_current!AX$148, FALSE))/2)</f>
        <v>-611.64986578327535</v>
      </c>
      <c r="CV116" s="192">
        <f t="array" ref="CV116">IF($BT116=0, INDEX(LS_current!$D$4:$AY$138, MATCH('Staging Table'!$A116, LS_current!$B$4:$B$138, 0), MATCH(CV$4&amp;CV$5, LS_current!$D$2:$AY$2&amp;LS_current!$D$3:$AY$3, 0)),SUM(VLOOKUP($A116, LS_current!$B$4:$AY$138, LS_current!AA$148, FALSE), VLOOKUP($A116, LS_current!$B$4:$AY$138,LS_current!AY$148, FALSE))/2)</f>
        <v>36.436037122398375</v>
      </c>
      <c r="CW116" s="194">
        <f t="array" ref="CW116">INDEX(Demand_current!$D$4:$AY$138, MATCH($A116, Demand_current!$B$4:$B$138, 0), MATCH(CW$4&amp;CW$5,Demand_current!$D$2:$AY$2&amp;Demand_current!$D$3:$AY$3, 0))/1000</f>
        <v>0</v>
      </c>
      <c r="CX116" s="194">
        <f t="array" ref="CX116">INDEX(Demand_current!$D$4:$AY$138, MATCH($A116, Demand_current!$B$4:$B$138, 0), MATCH(CX$4&amp;CX$5,Demand_current!$D$2:$AY$2&amp;Demand_current!$D$3:$AY$3, 0))/1000</f>
        <v>0</v>
      </c>
      <c r="CY116" s="194">
        <f t="array" ref="CY116">INDEX(Demand_current!$D$4:$AY$138, MATCH($A116, Demand_current!$B$4:$B$138, 0), MATCH(CY$4&amp;CY$5,Demand_current!$D$2:$AY$2&amp;Demand_current!$D$3:$AY$3, 0))/1000</f>
        <v>0</v>
      </c>
      <c r="CZ116" s="194">
        <f t="array" ref="CZ116">INDEX(Demand_current!$D$4:$AY$138, MATCH($A116, Demand_current!$B$4:$B$138, 0), MATCH(CZ$4&amp;CZ$5,Demand_current!$D$2:$AY$2&amp;Demand_current!$D$3:$AY$3, 0))/1000</f>
        <v>0.13938000000000006</v>
      </c>
      <c r="DA116" s="194">
        <f t="array" ref="DA116">INDEX(Demand_current!$D$4:$AY$138, MATCH($A116, Demand_current!$B$4:$B$138, 0), MATCH(DA$4&amp;DA$5,Demand_current!$D$2:$AY$2&amp;Demand_current!$D$3:$AY$3, 0))/1000</f>
        <v>0.12900260416666498</v>
      </c>
      <c r="DB116" s="194">
        <f t="array" ref="DB116">INDEX(Demand_current!$D$4:$AY$138, MATCH($A116, Demand_current!$B$4:$B$138, 0), MATCH(DB$4&amp;DB$5,Demand_current!$D$2:$AY$2&amp;Demand_current!$D$3:$AY$3, 0))/1000</f>
        <v>0</v>
      </c>
      <c r="DC116" s="194">
        <f t="array" ref="DC116">INDEX(Demand_current!$D$4:$AY$138, MATCH($A116, Demand_current!$B$4:$B$138, 0), MATCH(DC$4&amp;DC$5,Demand_current!$D$2:$AY$2&amp;Demand_current!$D$3:$AY$3, 0))/1000</f>
        <v>0.59489182692307629</v>
      </c>
      <c r="DD116" s="194">
        <f t="array" ref="DD116">INDEX(Demand_current!$D$4:$AY$138, MATCH($A116, Demand_current!$B$4:$B$138, 0), MATCH(DD$4&amp;DD$5,Demand_current!$D$2:$AY$2&amp;Demand_current!$D$3:$AY$3, 0))/1000</f>
        <v>0.13325249999999977</v>
      </c>
      <c r="DE116" s="194">
        <f t="array" ref="DE116">INDEX(Demand_current!$D$4:$AY$138, MATCH($A116, Demand_current!$B$4:$B$138, 0), MATCH(DE$4&amp;DE$5,Demand_current!$D$2:$AY$2&amp;Demand_current!$D$3:$AY$3, 0))/1000</f>
        <v>1.6690649038461556</v>
      </c>
      <c r="DF116" s="194">
        <f t="array" ref="DF116">INDEX(Demand_current!$D$4:$AY$138, MATCH($A116, Demand_current!$B$4:$B$138, 0), MATCH(DF$4&amp;DF$5,Demand_current!$D$2:$AY$2&amp;Demand_current!$D$3:$AY$3, 0))/1000</f>
        <v>1.0332925000000002</v>
      </c>
      <c r="DG116" s="194">
        <f t="array" ref="DG116">INDEX(Demand_current!$D$4:$AY$138, MATCH($A116, Demand_current!$B$4:$B$138, 0), MATCH(DG$4&amp;DG$5,Demand_current!$D$2:$AY$2&amp;Demand_current!$D$3:$AY$3, 0))/1000</f>
        <v>1.6537546296296302</v>
      </c>
      <c r="DH116" s="194">
        <f t="array" ref="DH116">INDEX(Demand_current!$D$4:$AY$138, MATCH($A116, Demand_current!$B$4:$B$138, 0), MATCH(DH$4&amp;DH$5,Demand_current!$D$2:$AY$2&amp;Demand_current!$D$3:$AY$3, 0))/1000</f>
        <v>0.21510500000000121</v>
      </c>
      <c r="DI116" s="192">
        <f>$BS116*(VLOOKUP(DI$4, Rates_current!$G$6:$Q$29, 10, FALSE)+VLOOKUP(DI$4, Rates_current!$G$6:$Q$29, 11, FALSE))</f>
        <v>7114.5961225580349</v>
      </c>
      <c r="DJ116" s="192">
        <f>$BS116*(VLOOKUP(DJ$4, Rates_current!$G$6:$Q$29, 10, FALSE)+VLOOKUP(DJ$4, Rates_current!$G$6:$Q$29, 11, FALSE))</f>
        <v>9007.3368976202873</v>
      </c>
      <c r="DK116" s="192">
        <f>$BS116*(VLOOKUP(DK$4, Rates_current!$G$6:$Q$29, 10, FALSE)+VLOOKUP(DK$4, Rates_current!$G$6:$Q$29, 11, FALSE))</f>
        <v>8816.3833080392069</v>
      </c>
      <c r="DL116" s="192">
        <f>$BS116*(VLOOKUP(DL$4, Rates_current!$G$6:$Q$29, 10, FALSE)+VLOOKUP(DL$4, Rates_current!$G$6:$Q$29, 11, FALSE))</f>
        <v>7281.9576971340857</v>
      </c>
      <c r="DM116" s="192">
        <f>$BS116*(VLOOKUP(DM$4, Rates_current!$G$6:$Q$29, 10, FALSE)+VLOOKUP(DM$4, Rates_current!$G$6:$Q$29, 11, FALSE))</f>
        <v>6311.4323354155395</v>
      </c>
      <c r="DN116" s="192">
        <f>$BS116*(VLOOKUP(DN$4, Rates_current!$G$6:$Q$29, 10, FALSE)+VLOOKUP(DN$4, Rates_current!$G$6:$Q$29, 11, FALSE))</f>
        <v>7534.5756825933058</v>
      </c>
      <c r="DO116" s="192">
        <f>$BS116*(VLOOKUP(DO$4, Rates_current!$G$6:$Q$29, 10, FALSE)+VLOOKUP(DO$4, Rates_current!$G$6:$Q$29, 11, FALSE))</f>
        <v>5849.5949477657468</v>
      </c>
      <c r="DP116" s="192">
        <f>$BS116*(VLOOKUP(DP$4, Rates_current!$G$6:$Q$29, 10, FALSE)+VLOOKUP(DP$4, Rates_current!$G$6:$Q$29, 11, FALSE))</f>
        <v>8104.6568472057979</v>
      </c>
      <c r="DQ116" s="192">
        <f>$BS116*(VLOOKUP(DQ$4, Rates_current!$G$6:$Q$29, 10, FALSE)+VLOOKUP(DQ$4, Rates_current!$G$6:$Q$29, 11, FALSE))</f>
        <v>8659.9955458751901</v>
      </c>
      <c r="DR116" s="192">
        <f>$BS116*(VLOOKUP(DR$4, Rates_current!$G$6:$Q$29, 10, FALSE)+VLOOKUP(DR$4, Rates_current!$G$6:$Q$29, 11, FALSE))</f>
        <v>8222.2736323651752</v>
      </c>
      <c r="DS116" s="192">
        <f>$BS116*(VLOOKUP(DS$4, Rates_current!$G$6:$Q$29, 10, FALSE)+VLOOKUP(DS$4, Rates_current!$G$6:$Q$29, 11, FALSE))</f>
        <v>7946.1931502735752</v>
      </c>
      <c r="DT116" s="192">
        <f>$BS116*(VLOOKUP(DT$4, Rates_current!$G$6:$Q$29, 10, FALSE)+VLOOKUP(DT$4, Rates_current!$G$6:$Q$29, 11, FALSE))</f>
        <v>7343.1108286608769</v>
      </c>
      <c r="DU116" s="418">
        <f>IF(D116=0,IF(C116=0,MAX(0,DW116 - (VLOOKUP($A116,TOCA_current!$A$2:$AI$137,MATCH("RHWM 2022",TOCA_current!$A$2:$AI$2,0),FALSE)*$BS$2)), 0),0)</f>
        <v>6322.5747160251922</v>
      </c>
      <c r="DV116" s="419">
        <f>MIN(VLOOKUP($A116,TOCA_current!$A$2:$AI$137,MATCH("TRL - NLSL - Existing Resource "&amp;$BS$1,TOCA_current!$A$2:$AI$2,0),FALSE)*$BS$2, VLOOKUP($A116,TOCA_current!$A$2:$AI$137,MATCH("RHWM 2022",TOCA_current!$A$2:$AI$2,0),FALSE)*$BS$2)</f>
        <v>92190.239999999991</v>
      </c>
      <c r="DW116" s="419">
        <f>SUM(BY116:CV116)+(BS116*RT1SC!$C$4*$BS$2)</f>
        <v>98512.814716025183</v>
      </c>
      <c r="DX116" s="419">
        <f>VLOOKUP($A116,TOCA_current!$A$2:$AI$137,MATCH("Above RHWM Not Served with LS "&amp;$BS$1,TOCA_current!$A$2:$AI$2,0),FALSE)*$BS$2</f>
        <v>0</v>
      </c>
      <c r="DY116" s="419">
        <f t="shared" si="32"/>
        <v>6322.5747160251922</v>
      </c>
      <c r="DZ116" s="419">
        <f>(VLOOKUP($A116,TOCA_current!$A$2:$AI$137,MATCH("RHWM 2022",TOCA_current!$A$2:$AI$2,0),FALSE)*$BS$2) - $DV116</f>
        <v>0</v>
      </c>
      <c r="EA116" s="419">
        <f t="shared" si="33"/>
        <v>0</v>
      </c>
      <c r="EB116" s="419">
        <f t="shared" si="34"/>
        <v>0</v>
      </c>
      <c r="EC116" s="419">
        <f t="shared" si="35"/>
        <v>0</v>
      </c>
      <c r="ED116" s="419">
        <f t="shared" si="36"/>
        <v>0</v>
      </c>
    </row>
    <row r="117" spans="1:134">
      <c r="A117" s="135">
        <v>10376</v>
      </c>
      <c r="B117" s="136" t="s">
        <v>118</v>
      </c>
      <c r="C117" s="244">
        <f>VLOOKUP(A117, TOCA_current!$A$3:$D$137, 4, FALSE)</f>
        <v>0</v>
      </c>
      <c r="D117" s="203">
        <v>0</v>
      </c>
      <c r="E117" s="119">
        <f>VLOOKUP($A117,TOCA_previous!$A$2:$AI$137,MATCH(E$4,TOCA_previous!$A$2:$AI$2,0),FALSE)</f>
        <v>7.7594999999999999E-3</v>
      </c>
      <c r="F117" s="120">
        <f>VLOOKUP($A117,TOCA_previous!$A$2:$AI$137,MATCH(F$4,TOCA_previous!$A$2:$AI$2,0),FALSE)</f>
        <v>7.7594999999999999E-3</v>
      </c>
      <c r="G117" s="120">
        <f t="shared" si="24"/>
        <v>0</v>
      </c>
      <c r="H117" s="120">
        <f>VLOOKUP($A117,TOCA_previous!$A$2:$AI$137,MATCH(H$4,TOCA_previous!$A$2:$AI$2,0),FALSE)</f>
        <v>0</v>
      </c>
      <c r="I117" s="120">
        <f t="shared" si="25"/>
        <v>0</v>
      </c>
      <c r="J117" s="120">
        <f t="shared" si="26"/>
        <v>0</v>
      </c>
      <c r="K117" s="191">
        <f>VLOOKUP(A117, IRD!$A$5:$C$139, 3, FALSE)</f>
        <v>0</v>
      </c>
      <c r="L117" s="192">
        <f t="array" ref="L117">IF($G117=0, INDEX(LS_previous!$D$4:$AY$138, MATCH('Staging Table'!$A117, LS_previous!$B$4:$B$138, 0), MATCH(L$4&amp;L$5, LS_previous!$D$2:$AY$2&amp;LS_previous!$D$3:$AY$3, 0)),SUM(VLOOKUP($A117, LS_previous!$B$4:$AY$138, LS_previous!D$149, FALSE), VLOOKUP('Staging Table'!$A117, LS_previous!$B$4:$AY$138,LS_previous!AB$149, FALSE))/2)</f>
        <v>-891.52287818599871</v>
      </c>
      <c r="M117" s="192">
        <f t="array" ref="M117">IF($G117=0, INDEX(LS_previous!$D$4:$AY$138, MATCH('Staging Table'!$A117, LS_previous!$B$4:$B$138, 0), MATCH(M$4&amp;M$5, LS_previous!$D$2:$AY$2&amp;LS_previous!$D$3:$AY$3, 0)),SUM(VLOOKUP($A117, LS_previous!$B$4:$AY$138, LS_previous!E$149, FALSE), VLOOKUP('Staging Table'!$A117, LS_previous!$B$4:$AY$138,LS_previous!AC$149, FALSE))/2)</f>
        <v>1925.0450958239999</v>
      </c>
      <c r="N117" s="192">
        <f t="array" ref="N117">IF($G117=0, INDEX(LS_previous!$D$4:$AY$138, MATCH('Staging Table'!$A117, LS_previous!$B$4:$B$138, 0), MATCH(N$4&amp;N$5, LS_previous!$D$2:$AY$2&amp;LS_previous!$D$3:$AY$3, 0)),SUM(VLOOKUP($A117, LS_previous!$B$4:$AY$138, LS_previous!F$149, FALSE), VLOOKUP('Staging Table'!$A117, LS_previous!$B$4:$AY$138,LS_previous!AD$149, FALSE))/2)</f>
        <v>-4942.7693335160002</v>
      </c>
      <c r="O117" s="192">
        <f t="array" ref="O117">IF($G117=0, INDEX(LS_previous!$D$4:$AY$138, MATCH('Staging Table'!$A117, LS_previous!$B$4:$B$138, 0), MATCH(O$4&amp;O$5, LS_previous!$D$2:$AY$2&amp;LS_previous!$D$3:$AY$3, 0)),SUM(VLOOKUP($A117, LS_previous!$B$4:$AY$138, LS_previous!G$149, FALSE), VLOOKUP('Staging Table'!$A117, LS_previous!$B$4:$AY$138,LS_previous!AE$149, FALSE))/2)</f>
        <v>-1302.8248845045</v>
      </c>
      <c r="P117" s="192">
        <f t="array" ref="P117">IF($G117=0, INDEX(LS_previous!$D$4:$AY$138, MATCH('Staging Table'!$A117, LS_previous!$B$4:$B$138, 0), MATCH(P$4&amp;P$5, LS_previous!$D$2:$AY$2&amp;LS_previous!$D$3:$AY$3, 0)),SUM(VLOOKUP($A117, LS_previous!$B$4:$AY$138, LS_previous!H$149, FALSE), VLOOKUP('Staging Table'!$A117, LS_previous!$B$4:$AY$138,LS_previous!AF$149, FALSE))/2)</f>
        <v>4158.4554536159994</v>
      </c>
      <c r="Q117" s="192">
        <f t="array" ref="Q117">IF($G117=0, INDEX(LS_previous!$D$4:$AY$138, MATCH('Staging Table'!$A117, LS_previous!$B$4:$B$138, 0), MATCH(Q$4&amp;Q$5, LS_previous!$D$2:$AY$2&amp;LS_previous!$D$3:$AY$3, 0)),SUM(VLOOKUP($A117, LS_previous!$B$4:$AY$138, LS_previous!I$149, FALSE), VLOOKUP('Staging Table'!$A117, LS_previous!$B$4:$AY$138,LS_previous!AG$149, FALSE))/2)</f>
        <v>4413.5943255219972</v>
      </c>
      <c r="R117" s="192">
        <f t="array" ref="R117">IF($G117=0, INDEX(LS_previous!$D$4:$AY$138, MATCH('Staging Table'!$A117, LS_previous!$B$4:$B$138, 0), MATCH(R$4&amp;R$5, LS_previous!$D$2:$AY$2&amp;LS_previous!$D$3:$AY$3, 0)),SUM(VLOOKUP($A117, LS_previous!$B$4:$AY$138, LS_previous!J$149, FALSE), VLOOKUP('Staging Table'!$A117, LS_previous!$B$4:$AY$138,LS_previous!AH$149, FALSE))/2)</f>
        <v>5850.6737756159964</v>
      </c>
      <c r="S117" s="192">
        <f t="array" ref="S117">IF($G117=0, INDEX(LS_previous!$D$4:$AY$138, MATCH('Staging Table'!$A117, LS_previous!$B$4:$B$138, 0), MATCH(S$4&amp;S$5, LS_previous!$D$2:$AY$2&amp;LS_previous!$D$3:$AY$3, 0)),SUM(VLOOKUP($A117, LS_previous!$B$4:$AY$138, LS_previous!K$149, FALSE), VLOOKUP('Staging Table'!$A117, LS_previous!$B$4:$AY$138,LS_previous!AI$149, FALSE))/2)</f>
        <v>8073.2082595220018</v>
      </c>
      <c r="T117" s="192">
        <f t="array" ref="T117">IF($G117=0, INDEX(LS_previous!$D$4:$AY$138, MATCH('Staging Table'!$A117, LS_previous!$B$4:$B$138, 0), MATCH(T$4&amp;T$5, LS_previous!$D$2:$AY$2&amp;LS_previous!$D$3:$AY$3, 0)),SUM(VLOOKUP($A117, LS_previous!$B$4:$AY$138, LS_previous!L$149, FALSE), VLOOKUP('Staging Table'!$A117, LS_previous!$B$4:$AY$138,LS_previous!AJ$149, FALSE))/2)</f>
        <v>7863.7736163220034</v>
      </c>
      <c r="U117" s="192">
        <f t="array" ref="U117">IF($G117=0, INDEX(LS_previous!$D$4:$AY$138, MATCH('Staging Table'!$A117, LS_previous!$B$4:$B$138, 0), MATCH(U$4&amp;U$5, LS_previous!$D$2:$AY$2&amp;LS_previous!$D$3:$AY$3, 0)),SUM(VLOOKUP($A117, LS_previous!$B$4:$AY$138, LS_previous!M$149, FALSE), VLOOKUP('Staging Table'!$A117, LS_previous!$B$4:$AY$138,LS_previous!AK$149, FALSE))/2)</f>
        <v>6207.791824078</v>
      </c>
      <c r="V117" s="192">
        <f t="array" ref="V117">IF($G117=0, INDEX(LS_previous!$D$4:$AY$138, MATCH('Staging Table'!$A117, LS_previous!$B$4:$B$138, 0), MATCH(V$4&amp;V$5, LS_previous!$D$2:$AY$2&amp;LS_previous!$D$3:$AY$3, 0)),SUM(VLOOKUP($A117, LS_previous!$B$4:$AY$138, LS_previous!N$149, FALSE), VLOOKUP('Staging Table'!$A117, LS_previous!$B$4:$AY$138,LS_previous!AL$149, FALSE))/2)</f>
        <v>5198.0202847480032</v>
      </c>
      <c r="W117" s="192">
        <f t="array" ref="W117">IF($G117=0, INDEX(LS_previous!$D$4:$AY$138, MATCH('Staging Table'!$A117, LS_previous!$B$4:$B$138, 0), MATCH(W$4&amp;W$5, LS_previous!$D$2:$AY$2&amp;LS_previous!$D$3:$AY$3, 0)),SUM(VLOOKUP($A117, LS_previous!$B$4:$AY$138, LS_previous!O$149, FALSE), VLOOKUP('Staging Table'!$A117, LS_previous!$B$4:$AY$138,LS_previous!AM$149, FALSE))/2)</f>
        <v>4107.5379821005008</v>
      </c>
      <c r="X117" s="192">
        <f t="array" ref="X117">IF($G117=0, INDEX(LS_previous!$D$4:$AY$138, MATCH('Staging Table'!$A117, LS_previous!$B$4:$B$138, 0), MATCH(X$4&amp;X$5, LS_previous!$D$2:$AY$2&amp;LS_previous!$D$3:$AY$3, 0)),SUM(VLOOKUP($A117, LS_previous!$B$4:$AY$138, LS_previous!P$149, FALSE), VLOOKUP('Staging Table'!$A117, LS_previous!$B$4:$AY$138,LS_previous!AN$149, FALSE))/2)</f>
        <v>6111.351178932</v>
      </c>
      <c r="Y117" s="192">
        <f t="array" ref="Y117">IF($G117=0, INDEX(LS_previous!$D$4:$AY$138, MATCH('Staging Table'!$A117, LS_previous!$B$4:$B$138, 0), MATCH(Y$4&amp;Y$5, LS_previous!$D$2:$AY$2&amp;LS_previous!$D$3:$AY$3, 0)),SUM(VLOOKUP($A117, LS_previous!$B$4:$AY$138, LS_previous!Q$149, FALSE), VLOOKUP('Staging Table'!$A117, LS_previous!$B$4:$AY$138,LS_previous!AO$149, FALSE))/2)</f>
        <v>4276.7892055079992</v>
      </c>
      <c r="Z117" s="192">
        <f t="array" ref="Z117">IF($G117=0, INDEX(LS_previous!$D$4:$AY$138, MATCH('Staging Table'!$A117, LS_previous!$B$4:$B$138, 0), MATCH(Z$4&amp;Z$5, LS_previous!$D$2:$AY$2&amp;LS_previous!$D$3:$AY$3, 0)),SUM(VLOOKUP($A117, LS_previous!$B$4:$AY$138, LS_previous!R$149, FALSE), VLOOKUP('Staging Table'!$A117, LS_previous!$B$4:$AY$138,LS_previous!AP$149, FALSE))/2)</f>
        <v>-6693.2218524499986</v>
      </c>
      <c r="AA117" s="192">
        <f t="array" ref="AA117">IF($G117=0, INDEX(LS_previous!$D$4:$AY$138, MATCH('Staging Table'!$A117, LS_previous!$B$4:$B$138, 0), MATCH(AA$4&amp;AA$5, LS_previous!$D$2:$AY$2&amp;LS_previous!$D$3:$AY$3, 0)),SUM(VLOOKUP($A117, LS_previous!$B$4:$AY$138, LS_previous!S$149, FALSE), VLOOKUP('Staging Table'!$A117, LS_previous!$B$4:$AY$138,LS_previous!AQ$149, FALSE))/2)</f>
        <v>75.938930338001228</v>
      </c>
      <c r="AB117" s="192">
        <f t="array" ref="AB117">IF($G117=0, INDEX(LS_previous!$D$4:$AY$138, MATCH('Staging Table'!$A117, LS_previous!$B$4:$B$138, 0), MATCH(AB$4&amp;AB$5, LS_previous!$D$2:$AY$2&amp;LS_previous!$D$3:$AY$3, 0)),SUM(VLOOKUP($A117, LS_previous!$B$4:$AY$138, LS_previous!T$149, FALSE), VLOOKUP('Staging Table'!$A117, LS_previous!$B$4:$AY$138,LS_previous!AR$149, FALSE))/2)</f>
        <v>-14168.620169318001</v>
      </c>
      <c r="AC117" s="192">
        <f t="array" ref="AC117">IF($G117=0, INDEX(LS_previous!$D$4:$AY$138, MATCH('Staging Table'!$A117, LS_previous!$B$4:$B$138, 0), MATCH(AC$4&amp;AC$5, LS_previous!$D$2:$AY$2&amp;LS_previous!$D$3:$AY$3, 0)),SUM(VLOOKUP($A117, LS_previous!$B$4:$AY$138, LS_previous!U$149, FALSE), VLOOKUP('Staging Table'!$A117, LS_previous!$B$4:$AY$138,LS_previous!AS$149, FALSE))/2)</f>
        <v>-6486.931011491999</v>
      </c>
      <c r="AD117" s="192">
        <f t="array" ref="AD117">IF($G117=0, INDEX(LS_previous!$D$4:$AY$138, MATCH('Staging Table'!$A117, LS_previous!$B$4:$B$138, 0), MATCH(AD$4&amp;AD$5, LS_previous!$D$2:$AY$2&amp;LS_previous!$D$3:$AY$3, 0)),SUM(VLOOKUP($A117, LS_previous!$B$4:$AY$138, LS_previous!V$149, FALSE), VLOOKUP('Staging Table'!$A117, LS_previous!$B$4:$AY$138,LS_previous!AT$149, FALSE))/2)</f>
        <v>-9375.099616817999</v>
      </c>
      <c r="AE117" s="192">
        <f t="array" ref="AE117">IF($G117=0, INDEX(LS_previous!$D$4:$AY$138, MATCH('Staging Table'!$A117, LS_previous!$B$4:$B$138, 0), MATCH(AE$4&amp;AE$5, LS_previous!$D$2:$AY$2&amp;LS_previous!$D$3:$AY$3, 0)),SUM(VLOOKUP($A117, LS_previous!$B$4:$AY$138, LS_previous!W$149, FALSE), VLOOKUP('Staging Table'!$A117, LS_previous!$B$4:$AY$138,LS_previous!AU$149, FALSE))/2)</f>
        <v>603.228726456</v>
      </c>
      <c r="AF117" s="192">
        <f t="array" ref="AF117">IF($G117=0, INDEX(LS_previous!$D$4:$AY$138, MATCH('Staging Table'!$A117, LS_previous!$B$4:$B$138, 0), MATCH(AF$4&amp;AF$5, LS_previous!$D$2:$AY$2&amp;LS_previous!$D$3:$AY$3, 0)),SUM(VLOOKUP($A117, LS_previous!$B$4:$AY$138, LS_previous!X$149, FALSE), VLOOKUP('Staging Table'!$A117, LS_previous!$B$4:$AY$138,LS_previous!AV$149, FALSE))/2)</f>
        <v>-6377.9120120679981</v>
      </c>
      <c r="AG117" s="192">
        <f t="array" ref="AG117">IF($G117=0, INDEX(LS_previous!$D$4:$AY$138, MATCH('Staging Table'!$A117, LS_previous!$B$4:$B$138, 0), MATCH(AG$4&amp;AG$5, LS_previous!$D$2:$AY$2&amp;LS_previous!$D$3:$AY$3, 0)),SUM(VLOOKUP($A117, LS_previous!$B$4:$AY$138, LS_previous!Y$149, FALSE), VLOOKUP('Staging Table'!$A117, LS_previous!$B$4:$AY$138,LS_previous!AW$149, FALSE))/2)</f>
        <v>-479.43483354399905</v>
      </c>
      <c r="AH117" s="192">
        <f t="array" ref="AH117">IF($G117=0, INDEX(LS_previous!$D$4:$AY$138, MATCH('Staging Table'!$A117, LS_previous!$B$4:$B$138, 0), MATCH(AH$4&amp;AH$5, LS_previous!$D$2:$AY$2&amp;LS_previous!$D$3:$AY$3, 0)),SUM(VLOOKUP($A117, LS_previous!$B$4:$AY$138, LS_previous!Z$149, FALSE), VLOOKUP('Staging Table'!$A117, LS_previous!$B$4:$AY$138,LS_previous!AX$149, FALSE))/2)</f>
        <v>-3715.4955632000019</v>
      </c>
      <c r="AI117" s="192">
        <f t="array" ref="AI117">IF($G117=0, INDEX(LS_previous!$D$4:$AY$138, MATCH('Staging Table'!$A117, LS_previous!$B$4:$B$138, 0), MATCH(AI$4&amp;AI$5, LS_previous!$D$2:$AY$2&amp;LS_previous!$D$3:$AY$3, 0)),SUM(VLOOKUP($A117, LS_previous!$B$4:$AY$138, LS_previous!AA$149, FALSE), VLOOKUP('Staging Table'!$A117, LS_previous!$B$4:$AY$138,LS_previous!AY$149, FALSE))/2)</f>
        <v>-493.45892185999946</v>
      </c>
      <c r="AJ117" s="314">
        <f t="array" ref="AJ117">INDEX(Demand_previous!$D$4:$AY$138, MATCH('Staging Table'!$A117, Demand_previous!$B$4:$B$138, 0), MATCH(AJ$4&amp;AJ$5,Demand_previous!$D$2:$AY$2&amp;Demand_previous!$D$3:$AY$3, 0))/1000</f>
        <v>0.79516666666666669</v>
      </c>
      <c r="AK117" s="314">
        <f t="array" ref="AK117">INDEX(Demand_previous!$D$4:$AY$138, MATCH('Staging Table'!$A117, Demand_previous!$B$4:$B$138, 0), MATCH(AK$4&amp;AK$5,Demand_previous!$D$2:$AY$2&amp;Demand_previous!$D$3:$AY$3, 0))/1000</f>
        <v>0.16809000000000296</v>
      </c>
      <c r="AL117" s="314">
        <f t="array" ref="AL117">INDEX(Demand_previous!$D$4:$AY$138, MATCH('Staging Table'!$A117, Demand_previous!$B$4:$B$138, 0), MATCH(AL$4&amp;AL$5,Demand_previous!$D$2:$AY$2&amp;Demand_previous!$D$3:$AY$3, 0))/1000</f>
        <v>4.2403000000000013</v>
      </c>
      <c r="AM117" s="314">
        <f t="array" ref="AM117">INDEX(Demand_previous!$D$4:$AY$138, MATCH('Staging Table'!$A117, Demand_previous!$B$4:$B$138, 0), MATCH(AM$4&amp;AM$5,Demand_previous!$D$2:$AY$2&amp;Demand_previous!$D$3:$AY$3, 0))/1000</f>
        <v>13.669600961538464</v>
      </c>
      <c r="AN117" s="314">
        <f t="array" ref="AN117">INDEX(Demand_previous!$D$4:$AY$138, MATCH('Staging Table'!$A117, Demand_previous!$B$4:$B$138, 0), MATCH(AN$4&amp;AN$5,Demand_previous!$D$2:$AY$2&amp;Demand_previous!$D$3:$AY$3, 0))/1000</f>
        <v>0</v>
      </c>
      <c r="AO117" s="314">
        <f t="array" ref="AO117">INDEX(Demand_previous!$D$4:$AY$138, MATCH('Staging Table'!$A117, Demand_previous!$B$4:$B$138, 0), MATCH(AO$4&amp;AO$5,Demand_previous!$D$2:$AY$2&amp;Demand_previous!$D$3:$AY$3, 0))/1000</f>
        <v>13.17684375</v>
      </c>
      <c r="AP117" s="314">
        <f t="array" ref="AP117">INDEX(Demand_previous!$D$4:$AY$138, MATCH('Staging Table'!$A117, Demand_previous!$B$4:$B$138, 0), MATCH(AP$4&amp;AP$5,Demand_previous!$D$2:$AY$2&amp;Demand_previous!$D$3:$AY$3, 0))/1000</f>
        <v>4.8421875000000014</v>
      </c>
      <c r="AQ117" s="314">
        <f t="array" ref="AQ117">INDEX(Demand_previous!$D$4:$AY$138, MATCH('Staging Table'!$A117, Demand_previous!$B$4:$B$138, 0), MATCH(AQ$4&amp;AQ$5,Demand_previous!$D$2:$AY$2&amp;Demand_previous!$D$3:$AY$3, 0))/1000</f>
        <v>1.9549999999999981</v>
      </c>
      <c r="AR117" s="314">
        <f t="array" ref="AR117">INDEX(Demand_previous!$D$4:$AY$138, MATCH('Staging Table'!$A117, Demand_previous!$B$4:$B$138, 0), MATCH(AR$4&amp;AR$5,Demand_previous!$D$2:$AY$2&amp;Demand_previous!$D$3:$AY$3, 0))/1000</f>
        <v>0.76477163461539011</v>
      </c>
      <c r="AS117" s="314">
        <f t="array" ref="AS117">INDEX(Demand_previous!$D$4:$AY$138, MATCH('Staging Table'!$A117, Demand_previous!$B$4:$B$138, 0), MATCH(AS$4&amp;AS$5,Demand_previous!$D$2:$AY$2&amp;Demand_previous!$D$3:$AY$3, 0))/1000</f>
        <v>5.3390504807692301</v>
      </c>
      <c r="AT117" s="314">
        <f t="array" ref="AT117">INDEX(Demand_previous!$D$4:$AY$138, MATCH('Staging Table'!$A117, Demand_previous!$B$4:$B$138, 0), MATCH(AT$4&amp;AT$5,Demand_previous!$D$2:$AY$2&amp;Demand_previous!$D$3:$AY$3, 0))/1000</f>
        <v>0.8837524038461555</v>
      </c>
      <c r="AU117" s="314">
        <f t="array" ref="AU117">INDEX(Demand_previous!$D$4:$AY$138, MATCH('Staging Table'!$A117, Demand_previous!$B$4:$B$138, 0), MATCH(AU$4&amp;AU$5,Demand_previous!$D$2:$AY$2&amp;Demand_previous!$D$3:$AY$3, 0))/1000</f>
        <v>4.8452999999999946</v>
      </c>
      <c r="AV117" s="192">
        <f>$F117*(VLOOKUP(AV$4, Rates_previous!$G$6:$Q$29, 10, FALSE)+VLOOKUP(AV$4, Rates_previous!$G$6:$Q$29, 11, FALSE))</f>
        <v>35828.072782361996</v>
      </c>
      <c r="AW117" s="192">
        <f>$F117*(VLOOKUP(AW$4, Rates_previous!$G$6:$Q$29, 10, FALSE)+VLOOKUP(AW$4, Rates_previous!$G$6:$Q$29, 11, FALSE))</f>
        <v>45512.829218020503</v>
      </c>
      <c r="AX117" s="192">
        <f>$F117*(VLOOKUP(AX$4, Rates_previous!$G$6:$Q$29, 10, FALSE)+VLOOKUP(AX$4, Rates_previous!$G$6:$Q$29, 11, FALSE))</f>
        <v>44963.200220862003</v>
      </c>
      <c r="AY117" s="192">
        <f>$F117*(VLOOKUP(AY$4, Rates_previous!$G$6:$Q$29, 10, FALSE)+VLOOKUP(AY$4, Rates_previous!$G$6:$Q$29, 11, FALSE))</f>
        <v>37479.565964862006</v>
      </c>
      <c r="AZ117" s="192">
        <f>$F117*(VLOOKUP(AZ$4, Rates_previous!$G$6:$Q$29, 10, FALSE)+VLOOKUP(AZ$4, Rates_previous!$G$6:$Q$29, 11, FALSE))</f>
        <v>33952.598559599995</v>
      </c>
      <c r="BA117" s="192">
        <f>$F117*(VLOOKUP(BA$4, Rates_previous!$G$6:$Q$29, 10, FALSE)+VLOOKUP(BA$4, Rates_previous!$G$6:$Q$29, 11, FALSE))</f>
        <v>37766.075733151498</v>
      </c>
      <c r="BB117" s="192">
        <f>$F117*(VLOOKUP(BB$4, Rates_previous!$G$6:$Q$29, 10, FALSE)+VLOOKUP(BB$4, Rates_previous!$G$6:$Q$29, 11, FALSE))</f>
        <v>30749.179615559999</v>
      </c>
      <c r="BC117" s="192">
        <f>$F117*(VLOOKUP(BC$4, Rates_previous!$G$6:$Q$29, 10, FALSE)+VLOOKUP(BC$4, Rates_previous!$G$6:$Q$29, 11, FALSE))</f>
        <v>41469.853922112001</v>
      </c>
      <c r="BD117" s="192">
        <f>$F117*(VLOOKUP(BD$4, Rates_previous!$G$6:$Q$29, 10, FALSE)+VLOOKUP(BD$4, Rates_previous!$G$6:$Q$29, 11, FALSE))</f>
        <v>52912.713180810002</v>
      </c>
      <c r="BE117" s="192">
        <f>$F117*(VLOOKUP(BE$4, Rates_previous!$G$6:$Q$29, 10, FALSE)+VLOOKUP(BE$4, Rates_previous!$G$6:$Q$29, 11, FALSE))</f>
        <v>41485.244890362002</v>
      </c>
      <c r="BF117" s="192">
        <f>$F117*(VLOOKUP(BF$4, Rates_previous!$G$6:$Q$29, 10, FALSE)+VLOOKUP(BF$4, Rates_previous!$G$6:$Q$29, 11, FALSE))</f>
        <v>40398.367845612003</v>
      </c>
      <c r="BG117" s="192">
        <f>$F117*(VLOOKUP(BG$4, Rates_previous!$G$6:$Q$29, 10, FALSE)+VLOOKUP(BG$4, Rates_previous!$G$6:$Q$29, 11, FALSE))</f>
        <v>36269.140485060001</v>
      </c>
      <c r="BH117" s="314">
        <f>IF($D117=0,IF(C117=0, MAX(BJ117 - (VLOOKUP($A117,TOCA_previous!$A$2:$AI$137,MATCH("RHWM 2020",TOCA_previous!$A$2:$AI$2,0),FALSE)*$F$2*TOCA_previous!C114),0),0), 0)</f>
        <v>0</v>
      </c>
      <c r="BI117" s="204">
        <f>MIN(VLOOKUP($A117,TOCA_previous!$A$2:$AI$137,MATCH("TRL - NLSL - Existing Resource "&amp;$F$1,TOCA_previous!$A$2:$AI$2,0),FALSE)*$F$2,(VLOOKUP($A117,TOCA_previous!$A$2:$AI$137,MATCH("RHWM 2020",TOCA_previous!$A$2:$AI$2,0),FALSE)*$F$2))</f>
        <v>478789.48799999995</v>
      </c>
      <c r="BJ117" s="418">
        <f>SUM(L117:AI117)+(F117*RT1SC!$C$3*$F$2)</f>
        <v>482724.97797100194</v>
      </c>
      <c r="BK117" s="417">
        <f>VLOOKUP($A117,TOCA_previous!$A$2:$AI$137,MATCH("Above RHWM Not Served with LS "&amp;$F$1,TOCA_previous!$A$2:$AI$2,0),FALSE)*$F$2</f>
        <v>0</v>
      </c>
      <c r="BL117" s="418">
        <f t="shared" si="27"/>
        <v>3935.4899710019818</v>
      </c>
      <c r="BM117" s="417">
        <f>(VLOOKUP($A117,TOCA_previous!$A$2:$AI$137,MATCH("RHWM 2020",TOCA_previous!$A$2:$AI$2,0),FALSE)*$F$2) - $BI117</f>
        <v>10769.184000000008</v>
      </c>
      <c r="BN117" s="418">
        <f t="shared" si="28"/>
        <v>-3935.4899710019818</v>
      </c>
      <c r="BO117" s="417">
        <f t="shared" si="29"/>
        <v>0</v>
      </c>
      <c r="BP117" s="418">
        <f t="shared" si="30"/>
        <v>0</v>
      </c>
      <c r="BQ117" s="417">
        <f t="shared" si="37"/>
        <v>-3935.4899710019818</v>
      </c>
      <c r="BR117" s="120">
        <f>VLOOKUP($A117,TOCA_current!$A$2:$AI$137,MATCH(BR$4,TOCA_current!$A$2:$AI$2,0),FALSE)</f>
        <v>7.9340000000000001E-3</v>
      </c>
      <c r="BS117" s="120">
        <f>VLOOKUP($A117,TOCA_current!$A$2:$AI$137,MATCH(BS$4,TOCA_current!$A$2:$AI$2,0),FALSE)</f>
        <v>7.9340000000000001E-3</v>
      </c>
      <c r="BT117" s="201">
        <f t="shared" si="31"/>
        <v>0</v>
      </c>
      <c r="BU117" s="120">
        <f>VLOOKUP($A117,TOCA_current!A113:BG248,MATCH(BU$4,TOCA_current!$A$2:$BG$2,0),FALSE)</f>
        <v>0</v>
      </c>
      <c r="BV117" s="120">
        <f t="shared" si="38"/>
        <v>0</v>
      </c>
      <c r="BW117" s="120">
        <f t="shared" si="39"/>
        <v>0</v>
      </c>
      <c r="BX117" s="191">
        <f>VLOOKUP($A117,IRD!$A$4:$G$139, 7, FALSE)</f>
        <v>0</v>
      </c>
      <c r="BY117" s="192">
        <f t="array" ref="BY117">IF($BT117=0, INDEX(LS_current!$D$4:$AY$138, MATCH('Staging Table'!$A117, LS_current!$B$4:$B$138, 0), MATCH(BY$4&amp;BY$5, LS_current!$D$2:$AY$2&amp;LS_current!$D$3:$AY$3, 0)),SUM(VLOOKUP($A117, LS_current!$B$4:$AY$138, LS_current!D$148, FALSE), VLOOKUP($A117, LS_current!$B$4:$AY$138,LS_current!AB$148, FALSE))/2)</f>
        <v>-1597.7339588246577</v>
      </c>
      <c r="BZ117" s="192">
        <f t="array" ref="BZ117">IF($BT117=0, INDEX(LS_current!$D$4:$AY$138, MATCH('Staging Table'!$A117, LS_current!$B$4:$B$138, 0), MATCH(BZ$4&amp;BZ$5, LS_current!$D$2:$AY$2&amp;LS_current!$D$3:$AY$3, 0)),SUM(VLOOKUP($A117, LS_current!$B$4:$AY$138, LS_current!E$148, FALSE), VLOOKUP($A117, LS_current!$B$4:$AY$138,LS_current!AC$148, FALSE))/2)</f>
        <v>751.95660449101342</v>
      </c>
      <c r="CA117" s="192">
        <f t="array" ref="CA117">IF($BT117=0, INDEX(LS_current!$D$4:$AY$138, MATCH('Staging Table'!$A117, LS_current!$B$4:$B$138, 0), MATCH(CA$4&amp;CA$5, LS_current!$D$2:$AY$2&amp;LS_current!$D$3:$AY$3, 0)),SUM(VLOOKUP($A117, LS_current!$B$4:$AY$138, LS_current!F$148, FALSE), VLOOKUP($A117, LS_current!$B$4:$AY$138,LS_current!AD$148, FALSE))/2)</f>
        <v>-5325.8929831873393</v>
      </c>
      <c r="CB117" s="192">
        <f t="array" ref="CB117">IF($BT117=0, INDEX(LS_current!$D$4:$AY$138, MATCH('Staging Table'!$A117, LS_current!$B$4:$B$138, 0), MATCH(CB$4&amp;CB$5, LS_current!$D$2:$AY$2&amp;LS_current!$D$3:$AY$3, 0)),SUM(VLOOKUP($A117, LS_current!$B$4:$AY$138, LS_current!G$148, FALSE), VLOOKUP($A117, LS_current!$B$4:$AY$138,LS_current!AE$148, FALSE))/2)</f>
        <v>-2677.621119686215</v>
      </c>
      <c r="CC117" s="192">
        <f t="array" ref="CC117">IF($BT117=0, INDEX(LS_current!$D$4:$AY$138, MATCH('Staging Table'!$A117, LS_current!$B$4:$B$138, 0), MATCH(CC$4&amp;CC$5, LS_current!$D$2:$AY$2&amp;LS_current!$D$3:$AY$3, 0)),SUM(VLOOKUP($A117, LS_current!$B$4:$AY$138, LS_current!H$148, FALSE), VLOOKUP($A117, LS_current!$B$4:$AY$138,LS_current!AF$148, FALSE))/2)</f>
        <v>5620.9697151267792</v>
      </c>
      <c r="CD117" s="192">
        <f t="array" ref="CD117">IF($BT117=0, INDEX(LS_current!$D$4:$AY$138, MATCH('Staging Table'!$A117, LS_current!$B$4:$B$138, 0), MATCH(CD$4&amp;CD$5, LS_current!$D$2:$AY$2&amp;LS_current!$D$3:$AY$3, 0)),SUM(VLOOKUP($A117, LS_current!$B$4:$AY$138, LS_current!I$148, FALSE), VLOOKUP($A117, LS_current!$B$4:$AY$138,LS_current!AG$148, FALSE))/2)</f>
        <v>1564.5348078310017</v>
      </c>
      <c r="CE117" s="192">
        <f t="array" ref="CE117">IF($BT117=0, INDEX(LS_current!$D$4:$AY$138, MATCH('Staging Table'!$A117, LS_current!$B$4:$B$138, 0), MATCH(CE$4&amp;CE$5, LS_current!$D$2:$AY$2&amp;LS_current!$D$3:$AY$3, 0)),SUM(VLOOKUP($A117, LS_current!$B$4:$AY$138, LS_current!J$148, FALSE), VLOOKUP($A117, LS_current!$B$4:$AY$138,LS_current!AH$148, FALSE))/2)</f>
        <v>7520.0284602433676</v>
      </c>
      <c r="CF117" s="192">
        <f t="array" ref="CF117">IF($BT117=0, INDEX(LS_current!$D$4:$AY$138, MATCH('Staging Table'!$A117, LS_current!$B$4:$B$138, 0), MATCH(CF$4&amp;CF$5, LS_current!$D$2:$AY$2&amp;LS_current!$D$3:$AY$3, 0)),SUM(VLOOKUP($A117, LS_current!$B$4:$AY$138, LS_current!K$148, FALSE), VLOOKUP($A117, LS_current!$B$4:$AY$138,LS_current!AI$148, FALSE))/2)</f>
        <v>5326.1164853740956</v>
      </c>
      <c r="CG117" s="192">
        <f t="array" ref="CG117">IF($BT117=0, INDEX(LS_current!$D$4:$AY$138, MATCH('Staging Table'!$A117, LS_current!$B$4:$B$138, 0), MATCH(CG$4&amp;CG$5, LS_current!$D$2:$AY$2&amp;LS_current!$D$3:$AY$3, 0)),SUM(VLOOKUP($A117, LS_current!$B$4:$AY$138, LS_current!L$148, FALSE), VLOOKUP($A117, LS_current!$B$4:$AY$138,LS_current!AJ$148, FALSE))/2)</f>
        <v>9852.2915747257612</v>
      </c>
      <c r="CH117" s="192">
        <f t="array" ref="CH117">IF($BT117=0, INDEX(LS_current!$D$4:$AY$138, MATCH('Staging Table'!$A117, LS_current!$B$4:$B$138, 0), MATCH(CH$4&amp;CH$5, LS_current!$D$2:$AY$2&amp;LS_current!$D$3:$AY$3, 0)),SUM(VLOOKUP($A117, LS_current!$B$4:$AY$138, LS_current!M$148, FALSE), VLOOKUP($A117, LS_current!$B$4:$AY$138,LS_current!AK$148, FALSE))/2)</f>
        <v>4695.8631085060806</v>
      </c>
      <c r="CI117" s="192">
        <f t="array" ref="CI117">IF($BT117=0, INDEX(LS_current!$D$4:$AY$138, MATCH('Staging Table'!$A117, LS_current!$B$4:$B$138, 0), MATCH(CI$4&amp;CI$5, LS_current!$D$2:$AY$2&amp;LS_current!$D$3:$AY$3, 0)),SUM(VLOOKUP($A117, LS_current!$B$4:$AY$138, LS_current!N$148, FALSE), VLOOKUP($A117, LS_current!$B$4:$AY$138,LS_current!AL$148, FALSE))/2)</f>
        <v>4795.8803800945643</v>
      </c>
      <c r="CJ117" s="192">
        <f t="array" ref="CJ117">IF($BT117=0, INDEX(LS_current!$D$4:$AY$138, MATCH('Staging Table'!$A117, LS_current!$B$4:$B$138, 0), MATCH(CJ$4&amp;CJ$5, LS_current!$D$2:$AY$2&amp;LS_current!$D$3:$AY$3, 0)),SUM(VLOOKUP($A117, LS_current!$B$4:$AY$138, LS_current!O$148, FALSE), VLOOKUP($A117, LS_current!$B$4:$AY$138,LS_current!AM$148, FALSE))/2)</f>
        <v>2437.6718527702633</v>
      </c>
      <c r="CK117" s="192">
        <f t="array" ref="CK117">IF($BT117=0, INDEX(LS_current!$D$4:$AY$138, MATCH('Staging Table'!$A117, LS_current!$B$4:$B$138, 0), MATCH(CK$4&amp;CK$5, LS_current!$D$2:$AY$2&amp;LS_current!$D$3:$AY$3, 0)),SUM(VLOOKUP($A117, LS_current!$B$4:$AY$138, LS_current!P$148, FALSE), VLOOKUP($A117, LS_current!$B$4:$AY$138,LS_current!AN$148, FALSE))/2)</f>
        <v>6272.5916396537614</v>
      </c>
      <c r="CL117" s="192">
        <f t="array" ref="CL117">IF($BT117=0, INDEX(LS_current!$D$4:$AY$138, MATCH('Staging Table'!$A117, LS_current!$B$4:$B$138, 0), MATCH(CL$4&amp;CL$5, LS_current!$D$2:$AY$2&amp;LS_current!$D$3:$AY$3, 0)),SUM(VLOOKUP($A117, LS_current!$B$4:$AY$138, LS_current!Q$148, FALSE), VLOOKUP($A117, LS_current!$B$4:$AY$138,LS_current!AO$148, FALSE))/2)</f>
        <v>3632.406668242651</v>
      </c>
      <c r="CM117" s="192">
        <f t="array" ref="CM117">IF($BT117=0, INDEX(LS_current!$D$4:$AY$138, MATCH('Staging Table'!$A117, LS_current!$B$4:$B$138, 0), MATCH(CM$4&amp;CM$5, LS_current!$D$2:$AY$2&amp;LS_current!$D$3:$AY$3, 0)),SUM(VLOOKUP($A117, LS_current!$B$4:$AY$138, LS_current!R$148, FALSE), VLOOKUP($A117, LS_current!$B$4:$AY$138,LS_current!AP$148, FALSE))/2)</f>
        <v>-8365.1605545434504</v>
      </c>
      <c r="CN117" s="192">
        <f t="array" ref="CN117">IF($BT117=0, INDEX(LS_current!$D$4:$AY$138, MATCH('Staging Table'!$A117, LS_current!$B$4:$B$138, 0), MATCH(CN$4&amp;CN$5, LS_current!$D$2:$AY$2&amp;LS_current!$D$3:$AY$3, 0)),SUM(VLOOKUP($A117, LS_current!$B$4:$AY$138, LS_current!S$148, FALSE), VLOOKUP($A117, LS_current!$B$4:$AY$138,LS_current!AQ$148, FALSE))/2)</f>
        <v>482.42487942932348</v>
      </c>
      <c r="CO117" s="192">
        <f t="array" ref="CO117">IF($BT117=0, INDEX(LS_current!$D$4:$AY$138, MATCH('Staging Table'!$A117, LS_current!$B$4:$B$138, 0), MATCH(CO$4&amp;CO$5, LS_current!$D$2:$AY$2&amp;LS_current!$D$3:$AY$3, 0)),SUM(VLOOKUP($A117, LS_current!$B$4:$AY$138, LS_current!T$148, FALSE), VLOOKUP($A117, LS_current!$B$4:$AY$138,LS_current!AR$148, FALSE))/2)</f>
        <v>-12072.18673111522</v>
      </c>
      <c r="CP117" s="192">
        <f t="array" ref="CP117">IF($BT117=0, INDEX(LS_current!$D$4:$AY$138, MATCH('Staging Table'!$A117, LS_current!$B$4:$B$138, 0), MATCH(CP$4&amp;CP$5, LS_current!$D$2:$AY$2&amp;LS_current!$D$3:$AY$3, 0)),SUM(VLOOKUP($A117, LS_current!$B$4:$AY$138, LS_current!U$148, FALSE), VLOOKUP($A117, LS_current!$B$4:$AY$138,LS_current!AS$148, FALSE))/2)</f>
        <v>-1175.3395649698959</v>
      </c>
      <c r="CQ117" s="192">
        <f t="array" ref="CQ117">IF($BT117=0, INDEX(LS_current!$D$4:$AY$138, MATCH('Staging Table'!$A117, LS_current!$B$4:$B$138, 0), MATCH(CQ$4&amp;CQ$5, LS_current!$D$2:$AY$2&amp;LS_current!$D$3:$AY$3, 0)),SUM(VLOOKUP($A117, LS_current!$B$4:$AY$138, LS_current!V$148, FALSE), VLOOKUP($A117, LS_current!$B$4:$AY$138,LS_current!AT$148, FALSE))/2)</f>
        <v>-9476.6710861945503</v>
      </c>
      <c r="CR117" s="192">
        <f t="array" ref="CR117">IF($BT117=0, INDEX(LS_current!$D$4:$AY$138, MATCH('Staging Table'!$A117, LS_current!$B$4:$B$138, 0), MATCH(CR$4&amp;CR$5, LS_current!$D$2:$AY$2&amp;LS_current!$D$3:$AY$3, 0)),SUM(VLOOKUP($A117, LS_current!$B$4:$AY$138, LS_current!W$148, FALSE), VLOOKUP($A117, LS_current!$B$4:$AY$138,LS_current!AU$148, FALSE))/2)</f>
        <v>-1142.5678511320093</v>
      </c>
      <c r="CS117" s="192">
        <f t="array" ref="CS117">IF($BT117=0, INDEX(LS_current!$D$4:$AY$138, MATCH('Staging Table'!$A117, LS_current!$B$4:$B$138, 0), MATCH(CS$4&amp;CS$5, LS_current!$D$2:$AY$2&amp;LS_current!$D$3:$AY$3, 0)),SUM(VLOOKUP($A117, LS_current!$B$4:$AY$138, LS_current!X$148, FALSE), VLOOKUP($A117, LS_current!$B$4:$AY$138,LS_current!AV$148, FALSE))/2)</f>
        <v>-6785.2711254121605</v>
      </c>
      <c r="CT117" s="192">
        <f t="array" ref="CT117">IF($BT117=0, INDEX(LS_current!$D$4:$AY$138, MATCH('Staging Table'!$A117, LS_current!$B$4:$B$138, 0), MATCH(CT$4&amp;CT$5, LS_current!$D$2:$AY$2&amp;LS_current!$D$3:$AY$3, 0)),SUM(VLOOKUP($A117, LS_current!$B$4:$AY$138, LS_current!Y$148, FALSE), VLOOKUP($A117, LS_current!$B$4:$AY$138,LS_current!AW$148, FALSE))/2)</f>
        <v>-1604.270920782903</v>
      </c>
      <c r="CU117" s="192">
        <f t="array" ref="CU117">IF($BT117=0, INDEX(LS_current!$D$4:$AY$138, MATCH('Staging Table'!$A117, LS_current!$B$4:$B$138, 0), MATCH(CU$4&amp;CU$5, LS_current!$D$2:$AY$2&amp;LS_current!$D$3:$AY$3, 0)),SUM(VLOOKUP($A117, LS_current!$B$4:$AY$138, LS_current!Z$148, FALSE), VLOOKUP($A117, LS_current!$B$4:$AY$138,LS_current!AX$148, FALSE))/2)</f>
        <v>-5135.4207406544883</v>
      </c>
      <c r="CV117" s="192">
        <f t="array" ref="CV117">IF($BT117=0, INDEX(LS_current!$D$4:$AY$138, MATCH('Staging Table'!$A117, LS_current!$B$4:$B$138, 0), MATCH(CV$4&amp;CV$5, LS_current!$D$2:$AY$2&amp;LS_current!$D$3:$AY$3, 0)),SUM(VLOOKUP($A117, LS_current!$B$4:$AY$138, LS_current!AA$148, FALSE), VLOOKUP($A117, LS_current!$B$4:$AY$138,LS_current!AY$148, FALSE))/2)</f>
        <v>-1621.4009906361716</v>
      </c>
      <c r="CW117" s="194">
        <f t="array" ref="CW117">INDEX(Demand_current!$D$4:$AY$138, MATCH($A117, Demand_current!$B$4:$B$138, 0), MATCH(CW$4&amp;CW$5,Demand_current!$D$2:$AY$2&amp;Demand_current!$D$3:$AY$3, 0))/1000</f>
        <v>0</v>
      </c>
      <c r="CX117" s="194">
        <f t="array" ref="CX117">INDEX(Demand_current!$D$4:$AY$138, MATCH($A117, Demand_current!$B$4:$B$138, 0), MATCH(CX$4&amp;CX$5,Demand_current!$D$2:$AY$2&amp;Demand_current!$D$3:$AY$3, 0))/1000</f>
        <v>0.16809000000000296</v>
      </c>
      <c r="CY117" s="194">
        <f t="array" ref="CY117">INDEX(Demand_current!$D$4:$AY$138, MATCH($A117, Demand_current!$B$4:$B$138, 0), MATCH(CY$4&amp;CY$5,Demand_current!$D$2:$AY$2&amp;Demand_current!$D$3:$AY$3, 0))/1000</f>
        <v>7.3528653846153809</v>
      </c>
      <c r="CZ117" s="194">
        <f t="array" ref="CZ117">INDEX(Demand_current!$D$4:$AY$138, MATCH($A117, Demand_current!$B$4:$B$138, 0), MATCH(CZ$4&amp;CZ$5,Demand_current!$D$2:$AY$2&amp;Demand_current!$D$3:$AY$3, 0))/1000</f>
        <v>10.815344999999994</v>
      </c>
      <c r="DA117" s="194">
        <f t="array" ref="DA117">INDEX(Demand_current!$D$4:$AY$138, MATCH($A117, Demand_current!$B$4:$B$138, 0), MATCH(DA$4&amp;DA$5,Demand_current!$D$2:$AY$2&amp;Demand_current!$D$3:$AY$3, 0))/1000</f>
        <v>0</v>
      </c>
      <c r="DB117" s="194">
        <f t="array" ref="DB117">INDEX(Demand_current!$D$4:$AY$138, MATCH($A117, Demand_current!$B$4:$B$138, 0), MATCH(DB$4&amp;DB$5,Demand_current!$D$2:$AY$2&amp;Demand_current!$D$3:$AY$3, 0))/1000</f>
        <v>15.804293981481489</v>
      </c>
      <c r="DC117" s="194">
        <f t="array" ref="DC117">INDEX(Demand_current!$D$4:$AY$138, MATCH($A117, Demand_current!$B$4:$B$138, 0), MATCH(DC$4&amp;DC$5,Demand_current!$D$2:$AY$2&amp;Demand_current!$D$3:$AY$3, 0))/1000</f>
        <v>4.8421875000000014</v>
      </c>
      <c r="DD117" s="194">
        <f t="array" ref="DD117">INDEX(Demand_current!$D$4:$AY$138, MATCH($A117, Demand_current!$B$4:$B$138, 0), MATCH(DD$4&amp;DD$5,Demand_current!$D$2:$AY$2&amp;Demand_current!$D$3:$AY$3, 0))/1000</f>
        <v>1.9549999999999981</v>
      </c>
      <c r="DE117" s="194">
        <f t="array" ref="DE117">INDEX(Demand_current!$D$4:$AY$138, MATCH($A117, Demand_current!$B$4:$B$138, 0), MATCH(DE$4&amp;DE$5,Demand_current!$D$2:$AY$2&amp;Demand_current!$D$3:$AY$3, 0))/1000</f>
        <v>0.76477163461539011</v>
      </c>
      <c r="DF117" s="194">
        <f t="array" ref="DF117">INDEX(Demand_current!$D$4:$AY$138, MATCH($A117, Demand_current!$B$4:$B$138, 0), MATCH(DF$4&amp;DF$5,Demand_current!$D$2:$AY$2&amp;Demand_current!$D$3:$AY$3, 0))/1000</f>
        <v>3.4677725000000019</v>
      </c>
      <c r="DG117" s="194">
        <f t="array" ref="DG117">INDEX(Demand_current!$D$4:$AY$138, MATCH($A117, Demand_current!$B$4:$B$138, 0), MATCH(DG$4&amp;DG$5,Demand_current!$D$2:$AY$2&amp;Demand_current!$D$3:$AY$3, 0))/1000</f>
        <v>2.807465277777776</v>
      </c>
      <c r="DH117" s="194">
        <f t="array" ref="DH117">INDEX(Demand_current!$D$4:$AY$138, MATCH($A117, Demand_current!$B$4:$B$138, 0), MATCH(DH$4&amp;DH$5,Demand_current!$D$2:$AY$2&amp;Demand_current!$D$3:$AY$3, 0))/1000</f>
        <v>4.8452999999999946</v>
      </c>
      <c r="DI117" s="192">
        <f>$BS117*(VLOOKUP(DI$4, Rates_current!$G$6:$Q$29, 10, FALSE)+VLOOKUP(DI$4, Rates_current!$G$6:$Q$29, 11, FALSE))</f>
        <v>36130.836354333638</v>
      </c>
      <c r="DJ117" s="192">
        <f>$BS117*(VLOOKUP(DJ$4, Rates_current!$G$6:$Q$29, 10, FALSE)+VLOOKUP(DJ$4, Rates_current!$G$6:$Q$29, 11, FALSE))</f>
        <v>45742.950102873554</v>
      </c>
      <c r="DK117" s="192">
        <f>$BS117*(VLOOKUP(DK$4, Rates_current!$G$6:$Q$29, 10, FALSE)+VLOOKUP(DK$4, Rates_current!$G$6:$Q$29, 11, FALSE))</f>
        <v>44773.209477042219</v>
      </c>
      <c r="DL117" s="192">
        <f>$BS117*(VLOOKUP(DL$4, Rates_current!$G$6:$Q$29, 10, FALSE)+VLOOKUP(DL$4, Rates_current!$G$6:$Q$29, 11, FALSE))</f>
        <v>36980.767054382537</v>
      </c>
      <c r="DM117" s="192">
        <f>$BS117*(VLOOKUP(DM$4, Rates_current!$G$6:$Q$29, 10, FALSE)+VLOOKUP(DM$4, Rates_current!$G$6:$Q$29, 11, FALSE))</f>
        <v>32052.041316768158</v>
      </c>
      <c r="DN117" s="192">
        <f>$BS117*(VLOOKUP(DN$4, Rates_current!$G$6:$Q$29, 10, FALSE)+VLOOKUP(DN$4, Rates_current!$G$6:$Q$29, 11, FALSE))</f>
        <v>38263.664767135175</v>
      </c>
      <c r="DO117" s="192">
        <f>$BS117*(VLOOKUP(DO$4, Rates_current!$G$6:$Q$29, 10, FALSE)+VLOOKUP(DO$4, Rates_current!$G$6:$Q$29, 11, FALSE))</f>
        <v>29706.641692103589</v>
      </c>
      <c r="DP117" s="192">
        <f>$BS117*(VLOOKUP(DP$4, Rates_current!$G$6:$Q$29, 10, FALSE)+VLOOKUP(DP$4, Rates_current!$G$6:$Q$29, 11, FALSE))</f>
        <v>41158.77067511413</v>
      </c>
      <c r="DQ117" s="192">
        <f>$BS117*(VLOOKUP(DQ$4, Rates_current!$G$6:$Q$29, 10, FALSE)+VLOOKUP(DQ$4, Rates_current!$G$6:$Q$29, 11, FALSE))</f>
        <v>43979.008296085107</v>
      </c>
      <c r="DR117" s="192">
        <f>$BS117*(VLOOKUP(DR$4, Rates_current!$G$6:$Q$29, 10, FALSE)+VLOOKUP(DR$4, Rates_current!$G$6:$Q$29, 11, FALSE))</f>
        <v>41756.076937326565</v>
      </c>
      <c r="DS117" s="192">
        <f>$BS117*(VLOOKUP(DS$4, Rates_current!$G$6:$Q$29, 10, FALSE)+VLOOKUP(DS$4, Rates_current!$G$6:$Q$29, 11, FALSE))</f>
        <v>40354.027046195064</v>
      </c>
      <c r="DT117" s="192">
        <f>$BS117*(VLOOKUP(DT$4, Rates_current!$G$6:$Q$29, 10, FALSE)+VLOOKUP(DT$4, Rates_current!$G$6:$Q$29, 11, FALSE))</f>
        <v>37291.327731290658</v>
      </c>
      <c r="DU117" s="418">
        <f>IF(D117=0,IF(C117=0,MAX(0,DW117 - (VLOOKUP($A117,TOCA_current!$A$2:$AI$137,MATCH("RHWM 2022",TOCA_current!$A$2:$AI$2,0),FALSE)*$BS$2)), 0),0)</f>
        <v>0</v>
      </c>
      <c r="DV117" s="419">
        <f>MIN(VLOOKUP($A117,TOCA_current!$A$2:$AI$137,MATCH("TRL - NLSL - Existing Resource "&amp;$BS$1,TOCA_current!$A$2:$AI$2,0),FALSE)*$BS$2, VLOOKUP($A117,TOCA_current!$A$2:$AI$137,MATCH("RHWM 2022",TOCA_current!$A$2:$AI$2,0),FALSE)*$BS$2)</f>
        <v>468186.95999999996</v>
      </c>
      <c r="DW117" s="419">
        <f>SUM(BY117:CV117)+(BS117*RT1SC!$C$4*$BS$2)</f>
        <v>464162.54394990968</v>
      </c>
      <c r="DX117" s="419">
        <f>VLOOKUP($A117,TOCA_current!$A$2:$AI$137,MATCH("Above RHWM Not Served with LS "&amp;$BS$1,TOCA_current!$A$2:$AI$2,0),FALSE)*$BS$2</f>
        <v>18562.440000000002</v>
      </c>
      <c r="DY117" s="419">
        <f t="shared" si="32"/>
        <v>-4024.4160500902799</v>
      </c>
      <c r="DZ117" s="419">
        <f>(VLOOKUP($A117,TOCA_current!$A$2:$AI$137,MATCH("RHWM 2022",TOCA_current!$A$2:$AI$2,0),FALSE)*$BS$2) - $DV117</f>
        <v>0</v>
      </c>
      <c r="EA117" s="419">
        <f t="shared" si="33"/>
        <v>0</v>
      </c>
      <c r="EB117" s="419">
        <f t="shared" si="34"/>
        <v>0</v>
      </c>
      <c r="EC117" s="419">
        <f t="shared" si="35"/>
        <v>0</v>
      </c>
      <c r="ED117" s="419">
        <f t="shared" si="36"/>
        <v>0</v>
      </c>
    </row>
    <row r="118" spans="1:134">
      <c r="A118" s="135">
        <v>10378</v>
      </c>
      <c r="B118" s="136" t="s">
        <v>119</v>
      </c>
      <c r="C118" s="244">
        <f>VLOOKUP(A118, TOCA_current!$A$3:$D$137, 4, FALSE)</f>
        <v>0</v>
      </c>
      <c r="D118" s="203">
        <v>0</v>
      </c>
      <c r="E118" s="119">
        <f>VLOOKUP($A118,TOCA_previous!$A$2:$AI$137,MATCH(E$4,TOCA_previous!$A$2:$AI$2,0),FALSE)</f>
        <v>2.7090000000000003E-4</v>
      </c>
      <c r="F118" s="120">
        <f>VLOOKUP($A118,TOCA_previous!$A$2:$AI$137,MATCH(F$4,TOCA_previous!$A$2:$AI$2,0),FALSE)</f>
        <v>2.7090000000000003E-4</v>
      </c>
      <c r="G118" s="120">
        <f t="shared" si="24"/>
        <v>0</v>
      </c>
      <c r="H118" s="120">
        <f>VLOOKUP($A118,TOCA_previous!$A$2:$AI$137,MATCH(H$4,TOCA_previous!$A$2:$AI$2,0),FALSE)</f>
        <v>0</v>
      </c>
      <c r="I118" s="120">
        <f t="shared" si="25"/>
        <v>0</v>
      </c>
      <c r="J118" s="120">
        <f t="shared" si="26"/>
        <v>0</v>
      </c>
      <c r="K118" s="191">
        <f>VLOOKUP(A118, IRD!$A$5:$C$139, 3, FALSE)</f>
        <v>0</v>
      </c>
      <c r="L118" s="192">
        <f t="array" ref="L118">IF($G118=0, INDEX(LS_previous!$D$4:$AY$138, MATCH('Staging Table'!$A118, LS_previous!$B$4:$B$138, 0), MATCH(L$4&amp;L$5, LS_previous!$D$2:$AY$2&amp;LS_previous!$D$3:$AY$3, 0)),SUM(VLOOKUP($A118, LS_previous!$B$4:$AY$138, LS_previous!D$149, FALSE), VLOOKUP('Staging Table'!$A118, LS_previous!$B$4:$AY$138,LS_previous!AB$149, FALSE))/2)</f>
        <v>-83.6358136092</v>
      </c>
      <c r="M118" s="192">
        <f t="array" ref="M118">IF($G118=0, INDEX(LS_previous!$D$4:$AY$138, MATCH('Staging Table'!$A118, LS_previous!$B$4:$B$138, 0), MATCH(M$4&amp;M$5, LS_previous!$D$2:$AY$2&amp;LS_previous!$D$3:$AY$3, 0)),SUM(VLOOKUP($A118, LS_previous!$B$4:$AY$138, LS_previous!E$149, FALSE), VLOOKUP('Staging Table'!$A118, LS_previous!$B$4:$AY$138,LS_previous!AC$149, FALSE))/2)</f>
        <v>-2.0564147872000262</v>
      </c>
      <c r="N118" s="192">
        <f t="array" ref="N118">IF($G118=0, INDEX(LS_previous!$D$4:$AY$138, MATCH('Staging Table'!$A118, LS_previous!$B$4:$B$138, 0), MATCH(N$4&amp;N$5, LS_previous!$D$2:$AY$2&amp;LS_previous!$D$3:$AY$3, 0)),SUM(VLOOKUP($A118, LS_previous!$B$4:$AY$138, LS_previous!F$149, FALSE), VLOOKUP('Staging Table'!$A118, LS_previous!$B$4:$AY$138,LS_previous!AD$149, FALSE))/2)</f>
        <v>-27.076863335200073</v>
      </c>
      <c r="O118" s="192">
        <f t="array" ref="O118">IF($G118=0, INDEX(LS_previous!$D$4:$AY$138, MATCH('Staging Table'!$A118, LS_previous!$B$4:$B$138, 0), MATCH(O$4&amp;O$5, LS_previous!$D$2:$AY$2&amp;LS_previous!$D$3:$AY$3, 0)),SUM(VLOOKUP($A118, LS_previous!$B$4:$AY$138, LS_previous!G$149, FALSE), VLOOKUP('Staging Table'!$A118, LS_previous!$B$4:$AY$138,LS_previous!AE$149, FALSE))/2)</f>
        <v>98.110998890099836</v>
      </c>
      <c r="P118" s="192">
        <f t="array" ref="P118">IF($G118=0, INDEX(LS_previous!$D$4:$AY$138, MATCH('Staging Table'!$A118, LS_previous!$B$4:$B$138, 0), MATCH(P$4&amp;P$5, LS_previous!$D$2:$AY$2&amp;LS_previous!$D$3:$AY$3, 0)),SUM(VLOOKUP($A118, LS_previous!$B$4:$AY$138, LS_previous!H$149, FALSE), VLOOKUP('Staging Table'!$A118, LS_previous!$B$4:$AY$138,LS_previous!AF$149, FALSE))/2)</f>
        <v>442.19008755519974</v>
      </c>
      <c r="Q118" s="192">
        <f t="array" ref="Q118">IF($G118=0, INDEX(LS_previous!$D$4:$AY$138, MATCH('Staging Table'!$A118, LS_previous!$B$4:$B$138, 0), MATCH(Q$4&amp;Q$5, LS_previous!$D$2:$AY$2&amp;LS_previous!$D$3:$AY$3, 0)),SUM(VLOOKUP($A118, LS_previous!$B$4:$AY$138, LS_previous!I$149, FALSE), VLOOKUP('Staging Table'!$A118, LS_previous!$B$4:$AY$138,LS_previous!AG$149, FALSE))/2)</f>
        <v>432.86371934839985</v>
      </c>
      <c r="R118" s="192">
        <f t="array" ref="R118">IF($G118=0, INDEX(LS_previous!$D$4:$AY$138, MATCH('Staging Table'!$A118, LS_previous!$B$4:$B$138, 0), MATCH(R$4&amp;R$5, LS_previous!$D$2:$AY$2&amp;LS_previous!$D$3:$AY$3, 0)),SUM(VLOOKUP($A118, LS_previous!$B$4:$AY$138, LS_previous!J$149, FALSE), VLOOKUP('Staging Table'!$A118, LS_previous!$B$4:$AY$138,LS_previous!AH$149, FALSE))/2)</f>
        <v>659.46819595519992</v>
      </c>
      <c r="S118" s="192">
        <f t="array" ref="S118">IF($G118=0, INDEX(LS_previous!$D$4:$AY$138, MATCH('Staging Table'!$A118, LS_previous!$B$4:$B$138, 0), MATCH(S$4&amp;S$5, LS_previous!$D$2:$AY$2&amp;LS_previous!$D$3:$AY$3, 0)),SUM(VLOOKUP($A118, LS_previous!$B$4:$AY$138, LS_previous!K$149, FALSE), VLOOKUP('Staging Table'!$A118, LS_previous!$B$4:$AY$138,LS_previous!AI$149, FALSE))/2)</f>
        <v>597.57957414840007</v>
      </c>
      <c r="T118" s="192">
        <f t="array" ref="T118">IF($G118=0, INDEX(LS_previous!$D$4:$AY$138, MATCH('Staging Table'!$A118, LS_previous!$B$4:$B$138, 0), MATCH(T$4&amp;T$5, LS_previous!$D$2:$AY$2&amp;LS_previous!$D$3:$AY$3, 0)),SUM(VLOOKUP($A118, LS_previous!$B$4:$AY$138, LS_previous!L$149, FALSE), VLOOKUP('Staging Table'!$A118, LS_previous!$B$4:$AY$138,LS_previous!AJ$149, FALSE))/2)</f>
        <v>371.92623910839995</v>
      </c>
      <c r="U118" s="192">
        <f t="array" ref="U118">IF($G118=0, INDEX(LS_previous!$D$4:$AY$138, MATCH('Staging Table'!$A118, LS_previous!$B$4:$B$138, 0), MATCH(U$4&amp;U$5, LS_previous!$D$2:$AY$2&amp;LS_previous!$D$3:$AY$3, 0)),SUM(VLOOKUP($A118, LS_previous!$B$4:$AY$138, LS_previous!M$149, FALSE), VLOOKUP('Staging Table'!$A118, LS_previous!$B$4:$AY$138,LS_previous!AK$149, FALSE))/2)</f>
        <v>332.93416977159995</v>
      </c>
      <c r="V118" s="192">
        <f t="array" ref="V118">IF($G118=0, INDEX(LS_previous!$D$4:$AY$138, MATCH('Staging Table'!$A118, LS_previous!$B$4:$B$138, 0), MATCH(V$4&amp;V$5, LS_previous!$D$2:$AY$2&amp;LS_previous!$D$3:$AY$3, 0)),SUM(VLOOKUP($A118, LS_previous!$B$4:$AY$138, LS_previous!N$149, FALSE), VLOOKUP('Staging Table'!$A118, LS_previous!$B$4:$AY$138,LS_previous!AL$149, FALSE))/2)</f>
        <v>161.66153524560002</v>
      </c>
      <c r="W118" s="192">
        <f t="array" ref="W118">IF($G118=0, INDEX(LS_previous!$D$4:$AY$138, MATCH('Staging Table'!$A118, LS_previous!$B$4:$B$138, 0), MATCH(W$4&amp;W$5, LS_previous!$D$2:$AY$2&amp;LS_previous!$D$3:$AY$3, 0)),SUM(VLOOKUP($A118, LS_previous!$B$4:$AY$138, LS_previous!O$149, FALSE), VLOOKUP('Staging Table'!$A118, LS_previous!$B$4:$AY$138,LS_previous!AM$149, FALSE))/2)</f>
        <v>188.0675934210999</v>
      </c>
      <c r="X118" s="192">
        <f t="array" ref="X118">IF($G118=0, INDEX(LS_previous!$D$4:$AY$138, MATCH('Staging Table'!$A118, LS_previous!$B$4:$B$138, 0), MATCH(X$4&amp;X$5, LS_previous!$D$2:$AY$2&amp;LS_previous!$D$3:$AY$3, 0)),SUM(VLOOKUP($A118, LS_previous!$B$4:$AY$138, LS_previous!P$149, FALSE), VLOOKUP('Staging Table'!$A118, LS_previous!$B$4:$AY$138,LS_previous!AN$149, FALSE))/2)</f>
        <v>90.743892850399902</v>
      </c>
      <c r="Y118" s="192">
        <f t="array" ref="Y118">IF($G118=0, INDEX(LS_previous!$D$4:$AY$138, MATCH('Staging Table'!$A118, LS_previous!$B$4:$B$138, 0), MATCH(Y$4&amp;Y$5, LS_previous!$D$2:$AY$2&amp;LS_previous!$D$3:$AY$3, 0)),SUM(VLOOKUP($A118, LS_previous!$B$4:$AY$138, LS_previous!Q$149, FALSE), VLOOKUP('Staging Table'!$A118, LS_previous!$B$4:$AY$138,LS_previous!AO$149, FALSE))/2)</f>
        <v>101.29041691759994</v>
      </c>
      <c r="Z118" s="192">
        <f t="array" ref="Z118">IF($G118=0, INDEX(LS_previous!$D$4:$AY$138, MATCH('Staging Table'!$A118, LS_previous!$B$4:$B$138, 0), MATCH(Z$4&amp;Z$5, LS_previous!$D$2:$AY$2&amp;LS_previous!$D$3:$AY$3, 0)),SUM(VLOOKUP($A118, LS_previous!$B$4:$AY$138, LS_previous!R$149, FALSE), VLOOKUP('Staging Table'!$A118, LS_previous!$B$4:$AY$138,LS_previous!AP$149, FALSE))/2)</f>
        <v>-357.98479539000016</v>
      </c>
      <c r="AA118" s="192">
        <f t="array" ref="AA118">IF($G118=0, INDEX(LS_previous!$D$4:$AY$138, MATCH('Staging Table'!$A118, LS_previous!$B$4:$B$138, 0), MATCH(AA$4&amp;AA$5, LS_previous!$D$2:$AY$2&amp;LS_previous!$D$3:$AY$3, 0)),SUM(VLOOKUP($A118, LS_previous!$B$4:$AY$138, LS_previous!S$149, FALSE), VLOOKUP('Staging Table'!$A118, LS_previous!$B$4:$AY$138,LS_previous!AQ$149, FALSE))/2)</f>
        <v>-144.22854045640003</v>
      </c>
      <c r="AB118" s="192">
        <f t="array" ref="AB118">IF($G118=0, INDEX(LS_previous!$D$4:$AY$138, MATCH('Staging Table'!$A118, LS_previous!$B$4:$B$138, 0), MATCH(AB$4&amp;AB$5, LS_previous!$D$2:$AY$2&amp;LS_previous!$D$3:$AY$3, 0)),SUM(VLOOKUP($A118, LS_previous!$B$4:$AY$138, LS_previous!T$149, FALSE), VLOOKUP('Staging Table'!$A118, LS_previous!$B$4:$AY$138,LS_previous!AR$149, FALSE))/2)</f>
        <v>-578.26127329960013</v>
      </c>
      <c r="AC118" s="192">
        <f t="array" ref="AC118">IF($G118=0, INDEX(LS_previous!$D$4:$AY$138, MATCH('Staging Table'!$A118, LS_previous!$B$4:$B$138, 0), MATCH(AC$4&amp;AC$5, LS_previous!$D$2:$AY$2&amp;LS_previous!$D$3:$AY$3, 0)),SUM(VLOOKUP($A118, LS_previous!$B$4:$AY$138, LS_previous!U$149, FALSE), VLOOKUP('Staging Table'!$A118, LS_previous!$B$4:$AY$138,LS_previous!AS$149, FALSE))/2)</f>
        <v>-296.14566048240005</v>
      </c>
      <c r="AD118" s="192">
        <f t="array" ref="AD118">IF($G118=0, INDEX(LS_previous!$D$4:$AY$138, MATCH('Staging Table'!$A118, LS_previous!$B$4:$B$138, 0), MATCH(AD$4&amp;AD$5, LS_previous!$D$2:$AY$2&amp;LS_previous!$D$3:$AY$3, 0)),SUM(VLOOKUP($A118, LS_previous!$B$4:$AY$138, LS_previous!V$149, FALSE), VLOOKUP('Staging Table'!$A118, LS_previous!$B$4:$AY$138,LS_previous!AT$149, FALSE))/2)</f>
        <v>-305.07585779960004</v>
      </c>
      <c r="AE118" s="192">
        <f t="array" ref="AE118">IF($G118=0, INDEX(LS_previous!$D$4:$AY$138, MATCH('Staging Table'!$A118, LS_previous!$B$4:$B$138, 0), MATCH(AE$4&amp;AE$5, LS_previous!$D$2:$AY$2&amp;LS_previous!$D$3:$AY$3, 0)),SUM(VLOOKUP($A118, LS_previous!$B$4:$AY$138, LS_previous!W$149, FALSE), VLOOKUP('Staging Table'!$A118, LS_previous!$B$4:$AY$138,LS_previous!AU$149, FALSE))/2)</f>
        <v>-17.860808196800065</v>
      </c>
      <c r="AF118" s="192">
        <f t="array" ref="AF118">IF($G118=0, INDEX(LS_previous!$D$4:$AY$138, MATCH('Staging Table'!$A118, LS_previous!$B$4:$B$138, 0), MATCH(AF$4&amp;AF$5, LS_previous!$D$2:$AY$2&amp;LS_previous!$D$3:$AY$3, 0)),SUM(VLOOKUP($A118, LS_previous!$B$4:$AY$138, LS_previous!X$149, FALSE), VLOOKUP('Staging Table'!$A118, LS_previous!$B$4:$AY$138,LS_previous!AV$149, FALSE))/2)</f>
        <v>-260.55892734960014</v>
      </c>
      <c r="AG118" s="192">
        <f t="array" ref="AG118">IF($G118=0, INDEX(LS_previous!$D$4:$AY$138, MATCH('Staging Table'!$A118, LS_previous!$B$4:$B$138, 0), MATCH(AG$4&amp;AG$5, LS_previous!$D$2:$AY$2&amp;LS_previous!$D$3:$AY$3, 0)),SUM(VLOOKUP($A118, LS_previous!$B$4:$AY$138, LS_previous!Y$149, FALSE), VLOOKUP('Staging Table'!$A118, LS_previous!$B$4:$AY$138,LS_previous!AW$149, FALSE))/2)</f>
        <v>-52.797640196800103</v>
      </c>
      <c r="AH118" s="192">
        <f t="array" ref="AH118">IF($G118=0, INDEX(LS_previous!$D$4:$AY$138, MATCH('Staging Table'!$A118, LS_previous!$B$4:$B$138, 0), MATCH(AH$4&amp;AH$5, LS_previous!$D$2:$AY$2&amp;LS_previous!$D$3:$AY$3, 0)),SUM(VLOOKUP($A118, LS_previous!$B$4:$AY$138, LS_previous!Z$149, FALSE), VLOOKUP('Staging Table'!$A118, LS_previous!$B$4:$AY$138,LS_previous!AX$149, FALSE))/2)</f>
        <v>-259.28115904000015</v>
      </c>
      <c r="AI118" s="192">
        <f t="array" ref="AI118">IF($G118=0, INDEX(LS_previous!$D$4:$AY$138, MATCH('Staging Table'!$A118, LS_previous!$B$4:$B$138, 0), MATCH(AI$4&amp;AI$5, LS_previous!$D$2:$AY$2&amp;LS_previous!$D$3:$AY$3, 0)),SUM(VLOOKUP($A118, LS_previous!$B$4:$AY$138, LS_previous!AA$149, FALSE), VLOOKUP('Staging Table'!$A118, LS_previous!$B$4:$AY$138,LS_previous!AY$149, FALSE))/2)</f>
        <v>-107.23664409200001</v>
      </c>
      <c r="AJ118" s="314">
        <f t="array" ref="AJ118">INDEX(Demand_previous!$D$4:$AY$138, MATCH('Staging Table'!$A118, Demand_previous!$B$4:$B$138, 0), MATCH(AJ$4&amp;AJ$5,Demand_previous!$D$2:$AY$2&amp;Demand_previous!$D$3:$AY$3, 0))/1000</f>
        <v>3.966666666666685E-2</v>
      </c>
      <c r="AK118" s="314">
        <f t="array" ref="AK118">INDEX(Demand_previous!$D$4:$AY$138, MATCH('Staging Table'!$A118, Demand_previous!$B$4:$B$138, 0), MATCH(AK$4&amp;AK$5,Demand_previous!$D$2:$AY$2&amp;Demand_previous!$D$3:$AY$3, 0))/1000</f>
        <v>0.27619499999999997</v>
      </c>
      <c r="AL118" s="314">
        <f t="array" ref="AL118">INDEX(Demand_previous!$D$4:$AY$138, MATCH('Staging Table'!$A118, Demand_previous!$B$4:$B$138, 0), MATCH(AL$4&amp;AL$5,Demand_previous!$D$2:$AY$2&amp;Demand_previous!$D$3:$AY$3, 0))/1000</f>
        <v>0.8414700000000005</v>
      </c>
      <c r="AM118" s="314">
        <f t="array" ref="AM118">INDEX(Demand_previous!$D$4:$AY$138, MATCH('Staging Table'!$A118, Demand_previous!$B$4:$B$138, 0), MATCH(AM$4&amp;AM$5,Demand_previous!$D$2:$AY$2&amp;Demand_previous!$D$3:$AY$3, 0))/1000</f>
        <v>1.427963942307692</v>
      </c>
      <c r="AN118" s="314">
        <f t="array" ref="AN118">INDEX(Demand_previous!$D$4:$AY$138, MATCH('Staging Table'!$A118, Demand_previous!$B$4:$B$138, 0), MATCH(AN$4&amp;AN$5,Demand_previous!$D$2:$AY$2&amp;Demand_previous!$D$3:$AY$3, 0))/1000</f>
        <v>0.74357000000000051</v>
      </c>
      <c r="AO118" s="314">
        <f t="array" ref="AO118">INDEX(Demand_previous!$D$4:$AY$138, MATCH('Staging Table'!$A118, Demand_previous!$B$4:$B$138, 0), MATCH(AO$4&amp;AO$5,Demand_previous!$D$2:$AY$2&amp;Demand_previous!$D$3:$AY$3, 0))/1000</f>
        <v>0.51618509615384622</v>
      </c>
      <c r="AP118" s="314">
        <f t="array" ref="AP118">INDEX(Demand_previous!$D$4:$AY$138, MATCH('Staging Table'!$A118, Demand_previous!$B$4:$B$138, 0), MATCH(AP$4&amp;AP$5,Demand_previous!$D$2:$AY$2&amp;Demand_previous!$D$3:$AY$3, 0))/1000</f>
        <v>0.4440384615384616</v>
      </c>
      <c r="AQ118" s="314">
        <f t="array" ref="AQ118">INDEX(Demand_previous!$D$4:$AY$138, MATCH('Staging Table'!$A118, Demand_previous!$B$4:$B$138, 0), MATCH(AQ$4&amp;AQ$5,Demand_previous!$D$2:$AY$2&amp;Demand_previous!$D$3:$AY$3, 0))/1000</f>
        <v>0</v>
      </c>
      <c r="AR118" s="314">
        <f t="array" ref="AR118">INDEX(Demand_previous!$D$4:$AY$138, MATCH('Staging Table'!$A118, Demand_previous!$B$4:$B$138, 0), MATCH(AR$4&amp;AR$5,Demand_previous!$D$2:$AY$2&amp;Demand_previous!$D$3:$AY$3, 0))/1000</f>
        <v>0.24508653846153861</v>
      </c>
      <c r="AS118" s="314">
        <f t="array" ref="AS118">INDEX(Demand_previous!$D$4:$AY$138, MATCH('Staging Table'!$A118, Demand_previous!$B$4:$B$138, 0), MATCH(AS$4&amp;AS$5,Demand_previous!$D$2:$AY$2&amp;Demand_previous!$D$3:$AY$3, 0))/1000</f>
        <v>0.3607283653846155</v>
      </c>
      <c r="AT118" s="314">
        <f t="array" ref="AT118">INDEX(Demand_previous!$D$4:$AY$138, MATCH('Staging Table'!$A118, Demand_previous!$B$4:$B$138, 0), MATCH(AT$4&amp;AT$5,Demand_previous!$D$2:$AY$2&amp;Demand_previous!$D$3:$AY$3, 0))/1000</f>
        <v>0.23400961538461551</v>
      </c>
      <c r="AU118" s="314">
        <f t="array" ref="AU118">INDEX(Demand_previous!$D$4:$AY$138, MATCH('Staging Table'!$A118, Demand_previous!$B$4:$B$138, 0), MATCH(AU$4&amp;AU$5,Demand_previous!$D$2:$AY$2&amp;Demand_previous!$D$3:$AY$3, 0))/1000</f>
        <v>0.36493250000000016</v>
      </c>
      <c r="AV118" s="192">
        <f>$F118*(VLOOKUP(AV$4, Rates_previous!$G$6:$Q$29, 10, FALSE)+VLOOKUP(AV$4, Rates_previous!$G$6:$Q$29, 11, FALSE))</f>
        <v>1250.8312283964001</v>
      </c>
      <c r="AW118" s="192">
        <f>$F118*(VLOOKUP(AW$4, Rates_previous!$G$6:$Q$29, 10, FALSE)+VLOOKUP(AW$4, Rates_previous!$G$6:$Q$29, 11, FALSE))</f>
        <v>1588.9458644451001</v>
      </c>
      <c r="AX118" s="192">
        <f>$F118*(VLOOKUP(AX$4, Rates_previous!$G$6:$Q$29, 10, FALSE)+VLOOKUP(AX$4, Rates_previous!$G$6:$Q$29, 11, FALSE))</f>
        <v>1569.7571930964002</v>
      </c>
      <c r="AY118" s="192">
        <f>$F118*(VLOOKUP(AY$4, Rates_previous!$G$6:$Q$29, 10, FALSE)+VLOOKUP(AY$4, Rates_previous!$G$6:$Q$29, 11, FALSE))</f>
        <v>1308.4882298964003</v>
      </c>
      <c r="AZ118" s="192">
        <f>$F118*(VLOOKUP(AZ$4, Rates_previous!$G$6:$Q$29, 10, FALSE)+VLOOKUP(AZ$4, Rates_previous!$G$6:$Q$29, 11, FALSE))</f>
        <v>1185.3545911200001</v>
      </c>
      <c r="BA118" s="192">
        <f>$F118*(VLOOKUP(BA$4, Rates_previous!$G$6:$Q$29, 10, FALSE)+VLOOKUP(BA$4, Rates_previous!$G$6:$Q$29, 11, FALSE))</f>
        <v>1318.4908713333</v>
      </c>
      <c r="BB118" s="192">
        <f>$F118*(VLOOKUP(BB$4, Rates_previous!$G$6:$Q$29, 10, FALSE)+VLOOKUP(BB$4, Rates_previous!$G$6:$Q$29, 11, FALSE))</f>
        <v>1073.5166902320002</v>
      </c>
      <c r="BC118" s="192">
        <f>$F118*(VLOOKUP(BC$4, Rates_previous!$G$6:$Q$29, 10, FALSE)+VLOOKUP(BC$4, Rates_previous!$G$6:$Q$29, 11, FALSE))</f>
        <v>1447.7973358464003</v>
      </c>
      <c r="BD118" s="192">
        <f>$F118*(VLOOKUP(BD$4, Rates_previous!$G$6:$Q$29, 10, FALSE)+VLOOKUP(BD$4, Rates_previous!$G$6:$Q$29, 11, FALSE))</f>
        <v>1847.2909337820004</v>
      </c>
      <c r="BE118" s="192">
        <f>$F118*(VLOOKUP(BE$4, Rates_previous!$G$6:$Q$29, 10, FALSE)+VLOOKUP(BE$4, Rates_previous!$G$6:$Q$29, 11, FALSE))</f>
        <v>1448.3346659964002</v>
      </c>
      <c r="BF118" s="192">
        <f>$F118*(VLOOKUP(BF$4, Rates_previous!$G$6:$Q$29, 10, FALSE)+VLOOKUP(BF$4, Rates_previous!$G$6:$Q$29, 11, FALSE))</f>
        <v>1410.3895675464003</v>
      </c>
      <c r="BG118" s="192">
        <f>$F118*(VLOOKUP(BG$4, Rates_previous!$G$6:$Q$29, 10, FALSE)+VLOOKUP(BG$4, Rates_previous!$G$6:$Q$29, 11, FALSE))</f>
        <v>1266.2298031320001</v>
      </c>
      <c r="BH118" s="314">
        <f>IF($D118=0,IF(C118=0, MAX(BJ118 - (VLOOKUP($A118,TOCA_previous!$A$2:$AI$137,MATCH("RHWM 2020",TOCA_previous!$A$2:$AI$2,0),FALSE)*$F$2*TOCA_previous!C115),0),0), 0)</f>
        <v>44.223627404404397</v>
      </c>
      <c r="BI118" s="204">
        <f>MIN(VLOOKUP($A118,TOCA_previous!$A$2:$AI$137,MATCH("TRL - NLSL - Existing Resource "&amp;$F$1,TOCA_previous!$A$2:$AI$2,0),FALSE)*$F$2,(VLOOKUP($A118,TOCA_previous!$A$2:$AI$137,MATCH("RHWM 2020",TOCA_previous!$A$2:$AI$2,0),FALSE)*$F$2))</f>
        <v>16715.952000000001</v>
      </c>
      <c r="BJ118" s="418">
        <f>SUM(L118:AI118)+(F118*RT1SC!$C$3*$F$2)</f>
        <v>17700.063627404401</v>
      </c>
      <c r="BK118" s="417">
        <f>VLOOKUP($A118,TOCA_previous!$A$2:$AI$137,MATCH("Above RHWM Not Served with LS "&amp;$F$1,TOCA_previous!$A$2:$AI$2,0),FALSE)*$F$2</f>
        <v>0</v>
      </c>
      <c r="BL118" s="418">
        <f t="shared" si="27"/>
        <v>984.11162740439977</v>
      </c>
      <c r="BM118" s="417">
        <f>(VLOOKUP($A118,TOCA_previous!$A$2:$AI$137,MATCH("RHWM 2020",TOCA_previous!$A$2:$AI$2,0),FALSE)*$F$2) - $BI118</f>
        <v>939.88799999999537</v>
      </c>
      <c r="BN118" s="418">
        <f t="shared" si="28"/>
        <v>-939.88799999999537</v>
      </c>
      <c r="BO118" s="417">
        <f t="shared" si="29"/>
        <v>0</v>
      </c>
      <c r="BP118" s="418">
        <f t="shared" si="30"/>
        <v>0</v>
      </c>
      <c r="BQ118" s="417">
        <f t="shared" si="37"/>
        <v>-939.88799999999537</v>
      </c>
      <c r="BR118" s="120">
        <f>VLOOKUP($A118,TOCA_current!$A$2:$AI$137,MATCH(BR$4,TOCA_current!$A$2:$AI$2,0),FALSE)</f>
        <v>2.789E-4</v>
      </c>
      <c r="BS118" s="120">
        <f>VLOOKUP($A118,TOCA_current!$A$2:$AI$137,MATCH(BS$4,TOCA_current!$A$2:$AI$2,0),FALSE)</f>
        <v>2.789E-4</v>
      </c>
      <c r="BT118" s="201">
        <f t="shared" si="31"/>
        <v>0</v>
      </c>
      <c r="BU118" s="120">
        <f>VLOOKUP($A118,TOCA_current!A114:BG249,MATCH(BU$4,TOCA_current!$A$2:$BG$2,0),FALSE)</f>
        <v>0</v>
      </c>
      <c r="BV118" s="120">
        <f t="shared" si="38"/>
        <v>0</v>
      </c>
      <c r="BW118" s="120">
        <f t="shared" si="39"/>
        <v>0</v>
      </c>
      <c r="BX118" s="191">
        <f>VLOOKUP($A118,IRD!$A$4:$G$139, 7, FALSE)</f>
        <v>0</v>
      </c>
      <c r="BY118" s="192">
        <f t="array" ref="BY118">IF($BT118=0, INDEX(LS_current!$D$4:$AY$138, MATCH('Staging Table'!$A118, LS_current!$B$4:$B$138, 0), MATCH(BY$4&amp;BY$5, LS_current!$D$2:$AY$2&amp;LS_current!$D$3:$AY$3, 0)),SUM(VLOOKUP($A118, LS_current!$B$4:$AY$138, LS_current!D$148, FALSE), VLOOKUP($A118, LS_current!$B$4:$AY$138,LS_current!AB$148, FALSE))/2)</f>
        <v>-83.088404778950917</v>
      </c>
      <c r="BZ118" s="192">
        <f t="array" ref="BZ118">IF($BT118=0, INDEX(LS_current!$D$4:$AY$138, MATCH('Staging Table'!$A118, LS_current!$B$4:$B$138, 0), MATCH(BZ$4&amp;BZ$5, LS_current!$D$2:$AY$2&amp;LS_current!$D$3:$AY$3, 0)),SUM(VLOOKUP($A118, LS_current!$B$4:$AY$138, LS_current!E$148, FALSE), VLOOKUP($A118, LS_current!$B$4:$AY$138,LS_current!AC$148, FALSE))/2)</f>
        <v>-21.862116171849777</v>
      </c>
      <c r="CA118" s="192">
        <f t="array" ref="CA118">IF($BT118=0, INDEX(LS_current!$D$4:$AY$138, MATCH('Staging Table'!$A118, LS_current!$B$4:$B$138, 0), MATCH(CA$4&amp;CA$5, LS_current!$D$2:$AY$2&amp;LS_current!$D$3:$AY$3, 0)),SUM(VLOOKUP($A118, LS_current!$B$4:$AY$138, LS_current!F$148, FALSE), VLOOKUP($A118, LS_current!$B$4:$AY$138,LS_current!AD$148, FALSE))/2)</f>
        <v>-17.610908067929131</v>
      </c>
      <c r="CB118" s="192">
        <f t="array" ref="CB118">IF($BT118=0, INDEX(LS_current!$D$4:$AY$138, MATCH('Staging Table'!$A118, LS_current!$B$4:$B$138, 0), MATCH(CB$4&amp;CB$5, LS_current!$D$2:$AY$2&amp;LS_current!$D$3:$AY$3, 0)),SUM(VLOOKUP($A118, LS_current!$B$4:$AY$138, LS_current!G$148, FALSE), VLOOKUP($A118, LS_current!$B$4:$AY$138,LS_current!AE$148, FALSE))/2)</f>
        <v>69.611479823483023</v>
      </c>
      <c r="CC118" s="192">
        <f t="array" ref="CC118">IF($BT118=0, INDEX(LS_current!$D$4:$AY$138, MATCH('Staging Table'!$A118, LS_current!$B$4:$B$138, 0), MATCH(CC$4&amp;CC$5, LS_current!$D$2:$AY$2&amp;LS_current!$D$3:$AY$3, 0)),SUM(VLOOKUP($A118, LS_current!$B$4:$AY$138, LS_current!H$148, FALSE), VLOOKUP($A118, LS_current!$B$4:$AY$138,LS_current!AF$148, FALSE))/2)</f>
        <v>517.87389401926623</v>
      </c>
      <c r="CD118" s="192">
        <f t="array" ref="CD118">IF($BT118=0, INDEX(LS_current!$D$4:$AY$138, MATCH('Staging Table'!$A118, LS_current!$B$4:$B$138, 0), MATCH(CD$4&amp;CD$5, LS_current!$D$2:$AY$2&amp;LS_current!$D$3:$AY$3, 0)),SUM(VLOOKUP($A118, LS_current!$B$4:$AY$138, LS_current!I$148, FALSE), VLOOKUP($A118, LS_current!$B$4:$AY$138,LS_current!AG$148, FALSE))/2)</f>
        <v>353.04649303050996</v>
      </c>
      <c r="CE118" s="192">
        <f t="array" ref="CE118">IF($BT118=0, INDEX(LS_current!$D$4:$AY$138, MATCH('Staging Table'!$A118, LS_current!$B$4:$B$138, 0), MATCH(CE$4&amp;CE$5, LS_current!$D$2:$AY$2&amp;LS_current!$D$3:$AY$3, 0)),SUM(VLOOKUP($A118, LS_current!$B$4:$AY$138, LS_current!J$148, FALSE), VLOOKUP($A118, LS_current!$B$4:$AY$138,LS_current!AH$148, FALSE))/2)</f>
        <v>742.28141464102282</v>
      </c>
      <c r="CF118" s="192">
        <f t="array" ref="CF118">IF($BT118=0, INDEX(LS_current!$D$4:$AY$138, MATCH('Staging Table'!$A118, LS_current!$B$4:$B$138, 0), MATCH(CF$4&amp;CF$5, LS_current!$D$2:$AY$2&amp;LS_current!$D$3:$AY$3, 0)),SUM(VLOOKUP($A118, LS_current!$B$4:$AY$138, LS_current!K$148, FALSE), VLOOKUP($A118, LS_current!$B$4:$AY$138,LS_current!AI$148, FALSE))/2)</f>
        <v>523.28786851157497</v>
      </c>
      <c r="CG118" s="192">
        <f t="array" ref="CG118">IF($BT118=0, INDEX(LS_current!$D$4:$AY$138, MATCH('Staging Table'!$A118, LS_current!$B$4:$B$138, 0), MATCH(CG$4&amp;CG$5, LS_current!$D$2:$AY$2&amp;LS_current!$D$3:$AY$3, 0)),SUM(VLOOKUP($A118, LS_current!$B$4:$AY$138, LS_current!L$148, FALSE), VLOOKUP($A118, LS_current!$B$4:$AY$138,LS_current!AJ$148, FALSE))/2)</f>
        <v>465.28012506818936</v>
      </c>
      <c r="CH118" s="192">
        <f t="array" ref="CH118">IF($BT118=0, INDEX(LS_current!$D$4:$AY$138, MATCH('Staging Table'!$A118, LS_current!$B$4:$B$138, 0), MATCH(CH$4&amp;CH$5, LS_current!$D$2:$AY$2&amp;LS_current!$D$3:$AY$3, 0)),SUM(VLOOKUP($A118, LS_current!$B$4:$AY$138, LS_current!M$148, FALSE), VLOOKUP($A118, LS_current!$B$4:$AY$138,LS_current!AK$148, FALSE))/2)</f>
        <v>298.22522995492136</v>
      </c>
      <c r="CI118" s="192">
        <f t="array" ref="CI118">IF($BT118=0, INDEX(LS_current!$D$4:$AY$138, MATCH('Staging Table'!$A118, LS_current!$B$4:$B$138, 0), MATCH(CI$4&amp;CI$5, LS_current!$D$2:$AY$2&amp;LS_current!$D$3:$AY$3, 0)),SUM(VLOOKUP($A118, LS_current!$B$4:$AY$138, LS_current!N$148, FALSE), VLOOKUP($A118, LS_current!$B$4:$AY$138,LS_current!AL$148, FALSE))/2)</f>
        <v>173.93003280922267</v>
      </c>
      <c r="CJ118" s="192">
        <f t="array" ref="CJ118">IF($BT118=0, INDEX(LS_current!$D$4:$AY$138, MATCH('Staging Table'!$A118, LS_current!$B$4:$B$138, 0), MATCH(CJ$4&amp;CJ$5, LS_current!$D$2:$AY$2&amp;LS_current!$D$3:$AY$3, 0)),SUM(VLOOKUP($A118, LS_current!$B$4:$AY$138, LS_current!O$148, FALSE), VLOOKUP($A118, LS_current!$B$4:$AY$138,LS_current!AM$148, FALSE))/2)</f>
        <v>149.22617798558429</v>
      </c>
      <c r="CK118" s="192">
        <f t="array" ref="CK118">IF($BT118=0, INDEX(LS_current!$D$4:$AY$138, MATCH('Staging Table'!$A118, LS_current!$B$4:$B$138, 0), MATCH(CK$4&amp;CK$5, LS_current!$D$2:$AY$2&amp;LS_current!$D$3:$AY$3, 0)),SUM(VLOOKUP($A118, LS_current!$B$4:$AY$138, LS_current!P$148, FALSE), VLOOKUP($A118, LS_current!$B$4:$AY$138,LS_current!AN$148, FALSE))/2)</f>
        <v>122.74622789254272</v>
      </c>
      <c r="CL118" s="192">
        <f t="array" ref="CL118">IF($BT118=0, INDEX(LS_current!$D$4:$AY$138, MATCH('Staging Table'!$A118, LS_current!$B$4:$B$138, 0), MATCH(CL$4&amp;CL$5, LS_current!$D$2:$AY$2&amp;LS_current!$D$3:$AY$3, 0)),SUM(VLOOKUP($A118, LS_current!$B$4:$AY$138, LS_current!Q$148, FALSE), VLOOKUP($A118, LS_current!$B$4:$AY$138,LS_current!AO$148, FALSE))/2)</f>
        <v>98.541806651484194</v>
      </c>
      <c r="CM118" s="192">
        <f t="array" ref="CM118">IF($BT118=0, INDEX(LS_current!$D$4:$AY$138, MATCH('Staging Table'!$A118, LS_current!$B$4:$B$138, 0), MATCH(CM$4&amp;CM$5, LS_current!$D$2:$AY$2&amp;LS_current!$D$3:$AY$3, 0)),SUM(VLOOKUP($A118, LS_current!$B$4:$AY$138, LS_current!R$148, FALSE), VLOOKUP($A118, LS_current!$B$4:$AY$138,LS_current!AP$148, FALSE))/2)</f>
        <v>-393.43342811471757</v>
      </c>
      <c r="CN118" s="192">
        <f t="array" ref="CN118">IF($BT118=0, INDEX(LS_current!$D$4:$AY$138, MATCH('Staging Table'!$A118, LS_current!$B$4:$B$138, 0), MATCH(CN$4&amp;CN$5, LS_current!$D$2:$AY$2&amp;LS_current!$D$3:$AY$3, 0)),SUM(VLOOKUP($A118, LS_current!$B$4:$AY$138, LS_current!S$148, FALSE), VLOOKUP($A118, LS_current!$B$4:$AY$138,LS_current!AQ$148, FALSE))/2)</f>
        <v>-107.81659523911793</v>
      </c>
      <c r="CO118" s="192">
        <f t="array" ref="CO118">IF($BT118=0, INDEX(LS_current!$D$4:$AY$138, MATCH('Staging Table'!$A118, LS_current!$B$4:$B$138, 0), MATCH(CO$4&amp;CO$5, LS_current!$D$2:$AY$2&amp;LS_current!$D$3:$AY$3, 0)),SUM(VLOOKUP($A118, LS_current!$B$4:$AY$138, LS_current!T$148, FALSE), VLOOKUP($A118, LS_current!$B$4:$AY$138,LS_current!AR$148, FALSE))/2)</f>
        <v>-481.83698941366697</v>
      </c>
      <c r="CP118" s="192">
        <f t="array" ref="CP118">IF($BT118=0, INDEX(LS_current!$D$4:$AY$138, MATCH('Staging Table'!$A118, LS_current!$B$4:$B$138, 0), MATCH(CP$4&amp;CP$5, LS_current!$D$2:$AY$2&amp;LS_current!$D$3:$AY$3, 0)),SUM(VLOOKUP($A118, LS_current!$B$4:$AY$138, LS_current!U$148, FALSE), VLOOKUP($A118, LS_current!$B$4:$AY$138,LS_current!AS$148, FALSE))/2)</f>
        <v>-91.251460016398312</v>
      </c>
      <c r="CQ118" s="192">
        <f t="array" ref="CQ118">IF($BT118=0, INDEX(LS_current!$D$4:$AY$138, MATCH('Staging Table'!$A118, LS_current!$B$4:$B$138, 0), MATCH(CQ$4&amp;CQ$5, LS_current!$D$2:$AY$2&amp;LS_current!$D$3:$AY$3, 0)),SUM(VLOOKUP($A118, LS_current!$B$4:$AY$138, LS_current!V$148, FALSE), VLOOKUP($A118, LS_current!$B$4:$AY$138,LS_current!AT$148, FALSE))/2)</f>
        <v>-285.71813358200916</v>
      </c>
      <c r="CR118" s="192">
        <f t="array" ref="CR118">IF($BT118=0, INDEX(LS_current!$D$4:$AY$138, MATCH('Staging Table'!$A118, LS_current!$B$4:$B$138, 0), MATCH(CR$4&amp;CR$5, LS_current!$D$2:$AY$2&amp;LS_current!$D$3:$AY$3, 0)),SUM(VLOOKUP($A118, LS_current!$B$4:$AY$138, LS_current!W$148, FALSE), VLOOKUP($A118, LS_current!$B$4:$AY$138,LS_current!AU$148, FALSE))/2)</f>
        <v>-56.714703047733508</v>
      </c>
      <c r="CS118" s="192">
        <f t="array" ref="CS118">IF($BT118=0, INDEX(LS_current!$D$4:$AY$138, MATCH('Staging Table'!$A118, LS_current!$B$4:$B$138, 0), MATCH(CS$4&amp;CS$5, LS_current!$D$2:$AY$2&amp;LS_current!$D$3:$AY$3, 0)),SUM(VLOOKUP($A118, LS_current!$B$4:$AY$138, LS_current!X$148, FALSE), VLOOKUP($A118, LS_current!$B$4:$AY$138,LS_current!AV$148, FALSE))/2)</f>
        <v>-249.35677796539596</v>
      </c>
      <c r="CT118" s="192">
        <f t="array" ref="CT118">IF($BT118=0, INDEX(LS_current!$D$4:$AY$138, MATCH('Staging Table'!$A118, LS_current!$B$4:$B$138, 0), MATCH(CT$4&amp;CT$5, LS_current!$D$2:$AY$2&amp;LS_current!$D$3:$AY$3, 0)),SUM(VLOOKUP($A118, LS_current!$B$4:$AY$138, LS_current!Y$148, FALSE), VLOOKUP($A118, LS_current!$B$4:$AY$138,LS_current!AW$148, FALSE))/2)</f>
        <v>-72.155488379928386</v>
      </c>
      <c r="CU118" s="192">
        <f t="array" ref="CU118">IF($BT118=0, INDEX(LS_current!$D$4:$AY$138, MATCH('Staging Table'!$A118, LS_current!$B$4:$B$138, 0), MATCH(CU$4&amp;CU$5, LS_current!$D$2:$AY$2&amp;LS_current!$D$3:$AY$3, 0)),SUM(VLOOKUP($A118, LS_current!$B$4:$AY$138, LS_current!Z$148, FALSE), VLOOKUP($A118, LS_current!$B$4:$AY$138,LS_current!AX$148, FALSE))/2)</f>
        <v>-284.98514476538162</v>
      </c>
      <c r="CV118" s="192">
        <f t="array" ref="CV118">IF($BT118=0, INDEX(LS_current!$D$4:$AY$138, MATCH('Staging Table'!$A118, LS_current!$B$4:$B$138, 0), MATCH(CV$4&amp;CV$5, LS_current!$D$2:$AY$2&amp;LS_current!$D$3:$AY$3, 0)),SUM(VLOOKUP($A118, LS_current!$B$4:$AY$138, LS_current!AA$148, FALSE), VLOOKUP($A118, LS_current!$B$4:$AY$138,LS_current!AY$148, FALSE))/2)</f>
        <v>-126.18655882132953</v>
      </c>
      <c r="CW118" s="194">
        <f t="array" ref="CW118">INDEX(Demand_current!$D$4:$AY$138, MATCH($A118, Demand_current!$B$4:$B$138, 0), MATCH(CW$4&amp;CW$5,Demand_current!$D$2:$AY$2&amp;Demand_current!$D$3:$AY$3, 0))/1000</f>
        <v>0</v>
      </c>
      <c r="CX118" s="194">
        <f t="array" ref="CX118">INDEX(Demand_current!$D$4:$AY$138, MATCH($A118, Demand_current!$B$4:$B$138, 0), MATCH(CX$4&amp;CX$5,Demand_current!$D$2:$AY$2&amp;Demand_current!$D$3:$AY$3, 0))/1000</f>
        <v>0.27619499999999997</v>
      </c>
      <c r="CY118" s="194">
        <f t="array" ref="CY118">INDEX(Demand_current!$D$4:$AY$138, MATCH($A118, Demand_current!$B$4:$B$138, 0), MATCH(CY$4&amp;CY$5,Demand_current!$D$2:$AY$2&amp;Demand_current!$D$3:$AY$3, 0))/1000</f>
        <v>0.97772115384615421</v>
      </c>
      <c r="CZ118" s="194">
        <f t="array" ref="CZ118">INDEX(Demand_current!$D$4:$AY$138, MATCH($A118, Demand_current!$B$4:$B$138, 0), MATCH(CZ$4&amp;CZ$5,Demand_current!$D$2:$AY$2&amp;Demand_current!$D$3:$AY$3, 0))/1000</f>
        <v>1.2854824999999996</v>
      </c>
      <c r="DA118" s="194">
        <f t="array" ref="DA118">INDEX(Demand_current!$D$4:$AY$138, MATCH($A118, Demand_current!$B$4:$B$138, 0), MATCH(DA$4&amp;DA$5,Demand_current!$D$2:$AY$2&amp;Demand_current!$D$3:$AY$3, 0))/1000</f>
        <v>0.6269270833333338</v>
      </c>
      <c r="DB118" s="194">
        <f t="array" ref="DB118">INDEX(Demand_current!$D$4:$AY$138, MATCH($A118, Demand_current!$B$4:$B$138, 0), MATCH(DB$4&amp;DB$5,Demand_current!$D$2:$AY$2&amp;Demand_current!$D$3:$AY$3, 0))/1000</f>
        <v>0.60521527777777784</v>
      </c>
      <c r="DC118" s="194">
        <f t="array" ref="DC118">INDEX(Demand_current!$D$4:$AY$138, MATCH($A118, Demand_current!$B$4:$B$138, 0), MATCH(DC$4&amp;DC$5,Demand_current!$D$2:$AY$2&amp;Demand_current!$D$3:$AY$3, 0))/1000</f>
        <v>0.4440384615384616</v>
      </c>
      <c r="DD118" s="194">
        <f t="array" ref="DD118">INDEX(Demand_current!$D$4:$AY$138, MATCH($A118, Demand_current!$B$4:$B$138, 0), MATCH(DD$4&amp;DD$5,Demand_current!$D$2:$AY$2&amp;Demand_current!$D$3:$AY$3, 0))/1000</f>
        <v>0</v>
      </c>
      <c r="DE118" s="194">
        <f t="array" ref="DE118">INDEX(Demand_current!$D$4:$AY$138, MATCH($A118, Demand_current!$B$4:$B$138, 0), MATCH(DE$4&amp;DE$5,Demand_current!$D$2:$AY$2&amp;Demand_current!$D$3:$AY$3, 0))/1000</f>
        <v>0.24508653846153861</v>
      </c>
      <c r="DF118" s="194">
        <f t="array" ref="DF118">INDEX(Demand_current!$D$4:$AY$138, MATCH($A118, Demand_current!$B$4:$B$138, 0), MATCH(DF$4&amp;DF$5,Demand_current!$D$2:$AY$2&amp;Demand_current!$D$3:$AY$3, 0))/1000</f>
        <v>0.29419750000000006</v>
      </c>
      <c r="DG118" s="194">
        <f t="array" ref="DG118">INDEX(Demand_current!$D$4:$AY$138, MATCH($A118, Demand_current!$B$4:$B$138, 0), MATCH(DG$4&amp;DG$5,Demand_current!$D$2:$AY$2&amp;Demand_current!$D$3:$AY$3, 0))/1000</f>
        <v>0.29686111111111135</v>
      </c>
      <c r="DH118" s="194">
        <f t="array" ref="DH118">INDEX(Demand_current!$D$4:$AY$138, MATCH($A118, Demand_current!$B$4:$B$138, 0), MATCH(DH$4&amp;DH$5,Demand_current!$D$2:$AY$2&amp;Demand_current!$D$3:$AY$3, 0))/1000</f>
        <v>0.36493250000000016</v>
      </c>
      <c r="DI118" s="192">
        <f>$BS118*(VLOOKUP(DI$4, Rates_current!$G$6:$Q$29, 10, FALSE)+VLOOKUP(DI$4, Rates_current!$G$6:$Q$29, 11, FALSE))</f>
        <v>1270.0895209508008</v>
      </c>
      <c r="DJ118" s="192">
        <f>$BS118*(VLOOKUP(DJ$4, Rates_current!$G$6:$Q$29, 10, FALSE)+VLOOKUP(DJ$4, Rates_current!$G$6:$Q$29, 11, FALSE))</f>
        <v>1607.9794282444461</v>
      </c>
      <c r="DK118" s="192">
        <f>$BS118*(VLOOKUP(DK$4, Rates_current!$G$6:$Q$29, 10, FALSE)+VLOOKUP(DK$4, Rates_current!$G$6:$Q$29, 11, FALSE))</f>
        <v>1573.8906129502238</v>
      </c>
      <c r="DL118" s="192">
        <f>$BS118*(VLOOKUP(DL$4, Rates_current!$G$6:$Q$29, 10, FALSE)+VLOOKUP(DL$4, Rates_current!$G$6:$Q$29, 11, FALSE))</f>
        <v>1299.9667168474023</v>
      </c>
      <c r="DM118" s="192">
        <f>$BS118*(VLOOKUP(DM$4, Rates_current!$G$6:$Q$29, 10, FALSE)+VLOOKUP(DM$4, Rates_current!$G$6:$Q$29, 11, FALSE))</f>
        <v>1126.7096449768892</v>
      </c>
      <c r="DN118" s="192">
        <f>$BS118*(VLOOKUP(DN$4, Rates_current!$G$6:$Q$29, 10, FALSE)+VLOOKUP(DN$4, Rates_current!$G$6:$Q$29, 11, FALSE))</f>
        <v>1345.063789205193</v>
      </c>
      <c r="DO118" s="192">
        <f>$BS118*(VLOOKUP(DO$4, Rates_current!$G$6:$Q$29, 10, FALSE)+VLOOKUP(DO$4, Rates_current!$G$6:$Q$29, 11, FALSE))</f>
        <v>1044.2629654559732</v>
      </c>
      <c r="DP118" s="192">
        <f>$BS118*(VLOOKUP(DP$4, Rates_current!$G$6:$Q$29, 10, FALSE)+VLOOKUP(DP$4, Rates_current!$G$6:$Q$29, 11, FALSE))</f>
        <v>1446.8340233538354</v>
      </c>
      <c r="DQ118" s="192">
        <f>$BS118*(VLOOKUP(DQ$4, Rates_current!$G$6:$Q$29, 10, FALSE)+VLOOKUP(DQ$4, Rates_current!$G$6:$Q$29, 11, FALSE))</f>
        <v>1545.9724494300651</v>
      </c>
      <c r="DR118" s="192">
        <f>$BS118*(VLOOKUP(DR$4, Rates_current!$G$6:$Q$29, 10, FALSE)+VLOOKUP(DR$4, Rates_current!$G$6:$Q$29, 11, FALSE))</f>
        <v>1467.8308366297429</v>
      </c>
      <c r="DS118" s="192">
        <f>$BS118*(VLOOKUP(DS$4, Rates_current!$G$6:$Q$29, 10, FALSE)+VLOOKUP(DS$4, Rates_current!$G$6:$Q$29, 11, FALSE))</f>
        <v>1418.5452663453243</v>
      </c>
      <c r="DT118" s="192">
        <f>$BS118*(VLOOKUP(DT$4, Rates_current!$G$6:$Q$29, 10, FALSE)+VLOOKUP(DT$4, Rates_current!$G$6:$Q$29, 11, FALSE))</f>
        <v>1310.8837035867111</v>
      </c>
      <c r="DU118" s="418">
        <f>IF(D118=0,IF(C118=0,MAX(0,DW118 - (VLOOKUP($A118,TOCA_current!$A$2:$AI$137,MATCH("RHWM 2022",TOCA_current!$A$2:$AI$2,0),FALSE)*$BS$2)), 0),0)</f>
        <v>810.7838418993997</v>
      </c>
      <c r="DV118" s="419">
        <f>MIN(VLOOKUP($A118,TOCA_current!$A$2:$AI$137,MATCH("TRL - NLSL - Existing Resource "&amp;$BS$1,TOCA_current!$A$2:$AI$2,0),FALSE)*$BS$2, VLOOKUP($A118,TOCA_current!$A$2:$AI$137,MATCH("RHWM 2022",TOCA_current!$A$2:$AI$2,0),FALSE)*$BS$2)</f>
        <v>16460.04</v>
      </c>
      <c r="DW118" s="419">
        <f>SUM(BY118:CV118)+(BS118*RT1SC!$C$4*$BS$2)</f>
        <v>17700.063841899399</v>
      </c>
      <c r="DX118" s="419">
        <f>VLOOKUP($A118,TOCA_current!$A$2:$AI$137,MATCH("Above RHWM Not Served with LS "&amp;$BS$1,TOCA_current!$A$2:$AI$2,0),FALSE)*$BS$2</f>
        <v>0</v>
      </c>
      <c r="DY118" s="419">
        <f t="shared" si="32"/>
        <v>1240.0238418993977</v>
      </c>
      <c r="DZ118" s="419">
        <f>(VLOOKUP($A118,TOCA_current!$A$2:$AI$137,MATCH("RHWM 2022",TOCA_current!$A$2:$AI$2,0),FALSE)*$BS$2) - $DV118</f>
        <v>429.23999999999796</v>
      </c>
      <c r="EA118" s="419">
        <f t="shared" si="33"/>
        <v>-429.23999999999796</v>
      </c>
      <c r="EB118" s="419">
        <f t="shared" si="34"/>
        <v>0</v>
      </c>
      <c r="EC118" s="419">
        <f t="shared" si="35"/>
        <v>0</v>
      </c>
      <c r="ED118" s="419">
        <f t="shared" si="36"/>
        <v>-429.23999999999796</v>
      </c>
    </row>
    <row r="119" spans="1:134">
      <c r="A119" s="135">
        <v>10379</v>
      </c>
      <c r="B119" s="136" t="s">
        <v>120</v>
      </c>
      <c r="C119" s="244">
        <f>VLOOKUP(A119, TOCA_current!$A$3:$D$137, 4, FALSE)</f>
        <v>0</v>
      </c>
      <c r="D119" s="203">
        <v>0</v>
      </c>
      <c r="E119" s="119">
        <f>VLOOKUP($A119,TOCA_previous!$A$2:$AI$137,MATCH(E$4,TOCA_previous!$A$2:$AI$2,0),FALSE)</f>
        <v>6.7560000000000005E-4</v>
      </c>
      <c r="F119" s="120">
        <f>VLOOKUP($A119,TOCA_previous!$A$2:$AI$137,MATCH(F$4,TOCA_previous!$A$2:$AI$2,0),FALSE)</f>
        <v>6.7560000000000005E-4</v>
      </c>
      <c r="G119" s="120">
        <f t="shared" si="24"/>
        <v>0</v>
      </c>
      <c r="H119" s="120">
        <f>VLOOKUP($A119,TOCA_previous!$A$2:$AI$137,MATCH(H$4,TOCA_previous!$A$2:$AI$2,0),FALSE)</f>
        <v>0</v>
      </c>
      <c r="I119" s="120">
        <f t="shared" si="25"/>
        <v>0</v>
      </c>
      <c r="J119" s="120">
        <f t="shared" si="26"/>
        <v>0</v>
      </c>
      <c r="K119" s="191">
        <f>VLOOKUP(A119, IRD!$A$5:$C$139, 3, FALSE)</f>
        <v>0</v>
      </c>
      <c r="L119" s="192">
        <f t="array" ref="L119">IF($G119=0, INDEX(LS_previous!$D$4:$AY$138, MATCH('Staging Table'!$A119, LS_previous!$B$4:$B$138, 0), MATCH(L$4&amp;L$5, LS_previous!$D$2:$AY$2&amp;LS_previous!$D$3:$AY$3, 0)),SUM(VLOOKUP($A119, LS_previous!$B$4:$AY$138, LS_previous!D$149, FALSE), VLOOKUP('Staging Table'!$A119, LS_previous!$B$4:$AY$138,LS_previous!AB$149, FALSE))/2)</f>
        <v>-74.023576132799917</v>
      </c>
      <c r="M119" s="192">
        <f t="array" ref="M119">IF($G119=0, INDEX(LS_previous!$D$4:$AY$138, MATCH('Staging Table'!$A119, LS_previous!$B$4:$B$138, 0), MATCH(M$4&amp;M$5, LS_previous!$D$2:$AY$2&amp;LS_previous!$D$3:$AY$3, 0)),SUM(VLOOKUP($A119, LS_previous!$B$4:$AY$138, LS_previous!E$149, FALSE), VLOOKUP('Staging Table'!$A119, LS_previous!$B$4:$AY$138,LS_previous!AC$149, FALSE))/2)</f>
        <v>85.231078515200124</v>
      </c>
      <c r="N119" s="192">
        <f t="array" ref="N119">IF($G119=0, INDEX(LS_previous!$D$4:$AY$138, MATCH('Staging Table'!$A119, LS_previous!$B$4:$B$138, 0), MATCH(N$4&amp;N$5, LS_previous!$D$2:$AY$2&amp;LS_previous!$D$3:$AY$3, 0)),SUM(VLOOKUP($A119, LS_previous!$B$4:$AY$138, LS_previous!F$149, FALSE), VLOOKUP('Staging Table'!$A119, LS_previous!$B$4:$AY$138,LS_previous!AD$149, FALSE))/2)</f>
        <v>-164.24350191680014</v>
      </c>
      <c r="O119" s="192">
        <f t="array" ref="O119">IF($G119=0, INDEX(LS_previous!$D$4:$AY$138, MATCH('Staging Table'!$A119, LS_previous!$B$4:$B$138, 0), MATCH(O$4&amp;O$5, LS_previous!$D$2:$AY$2&amp;LS_previous!$D$3:$AY$3, 0)),SUM(VLOOKUP($A119, LS_previous!$B$4:$AY$138, LS_previous!G$149, FALSE), VLOOKUP('Staging Table'!$A119, LS_previous!$B$4:$AY$138,LS_previous!AE$149, FALSE))/2)</f>
        <v>118.68080564839988</v>
      </c>
      <c r="P119" s="192">
        <f t="array" ref="P119">IF($G119=0, INDEX(LS_previous!$D$4:$AY$138, MATCH('Staging Table'!$A119, LS_previous!$B$4:$B$138, 0), MATCH(P$4&amp;P$5, LS_previous!$D$2:$AY$2&amp;LS_previous!$D$3:$AY$3, 0)),SUM(VLOOKUP($A119, LS_previous!$B$4:$AY$138, LS_previous!H$149, FALSE), VLOOKUP('Staging Table'!$A119, LS_previous!$B$4:$AY$138,LS_previous!AF$149, FALSE))/2)</f>
        <v>237.19467239679943</v>
      </c>
      <c r="Q119" s="192">
        <f t="array" ref="Q119">IF($G119=0, INDEX(LS_previous!$D$4:$AY$138, MATCH('Staging Table'!$A119, LS_previous!$B$4:$B$138, 0), MATCH(Q$4&amp;Q$5, LS_previous!$D$2:$AY$2&amp;LS_previous!$D$3:$AY$3, 0)),SUM(VLOOKUP($A119, LS_previous!$B$4:$AY$138, LS_previous!I$149, FALSE), VLOOKUP('Staging Table'!$A119, LS_previous!$B$4:$AY$138,LS_previous!AG$149, FALSE))/2)</f>
        <v>255.3134351855997</v>
      </c>
      <c r="R119" s="192">
        <f t="array" ref="R119">IF($G119=0, INDEX(LS_previous!$D$4:$AY$138, MATCH('Staging Table'!$A119, LS_previous!$B$4:$B$138, 0), MATCH(R$4&amp;R$5, LS_previous!$D$2:$AY$2&amp;LS_previous!$D$3:$AY$3, 0)),SUM(VLOOKUP($A119, LS_previous!$B$4:$AY$138, LS_previous!J$149, FALSE), VLOOKUP('Staging Table'!$A119, LS_previous!$B$4:$AY$138,LS_previous!AH$149, FALSE))/2)</f>
        <v>649.5476979967998</v>
      </c>
      <c r="S119" s="192">
        <f t="array" ref="S119">IF($G119=0, INDEX(LS_previous!$D$4:$AY$138, MATCH('Staging Table'!$A119, LS_previous!$B$4:$B$138, 0), MATCH(S$4&amp;S$5, LS_previous!$D$2:$AY$2&amp;LS_previous!$D$3:$AY$3, 0)),SUM(VLOOKUP($A119, LS_previous!$B$4:$AY$138, LS_previous!K$149, FALSE), VLOOKUP('Staging Table'!$A119, LS_previous!$B$4:$AY$138,LS_previous!AI$149, FALSE))/2)</f>
        <v>645.23047838560001</v>
      </c>
      <c r="T119" s="192">
        <f t="array" ref="T119">IF($G119=0, INDEX(LS_previous!$D$4:$AY$138, MATCH('Staging Table'!$A119, LS_previous!$B$4:$B$138, 0), MATCH(T$4&amp;T$5, LS_previous!$D$2:$AY$2&amp;LS_previous!$D$3:$AY$3, 0)),SUM(VLOOKUP($A119, LS_previous!$B$4:$AY$138, LS_previous!L$149, FALSE), VLOOKUP('Staging Table'!$A119, LS_previous!$B$4:$AY$138,LS_previous!AJ$149, FALSE))/2)</f>
        <v>450.62358302560006</v>
      </c>
      <c r="U119" s="192">
        <f t="array" ref="U119">IF($G119=0, INDEX(LS_previous!$D$4:$AY$138, MATCH('Staging Table'!$A119, LS_previous!$B$4:$B$138, 0), MATCH(U$4&amp;U$5, LS_previous!$D$2:$AY$2&amp;LS_previous!$D$3:$AY$3, 0)),SUM(VLOOKUP($A119, LS_previous!$B$4:$AY$138, LS_previous!M$149, FALSE), VLOOKUP('Staging Table'!$A119, LS_previous!$B$4:$AY$138,LS_previous!AK$149, FALSE))/2)</f>
        <v>392.34870689439981</v>
      </c>
      <c r="V119" s="192">
        <f t="array" ref="V119">IF($G119=0, INDEX(LS_previous!$D$4:$AY$138, MATCH('Staging Table'!$A119, LS_previous!$B$4:$B$138, 0), MATCH(V$4&amp;V$5, LS_previous!$D$2:$AY$2&amp;LS_previous!$D$3:$AY$3, 0)),SUM(VLOOKUP($A119, LS_previous!$B$4:$AY$138, LS_previous!N$149, FALSE), VLOOKUP('Staging Table'!$A119, LS_previous!$B$4:$AY$138,LS_previous!AL$149, FALSE))/2)</f>
        <v>146.63741791040002</v>
      </c>
      <c r="W119" s="192">
        <f t="array" ref="W119">IF($G119=0, INDEX(LS_previous!$D$4:$AY$138, MATCH('Staging Table'!$A119, LS_previous!$B$4:$B$138, 0), MATCH(W$4&amp;W$5, LS_previous!$D$2:$AY$2&amp;LS_previous!$D$3:$AY$3, 0)),SUM(VLOOKUP($A119, LS_previous!$B$4:$AY$138, LS_previous!O$149, FALSE), VLOOKUP('Staging Table'!$A119, LS_previous!$B$4:$AY$138,LS_previous!AM$149, FALSE))/2)</f>
        <v>203.2690790524</v>
      </c>
      <c r="X119" s="192">
        <f t="array" ref="X119">IF($G119=0, INDEX(LS_previous!$D$4:$AY$138, MATCH('Staging Table'!$A119, LS_previous!$B$4:$B$138, 0), MATCH(X$4&amp;X$5, LS_previous!$D$2:$AY$2&amp;LS_previous!$D$3:$AY$3, 0)),SUM(VLOOKUP($A119, LS_previous!$B$4:$AY$138, LS_previous!P$149, FALSE), VLOOKUP('Staging Table'!$A119, LS_previous!$B$4:$AY$138,LS_previous!AN$149, FALSE))/2)</f>
        <v>255.69114695359985</v>
      </c>
      <c r="Y119" s="192">
        <f t="array" ref="Y119">IF($G119=0, INDEX(LS_previous!$D$4:$AY$138, MATCH('Staging Table'!$A119, LS_previous!$B$4:$B$138, 0), MATCH(Y$4&amp;Y$5, LS_previous!$D$2:$AY$2&amp;LS_previous!$D$3:$AY$3, 0)),SUM(VLOOKUP($A119, LS_previous!$B$4:$AY$138, LS_previous!Q$149, FALSE), VLOOKUP('Staging Table'!$A119, LS_previous!$B$4:$AY$138,LS_previous!AO$149, FALSE))/2)</f>
        <v>232.90371195839987</v>
      </c>
      <c r="Z119" s="192">
        <f t="array" ref="Z119">IF($G119=0, INDEX(LS_previous!$D$4:$AY$138, MATCH('Staging Table'!$A119, LS_previous!$B$4:$B$138, 0), MATCH(Z$4&amp;Z$5, LS_previous!$D$2:$AY$2&amp;LS_previous!$D$3:$AY$3, 0)),SUM(VLOOKUP($A119, LS_previous!$B$4:$AY$138, LS_previous!R$149, FALSE), VLOOKUP('Staging Table'!$A119, LS_previous!$B$4:$AY$138,LS_previous!AP$149, FALSE))/2)</f>
        <v>-752.7276447600002</v>
      </c>
      <c r="AA119" s="192">
        <f t="array" ref="AA119">IF($G119=0, INDEX(LS_previous!$D$4:$AY$138, MATCH('Staging Table'!$A119, LS_previous!$B$4:$B$138, 0), MATCH(AA$4&amp;AA$5, LS_previous!$D$2:$AY$2&amp;LS_previous!$D$3:$AY$3, 0)),SUM(VLOOKUP($A119, LS_previous!$B$4:$AY$138, LS_previous!S$149, FALSE), VLOOKUP('Staging Table'!$A119, LS_previous!$B$4:$AY$138,LS_previous!AQ$149, FALSE))/2)</f>
        <v>-169.5214386575999</v>
      </c>
      <c r="AB119" s="192">
        <f t="array" ref="AB119">IF($G119=0, INDEX(LS_previous!$D$4:$AY$138, MATCH('Staging Table'!$A119, LS_previous!$B$4:$B$138, 0), MATCH(AB$4&amp;AB$5, LS_previous!$D$2:$AY$2&amp;LS_previous!$D$3:$AY$3, 0)),SUM(VLOOKUP($A119, LS_previous!$B$4:$AY$138, LS_previous!T$149, FALSE), VLOOKUP('Staging Table'!$A119, LS_previous!$B$4:$AY$138,LS_previous!AR$149, FALSE))/2)</f>
        <v>-1499.1299296464001</v>
      </c>
      <c r="AC119" s="192">
        <f t="array" ref="AC119">IF($G119=0, INDEX(LS_previous!$D$4:$AY$138, MATCH('Staging Table'!$A119, LS_previous!$B$4:$B$138, 0), MATCH(AC$4&amp;AC$5, LS_previous!$D$2:$AY$2&amp;LS_previous!$D$3:$AY$3, 0)),SUM(VLOOKUP($A119, LS_previous!$B$4:$AY$138, LS_previous!U$149, FALSE), VLOOKUP('Staging Table'!$A119, LS_previous!$B$4:$AY$138,LS_previous!AS$149, FALSE))/2)</f>
        <v>-705.16390964160007</v>
      </c>
      <c r="AD119" s="192">
        <f t="array" ref="AD119">IF($G119=0, INDEX(LS_previous!$D$4:$AY$138, MATCH('Staging Table'!$A119, LS_previous!$B$4:$B$138, 0), MATCH(AD$4&amp;AD$5, LS_previous!$D$2:$AY$2&amp;LS_previous!$D$3:$AY$3, 0)),SUM(VLOOKUP($A119, LS_previous!$B$4:$AY$138, LS_previous!V$149, FALSE), VLOOKUP('Staging Table'!$A119, LS_previous!$B$4:$AY$138,LS_previous!AT$149, FALSE))/2)</f>
        <v>-982.23062764639985</v>
      </c>
      <c r="AE119" s="192">
        <f t="array" ref="AE119">IF($G119=0, INDEX(LS_previous!$D$4:$AY$138, MATCH('Staging Table'!$A119, LS_previous!$B$4:$B$138, 0), MATCH(AE$4&amp;AE$5, LS_previous!$D$2:$AY$2&amp;LS_previous!$D$3:$AY$3, 0)),SUM(VLOOKUP($A119, LS_previous!$B$4:$AY$138, LS_previous!W$149, FALSE), VLOOKUP('Staging Table'!$A119, LS_previous!$B$4:$AY$138,LS_previous!AU$149, FALSE))/2)</f>
        <v>-86.926508371200043</v>
      </c>
      <c r="AF119" s="192">
        <f t="array" ref="AF119">IF($G119=0, INDEX(LS_previous!$D$4:$AY$138, MATCH('Staging Table'!$A119, LS_previous!$B$4:$B$138, 0), MATCH(AF$4&amp;AF$5, LS_previous!$D$2:$AY$2&amp;LS_previous!$D$3:$AY$3, 0)),SUM(VLOOKUP($A119, LS_previous!$B$4:$AY$138, LS_previous!X$149, FALSE), VLOOKUP('Staging Table'!$A119, LS_previous!$B$4:$AY$138,LS_previous!AV$149, FALSE))/2)</f>
        <v>-834.57850984640004</v>
      </c>
      <c r="AG119" s="192">
        <f t="array" ref="AG119">IF($G119=0, INDEX(LS_previous!$D$4:$AY$138, MATCH('Staging Table'!$A119, LS_previous!$B$4:$B$138, 0), MATCH(AG$4&amp;AG$5, LS_previous!$D$2:$AY$2&amp;LS_previous!$D$3:$AY$3, 0)),SUM(VLOOKUP($A119, LS_previous!$B$4:$AY$138, LS_previous!Y$149, FALSE), VLOOKUP('Staging Table'!$A119, LS_previous!$B$4:$AY$138,LS_previous!AW$149, FALSE))/2)</f>
        <v>-124.20799637120024</v>
      </c>
      <c r="AH119" s="192">
        <f t="array" ref="AH119">IF($G119=0, INDEX(LS_previous!$D$4:$AY$138, MATCH('Staging Table'!$A119, LS_previous!$B$4:$B$138, 0), MATCH(AH$4&amp;AH$5, LS_previous!$D$2:$AY$2&amp;LS_previous!$D$3:$AY$3, 0)),SUM(VLOOKUP($A119, LS_previous!$B$4:$AY$138, LS_previous!Z$149, FALSE), VLOOKUP('Staging Table'!$A119, LS_previous!$B$4:$AY$138,LS_previous!AX$149, FALSE))/2)</f>
        <v>-529.68931136000015</v>
      </c>
      <c r="AI119" s="192">
        <f t="array" ref="AI119">IF($G119=0, INDEX(LS_previous!$D$4:$AY$138, MATCH('Staging Table'!$A119, LS_previous!$B$4:$B$138, 0), MATCH(AI$4&amp;AI$5, LS_previous!$D$2:$AY$2&amp;LS_previous!$D$3:$AY$3, 0)),SUM(VLOOKUP($A119, LS_previous!$B$4:$AY$138, LS_previous!AA$149, FALSE), VLOOKUP('Staging Table'!$A119, LS_previous!$B$4:$AY$138,LS_previous!AY$149, FALSE))/2)</f>
        <v>-169.54283332799992</v>
      </c>
      <c r="AJ119" s="314">
        <f t="array" ref="AJ119">INDEX(Demand_previous!$D$4:$AY$138, MATCH('Staging Table'!$A119, Demand_previous!$B$4:$B$138, 0), MATCH(AJ$4&amp;AJ$5,Demand_previous!$D$2:$AY$2&amp;Demand_previous!$D$3:$AY$3, 0))/1000</f>
        <v>0.48350694444444375</v>
      </c>
      <c r="AK119" s="314">
        <f t="array" ref="AK119">INDEX(Demand_previous!$D$4:$AY$138, MATCH('Staging Table'!$A119, Demand_previous!$B$4:$B$138, 0), MATCH(AK$4&amp;AK$5,Demand_previous!$D$2:$AY$2&amp;Demand_previous!$D$3:$AY$3, 0))/1000</f>
        <v>6.5350000000004016E-3</v>
      </c>
      <c r="AL119" s="314">
        <f t="array" ref="AL119">INDEX(Demand_previous!$D$4:$AY$138, MATCH('Staging Table'!$A119, Demand_previous!$B$4:$B$138, 0), MATCH(AL$4&amp;AL$5,Demand_previous!$D$2:$AY$2&amp;Demand_previous!$D$3:$AY$3, 0))/1000</f>
        <v>0.99322000000000066</v>
      </c>
      <c r="AM119" s="314">
        <f t="array" ref="AM119">INDEX(Demand_previous!$D$4:$AY$138, MATCH('Staging Table'!$A119, Demand_previous!$B$4:$B$138, 0), MATCH(AM$4&amp;AM$5,Demand_previous!$D$2:$AY$2&amp;Demand_previous!$D$3:$AY$3, 0))/1000</f>
        <v>1.1076874999999997</v>
      </c>
      <c r="AN119" s="314">
        <f t="array" ref="AN119">INDEX(Demand_previous!$D$4:$AY$138, MATCH('Staging Table'!$A119, Demand_previous!$B$4:$B$138, 0), MATCH(AN$4&amp;AN$5,Demand_previous!$D$2:$AY$2&amp;Demand_previous!$D$3:$AY$3, 0))/1000</f>
        <v>0.97479249999999962</v>
      </c>
      <c r="AO119" s="314">
        <f t="array" ref="AO119">INDEX(Demand_previous!$D$4:$AY$138, MATCH('Staging Table'!$A119, Demand_previous!$B$4:$B$138, 0), MATCH(AO$4&amp;AO$5,Demand_previous!$D$2:$AY$2&amp;Demand_previous!$D$3:$AY$3, 0))/1000</f>
        <v>0.68776682692307789</v>
      </c>
      <c r="AP119" s="314">
        <f t="array" ref="AP119">INDEX(Demand_previous!$D$4:$AY$138, MATCH('Staging Table'!$A119, Demand_previous!$B$4:$B$138, 0), MATCH(AP$4&amp;AP$5,Demand_previous!$D$2:$AY$2&amp;Demand_previous!$D$3:$AY$3, 0))/1000</f>
        <v>0.26668028846153824</v>
      </c>
      <c r="AQ119" s="314">
        <f t="array" ref="AQ119">INDEX(Demand_previous!$D$4:$AY$138, MATCH('Staging Table'!$A119, Demand_previous!$B$4:$B$138, 0), MATCH(AQ$4&amp;AQ$5,Demand_previous!$D$2:$AY$2&amp;Demand_previous!$D$3:$AY$3, 0))/1000</f>
        <v>0.43322000000000038</v>
      </c>
      <c r="AR119" s="314">
        <f t="array" ref="AR119">INDEX(Demand_previous!$D$4:$AY$138, MATCH('Staging Table'!$A119, Demand_previous!$B$4:$B$138, 0), MATCH(AR$4&amp;AR$5,Demand_previous!$D$2:$AY$2&amp;Demand_previous!$D$3:$AY$3, 0))/1000</f>
        <v>1.2163197115384614</v>
      </c>
      <c r="AS119" s="314">
        <f t="array" ref="AS119">INDEX(Demand_previous!$D$4:$AY$138, MATCH('Staging Table'!$A119, Demand_previous!$B$4:$B$138, 0), MATCH(AS$4&amp;AS$5,Demand_previous!$D$2:$AY$2&amp;Demand_previous!$D$3:$AY$3, 0))/1000</f>
        <v>0.97916105769230777</v>
      </c>
      <c r="AT119" s="314">
        <f t="array" ref="AT119">INDEX(Demand_previous!$D$4:$AY$138, MATCH('Staging Table'!$A119, Demand_previous!$B$4:$B$138, 0), MATCH(AT$4&amp;AT$5,Demand_previous!$D$2:$AY$2&amp;Demand_previous!$D$3:$AY$3, 0))/1000</f>
        <v>0.988014423076923</v>
      </c>
      <c r="AU119" s="314">
        <f t="array" ref="AU119">INDEX(Demand_previous!$D$4:$AY$138, MATCH('Staging Table'!$A119, Demand_previous!$B$4:$B$138, 0), MATCH(AU$4&amp;AU$5,Demand_previous!$D$2:$AY$2&amp;Demand_previous!$D$3:$AY$3, 0))/1000</f>
        <v>0.97439500000000023</v>
      </c>
      <c r="AV119" s="192">
        <f>$F119*(VLOOKUP(AV$4, Rates_previous!$G$6:$Q$29, 10, FALSE)+VLOOKUP(AV$4, Rates_previous!$G$6:$Q$29, 11, FALSE))</f>
        <v>3119.4594976175999</v>
      </c>
      <c r="AW119" s="192">
        <f>$F119*(VLOOKUP(AW$4, Rates_previous!$G$6:$Q$29, 10, FALSE)+VLOOKUP(AW$4, Rates_previous!$G$6:$Q$29, 11, FALSE))</f>
        <v>3962.6866962684003</v>
      </c>
      <c r="AX119" s="192">
        <f>$F119*(VLOOKUP(AX$4, Rates_previous!$G$6:$Q$29, 10, FALSE)+VLOOKUP(AX$4, Rates_previous!$G$6:$Q$29, 11, FALSE))</f>
        <v>3914.8318924176006</v>
      </c>
      <c r="AY119" s="192">
        <f>$F119*(VLOOKUP(AY$4, Rates_previous!$G$6:$Q$29, 10, FALSE)+VLOOKUP(AY$4, Rates_previous!$G$6:$Q$29, 11, FALSE))</f>
        <v>3263.2508236176004</v>
      </c>
      <c r="AZ119" s="192">
        <f>$F119*(VLOOKUP(AZ$4, Rates_previous!$G$6:$Q$29, 10, FALSE)+VLOOKUP(AZ$4, Rates_previous!$G$6:$Q$29, 11, FALSE))</f>
        <v>2956.16671008</v>
      </c>
      <c r="BA119" s="192">
        <f>$F119*(VLOOKUP(BA$4, Rates_previous!$G$6:$Q$29, 10, FALSE)+VLOOKUP(BA$4, Rates_previous!$G$6:$Q$29, 11, FALSE))</f>
        <v>3288.1965030372003</v>
      </c>
      <c r="BB119" s="192">
        <f>$F119*(VLOOKUP(BB$4, Rates_previous!$G$6:$Q$29, 10, FALSE)+VLOOKUP(BB$4, Rates_previous!$G$6:$Q$29, 11, FALSE))</f>
        <v>2677.2531410880001</v>
      </c>
      <c r="BC119" s="192">
        <f>$F119*(VLOOKUP(BC$4, Rates_previous!$G$6:$Q$29, 10, FALSE)+VLOOKUP(BC$4, Rates_previous!$G$6:$Q$29, 11, FALSE))</f>
        <v>3610.6750834176005</v>
      </c>
      <c r="BD119" s="192">
        <f>$F119*(VLOOKUP(BD$4, Rates_previous!$G$6:$Q$29, 10, FALSE)+VLOOKUP(BD$4, Rates_previous!$G$6:$Q$29, 11, FALSE))</f>
        <v>4606.9758392880003</v>
      </c>
      <c r="BE119" s="192">
        <f>$F119*(VLOOKUP(BE$4, Rates_previous!$G$6:$Q$29, 10, FALSE)+VLOOKUP(BE$4, Rates_previous!$G$6:$Q$29, 11, FALSE))</f>
        <v>3612.0151360176005</v>
      </c>
      <c r="BF119" s="192">
        <f>$F119*(VLOOKUP(BF$4, Rates_previous!$G$6:$Q$29, 10, FALSE)+VLOOKUP(BF$4, Rates_previous!$G$6:$Q$29, 11, FALSE))</f>
        <v>3517.3835062176004</v>
      </c>
      <c r="BG119" s="192">
        <f>$F119*(VLOOKUP(BG$4, Rates_previous!$G$6:$Q$29, 10, FALSE)+VLOOKUP(BG$4, Rates_previous!$G$6:$Q$29, 11, FALSE))</f>
        <v>3157.8621446880006</v>
      </c>
      <c r="BH119" s="314">
        <f>IF($D119=0,IF(C119=0, MAX(BJ119 - (VLOOKUP($A119,TOCA_previous!$A$2:$AI$137,MATCH("RHWM 2020",TOCA_previous!$A$2:$AI$2,0),FALSE)*$F$2*TOCA_previous!C116),0),0), 0)</f>
        <v>0</v>
      </c>
      <c r="BI119" s="204">
        <f>MIN(VLOOKUP($A119,TOCA_previous!$A$2:$AI$137,MATCH("TRL - NLSL - Existing Resource "&amp;$F$1,TOCA_previous!$A$2:$AI$2,0),FALSE)*$F$2,(VLOOKUP($A119,TOCA_previous!$A$2:$AI$137,MATCH("RHWM 2020",TOCA_previous!$A$2:$AI$2,0),FALSE)*$F$2))</f>
        <v>41688.864000000001</v>
      </c>
      <c r="BJ119" s="418">
        <f>SUM(L119:AI119)+(F119*RT1SC!$C$3*$F$2)</f>
        <v>39267.444564689598</v>
      </c>
      <c r="BK119" s="417">
        <f>VLOOKUP($A119,TOCA_previous!$A$2:$AI$137,MATCH("Above RHWM Not Served with LS "&amp;$F$1,TOCA_previous!$A$2:$AI$2,0),FALSE)*$F$2</f>
        <v>0</v>
      </c>
      <c r="BL119" s="418">
        <f t="shared" si="27"/>
        <v>-2421.4194353104031</v>
      </c>
      <c r="BM119" s="417">
        <f>(VLOOKUP($A119,TOCA_previous!$A$2:$AI$137,MATCH("RHWM 2020",TOCA_previous!$A$2:$AI$2,0),FALSE)*$F$2) - $BI119</f>
        <v>325.00800000000163</v>
      </c>
      <c r="BN119" s="418">
        <f t="shared" si="28"/>
        <v>0</v>
      </c>
      <c r="BO119" s="417">
        <f t="shared" si="29"/>
        <v>2421.4194353104031</v>
      </c>
      <c r="BP119" s="418">
        <f t="shared" si="30"/>
        <v>0</v>
      </c>
      <c r="BQ119" s="417">
        <f t="shared" si="37"/>
        <v>2421.4194353104031</v>
      </c>
      <c r="BR119" s="120">
        <f>VLOOKUP($A119,TOCA_current!$A$2:$AI$137,MATCH(BR$4,TOCA_current!$A$2:$AI$2,0),FALSE)</f>
        <v>6.7500000000000004E-4</v>
      </c>
      <c r="BS119" s="120">
        <f>VLOOKUP($A119,TOCA_current!$A$2:$AI$137,MATCH(BS$4,TOCA_current!$A$2:$AI$2,0),FALSE)</f>
        <v>6.7500000000000004E-4</v>
      </c>
      <c r="BT119" s="201">
        <f t="shared" si="31"/>
        <v>0</v>
      </c>
      <c r="BU119" s="120">
        <f>VLOOKUP($A119,TOCA_current!A115:BG250,MATCH(BU$4,TOCA_current!$A$2:$BG$2,0),FALSE)</f>
        <v>0</v>
      </c>
      <c r="BV119" s="120">
        <f t="shared" si="38"/>
        <v>0</v>
      </c>
      <c r="BW119" s="120">
        <f t="shared" si="39"/>
        <v>0</v>
      </c>
      <c r="BX119" s="191">
        <f>VLOOKUP($A119,IRD!$A$4:$G$139, 7, FALSE)</f>
        <v>0</v>
      </c>
      <c r="BY119" s="192">
        <f t="array" ref="BY119">IF($BT119=0, INDEX(LS_current!$D$4:$AY$138, MATCH('Staging Table'!$A119, LS_current!$B$4:$B$138, 0), MATCH(BY$4&amp;BY$5, LS_current!$D$2:$AY$2&amp;LS_current!$D$3:$AY$3, 0)),SUM(VLOOKUP($A119, LS_current!$B$4:$AY$138, LS_current!D$148, FALSE), VLOOKUP($A119, LS_current!$B$4:$AY$138,LS_current!AB$148, FALSE))/2)</f>
        <v>-12.632428561462348</v>
      </c>
      <c r="BZ119" s="192">
        <f t="array" ref="BZ119">IF($BT119=0, INDEX(LS_current!$D$4:$AY$138, MATCH('Staging Table'!$A119, LS_current!$B$4:$B$138, 0), MATCH(BZ$4&amp;BZ$5, LS_current!$D$2:$AY$2&amp;LS_current!$D$3:$AY$3, 0)),SUM(VLOOKUP($A119, LS_current!$B$4:$AY$138, LS_current!E$148, FALSE), VLOOKUP($A119, LS_current!$B$4:$AY$138,LS_current!AC$148, FALSE))/2)</f>
        <v>69.400444546437484</v>
      </c>
      <c r="CA119" s="192">
        <f t="array" ref="CA119">IF($BT119=0, INDEX(LS_current!$D$4:$AY$138, MATCH('Staging Table'!$A119, LS_current!$B$4:$B$138, 0), MATCH(CA$4&amp;CA$5, LS_current!$D$2:$AY$2&amp;LS_current!$D$3:$AY$3, 0)),SUM(VLOOKUP($A119, LS_current!$B$4:$AY$138, LS_current!F$148, FALSE), VLOOKUP($A119, LS_current!$B$4:$AY$138,LS_current!AD$148, FALSE))/2)</f>
        <v>-67.926990124962686</v>
      </c>
      <c r="CB119" s="192">
        <f t="array" ref="CB119">IF($BT119=0, INDEX(LS_current!$D$4:$AY$138, MATCH('Staging Table'!$A119, LS_current!$B$4:$B$138, 0), MATCH(CB$4&amp;CB$5, LS_current!$D$2:$AY$2&amp;LS_current!$D$3:$AY$3, 0)),SUM(VLOOKUP($A119, LS_current!$B$4:$AY$138, LS_current!G$148, FALSE), VLOOKUP($A119, LS_current!$B$4:$AY$138,LS_current!AE$148, FALSE))/2)</f>
        <v>93.383316890824972</v>
      </c>
      <c r="CC119" s="192">
        <f t="array" ref="CC119">IF($BT119=0, INDEX(LS_current!$D$4:$AY$138, MATCH('Staging Table'!$A119, LS_current!$B$4:$B$138, 0), MATCH(CC$4&amp;CC$5, LS_current!$D$2:$AY$2&amp;LS_current!$D$3:$AY$3, 0)),SUM(VLOOKUP($A119, LS_current!$B$4:$AY$138, LS_current!H$148, FALSE), VLOOKUP($A119, LS_current!$B$4:$AY$138,LS_current!AF$148, FALSE))/2)</f>
        <v>492.19790341701218</v>
      </c>
      <c r="CD119" s="192">
        <f t="array" ref="CD119">IF($BT119=0, INDEX(LS_current!$D$4:$AY$138, MATCH('Staging Table'!$A119, LS_current!$B$4:$B$138, 0), MATCH(CD$4&amp;CD$5, LS_current!$D$2:$AY$2&amp;LS_current!$D$3:$AY$3, 0)),SUM(VLOOKUP($A119, LS_current!$B$4:$AY$138, LS_current!I$148, FALSE), VLOOKUP($A119, LS_current!$B$4:$AY$138,LS_current!AG$148, FALSE))/2)</f>
        <v>105.97693436928716</v>
      </c>
      <c r="CE119" s="192">
        <f t="array" ref="CE119">IF($BT119=0, INDEX(LS_current!$D$4:$AY$138, MATCH('Staging Table'!$A119, LS_current!$B$4:$B$138, 0), MATCH(CE$4&amp;CE$5, LS_current!$D$2:$AY$2&amp;LS_current!$D$3:$AY$3, 0)),SUM(VLOOKUP($A119, LS_current!$B$4:$AY$138, LS_current!J$148, FALSE), VLOOKUP($A119, LS_current!$B$4:$AY$138,LS_current!AH$148, FALSE))/2)</f>
        <v>910.56968548831242</v>
      </c>
      <c r="CF119" s="192">
        <f t="array" ref="CF119">IF($BT119=0, INDEX(LS_current!$D$4:$AY$138, MATCH('Staging Table'!$A119, LS_current!$B$4:$B$138, 0), MATCH(CF$4&amp;CF$5, LS_current!$D$2:$AY$2&amp;LS_current!$D$3:$AY$3, 0)),SUM(VLOOKUP($A119, LS_current!$B$4:$AY$138, LS_current!K$148, FALSE), VLOOKUP($A119, LS_current!$B$4:$AY$138,LS_current!AI$148, FALSE))/2)</f>
        <v>501.25087466946252</v>
      </c>
      <c r="CG119" s="192">
        <f t="array" ref="CG119">IF($BT119=0, INDEX(LS_current!$D$4:$AY$138, MATCH('Staging Table'!$A119, LS_current!$B$4:$B$138, 0), MATCH(CG$4&amp;CG$5, LS_current!$D$2:$AY$2&amp;LS_current!$D$3:$AY$3, 0)),SUM(VLOOKUP($A119, LS_current!$B$4:$AY$138, LS_current!L$148, FALSE), VLOOKUP($A119, LS_current!$B$4:$AY$138,LS_current!AJ$148, FALSE))/2)</f>
        <v>731.66716787747532</v>
      </c>
      <c r="CH119" s="192">
        <f t="array" ref="CH119">IF($BT119=0, INDEX(LS_current!$D$4:$AY$138, MATCH('Staging Table'!$A119, LS_current!$B$4:$B$138, 0), MATCH(CH$4&amp;CH$5, LS_current!$D$2:$AY$2&amp;LS_current!$D$3:$AY$3, 0)),SUM(VLOOKUP($A119, LS_current!$B$4:$AY$138, LS_current!M$148, FALSE), VLOOKUP($A119, LS_current!$B$4:$AY$138,LS_current!AK$148, FALSE))/2)</f>
        <v>340.58402158326248</v>
      </c>
      <c r="CI119" s="192">
        <f t="array" ref="CI119">IF($BT119=0, INDEX(LS_current!$D$4:$AY$138, MATCH('Staging Table'!$A119, LS_current!$B$4:$B$138, 0), MATCH(CI$4&amp;CI$5, LS_current!$D$2:$AY$2&amp;LS_current!$D$3:$AY$3, 0)),SUM(VLOOKUP($A119, LS_current!$B$4:$AY$138, LS_current!N$148, FALSE), VLOOKUP($A119, LS_current!$B$4:$AY$138,LS_current!AL$148, FALSE))/2)</f>
        <v>238.10350536473743</v>
      </c>
      <c r="CJ119" s="192">
        <f t="array" ref="CJ119">IF($BT119=0, INDEX(LS_current!$D$4:$AY$138, MATCH('Staging Table'!$A119, LS_current!$B$4:$B$138, 0), MATCH(CJ$4&amp;CJ$5, LS_current!$D$2:$AY$2&amp;LS_current!$D$3:$AY$3, 0)),SUM(VLOOKUP($A119, LS_current!$B$4:$AY$138, LS_current!O$148, FALSE), VLOOKUP($A119, LS_current!$B$4:$AY$138,LS_current!AM$148, FALSE))/2)</f>
        <v>144.64611452229997</v>
      </c>
      <c r="CK119" s="192">
        <f t="array" ref="CK119">IF($BT119=0, INDEX(LS_current!$D$4:$AY$138, MATCH('Staging Table'!$A119, LS_current!$B$4:$B$138, 0), MATCH(CK$4&amp;CK$5, LS_current!$D$2:$AY$2&amp;LS_current!$D$3:$AY$3, 0)),SUM(VLOOKUP($A119, LS_current!$B$4:$AY$138, LS_current!P$148, FALSE), VLOOKUP($A119, LS_current!$B$4:$AY$138,LS_current!AN$148, FALSE))/2)</f>
        <v>382.92029805473749</v>
      </c>
      <c r="CL119" s="192">
        <f t="array" ref="CL119">IF($BT119=0, INDEX(LS_current!$D$4:$AY$138, MATCH('Staging Table'!$A119, LS_current!$B$4:$B$138, 0), MATCH(CL$4&amp;CL$5, LS_current!$D$2:$AY$2&amp;LS_current!$D$3:$AY$3, 0)),SUM(VLOOKUP($A119, LS_current!$B$4:$AY$138, LS_current!Q$148, FALSE), VLOOKUP($A119, LS_current!$B$4:$AY$138,LS_current!AO$148, FALSE))/2)</f>
        <v>255.57918390014981</v>
      </c>
      <c r="CM119" s="192">
        <f t="array" ref="CM119">IF($BT119=0, INDEX(LS_current!$D$4:$AY$138, MATCH('Staging Table'!$A119, LS_current!$B$4:$B$138, 0), MATCH(CM$4&amp;CM$5, LS_current!$D$2:$AY$2&amp;LS_current!$D$3:$AY$3, 0)),SUM(VLOOKUP($A119, LS_current!$B$4:$AY$138, LS_current!R$148, FALSE), VLOOKUP($A119, LS_current!$B$4:$AY$138,LS_current!AP$148, FALSE))/2)</f>
        <v>-769.29203003741259</v>
      </c>
      <c r="CN119" s="192">
        <f t="array" ref="CN119">IF($BT119=0, INDEX(LS_current!$D$4:$AY$138, MATCH('Staging Table'!$A119, LS_current!$B$4:$B$138, 0), MATCH(CN$4&amp;CN$5, LS_current!$D$2:$AY$2&amp;LS_current!$D$3:$AY$3, 0)),SUM(VLOOKUP($A119, LS_current!$B$4:$AY$138, LS_current!S$148, FALSE), VLOOKUP($A119, LS_current!$B$4:$AY$138,LS_current!AQ$148, FALSE))/2)</f>
        <v>-43.94194043171251</v>
      </c>
      <c r="CO119" s="192">
        <f t="array" ref="CO119">IF($BT119=0, INDEX(LS_current!$D$4:$AY$138, MATCH('Staging Table'!$A119, LS_current!$B$4:$B$138, 0), MATCH(CO$4&amp;CO$5, LS_current!$D$2:$AY$2&amp;LS_current!$D$3:$AY$3, 0)),SUM(VLOOKUP($A119, LS_current!$B$4:$AY$138, LS_current!T$148, FALSE), VLOOKUP($A119, LS_current!$B$4:$AY$138,LS_current!AR$148, FALSE))/2)</f>
        <v>-1177.4187162216756</v>
      </c>
      <c r="CP119" s="192">
        <f t="array" ref="CP119">IF($BT119=0, INDEX(LS_current!$D$4:$AY$138, MATCH('Staging Table'!$A119, LS_current!$B$4:$B$138, 0), MATCH(CP$4&amp;CP$5, LS_current!$D$2:$AY$2&amp;LS_current!$D$3:$AY$3, 0)),SUM(VLOOKUP($A119, LS_current!$B$4:$AY$138, LS_current!U$148, FALSE), VLOOKUP($A119, LS_current!$B$4:$AY$138,LS_current!AS$148, FALSE))/2)</f>
        <v>-161.49628401243774</v>
      </c>
      <c r="CQ119" s="192">
        <f t="array" ref="CQ119">IF($BT119=0, INDEX(LS_current!$D$4:$AY$138, MATCH('Staging Table'!$A119, LS_current!$B$4:$B$138, 0), MATCH(CQ$4&amp;CQ$5, LS_current!$D$2:$AY$2&amp;LS_current!$D$3:$AY$3, 0)),SUM(VLOOKUP($A119, LS_current!$B$4:$AY$138, LS_current!V$148, FALSE), VLOOKUP($A119, LS_current!$B$4:$AY$138,LS_current!AT$148, FALSE))/2)</f>
        <v>-861.91503430568741</v>
      </c>
      <c r="CR119" s="192">
        <f t="array" ref="CR119">IF($BT119=0, INDEX(LS_current!$D$4:$AY$138, MATCH('Staging Table'!$A119, LS_current!$B$4:$B$138, 0), MATCH(CR$4&amp;CR$5, LS_current!$D$2:$AY$2&amp;LS_current!$D$3:$AY$3, 0)),SUM(VLOOKUP($A119, LS_current!$B$4:$AY$138, LS_current!W$148, FALSE), VLOOKUP($A119, LS_current!$B$4:$AY$138,LS_current!AU$148, FALSE))/2)</f>
        <v>-147.70389192262496</v>
      </c>
      <c r="CS119" s="192">
        <f t="array" ref="CS119">IF($BT119=0, INDEX(LS_current!$D$4:$AY$138, MATCH('Staging Table'!$A119, LS_current!$B$4:$B$138, 0), MATCH(CS$4&amp;CS$5, LS_current!$D$2:$AY$2&amp;LS_current!$D$3:$AY$3, 0)),SUM(VLOOKUP($A119, LS_current!$B$4:$AY$138, LS_current!X$148, FALSE), VLOOKUP($A119, LS_current!$B$4:$AY$138,LS_current!AV$148, FALSE))/2)</f>
        <v>-736.2479287437875</v>
      </c>
      <c r="CT119" s="192">
        <f t="array" ref="CT119">IF($BT119=0, INDEX(LS_current!$D$4:$AY$138, MATCH('Staging Table'!$A119, LS_current!$B$4:$B$138, 0), MATCH(CT$4&amp;CT$5, LS_current!$D$2:$AY$2&amp;LS_current!$D$3:$AY$3, 0)),SUM(VLOOKUP($A119, LS_current!$B$4:$AY$138, LS_current!Y$148, FALSE), VLOOKUP($A119, LS_current!$B$4:$AY$138,LS_current!AW$148, FALSE))/2)</f>
        <v>-138.34996112030001</v>
      </c>
      <c r="CU119" s="192">
        <f t="array" ref="CU119">IF($BT119=0, INDEX(LS_current!$D$4:$AY$138, MATCH('Staging Table'!$A119, LS_current!$B$4:$B$138, 0), MATCH(CU$4&amp;CU$5, LS_current!$D$2:$AY$2&amp;LS_current!$D$3:$AY$3, 0)),SUM(VLOOKUP($A119, LS_current!$B$4:$AY$138, LS_current!Z$148, FALSE), VLOOKUP($A119, LS_current!$B$4:$AY$138,LS_current!AX$148, FALSE))/2)</f>
        <v>-532.14537080183777</v>
      </c>
      <c r="CV119" s="192">
        <f t="array" ref="CV119">IF($BT119=0, INDEX(LS_current!$D$4:$AY$138, MATCH('Staging Table'!$A119, LS_current!$B$4:$B$138, 0), MATCH(CV$4&amp;CV$5, LS_current!$D$2:$AY$2&amp;LS_current!$D$3:$AY$3, 0)),SUM(VLOOKUP($A119, LS_current!$B$4:$AY$138, LS_current!AA$148, FALSE), VLOOKUP($A119, LS_current!$B$4:$AY$138,LS_current!AY$148, FALSE))/2)</f>
        <v>-181.85460381641246</v>
      </c>
      <c r="CW119" s="194">
        <f t="array" ref="CW119">INDEX(Demand_current!$D$4:$AY$138, MATCH($A119, Demand_current!$B$4:$B$138, 0), MATCH(CW$4&amp;CW$5,Demand_current!$D$2:$AY$2&amp;Demand_current!$D$3:$AY$3, 0))/1000</f>
        <v>0.30910336538461536</v>
      </c>
      <c r="CX119" s="194">
        <f t="array" ref="CX119">INDEX(Demand_current!$D$4:$AY$138, MATCH($A119, Demand_current!$B$4:$B$138, 0), MATCH(CX$4&amp;CX$5,Demand_current!$D$2:$AY$2&amp;Demand_current!$D$3:$AY$3, 0))/1000</f>
        <v>6.5350000000004016E-3</v>
      </c>
      <c r="CY119" s="194">
        <f t="array" ref="CY119">INDEX(Demand_current!$D$4:$AY$138, MATCH($A119, Demand_current!$B$4:$B$138, 0), MATCH(CY$4&amp;CY$5,Demand_current!$D$2:$AY$2&amp;Demand_current!$D$3:$AY$3, 0))/1000</f>
        <v>1.249788461538462</v>
      </c>
      <c r="CZ119" s="194">
        <f t="array" ref="CZ119">INDEX(Demand_current!$D$4:$AY$138, MATCH($A119, Demand_current!$B$4:$B$138, 0), MATCH(CZ$4&amp;CZ$5,Demand_current!$D$2:$AY$2&amp;Demand_current!$D$3:$AY$3, 0))/1000</f>
        <v>0.84803500000000009</v>
      </c>
      <c r="DA119" s="194">
        <f t="array" ref="DA119">INDEX(Demand_current!$D$4:$AY$138, MATCH($A119, Demand_current!$B$4:$B$138, 0), MATCH(DA$4&amp;DA$5,Demand_current!$D$2:$AY$2&amp;Demand_current!$D$3:$AY$3, 0))/1000</f>
        <v>0.73357552083333299</v>
      </c>
      <c r="DB119" s="194">
        <f t="array" ref="DB119">INDEX(Demand_current!$D$4:$AY$138, MATCH($A119, Demand_current!$B$4:$B$138, 0), MATCH(DB$4&amp;DB$5,Demand_current!$D$2:$AY$2&amp;Demand_current!$D$3:$AY$3, 0))/1000</f>
        <v>0.88696064814814912</v>
      </c>
      <c r="DC119" s="194">
        <f t="array" ref="DC119">INDEX(Demand_current!$D$4:$AY$138, MATCH($A119, Demand_current!$B$4:$B$138, 0), MATCH(DC$4&amp;DC$5,Demand_current!$D$2:$AY$2&amp;Demand_current!$D$3:$AY$3, 0))/1000</f>
        <v>0.26668028846153824</v>
      </c>
      <c r="DD119" s="194">
        <f t="array" ref="DD119">INDEX(Demand_current!$D$4:$AY$138, MATCH($A119, Demand_current!$B$4:$B$138, 0), MATCH(DD$4&amp;DD$5,Demand_current!$D$2:$AY$2&amp;Demand_current!$D$3:$AY$3, 0))/1000</f>
        <v>0.43322000000000038</v>
      </c>
      <c r="DE119" s="194">
        <f t="array" ref="DE119">INDEX(Demand_current!$D$4:$AY$138, MATCH($A119, Demand_current!$B$4:$B$138, 0), MATCH(DE$4&amp;DE$5,Demand_current!$D$2:$AY$2&amp;Demand_current!$D$3:$AY$3, 0))/1000</f>
        <v>1.2163197115384614</v>
      </c>
      <c r="DF119" s="194">
        <f t="array" ref="DF119">INDEX(Demand_current!$D$4:$AY$138, MATCH($A119, Demand_current!$B$4:$B$138, 0), MATCH(DF$4&amp;DF$5,Demand_current!$D$2:$AY$2&amp;Demand_current!$D$3:$AY$3, 0))/1000</f>
        <v>0.8345275000000002</v>
      </c>
      <c r="DG119" s="194">
        <f t="array" ref="DG119">INDEX(Demand_current!$D$4:$AY$138, MATCH($A119, Demand_current!$B$4:$B$138, 0), MATCH(DG$4&amp;DG$5,Demand_current!$D$2:$AY$2&amp;Demand_current!$D$3:$AY$3, 0))/1000</f>
        <v>1.1283101851851851</v>
      </c>
      <c r="DH119" s="194">
        <f t="array" ref="DH119">INDEX(Demand_current!$D$4:$AY$138, MATCH($A119, Demand_current!$B$4:$B$138, 0), MATCH(DH$4&amp;DH$5,Demand_current!$D$2:$AY$2&amp;Demand_current!$D$3:$AY$3, 0))/1000</f>
        <v>0.97439500000000023</v>
      </c>
      <c r="DI119" s="192">
        <f>$BS119*(VLOOKUP(DI$4, Rates_current!$G$6:$Q$29, 10, FALSE)+VLOOKUP(DI$4, Rates_current!$G$6:$Q$29, 11, FALSE))</f>
        <v>3073.8989840150252</v>
      </c>
      <c r="DJ119" s="192">
        <f>$BS119*(VLOOKUP(DJ$4, Rates_current!$G$6:$Q$29, 10, FALSE)+VLOOKUP(DJ$4, Rates_current!$G$6:$Q$29, 11, FALSE))</f>
        <v>3891.667673234138</v>
      </c>
      <c r="DK119" s="192">
        <f>$BS119*(VLOOKUP(DK$4, Rates_current!$G$6:$Q$29, 10, FALSE)+VLOOKUP(DK$4, Rates_current!$G$6:$Q$29, 11, FALSE))</f>
        <v>3809.1651622137006</v>
      </c>
      <c r="DL119" s="192">
        <f>$BS119*(VLOOKUP(DL$4, Rates_current!$G$6:$Q$29, 10, FALSE)+VLOOKUP(DL$4, Rates_current!$G$6:$Q$29, 11, FALSE))</f>
        <v>3146.2084398422253</v>
      </c>
      <c r="DM119" s="192">
        <f>$BS119*(VLOOKUP(DM$4, Rates_current!$G$6:$Q$29, 10, FALSE)+VLOOKUP(DM$4, Rates_current!$G$6:$Q$29, 11, FALSE))</f>
        <v>2726.8878105392623</v>
      </c>
      <c r="DN119" s="192">
        <f>$BS119*(VLOOKUP(DN$4, Rates_current!$G$6:$Q$29, 10, FALSE)+VLOOKUP(DN$4, Rates_current!$G$6:$Q$29, 11, FALSE))</f>
        <v>3255.3533801129629</v>
      </c>
      <c r="DO119" s="192">
        <f>$BS119*(VLOOKUP(DO$4, Rates_current!$G$6:$Q$29, 10, FALSE)+VLOOKUP(DO$4, Rates_current!$G$6:$Q$29, 11, FALSE))</f>
        <v>2527.3485180451125</v>
      </c>
      <c r="DP119" s="192">
        <f>$BS119*(VLOOKUP(DP$4, Rates_current!$G$6:$Q$29, 10, FALSE)+VLOOKUP(DP$4, Rates_current!$G$6:$Q$29, 11, FALSE))</f>
        <v>3501.6599704691253</v>
      </c>
      <c r="DQ119" s="192">
        <f>$BS119*(VLOOKUP(DQ$4, Rates_current!$G$6:$Q$29, 10, FALSE)+VLOOKUP(DQ$4, Rates_current!$G$6:$Q$29, 11, FALSE))</f>
        <v>3741.5970002341128</v>
      </c>
      <c r="DR119" s="192">
        <f>$BS119*(VLOOKUP(DR$4, Rates_current!$G$6:$Q$29, 10, FALSE)+VLOOKUP(DR$4, Rates_current!$G$6:$Q$29, 11, FALSE))</f>
        <v>3552.476926228313</v>
      </c>
      <c r="DS119" s="192">
        <f>$BS119*(VLOOKUP(DS$4, Rates_current!$G$6:$Q$29, 10, FALSE)+VLOOKUP(DS$4, Rates_current!$G$6:$Q$29, 11, FALSE))</f>
        <v>3433.1948898640876</v>
      </c>
      <c r="DT119" s="192">
        <f>$BS119*(VLOOKUP(DT$4, Rates_current!$G$6:$Q$29, 10, FALSE)+VLOOKUP(DT$4, Rates_current!$G$6:$Q$29, 11, FALSE))</f>
        <v>3172.6299746182503</v>
      </c>
      <c r="DU119" s="418">
        <f>IF(D119=0,IF(C119=0,MAX(0,DW119 - (VLOOKUP($A119,TOCA_current!$A$2:$AI$137,MATCH("RHWM 2022",TOCA_current!$A$2:$AI$2,0),FALSE)*$BS$2)), 0),0)</f>
        <v>0</v>
      </c>
      <c r="DV119" s="419">
        <f>MIN(VLOOKUP($A119,TOCA_current!$A$2:$AI$137,MATCH("TRL - NLSL - Existing Resource "&amp;$BS$1,TOCA_current!$A$2:$AI$2,0),FALSE)*$BS$2, VLOOKUP($A119,TOCA_current!$A$2:$AI$137,MATCH("RHWM 2022",TOCA_current!$A$2:$AI$2,0),FALSE)*$BS$2)</f>
        <v>39831.719999999994</v>
      </c>
      <c r="DW119" s="419">
        <f>SUM(BY119:CV119)+(BS119*RT1SC!$C$4*$BS$2)</f>
        <v>39267.44503758369</v>
      </c>
      <c r="DX119" s="419">
        <f>VLOOKUP($A119,TOCA_current!$A$2:$AI$137,MATCH("Above RHWM Not Served with LS "&amp;$BS$1,TOCA_current!$A$2:$AI$2,0),FALSE)*$BS$2</f>
        <v>0</v>
      </c>
      <c r="DY119" s="419">
        <f t="shared" si="32"/>
        <v>-564.27496241630433</v>
      </c>
      <c r="DZ119" s="419">
        <f>(VLOOKUP($A119,TOCA_current!$A$2:$AI$137,MATCH("RHWM 2022",TOCA_current!$A$2:$AI$2,0),FALSE)*$BS$2) - $DV119</f>
        <v>350.40000000000146</v>
      </c>
      <c r="EA119" s="419">
        <f t="shared" si="33"/>
        <v>0</v>
      </c>
      <c r="EB119" s="419">
        <f t="shared" si="34"/>
        <v>564.27496241630433</v>
      </c>
      <c r="EC119" s="419">
        <f t="shared" si="35"/>
        <v>0</v>
      </c>
      <c r="ED119" s="419">
        <f t="shared" si="36"/>
        <v>564.27496241630433</v>
      </c>
    </row>
    <row r="120" spans="1:134">
      <c r="A120" s="135">
        <v>10388</v>
      </c>
      <c r="B120" s="136" t="s">
        <v>121</v>
      </c>
      <c r="C120" s="244">
        <f>VLOOKUP(A120, TOCA_current!$A$3:$D$137, 4, FALSE)</f>
        <v>0</v>
      </c>
      <c r="D120" s="203">
        <v>0</v>
      </c>
      <c r="E120" s="119">
        <f>VLOOKUP($A120,TOCA_previous!$A$2:$AI$137,MATCH(E$4,TOCA_previous!$A$2:$AI$2,0),FALSE)</f>
        <v>1.6032999999999999E-2</v>
      </c>
      <c r="F120" s="120">
        <f>VLOOKUP($A120,TOCA_previous!$A$2:$AI$137,MATCH(F$4,TOCA_previous!$A$2:$AI$2,0),FALSE)</f>
        <v>1.6032999999999999E-2</v>
      </c>
      <c r="G120" s="120">
        <f t="shared" si="24"/>
        <v>0</v>
      </c>
      <c r="H120" s="120">
        <f>VLOOKUP($A120,TOCA_previous!$A$2:$AI$137,MATCH(H$4,TOCA_previous!$A$2:$AI$2,0),FALSE)</f>
        <v>0.10753480608040915</v>
      </c>
      <c r="I120" s="120">
        <f t="shared" si="25"/>
        <v>0</v>
      </c>
      <c r="J120" s="120">
        <f t="shared" si="26"/>
        <v>0</v>
      </c>
      <c r="K120" s="191">
        <f>VLOOKUP(A120, IRD!$A$5:$C$139, 3, FALSE)</f>
        <v>228772.42700000003</v>
      </c>
      <c r="L120" s="192">
        <f t="array" ref="L120">IF($G120=0, INDEX(LS_previous!$D$4:$AY$138, MATCH('Staging Table'!$A120, LS_previous!$B$4:$B$138, 0), MATCH(L$4&amp;L$5, LS_previous!$D$2:$AY$2&amp;LS_previous!$D$3:$AY$3, 0)),SUM(VLOOKUP($A120, LS_previous!$B$4:$AY$138, LS_previous!D$149, FALSE), VLOOKUP('Staging Table'!$A120, LS_previous!$B$4:$AY$138,LS_previous!AB$149, FALSE))/2)</f>
        <v>-12743.394365803993</v>
      </c>
      <c r="M120" s="192">
        <f t="array" ref="M120">IF($G120=0, INDEX(LS_previous!$D$4:$AY$138, MATCH('Staging Table'!$A120, LS_previous!$B$4:$B$138, 0), MATCH(M$4&amp;M$5, LS_previous!$D$2:$AY$2&amp;LS_previous!$D$3:$AY$3, 0)),SUM(VLOOKUP($A120, LS_previous!$B$4:$AY$138, LS_previous!E$149, FALSE), VLOOKUP('Staging Table'!$A120, LS_previous!$B$4:$AY$138,LS_previous!AC$149, FALSE))/2)</f>
        <v>4710.6227623360064</v>
      </c>
      <c r="N120" s="192">
        <f t="array" ref="N120">IF($G120=0, INDEX(LS_previous!$D$4:$AY$138, MATCH('Staging Table'!$A120, LS_previous!$B$4:$B$138, 0), MATCH(N$4&amp;N$5, LS_previous!$D$2:$AY$2&amp;LS_previous!$D$3:$AY$3, 0)),SUM(VLOOKUP($A120, LS_previous!$B$4:$AY$138, LS_previous!F$149, FALSE), VLOOKUP('Staging Table'!$A120, LS_previous!$B$4:$AY$138,LS_previous!AD$149, FALSE))/2)</f>
        <v>-26775.40757642399</v>
      </c>
      <c r="O120" s="192">
        <f t="array" ref="O120">IF($G120=0, INDEX(LS_previous!$D$4:$AY$138, MATCH('Staging Table'!$A120, LS_previous!$B$4:$B$138, 0), MATCH(O$4&amp;O$5, LS_previous!$D$2:$AY$2&amp;LS_previous!$D$3:$AY$3, 0)),SUM(VLOOKUP($A120, LS_previous!$B$4:$AY$138, LS_previous!G$149, FALSE), VLOOKUP('Staging Table'!$A120, LS_previous!$B$4:$AY$138,LS_previous!AE$149, FALSE))/2)</f>
        <v>-9919.0075444630274</v>
      </c>
      <c r="P120" s="192">
        <f t="array" ref="P120">IF($G120=0, INDEX(LS_previous!$D$4:$AY$138, MATCH('Staging Table'!$A120, LS_previous!$B$4:$B$138, 0), MATCH(P$4&amp;P$5, LS_previous!$D$2:$AY$2&amp;LS_previous!$D$3:$AY$3, 0)),SUM(VLOOKUP($A120, LS_previous!$B$4:$AY$138, LS_previous!H$149, FALSE), VLOOKUP('Staging Table'!$A120, LS_previous!$B$4:$AY$138,LS_previous!AF$149, FALSE))/2)</f>
        <v>-31877.936822175965</v>
      </c>
      <c r="Q120" s="192">
        <f t="array" ref="Q120">IF($G120=0, INDEX(LS_previous!$D$4:$AY$138, MATCH('Staging Table'!$A120, LS_previous!$B$4:$B$138, 0), MATCH(Q$4&amp;Q$5, LS_previous!$D$2:$AY$2&amp;LS_previous!$D$3:$AY$3, 0)),SUM(VLOOKUP($A120, LS_previous!$B$4:$AY$138, LS_previous!I$149, FALSE), VLOOKUP('Staging Table'!$A120, LS_previous!$B$4:$AY$138,LS_previous!AG$149, FALSE))/2)</f>
        <v>-2072.9521202920077</v>
      </c>
      <c r="R120" s="192">
        <f t="array" ref="R120">IF($G120=0, INDEX(LS_previous!$D$4:$AY$138, MATCH('Staging Table'!$A120, LS_previous!$B$4:$B$138, 0), MATCH(R$4&amp;R$5, LS_previous!$D$2:$AY$2&amp;LS_previous!$D$3:$AY$3, 0)),SUM(VLOOKUP($A120, LS_previous!$B$4:$AY$138, LS_previous!J$149, FALSE), VLOOKUP('Staging Table'!$A120, LS_previous!$B$4:$AY$138,LS_previous!AH$149, FALSE))/2)</f>
        <v>-17037.236914176028</v>
      </c>
      <c r="S120" s="192">
        <f t="array" ref="S120">IF($G120=0, INDEX(LS_previous!$D$4:$AY$138, MATCH('Staging Table'!$A120, LS_previous!$B$4:$B$138, 0), MATCH(S$4&amp;S$5, LS_previous!$D$2:$AY$2&amp;LS_previous!$D$3:$AY$3, 0)),SUM(VLOOKUP($A120, LS_previous!$B$4:$AY$138, LS_previous!K$149, FALSE), VLOOKUP('Staging Table'!$A120, LS_previous!$B$4:$AY$138,LS_previous!AI$149, FALSE))/2)</f>
        <v>-5711.0502442920224</v>
      </c>
      <c r="T120" s="192">
        <f t="array" ref="T120">IF($G120=0, INDEX(LS_previous!$D$4:$AY$138, MATCH('Staging Table'!$A120, LS_previous!$B$4:$B$138, 0), MATCH(T$4&amp;T$5, LS_previous!$D$2:$AY$2&amp;LS_previous!$D$3:$AY$3, 0)),SUM(VLOOKUP($A120, LS_previous!$B$4:$AY$138, LS_previous!L$149, FALSE), VLOOKUP('Staging Table'!$A120, LS_previous!$B$4:$AY$138,LS_previous!AJ$149, FALSE))/2)</f>
        <v>-17589.18868909197</v>
      </c>
      <c r="U120" s="192">
        <f t="array" ref="U120">IF($G120=0, INDEX(LS_previous!$D$4:$AY$138, MATCH('Staging Table'!$A120, LS_previous!$B$4:$B$138, 0), MATCH(U$4&amp;U$5, LS_previous!$D$2:$AY$2&amp;LS_previous!$D$3:$AY$3, 0)),SUM(VLOOKUP($A120, LS_previous!$B$4:$AY$138, LS_previous!M$149, FALSE), VLOOKUP('Staging Table'!$A120, LS_previous!$B$4:$AY$138,LS_previous!AK$149, FALSE))/2)</f>
        <v>-5331.4174653079972</v>
      </c>
      <c r="V120" s="192">
        <f t="array" ref="V120">IF($G120=0, INDEX(LS_previous!$D$4:$AY$138, MATCH('Staging Table'!$A120, LS_previous!$B$4:$B$138, 0), MATCH(V$4&amp;V$5, LS_previous!$D$2:$AY$2&amp;LS_previous!$D$3:$AY$3, 0)),SUM(VLOOKUP($A120, LS_previous!$B$4:$AY$138, LS_previous!N$149, FALSE), VLOOKUP('Staging Table'!$A120, LS_previous!$B$4:$AY$138,LS_previous!AL$149, FALSE))/2)</f>
        <v>-21124.856651927956</v>
      </c>
      <c r="W120" s="192">
        <f t="array" ref="W120">IF($G120=0, INDEX(LS_previous!$D$4:$AY$138, MATCH('Staging Table'!$A120, LS_previous!$B$4:$B$138, 0), MATCH(W$4&amp;W$5, LS_previous!$D$2:$AY$2&amp;LS_previous!$D$3:$AY$3, 0)),SUM(VLOOKUP($A120, LS_previous!$B$4:$AY$138, LS_previous!O$149, FALSE), VLOOKUP('Staging Table'!$A120, LS_previous!$B$4:$AY$138,LS_previous!AM$149, FALSE))/2)</f>
        <v>-4680.8558459930209</v>
      </c>
      <c r="X120" s="192">
        <f t="array" ref="X120">IF($G120=0, INDEX(LS_previous!$D$4:$AY$138, MATCH('Staging Table'!$A120, LS_previous!$B$4:$B$138, 0), MATCH(X$4&amp;X$5, LS_previous!$D$2:$AY$2&amp;LS_previous!$D$3:$AY$3, 0)),SUM(VLOOKUP($A120, LS_previous!$B$4:$AY$138, LS_previous!P$149, FALSE), VLOOKUP('Staging Table'!$A120, LS_previous!$B$4:$AY$138,LS_previous!AN$149, FALSE))/2)</f>
        <v>-5265.4792005520139</v>
      </c>
      <c r="Y120" s="192">
        <f t="array" ref="Y120">IF($G120=0, INDEX(LS_previous!$D$4:$AY$138, MATCH('Staging Table'!$A120, LS_previous!$B$4:$B$138, 0), MATCH(Y$4&amp;Y$5, LS_previous!$D$2:$AY$2&amp;LS_previous!$D$3:$AY$3, 0)),SUM(VLOOKUP($A120, LS_previous!$B$4:$AY$138, LS_previous!Q$149, FALSE), VLOOKUP('Staging Table'!$A120, LS_previous!$B$4:$AY$138,LS_previous!AO$149, FALSE))/2)</f>
        <v>13366.558830712009</v>
      </c>
      <c r="Z120" s="192">
        <f t="array" ref="Z120">IF($G120=0, INDEX(LS_previous!$D$4:$AY$138, MATCH('Staging Table'!$A120, LS_previous!$B$4:$B$138, 0), MATCH(Z$4&amp;Z$5, LS_previous!$D$2:$AY$2&amp;LS_previous!$D$3:$AY$3, 0)),SUM(VLOOKUP($A120, LS_previous!$B$4:$AY$138, LS_previous!R$149, FALSE), VLOOKUP('Staging Table'!$A120, LS_previous!$B$4:$AY$138,LS_previous!AP$149, FALSE))/2)</f>
        <v>3995.0265256999992</v>
      </c>
      <c r="AA120" s="192">
        <f t="array" ref="AA120">IF($G120=0, INDEX(LS_previous!$D$4:$AY$138, MATCH('Staging Table'!$A120, LS_previous!$B$4:$B$138, 0), MATCH(AA$4&amp;AA$5, LS_previous!$D$2:$AY$2&amp;LS_previous!$D$3:$AY$3, 0)),SUM(VLOOKUP($A120, LS_previous!$B$4:$AY$138, LS_previous!S$149, FALSE), VLOOKUP('Staging Table'!$A120, LS_previous!$B$4:$AY$138,LS_previous!AQ$149, FALSE))/2)</f>
        <v>11142.438214332004</v>
      </c>
      <c r="AB120" s="192">
        <f t="array" ref="AB120">IF($G120=0, INDEX(LS_previous!$D$4:$AY$138, MATCH('Staging Table'!$A120, LS_previous!$B$4:$B$138, 0), MATCH(AB$4&amp;AB$5, LS_previous!$D$2:$AY$2&amp;LS_previous!$D$3:$AY$3, 0)),SUM(VLOOKUP($A120, LS_previous!$B$4:$AY$138, LS_previous!T$149, FALSE), VLOOKUP('Staging Table'!$A120, LS_previous!$B$4:$AY$138,LS_previous!AR$149, FALSE))/2)</f>
        <v>5493.8730239480356</v>
      </c>
      <c r="AC120" s="192">
        <f t="array" ref="AC120">IF($G120=0, INDEX(LS_previous!$D$4:$AY$138, MATCH('Staging Table'!$A120, LS_previous!$B$4:$B$138, 0), MATCH(AC$4&amp;AC$5, LS_previous!$D$2:$AY$2&amp;LS_previous!$D$3:$AY$3, 0)),SUM(VLOOKUP($A120, LS_previous!$B$4:$AY$138, LS_previous!U$149, FALSE), VLOOKUP('Staging Table'!$A120, LS_previous!$B$4:$AY$138,LS_previous!AS$149, FALSE))/2)</f>
        <v>11924.07439271202</v>
      </c>
      <c r="AD120" s="192">
        <f t="array" ref="AD120">IF($G120=0, INDEX(LS_previous!$D$4:$AY$138, MATCH('Staging Table'!$A120, LS_previous!$B$4:$B$138, 0), MATCH(AD$4&amp;AD$5, LS_previous!$D$2:$AY$2&amp;LS_previous!$D$3:$AY$3, 0)),SUM(VLOOKUP($A120, LS_previous!$B$4:$AY$138, LS_previous!V$149, FALSE), VLOOKUP('Staging Table'!$A120, LS_previous!$B$4:$AY$138,LS_previous!AT$149, FALSE))/2)</f>
        <v>11476.862758948017</v>
      </c>
      <c r="AE120" s="192">
        <f t="array" ref="AE120">IF($G120=0, INDEX(LS_previous!$D$4:$AY$138, MATCH('Staging Table'!$A120, LS_previous!$B$4:$B$138, 0), MATCH(AE$4&amp;AE$5, LS_previous!$D$2:$AY$2&amp;LS_previous!$D$3:$AY$3, 0)),SUM(VLOOKUP($A120, LS_previous!$B$4:$AY$138, LS_previous!W$149, FALSE), VLOOKUP('Staging Table'!$A120, LS_previous!$B$4:$AY$138,LS_previous!AU$149, FALSE))/2)</f>
        <v>39401.373525584007</v>
      </c>
      <c r="AF120" s="192">
        <f t="array" ref="AF120">IF($G120=0, INDEX(LS_previous!$D$4:$AY$138, MATCH('Staging Table'!$A120, LS_previous!$B$4:$B$138, 0), MATCH(AF$4&amp;AF$5, LS_previous!$D$2:$AY$2&amp;LS_previous!$D$3:$AY$3, 0)),SUM(VLOOKUP($A120, LS_previous!$B$4:$AY$138, LS_previous!X$149, FALSE), VLOOKUP('Staging Table'!$A120, LS_previous!$B$4:$AY$138,LS_previous!AV$149, FALSE))/2)</f>
        <v>23073.907925448002</v>
      </c>
      <c r="AG120" s="192">
        <f t="array" ref="AG120">IF($G120=0, INDEX(LS_previous!$D$4:$AY$138, MATCH('Staging Table'!$A120, LS_previous!$B$4:$B$138, 0), MATCH(AG$4&amp;AG$5, LS_previous!$D$2:$AY$2&amp;LS_previous!$D$3:$AY$3, 0)),SUM(VLOOKUP($A120, LS_previous!$B$4:$AY$138, LS_previous!Y$149, FALSE), VLOOKUP('Staging Table'!$A120, LS_previous!$B$4:$AY$138,LS_previous!AW$149, FALSE))/2)</f>
        <v>23438.504685583997</v>
      </c>
      <c r="AH120" s="192">
        <f t="array" ref="AH120">IF($G120=0, INDEX(LS_previous!$D$4:$AY$138, MATCH('Staging Table'!$A120, LS_previous!$B$4:$B$138, 0), MATCH(AH$4&amp;AH$5, LS_previous!$D$2:$AY$2&amp;LS_previous!$D$3:$AY$3, 0)),SUM(VLOOKUP($A120, LS_previous!$B$4:$AY$138, LS_previous!Z$149, FALSE), VLOOKUP('Staging Table'!$A120, LS_previous!$B$4:$AY$138,LS_previous!AX$149, FALSE))/2)</f>
        <v>-852.37832479996723</v>
      </c>
      <c r="AI120" s="192">
        <f t="array" ref="AI120">IF($G120=0, INDEX(LS_previous!$D$4:$AY$138, MATCH('Staging Table'!$A120, LS_previous!$B$4:$B$138, 0), MATCH(AI$4&amp;AI$5, LS_previous!$D$2:$AY$2&amp;LS_previous!$D$3:$AY$3, 0)),SUM(VLOOKUP($A120, LS_previous!$B$4:$AY$138, LS_previous!AA$149, FALSE), VLOOKUP('Staging Table'!$A120, LS_previous!$B$4:$AY$138,LS_previous!AY$149, FALSE))/2)</f>
        <v>15629.354381960009</v>
      </c>
      <c r="AJ120" s="314">
        <f t="array" ref="AJ120">INDEX(Demand_previous!$D$4:$AY$138, MATCH('Staging Table'!$A120, Demand_previous!$B$4:$B$138, 0), MATCH(AJ$4&amp;AJ$5,Demand_previous!$D$2:$AY$2&amp;Demand_previous!$D$3:$AY$3, 0))/1000</f>
        <v>0</v>
      </c>
      <c r="AK120" s="314">
        <f t="array" ref="AK120">INDEX(Demand_previous!$D$4:$AY$138, MATCH('Staging Table'!$A120, Demand_previous!$B$4:$B$138, 0), MATCH(AK$4&amp;AK$5,Demand_previous!$D$2:$AY$2&amp;Demand_previous!$D$3:$AY$3, 0))/1000</f>
        <v>0</v>
      </c>
      <c r="AL120" s="314">
        <f t="array" ref="AL120">INDEX(Demand_previous!$D$4:$AY$138, MATCH('Staging Table'!$A120, Demand_previous!$B$4:$B$138, 0), MATCH(AL$4&amp;AL$5,Demand_previous!$D$2:$AY$2&amp;Demand_previous!$D$3:$AY$3, 0))/1000</f>
        <v>0</v>
      </c>
      <c r="AM120" s="314">
        <f t="array" ref="AM120">INDEX(Demand_previous!$D$4:$AY$138, MATCH('Staging Table'!$A120, Demand_previous!$B$4:$B$138, 0), MATCH(AM$4&amp;AM$5,Demand_previous!$D$2:$AY$2&amp;Demand_previous!$D$3:$AY$3, 0))/1000</f>
        <v>0</v>
      </c>
      <c r="AN120" s="314">
        <f t="array" ref="AN120">INDEX(Demand_previous!$D$4:$AY$138, MATCH('Staging Table'!$A120, Demand_previous!$B$4:$B$138, 0), MATCH(AN$4&amp;AN$5,Demand_previous!$D$2:$AY$2&amp;Demand_previous!$D$3:$AY$3, 0))/1000</f>
        <v>0</v>
      </c>
      <c r="AO120" s="314">
        <f t="array" ref="AO120">INDEX(Demand_previous!$D$4:$AY$138, MATCH('Staging Table'!$A120, Demand_previous!$B$4:$B$138, 0), MATCH(AO$4&amp;AO$5,Demand_previous!$D$2:$AY$2&amp;Demand_previous!$D$3:$AY$3, 0))/1000</f>
        <v>0</v>
      </c>
      <c r="AP120" s="314">
        <f t="array" ref="AP120">INDEX(Demand_previous!$D$4:$AY$138, MATCH('Staging Table'!$A120, Demand_previous!$B$4:$B$138, 0), MATCH(AP$4&amp;AP$5,Demand_previous!$D$2:$AY$2&amp;Demand_previous!$D$3:$AY$3, 0))/1000</f>
        <v>0</v>
      </c>
      <c r="AQ120" s="314">
        <f t="array" ref="AQ120">INDEX(Demand_previous!$D$4:$AY$138, MATCH('Staging Table'!$A120, Demand_previous!$B$4:$B$138, 0), MATCH(AQ$4&amp;AQ$5,Demand_previous!$D$2:$AY$2&amp;Demand_previous!$D$3:$AY$3, 0))/1000</f>
        <v>0</v>
      </c>
      <c r="AR120" s="314">
        <f t="array" ref="AR120">INDEX(Demand_previous!$D$4:$AY$138, MATCH('Staging Table'!$A120, Demand_previous!$B$4:$B$138, 0), MATCH(AR$4&amp;AR$5,Demand_previous!$D$2:$AY$2&amp;Demand_previous!$D$3:$AY$3, 0))/1000</f>
        <v>0</v>
      </c>
      <c r="AS120" s="314">
        <f t="array" ref="AS120">INDEX(Demand_previous!$D$4:$AY$138, MATCH('Staging Table'!$A120, Demand_previous!$B$4:$B$138, 0), MATCH(AS$4&amp;AS$5,Demand_previous!$D$2:$AY$2&amp;Demand_previous!$D$3:$AY$3, 0))/1000</f>
        <v>0</v>
      </c>
      <c r="AT120" s="314">
        <f t="array" ref="AT120">INDEX(Demand_previous!$D$4:$AY$138, MATCH('Staging Table'!$A120, Demand_previous!$B$4:$B$138, 0), MATCH(AT$4&amp;AT$5,Demand_previous!$D$2:$AY$2&amp;Demand_previous!$D$3:$AY$3, 0))/1000</f>
        <v>0</v>
      </c>
      <c r="AU120" s="314">
        <f t="array" ref="AU120">INDEX(Demand_previous!$D$4:$AY$138, MATCH('Staging Table'!$A120, Demand_previous!$B$4:$B$138, 0), MATCH(AU$4&amp;AU$5,Demand_previous!$D$2:$AY$2&amp;Demand_previous!$D$3:$AY$3, 0))/1000</f>
        <v>0</v>
      </c>
      <c r="AV120" s="192">
        <f>$F120*(VLOOKUP(AV$4, Rates_previous!$G$6:$Q$29, 10, FALSE)+VLOOKUP(AV$4, Rates_previous!$G$6:$Q$29, 11, FALSE))</f>
        <v>74029.446603467979</v>
      </c>
      <c r="AW120" s="192">
        <f>$F120*(VLOOKUP(AW$4, Rates_previous!$G$6:$Q$29, 10, FALSE)+VLOOKUP(AW$4, Rates_previous!$G$6:$Q$29, 11, FALSE))</f>
        <v>94040.491120886989</v>
      </c>
      <c r="AX120" s="192">
        <f>$F120*(VLOOKUP(AX$4, Rates_previous!$G$6:$Q$29, 10, FALSE)+VLOOKUP(AX$4, Rates_previous!$G$6:$Q$29, 11, FALSE))</f>
        <v>92904.824942467996</v>
      </c>
      <c r="AY120" s="192">
        <f>$F120*(VLOOKUP(AY$4, Rates_previous!$G$6:$Q$29, 10, FALSE)+VLOOKUP(AY$4, Rates_previous!$G$6:$Q$29, 11, FALSE))</f>
        <v>77441.830158468001</v>
      </c>
      <c r="AZ120" s="192">
        <f>$F120*(VLOOKUP(AZ$4, Rates_previous!$G$6:$Q$29, 10, FALSE)+VLOOKUP(AZ$4, Rates_previous!$G$6:$Q$29, 11, FALSE))</f>
        <v>70154.264154399993</v>
      </c>
      <c r="BA120" s="192">
        <f>$F120*(VLOOKUP(BA$4, Rates_previous!$G$6:$Q$29, 10, FALSE)+VLOOKUP(BA$4, Rates_previous!$G$6:$Q$29, 11, FALSE))</f>
        <v>78033.828497920986</v>
      </c>
      <c r="BB120" s="192">
        <f>$F120*(VLOOKUP(BB$4, Rates_previous!$G$6:$Q$29, 10, FALSE)+VLOOKUP(BB$4, Rates_previous!$G$6:$Q$29, 11, FALSE))</f>
        <v>63535.227369839995</v>
      </c>
      <c r="BC120" s="192">
        <f>$F120*(VLOOKUP(BC$4, Rates_previous!$G$6:$Q$29, 10, FALSE)+VLOOKUP(BC$4, Rates_previous!$G$6:$Q$29, 11, FALSE))</f>
        <v>85686.728259968004</v>
      </c>
      <c r="BD120" s="192">
        <f>$F120*(VLOOKUP(BD$4, Rates_previous!$G$6:$Q$29, 10, FALSE)+VLOOKUP(BD$4, Rates_previous!$G$6:$Q$29, 11, FALSE))</f>
        <v>109330.43758334</v>
      </c>
      <c r="BE120" s="192">
        <f>$F120*(VLOOKUP(BE$4, Rates_previous!$G$6:$Q$29, 10, FALSE)+VLOOKUP(BE$4, Rates_previous!$G$6:$Q$29, 11, FALSE))</f>
        <v>85718.529715468001</v>
      </c>
      <c r="BF120" s="192">
        <f>$F120*(VLOOKUP(BF$4, Rates_previous!$G$6:$Q$29, 10, FALSE)+VLOOKUP(BF$4, Rates_previous!$G$6:$Q$29, 11, FALSE))</f>
        <v>83472.779388968003</v>
      </c>
      <c r="BG120" s="192">
        <f>$F120*(VLOOKUP(BG$4, Rates_previous!$G$6:$Q$29, 10, FALSE)+VLOOKUP(BG$4, Rates_previous!$G$6:$Q$29, 11, FALSE))</f>
        <v>74940.798942840003</v>
      </c>
      <c r="BH120" s="314">
        <f>IF($D120=0,IF(C120=0, MAX(BJ120 - (VLOOKUP($A120,TOCA_previous!$A$2:$AI$137,MATCH("RHWM 2020",TOCA_previous!$A$2:$AI$2,0),FALSE)*$F$2*TOCA_previous!C117),0),0), 0)</f>
        <v>2671.4431324281031</v>
      </c>
      <c r="BI120" s="204">
        <f>MIN(VLOOKUP($A120,TOCA_previous!$A$2:$AI$137,MATCH("TRL - NLSL - Existing Resource "&amp;$F$1,TOCA_previous!$A$2:$AI$2,0),FALSE)*$F$2,(VLOOKUP($A120,TOCA_previous!$A$2:$AI$137,MATCH("RHWM 2020",TOCA_previous!$A$2:$AI$2,0),FALSE)*$F$2))</f>
        <v>989289.21600000001</v>
      </c>
      <c r="BJ120" s="418">
        <f>SUM(L120:AI120)+(F120*RT1SC!$C$3*$F$2)</f>
        <v>991960.65913242812</v>
      </c>
      <c r="BK120" s="417">
        <f>VLOOKUP($A120,TOCA_previous!$A$2:$AI$137,MATCH("Above RHWM Not Served with LS "&amp;$F$1,TOCA_previous!$A$2:$AI$2,0),FALSE)*$F$2</f>
        <v>944947.58399999992</v>
      </c>
      <c r="BL120" s="418">
        <f t="shared" si="27"/>
        <v>2671.4431324281031</v>
      </c>
      <c r="BM120" s="417">
        <f>(VLOOKUP($A120,TOCA_previous!$A$2:$AI$137,MATCH("RHWM 2020",TOCA_previous!$A$2:$AI$2,0),FALSE)*$F$2) - $BI120</f>
        <v>0</v>
      </c>
      <c r="BN120" s="418">
        <f t="shared" si="28"/>
        <v>0</v>
      </c>
      <c r="BO120" s="417">
        <f t="shared" si="29"/>
        <v>0</v>
      </c>
      <c r="BP120" s="418">
        <f t="shared" si="30"/>
        <v>0</v>
      </c>
      <c r="BQ120" s="417">
        <f t="shared" si="37"/>
        <v>0</v>
      </c>
      <c r="BR120" s="120">
        <f>VLOOKUP($A120,TOCA_current!$A$2:$AI$137,MATCH(BR$4,TOCA_current!$A$2:$AI$2,0),FALSE)</f>
        <v>1.6032999999999999E-2</v>
      </c>
      <c r="BS120" s="120">
        <f>VLOOKUP($A120,TOCA_current!$A$2:$AI$137,MATCH(BS$4,TOCA_current!$A$2:$AI$2,0),FALSE)</f>
        <v>1.6032999999999999E-2</v>
      </c>
      <c r="BT120" s="201">
        <f t="shared" si="31"/>
        <v>0</v>
      </c>
      <c r="BU120" s="120">
        <f>VLOOKUP($A120,TOCA_current!A116:BG251,MATCH(BU$4,TOCA_current!$A$2:$BG$2,0),FALSE)</f>
        <v>0.10236148661160699</v>
      </c>
      <c r="BV120" s="120">
        <f t="shared" si="38"/>
        <v>0</v>
      </c>
      <c r="BW120" s="120">
        <f t="shared" si="39"/>
        <v>0</v>
      </c>
      <c r="BX120" s="191">
        <f>VLOOKUP($A120,IRD!$A$4:$G$139, 7, FALSE)</f>
        <v>228772.42700000003</v>
      </c>
      <c r="BY120" s="192">
        <f t="array" ref="BY120">IF($BT120=0, INDEX(LS_current!$D$4:$AY$138, MATCH('Staging Table'!$A120, LS_current!$B$4:$B$138, 0), MATCH(BY$4&amp;BY$5, LS_current!$D$2:$AY$2&amp;LS_current!$D$3:$AY$3, 0)),SUM(VLOOKUP($A120, LS_current!$B$4:$AY$138, LS_current!D$148, FALSE), VLOOKUP($A120, LS_current!$B$4:$AY$138,LS_current!AB$148, FALSE))/2)</f>
        <v>-11906.927311297659</v>
      </c>
      <c r="BZ120" s="192">
        <f t="array" ref="BZ120">IF($BT120=0, INDEX(LS_current!$D$4:$AY$138, MATCH('Staging Table'!$A120, LS_current!$B$4:$B$138, 0), MATCH(BZ$4&amp;BZ$5, LS_current!$D$2:$AY$2&amp;LS_current!$D$3:$AY$3, 0)),SUM(VLOOKUP($A120, LS_current!$B$4:$AY$138, LS_current!E$148, FALSE), VLOOKUP($A120, LS_current!$B$4:$AY$138,LS_current!AC$148, FALSE))/2)</f>
        <v>776.95607320449199</v>
      </c>
      <c r="CA120" s="192">
        <f t="array" ref="CA120">IF($BT120=0, INDEX(LS_current!$D$4:$AY$138, MATCH('Staging Table'!$A120, LS_current!$B$4:$B$138, 0), MATCH(CA$4&amp;CA$5, LS_current!$D$2:$AY$2&amp;LS_current!$D$3:$AY$3, 0)),SUM(VLOOKUP($A120, LS_current!$B$4:$AY$138, LS_current!F$148, FALSE), VLOOKUP($A120, LS_current!$B$4:$AY$138,LS_current!AD$148, FALSE))/2)</f>
        <v>-26751.648919516338</v>
      </c>
      <c r="CB120" s="192">
        <f t="array" ref="CB120">IF($BT120=0, INDEX(LS_current!$D$4:$AY$138, MATCH('Staging Table'!$A120, LS_current!$B$4:$B$138, 0), MATCH(CB$4&amp;CB$5, LS_current!$D$2:$AY$2&amp;LS_current!$D$3:$AY$3, 0)),SUM(VLOOKUP($A120, LS_current!$B$4:$AY$138, LS_current!G$148, FALSE), VLOOKUP($A120, LS_current!$B$4:$AY$138,LS_current!AE$148, FALSE))/2)</f>
        <v>-12325.880828576912</v>
      </c>
      <c r="CC120" s="192">
        <f t="array" ref="CC120">IF($BT120=0, INDEX(LS_current!$D$4:$AY$138, MATCH('Staging Table'!$A120, LS_current!$B$4:$B$138, 0), MATCH(CC$4&amp;CC$5, LS_current!$D$2:$AY$2&amp;LS_current!$D$3:$AY$3, 0)),SUM(VLOOKUP($A120, LS_current!$B$4:$AY$138, LS_current!H$148, FALSE), VLOOKUP($A120, LS_current!$B$4:$AY$138,LS_current!AF$148, FALSE))/2)</f>
        <v>-29893.512571133353</v>
      </c>
      <c r="CD120" s="192">
        <f t="array" ref="CD120">IF($BT120=0, INDEX(LS_current!$D$4:$AY$138, MATCH('Staging Table'!$A120, LS_current!$B$4:$B$138, 0), MATCH(CD$4&amp;CD$5, LS_current!$D$2:$AY$2&amp;LS_current!$D$3:$AY$3, 0)),SUM(VLOOKUP($A120, LS_current!$B$4:$AY$138, LS_current!I$148, FALSE), VLOOKUP($A120, LS_current!$B$4:$AY$138,LS_current!AG$148, FALSE))/2)</f>
        <v>-5743.675644825511</v>
      </c>
      <c r="CE120" s="192">
        <f t="array" ref="CE120">IF($BT120=0, INDEX(LS_current!$D$4:$AY$138, MATCH('Staging Table'!$A120, LS_current!$B$4:$B$138, 0), MATCH(CE$4&amp;CE$5, LS_current!$D$2:$AY$2&amp;LS_current!$D$3:$AY$3, 0)),SUM(VLOOKUP($A120, LS_current!$B$4:$AY$138, LS_current!J$148, FALSE), VLOOKUP($A120, LS_current!$B$4:$AY$138,LS_current!AH$148, FALSE))/2)</f>
        <v>-11370.933734171696</v>
      </c>
      <c r="CF120" s="192">
        <f t="array" ref="CF120">IF($BT120=0, INDEX(LS_current!$D$4:$AY$138, MATCH('Staging Table'!$A120, LS_current!$B$4:$B$138, 0), MATCH(CF$4&amp;CF$5, LS_current!$D$2:$AY$2&amp;LS_current!$D$3:$AY$3, 0)),SUM(VLOOKUP($A120, LS_current!$B$4:$AY$138, LS_current!K$148, FALSE), VLOOKUP($A120, LS_current!$B$4:$AY$138,LS_current!AI$148, FALSE))/2)</f>
        <v>-12779.706548777056</v>
      </c>
      <c r="CG120" s="192">
        <f t="array" ref="CG120">IF($BT120=0, INDEX(LS_current!$D$4:$AY$138, MATCH('Staging Table'!$A120, LS_current!$B$4:$B$138, 0), MATCH(CG$4&amp;CG$5, LS_current!$D$2:$AY$2&amp;LS_current!$D$3:$AY$3, 0)),SUM(VLOOKUP($A120, LS_current!$B$4:$AY$138, LS_current!L$148, FALSE), VLOOKUP($A120, LS_current!$B$4:$AY$138,LS_current!AJ$148, FALSE))/2)</f>
        <v>-11354.937720622853</v>
      </c>
      <c r="CH120" s="192">
        <f t="array" ref="CH120">IF($BT120=0, INDEX(LS_current!$D$4:$AY$138, MATCH('Staging Table'!$A120, LS_current!$B$4:$B$138, 0), MATCH(CH$4&amp;CH$5, LS_current!$D$2:$AY$2&amp;LS_current!$D$3:$AY$3, 0)),SUM(VLOOKUP($A120, LS_current!$B$4:$AY$138, LS_current!M$148, FALSE), VLOOKUP($A120, LS_current!$B$4:$AY$138,LS_current!AK$148, FALSE))/2)</f>
        <v>-7315.723488823045</v>
      </c>
      <c r="CI120" s="192">
        <f t="array" ref="CI120">IF($BT120=0, INDEX(LS_current!$D$4:$AY$138, MATCH('Staging Table'!$A120, LS_current!$B$4:$B$138, 0), MATCH(CI$4&amp;CI$5, LS_current!$D$2:$AY$2&amp;LS_current!$D$3:$AY$3, 0)),SUM(VLOOKUP($A120, LS_current!$B$4:$AY$138, LS_current!N$148, FALSE), VLOOKUP($A120, LS_current!$B$4:$AY$138,LS_current!AL$148, FALSE))/2)</f>
        <v>-23106.146716277246</v>
      </c>
      <c r="CJ120" s="192">
        <f t="array" ref="CJ120">IF($BT120=0, INDEX(LS_current!$D$4:$AY$138, MATCH('Staging Table'!$A120, LS_current!$B$4:$B$138, 0), MATCH(CJ$4&amp;CJ$5, LS_current!$D$2:$AY$2&amp;LS_current!$D$3:$AY$3, 0)),SUM(VLOOKUP($A120, LS_current!$B$4:$AY$138, LS_current!O$148, FALSE), VLOOKUP($A120, LS_current!$B$4:$AY$138,LS_current!AM$148, FALSE))/2)</f>
        <v>-6096.8668664651523</v>
      </c>
      <c r="CK120" s="192">
        <f t="array" ref="CK120">IF($BT120=0, INDEX(LS_current!$D$4:$AY$138, MATCH('Staging Table'!$A120, LS_current!$B$4:$B$138, 0), MATCH(CK$4&amp;CK$5, LS_current!$D$2:$AY$2&amp;LS_current!$D$3:$AY$3, 0)),SUM(VLOOKUP($A120, LS_current!$B$4:$AY$138, LS_current!P$148, FALSE), VLOOKUP($A120, LS_current!$B$4:$AY$138,LS_current!AN$148, FALSE))/2)</f>
        <v>-4579.0584700568797</v>
      </c>
      <c r="CL120" s="192">
        <f t="array" ref="CL120">IF($BT120=0, INDEX(LS_current!$D$4:$AY$138, MATCH('Staging Table'!$A120, LS_current!$B$4:$B$138, 0), MATCH(CL$4&amp;CL$5, LS_current!$D$2:$AY$2&amp;LS_current!$D$3:$AY$3, 0)),SUM(VLOOKUP($A120, LS_current!$B$4:$AY$138, LS_current!Q$148, FALSE), VLOOKUP($A120, LS_current!$B$4:$AY$138,LS_current!AO$148, FALSE))/2)</f>
        <v>12203.405781438662</v>
      </c>
      <c r="CM120" s="192">
        <f t="array" ref="CM120">IF($BT120=0, INDEX(LS_current!$D$4:$AY$138, MATCH('Staging Table'!$A120, LS_current!$B$4:$B$138, 0), MATCH(CM$4&amp;CM$5, LS_current!$D$2:$AY$2&amp;LS_current!$D$3:$AY$3, 0)),SUM(VLOOKUP($A120, LS_current!$B$4:$AY$138, LS_current!R$148, FALSE), VLOOKUP($A120, LS_current!$B$4:$AY$138,LS_current!AP$148, FALSE))/2)</f>
        <v>1340.5537946817203</v>
      </c>
      <c r="CN120" s="192">
        <f t="array" ref="CN120">IF($BT120=0, INDEX(LS_current!$D$4:$AY$138, MATCH('Staging Table'!$A120, LS_current!$B$4:$B$138, 0), MATCH(CN$4&amp;CN$5, LS_current!$D$2:$AY$2&amp;LS_current!$D$3:$AY$3, 0)),SUM(VLOOKUP($A120, LS_current!$B$4:$AY$138, LS_current!S$148, FALSE), VLOOKUP($A120, LS_current!$B$4:$AY$138,LS_current!AQ$148, FALSE))/2)</f>
        <v>12196.560528975348</v>
      </c>
      <c r="CO120" s="192">
        <f t="array" ref="CO120">IF($BT120=0, INDEX(LS_current!$D$4:$AY$138, MATCH('Staging Table'!$A120, LS_current!$B$4:$B$138, 0), MATCH(CO$4&amp;CO$5, LS_current!$D$2:$AY$2&amp;LS_current!$D$3:$AY$3, 0)),SUM(VLOOKUP($A120, LS_current!$B$4:$AY$138, LS_current!T$148, FALSE), VLOOKUP($A120, LS_current!$B$4:$AY$138,LS_current!AR$148, FALSE))/2)</f>
        <v>10772.212607137619</v>
      </c>
      <c r="CP120" s="192">
        <f t="array" ref="CP120">IF($BT120=0, INDEX(LS_current!$D$4:$AY$138, MATCH('Staging Table'!$A120, LS_current!$B$4:$B$138, 0), MATCH(CP$4&amp;CP$5, LS_current!$D$2:$AY$2&amp;LS_current!$D$3:$AY$3, 0)),SUM(VLOOKUP($A120, LS_current!$B$4:$AY$138, LS_current!U$148, FALSE), VLOOKUP($A120, LS_current!$B$4:$AY$138,LS_current!AS$148, FALSE))/2)</f>
        <v>23122.663200634943</v>
      </c>
      <c r="CQ120" s="192">
        <f t="array" ref="CQ120">IF($BT120=0, INDEX(LS_current!$D$4:$AY$138, MATCH('Staging Table'!$A120, LS_current!$B$4:$B$138, 0), MATCH(CQ$4&amp;CQ$5, LS_current!$D$2:$AY$2&amp;LS_current!$D$3:$AY$3, 0)),SUM(VLOOKUP($A120, LS_current!$B$4:$AY$138, LS_current!V$148, FALSE), VLOOKUP($A120, LS_current!$B$4:$AY$138,LS_current!AT$148, FALSE))/2)</f>
        <v>13791.835841447275</v>
      </c>
      <c r="CR120" s="192">
        <f t="array" ref="CR120">IF($BT120=0, INDEX(LS_current!$D$4:$AY$138, MATCH('Staging Table'!$A120, LS_current!$B$4:$B$138, 0), MATCH(CR$4&amp;CR$5, LS_current!$D$2:$AY$2&amp;LS_current!$D$3:$AY$3, 0)),SUM(VLOOKUP($A120, LS_current!$B$4:$AY$138, LS_current!W$148, FALSE), VLOOKUP($A120, LS_current!$B$4:$AY$138,LS_current!AU$148, FALSE))/2)</f>
        <v>34310.817035266002</v>
      </c>
      <c r="CS120" s="192">
        <f t="array" ref="CS120">IF($BT120=0, INDEX(LS_current!$D$4:$AY$138, MATCH('Staging Table'!$A120, LS_current!$B$4:$B$138, 0), MATCH(CS$4&amp;CS$5, LS_current!$D$2:$AY$2&amp;LS_current!$D$3:$AY$3, 0)),SUM(VLOOKUP($A120, LS_current!$B$4:$AY$138, LS_current!X$148, FALSE), VLOOKUP($A120, LS_current!$B$4:$AY$138,LS_current!AV$148, FALSE))/2)</f>
        <v>21248.923988816081</v>
      </c>
      <c r="CT120" s="192">
        <f t="array" ref="CT120">IF($BT120=0, INDEX(LS_current!$D$4:$AY$138, MATCH('Staging Table'!$A120, LS_current!$B$4:$B$138, 0), MATCH(CT$4&amp;CT$5, LS_current!$D$2:$AY$2&amp;LS_current!$D$3:$AY$3, 0)),SUM(VLOOKUP($A120, LS_current!$B$4:$AY$138, LS_current!Y$148, FALSE), VLOOKUP($A120, LS_current!$B$4:$AY$138,LS_current!AW$148, FALSE))/2)</f>
        <v>23075.412501271432</v>
      </c>
      <c r="CU120" s="192">
        <f t="array" ref="CU120">IF($BT120=0, INDEX(LS_current!$D$4:$AY$138, MATCH('Staging Table'!$A120, LS_current!$B$4:$B$138, 0), MATCH(CU$4&amp;CU$5, LS_current!$D$2:$AY$2&amp;LS_current!$D$3:$AY$3, 0)),SUM(VLOOKUP($A120, LS_current!$B$4:$AY$138, LS_current!Z$148, FALSE), VLOOKUP($A120, LS_current!$B$4:$AY$138,LS_current!AX$148, FALSE))/2)</f>
        <v>-3164.9765052827279</v>
      </c>
      <c r="CV120" s="192">
        <f t="array" ref="CV120">IF($BT120=0, INDEX(LS_current!$D$4:$AY$138, MATCH('Staging Table'!$A120, LS_current!$B$4:$B$138, 0), MATCH(CV$4&amp;CV$5, LS_current!$D$2:$AY$2&amp;LS_current!$D$3:$AY$3, 0)),SUM(VLOOKUP($A120, LS_current!$B$4:$AY$138, LS_current!AA$148, FALSE), VLOOKUP($A120, LS_current!$B$4:$AY$138,LS_current!AY$148, FALSE))/2)</f>
        <v>13543.684271128099</v>
      </c>
      <c r="CW120" s="194">
        <f t="array" ref="CW120">INDEX(Demand_current!$D$4:$AY$138, MATCH($A120, Demand_current!$B$4:$B$138, 0), MATCH(CW$4&amp;CW$5,Demand_current!$D$2:$AY$2&amp;Demand_current!$D$3:$AY$3, 0))/1000</f>
        <v>0</v>
      </c>
      <c r="CX120" s="194">
        <f t="array" ref="CX120">INDEX(Demand_current!$D$4:$AY$138, MATCH($A120, Demand_current!$B$4:$B$138, 0), MATCH(CX$4&amp;CX$5,Demand_current!$D$2:$AY$2&amp;Demand_current!$D$3:$AY$3, 0))/1000</f>
        <v>0</v>
      </c>
      <c r="CY120" s="194">
        <f t="array" ref="CY120">INDEX(Demand_current!$D$4:$AY$138, MATCH($A120, Demand_current!$B$4:$B$138, 0), MATCH(CY$4&amp;CY$5,Demand_current!$D$2:$AY$2&amp;Demand_current!$D$3:$AY$3, 0))/1000</f>
        <v>0</v>
      </c>
      <c r="CZ120" s="194">
        <f t="array" ref="CZ120">INDEX(Demand_current!$D$4:$AY$138, MATCH($A120, Demand_current!$B$4:$B$138, 0), MATCH(CZ$4&amp;CZ$5,Demand_current!$D$2:$AY$2&amp;Demand_current!$D$3:$AY$3, 0))/1000</f>
        <v>0</v>
      </c>
      <c r="DA120" s="194">
        <f t="array" ref="DA120">INDEX(Demand_current!$D$4:$AY$138, MATCH($A120, Demand_current!$B$4:$B$138, 0), MATCH(DA$4&amp;DA$5,Demand_current!$D$2:$AY$2&amp;Demand_current!$D$3:$AY$3, 0))/1000</f>
        <v>0</v>
      </c>
      <c r="DB120" s="194">
        <f t="array" ref="DB120">INDEX(Demand_current!$D$4:$AY$138, MATCH($A120, Demand_current!$B$4:$B$138, 0), MATCH(DB$4&amp;DB$5,Demand_current!$D$2:$AY$2&amp;Demand_current!$D$3:$AY$3, 0))/1000</f>
        <v>0</v>
      </c>
      <c r="DC120" s="194">
        <f t="array" ref="DC120">INDEX(Demand_current!$D$4:$AY$138, MATCH($A120, Demand_current!$B$4:$B$138, 0), MATCH(DC$4&amp;DC$5,Demand_current!$D$2:$AY$2&amp;Demand_current!$D$3:$AY$3, 0))/1000</f>
        <v>0</v>
      </c>
      <c r="DD120" s="194">
        <f t="array" ref="DD120">INDEX(Demand_current!$D$4:$AY$138, MATCH($A120, Demand_current!$B$4:$B$138, 0), MATCH(DD$4&amp;DD$5,Demand_current!$D$2:$AY$2&amp;Demand_current!$D$3:$AY$3, 0))/1000</f>
        <v>0</v>
      </c>
      <c r="DE120" s="194">
        <f t="array" ref="DE120">INDEX(Demand_current!$D$4:$AY$138, MATCH($A120, Demand_current!$B$4:$B$138, 0), MATCH(DE$4&amp;DE$5,Demand_current!$D$2:$AY$2&amp;Demand_current!$D$3:$AY$3, 0))/1000</f>
        <v>0</v>
      </c>
      <c r="DF120" s="194">
        <f t="array" ref="DF120">INDEX(Demand_current!$D$4:$AY$138, MATCH($A120, Demand_current!$B$4:$B$138, 0), MATCH(DF$4&amp;DF$5,Demand_current!$D$2:$AY$2&amp;Demand_current!$D$3:$AY$3, 0))/1000</f>
        <v>0</v>
      </c>
      <c r="DG120" s="194">
        <f t="array" ref="DG120">INDEX(Demand_current!$D$4:$AY$138, MATCH($A120, Demand_current!$B$4:$B$138, 0), MATCH(DG$4&amp;DG$5,Demand_current!$D$2:$AY$2&amp;Demand_current!$D$3:$AY$3, 0))/1000</f>
        <v>0</v>
      </c>
      <c r="DH120" s="194">
        <f t="array" ref="DH120">INDEX(Demand_current!$D$4:$AY$138, MATCH($A120, Demand_current!$B$4:$B$138, 0), MATCH(DH$4&amp;DH$5,Demand_current!$D$2:$AY$2&amp;Demand_current!$D$3:$AY$3, 0))/1000</f>
        <v>0</v>
      </c>
      <c r="DI120" s="192">
        <f>$BS120*(VLOOKUP(DI$4, Rates_current!$G$6:$Q$29, 10, FALSE)+VLOOKUP(DI$4, Rates_current!$G$6:$Q$29, 11, FALSE))</f>
        <v>73013.070238093176</v>
      </c>
      <c r="DJ120" s="192">
        <f>$BS120*(VLOOKUP(DJ$4, Rates_current!$G$6:$Q$29, 10, FALSE)+VLOOKUP(DJ$4, Rates_current!$G$6:$Q$29, 11, FALSE))</f>
        <v>92437.196748093222</v>
      </c>
      <c r="DK120" s="192">
        <f>$BS120*(VLOOKUP(DK$4, Rates_current!$G$6:$Q$29, 10, FALSE)+VLOOKUP(DK$4, Rates_current!$G$6:$Q$29, 11, FALSE))</f>
        <v>90477.548215958901</v>
      </c>
      <c r="DL120" s="192">
        <f>$BS120*(VLOOKUP(DL$4, Rates_current!$G$6:$Q$29, 10, FALSE)+VLOOKUP(DL$4, Rates_current!$G$6:$Q$29, 11, FALSE))</f>
        <v>74730.607282948724</v>
      </c>
      <c r="DM120" s="192">
        <f>$BS120*(VLOOKUP(DM$4, Rates_current!$G$6:$Q$29, 10, FALSE)+VLOOKUP(DM$4, Rates_current!$G$6:$Q$29, 11, FALSE))</f>
        <v>64770.655209445911</v>
      </c>
      <c r="DN120" s="192">
        <f>$BS120*(VLOOKUP(DN$4, Rates_current!$G$6:$Q$29, 10, FALSE)+VLOOKUP(DN$4, Rates_current!$G$6:$Q$29, 11, FALSE))</f>
        <v>77323.082582742412</v>
      </c>
      <c r="DO120" s="192">
        <f>$BS120*(VLOOKUP(DO$4, Rates_current!$G$6:$Q$29, 10, FALSE)+VLOOKUP(DO$4, Rates_current!$G$6:$Q$29, 11, FALSE))</f>
        <v>60031.0796886182</v>
      </c>
      <c r="DP120" s="192">
        <f>$BS120*(VLOOKUP(DP$4, Rates_current!$G$6:$Q$29, 10, FALSE)+VLOOKUP(DP$4, Rates_current!$G$6:$Q$29, 11, FALSE))</f>
        <v>83173.50267634292</v>
      </c>
      <c r="DQ120" s="192">
        <f>$BS120*(VLOOKUP(DQ$4, Rates_current!$G$6:$Q$29, 10, FALSE)+VLOOKUP(DQ$4, Rates_current!$G$6:$Q$29, 11, FALSE))</f>
        <v>88872.629192227439</v>
      </c>
      <c r="DR120" s="192">
        <f>$BS120*(VLOOKUP(DR$4, Rates_current!$G$6:$Q$29, 10, FALSE)+VLOOKUP(DR$4, Rates_current!$G$6:$Q$29, 11, FALSE))</f>
        <v>84380.537123286718</v>
      </c>
      <c r="DS120" s="192">
        <f>$BS120*(VLOOKUP(DS$4, Rates_current!$G$6:$Q$29, 10, FALSE)+VLOOKUP(DS$4, Rates_current!$G$6:$Q$29, 11, FALSE))</f>
        <v>81547.279509912449</v>
      </c>
      <c r="DT120" s="192">
        <f>$BS120*(VLOOKUP(DT$4, Rates_current!$G$6:$Q$29, 10, FALSE)+VLOOKUP(DT$4, Rates_current!$G$6:$Q$29, 11, FALSE))</f>
        <v>75358.18723415467</v>
      </c>
      <c r="DU120" s="418">
        <f>IF(D120=0,IF(C120=0,MAX(0,DW120 - (VLOOKUP($A120,TOCA_current!$A$2:$AI$137,MATCH("RHWM 2022",TOCA_current!$A$2:$AI$2,0),FALSE)*$BS$2)), 0),0)</f>
        <v>0</v>
      </c>
      <c r="DV120" s="419">
        <f>MIN(VLOOKUP($A120,TOCA_current!$A$2:$AI$137,MATCH("TRL - NLSL - Existing Resource "&amp;$BS$1,TOCA_current!$A$2:$AI$2,0),FALSE)*$BS$2, VLOOKUP($A120,TOCA_current!$A$2:$AI$137,MATCH("RHWM 2022",TOCA_current!$A$2:$AI$2,0),FALSE)*$BS$2)</f>
        <v>946115.04</v>
      </c>
      <c r="DW120" s="419">
        <f>SUM(BY120:CV120)+(BS120*RT1SC!$C$4*$BS$2)</f>
        <v>946108.45439789526</v>
      </c>
      <c r="DX120" s="419">
        <f>VLOOKUP($A120,TOCA_current!$A$2:$AI$137,MATCH("Above RHWM Not Served with LS "&amp;$BS$1,TOCA_current!$A$2:$AI$2,0),FALSE)*$BS$2</f>
        <v>990799.8</v>
      </c>
      <c r="DY120" s="419">
        <f t="shared" si="32"/>
        <v>-6.5856021047802642</v>
      </c>
      <c r="DZ120" s="419">
        <f>(VLOOKUP($A120,TOCA_current!$A$2:$AI$137,MATCH("RHWM 2022",TOCA_current!$A$2:$AI$2,0),FALSE)*$BS$2) - $DV120</f>
        <v>0</v>
      </c>
      <c r="EA120" s="419">
        <f t="shared" si="33"/>
        <v>0</v>
      </c>
      <c r="EB120" s="419">
        <f t="shared" si="34"/>
        <v>0</v>
      </c>
      <c r="EC120" s="419">
        <f t="shared" si="35"/>
        <v>0</v>
      </c>
      <c r="ED120" s="419">
        <f t="shared" si="36"/>
        <v>0</v>
      </c>
    </row>
    <row r="121" spans="1:134">
      <c r="A121" s="135">
        <v>10391</v>
      </c>
      <c r="B121" s="136" t="s">
        <v>122</v>
      </c>
      <c r="C121" s="244">
        <f>VLOOKUP(A121, TOCA_current!$A$3:$D$137, 4, FALSE)</f>
        <v>0</v>
      </c>
      <c r="D121" s="203">
        <v>0</v>
      </c>
      <c r="E121" s="119">
        <f>VLOOKUP($A121,TOCA_previous!$A$2:$AI$137,MATCH(E$4,TOCA_previous!$A$2:$AI$2,0),FALSE)</f>
        <v>4.2448E-3</v>
      </c>
      <c r="F121" s="120">
        <f>VLOOKUP($A121,TOCA_previous!$A$2:$AI$137,MATCH(F$4,TOCA_previous!$A$2:$AI$2,0),FALSE)</f>
        <v>4.2448E-3</v>
      </c>
      <c r="G121" s="120">
        <f t="shared" si="24"/>
        <v>0</v>
      </c>
      <c r="H121" s="120">
        <f>VLOOKUP($A121,TOCA_previous!$A$2:$AI$137,MATCH(H$4,TOCA_previous!$A$2:$AI$2,0),FALSE)</f>
        <v>3.6014487893218858E-2</v>
      </c>
      <c r="I121" s="120">
        <f t="shared" si="25"/>
        <v>0</v>
      </c>
      <c r="J121" s="120">
        <f t="shared" si="26"/>
        <v>0</v>
      </c>
      <c r="K121" s="191">
        <f>VLOOKUP(A121, IRD!$A$5:$C$139, 3, FALSE)</f>
        <v>44270.152999999998</v>
      </c>
      <c r="L121" s="192">
        <f t="array" ref="L121">IF($G121=0, INDEX(LS_previous!$D$4:$AY$138, MATCH('Staging Table'!$A121, LS_previous!$B$4:$B$138, 0), MATCH(L$4&amp;L$5, LS_previous!$D$2:$AY$2&amp;LS_previous!$D$3:$AY$3, 0)),SUM(VLOOKUP($A121, LS_previous!$B$4:$AY$138, LS_previous!D$149, FALSE), VLOOKUP('Staging Table'!$A121, LS_previous!$B$4:$AY$138,LS_previous!AB$149, FALSE))/2)</f>
        <v>-4153.7197589823991</v>
      </c>
      <c r="M121" s="192">
        <f t="array" ref="M121">IF($G121=0, INDEX(LS_previous!$D$4:$AY$138, MATCH('Staging Table'!$A121, LS_previous!$B$4:$B$138, 0), MATCH(M$4&amp;M$5, LS_previous!$D$2:$AY$2&amp;LS_previous!$D$3:$AY$3, 0)),SUM(VLOOKUP($A121, LS_previous!$B$4:$AY$138, LS_previous!E$149, FALSE), VLOOKUP('Staging Table'!$A121, LS_previous!$B$4:$AY$138,LS_previous!AC$149, FALSE))/2)</f>
        <v>-1543.4532745983988</v>
      </c>
      <c r="N121" s="192">
        <f t="array" ref="N121">IF($G121=0, INDEX(LS_previous!$D$4:$AY$138, MATCH('Staging Table'!$A121, LS_previous!$B$4:$B$138, 0), MATCH(N$4&amp;N$5, LS_previous!$D$2:$AY$2&amp;LS_previous!$D$3:$AY$3, 0)),SUM(VLOOKUP($A121, LS_previous!$B$4:$AY$138, LS_previous!F$149, FALSE), VLOOKUP('Staging Table'!$A121, LS_previous!$B$4:$AY$138,LS_previous!AD$149, FALSE))/2)</f>
        <v>-6843.4376828543991</v>
      </c>
      <c r="O121" s="192">
        <f t="array" ref="O121">IF($G121=0, INDEX(LS_previous!$D$4:$AY$138, MATCH('Staging Table'!$A121, LS_previous!$B$4:$B$138, 0), MATCH(O$4&amp;O$5, LS_previous!$D$2:$AY$2&amp;LS_previous!$D$3:$AY$3, 0)),SUM(VLOOKUP($A121, LS_previous!$B$4:$AY$138, LS_previous!G$149, FALSE), VLOOKUP('Staging Table'!$A121, LS_previous!$B$4:$AY$138,LS_previous!AE$149, FALSE))/2)</f>
        <v>-2842.0543300528007</v>
      </c>
      <c r="P121" s="192">
        <f t="array" ref="P121">IF($G121=0, INDEX(LS_previous!$D$4:$AY$138, MATCH('Staging Table'!$A121, LS_previous!$B$4:$B$138, 0), MATCH(P$4&amp;P$5, LS_previous!$D$2:$AY$2&amp;LS_previous!$D$3:$AY$3, 0)),SUM(VLOOKUP($A121, LS_previous!$B$4:$AY$138, LS_previous!H$149, FALSE), VLOOKUP('Staging Table'!$A121, LS_previous!$B$4:$AY$138,LS_previous!AF$149, FALSE))/2)</f>
        <v>-3855.204881305599</v>
      </c>
      <c r="Q121" s="192">
        <f t="array" ref="Q121">IF($G121=0, INDEX(LS_previous!$D$4:$AY$138, MATCH('Staging Table'!$A121, LS_previous!$B$4:$B$138, 0), MATCH(Q$4&amp;Q$5, LS_previous!$D$2:$AY$2&amp;LS_previous!$D$3:$AY$3, 0)),SUM(VLOOKUP($A121, LS_previous!$B$4:$AY$138, LS_previous!I$149, FALSE), VLOOKUP('Staging Table'!$A121, LS_previous!$B$4:$AY$138,LS_previous!AG$149, FALSE))/2)</f>
        <v>-1188.684030675201</v>
      </c>
      <c r="R121" s="192">
        <f t="array" ref="R121">IF($G121=0, INDEX(LS_previous!$D$4:$AY$138, MATCH('Staging Table'!$A121, LS_previous!$B$4:$B$138, 0), MATCH(R$4&amp;R$5, LS_previous!$D$2:$AY$2&amp;LS_previous!$D$3:$AY$3, 0)),SUM(VLOOKUP($A121, LS_previous!$B$4:$AY$138, LS_previous!J$149, FALSE), VLOOKUP('Staging Table'!$A121, LS_previous!$B$4:$AY$138,LS_previous!AH$149, FALSE))/2)</f>
        <v>-1387.7848365056016</v>
      </c>
      <c r="S121" s="192">
        <f t="array" ref="S121">IF($G121=0, INDEX(LS_previous!$D$4:$AY$138, MATCH('Staging Table'!$A121, LS_previous!$B$4:$B$138, 0), MATCH(S$4&amp;S$5, LS_previous!$D$2:$AY$2&amp;LS_previous!$D$3:$AY$3, 0)),SUM(VLOOKUP($A121, LS_previous!$B$4:$AY$138, LS_previous!K$149, FALSE), VLOOKUP('Staging Table'!$A121, LS_previous!$B$4:$AY$138,LS_previous!AI$149, FALSE))/2)</f>
        <v>792.07679492480111</v>
      </c>
      <c r="T121" s="192">
        <f t="array" ref="T121">IF($G121=0, INDEX(LS_previous!$D$4:$AY$138, MATCH('Staging Table'!$A121, LS_previous!$B$4:$B$138, 0), MATCH(T$4&amp;T$5, LS_previous!$D$2:$AY$2&amp;LS_previous!$D$3:$AY$3, 0)),SUM(VLOOKUP($A121, LS_previous!$B$4:$AY$138, LS_previous!L$149, FALSE), VLOOKUP('Staging Table'!$A121, LS_previous!$B$4:$AY$138,LS_previous!AJ$149, FALSE))/2)</f>
        <v>-1989.4206719552003</v>
      </c>
      <c r="U121" s="192">
        <f t="array" ref="U121">IF($G121=0, INDEX(LS_previous!$D$4:$AY$138, MATCH('Staging Table'!$A121, LS_previous!$B$4:$B$138, 0), MATCH(U$4&amp;U$5, LS_previous!$D$2:$AY$2&amp;LS_previous!$D$3:$AY$3, 0)),SUM(VLOOKUP($A121, LS_previous!$B$4:$AY$138, LS_previous!M$149, FALSE), VLOOKUP('Staging Table'!$A121, LS_previous!$B$4:$AY$138,LS_previous!AK$149, FALSE))/2)</f>
        <v>-155.60752068479815</v>
      </c>
      <c r="V121" s="192">
        <f t="array" ref="V121">IF($G121=0, INDEX(LS_previous!$D$4:$AY$138, MATCH('Staging Table'!$A121, LS_previous!$B$4:$B$138, 0), MATCH(V$4&amp;V$5, LS_previous!$D$2:$AY$2&amp;LS_previous!$D$3:$AY$3, 0)),SUM(VLOOKUP($A121, LS_previous!$B$4:$AY$138, LS_previous!N$149, FALSE), VLOOKUP('Staging Table'!$A121, LS_previous!$B$4:$AY$138,LS_previous!AL$149, FALSE))/2)</f>
        <v>-4173.8128301567976</v>
      </c>
      <c r="W121" s="192">
        <f t="array" ref="W121">IF($G121=0, INDEX(LS_previous!$D$4:$AY$138, MATCH('Staging Table'!$A121, LS_previous!$B$4:$B$138, 0), MATCH(W$4&amp;W$5, LS_previous!$D$2:$AY$2&amp;LS_previous!$D$3:$AY$3, 0)),SUM(VLOOKUP($A121, LS_previous!$B$4:$AY$138, LS_previous!O$149, FALSE), VLOOKUP('Staging Table'!$A121, LS_previous!$B$4:$AY$138,LS_previous!AM$149, FALSE))/2)</f>
        <v>-1785.3641072207993</v>
      </c>
      <c r="X121" s="192">
        <f t="array" ref="X121">IF($G121=0, INDEX(LS_previous!$D$4:$AY$138, MATCH('Staging Table'!$A121, LS_previous!$B$4:$B$138, 0), MATCH(X$4&amp;X$5, LS_previous!$D$2:$AY$2&amp;LS_previous!$D$3:$AY$3, 0)),SUM(VLOOKUP($A121, LS_previous!$B$4:$AY$138, LS_previous!P$149, FALSE), VLOOKUP('Staging Table'!$A121, LS_previous!$B$4:$AY$138,LS_previous!AN$149, FALSE))/2)</f>
        <v>-1006.2845213311994</v>
      </c>
      <c r="Y121" s="192">
        <f t="array" ref="Y121">IF($G121=0, INDEX(LS_previous!$D$4:$AY$138, MATCH('Staging Table'!$A121, LS_previous!$B$4:$B$138, 0), MATCH(Y$4&amp;Y$5, LS_previous!$D$2:$AY$2&amp;LS_previous!$D$3:$AY$3, 0)),SUM(VLOOKUP($A121, LS_previous!$B$4:$AY$138, LS_previous!Q$149, FALSE), VLOOKUP('Staging Table'!$A121, LS_previous!$B$4:$AY$138,LS_previous!AO$149, FALSE))/2)</f>
        <v>-234.45757057280025</v>
      </c>
      <c r="Z121" s="192">
        <f t="array" ref="Z121">IF($G121=0, INDEX(LS_previous!$D$4:$AY$138, MATCH('Staging Table'!$A121, LS_previous!$B$4:$B$138, 0), MATCH(Z$4&amp;Z$5, LS_previous!$D$2:$AY$2&amp;LS_previous!$D$3:$AY$3, 0)),SUM(VLOOKUP($A121, LS_previous!$B$4:$AY$138, LS_previous!R$149, FALSE), VLOOKUP('Staging Table'!$A121, LS_previous!$B$4:$AY$138,LS_previous!AP$149, FALSE))/2)</f>
        <v>-2557.7271220799994</v>
      </c>
      <c r="AA121" s="192">
        <f t="array" ref="AA121">IF($G121=0, INDEX(LS_previous!$D$4:$AY$138, MATCH('Staging Table'!$A121, LS_previous!$B$4:$B$138, 0), MATCH(AA$4&amp;AA$5, LS_previous!$D$2:$AY$2&amp;LS_previous!$D$3:$AY$3, 0)),SUM(VLOOKUP($A121, LS_previous!$B$4:$AY$138, LS_previous!S$149, FALSE), VLOOKUP('Staging Table'!$A121, LS_previous!$B$4:$AY$138,LS_previous!AQ$149, FALSE))/2)</f>
        <v>204.27278209920041</v>
      </c>
      <c r="AB121" s="192">
        <f t="array" ref="AB121">IF($G121=0, INDEX(LS_previous!$D$4:$AY$138, MATCH('Staging Table'!$A121, LS_previous!$B$4:$B$138, 0), MATCH(AB$4&amp;AB$5, LS_previous!$D$2:$AY$2&amp;LS_previous!$D$3:$AY$3, 0)),SUM(VLOOKUP($A121, LS_previous!$B$4:$AY$138, LS_previous!T$149, FALSE), VLOOKUP('Staging Table'!$A121, LS_previous!$B$4:$AY$138,LS_previous!AR$149, FALSE))/2)</f>
        <v>-1688.2808741312037</v>
      </c>
      <c r="AC121" s="192">
        <f t="array" ref="AC121">IF($G121=0, INDEX(LS_previous!$D$4:$AY$138, MATCH('Staging Table'!$A121, LS_previous!$B$4:$B$138, 0), MATCH(AC$4&amp;AC$5, LS_previous!$D$2:$AY$2&amp;LS_previous!$D$3:$AY$3, 0)),SUM(VLOOKUP($A121, LS_previous!$B$4:$AY$138, LS_previous!U$149, FALSE), VLOOKUP('Staging Table'!$A121, LS_previous!$B$4:$AY$138,LS_previous!AS$149, FALSE))/2)</f>
        <v>961.9212166271991</v>
      </c>
      <c r="AD121" s="192">
        <f t="array" ref="AD121">IF($G121=0, INDEX(LS_previous!$D$4:$AY$138, MATCH('Staging Table'!$A121, LS_previous!$B$4:$B$138, 0), MATCH(AD$4&amp;AD$5, LS_previous!$D$2:$AY$2&amp;LS_previous!$D$3:$AY$3, 0)),SUM(VLOOKUP($A121, LS_previous!$B$4:$AY$138, LS_previous!V$149, FALSE), VLOOKUP('Staging Table'!$A121, LS_previous!$B$4:$AY$138,LS_previous!AT$149, FALSE))/2)</f>
        <v>392.71834186879823</v>
      </c>
      <c r="AE121" s="192">
        <f t="array" ref="AE121">IF($G121=0, INDEX(LS_previous!$D$4:$AY$138, MATCH('Staging Table'!$A121, LS_previous!$B$4:$B$138, 0), MATCH(AE$4&amp;AE$5, LS_previous!$D$2:$AY$2&amp;LS_previous!$D$3:$AY$3, 0)),SUM(VLOOKUP($A121, LS_previous!$B$4:$AY$138, LS_previous!W$149, FALSE), VLOOKUP('Staging Table'!$A121, LS_previous!$B$4:$AY$138,LS_previous!AU$149, FALSE))/2)</f>
        <v>4298.4947573504005</v>
      </c>
      <c r="AF121" s="192">
        <f t="array" ref="AF121">IF($G121=0, INDEX(LS_previous!$D$4:$AY$138, MATCH('Staging Table'!$A121, LS_previous!$B$4:$B$138, 0), MATCH(AF$4&amp;AF$5, LS_previous!$D$2:$AY$2&amp;LS_previous!$D$3:$AY$3, 0)),SUM(VLOOKUP($A121, LS_previous!$B$4:$AY$138, LS_previous!X$149, FALSE), VLOOKUP('Staging Table'!$A121, LS_previous!$B$4:$AY$138,LS_previous!AV$149, FALSE))/2)</f>
        <v>-342.97829573119816</v>
      </c>
      <c r="AG121" s="192">
        <f t="array" ref="AG121">IF($G121=0, INDEX(LS_previous!$D$4:$AY$138, MATCH('Staging Table'!$A121, LS_previous!$B$4:$B$138, 0), MATCH(AG$4&amp;AG$5, LS_previous!$D$2:$AY$2&amp;LS_previous!$D$3:$AY$3, 0)),SUM(VLOOKUP($A121, LS_previous!$B$4:$AY$138, LS_previous!Y$149, FALSE), VLOOKUP('Staging Table'!$A121, LS_previous!$B$4:$AY$138,LS_previous!AW$149, FALSE))/2)</f>
        <v>1987.8466533504006</v>
      </c>
      <c r="AH121" s="192">
        <f t="array" ref="AH121">IF($G121=0, INDEX(LS_previous!$D$4:$AY$138, MATCH('Staging Table'!$A121, LS_previous!$B$4:$B$138, 0), MATCH(AH$4&amp;AH$5, LS_previous!$D$2:$AY$2&amp;LS_previous!$D$3:$AY$3, 0)),SUM(VLOOKUP($A121, LS_previous!$B$4:$AY$138, LS_previous!Z$149, FALSE), VLOOKUP('Staging Table'!$A121, LS_previous!$B$4:$AY$138,LS_previous!AX$149, FALSE))/2)</f>
        <v>-2229.8031948799999</v>
      </c>
      <c r="AI121" s="192">
        <f t="array" ref="AI121">IF($G121=0, INDEX(LS_previous!$D$4:$AY$138, MATCH('Staging Table'!$A121, LS_previous!$B$4:$B$138, 0), MATCH(AI$4&amp;AI$5, LS_previous!$D$2:$AY$2&amp;LS_previous!$D$3:$AY$3, 0)),SUM(VLOOKUP($A121, LS_previous!$B$4:$AY$138, LS_previous!AA$149, FALSE), VLOOKUP('Staging Table'!$A121, LS_previous!$B$4:$AY$138,LS_previous!AY$149, FALSE))/2)</f>
        <v>-208.92796582399933</v>
      </c>
      <c r="AJ121" s="314">
        <f t="array" ref="AJ121">INDEX(Demand_previous!$D$4:$AY$138, MATCH('Staging Table'!$A121, Demand_previous!$B$4:$B$138, 0), MATCH(AJ$4&amp;AJ$5,Demand_previous!$D$2:$AY$2&amp;Demand_previous!$D$3:$AY$3, 0))/1000</f>
        <v>1.4872384259259315</v>
      </c>
      <c r="AK121" s="314">
        <f t="array" ref="AK121">INDEX(Demand_previous!$D$4:$AY$138, MATCH('Staging Table'!$A121, Demand_previous!$B$4:$B$138, 0), MATCH(AK$4&amp;AK$5,Demand_previous!$D$2:$AY$2&amp;Demand_previous!$D$3:$AY$3, 0))/1000</f>
        <v>2.4443699999999975</v>
      </c>
      <c r="AL121" s="314">
        <f t="array" ref="AL121">INDEX(Demand_previous!$D$4:$AY$138, MATCH('Staging Table'!$A121, Demand_previous!$B$4:$B$138, 0), MATCH(AL$4&amp;AL$5,Demand_previous!$D$2:$AY$2&amp;Demand_previous!$D$3:$AY$3, 0))/1000</f>
        <v>4.7281899999999926</v>
      </c>
      <c r="AM121" s="314">
        <f t="array" ref="AM121">INDEX(Demand_previous!$D$4:$AY$138, MATCH('Staging Table'!$A121, Demand_previous!$B$4:$B$138, 0), MATCH(AM$4&amp;AM$5,Demand_previous!$D$2:$AY$2&amp;Demand_previous!$D$3:$AY$3, 0))/1000</f>
        <v>5.2304230769230795</v>
      </c>
      <c r="AN121" s="314">
        <f t="array" ref="AN121">INDEX(Demand_previous!$D$4:$AY$138, MATCH('Staging Table'!$A121, Demand_previous!$B$4:$B$138, 0), MATCH(AN$4&amp;AN$5,Demand_previous!$D$2:$AY$2&amp;Demand_previous!$D$3:$AY$3, 0))/1000</f>
        <v>1.4130950000000038</v>
      </c>
      <c r="AO121" s="314">
        <f t="array" ref="AO121">INDEX(Demand_previous!$D$4:$AY$138, MATCH('Staging Table'!$A121, Demand_previous!$B$4:$B$138, 0), MATCH(AO$4&amp;AO$5,Demand_previous!$D$2:$AY$2&amp;Demand_previous!$D$3:$AY$3, 0))/1000</f>
        <v>0.61744471153846103</v>
      </c>
      <c r="AP121" s="314">
        <f t="array" ref="AP121">INDEX(Demand_previous!$D$4:$AY$138, MATCH('Staging Table'!$A121, Demand_previous!$B$4:$B$138, 0), MATCH(AP$4&amp;AP$5,Demand_previous!$D$2:$AY$2&amp;Demand_previous!$D$3:$AY$3, 0))/1000</f>
        <v>0.67979807692307581</v>
      </c>
      <c r="AQ121" s="314">
        <f t="array" ref="AQ121">INDEX(Demand_previous!$D$4:$AY$138, MATCH('Staging Table'!$A121, Demand_previous!$B$4:$B$138, 0), MATCH(AQ$4&amp;AQ$5,Demand_previous!$D$2:$AY$2&amp;Demand_previous!$D$3:$AY$3, 0))/1000</f>
        <v>2.6949775000000011</v>
      </c>
      <c r="AR121" s="314">
        <f t="array" ref="AR121">INDEX(Demand_previous!$D$4:$AY$138, MATCH('Staging Table'!$A121, Demand_previous!$B$4:$B$138, 0), MATCH(AR$4&amp;AR$5,Demand_previous!$D$2:$AY$2&amp;Demand_previous!$D$3:$AY$3, 0))/1000</f>
        <v>3.966141826923085</v>
      </c>
      <c r="AS121" s="314">
        <f t="array" ref="AS121">INDEX(Demand_previous!$D$4:$AY$138, MATCH('Staging Table'!$A121, Demand_previous!$B$4:$B$138, 0), MATCH(AS$4&amp;AS$5,Demand_previous!$D$2:$AY$2&amp;Demand_previous!$D$3:$AY$3, 0))/1000</f>
        <v>10.089615384615389</v>
      </c>
      <c r="AT121" s="314">
        <f t="array" ref="AT121">INDEX(Demand_previous!$D$4:$AY$138, MATCH('Staging Table'!$A121, Demand_previous!$B$4:$B$138, 0), MATCH(AT$4&amp;AT$5,Demand_previous!$D$2:$AY$2&amp;Demand_previous!$D$3:$AY$3, 0))/1000</f>
        <v>5.9615649038461473</v>
      </c>
      <c r="AU121" s="314">
        <f t="array" ref="AU121">INDEX(Demand_previous!$D$4:$AY$138, MATCH('Staging Table'!$A121, Demand_previous!$B$4:$B$138, 0), MATCH(AU$4&amp;AU$5,Demand_previous!$D$2:$AY$2&amp;Demand_previous!$D$3:$AY$3, 0))/1000</f>
        <v>0.10970000000000013</v>
      </c>
      <c r="AV121" s="192">
        <f>$F121*(VLOOKUP(AV$4, Rates_previous!$G$6:$Q$29, 10, FALSE)+VLOOKUP(AV$4, Rates_previous!$G$6:$Q$29, 11, FALSE))</f>
        <v>19599.588033580796</v>
      </c>
      <c r="AW121" s="192">
        <f>$F121*(VLOOKUP(AW$4, Rates_previous!$G$6:$Q$29, 10, FALSE)+VLOOKUP(AW$4, Rates_previous!$G$6:$Q$29, 11, FALSE))</f>
        <v>24897.5910129072</v>
      </c>
      <c r="AX121" s="192">
        <f>$F121*(VLOOKUP(AX$4, Rates_previous!$G$6:$Q$29, 10, FALSE)+VLOOKUP(AX$4, Rates_previous!$G$6:$Q$29, 11, FALSE))</f>
        <v>24596.918911980803</v>
      </c>
      <c r="AY121" s="192">
        <f>$F121*(VLOOKUP(AY$4, Rates_previous!$G$6:$Q$29, 10, FALSE)+VLOOKUP(AY$4, Rates_previous!$G$6:$Q$29, 11, FALSE))</f>
        <v>20503.030041580801</v>
      </c>
      <c r="AZ121" s="192">
        <f>$F121*(VLOOKUP(AZ$4, Rates_previous!$G$6:$Q$29, 10, FALSE)+VLOOKUP(AZ$4, Rates_previous!$G$6:$Q$29, 11, FALSE))</f>
        <v>18573.618192639999</v>
      </c>
      <c r="BA121" s="192">
        <f>$F121*(VLOOKUP(BA$4, Rates_previous!$G$6:$Q$29, 10, FALSE)+VLOOKUP(BA$4, Rates_previous!$G$6:$Q$29, 11, FALSE))</f>
        <v>20659.7639373776</v>
      </c>
      <c r="BB121" s="192">
        <f>$F121*(VLOOKUP(BB$4, Rates_previous!$G$6:$Q$29, 10, FALSE)+VLOOKUP(BB$4, Rates_previous!$G$6:$Q$29, 11, FALSE))</f>
        <v>16821.202091904001</v>
      </c>
      <c r="BC121" s="192">
        <f>$F121*(VLOOKUP(BC$4, Rates_previous!$G$6:$Q$29, 10, FALSE)+VLOOKUP(BC$4, Rates_previous!$G$6:$Q$29, 11, FALSE))</f>
        <v>22685.899339980802</v>
      </c>
      <c r="BD121" s="192">
        <f>$F121*(VLOOKUP(BD$4, Rates_previous!$G$6:$Q$29, 10, FALSE)+VLOOKUP(BD$4, Rates_previous!$G$6:$Q$29, 11, FALSE))</f>
        <v>28945.664657504003</v>
      </c>
      <c r="BE121" s="192">
        <f>$F121*(VLOOKUP(BE$4, Rates_previous!$G$6:$Q$29, 10, FALSE)+VLOOKUP(BE$4, Rates_previous!$G$6:$Q$29, 11, FALSE))</f>
        <v>22694.318900780803</v>
      </c>
      <c r="BF121" s="192">
        <f>$F121*(VLOOKUP(BF$4, Rates_previous!$G$6:$Q$29, 10, FALSE)+VLOOKUP(BF$4, Rates_previous!$G$6:$Q$29, 11, FALSE))</f>
        <v>22099.7476423808</v>
      </c>
      <c r="BG121" s="192">
        <f>$F121*(VLOOKUP(BG$4, Rates_previous!$G$6:$Q$29, 10, FALSE)+VLOOKUP(BG$4, Rates_previous!$G$6:$Q$29, 11, FALSE))</f>
        <v>19840.872160704002</v>
      </c>
      <c r="BH121" s="314">
        <f>IF($D121=0,IF(C121=0, MAX(BJ121 - (VLOOKUP($A121,TOCA_previous!$A$2:$AI$137,MATCH("RHWM 2020",TOCA_previous!$A$2:$AI$2,0),FALSE)*$F$2*TOCA_previous!C118),0),0), 0)</f>
        <v>0</v>
      </c>
      <c r="BI121" s="204">
        <f>MIN(VLOOKUP($A121,TOCA_previous!$A$2:$AI$137,MATCH("TRL - NLSL - Existing Resource "&amp;$F$1,TOCA_previous!$A$2:$AI$2,0),FALSE)*$F$2,(VLOOKUP($A121,TOCA_previous!$A$2:$AI$137,MATCH("RHWM 2020",TOCA_previous!$A$2:$AI$2,0),FALSE)*$F$2))</f>
        <v>261921.31200000001</v>
      </c>
      <c r="BJ121" s="418">
        <f>SUM(L121:AI121)+(F121*RT1SC!$C$3*$F$2)</f>
        <v>232368.5518309568</v>
      </c>
      <c r="BK121" s="417">
        <f>VLOOKUP($A121,TOCA_previous!$A$2:$AI$137,MATCH("Above RHWM Not Served with LS "&amp;$F$1,TOCA_previous!$A$2:$AI$2,0),FALSE)*$F$2</f>
        <v>52510.752</v>
      </c>
      <c r="BL121" s="418">
        <f t="shared" si="27"/>
        <v>-29552.760169043206</v>
      </c>
      <c r="BM121" s="417">
        <f>(VLOOKUP($A121,TOCA_previous!$A$2:$AI$137,MATCH("RHWM 2020",TOCA_previous!$A$2:$AI$2,0),FALSE)*$F$2) - $BI121</f>
        <v>0</v>
      </c>
      <c r="BN121" s="418">
        <f t="shared" si="28"/>
        <v>0</v>
      </c>
      <c r="BO121" s="417">
        <f t="shared" si="29"/>
        <v>0</v>
      </c>
      <c r="BP121" s="418">
        <f t="shared" si="30"/>
        <v>0</v>
      </c>
      <c r="BQ121" s="417">
        <f t="shared" si="37"/>
        <v>0</v>
      </c>
      <c r="BR121" s="120">
        <f>VLOOKUP($A121,TOCA_current!$A$2:$AI$137,MATCH(BR$4,TOCA_current!$A$2:$AI$2,0),FALSE)</f>
        <v>4.2449000000000002E-3</v>
      </c>
      <c r="BS121" s="120">
        <f>VLOOKUP($A121,TOCA_current!$A$2:$AI$137,MATCH(BS$4,TOCA_current!$A$2:$AI$2,0),FALSE)</f>
        <v>4.2449000000000002E-3</v>
      </c>
      <c r="BT121" s="201">
        <f t="shared" si="31"/>
        <v>0</v>
      </c>
      <c r="BU121" s="120">
        <f>VLOOKUP($A121,TOCA_current!A117:BG252,MATCH(BU$4,TOCA_current!$A$2:$BG$2,0),FALSE)</f>
        <v>3.411785277146355E-2</v>
      </c>
      <c r="BV121" s="120">
        <f t="shared" si="38"/>
        <v>0</v>
      </c>
      <c r="BW121" s="120">
        <f t="shared" si="39"/>
        <v>0</v>
      </c>
      <c r="BX121" s="191">
        <f>VLOOKUP($A121,IRD!$A$4:$G$139, 7, FALSE)</f>
        <v>44270.152999999998</v>
      </c>
      <c r="BY121" s="192">
        <f t="array" ref="BY121">IF($BT121=0, INDEX(LS_current!$D$4:$AY$138, MATCH('Staging Table'!$A121, LS_current!$B$4:$B$138, 0), MATCH(BY$4&amp;BY$5, LS_current!$D$2:$AY$2&amp;LS_current!$D$3:$AY$3, 0)),SUM(VLOOKUP($A121, LS_current!$B$4:$AY$138, LS_current!D$148, FALSE), VLOOKUP($A121, LS_current!$B$4:$AY$138,LS_current!AB$148, FALSE))/2)</f>
        <v>-2829.6055939267444</v>
      </c>
      <c r="BZ121" s="192">
        <f t="array" ref="BZ121">IF($BT121=0, INDEX(LS_current!$D$4:$AY$138, MATCH('Staging Table'!$A121, LS_current!$B$4:$B$138, 0), MATCH(BZ$4&amp;BZ$5, LS_current!$D$2:$AY$2&amp;LS_current!$D$3:$AY$3, 0)),SUM(VLOOKUP($A121, LS_current!$B$4:$AY$138, LS_current!E$148, FALSE), VLOOKUP($A121, LS_current!$B$4:$AY$138,LS_current!AC$148, FALSE))/2)</f>
        <v>-1071.5011797701154</v>
      </c>
      <c r="CA121" s="192">
        <f t="array" ref="CA121">IF($BT121=0, INDEX(LS_current!$D$4:$AY$138, MATCH('Staging Table'!$A121, LS_current!$B$4:$B$138, 0), MATCH(CA$4&amp;CA$5, LS_current!$D$2:$AY$2&amp;LS_current!$D$3:$AY$3, 0)),SUM(VLOOKUP($A121, LS_current!$B$4:$AY$138, LS_current!F$148, FALSE), VLOOKUP($A121, LS_current!$B$4:$AY$138,LS_current!AD$148, FALSE))/2)</f>
        <v>-5430.771454491045</v>
      </c>
      <c r="CB121" s="192">
        <f t="array" ref="CB121">IF($BT121=0, INDEX(LS_current!$D$4:$AY$138, MATCH('Staging Table'!$A121, LS_current!$B$4:$B$138, 0), MATCH(CB$4&amp;CB$5, LS_current!$D$2:$AY$2&amp;LS_current!$D$3:$AY$3, 0)),SUM(VLOOKUP($A121, LS_current!$B$4:$AY$138, LS_current!G$148, FALSE), VLOOKUP($A121, LS_current!$B$4:$AY$138,LS_current!AE$148, FALSE))/2)</f>
        <v>-2350.6055916002033</v>
      </c>
      <c r="CC121" s="192">
        <f t="array" ref="CC121">IF($BT121=0, INDEX(LS_current!$D$4:$AY$138, MATCH('Staging Table'!$A121, LS_current!$B$4:$B$138, 0), MATCH(CC$4&amp;CC$5, LS_current!$D$2:$AY$2&amp;LS_current!$D$3:$AY$3, 0)),SUM(VLOOKUP($A121, LS_current!$B$4:$AY$138, LS_current!H$148, FALSE), VLOOKUP($A121, LS_current!$B$4:$AY$138,LS_current!AF$148, FALSE))/2)</f>
        <v>-1507.0933756816648</v>
      </c>
      <c r="CD121" s="192">
        <f t="array" ref="CD121">IF($BT121=0, INDEX(LS_current!$D$4:$AY$138, MATCH('Staging Table'!$A121, LS_current!$B$4:$B$138, 0), MATCH(CD$4&amp;CD$5, LS_current!$D$2:$AY$2&amp;LS_current!$D$3:$AY$3, 0)),SUM(VLOOKUP($A121, LS_current!$B$4:$AY$138, LS_current!I$148, FALSE), VLOOKUP($A121, LS_current!$B$4:$AY$138,LS_current!AG$148, FALSE))/2)</f>
        <v>-1367.2967681419432</v>
      </c>
      <c r="CE121" s="192">
        <f t="array" ref="CE121">IF($BT121=0, INDEX(LS_current!$D$4:$AY$138, MATCH('Staging Table'!$A121, LS_current!$B$4:$B$138, 0), MATCH(CE$4&amp;CE$5, LS_current!$D$2:$AY$2&amp;LS_current!$D$3:$AY$3, 0)),SUM(VLOOKUP($A121, LS_current!$B$4:$AY$138, LS_current!J$148, FALSE), VLOOKUP($A121, LS_current!$B$4:$AY$138,LS_current!AH$148, FALSE))/2)</f>
        <v>1158.8052244879073</v>
      </c>
      <c r="CF121" s="192">
        <f t="array" ref="CF121">IF($BT121=0, INDEX(LS_current!$D$4:$AY$138, MATCH('Staging Table'!$A121, LS_current!$B$4:$B$138, 0), MATCH(CF$4&amp;CF$5, LS_current!$D$2:$AY$2&amp;LS_current!$D$3:$AY$3, 0)),SUM(VLOOKUP($A121, LS_current!$B$4:$AY$138, LS_current!K$148, FALSE), VLOOKUP($A121, LS_current!$B$4:$AY$138,LS_current!AI$148, FALSE))/2)</f>
        <v>490.25958101392644</v>
      </c>
      <c r="CG121" s="192">
        <f t="array" ref="CG121">IF($BT121=0, INDEX(LS_current!$D$4:$AY$138, MATCH('Staging Table'!$A121, LS_current!$B$4:$B$138, 0), MATCH(CG$4&amp;CG$5, LS_current!$D$2:$AY$2&amp;LS_current!$D$3:$AY$3, 0)),SUM(VLOOKUP($A121, LS_current!$B$4:$AY$138, LS_current!L$148, FALSE), VLOOKUP($A121, LS_current!$B$4:$AY$138,LS_current!AJ$148, FALSE))/2)</f>
        <v>651.2971025527313</v>
      </c>
      <c r="CH121" s="192">
        <f t="array" ref="CH121">IF($BT121=0, INDEX(LS_current!$D$4:$AY$138, MATCH('Staging Table'!$A121, LS_current!$B$4:$B$138, 0), MATCH(CH$4&amp;CH$5, LS_current!$D$2:$AY$2&amp;LS_current!$D$3:$AY$3, 0)),SUM(VLOOKUP($A121, LS_current!$B$4:$AY$138, LS_current!M$148, FALSE), VLOOKUP($A121, LS_current!$B$4:$AY$138,LS_current!AK$148, FALSE))/2)</f>
        <v>151.69042787969101</v>
      </c>
      <c r="CI121" s="192">
        <f t="array" ref="CI121">IF($BT121=0, INDEX(LS_current!$D$4:$AY$138, MATCH('Staging Table'!$A121, LS_current!$B$4:$B$138, 0), MATCH(CI$4&amp;CI$5, LS_current!$D$2:$AY$2&amp;LS_current!$D$3:$AY$3, 0)),SUM(VLOOKUP($A121, LS_current!$B$4:$AY$138, LS_current!N$148, FALSE), VLOOKUP($A121, LS_current!$B$4:$AY$138,LS_current!AL$148, FALSE))/2)</f>
        <v>-2819.3444378921849</v>
      </c>
      <c r="CJ121" s="192">
        <f t="array" ref="CJ121">IF($BT121=0, INDEX(LS_current!$D$4:$AY$138, MATCH('Staging Table'!$A121, LS_current!$B$4:$B$138, 0), MATCH(CJ$4&amp;CJ$5, LS_current!$D$2:$AY$2&amp;LS_current!$D$3:$AY$3, 0)),SUM(VLOOKUP($A121, LS_current!$B$4:$AY$138, LS_current!O$148, FALSE), VLOOKUP($A121, LS_current!$B$4:$AY$138,LS_current!AM$148, FALSE))/2)</f>
        <v>-1426.7629891322795</v>
      </c>
      <c r="CK121" s="192">
        <f t="array" ref="CK121">IF($BT121=0, INDEX(LS_current!$D$4:$AY$138, MATCH('Staging Table'!$A121, LS_current!$B$4:$B$138, 0), MATCH(CK$4&amp;CK$5, LS_current!$D$2:$AY$2&amp;LS_current!$D$3:$AY$3, 0)),SUM(VLOOKUP($A121, LS_current!$B$4:$AY$138, LS_current!P$148, FALSE), VLOOKUP($A121, LS_current!$B$4:$AY$138,LS_current!AN$148, FALSE))/2)</f>
        <v>638.21636135193512</v>
      </c>
      <c r="CL121" s="192">
        <f t="array" ref="CL121">IF($BT121=0, INDEX(LS_current!$D$4:$AY$138, MATCH('Staging Table'!$A121, LS_current!$B$4:$B$138, 0), MATCH(CL$4&amp;CL$5, LS_current!$D$2:$AY$2&amp;LS_current!$D$3:$AY$3, 0)),SUM(VLOOKUP($A121, LS_current!$B$4:$AY$138, LS_current!Q$148, FALSE), VLOOKUP($A121, LS_current!$B$4:$AY$138,LS_current!AO$148, FALSE))/2)</f>
        <v>526.56404716703128</v>
      </c>
      <c r="CM121" s="192">
        <f t="array" ref="CM121">IF($BT121=0, INDEX(LS_current!$D$4:$AY$138, MATCH('Staging Table'!$A121, LS_current!$B$4:$B$138, 0), MATCH(CM$4&amp;CM$5, LS_current!$D$2:$AY$2&amp;LS_current!$D$3:$AY$3, 0)),SUM(VLOOKUP($A121, LS_current!$B$4:$AY$138, LS_current!R$148, FALSE), VLOOKUP($A121, LS_current!$B$4:$AY$138,LS_current!AP$148, FALSE))/2)</f>
        <v>-1854.1289957123172</v>
      </c>
      <c r="CN121" s="192">
        <f t="array" ref="CN121">IF($BT121=0, INDEX(LS_current!$D$4:$AY$138, MATCH('Staging Table'!$A121, LS_current!$B$4:$B$138, 0), MATCH(CN$4&amp;CN$5, LS_current!$D$2:$AY$2&amp;LS_current!$D$3:$AY$3, 0)),SUM(VLOOKUP($A121, LS_current!$B$4:$AY$138, LS_current!S$148, FALSE), VLOOKUP($A121, LS_current!$B$4:$AY$138,LS_current!AQ$148, FALSE))/2)</f>
        <v>1692.9742792021079</v>
      </c>
      <c r="CO121" s="192">
        <f t="array" ref="CO121">IF($BT121=0, INDEX(LS_current!$D$4:$AY$138, MATCH('Staging Table'!$A121, LS_current!$B$4:$B$138, 0), MATCH(CO$4&amp;CO$5, LS_current!$D$2:$AY$2&amp;LS_current!$D$3:$AY$3, 0)),SUM(VLOOKUP($A121, LS_current!$B$4:$AY$138, LS_current!T$148, FALSE), VLOOKUP($A121, LS_current!$B$4:$AY$138,LS_current!AR$148, FALSE))/2)</f>
        <v>1171.7840779416438</v>
      </c>
      <c r="CP121" s="192">
        <f t="array" ref="CP121">IF($BT121=0, INDEX(LS_current!$D$4:$AY$138, MATCH('Staging Table'!$A121, LS_current!$B$4:$B$138, 0), MATCH(CP$4&amp;CP$5, LS_current!$D$2:$AY$2&amp;LS_current!$D$3:$AY$3, 0)),SUM(VLOOKUP($A121, LS_current!$B$4:$AY$138, LS_current!U$148, FALSE), VLOOKUP($A121, LS_current!$B$4:$AY$138,LS_current!AS$148, FALSE))/2)</f>
        <v>4995.7474312527447</v>
      </c>
      <c r="CQ121" s="192">
        <f t="array" ref="CQ121">IF($BT121=0, INDEX(LS_current!$D$4:$AY$138, MATCH('Staging Table'!$A121, LS_current!$B$4:$B$138, 0), MATCH(CQ$4&amp;CQ$5, LS_current!$D$2:$AY$2&amp;LS_current!$D$3:$AY$3, 0)),SUM(VLOOKUP($A121, LS_current!$B$4:$AY$138, LS_current!V$148, FALSE), VLOOKUP($A121, LS_current!$B$4:$AY$138,LS_current!AT$148, FALSE))/2)</f>
        <v>2051.9451626307946</v>
      </c>
      <c r="CR121" s="192">
        <f t="array" ref="CR121">IF($BT121=0, INDEX(LS_current!$D$4:$AY$138, MATCH('Staging Table'!$A121, LS_current!$B$4:$B$138, 0), MATCH(CR$4&amp;CR$5, LS_current!$D$2:$AY$2&amp;LS_current!$D$3:$AY$3, 0)),SUM(VLOOKUP($A121, LS_current!$B$4:$AY$138, LS_current!W$148, FALSE), VLOOKUP($A121, LS_current!$B$4:$AY$138,LS_current!AU$148, FALSE))/2)</f>
        <v>4520.4124608557759</v>
      </c>
      <c r="CS121" s="192">
        <f t="array" ref="CS121">IF($BT121=0, INDEX(LS_current!$D$4:$AY$138, MATCH('Staging Table'!$A121, LS_current!$B$4:$B$138, 0), MATCH(CS$4&amp;CS$5, LS_current!$D$2:$AY$2&amp;LS_current!$D$3:$AY$3, 0)),SUM(VLOOKUP($A121, LS_current!$B$4:$AY$138, LS_current!X$148, FALSE), VLOOKUP($A121, LS_current!$B$4:$AY$138,LS_current!AV$148, FALSE))/2)</f>
        <v>1052.8264184822183</v>
      </c>
      <c r="CT121" s="192">
        <f t="array" ref="CT121">IF($BT121=0, INDEX(LS_current!$D$4:$AY$138, MATCH('Staging Table'!$A121, LS_current!$B$4:$B$138, 0), MATCH(CT$4&amp;CT$5, LS_current!$D$2:$AY$2&amp;LS_current!$D$3:$AY$3, 0)),SUM(VLOOKUP($A121, LS_current!$B$4:$AY$138, LS_current!Y$148, FALSE), VLOOKUP($A121, LS_current!$B$4:$AY$138,LS_current!AW$148, FALSE))/2)</f>
        <v>2628.7490067265762</v>
      </c>
      <c r="CU121" s="192">
        <f t="array" ref="CU121">IF($BT121=0, INDEX(LS_current!$D$4:$AY$138, MATCH('Staging Table'!$A121, LS_current!$B$4:$B$138, 0), MATCH(CU$4&amp;CU$5, LS_current!$D$2:$AY$2&amp;LS_current!$D$3:$AY$3, 0)),SUM(VLOOKUP($A121, LS_current!$B$4:$AY$138, LS_current!Z$148, FALSE), VLOOKUP($A121, LS_current!$B$4:$AY$138,LS_current!AX$148, FALSE))/2)</f>
        <v>-1435.6428300988464</v>
      </c>
      <c r="CV121" s="192">
        <f t="array" ref="CV121">IF($BT121=0, INDEX(LS_current!$D$4:$AY$138, MATCH('Staging Table'!$A121, LS_current!$B$4:$B$138, 0), MATCH(CV$4&amp;CV$5, LS_current!$D$2:$AY$2&amp;LS_current!$D$3:$AY$3, 0)),SUM(VLOOKUP($A121, LS_current!$B$4:$AY$138, LS_current!AA$148, FALSE), VLOOKUP($A121, LS_current!$B$4:$AY$138,LS_current!AY$148, FALSE))/2)</f>
        <v>364.09645342179374</v>
      </c>
      <c r="CW121" s="194">
        <f t="array" ref="CW121">INDEX(Demand_current!$D$4:$AY$138, MATCH($A121, Demand_current!$B$4:$B$138, 0), MATCH(CW$4&amp;CW$5,Demand_current!$D$2:$AY$2&amp;Demand_current!$D$3:$AY$3, 0))/1000</f>
        <v>0.4899399038461576</v>
      </c>
      <c r="CX121" s="194">
        <f t="array" ref="CX121">INDEX(Demand_current!$D$4:$AY$138, MATCH($A121, Demand_current!$B$4:$B$138, 0), MATCH(CX$4&amp;CX$5,Demand_current!$D$2:$AY$2&amp;Demand_current!$D$3:$AY$3, 0))/1000</f>
        <v>2.444370000000001</v>
      </c>
      <c r="CY121" s="194">
        <f t="array" ref="CY121">INDEX(Demand_current!$D$4:$AY$138, MATCH($A121, Demand_current!$B$4:$B$138, 0), MATCH(CY$4&amp;CY$5,Demand_current!$D$2:$AY$2&amp;Demand_current!$D$3:$AY$3, 0))/1000</f>
        <v>6.0561442307692293</v>
      </c>
      <c r="CZ121" s="194">
        <f t="array" ref="CZ121">INDEX(Demand_current!$D$4:$AY$138, MATCH($A121, Demand_current!$B$4:$B$138, 0), MATCH(CZ$4&amp;CZ$5,Demand_current!$D$2:$AY$2&amp;Demand_current!$D$3:$AY$3, 0))/1000</f>
        <v>3.885760000000003</v>
      </c>
      <c r="DA121" s="194">
        <f t="array" ref="DA121">INDEX(Demand_current!$D$4:$AY$138, MATCH($A121, Demand_current!$B$4:$B$138, 0), MATCH(DA$4&amp;DA$5,Demand_current!$D$2:$AY$2&amp;Demand_current!$D$3:$AY$3, 0))/1000</f>
        <v>0.1505989583333385</v>
      </c>
      <c r="DB121" s="194">
        <f t="array" ref="DB121">INDEX(Demand_current!$D$4:$AY$138, MATCH($A121, Demand_current!$B$4:$B$138, 0), MATCH(DB$4&amp;DB$5,Demand_current!$D$2:$AY$2&amp;Demand_current!$D$3:$AY$3, 0))/1000</f>
        <v>1.6367615740740715</v>
      </c>
      <c r="DC121" s="194">
        <f t="array" ref="DC121">INDEX(Demand_current!$D$4:$AY$138, MATCH($A121, Demand_current!$B$4:$B$138, 0), MATCH(DC$4&amp;DC$5,Demand_current!$D$2:$AY$2&amp;Demand_current!$D$3:$AY$3, 0))/1000</f>
        <v>0.67979807692307581</v>
      </c>
      <c r="DD121" s="194">
        <f t="array" ref="DD121">INDEX(Demand_current!$D$4:$AY$138, MATCH($A121, Demand_current!$B$4:$B$138, 0), MATCH(DD$4&amp;DD$5,Demand_current!$D$2:$AY$2&amp;Demand_current!$D$3:$AY$3, 0))/1000</f>
        <v>2.6949775000000011</v>
      </c>
      <c r="DE121" s="194">
        <f t="array" ref="DE121">INDEX(Demand_current!$D$4:$AY$138, MATCH($A121, Demand_current!$B$4:$B$138, 0), MATCH(DE$4&amp;DE$5,Demand_current!$D$2:$AY$2&amp;Demand_current!$D$3:$AY$3, 0))/1000</f>
        <v>3.9661418269230779</v>
      </c>
      <c r="DF121" s="194">
        <f t="array" ref="DF121">INDEX(Demand_current!$D$4:$AY$138, MATCH($A121, Demand_current!$B$4:$B$138, 0), MATCH(DF$4&amp;DF$5,Demand_current!$D$2:$AY$2&amp;Demand_current!$D$3:$AY$3, 0))/1000</f>
        <v>8.3106000000000044</v>
      </c>
      <c r="DG121" s="194">
        <f t="array" ref="DG121">INDEX(Demand_current!$D$4:$AY$138, MATCH($A121, Demand_current!$B$4:$B$138, 0), MATCH(DG$4&amp;DG$5,Demand_current!$D$2:$AY$2&amp;Demand_current!$D$3:$AY$3, 0))/1000</f>
        <v>7.5007662037036997</v>
      </c>
      <c r="DH121" s="194">
        <f t="array" ref="DH121">INDEX(Demand_current!$D$4:$AY$138, MATCH($A121, Demand_current!$B$4:$B$138, 0), MATCH(DH$4&amp;DH$5,Demand_current!$D$2:$AY$2&amp;Demand_current!$D$3:$AY$3, 0))/1000</f>
        <v>0.10970000000000013</v>
      </c>
      <c r="DI121" s="192">
        <f>$BS121*(VLOOKUP(DI$4, Rates_current!$G$6:$Q$29, 10, FALSE)+VLOOKUP(DI$4, Rates_current!$G$6:$Q$29, 11, FALSE))</f>
        <v>19330.95377369686</v>
      </c>
      <c r="DJ121" s="192">
        <f>$BS121*(VLOOKUP(DJ$4, Rates_current!$G$6:$Q$29, 10, FALSE)+VLOOKUP(DJ$4, Rates_current!$G$6:$Q$29, 11, FALSE))</f>
        <v>24473.689046091251</v>
      </c>
      <c r="DK121" s="192">
        <f>$BS121*(VLOOKUP(DK$4, Rates_current!$G$6:$Q$29, 10, FALSE)+VLOOKUP(DK$4, Rates_current!$G$6:$Q$29, 11, FALSE))</f>
        <v>23954.852143823613</v>
      </c>
      <c r="DL121" s="192">
        <f>$BS121*(VLOOKUP(DL$4, Rates_current!$G$6:$Q$29, 10, FALSE)+VLOOKUP(DL$4, Rates_current!$G$6:$Q$29, 11, FALSE))</f>
        <v>19785.689194498165</v>
      </c>
      <c r="DM121" s="192">
        <f>$BS121*(VLOOKUP(DM$4, Rates_current!$G$6:$Q$29, 10, FALSE)+VLOOKUP(DM$4, Rates_current!$G$6:$Q$29, 11, FALSE))</f>
        <v>17148.690469567577</v>
      </c>
      <c r="DN121" s="192">
        <f>$BS121*(VLOOKUP(DN$4, Rates_current!$G$6:$Q$29, 10, FALSE)+VLOOKUP(DN$4, Rates_current!$G$6:$Q$29, 11, FALSE))</f>
        <v>20472.073427024468</v>
      </c>
      <c r="DO121" s="192">
        <f>$BS121*(VLOOKUP(DO$4, Rates_current!$G$6:$Q$29, 10, FALSE)+VLOOKUP(DO$4, Rates_current!$G$6:$Q$29, 11, FALSE))</f>
        <v>15893.839591481035</v>
      </c>
      <c r="DP121" s="192">
        <f>$BS121*(VLOOKUP(DP$4, Rates_current!$G$6:$Q$29, 10, FALSE)+VLOOKUP(DP$4, Rates_current!$G$6:$Q$29, 11, FALSE))</f>
        <v>22021.031716510206</v>
      </c>
      <c r="DQ121" s="192">
        <f>$BS121*(VLOOKUP(DQ$4, Rates_current!$G$6:$Q$29, 10, FALSE)+VLOOKUP(DQ$4, Rates_current!$G$6:$Q$29, 11, FALSE))</f>
        <v>23529.933490805608</v>
      </c>
      <c r="DR121" s="192">
        <f>$BS121*(VLOOKUP(DR$4, Rates_current!$G$6:$Q$29, 10, FALSE)+VLOOKUP(DR$4, Rates_current!$G$6:$Q$29, 11, FALSE))</f>
        <v>22340.606376513431</v>
      </c>
      <c r="DS121" s="192">
        <f>$BS121*(VLOOKUP(DS$4, Rates_current!$G$6:$Q$29, 10, FALSE)+VLOOKUP(DS$4, Rates_current!$G$6:$Q$29, 11, FALSE))</f>
        <v>21590.472574791205</v>
      </c>
      <c r="DT121" s="192">
        <f>$BS121*(VLOOKUP(DT$4, Rates_current!$G$6:$Q$29, 10, FALSE)+VLOOKUP(DT$4, Rates_current!$G$6:$Q$29, 11, FALSE))</f>
        <v>19951.847376677051</v>
      </c>
      <c r="DU121" s="418">
        <f>IF(D121=0,IF(C121=0,MAX(0,DW121 - (VLOOKUP($A121,TOCA_current!$A$2:$AI$137,MATCH("RHWM 2022",TOCA_current!$A$2:$AI$2,0),FALSE)*$BS$2)), 0),0)</f>
        <v>4.1068138355622068</v>
      </c>
      <c r="DV121" s="419">
        <f>MIN(VLOOKUP($A121,TOCA_current!$A$2:$AI$137,MATCH("TRL - NLSL - Existing Resource "&amp;$BS$1,TOCA_current!$A$2:$AI$2,0),FALSE)*$BS$2, VLOOKUP($A121,TOCA_current!$A$2:$AI$137,MATCH("RHWM 2022",TOCA_current!$A$2:$AI$2,0),FALSE)*$BS$2)</f>
        <v>250492.19999999998</v>
      </c>
      <c r="DW121" s="419">
        <f>SUM(BY121:CV121)+(BS121*RT1SC!$C$4*$BS$2)</f>
        <v>250496.30681383554</v>
      </c>
      <c r="DX121" s="419">
        <f>VLOOKUP($A121,TOCA_current!$A$2:$AI$137,MATCH("Above RHWM Not Served with LS "&amp;$BS$1,TOCA_current!$A$2:$AI$2,0),FALSE)*$BS$2</f>
        <v>34383</v>
      </c>
      <c r="DY121" s="419">
        <f t="shared" si="32"/>
        <v>4.1068138355622068</v>
      </c>
      <c r="DZ121" s="419">
        <f>(VLOOKUP($A121,TOCA_current!$A$2:$AI$137,MATCH("RHWM 2022",TOCA_current!$A$2:$AI$2,0),FALSE)*$BS$2) - $DV121</f>
        <v>0</v>
      </c>
      <c r="EA121" s="419">
        <f t="shared" si="33"/>
        <v>0</v>
      </c>
      <c r="EB121" s="419">
        <f t="shared" si="34"/>
        <v>0</v>
      </c>
      <c r="EC121" s="419">
        <f t="shared" si="35"/>
        <v>0</v>
      </c>
      <c r="ED121" s="419">
        <f t="shared" si="36"/>
        <v>0</v>
      </c>
    </row>
    <row r="122" spans="1:134">
      <c r="A122" s="135">
        <v>10406</v>
      </c>
      <c r="B122" s="136" t="s">
        <v>123</v>
      </c>
      <c r="C122" s="244">
        <f>VLOOKUP(A122, TOCA_current!$A$3:$D$137, 4, FALSE)</f>
        <v>0</v>
      </c>
      <c r="D122" s="203">
        <v>0</v>
      </c>
      <c r="E122" s="119">
        <f>VLOOKUP($A122,TOCA_previous!$A$2:$AI$137,MATCH(E$4,TOCA_previous!$A$2:$AI$2,0),FALSE)</f>
        <v>6.4900000000000005E-5</v>
      </c>
      <c r="F122" s="120">
        <f>VLOOKUP($A122,TOCA_previous!$A$2:$AI$137,MATCH(F$4,TOCA_previous!$A$2:$AI$2,0),FALSE)</f>
        <v>6.4900000000000005E-5</v>
      </c>
      <c r="G122" s="120">
        <f t="shared" si="24"/>
        <v>0</v>
      </c>
      <c r="H122" s="120">
        <f>VLOOKUP($A122,TOCA_previous!$A$2:$AI$137,MATCH(H$4,TOCA_previous!$A$2:$AI$2,0),FALSE)</f>
        <v>0</v>
      </c>
      <c r="I122" s="120">
        <f t="shared" si="25"/>
        <v>0</v>
      </c>
      <c r="J122" s="120">
        <f t="shared" si="26"/>
        <v>0</v>
      </c>
      <c r="K122" s="191">
        <f>VLOOKUP(A122, IRD!$A$5:$C$139, 3, FALSE)</f>
        <v>0</v>
      </c>
      <c r="L122" s="192">
        <f t="array" ref="L122">IF($G122=0, INDEX(LS_previous!$D$4:$AY$138, MATCH('Staging Table'!$A122, LS_previous!$B$4:$B$138, 0), MATCH(L$4&amp;L$5, LS_previous!$D$2:$AY$2&amp;LS_previous!$D$3:$AY$3, 0)),SUM(VLOOKUP($A122, LS_previous!$B$4:$AY$138, LS_previous!D$149, FALSE), VLOOKUP('Staging Table'!$A122, LS_previous!$B$4:$AY$138,LS_previous!AB$149, FALSE))/2)</f>
        <v>62.946656318800024</v>
      </c>
      <c r="M122" s="192">
        <f t="array" ref="M122">IF($G122=0, INDEX(LS_previous!$D$4:$AY$138, MATCH('Staging Table'!$A122, LS_previous!$B$4:$B$138, 0), MATCH(M$4&amp;M$5, LS_previous!$D$2:$AY$2&amp;LS_previous!$D$3:$AY$3, 0)),SUM(VLOOKUP($A122, LS_previous!$B$4:$AY$138, LS_previous!E$149, FALSE), VLOOKUP('Staging Table'!$A122, LS_previous!$B$4:$AY$138,LS_previous!AC$149, FALSE))/2)</f>
        <v>90.144457660800001</v>
      </c>
      <c r="N122" s="192">
        <f t="array" ref="N122">IF($G122=0, INDEX(LS_previous!$D$4:$AY$138, MATCH('Staging Table'!$A122, LS_previous!$B$4:$B$138, 0), MATCH(N$4&amp;N$5, LS_previous!$D$2:$AY$2&amp;LS_previous!$D$3:$AY$3, 0)),SUM(VLOOKUP($A122, LS_previous!$B$4:$AY$138, LS_previous!F$149, FALSE), VLOOKUP('Staging Table'!$A122, LS_previous!$B$4:$AY$138,LS_previous!AD$149, FALSE))/2)</f>
        <v>72.115847432799967</v>
      </c>
      <c r="O122" s="192">
        <f t="array" ref="O122">IF($G122=0, INDEX(LS_previous!$D$4:$AY$138, MATCH('Staging Table'!$A122, LS_previous!$B$4:$B$138, 0), MATCH(O$4&amp;O$5, LS_previous!$D$2:$AY$2&amp;LS_previous!$D$3:$AY$3, 0)),SUM(VLOOKUP($A122, LS_previous!$B$4:$AY$138, LS_previous!G$149, FALSE), VLOOKUP('Staging Table'!$A122, LS_previous!$B$4:$AY$138,LS_previous!AE$149, FALSE))/2)</f>
        <v>105.67753535609998</v>
      </c>
      <c r="P122" s="192">
        <f t="array" ref="P122">IF($G122=0, INDEX(LS_previous!$D$4:$AY$138, MATCH('Staging Table'!$A122, LS_previous!$B$4:$B$138, 0), MATCH(P$4&amp;P$5, LS_previous!$D$2:$AY$2&amp;LS_previous!$D$3:$AY$3, 0)),SUM(VLOOKUP($A122, LS_previous!$B$4:$AY$138, LS_previous!H$149, FALSE), VLOOKUP('Staging Table'!$A122, LS_previous!$B$4:$AY$138,LS_previous!AF$149, FALSE))/2)</f>
        <v>175.05216198719995</v>
      </c>
      <c r="Q122" s="192">
        <f t="array" ref="Q122">IF($G122=0, INDEX(LS_previous!$D$4:$AY$138, MATCH('Staging Table'!$A122, LS_previous!$B$4:$B$138, 0), MATCH(Q$4&amp;Q$5, LS_previous!$D$2:$AY$2&amp;LS_previous!$D$3:$AY$3, 0)),SUM(VLOOKUP($A122, LS_previous!$B$4:$AY$138, LS_previous!I$149, FALSE), VLOOKUP('Staging Table'!$A122, LS_previous!$B$4:$AY$138,LS_previous!AG$149, FALSE))/2)</f>
        <v>174.06828529239999</v>
      </c>
      <c r="R122" s="192">
        <f t="array" ref="R122">IF($G122=0, INDEX(LS_previous!$D$4:$AY$138, MATCH('Staging Table'!$A122, LS_previous!$B$4:$B$138, 0), MATCH(R$4&amp;R$5, LS_previous!$D$2:$AY$2&amp;LS_previous!$D$3:$AY$3, 0)),SUM(VLOOKUP($A122, LS_previous!$B$4:$AY$138, LS_previous!J$149, FALSE), VLOOKUP('Staging Table'!$A122, LS_previous!$B$4:$AY$138,LS_previous!AH$149, FALSE))/2)</f>
        <v>210.52281438719996</v>
      </c>
      <c r="S122" s="192">
        <f t="array" ref="S122">IF($G122=0, INDEX(LS_previous!$D$4:$AY$138, MATCH('Staging Table'!$A122, LS_previous!$B$4:$B$138, 0), MATCH(S$4&amp;S$5, LS_previous!$D$2:$AY$2&amp;LS_previous!$D$3:$AY$3, 0)),SUM(VLOOKUP($A122, LS_previous!$B$4:$AY$138, LS_previous!K$149, FALSE), VLOOKUP('Staging Table'!$A122, LS_previous!$B$4:$AY$138,LS_previous!AI$149, FALSE))/2)</f>
        <v>232.77930809240002</v>
      </c>
      <c r="T122" s="192">
        <f t="array" ref="T122">IF($G122=0, INDEX(LS_previous!$D$4:$AY$138, MATCH('Staging Table'!$A122, LS_previous!$B$4:$B$138, 0), MATCH(T$4&amp;T$5, LS_previous!$D$2:$AY$2&amp;LS_previous!$D$3:$AY$3, 0)),SUM(VLOOKUP($A122, LS_previous!$B$4:$AY$138, LS_previous!L$149, FALSE), VLOOKUP('Staging Table'!$A122, LS_previous!$B$4:$AY$138,LS_previous!AJ$149, FALSE))/2)</f>
        <v>176.49324665239999</v>
      </c>
      <c r="U122" s="192">
        <f t="array" ref="U122">IF($G122=0, INDEX(LS_previous!$D$4:$AY$138, MATCH('Staging Table'!$A122, LS_previous!$B$4:$B$138, 0), MATCH(U$4&amp;U$5, LS_previous!$D$2:$AY$2&amp;LS_previous!$D$3:$AY$3, 0)),SUM(VLOOKUP($A122, LS_previous!$B$4:$AY$138, LS_previous!M$149, FALSE), VLOOKUP('Staging Table'!$A122, LS_previous!$B$4:$AY$138,LS_previous!AK$149, FALSE))/2)</f>
        <v>165.66922302759997</v>
      </c>
      <c r="V122" s="192">
        <f t="array" ref="V122">IF($G122=0, INDEX(LS_previous!$D$4:$AY$138, MATCH('Staging Table'!$A122, LS_previous!$B$4:$B$138, 0), MATCH(V$4&amp;V$5, LS_previous!$D$2:$AY$2&amp;LS_previous!$D$3:$AY$3, 0)),SUM(VLOOKUP($A122, LS_previous!$B$4:$AY$138, LS_previous!N$149, FALSE), VLOOKUP('Staging Table'!$A122, LS_previous!$B$4:$AY$138,LS_previous!AL$149, FALSE))/2)</f>
        <v>135.93586134159997</v>
      </c>
      <c r="W122" s="192">
        <f t="array" ref="W122">IF($G122=0, INDEX(LS_previous!$D$4:$AY$138, MATCH('Staging Table'!$A122, LS_previous!$B$4:$B$138, 0), MATCH(W$4&amp;W$5, LS_previous!$D$2:$AY$2&amp;LS_previous!$D$3:$AY$3, 0)),SUM(VLOOKUP($A122, LS_previous!$B$4:$AY$138, LS_previous!O$149, FALSE), VLOOKUP('Staging Table'!$A122, LS_previous!$B$4:$AY$138,LS_previous!AM$149, FALSE))/2)</f>
        <v>131.5089103471</v>
      </c>
      <c r="X122" s="192">
        <f t="array" ref="X122">IF($G122=0, INDEX(LS_previous!$D$4:$AY$138, MATCH('Staging Table'!$A122, LS_previous!$B$4:$B$138, 0), MATCH(X$4&amp;X$5, LS_previous!$D$2:$AY$2&amp;LS_previous!$D$3:$AY$3, 0)),SUM(VLOOKUP($A122, LS_previous!$B$4:$AY$138, LS_previous!P$149, FALSE), VLOOKUP('Staging Table'!$A122, LS_previous!$B$4:$AY$138,LS_previous!AN$149, FALSE))/2)</f>
        <v>136.36335011439999</v>
      </c>
      <c r="Y122" s="192">
        <f t="array" ref="Y122">IF($G122=0, INDEX(LS_previous!$D$4:$AY$138, MATCH('Staging Table'!$A122, LS_previous!$B$4:$B$138, 0), MATCH(Y$4&amp;Y$5, LS_previous!$D$2:$AY$2&amp;LS_previous!$D$3:$AY$3, 0)),SUM(VLOOKUP($A122, LS_previous!$B$4:$AY$138, LS_previous!Q$149, FALSE), VLOOKUP('Staging Table'!$A122, LS_previous!$B$4:$AY$138,LS_previous!AO$149, FALSE))/2)</f>
        <v>125.34932653359998</v>
      </c>
      <c r="Z122" s="192">
        <f t="array" ref="Z122">IF($G122=0, INDEX(LS_previous!$D$4:$AY$138, MATCH('Staging Table'!$A122, LS_previous!$B$4:$B$138, 0), MATCH(Z$4&amp;Z$5, LS_previous!$D$2:$AY$2&amp;LS_previous!$D$3:$AY$3, 0)),SUM(VLOOKUP($A122, LS_previous!$B$4:$AY$138, LS_previous!R$149, FALSE), VLOOKUP('Staging Table'!$A122, LS_previous!$B$4:$AY$138,LS_previous!AP$149, FALSE))/2)</f>
        <v>0.85214720999999827</v>
      </c>
      <c r="AA122" s="192">
        <f t="array" ref="AA122">IF($G122=0, INDEX(LS_previous!$D$4:$AY$138, MATCH('Staging Table'!$A122, LS_previous!$B$4:$B$138, 0), MATCH(AA$4&amp;AA$5, LS_previous!$D$2:$AY$2&amp;LS_previous!$D$3:$AY$3, 0)),SUM(VLOOKUP($A122, LS_previous!$B$4:$AY$138, LS_previous!S$149, FALSE), VLOOKUP('Staging Table'!$A122, LS_previous!$B$4:$AY$138,LS_previous!AQ$149, FALSE))/2)</f>
        <v>64.832442319599991</v>
      </c>
      <c r="AB122" s="192">
        <f t="array" ref="AB122">IF($G122=0, INDEX(LS_previous!$D$4:$AY$138, MATCH('Staging Table'!$A122, LS_previous!$B$4:$B$138, 0), MATCH(AB$4&amp;AB$5, LS_previous!$D$2:$AY$2&amp;LS_previous!$D$3:$AY$3, 0)),SUM(VLOOKUP($A122, LS_previous!$B$4:$AY$138, LS_previous!T$149, FALSE), VLOOKUP('Staging Table'!$A122, LS_previous!$B$4:$AY$138,LS_previous!AR$149, FALSE))/2)</f>
        <v>-60.778975035599984</v>
      </c>
      <c r="AC122" s="192">
        <f t="array" ref="AC122">IF($G122=0, INDEX(LS_previous!$D$4:$AY$138, MATCH('Staging Table'!$A122, LS_previous!$B$4:$B$138, 0), MATCH(AC$4&amp;AC$5, LS_previous!$D$2:$AY$2&amp;LS_previous!$D$3:$AY$3, 0)),SUM(VLOOKUP($A122, LS_previous!$B$4:$AY$138, LS_previous!U$149, FALSE), VLOOKUP('Staging Table'!$A122, LS_previous!$B$4:$AY$138,LS_previous!AS$149, FALSE))/2)</f>
        <v>-2.4608348664000061</v>
      </c>
      <c r="AD122" s="192">
        <f t="array" ref="AD122">IF($G122=0, INDEX(LS_previous!$D$4:$AY$138, MATCH('Staging Table'!$A122, LS_previous!$B$4:$B$138, 0), MATCH(AD$4&amp;AD$5, LS_previous!$D$2:$AY$2&amp;LS_previous!$D$3:$AY$3, 0)),SUM(VLOOKUP($A122, LS_previous!$B$4:$AY$138, LS_previous!V$149, FALSE), VLOOKUP('Staging Table'!$A122, LS_previous!$B$4:$AY$138,LS_previous!AT$149, FALSE))/2)</f>
        <v>-20.551329535600019</v>
      </c>
      <c r="AE122" s="192">
        <f t="array" ref="AE122">IF($G122=0, INDEX(LS_previous!$D$4:$AY$138, MATCH('Staging Table'!$A122, LS_previous!$B$4:$B$138, 0), MATCH(AE$4&amp;AE$5, LS_previous!$D$2:$AY$2&amp;LS_previous!$D$3:$AY$3, 0)),SUM(VLOOKUP($A122, LS_previous!$B$4:$AY$138, LS_previous!W$149, FALSE), VLOOKUP('Staging Table'!$A122, LS_previous!$B$4:$AY$138,LS_previous!AU$149, FALSE))/2)</f>
        <v>57.637189915199968</v>
      </c>
      <c r="AF122" s="192">
        <f t="array" ref="AF122">IF($G122=0, INDEX(LS_previous!$D$4:$AY$138, MATCH('Staging Table'!$A122, LS_previous!$B$4:$B$138, 0), MATCH(AF$4&amp;AF$5, LS_previous!$D$2:$AY$2&amp;LS_previous!$D$3:$AY$3, 0)),SUM(VLOOKUP($A122, LS_previous!$B$4:$AY$138, LS_previous!X$149, FALSE), VLOOKUP('Staging Table'!$A122, LS_previous!$B$4:$AY$138,LS_previous!AV$149, FALSE))/2)</f>
        <v>6.2571979143999954</v>
      </c>
      <c r="AG122" s="192">
        <f t="array" ref="AG122">IF($G122=0, INDEX(LS_previous!$D$4:$AY$138, MATCH('Staging Table'!$A122, LS_previous!$B$4:$B$138, 0), MATCH(AG$4&amp;AG$5, LS_previous!$D$2:$AY$2&amp;LS_previous!$D$3:$AY$3, 0)),SUM(VLOOKUP($A122, LS_previous!$B$4:$AY$138, LS_previous!Y$149, FALSE), VLOOKUP('Staging Table'!$A122, LS_previous!$B$4:$AY$138,LS_previous!AW$149, FALSE))/2)</f>
        <v>43.926237915199991</v>
      </c>
      <c r="AH122" s="192">
        <f t="array" ref="AH122">IF($G122=0, INDEX(LS_previous!$D$4:$AY$138, MATCH('Staging Table'!$A122, LS_previous!$B$4:$B$138, 0), MATCH(AH$4&amp;AH$5, LS_previous!$D$2:$AY$2&amp;LS_previous!$D$3:$AY$3, 0)),SUM(VLOOKUP($A122, LS_previous!$B$4:$AY$138, LS_previous!Z$149, FALSE), VLOOKUP('Staging Table'!$A122, LS_previous!$B$4:$AY$138,LS_previous!AX$149, FALSE))/2)</f>
        <v>22.860274559999965</v>
      </c>
      <c r="AI122" s="192">
        <f t="array" ref="AI122">IF($G122=0, INDEX(LS_previous!$D$4:$AY$138, MATCH('Staging Table'!$A122, LS_previous!$B$4:$B$138, 0), MATCH(AI$4&amp;AI$5, LS_previous!$D$2:$AY$2&amp;LS_previous!$D$3:$AY$3, 0)),SUM(VLOOKUP($A122, LS_previous!$B$4:$AY$138, LS_previous!AA$149, FALSE), VLOOKUP('Staging Table'!$A122, LS_previous!$B$4:$AY$138,LS_previous!AY$149, FALSE))/2)</f>
        <v>50.053775187999989</v>
      </c>
      <c r="AJ122" s="314">
        <f t="array" ref="AJ122">INDEX(Demand_previous!$D$4:$AY$138, MATCH('Staging Table'!$A122, Demand_previous!$B$4:$B$138, 0), MATCH(AJ$4&amp;AJ$5,Demand_previous!$D$2:$AY$2&amp;Demand_previous!$D$3:$AY$3, 0))/1000</f>
        <v>0.12623379629629625</v>
      </c>
      <c r="AK122" s="314">
        <f t="array" ref="AK122">INDEX(Demand_previous!$D$4:$AY$138, MATCH('Staging Table'!$A122, Demand_previous!$B$4:$B$138, 0), MATCH(AK$4&amp;AK$5,Demand_previous!$D$2:$AY$2&amp;Demand_previous!$D$3:$AY$3, 0))/1000</f>
        <v>0.16505750000000002</v>
      </c>
      <c r="AL122" s="314">
        <f t="array" ref="AL122">INDEX(Demand_previous!$D$4:$AY$138, MATCH('Staging Table'!$A122, Demand_previous!$B$4:$B$138, 0), MATCH(AL$4&amp;AL$5,Demand_previous!$D$2:$AY$2&amp;Demand_previous!$D$3:$AY$3, 0))/1000</f>
        <v>0</v>
      </c>
      <c r="AM122" s="314">
        <f t="array" ref="AM122">INDEX(Demand_previous!$D$4:$AY$138, MATCH('Staging Table'!$A122, Demand_previous!$B$4:$B$138, 0), MATCH(AM$4&amp;AM$5,Demand_previous!$D$2:$AY$2&amp;Demand_previous!$D$3:$AY$3, 0))/1000</f>
        <v>0.16635576923076942</v>
      </c>
      <c r="AN122" s="314">
        <f t="array" ref="AN122">INDEX(Demand_previous!$D$4:$AY$138, MATCH('Staging Table'!$A122, Demand_previous!$B$4:$B$138, 0), MATCH(AN$4&amp;AN$5,Demand_previous!$D$2:$AY$2&amp;Demand_previous!$D$3:$AY$3, 0))/1000</f>
        <v>0.13385999999999998</v>
      </c>
      <c r="AO122" s="314">
        <f t="array" ref="AO122">INDEX(Demand_previous!$D$4:$AY$138, MATCH('Staging Table'!$A122, Demand_previous!$B$4:$B$138, 0), MATCH(AO$4&amp;AO$5,Demand_previous!$D$2:$AY$2&amp;Demand_previous!$D$3:$AY$3, 0))/1000</f>
        <v>0.18344471153846148</v>
      </c>
      <c r="AP122" s="314">
        <f t="array" ref="AP122">INDEX(Demand_previous!$D$4:$AY$138, MATCH('Staging Table'!$A122, Demand_previous!$B$4:$B$138, 0), MATCH(AP$4&amp;AP$5,Demand_previous!$D$2:$AY$2&amp;Demand_previous!$D$3:$AY$3, 0))/1000</f>
        <v>6.8180288461538396E-2</v>
      </c>
      <c r="AQ122" s="314">
        <f t="array" ref="AQ122">INDEX(Demand_previous!$D$4:$AY$138, MATCH('Staging Table'!$A122, Demand_previous!$B$4:$B$138, 0), MATCH(AQ$4&amp;AQ$5,Demand_previous!$D$2:$AY$2&amp;Demand_previous!$D$3:$AY$3, 0))/1000</f>
        <v>5.1724999999999133E-3</v>
      </c>
      <c r="AR122" s="314">
        <f t="array" ref="AR122">INDEX(Demand_previous!$D$4:$AY$138, MATCH('Staging Table'!$A122, Demand_previous!$B$4:$B$138, 0), MATCH(AR$4&amp;AR$5,Demand_previous!$D$2:$AY$2&amp;Demand_previous!$D$3:$AY$3, 0))/1000</f>
        <v>0</v>
      </c>
      <c r="AS122" s="314">
        <f t="array" ref="AS122">INDEX(Demand_previous!$D$4:$AY$138, MATCH('Staging Table'!$A122, Demand_previous!$B$4:$B$138, 0), MATCH(AS$4&amp;AS$5,Demand_previous!$D$2:$AY$2&amp;Demand_previous!$D$3:$AY$3, 0))/1000</f>
        <v>0</v>
      </c>
      <c r="AT122" s="314">
        <f t="array" ref="AT122">INDEX(Demand_previous!$D$4:$AY$138, MATCH('Staging Table'!$A122, Demand_previous!$B$4:$B$138, 0), MATCH(AT$4&amp;AT$5,Demand_previous!$D$2:$AY$2&amp;Demand_previous!$D$3:$AY$3, 0))/1000</f>
        <v>0</v>
      </c>
      <c r="AU122" s="314">
        <f t="array" ref="AU122">INDEX(Demand_previous!$D$4:$AY$138, MATCH('Staging Table'!$A122, Demand_previous!$B$4:$B$138, 0), MATCH(AU$4&amp;AU$5,Demand_previous!$D$2:$AY$2&amp;Demand_previous!$D$3:$AY$3, 0))/1000</f>
        <v>0</v>
      </c>
      <c r="AV122" s="192">
        <f>$F122*(VLOOKUP(AV$4, Rates_previous!$G$6:$Q$29, 10, FALSE)+VLOOKUP(AV$4, Rates_previous!$G$6:$Q$29, 11, FALSE))</f>
        <v>299.66388602040001</v>
      </c>
      <c r="AW122" s="192">
        <f>$F122*(VLOOKUP(AW$4, Rates_previous!$G$6:$Q$29, 10, FALSE)+VLOOKUP(AW$4, Rates_previous!$G$6:$Q$29, 11, FALSE))</f>
        <v>380.66661721110006</v>
      </c>
      <c r="AX122" s="192">
        <f>$F122*(VLOOKUP(AX$4, Rates_previous!$G$6:$Q$29, 10, FALSE)+VLOOKUP(AX$4, Rates_previous!$G$6:$Q$29, 11, FALSE))</f>
        <v>376.06955272040005</v>
      </c>
      <c r="AY122" s="192">
        <f>$F122*(VLOOKUP(AY$4, Rates_previous!$G$6:$Q$29, 10, FALSE)+VLOOKUP(AY$4, Rates_previous!$G$6:$Q$29, 11, FALSE))</f>
        <v>313.47687752040008</v>
      </c>
      <c r="AZ122" s="192">
        <f>$F122*(VLOOKUP(AZ$4, Rates_previous!$G$6:$Q$29, 10, FALSE)+VLOOKUP(AZ$4, Rates_previous!$G$6:$Q$29, 11, FALSE))</f>
        <v>283.97753032000003</v>
      </c>
      <c r="BA122" s="192">
        <f>$F122*(VLOOKUP(BA$4, Rates_previous!$G$6:$Q$29, 10, FALSE)+VLOOKUP(BA$4, Rates_previous!$G$6:$Q$29, 11, FALSE))</f>
        <v>315.87322831130001</v>
      </c>
      <c r="BB122" s="192">
        <f>$F122*(VLOOKUP(BB$4, Rates_previous!$G$6:$Q$29, 10, FALSE)+VLOOKUP(BB$4, Rates_previous!$G$6:$Q$29, 11, FALSE))</f>
        <v>257.18432335200004</v>
      </c>
      <c r="BC122" s="192">
        <f>$F122*(VLOOKUP(BC$4, Rates_previous!$G$6:$Q$29, 10, FALSE)+VLOOKUP(BC$4, Rates_previous!$G$6:$Q$29, 11, FALSE))</f>
        <v>346.85141047040008</v>
      </c>
      <c r="BD122" s="192">
        <f>$F122*(VLOOKUP(BD$4, Rates_previous!$G$6:$Q$29, 10, FALSE)+VLOOKUP(BD$4, Rates_previous!$G$6:$Q$29, 11, FALSE))</f>
        <v>442.55880990200006</v>
      </c>
      <c r="BE122" s="192">
        <f>$F122*(VLOOKUP(BE$4, Rates_previous!$G$6:$Q$29, 10, FALSE)+VLOOKUP(BE$4, Rates_previous!$G$6:$Q$29, 11, FALSE))</f>
        <v>346.98013962040005</v>
      </c>
      <c r="BF122" s="192">
        <f>$F122*(VLOOKUP(BF$4, Rates_previous!$G$6:$Q$29, 10, FALSE)+VLOOKUP(BF$4, Rates_previous!$G$6:$Q$29, 11, FALSE))</f>
        <v>337.88956417040004</v>
      </c>
      <c r="BG122" s="192">
        <f>$F122*(VLOOKUP(BG$4, Rates_previous!$G$6:$Q$29, 10, FALSE)+VLOOKUP(BG$4, Rates_previous!$G$6:$Q$29, 11, FALSE))</f>
        <v>303.35295025200003</v>
      </c>
      <c r="BH122" s="314">
        <f>IF($D122=0,IF(C122=0, MAX(BJ122 - (VLOOKUP($A122,TOCA_previous!$A$2:$AI$137,MATCH("RHWM 2020",TOCA_previous!$A$2:$AI$2,0),FALSE)*$F$2*TOCA_previous!C119),0),0), 0)</f>
        <v>2156.2961503083993</v>
      </c>
      <c r="BI122" s="204">
        <f>MIN(VLOOKUP($A122,TOCA_previous!$A$2:$AI$137,MATCH("TRL - NLSL - Existing Resource "&amp;$F$1,TOCA_previous!$A$2:$AI$2,0),FALSE)*$F$2,(VLOOKUP($A122,TOCA_previous!$A$2:$AI$137,MATCH("RHWM 2020",TOCA_previous!$A$2:$AI$2,0),FALSE)*$F$2))</f>
        <v>4005.5040000000004</v>
      </c>
      <c r="BJ122" s="418">
        <f>SUM(L122:AI122)+(F122*RT1SC!$C$3*$F$2)</f>
        <v>6161.8001503083997</v>
      </c>
      <c r="BK122" s="417">
        <f>VLOOKUP($A122,TOCA_previous!$A$2:$AI$137,MATCH("Above RHWM Not Served with LS "&amp;$F$1,TOCA_previous!$A$2:$AI$2,0),FALSE)*$F$2</f>
        <v>0</v>
      </c>
      <c r="BL122" s="418">
        <f t="shared" si="27"/>
        <v>2156.2961503083993</v>
      </c>
      <c r="BM122" s="417">
        <f>(VLOOKUP($A122,TOCA_previous!$A$2:$AI$137,MATCH("RHWM 2020",TOCA_previous!$A$2:$AI$2,0),FALSE)*$F$2) - $BI122</f>
        <v>0</v>
      </c>
      <c r="BN122" s="418">
        <f t="shared" si="28"/>
        <v>0</v>
      </c>
      <c r="BO122" s="417">
        <f t="shared" si="29"/>
        <v>0</v>
      </c>
      <c r="BP122" s="418">
        <f t="shared" si="30"/>
        <v>0</v>
      </c>
      <c r="BQ122" s="417">
        <f t="shared" si="37"/>
        <v>0</v>
      </c>
      <c r="BR122" s="120">
        <f>VLOOKUP($A122,TOCA_current!$A$2:$AI$137,MATCH(BR$4,TOCA_current!$A$2:$AI$2,0),FALSE)</f>
        <v>6.4900000000000005E-5</v>
      </c>
      <c r="BS122" s="120">
        <f>VLOOKUP($A122,TOCA_current!$A$2:$AI$137,MATCH(BS$4,TOCA_current!$A$2:$AI$2,0),FALSE)</f>
        <v>6.4900000000000005E-5</v>
      </c>
      <c r="BT122" s="201">
        <f t="shared" si="31"/>
        <v>0</v>
      </c>
      <c r="BU122" s="120">
        <f>VLOOKUP($A122,TOCA_current!A118:BG253,MATCH(BU$4,TOCA_current!$A$2:$BG$2,0),FALSE)</f>
        <v>0</v>
      </c>
      <c r="BV122" s="120">
        <f t="shared" si="38"/>
        <v>0</v>
      </c>
      <c r="BW122" s="120">
        <f t="shared" si="39"/>
        <v>0</v>
      </c>
      <c r="BX122" s="191">
        <f>VLOOKUP($A122,IRD!$A$4:$G$139, 7, FALSE)</f>
        <v>0</v>
      </c>
      <c r="BY122" s="192">
        <f t="array" ref="BY122">IF($BT122=0, INDEX(LS_current!$D$4:$AY$138, MATCH('Staging Table'!$A122, LS_current!$B$4:$B$138, 0), MATCH(BY$4&amp;BY$5, LS_current!$D$2:$AY$2&amp;LS_current!$D$3:$AY$3, 0)),SUM(VLOOKUP($A122, LS_current!$B$4:$AY$138, LS_current!D$148, FALSE), VLOOKUP($A122, LS_current!$B$4:$AY$138,LS_current!AB$148, FALSE))/2)</f>
        <v>68.675711831646055</v>
      </c>
      <c r="BZ122" s="192">
        <f t="array" ref="BZ122">IF($BT122=0, INDEX(LS_current!$D$4:$AY$138, MATCH('Staging Table'!$A122, LS_current!$B$4:$B$138, 0), MATCH(BZ$4&amp;BZ$5, LS_current!$D$2:$AY$2&amp;LS_current!$D$3:$AY$3, 0)),SUM(VLOOKUP($A122, LS_current!$B$4:$AY$138, LS_current!E$148, FALSE), VLOOKUP($A122, LS_current!$B$4:$AY$138,LS_current!AC$148, FALSE))/2)</f>
        <v>88.529593260835242</v>
      </c>
      <c r="CA122" s="192">
        <f t="array" ref="CA122">IF($BT122=0, INDEX(LS_current!$D$4:$AY$138, MATCH('Staging Table'!$A122, LS_current!$B$4:$B$138, 0), MATCH(CA$4&amp;CA$5, LS_current!$D$2:$AY$2&amp;LS_current!$D$3:$AY$3, 0)),SUM(VLOOKUP($A122, LS_current!$B$4:$AY$138, LS_current!F$148, FALSE), VLOOKUP($A122, LS_current!$B$4:$AY$138,LS_current!AD$148, FALSE))/2)</f>
        <v>81.164358430947999</v>
      </c>
      <c r="CB122" s="192">
        <f t="array" ref="CB122">IF($BT122=0, INDEX(LS_current!$D$4:$AY$138, MATCH('Staging Table'!$A122, LS_current!$B$4:$B$138, 0), MATCH(CB$4&amp;CB$5, LS_current!$D$2:$AY$2&amp;LS_current!$D$3:$AY$3, 0)),SUM(VLOOKUP($A122, LS_current!$B$4:$AY$138, LS_current!G$148, FALSE), VLOOKUP($A122, LS_current!$B$4:$AY$138,LS_current!AE$148, FALSE))/2)</f>
        <v>103.11900157957709</v>
      </c>
      <c r="CC122" s="192">
        <f t="array" ref="CC122">IF($BT122=0, INDEX(LS_current!$D$4:$AY$138, MATCH('Staging Table'!$A122, LS_current!$B$4:$B$138, 0), MATCH(CC$4&amp;CC$5, LS_current!$D$2:$AY$2&amp;LS_current!$D$3:$AY$3, 0)),SUM(VLOOKUP($A122, LS_current!$B$4:$AY$138, LS_current!H$148, FALSE), VLOOKUP($A122, LS_current!$B$4:$AY$138,LS_current!AF$148, FALSE))/2)</f>
        <v>199.3626594544653</v>
      </c>
      <c r="CD122" s="192">
        <f t="array" ref="CD122">IF($BT122=0, INDEX(LS_current!$D$4:$AY$138, MATCH('Staging Table'!$A122, LS_current!$B$4:$B$138, 0), MATCH(CD$4&amp;CD$5, LS_current!$D$2:$AY$2&amp;LS_current!$D$3:$AY$3, 0)),SUM(VLOOKUP($A122, LS_current!$B$4:$AY$138, LS_current!I$148, FALSE), VLOOKUP($A122, LS_current!$B$4:$AY$138,LS_current!AG$148, FALSE))/2)</f>
        <v>159.58316420824704</v>
      </c>
      <c r="CE122" s="192">
        <f t="array" ref="CE122">IF($BT122=0, INDEX(LS_current!$D$4:$AY$138, MATCH('Staging Table'!$A122, LS_current!$B$4:$B$138, 0), MATCH(CE$4&amp;CE$5, LS_current!$D$2:$AY$2&amp;LS_current!$D$3:$AY$3, 0)),SUM(VLOOKUP($A122, LS_current!$B$4:$AY$138, LS_current!J$148, FALSE), VLOOKUP($A122, LS_current!$B$4:$AY$138,LS_current!AH$148, FALSE))/2)</f>
        <v>235.44447583435772</v>
      </c>
      <c r="CF122" s="192">
        <f t="array" ref="CF122">IF($BT122=0, INDEX(LS_current!$D$4:$AY$138, MATCH('Staging Table'!$A122, LS_current!$B$4:$B$138, 0), MATCH(CF$4&amp;CF$5, LS_current!$D$2:$AY$2&amp;LS_current!$D$3:$AY$3, 0)),SUM(VLOOKUP($A122, LS_current!$B$4:$AY$138, LS_current!K$148, FALSE), VLOOKUP($A122, LS_current!$B$4:$AY$138,LS_current!AI$148, FALSE))/2)</f>
        <v>218.83240898673796</v>
      </c>
      <c r="CG122" s="192">
        <f t="array" ref="CG122">IF($BT122=0, INDEX(LS_current!$D$4:$AY$138, MATCH('Staging Table'!$A122, LS_current!$B$4:$B$138, 0), MATCH(CG$4&amp;CG$5, LS_current!$D$2:$AY$2&amp;LS_current!$D$3:$AY$3, 0)),SUM(VLOOKUP($A122, LS_current!$B$4:$AY$138, LS_current!L$148, FALSE), VLOOKUP($A122, LS_current!$B$4:$AY$138,LS_current!AJ$148, FALSE))/2)</f>
        <v>203.35581110407134</v>
      </c>
      <c r="CH122" s="192">
        <f t="array" ref="CH122">IF($BT122=0, INDEX(LS_current!$D$4:$AY$138, MATCH('Staging Table'!$A122, LS_current!$B$4:$B$138, 0), MATCH(CH$4&amp;CH$5, LS_current!$D$2:$AY$2&amp;LS_current!$D$3:$AY$3, 0)),SUM(VLOOKUP($A122, LS_current!$B$4:$AY$138, LS_current!M$148, FALSE), VLOOKUP($A122, LS_current!$B$4:$AY$138,LS_current!AK$148, FALSE))/2)</f>
        <v>160.5989757048203</v>
      </c>
      <c r="CI122" s="192">
        <f t="array" ref="CI122">IF($BT122=0, INDEX(LS_current!$D$4:$AY$138, MATCH('Staging Table'!$A122, LS_current!$B$4:$B$138, 0), MATCH(CI$4&amp;CI$5, LS_current!$D$2:$AY$2&amp;LS_current!$D$3:$AY$3, 0)),SUM(VLOOKUP($A122, LS_current!$B$4:$AY$138, LS_current!N$148, FALSE), VLOOKUP($A122, LS_current!$B$4:$AY$138,LS_current!AL$148, FALSE))/2)</f>
        <v>144.55163258988364</v>
      </c>
      <c r="CJ122" s="192">
        <f t="array" ref="CJ122">IF($BT122=0, INDEX(LS_current!$D$4:$AY$138, MATCH('Staging Table'!$A122, LS_current!$B$4:$B$138, 0), MATCH(CJ$4&amp;CJ$5, LS_current!$D$2:$AY$2&amp;LS_current!$D$3:$AY$3, 0)),SUM(VLOOKUP($A122, LS_current!$B$4:$AY$138, LS_current!O$148, FALSE), VLOOKUP($A122, LS_current!$B$4:$AY$138,LS_current!AM$148, FALSE))/2)</f>
        <v>125.77016834444039</v>
      </c>
      <c r="CK122" s="192">
        <f t="array" ref="CK122">IF($BT122=0, INDEX(LS_current!$D$4:$AY$138, MATCH('Staging Table'!$A122, LS_current!$B$4:$B$138, 0), MATCH(CK$4&amp;CK$5, LS_current!$D$2:$AY$2&amp;LS_current!$D$3:$AY$3, 0)),SUM(VLOOKUP($A122, LS_current!$B$4:$AY$138, LS_current!P$148, FALSE), VLOOKUP($A122, LS_current!$B$4:$AY$138,LS_current!AN$148, FALSE))/2)</f>
        <v>148.45234525000365</v>
      </c>
      <c r="CL122" s="192">
        <f t="array" ref="CL122">IF($BT122=0, INDEX(LS_current!$D$4:$AY$138, MATCH('Staging Table'!$A122, LS_current!$B$4:$B$138, 0), MATCH(CL$4&amp;CL$5, LS_current!$D$2:$AY$2&amp;LS_current!$D$3:$AY$3, 0)),SUM(VLOOKUP($A122, LS_current!$B$4:$AY$138, LS_current!Q$148, FALSE), VLOOKUP($A122, LS_current!$B$4:$AY$138,LS_current!AO$148, FALSE))/2)</f>
        <v>127.44477501499217</v>
      </c>
      <c r="CM122" s="192">
        <f t="array" ref="CM122">IF($BT122=0, INDEX(LS_current!$D$4:$AY$138, MATCH('Staging Table'!$A122, LS_current!$B$4:$B$138, 0), MATCH(CM$4&amp;CM$5, LS_current!$D$2:$AY$2&amp;LS_current!$D$3:$AY$3, 0)),SUM(VLOOKUP($A122, LS_current!$B$4:$AY$138, LS_current!R$148, FALSE), VLOOKUP($A122, LS_current!$B$4:$AY$138,LS_current!AP$148, FALSE))/2)</f>
        <v>-0.94055785100457001</v>
      </c>
      <c r="CN122" s="192">
        <f t="array" ref="CN122">IF($BT122=0, INDEX(LS_current!$D$4:$AY$138, MATCH('Staging Table'!$A122, LS_current!$B$4:$B$138, 0), MATCH(CN$4&amp;CN$5, LS_current!$D$2:$AY$2&amp;LS_current!$D$3:$AY$3, 0)),SUM(VLOOKUP($A122, LS_current!$B$4:$AY$138, LS_current!S$148, FALSE), VLOOKUP($A122, LS_current!$B$4:$AY$138,LS_current!AQ$148, FALSE))/2)</f>
        <v>76.798436245899026</v>
      </c>
      <c r="CO122" s="192">
        <f t="array" ref="CO122">IF($BT122=0, INDEX(LS_current!$D$4:$AY$138, MATCH('Staging Table'!$A122, LS_current!$B$4:$B$138, 0), MATCH(CO$4&amp;CO$5, LS_current!$D$2:$AY$2&amp;LS_current!$D$3:$AY$3, 0)),SUM(VLOOKUP($A122, LS_current!$B$4:$AY$138, LS_current!T$148, FALSE), VLOOKUP($A122, LS_current!$B$4:$AY$138,LS_current!AR$148, FALSE))/2)</f>
        <v>-30.102346048572912</v>
      </c>
      <c r="CP122" s="192">
        <f t="array" ref="CP122">IF($BT122=0, INDEX(LS_current!$D$4:$AY$138, MATCH('Staging Table'!$A122, LS_current!$B$4:$B$138, 0), MATCH(CP$4&amp;CP$5, LS_current!$D$2:$AY$2&amp;LS_current!$D$3:$AY$3, 0)),SUM(VLOOKUP($A122, LS_current!$B$4:$AY$138, LS_current!U$148, FALSE), VLOOKUP($A122, LS_current!$B$4:$AY$138,LS_current!AS$148, FALSE))/2)</f>
        <v>49.673723359396746</v>
      </c>
      <c r="CQ122" s="192">
        <f t="array" ref="CQ122">IF($BT122=0, INDEX(LS_current!$D$4:$AY$138, MATCH('Staging Table'!$A122, LS_current!$B$4:$B$138, 0), MATCH(CQ$4&amp;CQ$5, LS_current!$D$2:$AY$2&amp;LS_current!$D$3:$AY$3, 0)),SUM(VLOOKUP($A122, LS_current!$B$4:$AY$138, LS_current!V$148, FALSE), VLOOKUP($A122, LS_current!$B$4:$AY$138,LS_current!AT$148, FALSE))/2)</f>
        <v>-9.1955212243542803</v>
      </c>
      <c r="CR122" s="192">
        <f t="array" ref="CR122">IF($BT122=0, INDEX(LS_current!$D$4:$AY$138, MATCH('Staging Table'!$A122, LS_current!$B$4:$B$138, 0), MATCH(CR$4&amp;CR$5, LS_current!$D$2:$AY$2&amp;LS_current!$D$3:$AY$3, 0)),SUM(VLOOKUP($A122, LS_current!$B$4:$AY$138, LS_current!W$148, FALSE), VLOOKUP($A122, LS_current!$B$4:$AY$138,LS_current!AU$148, FALSE))/2)</f>
        <v>51.697443428476475</v>
      </c>
      <c r="CS122" s="192">
        <f t="array" ref="CS122">IF($BT122=0, INDEX(LS_current!$D$4:$AY$138, MATCH('Staging Table'!$A122, LS_current!$B$4:$B$138, 0), MATCH(CS$4&amp;CS$5, LS_current!$D$2:$AY$2&amp;LS_current!$D$3:$AY$3, 0)),SUM(VLOOKUP($A122, LS_current!$B$4:$AY$138, LS_current!X$148, FALSE), VLOOKUP($A122, LS_current!$B$4:$AY$138,LS_current!AV$148, FALSE))/2)</f>
        <v>15.505680925226955</v>
      </c>
      <c r="CT122" s="192">
        <f t="array" ref="CT122">IF($BT122=0, INDEX(LS_current!$D$4:$AY$138, MATCH('Staging Table'!$A122, LS_current!$B$4:$B$138, 0), MATCH(CT$4&amp;CT$5, LS_current!$D$2:$AY$2&amp;LS_current!$D$3:$AY$3, 0)),SUM(VLOOKUP($A122, LS_current!$B$4:$AY$138, LS_current!Y$148, FALSE), VLOOKUP($A122, LS_current!$B$4:$AY$138,LS_current!AW$148, FALSE))/2)</f>
        <v>42.471988182655608</v>
      </c>
      <c r="CU122" s="192">
        <f t="array" ref="CU122">IF($BT122=0, INDEX(LS_current!$D$4:$AY$138, MATCH('Staging Table'!$A122, LS_current!$B$4:$B$138, 0), MATCH(CU$4&amp;CU$5, LS_current!$D$2:$AY$2&amp;LS_current!$D$3:$AY$3, 0)),SUM(VLOOKUP($A122, LS_current!$B$4:$AY$138, LS_current!Z$148, FALSE), VLOOKUP($A122, LS_current!$B$4:$AY$138,LS_current!AX$148, FALSE))/2)</f>
        <v>22.451443903645526</v>
      </c>
      <c r="CV122" s="192">
        <f t="array" ref="CV122">IF($BT122=0, INDEX(LS_current!$D$4:$AY$138, MATCH('Staging Table'!$A122, LS_current!$B$4:$B$138, 0), MATCH(CV$4&amp;CV$5, LS_current!$D$2:$AY$2&amp;LS_current!$D$3:$AY$3, 0)),SUM(VLOOKUP($A122, LS_current!$B$4:$AY$138, LS_current!AA$148, FALSE), VLOOKUP($A122, LS_current!$B$4:$AY$138,LS_current!AY$148, FALSE))/2)</f>
        <v>48.773059277503449</v>
      </c>
      <c r="CW122" s="194">
        <f t="array" ref="CW122">INDEX(Demand_current!$D$4:$AY$138, MATCH($A122, Demand_current!$B$4:$B$138, 0), MATCH(CW$4&amp;CW$5,Demand_current!$D$2:$AY$2&amp;Demand_current!$D$3:$AY$3, 0))/1000</f>
        <v>0.10324278846153842</v>
      </c>
      <c r="CX122" s="194">
        <f t="array" ref="CX122">INDEX(Demand_current!$D$4:$AY$138, MATCH($A122, Demand_current!$B$4:$B$138, 0), MATCH(CX$4&amp;CX$5,Demand_current!$D$2:$AY$2&amp;Demand_current!$D$3:$AY$3, 0))/1000</f>
        <v>0.16505750000000002</v>
      </c>
      <c r="CY122" s="194">
        <f t="array" ref="CY122">INDEX(Demand_current!$D$4:$AY$138, MATCH($A122, Demand_current!$B$4:$B$138, 0), MATCH(CY$4&amp;CY$5,Demand_current!$D$2:$AY$2&amp;Demand_current!$D$3:$AY$3, 0))/1000</f>
        <v>3.4807692307692373E-2</v>
      </c>
      <c r="CZ122" s="194">
        <f t="array" ref="CZ122">INDEX(Demand_current!$D$4:$AY$138, MATCH($A122, Demand_current!$B$4:$B$138, 0), MATCH(CZ$4&amp;CZ$5,Demand_current!$D$2:$AY$2&amp;Demand_current!$D$3:$AY$3, 0))/1000</f>
        <v>0.1271700000000002</v>
      </c>
      <c r="DA122" s="194">
        <f t="array" ref="DA122">INDEX(Demand_current!$D$4:$AY$138, MATCH($A122, Demand_current!$B$4:$B$138, 0), MATCH(DA$4&amp;DA$5,Demand_current!$D$2:$AY$2&amp;Demand_current!$D$3:$AY$3, 0))/1000</f>
        <v>9.6812499999999968E-2</v>
      </c>
      <c r="DB122" s="194">
        <f t="array" ref="DB122">INDEX(Demand_current!$D$4:$AY$138, MATCH($A122, Demand_current!$B$4:$B$138, 0), MATCH(DB$4&amp;DB$5,Demand_current!$D$2:$AY$2&amp;Demand_current!$D$3:$AY$3, 0))/1000</f>
        <v>0.21342824074074068</v>
      </c>
      <c r="DC122" s="194">
        <f t="array" ref="DC122">INDEX(Demand_current!$D$4:$AY$138, MATCH($A122, Demand_current!$B$4:$B$138, 0), MATCH(DC$4&amp;DC$5,Demand_current!$D$2:$AY$2&amp;Demand_current!$D$3:$AY$3, 0))/1000</f>
        <v>6.8180288461538396E-2</v>
      </c>
      <c r="DD122" s="194">
        <f t="array" ref="DD122">INDEX(Demand_current!$D$4:$AY$138, MATCH($A122, Demand_current!$B$4:$B$138, 0), MATCH(DD$4&amp;DD$5,Demand_current!$D$2:$AY$2&amp;Demand_current!$D$3:$AY$3, 0))/1000</f>
        <v>5.1724999999999133E-3</v>
      </c>
      <c r="DE122" s="194">
        <f t="array" ref="DE122">INDEX(Demand_current!$D$4:$AY$138, MATCH($A122, Demand_current!$B$4:$B$138, 0), MATCH(DE$4&amp;DE$5,Demand_current!$D$2:$AY$2&amp;Demand_current!$D$3:$AY$3, 0))/1000</f>
        <v>0</v>
      </c>
      <c r="DF122" s="194">
        <f t="array" ref="DF122">INDEX(Demand_current!$D$4:$AY$138, MATCH($A122, Demand_current!$B$4:$B$138, 0), MATCH(DF$4&amp;DF$5,Demand_current!$D$2:$AY$2&amp;Demand_current!$D$3:$AY$3, 0))/1000</f>
        <v>0</v>
      </c>
      <c r="DG122" s="194">
        <f t="array" ref="DG122">INDEX(Demand_current!$D$4:$AY$138, MATCH($A122, Demand_current!$B$4:$B$138, 0), MATCH(DG$4&amp;DG$5,Demand_current!$D$2:$AY$2&amp;Demand_current!$D$3:$AY$3, 0))/1000</f>
        <v>0</v>
      </c>
      <c r="DH122" s="194">
        <f t="array" ref="DH122">INDEX(Demand_current!$D$4:$AY$138, MATCH($A122, Demand_current!$B$4:$B$138, 0), MATCH(DH$4&amp;DH$5,Demand_current!$D$2:$AY$2&amp;Demand_current!$D$3:$AY$3, 0))/1000</f>
        <v>0</v>
      </c>
      <c r="DI122" s="192">
        <f>$BS122*(VLOOKUP(DI$4, Rates_current!$G$6:$Q$29, 10, FALSE)+VLOOKUP(DI$4, Rates_current!$G$6:$Q$29, 11, FALSE))</f>
        <v>295.5496949075187</v>
      </c>
      <c r="DJ122" s="192">
        <f>$BS122*(VLOOKUP(DJ$4, Rates_current!$G$6:$Q$29, 10, FALSE)+VLOOKUP(DJ$4, Rates_current!$G$6:$Q$29, 11, FALSE))</f>
        <v>374.17663998947495</v>
      </c>
      <c r="DK122" s="192">
        <f>$BS122*(VLOOKUP(DK$4, Rates_current!$G$6:$Q$29, 10, FALSE)+VLOOKUP(DK$4, Rates_current!$G$6:$Q$29, 11, FALSE))</f>
        <v>366.24417633728768</v>
      </c>
      <c r="DL122" s="192">
        <f>$BS122*(VLOOKUP(DL$4, Rates_current!$G$6:$Q$29, 10, FALSE)+VLOOKUP(DL$4, Rates_current!$G$6:$Q$29, 11, FALSE))</f>
        <v>302.50211517890432</v>
      </c>
      <c r="DM122" s="192">
        <f>$BS122*(VLOOKUP(DM$4, Rates_current!$G$6:$Q$29, 10, FALSE)+VLOOKUP(DM$4, Rates_current!$G$6:$Q$29, 11, FALSE))</f>
        <v>262.18521319110835</v>
      </c>
      <c r="DN122" s="192">
        <f>$BS122*(VLOOKUP(DN$4, Rates_current!$G$6:$Q$29, 10, FALSE)+VLOOKUP(DN$4, Rates_current!$G$6:$Q$29, 11, FALSE))</f>
        <v>312.99619906567597</v>
      </c>
      <c r="DO122" s="192">
        <f>$BS122*(VLOOKUP(DO$4, Rates_current!$G$6:$Q$29, 10, FALSE)+VLOOKUP(DO$4, Rates_current!$G$6:$Q$29, 11, FALSE))</f>
        <v>242.99987973500416</v>
      </c>
      <c r="DP122" s="192">
        <f>$BS122*(VLOOKUP(DP$4, Rates_current!$G$6:$Q$29, 10, FALSE)+VLOOKUP(DP$4, Rates_current!$G$6:$Q$29, 11, FALSE))</f>
        <v>336.6781216051055</v>
      </c>
      <c r="DQ122" s="192">
        <f>$BS122*(VLOOKUP(DQ$4, Rates_current!$G$6:$Q$29, 10, FALSE)+VLOOKUP(DQ$4, Rates_current!$G$6:$Q$29, 11, FALSE))</f>
        <v>359.74762268917618</v>
      </c>
      <c r="DR122" s="192">
        <f>$BS122*(VLOOKUP(DR$4, Rates_current!$G$6:$Q$29, 10, FALSE)+VLOOKUP(DR$4, Rates_current!$G$6:$Q$29, 11, FALSE))</f>
        <v>341.56407779587778</v>
      </c>
      <c r="DS122" s="192">
        <f>$BS122*(VLOOKUP(DS$4, Rates_current!$G$6:$Q$29, 10, FALSE)+VLOOKUP(DS$4, Rates_current!$G$6:$Q$29, 11, FALSE))</f>
        <v>330.09533089211743</v>
      </c>
      <c r="DT122" s="192">
        <f>$BS122*(VLOOKUP(DT$4, Rates_current!$G$6:$Q$29, 10, FALSE)+VLOOKUP(DT$4, Rates_current!$G$6:$Q$29, 11, FALSE))</f>
        <v>305.04249681885102</v>
      </c>
      <c r="DU122" s="418">
        <f>IF(D122=0,IF(C122=0,MAX(0,DW122 - (VLOOKUP($A122,TOCA_current!$A$2:$AI$137,MATCH("RHWM 2022",TOCA_current!$A$2:$AI$2,0),FALSE)*$BS$2)), 0),0)</f>
        <v>2333.6801959098984</v>
      </c>
      <c r="DV122" s="419">
        <f>MIN(VLOOKUP($A122,TOCA_current!$A$2:$AI$137,MATCH("TRL - NLSL - Existing Resource "&amp;$BS$1,TOCA_current!$A$2:$AI$2,0),FALSE)*$BS$2, VLOOKUP($A122,TOCA_current!$A$2:$AI$137,MATCH("RHWM 2022",TOCA_current!$A$2:$AI$2,0),FALSE)*$BS$2)</f>
        <v>3828.12</v>
      </c>
      <c r="DW122" s="419">
        <f>SUM(BY122:CV122)+(BS122*RT1SC!$C$4*$BS$2)</f>
        <v>6161.8001959098983</v>
      </c>
      <c r="DX122" s="419">
        <f>VLOOKUP($A122,TOCA_current!$A$2:$AI$137,MATCH("Above RHWM Not Served with LS "&amp;$BS$1,TOCA_current!$A$2:$AI$2,0),FALSE)*$BS$2</f>
        <v>0</v>
      </c>
      <c r="DY122" s="419">
        <f t="shared" si="32"/>
        <v>2333.6801959098984</v>
      </c>
      <c r="DZ122" s="419">
        <f>(VLOOKUP($A122,TOCA_current!$A$2:$AI$137,MATCH("RHWM 2022",TOCA_current!$A$2:$AI$2,0),FALSE)*$BS$2) - $DV122</f>
        <v>0</v>
      </c>
      <c r="EA122" s="419">
        <f t="shared" si="33"/>
        <v>0</v>
      </c>
      <c r="EB122" s="419">
        <f t="shared" si="34"/>
        <v>0</v>
      </c>
      <c r="EC122" s="419">
        <f t="shared" si="35"/>
        <v>0</v>
      </c>
      <c r="ED122" s="419">
        <f t="shared" si="36"/>
        <v>0</v>
      </c>
    </row>
    <row r="123" spans="1:134">
      <c r="A123" s="135">
        <v>10408</v>
      </c>
      <c r="B123" s="136" t="s">
        <v>124</v>
      </c>
      <c r="C123" s="244">
        <f>VLOOKUP(A123, TOCA_current!$A$3:$D$137, 4, FALSE)</f>
        <v>0</v>
      </c>
      <c r="D123" s="203">
        <v>0</v>
      </c>
      <c r="E123" s="119">
        <f>VLOOKUP($A123,TOCA_previous!$A$2:$AI$137,MATCH(E$4,TOCA_previous!$A$2:$AI$2,0),FALSE)</f>
        <v>2.1149999999999999E-4</v>
      </c>
      <c r="F123" s="120">
        <f>VLOOKUP($A123,TOCA_previous!$A$2:$AI$137,MATCH(F$4,TOCA_previous!$A$2:$AI$2,0),FALSE)</f>
        <v>2.1149999999999999E-4</v>
      </c>
      <c r="G123" s="120">
        <f t="shared" si="24"/>
        <v>0</v>
      </c>
      <c r="H123" s="120">
        <f>VLOOKUP($A123,TOCA_previous!$A$2:$AI$137,MATCH(H$4,TOCA_previous!$A$2:$AI$2,0),FALSE)</f>
        <v>0</v>
      </c>
      <c r="I123" s="120">
        <f t="shared" si="25"/>
        <v>0</v>
      </c>
      <c r="J123" s="120">
        <f t="shared" si="26"/>
        <v>0</v>
      </c>
      <c r="K123" s="191">
        <f>VLOOKUP(A123, IRD!$A$5:$C$139, 3, FALSE)</f>
        <v>0</v>
      </c>
      <c r="L123" s="192">
        <f t="array" ref="L123">IF($G123=0, INDEX(LS_previous!$D$4:$AY$138, MATCH('Staging Table'!$A123, LS_previous!$B$4:$B$138, 0), MATCH(L$4&amp;L$5, LS_previous!$D$2:$AY$2&amp;LS_previous!$D$3:$AY$3, 0)),SUM(VLOOKUP($A123, LS_previous!$B$4:$AY$138, LS_previous!D$149, FALSE), VLOOKUP('Staging Table'!$A123, LS_previous!$B$4:$AY$138,LS_previous!AB$149, FALSE))/2)</f>
        <v>85.730670438000061</v>
      </c>
      <c r="M123" s="192">
        <f t="array" ref="M123">IF($G123=0, INDEX(LS_previous!$D$4:$AY$138, MATCH('Staging Table'!$A123, LS_previous!$B$4:$B$138, 0), MATCH(M$4&amp;M$5, LS_previous!$D$2:$AY$2&amp;LS_previous!$D$3:$AY$3, 0)),SUM(VLOOKUP($A123, LS_previous!$B$4:$AY$138, LS_previous!E$149, FALSE), VLOOKUP('Staging Table'!$A123, LS_previous!$B$4:$AY$138,LS_previous!AC$149, FALSE))/2)</f>
        <v>261.99074260800001</v>
      </c>
      <c r="N123" s="192">
        <f t="array" ref="N123">IF($G123=0, INDEX(LS_previous!$D$4:$AY$138, MATCH('Staging Table'!$A123, LS_previous!$B$4:$B$138, 0), MATCH(N$4&amp;N$5, LS_previous!$D$2:$AY$2&amp;LS_previous!$D$3:$AY$3, 0)),SUM(VLOOKUP($A123, LS_previous!$B$4:$AY$138, LS_previous!F$149, FALSE), VLOOKUP('Staging Table'!$A123, LS_previous!$B$4:$AY$138,LS_previous!AD$149, FALSE))/2)</f>
        <v>-70.309232171999952</v>
      </c>
      <c r="O123" s="192">
        <f t="array" ref="O123">IF($G123=0, INDEX(LS_previous!$D$4:$AY$138, MATCH('Staging Table'!$A123, LS_previous!$B$4:$B$138, 0), MATCH(O$4&amp;O$5, LS_previous!$D$2:$AY$2&amp;LS_previous!$D$3:$AY$3, 0)),SUM(VLOOKUP($A123, LS_previous!$B$4:$AY$138, LS_previous!G$149, FALSE), VLOOKUP('Staging Table'!$A123, LS_previous!$B$4:$AY$138,LS_previous!AE$149, FALSE))/2)</f>
        <v>117.92010212350004</v>
      </c>
      <c r="P123" s="192">
        <f t="array" ref="P123">IF($G123=0, INDEX(LS_previous!$D$4:$AY$138, MATCH('Staging Table'!$A123, LS_previous!$B$4:$B$138, 0), MATCH(P$4&amp;P$5, LS_previous!$D$2:$AY$2&amp;LS_previous!$D$3:$AY$3, 0)),SUM(VLOOKUP($A123, LS_previous!$B$4:$AY$138, LS_previous!H$149, FALSE), VLOOKUP('Staging Table'!$A123, LS_previous!$B$4:$AY$138,LS_previous!AF$149, FALSE))/2)</f>
        <v>36.43341387199996</v>
      </c>
      <c r="Q123" s="192">
        <f t="array" ref="Q123">IF($G123=0, INDEX(LS_previous!$D$4:$AY$138, MATCH('Staging Table'!$A123, LS_previous!$B$4:$B$138, 0), MATCH(Q$4&amp;Q$5, LS_previous!$D$2:$AY$2&amp;LS_previous!$D$3:$AY$3, 0)),SUM(VLOOKUP($A123, LS_previous!$B$4:$AY$138, LS_previous!I$149, FALSE), VLOOKUP('Staging Table'!$A123, LS_previous!$B$4:$AY$138,LS_previous!AG$149, FALSE))/2)</f>
        <v>175.59964467399993</v>
      </c>
      <c r="R123" s="192">
        <f t="array" ref="R123">IF($G123=0, INDEX(LS_previous!$D$4:$AY$138, MATCH('Staging Table'!$A123, LS_previous!$B$4:$B$138, 0), MATCH(R$4&amp;R$5, LS_previous!$D$2:$AY$2&amp;LS_previous!$D$3:$AY$3, 0)),SUM(VLOOKUP($A123, LS_previous!$B$4:$AY$138, LS_previous!J$149, FALSE), VLOOKUP('Staging Table'!$A123, LS_previous!$B$4:$AY$138,LS_previous!AH$149, FALSE))/2)</f>
        <v>102.13168787200004</v>
      </c>
      <c r="S123" s="192">
        <f t="array" ref="S123">IF($G123=0, INDEX(LS_previous!$D$4:$AY$138, MATCH('Staging Table'!$A123, LS_previous!$B$4:$B$138, 0), MATCH(S$4&amp;S$5, LS_previous!$D$2:$AY$2&amp;LS_previous!$D$3:$AY$3, 0)),SUM(VLOOKUP($A123, LS_previous!$B$4:$AY$138, LS_previous!K$149, FALSE), VLOOKUP('Staging Table'!$A123, LS_previous!$B$4:$AY$138,LS_previous!AI$149, FALSE))/2)</f>
        <v>300.25112267400004</v>
      </c>
      <c r="T123" s="192">
        <f t="array" ref="T123">IF($G123=0, INDEX(LS_previous!$D$4:$AY$138, MATCH('Staging Table'!$A123, LS_previous!$B$4:$B$138, 0), MATCH(T$4&amp;T$5, LS_previous!$D$2:$AY$2&amp;LS_previous!$D$3:$AY$3, 0)),SUM(VLOOKUP($A123, LS_previous!$B$4:$AY$138, LS_previous!L$149, FALSE), VLOOKUP('Staging Table'!$A123, LS_previous!$B$4:$AY$138,LS_previous!AJ$149, FALSE))/2)</f>
        <v>115.78270827400002</v>
      </c>
      <c r="U123" s="192">
        <f t="array" ref="U123">IF($G123=0, INDEX(LS_previous!$D$4:$AY$138, MATCH('Staging Table'!$A123, LS_previous!$B$4:$B$138, 0), MATCH(U$4&amp;U$5, LS_previous!$D$2:$AY$2&amp;LS_previous!$D$3:$AY$3, 0)),SUM(VLOOKUP($A123, LS_previous!$B$4:$AY$138, LS_previous!M$149, FALSE), VLOOKUP('Staging Table'!$A123, LS_previous!$B$4:$AY$138,LS_previous!AK$149, FALSE))/2)</f>
        <v>205.06233852600002</v>
      </c>
      <c r="V123" s="192">
        <f t="array" ref="V123">IF($G123=0, INDEX(LS_previous!$D$4:$AY$138, MATCH('Staging Table'!$A123, LS_previous!$B$4:$B$138, 0), MATCH(V$4&amp;V$5, LS_previous!$D$2:$AY$2&amp;LS_previous!$D$3:$AY$3, 0)),SUM(VLOOKUP($A123, LS_previous!$B$4:$AY$138, LS_previous!N$149, FALSE), VLOOKUP('Staging Table'!$A123, LS_previous!$B$4:$AY$138,LS_previous!AL$149, FALSE))/2)</f>
        <v>119.54640791600013</v>
      </c>
      <c r="W123" s="192">
        <f t="array" ref="W123">IF($G123=0, INDEX(LS_previous!$D$4:$AY$138, MATCH('Staging Table'!$A123, LS_previous!$B$4:$B$138, 0), MATCH(W$4&amp;W$5, LS_previous!$D$2:$AY$2&amp;LS_previous!$D$3:$AY$3, 0)),SUM(VLOOKUP($A123, LS_previous!$B$4:$AY$138, LS_previous!O$149, FALSE), VLOOKUP('Staging Table'!$A123, LS_previous!$B$4:$AY$138,LS_previous!AM$149, FALSE))/2)</f>
        <v>206.36803140850003</v>
      </c>
      <c r="X123" s="192">
        <f t="array" ref="X123">IF($G123=0, INDEX(LS_previous!$D$4:$AY$138, MATCH('Staging Table'!$A123, LS_previous!$B$4:$B$138, 0), MATCH(X$4&amp;X$5, LS_previous!$D$2:$AY$2&amp;LS_previous!$D$3:$AY$3, 0)),SUM(VLOOKUP($A123, LS_previous!$B$4:$AY$138, LS_previous!P$149, FALSE), VLOOKUP('Staging Table'!$A123, LS_previous!$B$4:$AY$138,LS_previous!AN$149, FALSE))/2)</f>
        <v>193.14282664400002</v>
      </c>
      <c r="Y123" s="192">
        <f t="array" ref="Y123">IF($G123=0, INDEX(LS_previous!$D$4:$AY$138, MATCH('Staging Table'!$A123, LS_previous!$B$4:$B$138, 0), MATCH(Y$4&amp;Y$5, LS_previous!$D$2:$AY$2&amp;LS_previous!$D$3:$AY$3, 0)),SUM(VLOOKUP($A123, LS_previous!$B$4:$AY$138, LS_previous!Q$149, FALSE), VLOOKUP('Staging Table'!$A123, LS_previous!$B$4:$AY$138,LS_previous!AO$149, FALSE))/2)</f>
        <v>235.20952483599996</v>
      </c>
      <c r="Z123" s="192">
        <f t="array" ref="Z123">IF($G123=0, INDEX(LS_previous!$D$4:$AY$138, MATCH('Staging Table'!$A123, LS_previous!$B$4:$B$138, 0), MATCH(Z$4&amp;Z$5, LS_previous!$D$2:$AY$2&amp;LS_previous!$D$3:$AY$3, 0)),SUM(VLOOKUP($A123, LS_previous!$B$4:$AY$138, LS_previous!R$149, FALSE), VLOOKUP('Staging Table'!$A123, LS_previous!$B$4:$AY$138,LS_previous!AP$149, FALSE))/2)</f>
        <v>-134.66742165000005</v>
      </c>
      <c r="AA123" s="192">
        <f t="array" ref="AA123">IF($G123=0, INDEX(LS_previous!$D$4:$AY$138, MATCH('Staging Table'!$A123, LS_previous!$B$4:$B$138, 0), MATCH(AA$4&amp;AA$5, LS_previous!$D$2:$AY$2&amp;LS_previous!$D$3:$AY$3, 0)),SUM(VLOOKUP($A123, LS_previous!$B$4:$AY$138, LS_previous!S$149, FALSE), VLOOKUP('Staging Table'!$A123, LS_previous!$B$4:$AY$138,LS_previous!AQ$149, FALSE))/2)</f>
        <v>155.585308946</v>
      </c>
      <c r="AB123" s="192">
        <f t="array" ref="AB123">IF($G123=0, INDEX(LS_previous!$D$4:$AY$138, MATCH('Staging Table'!$A123, LS_previous!$B$4:$B$138, 0), MATCH(AB$4&amp;AB$5, LS_previous!$D$2:$AY$2&amp;LS_previous!$D$3:$AY$3, 0)),SUM(VLOOKUP($A123, LS_previous!$B$4:$AY$138, LS_previous!T$149, FALSE), VLOOKUP('Staging Table'!$A123, LS_previous!$B$4:$AY$138,LS_previous!AR$149, FALSE))/2)</f>
        <v>-316.71914360599988</v>
      </c>
      <c r="AC123" s="192">
        <f t="array" ref="AC123">IF($G123=0, INDEX(LS_previous!$D$4:$AY$138, MATCH('Staging Table'!$A123, LS_previous!$B$4:$B$138, 0), MATCH(AC$4&amp;AC$5, LS_previous!$D$2:$AY$2&amp;LS_previous!$D$3:$AY$3, 0)),SUM(VLOOKUP($A123, LS_previous!$B$4:$AY$138, LS_previous!U$149, FALSE), VLOOKUP('Staging Table'!$A123, LS_previous!$B$4:$AY$138,LS_previous!AS$149, FALSE))/2)</f>
        <v>-27.297964164000007</v>
      </c>
      <c r="AD123" s="192">
        <f t="array" ref="AD123">IF($G123=0, INDEX(LS_previous!$D$4:$AY$138, MATCH('Staging Table'!$A123, LS_previous!$B$4:$B$138, 0), MATCH(AD$4&amp;AD$5, LS_previous!$D$2:$AY$2&amp;LS_previous!$D$3:$AY$3, 0)),SUM(VLOOKUP($A123, LS_previous!$B$4:$AY$138, LS_previous!V$149, FALSE), VLOOKUP('Staging Table'!$A123, LS_previous!$B$4:$AY$138,LS_previous!AT$149, FALSE))/2)</f>
        <v>-199.74625110599993</v>
      </c>
      <c r="AE123" s="192">
        <f t="array" ref="AE123">IF($G123=0, INDEX(LS_previous!$D$4:$AY$138, MATCH('Staging Table'!$A123, LS_previous!$B$4:$B$138, 0), MATCH(AE$4&amp;AE$5, LS_previous!$D$2:$AY$2&amp;LS_previous!$D$3:$AY$3, 0)),SUM(VLOOKUP($A123, LS_previous!$B$4:$AY$138, LS_previous!W$149, FALSE), VLOOKUP('Staging Table'!$A123, LS_previous!$B$4:$AY$138,LS_previous!AU$149, FALSE))/2)</f>
        <v>183.252628152</v>
      </c>
      <c r="AF123" s="192">
        <f t="array" ref="AF123">IF($G123=0, INDEX(LS_previous!$D$4:$AY$138, MATCH('Staging Table'!$A123, LS_previous!$B$4:$B$138, 0), MATCH(AF$4&amp;AF$5, LS_previous!$D$2:$AY$2&amp;LS_previous!$D$3:$AY$3, 0)),SUM(VLOOKUP($A123, LS_previous!$B$4:$AY$138, LS_previous!X$149, FALSE), VLOOKUP('Staging Table'!$A123, LS_previous!$B$4:$AY$138,LS_previous!AV$149, FALSE))/2)</f>
        <v>-74.936820355999998</v>
      </c>
      <c r="AG123" s="192">
        <f t="array" ref="AG123">IF($G123=0, INDEX(LS_previous!$D$4:$AY$138, MATCH('Staging Table'!$A123, LS_previous!$B$4:$B$138, 0), MATCH(AG$4&amp;AG$5, LS_previous!$D$2:$AY$2&amp;LS_previous!$D$3:$AY$3, 0)),SUM(VLOOKUP($A123, LS_previous!$B$4:$AY$138, LS_previous!Y$149, FALSE), VLOOKUP('Staging Table'!$A123, LS_previous!$B$4:$AY$138,LS_previous!AW$149, FALSE))/2)</f>
        <v>130.80310815199999</v>
      </c>
      <c r="AH123" s="192">
        <f t="array" ref="AH123">IF($G123=0, INDEX(LS_previous!$D$4:$AY$138, MATCH('Staging Table'!$A123, LS_previous!$B$4:$B$138, 0), MATCH(AH$4&amp;AH$5, LS_previous!$D$2:$AY$2&amp;LS_previous!$D$3:$AY$3, 0)),SUM(VLOOKUP($A123, LS_previous!$B$4:$AY$138, LS_previous!Z$149, FALSE), VLOOKUP('Staging Table'!$A123, LS_previous!$B$4:$AY$138,LS_previous!AX$149, FALSE))/2)</f>
        <v>-361.65405439999995</v>
      </c>
      <c r="AI123" s="192">
        <f t="array" ref="AI123">IF($G123=0, INDEX(LS_previous!$D$4:$AY$138, MATCH('Staging Table'!$A123, LS_previous!$B$4:$B$138, 0), MATCH(AI$4&amp;AI$5, LS_previous!$D$2:$AY$2&amp;LS_previous!$D$3:$AY$3, 0)),SUM(VLOOKUP($A123, LS_previous!$B$4:$AY$138, LS_previous!AA$149, FALSE), VLOOKUP('Staging Table'!$A123, LS_previous!$B$4:$AY$138,LS_previous!AY$149, FALSE))/2)</f>
        <v>-118.97167561999998</v>
      </c>
      <c r="AJ123" s="314">
        <f t="array" ref="AJ123">INDEX(Demand_previous!$D$4:$AY$138, MATCH('Staging Table'!$A123, Demand_previous!$B$4:$B$138, 0), MATCH(AJ$4&amp;AJ$5,Demand_previous!$D$2:$AY$2&amp;Demand_previous!$D$3:$AY$3, 0))/1000</f>
        <v>0.20936111111111119</v>
      </c>
      <c r="AK123" s="314">
        <f t="array" ref="AK123">INDEX(Demand_previous!$D$4:$AY$138, MATCH('Staging Table'!$A123, Demand_previous!$B$4:$B$138, 0), MATCH(AK$4&amp;AK$5,Demand_previous!$D$2:$AY$2&amp;Demand_previous!$D$3:$AY$3, 0))/1000</f>
        <v>0.21436499999999992</v>
      </c>
      <c r="AL123" s="314">
        <f t="array" ref="AL123">INDEX(Demand_previous!$D$4:$AY$138, MATCH('Staging Table'!$A123, Demand_previous!$B$4:$B$138, 0), MATCH(AL$4&amp;AL$5,Demand_previous!$D$2:$AY$2&amp;Demand_previous!$D$3:$AY$3, 0))/1000</f>
        <v>6.8232500000000113E-2</v>
      </c>
      <c r="AM123" s="314">
        <f t="array" ref="AM123">INDEX(Demand_previous!$D$4:$AY$138, MATCH('Staging Table'!$A123, Demand_previous!$B$4:$B$138, 0), MATCH(AM$4&amp;AM$5,Demand_previous!$D$2:$AY$2&amp;Demand_previous!$D$3:$AY$3, 0))/1000</f>
        <v>0.22516105769230776</v>
      </c>
      <c r="AN123" s="314">
        <f t="array" ref="AN123">INDEX(Demand_previous!$D$4:$AY$138, MATCH('Staging Table'!$A123, Demand_previous!$B$4:$B$138, 0), MATCH(AN$4&amp;AN$5,Demand_previous!$D$2:$AY$2&amp;Demand_previous!$D$3:$AY$3, 0))/1000</f>
        <v>0.39787750000000005</v>
      </c>
      <c r="AO123" s="314">
        <f t="array" ref="AO123">INDEX(Demand_previous!$D$4:$AY$138, MATCH('Staging Table'!$A123, Demand_previous!$B$4:$B$138, 0), MATCH(AO$4&amp;AO$5,Demand_previous!$D$2:$AY$2&amp;Demand_previous!$D$3:$AY$3, 0))/1000</f>
        <v>0.12929567307692311</v>
      </c>
      <c r="AP123" s="314">
        <f t="array" ref="AP123">INDEX(Demand_previous!$D$4:$AY$138, MATCH('Staging Table'!$A123, Demand_previous!$B$4:$B$138, 0), MATCH(AP$4&amp;AP$5,Demand_previous!$D$2:$AY$2&amp;Demand_previous!$D$3:$AY$3, 0))/1000</f>
        <v>0.14594230769230776</v>
      </c>
      <c r="AQ123" s="314">
        <f t="array" ref="AQ123">INDEX(Demand_previous!$D$4:$AY$138, MATCH('Staging Table'!$A123, Demand_previous!$B$4:$B$138, 0), MATCH(AQ$4&amp;AQ$5,Demand_previous!$D$2:$AY$2&amp;Demand_previous!$D$3:$AY$3, 0))/1000</f>
        <v>0.25491750000000024</v>
      </c>
      <c r="AR123" s="314">
        <f t="array" ref="AR123">INDEX(Demand_previous!$D$4:$AY$138, MATCH('Staging Table'!$A123, Demand_previous!$B$4:$B$138, 0), MATCH(AR$4&amp;AR$5,Demand_previous!$D$2:$AY$2&amp;Demand_previous!$D$3:$AY$3, 0))/1000</f>
        <v>0.22630528846153825</v>
      </c>
      <c r="AS123" s="314">
        <f t="array" ref="AS123">INDEX(Demand_previous!$D$4:$AY$138, MATCH('Staging Table'!$A123, Demand_previous!$B$4:$B$138, 0), MATCH(AS$4&amp;AS$5,Demand_previous!$D$2:$AY$2&amp;Demand_previous!$D$3:$AY$3, 0))/1000</f>
        <v>0.2440384615384617</v>
      </c>
      <c r="AT123" s="314">
        <f t="array" ref="AT123">INDEX(Demand_previous!$D$4:$AY$138, MATCH('Staging Table'!$A123, Demand_previous!$B$4:$B$138, 0), MATCH(AT$4&amp;AT$5,Demand_previous!$D$2:$AY$2&amp;Demand_previous!$D$3:$AY$3, 0))/1000</f>
        <v>0.13723798076923083</v>
      </c>
      <c r="AU123" s="314">
        <f t="array" ref="AU123">INDEX(Demand_previous!$D$4:$AY$138, MATCH('Staging Table'!$A123, Demand_previous!$B$4:$B$138, 0), MATCH(AU$4&amp;AU$5,Demand_previous!$D$2:$AY$2&amp;Demand_previous!$D$3:$AY$3, 0))/1000</f>
        <v>0.46338250000000025</v>
      </c>
      <c r="AV123" s="192">
        <f>$F123*(VLOOKUP(AV$4, Rates_previous!$G$6:$Q$29, 10, FALSE)+VLOOKUP(AV$4, Rates_previous!$G$6:$Q$29, 11, FALSE))</f>
        <v>976.56258695399981</v>
      </c>
      <c r="AW123" s="192">
        <f>$F123*(VLOOKUP(AW$4, Rates_previous!$G$6:$Q$29, 10, FALSE)+VLOOKUP(AW$4, Rates_previous!$G$6:$Q$29, 11, FALSE))</f>
        <v>1240.5391300485001</v>
      </c>
      <c r="AX123" s="192">
        <f>$F123*(VLOOKUP(AX$4, Rates_previous!$G$6:$Q$29, 10, FALSE)+VLOOKUP(AX$4, Rates_previous!$G$6:$Q$29, 11, FALSE))</f>
        <v>1225.557941454</v>
      </c>
      <c r="AY123" s="192">
        <f>$F123*(VLOOKUP(AY$4, Rates_previous!$G$6:$Q$29, 10, FALSE)+VLOOKUP(AY$4, Rates_previous!$G$6:$Q$29, 11, FALSE))</f>
        <v>1021.5771894540001</v>
      </c>
      <c r="AZ123" s="192">
        <f>$F123*(VLOOKUP(AZ$4, Rates_previous!$G$6:$Q$29, 10, FALSE)+VLOOKUP(AZ$4, Rates_previous!$G$6:$Q$29, 11, FALSE))</f>
        <v>925.44295319999992</v>
      </c>
      <c r="BA123" s="192">
        <f>$F123*(VLOOKUP(BA$4, Rates_previous!$G$6:$Q$29, 10, FALSE)+VLOOKUP(BA$4, Rates_previous!$G$6:$Q$29, 11, FALSE))</f>
        <v>1029.3865606755</v>
      </c>
      <c r="BB123" s="192">
        <f>$F123*(VLOOKUP(BB$4, Rates_previous!$G$6:$Q$29, 10, FALSE)+VLOOKUP(BB$4, Rates_previous!$G$6:$Q$29, 11, FALSE))</f>
        <v>838.12764851999998</v>
      </c>
      <c r="BC123" s="192">
        <f>$F123*(VLOOKUP(BC$4, Rates_previous!$G$6:$Q$29, 10, FALSE)+VLOOKUP(BC$4, Rates_previous!$G$6:$Q$29, 11, FALSE))</f>
        <v>1130.3401127040001</v>
      </c>
      <c r="BD123" s="192">
        <f>$F123*(VLOOKUP(BD$4, Rates_previous!$G$6:$Q$29, 10, FALSE)+VLOOKUP(BD$4, Rates_previous!$G$6:$Q$29, 11, FALSE))</f>
        <v>1442.23710777</v>
      </c>
      <c r="BE123" s="192">
        <f>$F123*(VLOOKUP(BE$4, Rates_previous!$G$6:$Q$29, 10, FALSE)+VLOOKUP(BE$4, Rates_previous!$G$6:$Q$29, 11, FALSE))</f>
        <v>1130.759622954</v>
      </c>
      <c r="BF123" s="192">
        <f>$F123*(VLOOKUP(BF$4, Rates_previous!$G$6:$Q$29, 10, FALSE)+VLOOKUP(BF$4, Rates_previous!$G$6:$Q$29, 11, FALSE))</f>
        <v>1101.1347122040002</v>
      </c>
      <c r="BG123" s="192">
        <f>$F123*(VLOOKUP(BG$4, Rates_previous!$G$6:$Q$29, 10, FALSE)+VLOOKUP(BG$4, Rates_previous!$G$6:$Q$29, 11, FALSE))</f>
        <v>988.58473002000005</v>
      </c>
      <c r="BH123" s="314">
        <f>IF($D123=0,IF(C123=0, MAX(BJ123 - (VLOOKUP($A123,TOCA_previous!$A$2:$AI$137,MATCH("RHWM 2020",TOCA_previous!$A$2:$AI$2,0),FALSE)*$F$2*TOCA_previous!C120),0),0), 0)</f>
        <v>1027.8624898340004</v>
      </c>
      <c r="BI123" s="204">
        <f>MIN(VLOOKUP($A123,TOCA_previous!$A$2:$AI$137,MATCH("TRL - NLSL - Existing Resource "&amp;$F$1,TOCA_previous!$A$2:$AI$2,0),FALSE)*$F$2,(VLOOKUP($A123,TOCA_previous!$A$2:$AI$137,MATCH("RHWM 2020",TOCA_previous!$A$2:$AI$2,0),FALSE)*$F$2))</f>
        <v>13053.023999999999</v>
      </c>
      <c r="BJ123" s="418">
        <f>SUM(L123:AI123)+(F123*RT1SC!$C$3*$F$2)</f>
        <v>14370.758489833999</v>
      </c>
      <c r="BK123" s="417">
        <f>VLOOKUP($A123,TOCA_previous!$A$2:$AI$137,MATCH("Above RHWM Not Served with LS "&amp;$F$1,TOCA_previous!$A$2:$AI$2,0),FALSE)*$F$2</f>
        <v>0</v>
      </c>
      <c r="BL123" s="418">
        <f t="shared" si="27"/>
        <v>1317.7344898339998</v>
      </c>
      <c r="BM123" s="417">
        <f>(VLOOKUP($A123,TOCA_previous!$A$2:$AI$137,MATCH("RHWM 2020",TOCA_previous!$A$2:$AI$2,0),FALSE)*$F$2) - $BI123</f>
        <v>289.87199999999939</v>
      </c>
      <c r="BN123" s="418">
        <f t="shared" si="28"/>
        <v>-289.87199999999939</v>
      </c>
      <c r="BO123" s="417">
        <f t="shared" si="29"/>
        <v>0</v>
      </c>
      <c r="BP123" s="418">
        <f t="shared" si="30"/>
        <v>0</v>
      </c>
      <c r="BQ123" s="417">
        <f t="shared" si="37"/>
        <v>-289.87199999999939</v>
      </c>
      <c r="BR123" s="120">
        <f>VLOOKUP($A123,TOCA_current!$A$2:$AI$137,MATCH(BR$4,TOCA_current!$A$2:$AI$2,0),FALSE)</f>
        <v>2.163E-4</v>
      </c>
      <c r="BS123" s="120">
        <f>VLOOKUP($A123,TOCA_current!$A$2:$AI$137,MATCH(BS$4,TOCA_current!$A$2:$AI$2,0),FALSE)</f>
        <v>2.163E-4</v>
      </c>
      <c r="BT123" s="201">
        <f t="shared" si="31"/>
        <v>0</v>
      </c>
      <c r="BU123" s="120">
        <f>VLOOKUP($A123,TOCA_current!A119:BG254,MATCH(BU$4,TOCA_current!$A$2:$BG$2,0),FALSE)</f>
        <v>0</v>
      </c>
      <c r="BV123" s="120">
        <f t="shared" si="38"/>
        <v>0</v>
      </c>
      <c r="BW123" s="120">
        <f t="shared" si="39"/>
        <v>0</v>
      </c>
      <c r="BX123" s="191">
        <f>VLOOKUP($A123,IRD!$A$4:$G$139, 7, FALSE)</f>
        <v>0</v>
      </c>
      <c r="BY123" s="192">
        <f t="array" ref="BY123">IF($BT123=0, INDEX(LS_current!$D$4:$AY$138, MATCH('Staging Table'!$A123, LS_current!$B$4:$B$138, 0), MATCH(BY$4&amp;BY$5, LS_current!$D$2:$AY$2&amp;LS_current!$D$3:$AY$3, 0)),SUM(VLOOKUP($A123, LS_current!$B$4:$AY$138, LS_current!D$148, FALSE), VLOOKUP($A123, LS_current!$B$4:$AY$138,LS_current!AB$148, FALSE))/2)</f>
        <v>90.381065780971426</v>
      </c>
      <c r="BZ123" s="192">
        <f t="array" ref="BZ123">IF($BT123=0, INDEX(LS_current!$D$4:$AY$138, MATCH('Staging Table'!$A123, LS_current!$B$4:$B$138, 0), MATCH(BZ$4&amp;BZ$5, LS_current!$D$2:$AY$2&amp;LS_current!$D$3:$AY$3, 0)),SUM(VLOOKUP($A123, LS_current!$B$4:$AY$138, LS_current!E$148, FALSE), VLOOKUP($A123, LS_current!$B$4:$AY$138,LS_current!AC$148, FALSE))/2)</f>
        <v>248.8890820079917</v>
      </c>
      <c r="CA123" s="192">
        <f t="array" ref="CA123">IF($BT123=0, INDEX(LS_current!$D$4:$AY$138, MATCH('Staging Table'!$A123, LS_current!$B$4:$B$138, 0), MATCH(CA$4&amp;CA$5, LS_current!$D$2:$AY$2&amp;LS_current!$D$3:$AY$3, 0)),SUM(VLOOKUP($A123, LS_current!$B$4:$AY$138, LS_current!F$148, FALSE), VLOOKUP($A123, LS_current!$B$4:$AY$138,LS_current!AD$148, FALSE))/2)</f>
        <v>-57.803540391154797</v>
      </c>
      <c r="CB123" s="192">
        <f t="array" ref="CB123">IF($BT123=0, INDEX(LS_current!$D$4:$AY$138, MATCH('Staging Table'!$A123, LS_current!$B$4:$B$138, 0), MATCH(CB$4&amp;CB$5, LS_current!$D$2:$AY$2&amp;LS_current!$D$3:$AY$3, 0)),SUM(VLOOKUP($A123, LS_current!$B$4:$AY$138, LS_current!G$148, FALSE), VLOOKUP($A123, LS_current!$B$4:$AY$138,LS_current!AE$148, FALSE))/2)</f>
        <v>98.890254879237716</v>
      </c>
      <c r="CC123" s="192">
        <f t="array" ref="CC123">IF($BT123=0, INDEX(LS_current!$D$4:$AY$138, MATCH('Staging Table'!$A123, LS_current!$B$4:$B$138, 0), MATCH(CC$4&amp;CC$5, LS_current!$D$2:$AY$2&amp;LS_current!$D$3:$AY$3, 0)),SUM(VLOOKUP($A123, LS_current!$B$4:$AY$138, LS_current!H$148, FALSE), VLOOKUP($A123, LS_current!$B$4:$AY$138,LS_current!AF$148, FALSE))/2)</f>
        <v>100.18332727274037</v>
      </c>
      <c r="CD123" s="192">
        <f t="array" ref="CD123">IF($BT123=0, INDEX(LS_current!$D$4:$AY$138, MATCH('Staging Table'!$A123, LS_current!$B$4:$B$138, 0), MATCH(CD$4&amp;CD$5, LS_current!$D$2:$AY$2&amp;LS_current!$D$3:$AY$3, 0)),SUM(VLOOKUP($A123, LS_current!$B$4:$AY$138, LS_current!I$148, FALSE), VLOOKUP($A123, LS_current!$B$4:$AY$138,LS_current!AG$148, FALSE))/2)</f>
        <v>116.78185852455829</v>
      </c>
      <c r="CE123" s="192">
        <f t="array" ref="CE123">IF($BT123=0, INDEX(LS_current!$D$4:$AY$138, MATCH('Staging Table'!$A123, LS_current!$B$4:$B$138, 0), MATCH(CE$4&amp;CE$5, LS_current!$D$2:$AY$2&amp;LS_current!$D$3:$AY$3, 0)),SUM(VLOOKUP($A123, LS_current!$B$4:$AY$138, LS_current!J$148, FALSE), VLOOKUP($A123, LS_current!$B$4:$AY$138,LS_current!AH$148, FALSE))/2)</f>
        <v>170.62030543869935</v>
      </c>
      <c r="CF123" s="192">
        <f t="array" ref="CF123">IF($BT123=0, INDEX(LS_current!$D$4:$AY$138, MATCH('Staging Table'!$A123, LS_current!$B$4:$B$138, 0), MATCH(CF$4&amp;CF$5, LS_current!$D$2:$AY$2&amp;LS_current!$D$3:$AY$3, 0)),SUM(VLOOKUP($A123, LS_current!$B$4:$AY$138, LS_current!K$148, FALSE), VLOOKUP($A123, LS_current!$B$4:$AY$138,LS_current!AI$148, FALSE))/2)</f>
        <v>245.15467894963666</v>
      </c>
      <c r="CG123" s="192">
        <f t="array" ref="CG123">IF($BT123=0, INDEX(LS_current!$D$4:$AY$138, MATCH('Staging Table'!$A123, LS_current!$B$4:$B$138, 0), MATCH(CG$4&amp;CG$5, LS_current!$D$2:$AY$2&amp;LS_current!$D$3:$AY$3, 0)),SUM(VLOOKUP($A123, LS_current!$B$4:$AY$138, LS_current!L$148, FALSE), VLOOKUP($A123, LS_current!$B$4:$AY$138,LS_current!AJ$148, FALSE))/2)</f>
        <v>192.0599266842932</v>
      </c>
      <c r="CH123" s="192">
        <f t="array" ref="CH123">IF($BT123=0, INDEX(LS_current!$D$4:$AY$138, MATCH('Staging Table'!$A123, LS_current!$B$4:$B$138, 0), MATCH(CH$4&amp;CH$5, LS_current!$D$2:$AY$2&amp;LS_current!$D$3:$AY$3, 0)),SUM(VLOOKUP($A123, LS_current!$B$4:$AY$138, LS_current!M$148, FALSE), VLOOKUP($A123, LS_current!$B$4:$AY$138,LS_current!AK$148, FALSE))/2)</f>
        <v>180.4120238051255</v>
      </c>
      <c r="CI123" s="192">
        <f t="array" ref="CI123">IF($BT123=0, INDEX(LS_current!$D$4:$AY$138, MATCH('Staging Table'!$A123, LS_current!$B$4:$B$138, 0), MATCH(CI$4&amp;CI$5, LS_current!$D$2:$AY$2&amp;LS_current!$D$3:$AY$3, 0)),SUM(VLOOKUP($A123, LS_current!$B$4:$AY$138, LS_current!N$148, FALSE), VLOOKUP($A123, LS_current!$B$4:$AY$138,LS_current!AL$148, FALSE))/2)</f>
        <v>133.40716994132265</v>
      </c>
      <c r="CJ123" s="192">
        <f t="array" ref="CJ123">IF($BT123=0, INDEX(LS_current!$D$4:$AY$138, MATCH('Staging Table'!$A123, LS_current!$B$4:$B$138, 0), MATCH(CJ$4&amp;CJ$5, LS_current!$D$2:$AY$2&amp;LS_current!$D$3:$AY$3, 0)),SUM(VLOOKUP($A123, LS_current!$B$4:$AY$138, LS_current!O$148, FALSE), VLOOKUP($A123, LS_current!$B$4:$AY$138,LS_current!AM$148, FALSE))/2)</f>
        <v>178.73392469803485</v>
      </c>
      <c r="CK123" s="192">
        <f t="array" ref="CK123">IF($BT123=0, INDEX(LS_current!$D$4:$AY$138, MATCH('Staging Table'!$A123, LS_current!$B$4:$B$138, 0), MATCH(CK$4&amp;CK$5, LS_current!$D$2:$AY$2&amp;LS_current!$D$3:$AY$3, 0)),SUM(VLOOKUP($A123, LS_current!$B$4:$AY$138, LS_current!P$148, FALSE), VLOOKUP($A123, LS_current!$B$4:$AY$138,LS_current!AN$148, FALSE))/2)</f>
        <v>221.46406128776255</v>
      </c>
      <c r="CL123" s="192">
        <f t="array" ref="CL123">IF($BT123=0, INDEX(LS_current!$D$4:$AY$138, MATCH('Staging Table'!$A123, LS_current!$B$4:$B$138, 0), MATCH(CL$4&amp;CL$5, LS_current!$D$2:$AY$2&amp;LS_current!$D$3:$AY$3, 0)),SUM(VLOOKUP($A123, LS_current!$B$4:$AY$138, LS_current!Q$148, FALSE), VLOOKUP($A123, LS_current!$B$4:$AY$138,LS_current!AO$148, FALSE))/2)</f>
        <v>235.14114692978131</v>
      </c>
      <c r="CM123" s="192">
        <f t="array" ref="CM123">IF($BT123=0, INDEX(LS_current!$D$4:$AY$138, MATCH('Staging Table'!$A123, LS_current!$B$4:$B$138, 0), MATCH(CM$4&amp;CM$5, LS_current!$D$2:$AY$2&amp;LS_current!$D$3:$AY$3, 0)),SUM(VLOOKUP($A123, LS_current!$B$4:$AY$138, LS_current!R$148, FALSE), VLOOKUP($A123, LS_current!$B$4:$AY$138,LS_current!AP$148, FALSE))/2)</f>
        <v>-157.28900251421089</v>
      </c>
      <c r="CN123" s="192">
        <f t="array" ref="CN123">IF($BT123=0, INDEX(LS_current!$D$4:$AY$138, MATCH('Staging Table'!$A123, LS_current!$B$4:$B$138, 0), MATCH(CN$4&amp;CN$5, LS_current!$D$2:$AY$2&amp;LS_current!$D$3:$AY$3, 0)),SUM(VLOOKUP($A123, LS_current!$B$4:$AY$138, LS_current!S$148, FALSE), VLOOKUP($A123, LS_current!$B$4:$AY$138,LS_current!AQ$148, FALSE))/2)</f>
        <v>186.45951864388229</v>
      </c>
      <c r="CO123" s="192">
        <f t="array" ref="CO123">IF($BT123=0, INDEX(LS_current!$D$4:$AY$138, MATCH('Staging Table'!$A123, LS_current!$B$4:$B$138, 0), MATCH(CO$4&amp;CO$5, LS_current!$D$2:$AY$2&amp;LS_current!$D$3:$AY$3, 0)),SUM(VLOOKUP($A123, LS_current!$B$4:$AY$138, LS_current!T$148, FALSE), VLOOKUP($A123, LS_current!$B$4:$AY$138,LS_current!AR$148, FALSE))/2)</f>
        <v>-235.72238906481232</v>
      </c>
      <c r="CP123" s="192">
        <f t="array" ref="CP123">IF($BT123=0, INDEX(LS_current!$D$4:$AY$138, MATCH('Staging Table'!$A123, LS_current!$B$4:$B$138, 0), MATCH(CP$4&amp;CP$5, LS_current!$D$2:$AY$2&amp;LS_current!$D$3:$AY$3, 0)),SUM(VLOOKUP($A123, LS_current!$B$4:$AY$138, LS_current!U$148, FALSE), VLOOKUP($A123, LS_current!$B$4:$AY$138,LS_current!AS$148, FALSE))/2)</f>
        <v>134.96841698979222</v>
      </c>
      <c r="CQ123" s="192">
        <f t="array" ref="CQ123">IF($BT123=0, INDEX(LS_current!$D$4:$AY$138, MATCH('Staging Table'!$A123, LS_current!$B$4:$B$138, 0), MATCH(CQ$4&amp;CQ$5, LS_current!$D$2:$AY$2&amp;LS_current!$D$3:$AY$3, 0)),SUM(VLOOKUP($A123, LS_current!$B$4:$AY$138, LS_current!V$148, FALSE), VLOOKUP($A123, LS_current!$B$4:$AY$138,LS_current!AT$148, FALSE))/2)</f>
        <v>-179.56489277084472</v>
      </c>
      <c r="CR123" s="192">
        <f t="array" ref="CR123">IF($BT123=0, INDEX(LS_current!$D$4:$AY$138, MATCH('Staging Table'!$A123, LS_current!$B$4:$B$138, 0), MATCH(CR$4&amp;CR$5, LS_current!$D$2:$AY$2&amp;LS_current!$D$3:$AY$3, 0)),SUM(VLOOKUP($A123, LS_current!$B$4:$AY$138, LS_current!W$148, FALSE), VLOOKUP($A123, LS_current!$B$4:$AY$138,LS_current!AU$148, FALSE))/2)</f>
        <v>155.45939774390547</v>
      </c>
      <c r="CS123" s="192">
        <f t="array" ref="CS123">IF($BT123=0, INDEX(LS_current!$D$4:$AY$138, MATCH('Staging Table'!$A123, LS_current!$B$4:$B$138, 0), MATCH(CS$4&amp;CS$5, LS_current!$D$2:$AY$2&amp;LS_current!$D$3:$AY$3, 0)),SUM(VLOOKUP($A123, LS_current!$B$4:$AY$138, LS_current!X$148, FALSE), VLOOKUP($A123, LS_current!$B$4:$AY$138,LS_current!AV$148, FALSE))/2)</f>
        <v>-61.238554944120324</v>
      </c>
      <c r="CT123" s="192">
        <f t="array" ref="CT123">IF($BT123=0, INDEX(LS_current!$D$4:$AY$138, MATCH('Staging Table'!$A123, LS_current!$B$4:$B$138, 0), MATCH(CT$4&amp;CT$5, LS_current!$D$2:$AY$2&amp;LS_current!$D$3:$AY$3, 0)),SUM(VLOOKUP($A123, LS_current!$B$4:$AY$138, LS_current!Y$148, FALSE), VLOOKUP($A123, LS_current!$B$4:$AY$138,LS_current!AW$148, FALSE))/2)</f>
        <v>118.09132579211723</v>
      </c>
      <c r="CU123" s="192">
        <f t="array" ref="CU123">IF($BT123=0, INDEX(LS_current!$D$4:$AY$138, MATCH('Staging Table'!$A123, LS_current!$B$4:$B$138, 0), MATCH(CU$4&amp;CU$5, LS_current!$D$2:$AY$2&amp;LS_current!$D$3:$AY$3, 0)),SUM(VLOOKUP($A123, LS_current!$B$4:$AY$138, LS_current!Z$148, FALSE), VLOOKUP($A123, LS_current!$B$4:$AY$138,LS_current!AX$148, FALSE))/2)</f>
        <v>-377.38486415472221</v>
      </c>
      <c r="CV123" s="192">
        <f t="array" ref="CV123">IF($BT123=0, INDEX(LS_current!$D$4:$AY$138, MATCH('Staging Table'!$A123, LS_current!$B$4:$B$138, 0), MATCH(CV$4&amp;CV$5, LS_current!$D$2:$AY$2&amp;LS_current!$D$3:$AY$3, 0)),SUM(VLOOKUP($A123, LS_current!$B$4:$AY$138, LS_current!AA$148, FALSE), VLOOKUP($A123, LS_current!$B$4:$AY$138,LS_current!AY$148, FALSE))/2)</f>
        <v>-131.30778548961479</v>
      </c>
      <c r="CW123" s="194">
        <f t="array" ref="CW123">INDEX(Demand_current!$D$4:$AY$138, MATCH($A123, Demand_current!$B$4:$B$138, 0), MATCH(CW$4&amp;CW$5,Demand_current!$D$2:$AY$2&amp;Demand_current!$D$3:$AY$3, 0))/1000</f>
        <v>0.14506730769230777</v>
      </c>
      <c r="CX123" s="194">
        <f t="array" ref="CX123">INDEX(Demand_current!$D$4:$AY$138, MATCH($A123, Demand_current!$B$4:$B$138, 0), MATCH(CX$4&amp;CX$5,Demand_current!$D$2:$AY$2&amp;Demand_current!$D$3:$AY$3, 0))/1000</f>
        <v>0.21436499999999992</v>
      </c>
      <c r="CY123" s="194">
        <f t="array" ref="CY123">INDEX(Demand_current!$D$4:$AY$138, MATCH($A123, Demand_current!$B$4:$B$138, 0), MATCH(CY$4&amp;CY$5,Demand_current!$D$2:$AY$2&amp;Demand_current!$D$3:$AY$3, 0))/1000</f>
        <v>0.14491586538461562</v>
      </c>
      <c r="CZ123" s="194">
        <f t="array" ref="CZ123">INDEX(Demand_current!$D$4:$AY$138, MATCH($A123, Demand_current!$B$4:$B$138, 0), MATCH(CZ$4&amp;CZ$5,Demand_current!$D$2:$AY$2&amp;Demand_current!$D$3:$AY$3, 0))/1000</f>
        <v>0.15360750000000012</v>
      </c>
      <c r="DA123" s="194">
        <f t="array" ref="DA123">INDEX(Demand_current!$D$4:$AY$138, MATCH($A123, Demand_current!$B$4:$B$138, 0), MATCH(DA$4&amp;DA$5,Demand_current!$D$2:$AY$2&amp;Demand_current!$D$3:$AY$3, 0))/1000</f>
        <v>0.32499739583333337</v>
      </c>
      <c r="DB123" s="194">
        <f t="array" ref="DB123">INDEX(Demand_current!$D$4:$AY$138, MATCH($A123, Demand_current!$B$4:$B$138, 0), MATCH(DB$4&amp;DB$5,Demand_current!$D$2:$AY$2&amp;Demand_current!$D$3:$AY$3, 0))/1000</f>
        <v>0.19821064814814812</v>
      </c>
      <c r="DC123" s="194">
        <f t="array" ref="DC123">INDEX(Demand_current!$D$4:$AY$138, MATCH($A123, Demand_current!$B$4:$B$138, 0), MATCH(DC$4&amp;DC$5,Demand_current!$D$2:$AY$2&amp;Demand_current!$D$3:$AY$3, 0))/1000</f>
        <v>0.14594230769230776</v>
      </c>
      <c r="DD123" s="194">
        <f t="array" ref="DD123">INDEX(Demand_current!$D$4:$AY$138, MATCH($A123, Demand_current!$B$4:$B$138, 0), MATCH(DD$4&amp;DD$5,Demand_current!$D$2:$AY$2&amp;Demand_current!$D$3:$AY$3, 0))/1000</f>
        <v>0.25491750000000024</v>
      </c>
      <c r="DE123" s="194">
        <f t="array" ref="DE123">INDEX(Demand_current!$D$4:$AY$138, MATCH($A123, Demand_current!$B$4:$B$138, 0), MATCH(DE$4&amp;DE$5,Demand_current!$D$2:$AY$2&amp;Demand_current!$D$3:$AY$3, 0))/1000</f>
        <v>0.22630528846153825</v>
      </c>
      <c r="DF123" s="194">
        <f t="array" ref="DF123">INDEX(Demand_current!$D$4:$AY$138, MATCH($A123, Demand_current!$B$4:$B$138, 0), MATCH(DF$4&amp;DF$5,Demand_current!$D$2:$AY$2&amp;Demand_current!$D$3:$AY$3, 0))/1000</f>
        <v>0.18840000000000018</v>
      </c>
      <c r="DG123" s="194">
        <f t="array" ref="DG123">INDEX(Demand_current!$D$4:$AY$138, MATCH($A123, Demand_current!$B$4:$B$138, 0), MATCH(DG$4&amp;DG$5,Demand_current!$D$2:$AY$2&amp;Demand_current!$D$3:$AY$3, 0))/1000</f>
        <v>0.19774768518518521</v>
      </c>
      <c r="DH123" s="194">
        <f t="array" ref="DH123">INDEX(Demand_current!$D$4:$AY$138, MATCH($A123, Demand_current!$B$4:$B$138, 0), MATCH(DH$4&amp;DH$5,Demand_current!$D$2:$AY$2&amp;Demand_current!$D$3:$AY$3, 0))/1000</f>
        <v>0.46338250000000025</v>
      </c>
      <c r="DI123" s="192">
        <f>$BS123*(VLOOKUP(DI$4, Rates_current!$G$6:$Q$29, 10, FALSE)+VLOOKUP(DI$4, Rates_current!$G$6:$Q$29, 11, FALSE))</f>
        <v>985.01385221103692</v>
      </c>
      <c r="DJ123" s="192">
        <f>$BS123*(VLOOKUP(DJ$4, Rates_current!$G$6:$Q$29, 10, FALSE)+VLOOKUP(DJ$4, Rates_current!$G$6:$Q$29, 11, FALSE))</f>
        <v>1247.063285511917</v>
      </c>
      <c r="DK123" s="192">
        <f>$BS123*(VLOOKUP(DK$4, Rates_current!$G$6:$Q$29, 10, FALSE)+VLOOKUP(DK$4, Rates_current!$G$6:$Q$29, 11, FALSE))</f>
        <v>1220.6258142027013</v>
      </c>
      <c r="DL123" s="192">
        <f>$BS123*(VLOOKUP(DL$4, Rates_current!$G$6:$Q$29, 10, FALSE)+VLOOKUP(DL$4, Rates_current!$G$6:$Q$29, 11, FALSE))</f>
        <v>1008.1850156116641</v>
      </c>
      <c r="DM123" s="192">
        <f>$BS123*(VLOOKUP(DM$4, Rates_current!$G$6:$Q$29, 10, FALSE)+VLOOKUP(DM$4, Rates_current!$G$6:$Q$29, 11, FALSE))</f>
        <v>873.81604951058137</v>
      </c>
      <c r="DN123" s="192">
        <f>$BS123*(VLOOKUP(DN$4, Rates_current!$G$6:$Q$29, 10, FALSE)+VLOOKUP(DN$4, Rates_current!$G$6:$Q$29, 11, FALSE))</f>
        <v>1043.1599053606426</v>
      </c>
      <c r="DO123" s="192">
        <f>$BS123*(VLOOKUP(DO$4, Rates_current!$G$6:$Q$29, 10, FALSE)+VLOOKUP(DO$4, Rates_current!$G$6:$Q$29, 11, FALSE))</f>
        <v>809.87479178245599</v>
      </c>
      <c r="DP123" s="192">
        <f>$BS123*(VLOOKUP(DP$4, Rates_current!$G$6:$Q$29, 10, FALSE)+VLOOKUP(DP$4, Rates_current!$G$6:$Q$29, 11, FALSE))</f>
        <v>1122.0874838703285</v>
      </c>
      <c r="DQ123" s="192">
        <f>$BS123*(VLOOKUP(DQ$4, Rates_current!$G$6:$Q$29, 10, FALSE)+VLOOKUP(DQ$4, Rates_current!$G$6:$Q$29, 11, FALSE))</f>
        <v>1198.9739720750201</v>
      </c>
      <c r="DR123" s="192">
        <f>$BS123*(VLOOKUP(DR$4, Rates_current!$G$6:$Q$29, 10, FALSE)+VLOOKUP(DR$4, Rates_current!$G$6:$Q$29, 11, FALSE))</f>
        <v>1138.3714950269393</v>
      </c>
      <c r="DS123" s="192">
        <f>$BS123*(VLOOKUP(DS$4, Rates_current!$G$6:$Q$29, 10, FALSE)+VLOOKUP(DS$4, Rates_current!$G$6:$Q$29, 11, FALSE))</f>
        <v>1100.1482291520031</v>
      </c>
      <c r="DT123" s="192">
        <f>$BS123*(VLOOKUP(DT$4, Rates_current!$G$6:$Q$29, 10, FALSE)+VLOOKUP(DT$4, Rates_current!$G$6:$Q$29, 11, FALSE))</f>
        <v>1016.651649644337</v>
      </c>
      <c r="DU123" s="418">
        <f>IF(D123=0,IF(C123=0,MAX(0,DW123 - (VLOOKUP($A123,TOCA_current!$A$2:$AI$137,MATCH("RHWM 2022",TOCA_current!$A$2:$AI$2,0),FALSE)*$BS$2)), 0),0)</f>
        <v>1607.438652932371</v>
      </c>
      <c r="DV123" s="419">
        <f>MIN(VLOOKUP($A123,TOCA_current!$A$2:$AI$137,MATCH("TRL - NLSL - Existing Resource "&amp;$BS$1,TOCA_current!$A$2:$AI$2,0),FALSE)*$BS$2, VLOOKUP($A123,TOCA_current!$A$2:$AI$137,MATCH("RHWM 2022",TOCA_current!$A$2:$AI$2,0),FALSE)*$BS$2)</f>
        <v>12763.320000000002</v>
      </c>
      <c r="DW123" s="419">
        <f>SUM(BY123:CV123)+(BS123*RT1SC!$C$4*$BS$2)</f>
        <v>14370.758652932373</v>
      </c>
      <c r="DX123" s="419">
        <f>VLOOKUP($A123,TOCA_current!$A$2:$AI$137,MATCH("Above RHWM Not Served with LS "&amp;$BS$1,TOCA_current!$A$2:$AI$2,0),FALSE)*$BS$2</f>
        <v>0</v>
      </c>
      <c r="DY123" s="419">
        <f t="shared" si="32"/>
        <v>1607.438652932371</v>
      </c>
      <c r="DZ123" s="419">
        <f>(VLOOKUP($A123,TOCA_current!$A$2:$AI$137,MATCH("RHWM 2022",TOCA_current!$A$2:$AI$2,0),FALSE)*$BS$2) - $DV123</f>
        <v>0</v>
      </c>
      <c r="EA123" s="419">
        <f t="shared" si="33"/>
        <v>0</v>
      </c>
      <c r="EB123" s="419">
        <f t="shared" si="34"/>
        <v>0</v>
      </c>
      <c r="EC123" s="419">
        <f t="shared" si="35"/>
        <v>0</v>
      </c>
      <c r="ED123" s="419">
        <f t="shared" si="36"/>
        <v>0</v>
      </c>
    </row>
    <row r="124" spans="1:134">
      <c r="A124" s="135">
        <v>10409</v>
      </c>
      <c r="B124" s="136" t="s">
        <v>125</v>
      </c>
      <c r="C124" s="244">
        <f>VLOOKUP(A124, TOCA_current!$A$3:$D$137, 4, FALSE)</f>
        <v>0</v>
      </c>
      <c r="D124" s="203">
        <v>0</v>
      </c>
      <c r="E124" s="119">
        <f>VLOOKUP($A124,TOCA_previous!$A$2:$AI$137,MATCH(E$4,TOCA_previous!$A$2:$AI$2,0),FALSE)</f>
        <v>2.7778E-3</v>
      </c>
      <c r="F124" s="120">
        <f>VLOOKUP($A124,TOCA_previous!$A$2:$AI$137,MATCH(F$4,TOCA_previous!$A$2:$AI$2,0),FALSE)</f>
        <v>2.7778E-3</v>
      </c>
      <c r="G124" s="120">
        <f t="shared" si="24"/>
        <v>0</v>
      </c>
      <c r="H124" s="120">
        <f>VLOOKUP($A124,TOCA_previous!$A$2:$AI$137,MATCH(H$4,TOCA_previous!$A$2:$AI$2,0),FALSE)</f>
        <v>0</v>
      </c>
      <c r="I124" s="120">
        <f t="shared" si="25"/>
        <v>0</v>
      </c>
      <c r="J124" s="120">
        <f t="shared" si="26"/>
        <v>0</v>
      </c>
      <c r="K124" s="191">
        <f>VLOOKUP(A124, IRD!$A$5:$C$139, 3, FALSE)</f>
        <v>0</v>
      </c>
      <c r="L124" s="192">
        <f t="array" ref="L124">IF($G124=0, INDEX(LS_previous!$D$4:$AY$138, MATCH('Staging Table'!$A124, LS_previous!$B$4:$B$138, 0), MATCH(L$4&amp;L$5, LS_previous!$D$2:$AY$2&amp;LS_previous!$D$3:$AY$3, 0)),SUM(VLOOKUP($A124, LS_previous!$B$4:$AY$138, LS_previous!D$149, FALSE), VLOOKUP('Staging Table'!$A124, LS_previous!$B$4:$AY$138,LS_previous!AB$149, FALSE))/2)</f>
        <v>-141.47583478639899</v>
      </c>
      <c r="M124" s="192">
        <f t="array" ref="M124">IF($G124=0, INDEX(LS_previous!$D$4:$AY$138, MATCH('Staging Table'!$A124, LS_previous!$B$4:$B$138, 0), MATCH(M$4&amp;M$5, LS_previous!$D$2:$AY$2&amp;LS_previous!$D$3:$AY$3, 0)),SUM(VLOOKUP($A124, LS_previous!$B$4:$AY$138, LS_previous!E$149, FALSE), VLOOKUP('Staging Table'!$A124, LS_previous!$B$4:$AY$138,LS_previous!AC$149, FALSE))/2)</f>
        <v>1533.0331277376008</v>
      </c>
      <c r="N124" s="192">
        <f t="array" ref="N124">IF($G124=0, INDEX(LS_previous!$D$4:$AY$138, MATCH('Staging Table'!$A124, LS_previous!$B$4:$B$138, 0), MATCH(N$4&amp;N$5, LS_previous!$D$2:$AY$2&amp;LS_previous!$D$3:$AY$3, 0)),SUM(VLOOKUP($A124, LS_previous!$B$4:$AY$138, LS_previous!F$149, FALSE), VLOOKUP('Staging Table'!$A124, LS_previous!$B$4:$AY$138,LS_previous!AD$149, FALSE))/2)</f>
        <v>-2062.4125192783995</v>
      </c>
      <c r="O124" s="192">
        <f t="array" ref="O124">IF($G124=0, INDEX(LS_previous!$D$4:$AY$138, MATCH('Staging Table'!$A124, LS_previous!$B$4:$B$138, 0), MATCH(O$4&amp;O$5, LS_previous!$D$2:$AY$2&amp;LS_previous!$D$3:$AY$3, 0)),SUM(VLOOKUP($A124, LS_previous!$B$4:$AY$138, LS_previous!G$149, FALSE), VLOOKUP('Staging Table'!$A124, LS_previous!$B$4:$AY$138,LS_previous!AE$149, FALSE))/2)</f>
        <v>15.971067984199181</v>
      </c>
      <c r="P124" s="192">
        <f t="array" ref="P124">IF($G124=0, INDEX(LS_previous!$D$4:$AY$138, MATCH('Staging Table'!$A124, LS_previous!$B$4:$B$138, 0), MATCH(P$4&amp;P$5, LS_previous!$D$2:$AY$2&amp;LS_previous!$D$3:$AY$3, 0)),SUM(VLOOKUP($A124, LS_previous!$B$4:$AY$138, LS_previous!H$149, FALSE), VLOOKUP('Staging Table'!$A124, LS_previous!$B$4:$AY$138,LS_previous!AF$149, FALSE))/2)</f>
        <v>-558.004943481601</v>
      </c>
      <c r="Q124" s="192">
        <f t="array" ref="Q124">IF($G124=0, INDEX(LS_previous!$D$4:$AY$138, MATCH('Staging Table'!$A124, LS_previous!$B$4:$B$138, 0), MATCH(Q$4&amp;Q$5, LS_previous!$D$2:$AY$2&amp;LS_previous!$D$3:$AY$3, 0)),SUM(VLOOKUP($A124, LS_previous!$B$4:$AY$138, LS_previous!I$149, FALSE), VLOOKUP('Staging Table'!$A124, LS_previous!$B$4:$AY$138,LS_previous!AG$149, FALSE))/2)</f>
        <v>795.42151903279955</v>
      </c>
      <c r="R124" s="192">
        <f t="array" ref="R124">IF($G124=0, INDEX(LS_previous!$D$4:$AY$138, MATCH('Staging Table'!$A124, LS_previous!$B$4:$B$138, 0), MATCH(R$4&amp;R$5, LS_previous!$D$2:$AY$2&amp;LS_previous!$D$3:$AY$3, 0)),SUM(VLOOKUP($A124, LS_previous!$B$4:$AY$138, LS_previous!J$149, FALSE), VLOOKUP('Staging Table'!$A124, LS_previous!$B$4:$AY$138,LS_previous!AH$149, FALSE))/2)</f>
        <v>1063.2360093183997</v>
      </c>
      <c r="S124" s="192">
        <f t="array" ref="S124">IF($G124=0, INDEX(LS_previous!$D$4:$AY$138, MATCH('Staging Table'!$A124, LS_previous!$B$4:$B$138, 0), MATCH(S$4&amp;S$5, LS_previous!$D$2:$AY$2&amp;LS_previous!$D$3:$AY$3, 0)),SUM(VLOOKUP($A124, LS_previous!$B$4:$AY$138, LS_previous!K$149, FALSE), VLOOKUP('Staging Table'!$A124, LS_previous!$B$4:$AY$138,LS_previous!AI$149, FALSE))/2)</f>
        <v>2545.2122206327995</v>
      </c>
      <c r="T124" s="192">
        <f t="array" ref="T124">IF($G124=0, INDEX(LS_previous!$D$4:$AY$138, MATCH('Staging Table'!$A124, LS_previous!$B$4:$B$138, 0), MATCH(T$4&amp;T$5, LS_previous!$D$2:$AY$2&amp;LS_previous!$D$3:$AY$3, 0)),SUM(VLOOKUP($A124, LS_previous!$B$4:$AY$138, LS_previous!L$149, FALSE), VLOOKUP('Staging Table'!$A124, LS_previous!$B$4:$AY$138,LS_previous!AJ$149, FALSE))/2)</f>
        <v>383.1433089528</v>
      </c>
      <c r="U124" s="192">
        <f t="array" ref="U124">IF($G124=0, INDEX(LS_previous!$D$4:$AY$138, MATCH('Staging Table'!$A124, LS_previous!$B$4:$B$138, 0), MATCH(U$4&amp;U$5, LS_previous!$D$2:$AY$2&amp;LS_previous!$D$3:$AY$3, 0)),SUM(VLOOKUP($A124, LS_previous!$B$4:$AY$138, LS_previous!M$149, FALSE), VLOOKUP('Staging Table'!$A124, LS_previous!$B$4:$AY$138,LS_previous!AK$149, FALSE))/2)</f>
        <v>1144.8683440072</v>
      </c>
      <c r="V124" s="192">
        <f t="array" ref="V124">IF($G124=0, INDEX(LS_previous!$D$4:$AY$138, MATCH('Staging Table'!$A124, LS_previous!$B$4:$B$138, 0), MATCH(V$4&amp;V$5, LS_previous!$D$2:$AY$2&amp;LS_previous!$D$3:$AY$3, 0)),SUM(VLOOKUP($A124, LS_previous!$B$4:$AY$138, LS_previous!N$149, FALSE), VLOOKUP('Staging Table'!$A124, LS_previous!$B$4:$AY$138,LS_previous!AL$149, FALSE))/2)</f>
        <v>95.710297915200499</v>
      </c>
      <c r="W124" s="192">
        <f t="array" ref="W124">IF($G124=0, INDEX(LS_previous!$D$4:$AY$138, MATCH('Staging Table'!$A124, LS_previous!$B$4:$B$138, 0), MATCH(W$4&amp;W$5, LS_previous!$D$2:$AY$2&amp;LS_previous!$D$3:$AY$3, 0)),SUM(VLOOKUP($A124, LS_previous!$B$4:$AY$138, LS_previous!O$149, FALSE), VLOOKUP('Staging Table'!$A124, LS_previous!$B$4:$AY$138,LS_previous!AM$149, FALSE))/2)</f>
        <v>950.10916428620021</v>
      </c>
      <c r="X124" s="192">
        <f t="array" ref="X124">IF($G124=0, INDEX(LS_previous!$D$4:$AY$138, MATCH('Staging Table'!$A124, LS_previous!$B$4:$B$138, 0), MATCH(X$4&amp;X$5, LS_previous!$D$2:$AY$2&amp;LS_previous!$D$3:$AY$3, 0)),SUM(VLOOKUP($A124, LS_previous!$B$4:$AY$138, LS_previous!P$149, FALSE), VLOOKUP('Staging Table'!$A124, LS_previous!$B$4:$AY$138,LS_previous!AN$149, FALSE))/2)</f>
        <v>1301.5842981167998</v>
      </c>
      <c r="Y124" s="192">
        <f t="array" ref="Y124">IF($G124=0, INDEX(LS_previous!$D$4:$AY$138, MATCH('Staging Table'!$A124, LS_previous!$B$4:$B$138, 0), MATCH(Y$4&amp;Y$5, LS_previous!$D$2:$AY$2&amp;LS_previous!$D$3:$AY$3, 0)),SUM(VLOOKUP($A124, LS_previous!$B$4:$AY$138, LS_previous!Q$149, FALSE), VLOOKUP('Staging Table'!$A124, LS_previous!$B$4:$AY$138,LS_previous!AO$149, FALSE))/2)</f>
        <v>1606.5276401392002</v>
      </c>
      <c r="Z124" s="192">
        <f t="array" ref="Z124">IF($G124=0, INDEX(LS_previous!$D$4:$AY$138, MATCH('Staging Table'!$A124, LS_previous!$B$4:$B$138, 0), MATCH(Z$4&amp;Z$5, LS_previous!$D$2:$AY$2&amp;LS_previous!$D$3:$AY$3, 0)),SUM(VLOOKUP($A124, LS_previous!$B$4:$AY$138, LS_previous!R$149, FALSE), VLOOKUP('Staging Table'!$A124, LS_previous!$B$4:$AY$138,LS_previous!AP$149, FALSE))/2)</f>
        <v>-2403.2053463800003</v>
      </c>
      <c r="AA124" s="192">
        <f t="array" ref="AA124">IF($G124=0, INDEX(LS_previous!$D$4:$AY$138, MATCH('Staging Table'!$A124, LS_previous!$B$4:$B$138, 0), MATCH(AA$4&amp;AA$5, LS_previous!$D$2:$AY$2&amp;LS_previous!$D$3:$AY$3, 0)),SUM(VLOOKUP($A124, LS_previous!$B$4:$AY$138, LS_previous!S$149, FALSE), VLOOKUP('Staging Table'!$A124, LS_previous!$B$4:$AY$138,LS_previous!AQ$149, FALSE))/2)</f>
        <v>609.63742643120077</v>
      </c>
      <c r="AB124" s="192">
        <f t="array" ref="AB124">IF($G124=0, INDEX(LS_previous!$D$4:$AY$138, MATCH('Staging Table'!$A124, LS_previous!$B$4:$B$138, 0), MATCH(AB$4&amp;AB$5, LS_previous!$D$2:$AY$2&amp;LS_previous!$D$3:$AY$3, 0)),SUM(VLOOKUP($A124, LS_previous!$B$4:$AY$138, LS_previous!T$149, FALSE), VLOOKUP('Staging Table'!$A124, LS_previous!$B$4:$AY$138,LS_previous!AR$149, FALSE))/2)</f>
        <v>-2136.9035801831997</v>
      </c>
      <c r="AC124" s="192">
        <f t="array" ref="AC124">IF($G124=0, INDEX(LS_previous!$D$4:$AY$138, MATCH('Staging Table'!$A124, LS_previous!$B$4:$B$138, 0), MATCH(AC$4&amp;AC$5, LS_previous!$D$2:$AY$2&amp;LS_previous!$D$3:$AY$3, 0)),SUM(VLOOKUP($A124, LS_previous!$B$4:$AY$138, LS_previous!U$149, FALSE), VLOOKUP('Staging Table'!$A124, LS_previous!$B$4:$AY$138,LS_previous!AS$149, FALSE))/2)</f>
        <v>296.7419893392007</v>
      </c>
      <c r="AD124" s="192">
        <f t="array" ref="AD124">IF($G124=0, INDEX(LS_previous!$D$4:$AY$138, MATCH('Staging Table'!$A124, LS_previous!$B$4:$B$138, 0), MATCH(AD$4&amp;AD$5, LS_previous!$D$2:$AY$2&amp;LS_previous!$D$3:$AY$3, 0)),SUM(VLOOKUP($A124, LS_previous!$B$4:$AY$138, LS_previous!V$149, FALSE), VLOOKUP('Staging Table'!$A124, LS_previous!$B$4:$AY$138,LS_previous!AT$149, FALSE))/2)</f>
        <v>-76.241129183199519</v>
      </c>
      <c r="AE124" s="192">
        <f t="array" ref="AE124">IF($G124=0, INDEX(LS_previous!$D$4:$AY$138, MATCH('Staging Table'!$A124, LS_previous!$B$4:$B$138, 0), MATCH(AE$4&amp;AE$5, LS_previous!$D$2:$AY$2&amp;LS_previous!$D$3:$AY$3, 0)),SUM(VLOOKUP($A124, LS_previous!$B$4:$AY$138, LS_previous!W$149, FALSE), VLOOKUP('Staging Table'!$A124, LS_previous!$B$4:$AY$138,LS_previous!AU$149, FALSE))/2)</f>
        <v>3255.5164429344004</v>
      </c>
      <c r="AF124" s="192">
        <f t="array" ref="AF124">IF($G124=0, INDEX(LS_previous!$D$4:$AY$138, MATCH('Staging Table'!$A124, LS_previous!$B$4:$B$138, 0), MATCH(AF$4&amp;AF$5, LS_previous!$D$2:$AY$2&amp;LS_previous!$D$3:$AY$3, 0)),SUM(VLOOKUP($A124, LS_previous!$B$4:$AY$138, LS_previous!X$149, FALSE), VLOOKUP('Staging Table'!$A124, LS_previous!$B$4:$AY$138,LS_previous!AV$149, FALSE))/2)</f>
        <v>490.77364971680072</v>
      </c>
      <c r="AG124" s="192">
        <f t="array" ref="AG124">IF($G124=0, INDEX(LS_previous!$D$4:$AY$138, MATCH('Staging Table'!$A124, LS_previous!$B$4:$B$138, 0), MATCH(AG$4&amp;AG$5, LS_previous!$D$2:$AY$2&amp;LS_previous!$D$3:$AY$3, 0)),SUM(VLOOKUP($A124, LS_previous!$B$4:$AY$138, LS_previous!Y$149, FALSE), VLOOKUP('Staging Table'!$A124, LS_previous!$B$4:$AY$138,LS_previous!AW$149, FALSE))/2)</f>
        <v>2445.2064989343999</v>
      </c>
      <c r="AH124" s="192">
        <f t="array" ref="AH124">IF($G124=0, INDEX(LS_previous!$D$4:$AY$138, MATCH('Staging Table'!$A124, LS_previous!$B$4:$B$138, 0), MATCH(AH$4&amp;AH$5, LS_previous!$D$2:$AY$2&amp;LS_previous!$D$3:$AY$3, 0)),SUM(VLOOKUP($A124, LS_previous!$B$4:$AY$138, LS_previous!Z$149, FALSE), VLOOKUP('Staging Table'!$A124, LS_previous!$B$4:$AY$138,LS_previous!AX$149, FALSE))/2)</f>
        <v>1382.0554803199993</v>
      </c>
      <c r="AI124" s="192">
        <f t="array" ref="AI124">IF($G124=0, INDEX(LS_previous!$D$4:$AY$138, MATCH('Staging Table'!$A124, LS_previous!$B$4:$B$138, 0), MATCH(AI$4&amp;AI$5, LS_previous!$D$2:$AY$2&amp;LS_previous!$D$3:$AY$3, 0)),SUM(VLOOKUP($A124, LS_previous!$B$4:$AY$138, LS_previous!AA$149, FALSE), VLOOKUP('Staging Table'!$A124, LS_previous!$B$4:$AY$138,LS_previous!AY$149, FALSE))/2)</f>
        <v>2362.4013161360008</v>
      </c>
      <c r="AJ124" s="314">
        <f t="array" ref="AJ124">INDEX(Demand_previous!$D$4:$AY$138, MATCH('Staging Table'!$A124, Demand_previous!$B$4:$B$138, 0), MATCH(AJ$4&amp;AJ$5,Demand_previous!$D$2:$AY$2&amp;Demand_previous!$D$3:$AY$3, 0))/1000</f>
        <v>1.9019212962962961</v>
      </c>
      <c r="AK124" s="314">
        <f t="array" ref="AK124">INDEX(Demand_previous!$D$4:$AY$138, MATCH('Staging Table'!$A124, Demand_previous!$B$4:$B$138, 0), MATCH(AK$4&amp;AK$5,Demand_previous!$D$2:$AY$2&amp;Demand_previous!$D$3:$AY$3, 0))/1000</f>
        <v>0.24255250000000128</v>
      </c>
      <c r="AL124" s="314">
        <f t="array" ref="AL124">INDEX(Demand_previous!$D$4:$AY$138, MATCH('Staging Table'!$A124, Demand_previous!$B$4:$B$138, 0), MATCH(AL$4&amp;AL$5,Demand_previous!$D$2:$AY$2&amp;Demand_previous!$D$3:$AY$3, 0))/1000</f>
        <v>1.6315299999999975</v>
      </c>
      <c r="AM124" s="314">
        <f t="array" ref="AM124">INDEX(Demand_previous!$D$4:$AY$138, MATCH('Staging Table'!$A124, Demand_previous!$B$4:$B$138, 0), MATCH(AM$4&amp;AM$5,Demand_previous!$D$2:$AY$2&amp;Demand_previous!$D$3:$AY$3, 0))/1000</f>
        <v>3.3413461538461569</v>
      </c>
      <c r="AN124" s="314">
        <f t="array" ref="AN124">INDEX(Demand_previous!$D$4:$AY$138, MATCH('Staging Table'!$A124, Demand_previous!$B$4:$B$138, 0), MATCH(AN$4&amp;AN$5,Demand_previous!$D$2:$AY$2&amp;Demand_previous!$D$3:$AY$3, 0))/1000</f>
        <v>3.5331750000000004</v>
      </c>
      <c r="AO124" s="314">
        <f t="array" ref="AO124">INDEX(Demand_previous!$D$4:$AY$138, MATCH('Staging Table'!$A124, Demand_previous!$B$4:$B$138, 0), MATCH(AO$4&amp;AO$5,Demand_previous!$D$2:$AY$2&amp;Demand_previous!$D$3:$AY$3, 0))/1000</f>
        <v>1.1600745192307707</v>
      </c>
      <c r="AP124" s="314">
        <f t="array" ref="AP124">INDEX(Demand_previous!$D$4:$AY$138, MATCH('Staging Table'!$A124, Demand_previous!$B$4:$B$138, 0), MATCH(AP$4&amp;AP$5,Demand_previous!$D$2:$AY$2&amp;Demand_previous!$D$3:$AY$3, 0))/1000</f>
        <v>1.1745192307692345</v>
      </c>
      <c r="AQ124" s="314">
        <f t="array" ref="AQ124">INDEX(Demand_previous!$D$4:$AY$138, MATCH('Staging Table'!$A124, Demand_previous!$B$4:$B$138, 0), MATCH(AQ$4&amp;AQ$5,Demand_previous!$D$2:$AY$2&amp;Demand_previous!$D$3:$AY$3, 0))/1000</f>
        <v>0.70488250000000008</v>
      </c>
      <c r="AR124" s="314">
        <f t="array" ref="AR124">INDEX(Demand_previous!$D$4:$AY$138, MATCH('Staging Table'!$A124, Demand_previous!$B$4:$B$138, 0), MATCH(AR$4&amp;AR$5,Demand_previous!$D$2:$AY$2&amp;Demand_previous!$D$3:$AY$3, 0))/1000</f>
        <v>4.3142139423076937</v>
      </c>
      <c r="AS124" s="314">
        <f t="array" ref="AS124">INDEX(Demand_previous!$D$4:$AY$138, MATCH('Staging Table'!$A124, Demand_previous!$B$4:$B$138, 0), MATCH(AS$4&amp;AS$5,Demand_previous!$D$2:$AY$2&amp;Demand_previous!$D$3:$AY$3, 0))/1000</f>
        <v>3.0063341346153827</v>
      </c>
      <c r="AT124" s="314">
        <f t="array" ref="AT124">INDEX(Demand_previous!$D$4:$AY$138, MATCH('Staging Table'!$A124, Demand_previous!$B$4:$B$138, 0), MATCH(AT$4&amp;AT$5,Demand_previous!$D$2:$AY$2&amp;Demand_previous!$D$3:$AY$3, 0))/1000</f>
        <v>2.6088629807692305</v>
      </c>
      <c r="AU124" s="314">
        <f t="array" ref="AU124">INDEX(Demand_previous!$D$4:$AY$138, MATCH('Staging Table'!$A124, Demand_previous!$B$4:$B$138, 0), MATCH(AU$4&amp;AU$5,Demand_previous!$D$2:$AY$2&amp;Demand_previous!$D$3:$AY$3, 0))/1000</f>
        <v>2.6972949999999982</v>
      </c>
      <c r="AV124" s="192">
        <f>$F124*(VLOOKUP(AV$4, Rates_previous!$G$6:$Q$29, 10, FALSE)+VLOOKUP(AV$4, Rates_previous!$G$6:$Q$29, 11, FALSE))</f>
        <v>12825.983707048799</v>
      </c>
      <c r="AW124" s="192">
        <f>$F124*(VLOOKUP(AW$4, Rates_previous!$G$6:$Q$29, 10, FALSE)+VLOOKUP(AW$4, Rates_previous!$G$6:$Q$29, 11, FALSE))</f>
        <v>16293.0004512942</v>
      </c>
      <c r="AX124" s="192">
        <f>$F124*(VLOOKUP(AX$4, Rates_previous!$G$6:$Q$29, 10, FALSE)+VLOOKUP(AX$4, Rates_previous!$G$6:$Q$29, 11, FALSE))</f>
        <v>16096.240424448801</v>
      </c>
      <c r="AY124" s="192">
        <f>$F124*(VLOOKUP(AY$4, Rates_previous!$G$6:$Q$29, 10, FALSE)+VLOOKUP(AY$4, Rates_previous!$G$6:$Q$29, 11, FALSE))</f>
        <v>13417.1967700488</v>
      </c>
      <c r="AZ124" s="192">
        <f>$F124*(VLOOKUP(AZ$4, Rates_previous!$G$6:$Q$29, 10, FALSE)+VLOOKUP(AZ$4, Rates_previous!$G$6:$Q$29, 11, FALSE))</f>
        <v>12154.588347039999</v>
      </c>
      <c r="BA124" s="192">
        <f>$F124*(VLOOKUP(BA$4, Rates_previous!$G$6:$Q$29, 10, FALSE)+VLOOKUP(BA$4, Rates_previous!$G$6:$Q$29, 11, FALSE))</f>
        <v>13519.763537798599</v>
      </c>
      <c r="BB124" s="192">
        <f>$F124*(VLOOKUP(BB$4, Rates_previous!$G$6:$Q$29, 10, FALSE)+VLOOKUP(BB$4, Rates_previous!$G$6:$Q$29, 11, FALSE))</f>
        <v>11007.806061744001</v>
      </c>
      <c r="BC124" s="192">
        <f>$F124*(VLOOKUP(BC$4, Rates_previous!$G$6:$Q$29, 10, FALSE)+VLOOKUP(BC$4, Rates_previous!$G$6:$Q$29, 11, FALSE))</f>
        <v>14845.667919948801</v>
      </c>
      <c r="BD124" s="192">
        <f>$F124*(VLOOKUP(BD$4, Rates_previous!$G$6:$Q$29, 10, FALSE)+VLOOKUP(BD$4, Rates_previous!$G$6:$Q$29, 11, FALSE))</f>
        <v>18942.062590844002</v>
      </c>
      <c r="BE124" s="192">
        <f>$F124*(VLOOKUP(BE$4, Rates_previous!$G$6:$Q$29, 10, FALSE)+VLOOKUP(BE$4, Rates_previous!$G$6:$Q$29, 11, FALSE))</f>
        <v>14851.1776862488</v>
      </c>
      <c r="BF124" s="192">
        <f>$F124*(VLOOKUP(BF$4, Rates_previous!$G$6:$Q$29, 10, FALSE)+VLOOKUP(BF$4, Rates_previous!$G$6:$Q$29, 11, FALSE))</f>
        <v>14462.089851348801</v>
      </c>
      <c r="BG124" s="192">
        <f>$F124*(VLOOKUP(BG$4, Rates_previous!$G$6:$Q$29, 10, FALSE)+VLOOKUP(BG$4, Rates_previous!$G$6:$Q$29, 11, FALSE))</f>
        <v>12983.880203544</v>
      </c>
      <c r="BH124" s="314">
        <f>IF($D124=0,IF(C124=0, MAX(BJ124 - (VLOOKUP($A124,TOCA_previous!$A$2:$AI$137,MATCH("RHWM 2020",TOCA_previous!$A$2:$AI$2,0),FALSE)*$F$2*TOCA_previous!C121),0),0), 0)</f>
        <v>7868.9784333847929</v>
      </c>
      <c r="BI124" s="204">
        <f>MIN(VLOOKUP($A124,TOCA_previous!$A$2:$AI$137,MATCH("TRL - NLSL - Existing Resource "&amp;$F$1,TOCA_previous!$A$2:$AI$2,0),FALSE)*$F$2,(VLOOKUP($A124,TOCA_previous!$A$2:$AI$137,MATCH("RHWM 2020",TOCA_previous!$A$2:$AI$2,0),FALSE)*$F$2))</f>
        <v>171402.19200000001</v>
      </c>
      <c r="BJ124" s="418">
        <f>SUM(L124:AI124)+(F124*RT1SC!$C$3*$F$2)</f>
        <v>186298.37043338479</v>
      </c>
      <c r="BK124" s="417">
        <f>VLOOKUP($A124,TOCA_previous!$A$2:$AI$137,MATCH("Above RHWM Not Served with LS "&amp;$F$1,TOCA_previous!$A$2:$AI$2,0),FALSE)*$F$2</f>
        <v>0</v>
      </c>
      <c r="BL124" s="418">
        <f t="shared" si="27"/>
        <v>14896.178433384775</v>
      </c>
      <c r="BM124" s="417">
        <f>(VLOOKUP($A124,TOCA_previous!$A$2:$AI$137,MATCH("RHWM 2020",TOCA_previous!$A$2:$AI$2,0),FALSE)*$F$2) - $BI124</f>
        <v>7027.1999999999825</v>
      </c>
      <c r="BN124" s="418">
        <f t="shared" si="28"/>
        <v>-7027.1999999999825</v>
      </c>
      <c r="BO124" s="417">
        <f t="shared" si="29"/>
        <v>0</v>
      </c>
      <c r="BP124" s="418">
        <f t="shared" si="30"/>
        <v>0</v>
      </c>
      <c r="BQ124" s="417">
        <f t="shared" si="37"/>
        <v>-7027.1999999999825</v>
      </c>
      <c r="BR124" s="120">
        <f>VLOOKUP($A124,TOCA_current!$A$2:$AI$137,MATCH(BR$4,TOCA_current!$A$2:$AI$2,0),FALSE)</f>
        <v>2.8917999999999999E-3</v>
      </c>
      <c r="BS124" s="120">
        <f>VLOOKUP($A124,TOCA_current!$A$2:$AI$137,MATCH(BS$4,TOCA_current!$A$2:$AI$2,0),FALSE)</f>
        <v>2.8917999999999999E-3</v>
      </c>
      <c r="BT124" s="201">
        <f t="shared" si="31"/>
        <v>0</v>
      </c>
      <c r="BU124" s="120">
        <f>VLOOKUP($A124,TOCA_current!A120:BG255,MATCH(BU$4,TOCA_current!$A$2:$BG$2,0),FALSE)</f>
        <v>0</v>
      </c>
      <c r="BV124" s="120">
        <f t="shared" si="38"/>
        <v>0</v>
      </c>
      <c r="BW124" s="120">
        <f t="shared" si="39"/>
        <v>0</v>
      </c>
      <c r="BX124" s="191">
        <f>VLOOKUP($A124,IRD!$A$4:$G$139, 7, FALSE)</f>
        <v>0</v>
      </c>
      <c r="BY124" s="192">
        <f t="array" ref="BY124">IF($BT124=0, INDEX(LS_current!$D$4:$AY$138, MATCH('Staging Table'!$A124, LS_current!$B$4:$B$138, 0), MATCH(BY$4&amp;BY$5, LS_current!$D$2:$AY$2&amp;LS_current!$D$3:$AY$3, 0)),SUM(VLOOKUP($A124, LS_current!$B$4:$AY$138, LS_current!D$148, FALSE), VLOOKUP($A124, LS_current!$B$4:$AY$138,LS_current!AB$148, FALSE))/2)</f>
        <v>-2463.9872869837582</v>
      </c>
      <c r="BZ124" s="192">
        <f t="array" ref="BZ124">IF($BT124=0, INDEX(LS_current!$D$4:$AY$138, MATCH('Staging Table'!$A124, LS_current!$B$4:$B$138, 0), MATCH(BZ$4&amp;BZ$5, LS_current!$D$2:$AY$2&amp;LS_current!$D$3:$AY$3, 0)),SUM(VLOOKUP($A124, LS_current!$B$4:$AY$138, LS_current!E$148, FALSE), VLOOKUP($A124, LS_current!$B$4:$AY$138,LS_current!AC$148, FALSE))/2)</f>
        <v>-484.27835297868478</v>
      </c>
      <c r="CA124" s="192">
        <f t="array" ref="CA124">IF($BT124=0, INDEX(LS_current!$D$4:$AY$138, MATCH('Staging Table'!$A124, LS_current!$B$4:$B$138, 0), MATCH(CA$4&amp;CA$5, LS_current!$D$2:$AY$2&amp;LS_current!$D$3:$AY$3, 0)),SUM(VLOOKUP($A124, LS_current!$B$4:$AY$138, LS_current!F$148, FALSE), VLOOKUP($A124, LS_current!$B$4:$AY$138,LS_current!AD$148, FALSE))/2)</f>
        <v>-4227.2508442123954</v>
      </c>
      <c r="CB124" s="192">
        <f t="array" ref="CB124">IF($BT124=0, INDEX(LS_current!$D$4:$AY$138, MATCH('Staging Table'!$A124, LS_current!$B$4:$B$138, 0), MATCH(CB$4&amp;CB$5, LS_current!$D$2:$AY$2&amp;LS_current!$D$3:$AY$3, 0)),SUM(VLOOKUP($A124, LS_current!$B$4:$AY$138, LS_current!G$148, FALSE), VLOOKUP($A124, LS_current!$B$4:$AY$138,LS_current!AE$148, FALSE))/2)</f>
        <v>-2071.8830112816486</v>
      </c>
      <c r="CC124" s="192">
        <f t="array" ref="CC124">IF($BT124=0, INDEX(LS_current!$D$4:$AY$138, MATCH('Staging Table'!$A124, LS_current!$B$4:$B$138, 0), MATCH(CC$4&amp;CC$5, LS_current!$D$2:$AY$2&amp;LS_current!$D$3:$AY$3, 0)),SUM(VLOOKUP($A124, LS_current!$B$4:$AY$138, LS_current!H$148, FALSE), VLOOKUP($A124, LS_current!$B$4:$AY$138,LS_current!AF$148, FALSE))/2)</f>
        <v>-2119.7591770350864</v>
      </c>
      <c r="CD124" s="192">
        <f t="array" ref="CD124">IF($BT124=0, INDEX(LS_current!$D$4:$AY$138, MATCH('Staging Table'!$A124, LS_current!$B$4:$B$138, 0), MATCH(CD$4&amp;CD$5, LS_current!$D$2:$AY$2&amp;LS_current!$D$3:$AY$3, 0)),SUM(VLOOKUP($A124, LS_current!$B$4:$AY$138, LS_current!I$148, FALSE), VLOOKUP($A124, LS_current!$B$4:$AY$138,LS_current!AG$148, FALSE))/2)</f>
        <v>-1862.3796986531779</v>
      </c>
      <c r="CE124" s="192">
        <f t="array" ref="CE124">IF($BT124=0, INDEX(LS_current!$D$4:$AY$138, MATCH('Staging Table'!$A124, LS_current!$B$4:$B$138, 0), MATCH(CE$4&amp;CE$5, LS_current!$D$2:$AY$2&amp;LS_current!$D$3:$AY$3, 0)),SUM(VLOOKUP($A124, LS_current!$B$4:$AY$138, LS_current!J$148, FALSE), VLOOKUP($A124, LS_current!$B$4:$AY$138,LS_current!AH$148, FALSE))/2)</f>
        <v>-321.16624934058927</v>
      </c>
      <c r="CF124" s="192">
        <f t="array" ref="CF124">IF($BT124=0, INDEX(LS_current!$D$4:$AY$138, MATCH('Staging Table'!$A124, LS_current!$B$4:$B$138, 0), MATCH(CF$4&amp;CF$5, LS_current!$D$2:$AY$2&amp;LS_current!$D$3:$AY$3, 0)),SUM(VLOOKUP($A124, LS_current!$B$4:$AY$138, LS_current!K$148, FALSE), VLOOKUP($A124, LS_current!$B$4:$AY$138,LS_current!AI$148, FALSE))/2)</f>
        <v>-128.77981189755337</v>
      </c>
      <c r="CG124" s="192">
        <f t="array" ref="CG124">IF($BT124=0, INDEX(LS_current!$D$4:$AY$138, MATCH('Staging Table'!$A124, LS_current!$B$4:$B$138, 0), MATCH(CG$4&amp;CG$5, LS_current!$D$2:$AY$2&amp;LS_current!$D$3:$AY$3, 0)),SUM(VLOOKUP($A124, LS_current!$B$4:$AY$138, LS_current!L$148, FALSE), VLOOKUP($A124, LS_current!$B$4:$AY$138,LS_current!AJ$148, FALSE))/2)</f>
        <v>-797.47649382506188</v>
      </c>
      <c r="CH124" s="192">
        <f t="array" ref="CH124">IF($BT124=0, INDEX(LS_current!$D$4:$AY$138, MATCH('Staging Table'!$A124, LS_current!$B$4:$B$138, 0), MATCH(CH$4&amp;CH$5, LS_current!$D$2:$AY$2&amp;LS_current!$D$3:$AY$3, 0)),SUM(VLOOKUP($A124, LS_current!$B$4:$AY$138, LS_current!M$148, FALSE), VLOOKUP($A124, LS_current!$B$4:$AY$138,LS_current!AK$148, FALSE))/2)</f>
        <v>-812.29886990447585</v>
      </c>
      <c r="CI124" s="192">
        <f t="array" ref="CI124">IF($BT124=0, INDEX(LS_current!$D$4:$AY$138, MATCH('Staging Table'!$A124, LS_current!$B$4:$B$138, 0), MATCH(CI$4&amp;CI$5, LS_current!$D$2:$AY$2&amp;LS_current!$D$3:$AY$3, 0)),SUM(VLOOKUP($A124, LS_current!$B$4:$AY$138, LS_current!N$148, FALSE), VLOOKUP($A124, LS_current!$B$4:$AY$138,LS_current!AL$148, FALSE))/2)</f>
        <v>-2193.877746942595</v>
      </c>
      <c r="CJ124" s="192">
        <f t="array" ref="CJ124">IF($BT124=0, INDEX(LS_current!$D$4:$AY$138, MATCH('Staging Table'!$A124, LS_current!$B$4:$B$138, 0), MATCH(CJ$4&amp;CJ$5, LS_current!$D$2:$AY$2&amp;LS_current!$D$3:$AY$3, 0)),SUM(VLOOKUP($A124, LS_current!$B$4:$AY$138, LS_current!O$148, FALSE), VLOOKUP($A124, LS_current!$B$4:$AY$138,LS_current!AM$148, FALSE))/2)</f>
        <v>-1178.3514080361674</v>
      </c>
      <c r="CK124" s="192">
        <f t="array" ref="CK124">IF($BT124=0, INDEX(LS_current!$D$4:$AY$138, MATCH('Staging Table'!$A124, LS_current!$B$4:$B$138, 0), MATCH(CK$4&amp;CK$5, LS_current!$D$2:$AY$2&amp;LS_current!$D$3:$AY$3, 0)),SUM(VLOOKUP($A124, LS_current!$B$4:$AY$138, LS_current!P$148, FALSE), VLOOKUP($A124, LS_current!$B$4:$AY$138,LS_current!AN$148, FALSE))/2)</f>
        <v>-678.77756249675622</v>
      </c>
      <c r="CL124" s="192">
        <f t="array" ref="CL124">IF($BT124=0, INDEX(LS_current!$D$4:$AY$138, MATCH('Staging Table'!$A124, LS_current!$B$4:$B$138, 0), MATCH(CL$4&amp;CL$5, LS_current!$D$2:$AY$2&amp;LS_current!$D$3:$AY$3, 0)),SUM(VLOOKUP($A124, LS_current!$B$4:$AY$138, LS_current!Q$148, FALSE), VLOOKUP($A124, LS_current!$B$4:$AY$138,LS_current!AO$148, FALSE))/2)</f>
        <v>-100.67991081117907</v>
      </c>
      <c r="CM124" s="192">
        <f t="array" ref="CM124">IF($BT124=0, INDEX(LS_current!$D$4:$AY$138, MATCH('Staging Table'!$A124, LS_current!$B$4:$B$138, 0), MATCH(CM$4&amp;CM$5, LS_current!$D$2:$AY$2&amp;LS_current!$D$3:$AY$3, 0)),SUM(VLOOKUP($A124, LS_current!$B$4:$AY$138, LS_current!R$148, FALSE), VLOOKUP($A124, LS_current!$B$4:$AY$138,LS_current!AP$148, FALSE))/2)</f>
        <v>-5027.2462356476872</v>
      </c>
      <c r="CN124" s="192">
        <f t="array" ref="CN124">IF($BT124=0, INDEX(LS_current!$D$4:$AY$138, MATCH('Staging Table'!$A124, LS_current!$B$4:$B$138, 0), MATCH(CN$4&amp;CN$5, LS_current!$D$2:$AY$2&amp;LS_current!$D$3:$AY$3, 0)),SUM(VLOOKUP($A124, LS_current!$B$4:$AY$138, LS_current!S$148, FALSE), VLOOKUP($A124, LS_current!$B$4:$AY$138,LS_current!AQ$148, FALSE))/2)</f>
        <v>-919.05184228211237</v>
      </c>
      <c r="CO124" s="192">
        <f t="array" ref="CO124">IF($BT124=0, INDEX(LS_current!$D$4:$AY$138, MATCH('Staging Table'!$A124, LS_current!$B$4:$B$138, 0), MATCH(CO$4&amp;CO$5, LS_current!$D$2:$AY$2&amp;LS_current!$D$3:$AY$3, 0)),SUM(VLOOKUP($A124, LS_current!$B$4:$AY$138, LS_current!T$148, FALSE), VLOOKUP($A124, LS_current!$B$4:$AY$138,LS_current!AR$148, FALSE))/2)</f>
        <v>-3509.2923975849499</v>
      </c>
      <c r="CP124" s="192">
        <f t="array" ref="CP124">IF($BT124=0, INDEX(LS_current!$D$4:$AY$138, MATCH('Staging Table'!$A124, LS_current!$B$4:$B$138, 0), MATCH(CP$4&amp;CP$5, LS_current!$D$2:$AY$2&amp;LS_current!$D$3:$AY$3, 0)),SUM(VLOOKUP($A124, LS_current!$B$4:$AY$138, LS_current!U$148, FALSE), VLOOKUP($A124, LS_current!$B$4:$AY$138,LS_current!AS$148, FALSE))/2)</f>
        <v>713.79753791530857</v>
      </c>
      <c r="CQ124" s="192">
        <f t="array" ref="CQ124">IF($BT124=0, INDEX(LS_current!$D$4:$AY$138, MATCH('Staging Table'!$A124, LS_current!$B$4:$B$138, 0), MATCH(CQ$4&amp;CQ$5, LS_current!$D$2:$AY$2&amp;LS_current!$D$3:$AY$3, 0)),SUM(VLOOKUP($A124, LS_current!$B$4:$AY$138, LS_current!V$148, FALSE), VLOOKUP($A124, LS_current!$B$4:$AY$138,LS_current!AT$148, FALSE))/2)</f>
        <v>-2138.607216896572</v>
      </c>
      <c r="CR124" s="192">
        <f t="array" ref="CR124">IF($BT124=0, INDEX(LS_current!$D$4:$AY$138, MATCH('Staging Table'!$A124, LS_current!$B$4:$B$138, 0), MATCH(CR$4&amp;CR$5, LS_current!$D$2:$AY$2&amp;LS_current!$D$3:$AY$3, 0)),SUM(VLOOKUP($A124, LS_current!$B$4:$AY$138, LS_current!W$148, FALSE), VLOOKUP($A124, LS_current!$B$4:$AY$138,LS_current!AU$148, FALSE))/2)</f>
        <v>952.95477205652332</v>
      </c>
      <c r="CS124" s="192">
        <f t="array" ref="CS124">IF($BT124=0, INDEX(LS_current!$D$4:$AY$138, MATCH('Staging Table'!$A124, LS_current!$B$4:$B$138, 0), MATCH(CS$4&amp;CS$5, LS_current!$D$2:$AY$2&amp;LS_current!$D$3:$AY$3, 0)),SUM(VLOOKUP($A124, LS_current!$B$4:$AY$138, LS_current!X$148, FALSE), VLOOKUP($A124, LS_current!$B$4:$AY$138,LS_current!AV$148, FALSE))/2)</f>
        <v>-1824.5634206537543</v>
      </c>
      <c r="CT124" s="192">
        <f t="array" ref="CT124">IF($BT124=0, INDEX(LS_current!$D$4:$AY$138, MATCH('Staging Table'!$A124, LS_current!$B$4:$B$138, 0), MATCH(CT$4&amp;CT$5, LS_current!$D$2:$AY$2&amp;LS_current!$D$3:$AY$3, 0)),SUM(VLOOKUP($A124, LS_current!$B$4:$AY$138, LS_current!Y$148, FALSE), VLOOKUP($A124, LS_current!$B$4:$AY$138,LS_current!AW$148, FALSE))/2)</f>
        <v>517.54989101084084</v>
      </c>
      <c r="CU124" s="192">
        <f t="array" ref="CU124">IF($BT124=0, INDEX(LS_current!$D$4:$AY$138, MATCH('Staging Table'!$A124, LS_current!$B$4:$B$138, 0), MATCH(CU$4&amp;CU$5, LS_current!$D$2:$AY$2&amp;LS_current!$D$3:$AY$3, 0)),SUM(VLOOKUP($A124, LS_current!$B$4:$AY$138, LS_current!Z$148, FALSE), VLOOKUP($A124, LS_current!$B$4:$AY$138,LS_current!AX$148, FALSE))/2)</f>
        <v>-1126.2070650144497</v>
      </c>
      <c r="CV124" s="192">
        <f t="array" ref="CV124">IF($BT124=0, INDEX(LS_current!$D$4:$AY$138, MATCH('Staging Table'!$A124, LS_current!$B$4:$B$138, 0), MATCH(CV$4&amp;CV$5, LS_current!$D$2:$AY$2&amp;LS_current!$D$3:$AY$3, 0)),SUM(VLOOKUP($A124, LS_current!$B$4:$AY$138, LS_current!AA$148, FALSE), VLOOKUP($A124, LS_current!$B$4:$AY$138,LS_current!AY$148, FALSE))/2)</f>
        <v>394.68723449436857</v>
      </c>
      <c r="CW124" s="194">
        <f t="array" ref="CW124">INDEX(Demand_current!$D$4:$AY$138, MATCH($A124, Demand_current!$B$4:$B$138, 0), MATCH(CW$4&amp;CW$5,Demand_current!$D$2:$AY$2&amp;Demand_current!$D$3:$AY$3, 0))/1000</f>
        <v>1.1703413461538461</v>
      </c>
      <c r="CX124" s="194">
        <f t="array" ref="CX124">INDEX(Demand_current!$D$4:$AY$138, MATCH($A124, Demand_current!$B$4:$B$138, 0), MATCH(CX$4&amp;CX$5,Demand_current!$D$2:$AY$2&amp;Demand_current!$D$3:$AY$3, 0))/1000</f>
        <v>0.24255250000000128</v>
      </c>
      <c r="CY124" s="194">
        <f t="array" ref="CY124">INDEX(Demand_current!$D$4:$AY$138, MATCH($A124, Demand_current!$B$4:$B$138, 0), MATCH(CY$4&amp;CY$5,Demand_current!$D$2:$AY$2&amp;Demand_current!$D$3:$AY$3, 0))/1000</f>
        <v>2.539009615384614</v>
      </c>
      <c r="CZ124" s="194">
        <f t="array" ref="CZ124">INDEX(Demand_current!$D$4:$AY$138, MATCH($A124, Demand_current!$B$4:$B$138, 0), MATCH(CZ$4&amp;CZ$5,Demand_current!$D$2:$AY$2&amp;Demand_current!$D$3:$AY$3, 0))/1000</f>
        <v>2.4283200000000029</v>
      </c>
      <c r="DA124" s="194">
        <f t="array" ref="DA124">INDEX(Demand_current!$D$4:$AY$138, MATCH($A124, Demand_current!$B$4:$B$138, 0), MATCH(DA$4&amp;DA$5,Demand_current!$D$2:$AY$2&amp;Demand_current!$D$3:$AY$3, 0))/1000</f>
        <v>2.694473958333333</v>
      </c>
      <c r="DB124" s="194">
        <f t="array" ref="DB124">INDEX(Demand_current!$D$4:$AY$138, MATCH($A124, Demand_current!$B$4:$B$138, 0), MATCH(DB$4&amp;DB$5,Demand_current!$D$2:$AY$2&amp;Demand_current!$D$3:$AY$3, 0))/1000</f>
        <v>1.9339236111111142</v>
      </c>
      <c r="DC124" s="194">
        <f t="array" ref="DC124">INDEX(Demand_current!$D$4:$AY$138, MATCH($A124, Demand_current!$B$4:$B$138, 0), MATCH(DC$4&amp;DC$5,Demand_current!$D$2:$AY$2&amp;Demand_current!$D$3:$AY$3, 0))/1000</f>
        <v>1.1745192307692345</v>
      </c>
      <c r="DD124" s="194">
        <f t="array" ref="DD124">INDEX(Demand_current!$D$4:$AY$138, MATCH($A124, Demand_current!$B$4:$B$138, 0), MATCH(DD$4&amp;DD$5,Demand_current!$D$2:$AY$2&amp;Demand_current!$D$3:$AY$3, 0))/1000</f>
        <v>0.70488250000000008</v>
      </c>
      <c r="DE124" s="194">
        <f t="array" ref="DE124">INDEX(Demand_current!$D$4:$AY$138, MATCH($A124, Demand_current!$B$4:$B$138, 0), MATCH(DE$4&amp;DE$5,Demand_current!$D$2:$AY$2&amp;Demand_current!$D$3:$AY$3, 0))/1000</f>
        <v>4.3142139423076937</v>
      </c>
      <c r="DF124" s="194">
        <f t="array" ref="DF124">INDEX(Demand_current!$D$4:$AY$138, MATCH($A124, Demand_current!$B$4:$B$138, 0), MATCH(DF$4&amp;DF$5,Demand_current!$D$2:$AY$2&amp;Demand_current!$D$3:$AY$3, 0))/1000</f>
        <v>2.0306674999999963</v>
      </c>
      <c r="DG124" s="194">
        <f t="array" ref="DG124">INDEX(Demand_current!$D$4:$AY$138, MATCH($A124, Demand_current!$B$4:$B$138, 0), MATCH(DG$4&amp;DG$5,Demand_current!$D$2:$AY$2&amp;Demand_current!$D$3:$AY$3, 0))/1000</f>
        <v>3.5349050925925942</v>
      </c>
      <c r="DH124" s="194">
        <f t="array" ref="DH124">INDEX(Demand_current!$D$4:$AY$138, MATCH($A124, Demand_current!$B$4:$B$138, 0), MATCH(DH$4&amp;DH$5,Demand_current!$D$2:$AY$2&amp;Demand_current!$D$3:$AY$3, 0))/1000</f>
        <v>2.6972949999999982</v>
      </c>
      <c r="DI124" s="192">
        <f>$BS124*(VLOOKUP(DI$4, Rates_current!$G$6:$Q$29, 10, FALSE)+VLOOKUP(DI$4, Rates_current!$G$6:$Q$29, 11, FALSE))</f>
        <v>13169.038639962442</v>
      </c>
      <c r="DJ124" s="192">
        <f>$BS124*(VLOOKUP(DJ$4, Rates_current!$G$6:$Q$29, 10, FALSE)+VLOOKUP(DJ$4, Rates_current!$G$6:$Q$29, 11, FALSE))</f>
        <v>16672.480855494043</v>
      </c>
      <c r="DK124" s="192">
        <f>$BS124*(VLOOKUP(DK$4, Rates_current!$G$6:$Q$29, 10, FALSE)+VLOOKUP(DK$4, Rates_current!$G$6:$Q$29, 11, FALSE))</f>
        <v>16319.027875688265</v>
      </c>
      <c r="DL124" s="192">
        <f>$BS124*(VLOOKUP(DL$4, Rates_current!$G$6:$Q$29, 10, FALSE)+VLOOKUP(DL$4, Rates_current!$G$6:$Q$29, 11, FALSE))</f>
        <v>13478.823061238141</v>
      </c>
      <c r="DM124" s="192">
        <f>$BS124*(VLOOKUP(DM$4, Rates_current!$G$6:$Q$29, 10, FALSE)+VLOOKUP(DM$4, Rates_current!$G$6:$Q$29, 11, FALSE))</f>
        <v>11682.391363729539</v>
      </c>
      <c r="DN124" s="192">
        <f>$BS124*(VLOOKUP(DN$4, Rates_current!$G$6:$Q$29, 10, FALSE)+VLOOKUP(DN$4, Rates_current!$G$6:$Q$29, 11, FALSE))</f>
        <v>13946.416154978762</v>
      </c>
      <c r="DO124" s="192">
        <f>$BS124*(VLOOKUP(DO$4, Rates_current!$G$6:$Q$29, 10, FALSE)+VLOOKUP(DO$4, Rates_current!$G$6:$Q$29, 11, FALSE))</f>
        <v>10827.535473307935</v>
      </c>
      <c r="DP124" s="192">
        <f>$BS124*(VLOOKUP(DP$4, Rates_current!$G$6:$Q$29, 10, FALSE)+VLOOKUP(DP$4, Rates_current!$G$6:$Q$29, 11, FALSE))</f>
        <v>15001.6300779298</v>
      </c>
      <c r="DQ124" s="192">
        <f>$BS124*(VLOOKUP(DQ$4, Rates_current!$G$6:$Q$29, 10, FALSE)+VLOOKUP(DQ$4, Rates_current!$G$6:$Q$29, 11, FALSE))</f>
        <v>16029.555859669639</v>
      </c>
      <c r="DR124" s="192">
        <f>$BS124*(VLOOKUP(DR$4, Rates_current!$G$6:$Q$29, 10, FALSE)+VLOOKUP(DR$4, Rates_current!$G$6:$Q$29, 11, FALSE))</f>
        <v>15219.337444840052</v>
      </c>
      <c r="DS124" s="192">
        <f>$BS124*(VLOOKUP(DS$4, Rates_current!$G$6:$Q$29, 10, FALSE)+VLOOKUP(DS$4, Rates_current!$G$6:$Q$29, 11, FALSE))</f>
        <v>14708.315529642914</v>
      </c>
      <c r="DT124" s="192">
        <f>$BS124*(VLOOKUP(DT$4, Rates_current!$G$6:$Q$29, 10, FALSE)+VLOOKUP(DT$4, Rates_current!$G$6:$Q$29, 11, FALSE))</f>
        <v>13592.016830520082</v>
      </c>
      <c r="DU124" s="418">
        <f>IF(D124=0,IF(C124=0,MAX(0,DW124 - (VLOOKUP($A124,TOCA_current!$A$2:$AI$137,MATCH("RHWM 2022",TOCA_current!$A$2:$AI$2,0),FALSE)*$BS$2)), 0),0)</f>
        <v>0</v>
      </c>
      <c r="DV124" s="419">
        <f>MIN(VLOOKUP($A124,TOCA_current!$A$2:$AI$137,MATCH("TRL - NLSL - Existing Resource "&amp;$BS$1,TOCA_current!$A$2:$AI$2,0),FALSE)*$BS$2, VLOOKUP($A124,TOCA_current!$A$2:$AI$137,MATCH("RHWM 2022",TOCA_current!$A$2:$AI$2,0),FALSE)*$BS$2)</f>
        <v>170644.80000000002</v>
      </c>
      <c r="DW124" s="419">
        <f>SUM(BY124:CV124)+(BS124*RT1SC!$C$4*$BS$2)</f>
        <v>139239.65272931039</v>
      </c>
      <c r="DX124" s="419">
        <f>VLOOKUP($A124,TOCA_current!$A$2:$AI$137,MATCH("Above RHWM Not Served with LS "&amp;$BS$1,TOCA_current!$A$2:$AI$2,0),FALSE)*$BS$2</f>
        <v>47058.720000000001</v>
      </c>
      <c r="DY124" s="419">
        <f t="shared" si="32"/>
        <v>-31405.147270689631</v>
      </c>
      <c r="DZ124" s="419">
        <f>(VLOOKUP($A124,TOCA_current!$A$2:$AI$137,MATCH("RHWM 2022",TOCA_current!$A$2:$AI$2,0),FALSE)*$BS$2) - $DV124</f>
        <v>0</v>
      </c>
      <c r="EA124" s="419">
        <f t="shared" si="33"/>
        <v>0</v>
      </c>
      <c r="EB124" s="419">
        <f t="shared" si="34"/>
        <v>0</v>
      </c>
      <c r="EC124" s="419">
        <f t="shared" si="35"/>
        <v>0</v>
      </c>
      <c r="ED124" s="419">
        <f t="shared" si="36"/>
        <v>0</v>
      </c>
    </row>
    <row r="125" spans="1:134">
      <c r="A125" s="135">
        <v>10426</v>
      </c>
      <c r="B125" s="136" t="s">
        <v>126</v>
      </c>
      <c r="C125" s="244">
        <f>VLOOKUP(A125, TOCA_current!$A$3:$D$137, 4, FALSE)</f>
        <v>0</v>
      </c>
      <c r="D125" s="203">
        <v>0</v>
      </c>
      <c r="E125" s="119">
        <f>VLOOKUP($A125,TOCA_previous!$A$2:$AI$137,MATCH(E$4,TOCA_previous!$A$2:$AI$2,0),FALSE)</f>
        <v>4.3533000000000001E-3</v>
      </c>
      <c r="F125" s="120">
        <f>VLOOKUP($A125,TOCA_previous!$A$2:$AI$137,MATCH(F$4,TOCA_previous!$A$2:$AI$2,0),FALSE)</f>
        <v>4.3533000000000001E-3</v>
      </c>
      <c r="G125" s="120">
        <f t="shared" si="24"/>
        <v>0</v>
      </c>
      <c r="H125" s="120">
        <f>VLOOKUP($A125,TOCA_previous!$A$2:$AI$137,MATCH(H$4,TOCA_previous!$A$2:$AI$2,0),FALSE)</f>
        <v>0</v>
      </c>
      <c r="I125" s="120">
        <f t="shared" si="25"/>
        <v>0</v>
      </c>
      <c r="J125" s="120">
        <f t="shared" si="26"/>
        <v>0</v>
      </c>
      <c r="K125" s="191">
        <f>VLOOKUP(A125, IRD!$A$5:$C$139, 3, FALSE)</f>
        <v>0</v>
      </c>
      <c r="L125" s="192">
        <f t="array" ref="L125">IF($G125=0, INDEX(LS_previous!$D$4:$AY$138, MATCH('Staging Table'!$A125, LS_previous!$B$4:$B$138, 0), MATCH(L$4&amp;L$5, LS_previous!$D$2:$AY$2&amp;LS_previous!$D$3:$AY$3, 0)),SUM(VLOOKUP($A125, LS_previous!$B$4:$AY$138, LS_previous!D$149, FALSE), VLOOKUP('Staging Table'!$A125, LS_previous!$B$4:$AY$138,LS_previous!AB$149, FALSE))/2)</f>
        <v>-7522.4943535803986</v>
      </c>
      <c r="M125" s="192">
        <f t="array" ref="M125">IF($G125=0, INDEX(LS_previous!$D$4:$AY$138, MATCH('Staging Table'!$A125, LS_previous!$B$4:$B$138, 0), MATCH(M$4&amp;M$5, LS_previous!$D$2:$AY$2&amp;LS_previous!$D$3:$AY$3, 0)),SUM(VLOOKUP($A125, LS_previous!$B$4:$AY$138, LS_previous!E$149, FALSE), VLOOKUP('Staging Table'!$A125, LS_previous!$B$4:$AY$138,LS_previous!AC$149, FALSE))/2)</f>
        <v>-2825.8645957664003</v>
      </c>
      <c r="N125" s="192">
        <f t="array" ref="N125">IF($G125=0, INDEX(LS_previous!$D$4:$AY$138, MATCH('Staging Table'!$A125, LS_previous!$B$4:$B$138, 0), MATCH(N$4&amp;N$5, LS_previous!$D$2:$AY$2&amp;LS_previous!$D$3:$AY$3, 0)),SUM(VLOOKUP($A125, LS_previous!$B$4:$AY$138, LS_previous!F$149, FALSE), VLOOKUP('Staging Table'!$A125, LS_previous!$B$4:$AY$138,LS_previous!AD$149, FALSE))/2)</f>
        <v>-9310.3460596423993</v>
      </c>
      <c r="O125" s="192">
        <f t="array" ref="O125">IF($G125=0, INDEX(LS_previous!$D$4:$AY$138, MATCH('Staging Table'!$A125, LS_previous!$B$4:$B$138, 0), MATCH(O$4&amp;O$5, LS_previous!$D$2:$AY$2&amp;LS_previous!$D$3:$AY$3, 0)),SUM(VLOOKUP($A125, LS_previous!$B$4:$AY$138, LS_previous!G$149, FALSE), VLOOKUP('Staging Table'!$A125, LS_previous!$B$4:$AY$138,LS_previous!AE$149, FALSE))/2)</f>
        <v>-3958.7864596963009</v>
      </c>
      <c r="P125" s="192">
        <f t="array" ref="P125">IF($G125=0, INDEX(LS_previous!$D$4:$AY$138, MATCH('Staging Table'!$A125, LS_previous!$B$4:$B$138, 0), MATCH(P$4&amp;P$5, LS_previous!$D$2:$AY$2&amp;LS_previous!$D$3:$AY$3, 0)),SUM(VLOOKUP($A125, LS_previous!$B$4:$AY$138, LS_previous!H$149, FALSE), VLOOKUP('Staging Table'!$A125, LS_previous!$B$4:$AY$138,LS_previous!AF$149, FALSE))/2)</f>
        <v>-6831.7914302176014</v>
      </c>
      <c r="Q125" s="192">
        <f t="array" ref="Q125">IF($G125=0, INDEX(LS_previous!$D$4:$AY$138, MATCH('Staging Table'!$A125, LS_previous!$B$4:$B$138, 0), MATCH(Q$4&amp;Q$5, LS_previous!$D$2:$AY$2&amp;LS_previous!$D$3:$AY$3, 0)),SUM(VLOOKUP($A125, LS_previous!$B$4:$AY$138, LS_previous!I$149, FALSE), VLOOKUP('Staging Table'!$A125, LS_previous!$B$4:$AY$138,LS_previous!AG$149, FALSE))/2)</f>
        <v>-1844.8866030292002</v>
      </c>
      <c r="R125" s="192">
        <f t="array" ref="R125">IF($G125=0, INDEX(LS_previous!$D$4:$AY$138, MATCH('Staging Table'!$A125, LS_previous!$B$4:$B$138, 0), MATCH(R$4&amp;R$5, LS_previous!$D$2:$AY$2&amp;LS_previous!$D$3:$AY$3, 0)),SUM(VLOOKUP($A125, LS_previous!$B$4:$AY$138, LS_previous!J$149, FALSE), VLOOKUP('Staging Table'!$A125, LS_previous!$B$4:$AY$138,LS_previous!AH$149, FALSE))/2)</f>
        <v>-3955.4433394176012</v>
      </c>
      <c r="S125" s="192">
        <f t="array" ref="S125">IF($G125=0, INDEX(LS_previous!$D$4:$AY$138, MATCH('Staging Table'!$A125, LS_previous!$B$4:$B$138, 0), MATCH(S$4&amp;S$5, LS_previous!$D$2:$AY$2&amp;LS_previous!$D$3:$AY$3, 0)),SUM(VLOOKUP($A125, LS_previous!$B$4:$AY$138, LS_previous!K$149, FALSE), VLOOKUP('Staging Table'!$A125, LS_previous!$B$4:$AY$138,LS_previous!AI$149, FALSE))/2)</f>
        <v>-372.51121542920009</v>
      </c>
      <c r="T125" s="192">
        <f t="array" ref="T125">IF($G125=0, INDEX(LS_previous!$D$4:$AY$138, MATCH('Staging Table'!$A125, LS_previous!$B$4:$B$138, 0), MATCH(T$4&amp;T$5, LS_previous!$D$2:$AY$2&amp;LS_previous!$D$3:$AY$3, 0)),SUM(VLOOKUP($A125, LS_previous!$B$4:$AY$138, LS_previous!L$149, FALSE), VLOOKUP('Staging Table'!$A125, LS_previous!$B$4:$AY$138,LS_previous!AJ$149, FALSE))/2)</f>
        <v>-5024.1654599091989</v>
      </c>
      <c r="U125" s="192">
        <f t="array" ref="U125">IF($G125=0, INDEX(LS_previous!$D$4:$AY$138, MATCH('Staging Table'!$A125, LS_previous!$B$4:$B$138, 0), MATCH(U$4&amp;U$5, LS_previous!$D$2:$AY$2&amp;LS_previous!$D$3:$AY$3, 0)),SUM(VLOOKUP($A125, LS_previous!$B$4:$AY$138, LS_previous!M$149, FALSE), VLOOKUP('Staging Table'!$A125, LS_previous!$B$4:$AY$138,LS_previous!AK$149, FALSE))/2)</f>
        <v>-1420.1271555308003</v>
      </c>
      <c r="V125" s="192">
        <f t="array" ref="V125">IF($G125=0, INDEX(LS_previous!$D$4:$AY$138, MATCH('Staging Table'!$A125, LS_previous!$B$4:$B$138, 0), MATCH(V$4&amp;V$5, LS_previous!$D$2:$AY$2&amp;LS_previous!$D$3:$AY$3, 0)),SUM(VLOOKUP($A125, LS_previous!$B$4:$AY$138, LS_previous!N$149, FALSE), VLOOKUP('Staging Table'!$A125, LS_previous!$B$4:$AY$138,LS_previous!AL$149, FALSE))/2)</f>
        <v>-6655.9312591927983</v>
      </c>
      <c r="W125" s="192">
        <f t="array" ref="W125">IF($G125=0, INDEX(LS_previous!$D$4:$AY$138, MATCH('Staging Table'!$A125, LS_previous!$B$4:$B$138, 0), MATCH(W$4&amp;W$5, LS_previous!$D$2:$AY$2&amp;LS_previous!$D$3:$AY$3, 0)),SUM(VLOOKUP($A125, LS_previous!$B$4:$AY$138, LS_previous!O$149, FALSE), VLOOKUP('Staging Table'!$A125, LS_previous!$B$4:$AY$138,LS_previous!AM$149, FALSE))/2)</f>
        <v>-2087.0264173493006</v>
      </c>
      <c r="X125" s="192">
        <f t="array" ref="X125">IF($G125=0, INDEX(LS_previous!$D$4:$AY$138, MATCH('Staging Table'!$A125, LS_previous!$B$4:$B$138, 0), MATCH(X$4&amp;X$5, LS_previous!$D$2:$AY$2&amp;LS_previous!$D$3:$AY$3, 0)),SUM(VLOOKUP($A125, LS_previous!$B$4:$AY$138, LS_previous!P$149, FALSE), VLOOKUP('Staging Table'!$A125, LS_previous!$B$4:$AY$138,LS_previous!AN$149, FALSE))/2)</f>
        <v>-5436.7404660552002</v>
      </c>
      <c r="Y125" s="192">
        <f t="array" ref="Y125">IF($G125=0, INDEX(LS_previous!$D$4:$AY$138, MATCH('Staging Table'!$A125, LS_previous!$B$4:$B$138, 0), MATCH(Y$4&amp;Y$5, LS_previous!$D$2:$AY$2&amp;LS_previous!$D$3:$AY$3, 0)),SUM(VLOOKUP($A125, LS_previous!$B$4:$AY$138, LS_previous!Q$149, FALSE), VLOOKUP('Staging Table'!$A125, LS_previous!$B$4:$AY$138,LS_previous!AO$149, FALSE))/2)</f>
        <v>-2045.7520909288005</v>
      </c>
      <c r="Z125" s="192">
        <f t="array" ref="Z125">IF($G125=0, INDEX(LS_previous!$D$4:$AY$138, MATCH('Staging Table'!$A125, LS_previous!$B$4:$B$138, 0), MATCH(Z$4&amp;Z$5, LS_previous!$D$2:$AY$2&amp;LS_previous!$D$3:$AY$3, 0)),SUM(VLOOKUP($A125, LS_previous!$B$4:$AY$138, LS_previous!R$149, FALSE), VLOOKUP('Staging Table'!$A125, LS_previous!$B$4:$AY$138,LS_previous!AP$149, FALSE))/2)</f>
        <v>-10063.805572429999</v>
      </c>
      <c r="AA125" s="192">
        <f t="array" ref="AA125">IF($G125=0, INDEX(LS_previous!$D$4:$AY$138, MATCH('Staging Table'!$A125, LS_previous!$B$4:$B$138, 0), MATCH(AA$4&amp;AA$5, LS_previous!$D$2:$AY$2&amp;LS_previous!$D$3:$AY$3, 0)),SUM(VLOOKUP($A125, LS_previous!$B$4:$AY$138, LS_previous!S$149, FALSE), VLOOKUP('Staging Table'!$A125, LS_previous!$B$4:$AY$138,LS_previous!AQ$149, FALSE))/2)</f>
        <v>-4183.9359175667996</v>
      </c>
      <c r="AB125" s="192">
        <f t="array" ref="AB125">IF($G125=0, INDEX(LS_previous!$D$4:$AY$138, MATCH('Staging Table'!$A125, LS_previous!$B$4:$B$138, 0), MATCH(AB$4&amp;AB$5, LS_previous!$D$2:$AY$2&amp;LS_previous!$D$3:$AY$3, 0)),SUM(VLOOKUP($A125, LS_previous!$B$4:$AY$138, LS_previous!T$149, FALSE), VLOOKUP('Staging Table'!$A125, LS_previous!$B$4:$AY$138,LS_previous!AR$149, FALSE))/2)</f>
        <v>-13786.5343686052</v>
      </c>
      <c r="AC125" s="192">
        <f t="array" ref="AC125">IF($G125=0, INDEX(LS_previous!$D$4:$AY$138, MATCH('Staging Table'!$A125, LS_previous!$B$4:$B$138, 0), MATCH(AC$4&amp;AC$5, LS_previous!$D$2:$AY$2&amp;LS_previous!$D$3:$AY$3, 0)),SUM(VLOOKUP($A125, LS_previous!$B$4:$AY$138, LS_previous!U$149, FALSE), VLOOKUP('Staging Table'!$A125, LS_previous!$B$4:$AY$138,LS_previous!AS$149, FALSE))/2)</f>
        <v>-6595.4983347287998</v>
      </c>
      <c r="AD125" s="192">
        <f t="array" ref="AD125">IF($G125=0, INDEX(LS_previous!$D$4:$AY$138, MATCH('Staging Table'!$A125, LS_previous!$B$4:$B$138, 0), MATCH(AD$4&amp;AD$5, LS_previous!$D$2:$AY$2&amp;LS_previous!$D$3:$AY$3, 0)),SUM(VLOOKUP($A125, LS_previous!$B$4:$AY$138, LS_previous!V$149, FALSE), VLOOKUP('Staging Table'!$A125, LS_previous!$B$4:$AY$138,LS_previous!AT$149, FALSE))/2)</f>
        <v>-9942.9386451051978</v>
      </c>
      <c r="AE125" s="192">
        <f t="array" ref="AE125">IF($G125=0, INDEX(LS_previous!$D$4:$AY$138, MATCH('Staging Table'!$A125, LS_previous!$B$4:$B$138, 0), MATCH(AE$4&amp;AE$5, LS_previous!$D$2:$AY$2&amp;LS_previous!$D$3:$AY$3, 0)),SUM(VLOOKUP($A125, LS_previous!$B$4:$AY$138, LS_previous!W$149, FALSE), VLOOKUP('Staging Table'!$A125, LS_previous!$B$4:$AY$138,LS_previous!AU$149, FALSE))/2)</f>
        <v>-2917.4616154416008</v>
      </c>
      <c r="AF125" s="192">
        <f t="array" ref="AF125">IF($G125=0, INDEX(LS_previous!$D$4:$AY$138, MATCH('Staging Table'!$A125, LS_previous!$B$4:$B$138, 0), MATCH(AF$4&amp;AF$5, LS_previous!$D$2:$AY$2&amp;LS_previous!$D$3:$AY$3, 0)),SUM(VLOOKUP($A125, LS_previous!$B$4:$AY$138, LS_previous!X$149, FALSE), VLOOKUP('Staging Table'!$A125, LS_previous!$B$4:$AY$138,LS_previous!AV$149, FALSE))/2)</f>
        <v>-9027.0355534552</v>
      </c>
      <c r="AG125" s="192">
        <f t="array" ref="AG125">IF($G125=0, INDEX(LS_previous!$D$4:$AY$138, MATCH('Staging Table'!$A125, LS_previous!$B$4:$B$138, 0), MATCH(AG$4&amp;AG$5, LS_previous!$D$2:$AY$2&amp;LS_previous!$D$3:$AY$3, 0)),SUM(VLOOKUP($A125, LS_previous!$B$4:$AY$138, LS_previous!Y$149, FALSE), VLOOKUP('Staging Table'!$A125, LS_previous!$B$4:$AY$138,LS_previous!AW$149, FALSE))/2)</f>
        <v>-2894.1717994416003</v>
      </c>
      <c r="AH125" s="192">
        <f t="array" ref="AH125">IF($G125=0, INDEX(LS_previous!$D$4:$AY$138, MATCH('Staging Table'!$A125, LS_previous!$B$4:$B$138, 0), MATCH(AH$4&amp;AH$5, LS_previous!$D$2:$AY$2&amp;LS_previous!$D$3:$AY$3, 0)),SUM(VLOOKUP($A125, LS_previous!$B$4:$AY$138, LS_previous!Z$149, FALSE), VLOOKUP('Staging Table'!$A125, LS_previous!$B$4:$AY$138,LS_previous!AX$149, FALSE))/2)</f>
        <v>-8023.0815324799996</v>
      </c>
      <c r="AI125" s="192">
        <f t="array" ref="AI125">IF($G125=0, INDEX(LS_previous!$D$4:$AY$138, MATCH('Staging Table'!$A125, LS_previous!$B$4:$B$138, 0), MATCH(AI$4&amp;AI$5, LS_previous!$D$2:$AY$2&amp;LS_previous!$D$3:$AY$3, 0)),SUM(VLOOKUP($A125, LS_previous!$B$4:$AY$138, LS_previous!AA$149, FALSE), VLOOKUP('Staging Table'!$A125, LS_previous!$B$4:$AY$138,LS_previous!AY$149, FALSE))/2)</f>
        <v>-3317.7979318039997</v>
      </c>
      <c r="AJ125" s="314">
        <f t="array" ref="AJ125">INDEX(Demand_previous!$D$4:$AY$138, MATCH('Staging Table'!$A125, Demand_previous!$B$4:$B$138, 0), MATCH(AJ$4&amp;AJ$5,Demand_previous!$D$2:$AY$2&amp;Demand_previous!$D$3:$AY$3, 0))/1000</f>
        <v>5.1195787037037039</v>
      </c>
      <c r="AK125" s="314">
        <f t="array" ref="AK125">INDEX(Demand_previous!$D$4:$AY$138, MATCH('Staging Table'!$A125, Demand_previous!$B$4:$B$138, 0), MATCH(AK$4&amp;AK$5,Demand_previous!$D$2:$AY$2&amp;Demand_previous!$D$3:$AY$3, 0))/1000</f>
        <v>3.2401550000000023</v>
      </c>
      <c r="AL125" s="314">
        <f t="array" ref="AL125">INDEX(Demand_previous!$D$4:$AY$138, MATCH('Staging Table'!$A125, Demand_previous!$B$4:$B$138, 0), MATCH(AL$4&amp;AL$5,Demand_previous!$D$2:$AY$2&amp;Demand_previous!$D$3:$AY$3, 0))/1000</f>
        <v>4.9405749999999991</v>
      </c>
      <c r="AM125" s="314">
        <f t="array" ref="AM125">INDEX(Demand_previous!$D$4:$AY$138, MATCH('Staging Table'!$A125, Demand_previous!$B$4:$B$138, 0), MATCH(AM$4&amp;AM$5,Demand_previous!$D$2:$AY$2&amp;Demand_previous!$D$3:$AY$3, 0))/1000</f>
        <v>5.7419471153846162</v>
      </c>
      <c r="AN125" s="314">
        <f t="array" ref="AN125">INDEX(Demand_previous!$D$4:$AY$138, MATCH('Staging Table'!$A125, Demand_previous!$B$4:$B$138, 0), MATCH(AN$4&amp;AN$5,Demand_previous!$D$2:$AY$2&amp;Demand_previous!$D$3:$AY$3, 0))/1000</f>
        <v>4.1741449999999976</v>
      </c>
      <c r="AO125" s="314">
        <f t="array" ref="AO125">INDEX(Demand_previous!$D$4:$AY$138, MATCH('Staging Table'!$A125, Demand_previous!$B$4:$B$138, 0), MATCH(AO$4&amp;AO$5,Demand_previous!$D$2:$AY$2&amp;Demand_previous!$D$3:$AY$3, 0))/1000</f>
        <v>6.9169519230769243</v>
      </c>
      <c r="AP125" s="314">
        <f t="array" ref="AP125">INDEX(Demand_previous!$D$4:$AY$138, MATCH('Staging Table'!$A125, Demand_previous!$B$4:$B$138, 0), MATCH(AP$4&amp;AP$5,Demand_previous!$D$2:$AY$2&amp;Demand_previous!$D$3:$AY$3, 0))/1000</f>
        <v>6.8655625000000011</v>
      </c>
      <c r="AQ125" s="314">
        <f t="array" ref="AQ125">INDEX(Demand_previous!$D$4:$AY$138, MATCH('Staging Table'!$A125, Demand_previous!$B$4:$B$138, 0), MATCH(AQ$4&amp;AQ$5,Demand_previous!$D$2:$AY$2&amp;Demand_previous!$D$3:$AY$3, 0))/1000</f>
        <v>3.7684549999999981</v>
      </c>
      <c r="AR125" s="314">
        <f t="array" ref="AR125">INDEX(Demand_previous!$D$4:$AY$138, MATCH('Staging Table'!$A125, Demand_previous!$B$4:$B$138, 0), MATCH(AR$4&amp;AR$5,Demand_previous!$D$2:$AY$2&amp;Demand_previous!$D$3:$AY$3, 0))/1000</f>
        <v>4.515206730769231</v>
      </c>
      <c r="AS125" s="314">
        <f t="array" ref="AS125">INDEX(Demand_previous!$D$4:$AY$138, MATCH('Staging Table'!$A125, Demand_previous!$B$4:$B$138, 0), MATCH(AS$4&amp;AS$5,Demand_previous!$D$2:$AY$2&amp;Demand_previous!$D$3:$AY$3, 0))/1000</f>
        <v>5.0110552884615354</v>
      </c>
      <c r="AT125" s="314">
        <f t="array" ref="AT125">INDEX(Demand_previous!$D$4:$AY$138, MATCH('Staging Table'!$A125, Demand_previous!$B$4:$B$138, 0), MATCH(AT$4&amp;AT$5,Demand_previous!$D$2:$AY$2&amp;Demand_previous!$D$3:$AY$3, 0))/1000</f>
        <v>5.4031682692307701</v>
      </c>
      <c r="AU125" s="314">
        <f t="array" ref="AU125">INDEX(Demand_previous!$D$4:$AY$138, MATCH('Staging Table'!$A125, Demand_previous!$B$4:$B$138, 0), MATCH(AU$4&amp;AU$5,Demand_previous!$D$2:$AY$2&amp;Demand_previous!$D$3:$AY$3, 0))/1000</f>
        <v>4.771939999999999</v>
      </c>
      <c r="AV125" s="192">
        <f>$F125*(VLOOKUP(AV$4, Rates_previous!$G$6:$Q$29, 10, FALSE)+VLOOKUP(AV$4, Rates_previous!$G$6:$Q$29, 11, FALSE))</f>
        <v>20100.566949346798</v>
      </c>
      <c r="AW125" s="192">
        <f>$F125*(VLOOKUP(AW$4, Rates_previous!$G$6:$Q$29, 10, FALSE)+VLOOKUP(AW$4, Rates_previous!$G$6:$Q$29, 11, FALSE))</f>
        <v>25533.990519338702</v>
      </c>
      <c r="AX125" s="192">
        <f>$F125*(VLOOKUP(AX$4, Rates_previous!$G$6:$Q$29, 10, FALSE)+VLOOKUP(AX$4, Rates_previous!$G$6:$Q$29, 11, FALSE))</f>
        <v>25225.633033246802</v>
      </c>
      <c r="AY125" s="192">
        <f>$F125*(VLOOKUP(AY$4, Rates_previous!$G$6:$Q$29, 10, FALSE)+VLOOKUP(AY$4, Rates_previous!$G$6:$Q$29, 11, FALSE))</f>
        <v>21027.101554846802</v>
      </c>
      <c r="AZ125" s="192">
        <f>$F125*(VLOOKUP(AZ$4, Rates_previous!$G$6:$Q$29, 10, FALSE)+VLOOKUP(AZ$4, Rates_previous!$G$6:$Q$29, 11, FALSE))</f>
        <v>19048.372615439999</v>
      </c>
      <c r="BA125" s="192">
        <f>$F125*(VLOOKUP(BA$4, Rates_previous!$G$6:$Q$29, 10, FALSE)+VLOOKUP(BA$4, Rates_previous!$G$6:$Q$29, 11, FALSE))</f>
        <v>21187.841676542099</v>
      </c>
      <c r="BB125" s="192">
        <f>$F125*(VLOOKUP(BB$4, Rates_previous!$G$6:$Q$29, 10, FALSE)+VLOOKUP(BB$4, Rates_previous!$G$6:$Q$29, 11, FALSE))</f>
        <v>17251.163556984</v>
      </c>
      <c r="BC125" s="192">
        <f>$F125*(VLOOKUP(BC$4, Rates_previous!$G$6:$Q$29, 10, FALSE)+VLOOKUP(BC$4, Rates_previous!$G$6:$Q$29, 11, FALSE))</f>
        <v>23265.766489996804</v>
      </c>
      <c r="BD125" s="192">
        <f>$F125*(VLOOKUP(BD$4, Rates_previous!$G$6:$Q$29, 10, FALSE)+VLOOKUP(BD$4, Rates_previous!$G$6:$Q$29, 11, FALSE))</f>
        <v>29685.535703334001</v>
      </c>
      <c r="BE125" s="192">
        <f>$F125*(VLOOKUP(BE$4, Rates_previous!$G$6:$Q$29, 10, FALSE)+VLOOKUP(BE$4, Rates_previous!$G$6:$Q$29, 11, FALSE))</f>
        <v>23274.401260546801</v>
      </c>
      <c r="BF125" s="192">
        <f>$F125*(VLOOKUP(BF$4, Rates_previous!$G$6:$Q$29, 10, FALSE)+VLOOKUP(BF$4, Rates_previous!$G$6:$Q$29, 11, FALSE))</f>
        <v>22664.632352896802</v>
      </c>
      <c r="BG125" s="192">
        <f>$F125*(VLOOKUP(BG$4, Rates_previous!$G$6:$Q$29, 10, FALSE)+VLOOKUP(BG$4, Rates_previous!$G$6:$Q$29, 11, FALSE))</f>
        <v>20348.018464284003</v>
      </c>
      <c r="BH125" s="314">
        <f>IF($D125=0,IF(C125=0, MAX(BJ125 - (VLOOKUP($A125,TOCA_previous!$A$2:$AI$137,MATCH("RHWM 2020",TOCA_previous!$A$2:$AI$2,0),FALSE)*$F$2*TOCA_previous!C122),0),0), 0)</f>
        <v>0</v>
      </c>
      <c r="BI125" s="204">
        <f>MIN(VLOOKUP($A125,TOCA_previous!$A$2:$AI$137,MATCH("TRL - NLSL - Existing Resource "&amp;$F$1,TOCA_previous!$A$2:$AI$2,0),FALSE)*$F$2,(VLOOKUP($A125,TOCA_previous!$A$2:$AI$137,MATCH("RHWM 2020",TOCA_previous!$A$2:$AI$2,0),FALSE)*$F$2))</f>
        <v>268614.71999999997</v>
      </c>
      <c r="BJ125" s="418">
        <f>SUM(L125:AI125)+(F125*RT1SC!$C$3*$F$2)</f>
        <v>138568.90608224284</v>
      </c>
      <c r="BK125" s="417">
        <f>VLOOKUP($A125,TOCA_previous!$A$2:$AI$137,MATCH("Above RHWM Not Served with LS "&amp;$F$1,TOCA_previous!$A$2:$AI$2,0),FALSE)*$F$2</f>
        <v>0</v>
      </c>
      <c r="BL125" s="418">
        <f t="shared" si="27"/>
        <v>-130045.81391775713</v>
      </c>
      <c r="BM125" s="417">
        <f>(VLOOKUP($A125,TOCA_previous!$A$2:$AI$137,MATCH("RHWM 2020",TOCA_previous!$A$2:$AI$2,0),FALSE)*$F$2) - $BI125</f>
        <v>37823.904000000039</v>
      </c>
      <c r="BN125" s="418">
        <f t="shared" si="28"/>
        <v>0</v>
      </c>
      <c r="BO125" s="417">
        <f t="shared" si="29"/>
        <v>130045.81391775713</v>
      </c>
      <c r="BP125" s="418">
        <f t="shared" si="30"/>
        <v>0</v>
      </c>
      <c r="BQ125" s="417">
        <f t="shared" si="37"/>
        <v>130045.81391775713</v>
      </c>
      <c r="BR125" s="120">
        <f>VLOOKUP($A125,TOCA_current!$A$2:$AI$137,MATCH(BR$4,TOCA_current!$A$2:$AI$2,0),FALSE)</f>
        <v>2.4318999999999999E-3</v>
      </c>
      <c r="BS125" s="120">
        <f>VLOOKUP($A125,TOCA_current!$A$2:$AI$137,MATCH(BS$4,TOCA_current!$A$2:$AI$2,0),FALSE)</f>
        <v>2.4318999999999999E-3</v>
      </c>
      <c r="BT125" s="201">
        <f t="shared" si="31"/>
        <v>0</v>
      </c>
      <c r="BU125" s="120">
        <f>VLOOKUP($A125,TOCA_current!A121:BG256,MATCH(BU$4,TOCA_current!$A$2:$BG$2,0),FALSE)</f>
        <v>0</v>
      </c>
      <c r="BV125" s="120">
        <f t="shared" si="38"/>
        <v>0</v>
      </c>
      <c r="BW125" s="120">
        <f t="shared" si="39"/>
        <v>0</v>
      </c>
      <c r="BX125" s="191">
        <f>VLOOKUP($A125,IRD!$A$4:$G$139, 7, FALSE)</f>
        <v>0</v>
      </c>
      <c r="BY125" s="192">
        <f t="array" ref="BY125">IF($BT125=0, INDEX(LS_current!$D$4:$AY$138, MATCH('Staging Table'!$A125, LS_current!$B$4:$B$138, 0), MATCH(BY$4&amp;BY$5, LS_current!$D$2:$AY$2&amp;LS_current!$D$3:$AY$3, 0)),SUM(VLOOKUP($A125, LS_current!$B$4:$AY$138, LS_current!D$148, FALSE), VLOOKUP($A125, LS_current!$B$4:$AY$138,LS_current!AB$148, FALSE))/2)</f>
        <v>-1526.1998443238817</v>
      </c>
      <c r="BZ125" s="192">
        <f t="array" ref="BZ125">IF($BT125=0, INDEX(LS_current!$D$4:$AY$138, MATCH('Staging Table'!$A125, LS_current!$B$4:$B$138, 0), MATCH(BZ$4&amp;BZ$5, LS_current!$D$2:$AY$2&amp;LS_current!$D$3:$AY$3, 0)),SUM(VLOOKUP($A125, LS_current!$B$4:$AY$138, LS_current!E$148, FALSE), VLOOKUP($A125, LS_current!$B$4:$AY$138,LS_current!AC$148, FALSE))/2)</f>
        <v>203.71904547034228</v>
      </c>
      <c r="CA125" s="192">
        <f t="array" ref="CA125">IF($BT125=0, INDEX(LS_current!$D$4:$AY$138, MATCH('Staging Table'!$A125, LS_current!$B$4:$B$138, 0), MATCH(CA$4&amp;CA$5, LS_current!$D$2:$AY$2&amp;LS_current!$D$3:$AY$3, 0)),SUM(VLOOKUP($A125, LS_current!$B$4:$AY$138, LS_current!F$148, FALSE), VLOOKUP($A125, LS_current!$B$4:$AY$138,LS_current!AD$148, FALSE))/2)</f>
        <v>-1905.5908602739219</v>
      </c>
      <c r="CB125" s="192">
        <f t="array" ref="CB125">IF($BT125=0, INDEX(LS_current!$D$4:$AY$138, MATCH('Staging Table'!$A125, LS_current!$B$4:$B$138, 0), MATCH(CB$4&amp;CB$5, LS_current!$D$2:$AY$2&amp;LS_current!$D$3:$AY$3, 0)),SUM(VLOOKUP($A125, LS_current!$B$4:$AY$138, LS_current!G$148, FALSE), VLOOKUP($A125, LS_current!$B$4:$AY$138,LS_current!AE$148, FALSE))/2)</f>
        <v>149.49091281007077</v>
      </c>
      <c r="CC125" s="192">
        <f t="array" ref="CC125">IF($BT125=0, INDEX(LS_current!$D$4:$AY$138, MATCH('Staging Table'!$A125, LS_current!$B$4:$B$138, 0), MATCH(CC$4&amp;CC$5, LS_current!$D$2:$AY$2&amp;LS_current!$D$3:$AY$3, 0)),SUM(VLOOKUP($A125, LS_current!$B$4:$AY$138, LS_current!H$148, FALSE), VLOOKUP($A125, LS_current!$B$4:$AY$138,LS_current!AF$148, FALSE))/2)</f>
        <v>993.23389410345681</v>
      </c>
      <c r="CD125" s="192">
        <f t="array" ref="CD125">IF($BT125=0, INDEX(LS_current!$D$4:$AY$138, MATCH('Staging Table'!$A125, LS_current!$B$4:$B$138, 0), MATCH(CD$4&amp;CD$5, LS_current!$D$2:$AY$2&amp;LS_current!$D$3:$AY$3, 0)),SUM(VLOOKUP($A125, LS_current!$B$4:$AY$138, LS_current!I$148, FALSE), VLOOKUP($A125, LS_current!$B$4:$AY$138,LS_current!AG$148, FALSE))/2)</f>
        <v>1832.0044273965486</v>
      </c>
      <c r="CE125" s="192">
        <f t="array" ref="CE125">IF($BT125=0, INDEX(LS_current!$D$4:$AY$138, MATCH('Staging Table'!$A125, LS_current!$B$4:$B$138, 0), MATCH(CE$4&amp;CE$5, LS_current!$D$2:$AY$2&amp;LS_current!$D$3:$AY$3, 0)),SUM(VLOOKUP($A125, LS_current!$B$4:$AY$138, LS_current!J$148, FALSE), VLOOKUP($A125, LS_current!$B$4:$AY$138,LS_current!AH$148, FALSE))/2)</f>
        <v>2810.9732662800416</v>
      </c>
      <c r="CF125" s="192">
        <f t="array" ref="CF125">IF($BT125=0, INDEX(LS_current!$D$4:$AY$138, MATCH('Staging Table'!$A125, LS_current!$B$4:$B$138, 0), MATCH(CF$4&amp;CF$5, LS_current!$D$2:$AY$2&amp;LS_current!$D$3:$AY$3, 0)),SUM(VLOOKUP($A125, LS_current!$B$4:$AY$138, LS_current!K$148, FALSE), VLOOKUP($A125, LS_current!$B$4:$AY$138,LS_current!AI$148, FALSE))/2)</f>
        <v>2552.9673561609861</v>
      </c>
      <c r="CG125" s="192">
        <f t="array" ref="CG125">IF($BT125=0, INDEX(LS_current!$D$4:$AY$138, MATCH('Staging Table'!$A125, LS_current!$B$4:$B$138, 0), MATCH(CG$4&amp;CG$5, LS_current!$D$2:$AY$2&amp;LS_current!$D$3:$AY$3, 0)),SUM(VLOOKUP($A125, LS_current!$B$4:$AY$138, LS_current!L$148, FALSE), VLOOKUP($A125, LS_current!$B$4:$AY$138,LS_current!AJ$148, FALSE))/2)</f>
        <v>1286.6262931277524</v>
      </c>
      <c r="CH125" s="192">
        <f t="array" ref="CH125">IF($BT125=0, INDEX(LS_current!$D$4:$AY$138, MATCH('Staging Table'!$A125, LS_current!$B$4:$B$138, 0), MATCH(CH$4&amp;CH$5, LS_current!$D$2:$AY$2&amp;LS_current!$D$3:$AY$3, 0)),SUM(VLOOKUP($A125, LS_current!$B$4:$AY$138, LS_current!M$148, FALSE), VLOOKUP($A125, LS_current!$B$4:$AY$138,LS_current!AK$148, FALSE))/2)</f>
        <v>1492.9819047234605</v>
      </c>
      <c r="CI125" s="192">
        <f t="array" ref="CI125">IF($BT125=0, INDEX(LS_current!$D$4:$AY$138, MATCH('Staging Table'!$A125, LS_current!$B$4:$B$138, 0), MATCH(CI$4&amp;CI$5, LS_current!$D$2:$AY$2&amp;LS_current!$D$3:$AY$3, 0)),SUM(VLOOKUP($A125, LS_current!$B$4:$AY$138, LS_current!N$148, FALSE), VLOOKUP($A125, LS_current!$B$4:$AY$138,LS_current!AL$148, FALSE))/2)</f>
        <v>-387.13287526443582</v>
      </c>
      <c r="CJ125" s="192">
        <f t="array" ref="CJ125">IF($BT125=0, INDEX(LS_current!$D$4:$AY$138, MATCH('Staging Table'!$A125, LS_current!$B$4:$B$138, 0), MATCH(CJ$4&amp;CJ$5, LS_current!$D$2:$AY$2&amp;LS_current!$D$3:$AY$3, 0)),SUM(VLOOKUP($A125, LS_current!$B$4:$AY$138, LS_current!O$148, FALSE), VLOOKUP($A125, LS_current!$B$4:$AY$138,LS_current!AM$148, FALSE))/2)</f>
        <v>1103.581489935973</v>
      </c>
      <c r="CK125" s="192">
        <f t="array" ref="CK125">IF($BT125=0, INDEX(LS_current!$D$4:$AY$138, MATCH('Staging Table'!$A125, LS_current!$B$4:$B$138, 0), MATCH(CK$4&amp;CK$5, LS_current!$D$2:$AY$2&amp;LS_current!$D$3:$AY$3, 0)),SUM(VLOOKUP($A125, LS_current!$B$4:$AY$138, LS_current!P$148, FALSE), VLOOKUP($A125, LS_current!$B$4:$AY$138,LS_current!AN$148, FALSE))/2)</f>
        <v>-192.574022904716</v>
      </c>
      <c r="CL125" s="192">
        <f t="array" ref="CL125">IF($BT125=0, INDEX(LS_current!$D$4:$AY$138, MATCH('Staging Table'!$A125, LS_current!$B$4:$B$138, 0), MATCH(CL$4&amp;CL$5, LS_current!$D$2:$AY$2&amp;LS_current!$D$3:$AY$3, 0)),SUM(VLOOKUP($A125, LS_current!$B$4:$AY$138, LS_current!Q$148, FALSE), VLOOKUP($A125, LS_current!$B$4:$AY$138,LS_current!AO$148, FALSE))/2)</f>
        <v>855.67633989151818</v>
      </c>
      <c r="CM125" s="192">
        <f t="array" ref="CM125">IF($BT125=0, INDEX(LS_current!$D$4:$AY$138, MATCH('Staging Table'!$A125, LS_current!$B$4:$B$138, 0), MATCH(CM$4&amp;CM$5, LS_current!$D$2:$AY$2&amp;LS_current!$D$3:$AY$3, 0)),SUM(VLOOKUP($A125, LS_current!$B$4:$AY$138, LS_current!R$148, FALSE), VLOOKUP($A125, LS_current!$B$4:$AY$138,LS_current!AP$148, FALSE))/2)</f>
        <v>-3467.3983565155313</v>
      </c>
      <c r="CN125" s="192">
        <f t="array" ref="CN125">IF($BT125=0, INDEX(LS_current!$D$4:$AY$138, MATCH('Staging Table'!$A125, LS_current!$B$4:$B$138, 0), MATCH(CN$4&amp;CN$5, LS_current!$D$2:$AY$2&amp;LS_current!$D$3:$AY$3, 0)),SUM(VLOOKUP($A125, LS_current!$B$4:$AY$138, LS_current!S$148, FALSE), VLOOKUP($A125, LS_current!$B$4:$AY$138,LS_current!AQ$148, FALSE))/2)</f>
        <v>-130.40906153463902</v>
      </c>
      <c r="CO125" s="192">
        <f t="array" ref="CO125">IF($BT125=0, INDEX(LS_current!$D$4:$AY$138, MATCH('Staging Table'!$A125, LS_current!$B$4:$B$138, 0), MATCH(CO$4&amp;CO$5, LS_current!$D$2:$AY$2&amp;LS_current!$D$3:$AY$3, 0)),SUM(VLOOKUP($A125, LS_current!$B$4:$AY$138, LS_current!T$148, FALSE), VLOOKUP($A125, LS_current!$B$4:$AY$138,LS_current!AR$148, FALSE))/2)</f>
        <v>-4133.6715509325804</v>
      </c>
      <c r="CP125" s="192">
        <f t="array" ref="CP125">IF($BT125=0, INDEX(LS_current!$D$4:$AY$138, MATCH('Staging Table'!$A125, LS_current!$B$4:$B$138, 0), MATCH(CP$4&amp;CP$5, LS_current!$D$2:$AY$2&amp;LS_current!$D$3:$AY$3, 0)),SUM(VLOOKUP($A125, LS_current!$B$4:$AY$138, LS_current!U$148, FALSE), VLOOKUP($A125, LS_current!$B$4:$AY$138,LS_current!AS$148, FALSE))/2)</f>
        <v>-43.106552577550701</v>
      </c>
      <c r="CQ125" s="192">
        <f t="array" ref="CQ125">IF($BT125=0, INDEX(LS_current!$D$4:$AY$138, MATCH('Staging Table'!$A125, LS_current!$B$4:$B$138, 0), MATCH(CQ$4&amp;CQ$5, LS_current!$D$2:$AY$2&amp;LS_current!$D$3:$AY$3, 0)),SUM(VLOOKUP($A125, LS_current!$B$4:$AY$138, LS_current!V$148, FALSE), VLOOKUP($A125, LS_current!$B$4:$AY$138,LS_current!AT$148, FALSE))/2)</f>
        <v>-2446.0656681896298</v>
      </c>
      <c r="CR125" s="192">
        <f t="array" ref="CR125">IF($BT125=0, INDEX(LS_current!$D$4:$AY$138, MATCH('Staging Table'!$A125, LS_current!$B$4:$B$138, 0), MATCH(CR$4&amp;CR$5, LS_current!$D$2:$AY$2&amp;LS_current!$D$3:$AY$3, 0)),SUM(VLOOKUP($A125, LS_current!$B$4:$AY$138, LS_current!W$148, FALSE), VLOOKUP($A125, LS_current!$B$4:$AY$138,LS_current!AU$148, FALSE))/2)</f>
        <v>61.150169086471578</v>
      </c>
      <c r="CS125" s="192">
        <f t="array" ref="CS125">IF($BT125=0, INDEX(LS_current!$D$4:$AY$138, MATCH('Staging Table'!$A125, LS_current!$B$4:$B$138, 0), MATCH(CS$4&amp;CS$5, LS_current!$D$2:$AY$2&amp;LS_current!$D$3:$AY$3, 0)),SUM(VLOOKUP($A125, LS_current!$B$4:$AY$138, LS_current!X$148, FALSE), VLOOKUP($A125, LS_current!$B$4:$AY$138,LS_current!AV$148, FALSE))/2)</f>
        <v>-1825.3817358696533</v>
      </c>
      <c r="CT125" s="192">
        <f t="array" ref="CT125">IF($BT125=0, INDEX(LS_current!$D$4:$AY$138, MATCH('Staging Table'!$A125, LS_current!$B$4:$B$138, 0), MATCH(CT$4&amp;CT$5, LS_current!$D$2:$AY$2&amp;LS_current!$D$3:$AY$3, 0)),SUM(VLOOKUP($A125, LS_current!$B$4:$AY$138, LS_current!Y$148, FALSE), VLOOKUP($A125, LS_current!$B$4:$AY$138,LS_current!AW$148, FALSE))/2)</f>
        <v>199.64132452080412</v>
      </c>
      <c r="CU125" s="192">
        <f t="array" ref="CU125">IF($BT125=0, INDEX(LS_current!$D$4:$AY$138, MATCH('Staging Table'!$A125, LS_current!$B$4:$B$138, 0), MATCH(CU$4&amp;CU$5, LS_current!$D$2:$AY$2&amp;LS_current!$D$3:$AY$3, 0)),SUM(VLOOKUP($A125, LS_current!$B$4:$AY$138, LS_current!Z$148, FALSE), VLOOKUP($A125, LS_current!$B$4:$AY$138,LS_current!AX$148, FALSE))/2)</f>
        <v>-2286.9099363747982</v>
      </c>
      <c r="CV125" s="192">
        <f t="array" ref="CV125">IF($BT125=0, INDEX(LS_current!$D$4:$AY$138, MATCH('Staging Table'!$A125, LS_current!$B$4:$B$138, 0), MATCH(CV$4&amp;CV$5, LS_current!$D$2:$AY$2&amp;LS_current!$D$3:$AY$3, 0)),SUM(VLOOKUP($A125, LS_current!$B$4:$AY$138, LS_current!AA$148, FALSE), VLOOKUP($A125, LS_current!$B$4:$AY$138,LS_current!AY$148, FALSE))/2)</f>
        <v>-136.34933810538223</v>
      </c>
      <c r="CW125" s="194">
        <f t="array" ref="CW125">INDEX(Demand_current!$D$4:$AY$138, MATCH($A125, Demand_current!$B$4:$B$138, 0), MATCH(CW$4&amp;CW$5,Demand_current!$D$2:$AY$2&amp;Demand_current!$D$3:$AY$3, 0))/1000</f>
        <v>4.6230625000000005</v>
      </c>
      <c r="CX125" s="194">
        <f t="array" ref="CX125">INDEX(Demand_current!$D$4:$AY$138, MATCH($A125, Demand_current!$B$4:$B$138, 0), MATCH(CX$4&amp;CX$5,Demand_current!$D$2:$AY$2&amp;Demand_current!$D$3:$AY$3, 0))/1000</f>
        <v>3.2401550000000023</v>
      </c>
      <c r="CY125" s="194">
        <f t="array" ref="CY125">INDEX(Demand_current!$D$4:$AY$138, MATCH($A125, Demand_current!$B$4:$B$138, 0), MATCH(CY$4&amp;CY$5,Demand_current!$D$2:$AY$2&amp;Demand_current!$D$3:$AY$3, 0))/1000</f>
        <v>5.7899375000000006</v>
      </c>
      <c r="CZ125" s="194">
        <f t="array" ref="CZ125">INDEX(Demand_current!$D$4:$AY$138, MATCH($A125, Demand_current!$B$4:$B$138, 0), MATCH(CZ$4&amp;CZ$5,Demand_current!$D$2:$AY$2&amp;Demand_current!$D$3:$AY$3, 0))/1000</f>
        <v>4.8516249999999994</v>
      </c>
      <c r="DA125" s="194">
        <f t="array" ref="DA125">INDEX(Demand_current!$D$4:$AY$138, MATCH($A125, Demand_current!$B$4:$B$138, 0), MATCH(DA$4&amp;DA$5,Demand_current!$D$2:$AY$2&amp;Demand_current!$D$3:$AY$3, 0))/1000</f>
        <v>3.4456510416666664</v>
      </c>
      <c r="DB125" s="194">
        <f t="array" ref="DB125">INDEX(Demand_current!$D$4:$AY$138, MATCH($A125, Demand_current!$B$4:$B$138, 0), MATCH(DB$4&amp;DB$5,Demand_current!$D$2:$AY$2&amp;Demand_current!$D$3:$AY$3, 0))/1000</f>
        <v>7.5237685185185192</v>
      </c>
      <c r="DC125" s="194">
        <f t="array" ref="DC125">INDEX(Demand_current!$D$4:$AY$138, MATCH($A125, Demand_current!$B$4:$B$138, 0), MATCH(DC$4&amp;DC$5,Demand_current!$D$2:$AY$2&amp;Demand_current!$D$3:$AY$3, 0))/1000</f>
        <v>6.8655625000000011</v>
      </c>
      <c r="DD125" s="194">
        <f t="array" ref="DD125">INDEX(Demand_current!$D$4:$AY$138, MATCH($A125, Demand_current!$B$4:$B$138, 0), MATCH(DD$4&amp;DD$5,Demand_current!$D$2:$AY$2&amp;Demand_current!$D$3:$AY$3, 0))/1000</f>
        <v>3.7684549999999981</v>
      </c>
      <c r="DE125" s="194">
        <f t="array" ref="DE125">INDEX(Demand_current!$D$4:$AY$138, MATCH($A125, Demand_current!$B$4:$B$138, 0), MATCH(DE$4&amp;DE$5,Demand_current!$D$2:$AY$2&amp;Demand_current!$D$3:$AY$3, 0))/1000</f>
        <v>4.515206730769231</v>
      </c>
      <c r="DF125" s="194">
        <f t="array" ref="DF125">INDEX(Demand_current!$D$4:$AY$138, MATCH($A125, Demand_current!$B$4:$B$138, 0), MATCH(DF$4&amp;DF$5,Demand_current!$D$2:$AY$2&amp;Demand_current!$D$3:$AY$3, 0))/1000</f>
        <v>4.4265774999999978</v>
      </c>
      <c r="DG125" s="194">
        <f t="array" ref="DG125">INDEX(Demand_current!$D$4:$AY$138, MATCH($A125, Demand_current!$B$4:$B$138, 0), MATCH(DG$4&amp;DG$5,Demand_current!$D$2:$AY$2&amp;Demand_current!$D$3:$AY$3, 0))/1000</f>
        <v>5.982273148148149</v>
      </c>
      <c r="DH125" s="194">
        <f t="array" ref="DH125">INDEX(Demand_current!$D$4:$AY$138, MATCH($A125, Demand_current!$B$4:$B$138, 0), MATCH(DH$4&amp;DH$5,Demand_current!$D$2:$AY$2&amp;Demand_current!$D$3:$AY$3, 0))/1000</f>
        <v>4.771939999999999</v>
      </c>
      <c r="DI125" s="192">
        <f>$BS125*(VLOOKUP(DI$4, Rates_current!$G$6:$Q$29, 10, FALSE)+VLOOKUP(DI$4, Rates_current!$G$6:$Q$29, 11, FALSE))</f>
        <v>11074.688798853538</v>
      </c>
      <c r="DJ125" s="192">
        <f>$BS125*(VLOOKUP(DJ$4, Rates_current!$G$6:$Q$29, 10, FALSE)+VLOOKUP(DJ$4, Rates_current!$G$6:$Q$29, 11, FALSE))</f>
        <v>14020.957947463852</v>
      </c>
      <c r="DK125" s="192">
        <f>$BS125*(VLOOKUP(DK$4, Rates_current!$G$6:$Q$29, 10, FALSE)+VLOOKUP(DK$4, Rates_current!$G$6:$Q$29, 11, FALSE))</f>
        <v>13723.716678499997</v>
      </c>
      <c r="DL125" s="192">
        <f>$BS125*(VLOOKUP(DL$4, Rates_current!$G$6:$Q$29, 10, FALSE)+VLOOKUP(DL$4, Rates_current!$G$6:$Q$29, 11, FALSE))</f>
        <v>11335.206377558972</v>
      </c>
      <c r="DM125" s="192">
        <f>$BS125*(VLOOKUP(DM$4, Rates_current!$G$6:$Q$29, 10, FALSE)+VLOOKUP(DM$4, Rates_current!$G$6:$Q$29, 11, FALSE))</f>
        <v>9824.4718021487879</v>
      </c>
      <c r="DN125" s="192">
        <f>$BS125*(VLOOKUP(DN$4, Rates_current!$G$6:$Q$29, 10, FALSE)+VLOOKUP(DN$4, Rates_current!$G$6:$Q$29, 11, FALSE))</f>
        <v>11728.435385328465</v>
      </c>
      <c r="DO125" s="192">
        <f>$BS125*(VLOOKUP(DO$4, Rates_current!$G$6:$Q$29, 10, FALSE)+VLOOKUP(DO$4, Rates_current!$G$6:$Q$29, 11, FALSE))</f>
        <v>9105.5686830131981</v>
      </c>
      <c r="DP125" s="192">
        <f>$BS125*(VLOOKUP(DP$4, Rates_current!$G$6:$Q$29, 10, FALSE)+VLOOKUP(DP$4, Rates_current!$G$6:$Q$29, 11, FALSE))</f>
        <v>12615.83241805017</v>
      </c>
      <c r="DQ125" s="192">
        <f>$BS125*(VLOOKUP(DQ$4, Rates_current!$G$6:$Q$29, 10, FALSE)+VLOOKUP(DQ$4, Rates_current!$G$6:$Q$29, 11, FALSE))</f>
        <v>13480.281103510129</v>
      </c>
      <c r="DR125" s="192">
        <f>$BS125*(VLOOKUP(DR$4, Rates_current!$G$6:$Q$29, 10, FALSE)+VLOOKUP(DR$4, Rates_current!$G$6:$Q$29, 11, FALSE))</f>
        <v>12798.916499103161</v>
      </c>
      <c r="DS125" s="192">
        <f>$BS125*(VLOOKUP(DS$4, Rates_current!$G$6:$Q$29, 10, FALSE)+VLOOKUP(DS$4, Rates_current!$G$6:$Q$29, 11, FALSE))</f>
        <v>12369.165411348849</v>
      </c>
      <c r="DT125" s="192">
        <f>$BS125*(VLOOKUP(DT$4, Rates_current!$G$6:$Q$29, 10, FALSE)+VLOOKUP(DT$4, Rates_current!$G$6:$Q$29, 11, FALSE))</f>
        <v>11430.39827448018</v>
      </c>
      <c r="DU125" s="418">
        <f>IF(D125=0,IF(C125=0,MAX(0,DW125 - (VLOOKUP($A125,TOCA_current!$A$2:$AI$137,MATCH("RHWM 2022",TOCA_current!$A$2:$AI$2,0),FALSE)*$BS$2)), 0),0)</f>
        <v>0</v>
      </c>
      <c r="DV125" s="419">
        <f>MIN(VLOOKUP($A125,TOCA_current!$A$2:$AI$137,MATCH("TRL - NLSL - Existing Resource "&amp;$BS$1,TOCA_current!$A$2:$AI$2,0),FALSE)*$BS$2, VLOOKUP($A125,TOCA_current!$A$2:$AI$137,MATCH("RHWM 2022",TOCA_current!$A$2:$AI$2,0),FALSE)*$BS$2)</f>
        <v>143506.32</v>
      </c>
      <c r="DW125" s="419">
        <f>SUM(BY125:CV125)+(BS125*RT1SC!$C$4*$BS$2)</f>
        <v>138568.9033410367</v>
      </c>
      <c r="DX125" s="419">
        <f>VLOOKUP($A125,TOCA_current!$A$2:$AI$137,MATCH("Above RHWM Not Served with LS "&amp;$BS$1,TOCA_current!$A$2:$AI$2,0),FALSE)*$BS$2</f>
        <v>0</v>
      </c>
      <c r="DY125" s="419">
        <f t="shared" si="32"/>
        <v>-4937.4166589633096</v>
      </c>
      <c r="DZ125" s="419">
        <f>(VLOOKUP($A125,TOCA_current!$A$2:$AI$137,MATCH("RHWM 2022",TOCA_current!$A$2:$AI$2,0),FALSE)*$BS$2) - $DV125</f>
        <v>149559.47999999998</v>
      </c>
      <c r="EA125" s="419">
        <f t="shared" si="33"/>
        <v>0</v>
      </c>
      <c r="EB125" s="419">
        <f t="shared" si="34"/>
        <v>4937.4166589633096</v>
      </c>
      <c r="EC125" s="419">
        <f t="shared" si="35"/>
        <v>0</v>
      </c>
      <c r="ED125" s="419">
        <f t="shared" si="36"/>
        <v>4937.4166589633096</v>
      </c>
    </row>
    <row r="126" spans="1:134">
      <c r="A126" s="135">
        <v>10434</v>
      </c>
      <c r="B126" s="136" t="s">
        <v>127</v>
      </c>
      <c r="C126" s="244">
        <f>VLOOKUP(A126, TOCA_current!$A$3:$D$137, 4, FALSE)</f>
        <v>0</v>
      </c>
      <c r="D126" s="203">
        <v>0</v>
      </c>
      <c r="E126" s="119">
        <f>VLOOKUP($A126,TOCA_previous!$A$2:$AI$137,MATCH(E$4,TOCA_previous!$A$2:$AI$2,0),FALSE)</f>
        <v>3.8455E-3</v>
      </c>
      <c r="F126" s="120">
        <f>VLOOKUP($A126,TOCA_previous!$A$2:$AI$137,MATCH(F$4,TOCA_previous!$A$2:$AI$2,0),FALSE)</f>
        <v>3.8455E-3</v>
      </c>
      <c r="G126" s="120">
        <f t="shared" si="24"/>
        <v>0</v>
      </c>
      <c r="H126" s="120">
        <f>VLOOKUP($A126,TOCA_previous!$A$2:$AI$137,MATCH(H$4,TOCA_previous!$A$2:$AI$2,0),FALSE)</f>
        <v>0</v>
      </c>
      <c r="I126" s="120">
        <f t="shared" si="25"/>
        <v>0</v>
      </c>
      <c r="J126" s="120">
        <f t="shared" si="26"/>
        <v>0</v>
      </c>
      <c r="K126" s="191">
        <f>VLOOKUP(A126, IRD!$A$5:$C$139, 3, FALSE)</f>
        <v>0</v>
      </c>
      <c r="L126" s="192">
        <f t="array" ref="L126">IF($G126=0, INDEX(LS_previous!$D$4:$AY$138, MATCH('Staging Table'!$A126, LS_previous!$B$4:$B$138, 0), MATCH(L$4&amp;L$5, LS_previous!$D$2:$AY$2&amp;LS_previous!$D$3:$AY$3, 0)),SUM(VLOOKUP($A126, LS_previous!$B$4:$AY$138, LS_previous!D$149, FALSE), VLOOKUP('Staging Table'!$A126, LS_previous!$B$4:$AY$138,LS_previous!AB$149, FALSE))/2)</f>
        <v>-1391.4619495539973</v>
      </c>
      <c r="M126" s="192">
        <f t="array" ref="M126">IF($G126=0, INDEX(LS_previous!$D$4:$AY$138, MATCH('Staging Table'!$A126, LS_previous!$B$4:$B$138, 0), MATCH(M$4&amp;M$5, LS_previous!$D$2:$AY$2&amp;LS_previous!$D$3:$AY$3, 0)),SUM(VLOOKUP($A126, LS_previous!$B$4:$AY$138, LS_previous!E$149, FALSE), VLOOKUP('Staging Table'!$A126, LS_previous!$B$4:$AY$138,LS_previous!AC$149, FALSE))/2)</f>
        <v>-305.70932766400074</v>
      </c>
      <c r="N126" s="192">
        <f t="array" ref="N126">IF($G126=0, INDEX(LS_previous!$D$4:$AY$138, MATCH('Staging Table'!$A126, LS_previous!$B$4:$B$138, 0), MATCH(N$4&amp;N$5, LS_previous!$D$2:$AY$2&amp;LS_previous!$D$3:$AY$3, 0)),SUM(VLOOKUP($A126, LS_previous!$B$4:$AY$138, LS_previous!F$149, FALSE), VLOOKUP('Staging Table'!$A126, LS_previous!$B$4:$AY$138,LS_previous!AD$149, FALSE))/2)</f>
        <v>-2902.2988289240002</v>
      </c>
      <c r="O126" s="192">
        <f t="array" ref="O126">IF($G126=0, INDEX(LS_previous!$D$4:$AY$138, MATCH('Staging Table'!$A126, LS_previous!$B$4:$B$138, 0), MATCH(O$4&amp;O$5, LS_previous!$D$2:$AY$2&amp;LS_previous!$D$3:$AY$3, 0)),SUM(VLOOKUP($A126, LS_previous!$B$4:$AY$138, LS_previous!G$149, FALSE), VLOOKUP('Staging Table'!$A126, LS_previous!$B$4:$AY$138,LS_previous!AE$149, FALSE))/2)</f>
        <v>-869.9326916505006</v>
      </c>
      <c r="P126" s="192">
        <f t="array" ref="P126">IF($G126=0, INDEX(LS_previous!$D$4:$AY$138, MATCH('Staging Table'!$A126, LS_previous!$B$4:$B$138, 0), MATCH(P$4&amp;P$5, LS_previous!$D$2:$AY$2&amp;LS_previous!$D$3:$AY$3, 0)),SUM(VLOOKUP($A126, LS_previous!$B$4:$AY$138, LS_previous!H$149, FALSE), VLOOKUP('Staging Table'!$A126, LS_previous!$B$4:$AY$138,LS_previous!AF$149, FALSE))/2)</f>
        <v>646.64086782399863</v>
      </c>
      <c r="Q126" s="192">
        <f t="array" ref="Q126">IF($G126=0, INDEX(LS_previous!$D$4:$AY$138, MATCH('Staging Table'!$A126, LS_previous!$B$4:$B$138, 0), MATCH(Q$4&amp;Q$5, LS_previous!$D$2:$AY$2&amp;LS_previous!$D$3:$AY$3, 0)),SUM(VLOOKUP($A126, LS_previous!$B$4:$AY$138, LS_previous!I$149, FALSE), VLOOKUP('Staging Table'!$A126, LS_previous!$B$4:$AY$138,LS_previous!AG$149, FALSE))/2)</f>
        <v>1272.8430784579978</v>
      </c>
      <c r="R126" s="192">
        <f t="array" ref="R126">IF($G126=0, INDEX(LS_previous!$D$4:$AY$138, MATCH('Staging Table'!$A126, LS_previous!$B$4:$B$138, 0), MATCH(R$4&amp;R$5, LS_previous!$D$2:$AY$2&amp;LS_previous!$D$3:$AY$3, 0)),SUM(VLOOKUP($A126, LS_previous!$B$4:$AY$138, LS_previous!J$149, FALSE), VLOOKUP('Staging Table'!$A126, LS_previous!$B$4:$AY$138,LS_previous!AH$149, FALSE))/2)</f>
        <v>2598.0045258239988</v>
      </c>
      <c r="S126" s="192">
        <f t="array" ref="S126">IF($G126=0, INDEX(LS_previous!$D$4:$AY$138, MATCH('Staging Table'!$A126, LS_previous!$B$4:$B$138, 0), MATCH(S$4&amp;S$5, LS_previous!$D$2:$AY$2&amp;LS_previous!$D$3:$AY$3, 0)),SUM(VLOOKUP($A126, LS_previous!$B$4:$AY$138, LS_previous!K$149, FALSE), VLOOKUP('Staging Table'!$A126, LS_previous!$B$4:$AY$138,LS_previous!AI$149, FALSE))/2)</f>
        <v>2607.1412044579993</v>
      </c>
      <c r="T126" s="192">
        <f t="array" ref="T126">IF($G126=0, INDEX(LS_previous!$D$4:$AY$138, MATCH('Staging Table'!$A126, LS_previous!$B$4:$B$138, 0), MATCH(T$4&amp;T$5, LS_previous!$D$2:$AY$2&amp;LS_previous!$D$3:$AY$3, 0)),SUM(VLOOKUP($A126, LS_previous!$B$4:$AY$138, LS_previous!L$149, FALSE), VLOOKUP('Staging Table'!$A126, LS_previous!$B$4:$AY$138,LS_previous!AJ$149, FALSE))/2)</f>
        <v>1380.2317596580015</v>
      </c>
      <c r="U126" s="192">
        <f t="array" ref="U126">IF($G126=0, INDEX(LS_previous!$D$4:$AY$138, MATCH('Staging Table'!$A126, LS_previous!$B$4:$B$138, 0), MATCH(U$4&amp;U$5, LS_previous!$D$2:$AY$2&amp;LS_previous!$D$3:$AY$3, 0)),SUM(VLOOKUP($A126, LS_previous!$B$4:$AY$138, LS_previous!M$149, FALSE), VLOOKUP('Staging Table'!$A126, LS_previous!$B$4:$AY$138,LS_previous!AK$149, FALSE))/2)</f>
        <v>1217.809835942001</v>
      </c>
      <c r="V126" s="192">
        <f t="array" ref="V126">IF($G126=0, INDEX(LS_previous!$D$4:$AY$138, MATCH('Staging Table'!$A126, LS_previous!$B$4:$B$138, 0), MATCH(V$4&amp;V$5, LS_previous!$D$2:$AY$2&amp;LS_previous!$D$3:$AY$3, 0)),SUM(VLOOKUP($A126, LS_previous!$B$4:$AY$138, LS_previous!N$149, FALSE), VLOOKUP('Staging Table'!$A126, LS_previous!$B$4:$AY$138,LS_previous!AL$149, FALSE))/2)</f>
        <v>-101.82451942799889</v>
      </c>
      <c r="W126" s="192">
        <f t="array" ref="W126">IF($G126=0, INDEX(LS_previous!$D$4:$AY$138, MATCH('Staging Table'!$A126, LS_previous!$B$4:$B$138, 0), MATCH(W$4&amp;W$5, LS_previous!$D$2:$AY$2&amp;LS_previous!$D$3:$AY$3, 0)),SUM(VLOOKUP($A126, LS_previous!$B$4:$AY$138, LS_previous!O$149, FALSE), VLOOKUP('Staging Table'!$A126, LS_previous!$B$4:$AY$138,LS_previous!AM$149, FALSE))/2)</f>
        <v>582.05300369450015</v>
      </c>
      <c r="X126" s="192">
        <f t="array" ref="X126">IF($G126=0, INDEX(LS_previous!$D$4:$AY$138, MATCH('Staging Table'!$A126, LS_previous!$B$4:$B$138, 0), MATCH(X$4&amp;X$5, LS_previous!$D$2:$AY$2&amp;LS_previous!$D$3:$AY$3, 0)),SUM(VLOOKUP($A126, LS_previous!$B$4:$AY$138, LS_previous!P$149, FALSE), VLOOKUP('Staging Table'!$A126, LS_previous!$B$4:$AY$138,LS_previous!AN$149, FALSE))/2)</f>
        <v>414.98186694800097</v>
      </c>
      <c r="Y126" s="192">
        <f t="array" ref="Y126">IF($G126=0, INDEX(LS_previous!$D$4:$AY$138, MATCH('Staging Table'!$A126, LS_previous!$B$4:$B$138, 0), MATCH(Y$4&amp;Y$5, LS_previous!$D$2:$AY$2&amp;LS_previous!$D$3:$AY$3, 0)),SUM(VLOOKUP($A126, LS_previous!$B$4:$AY$138, LS_previous!Q$149, FALSE), VLOOKUP('Staging Table'!$A126, LS_previous!$B$4:$AY$138,LS_previous!AO$149, FALSE))/2)</f>
        <v>387.25548821200027</v>
      </c>
      <c r="Z126" s="192">
        <f t="array" ref="Z126">IF($G126=0, INDEX(LS_previous!$D$4:$AY$138, MATCH('Staging Table'!$A126, LS_previous!$B$4:$B$138, 0), MATCH(Z$4&amp;Z$5, LS_previous!$D$2:$AY$2&amp;LS_previous!$D$3:$AY$3, 0)),SUM(VLOOKUP($A126, LS_previous!$B$4:$AY$138, LS_previous!R$149, FALSE), VLOOKUP('Staging Table'!$A126, LS_previous!$B$4:$AY$138,LS_previous!AP$149, FALSE))/2)</f>
        <v>-4168.0979430499992</v>
      </c>
      <c r="AA126" s="192">
        <f t="array" ref="AA126">IF($G126=0, INDEX(LS_previous!$D$4:$AY$138, MATCH('Staging Table'!$A126, LS_previous!$B$4:$B$138, 0), MATCH(AA$4&amp;AA$5, LS_previous!$D$2:$AY$2&amp;LS_previous!$D$3:$AY$3, 0)),SUM(VLOOKUP($A126, LS_previous!$B$4:$AY$138, LS_previous!S$149, FALSE), VLOOKUP('Staging Table'!$A126, LS_previous!$B$4:$AY$138,LS_previous!AQ$149, FALSE))/2)</f>
        <v>-1463.2283969179998</v>
      </c>
      <c r="AB126" s="192">
        <f t="array" ref="AB126">IF($G126=0, INDEX(LS_previous!$D$4:$AY$138, MATCH('Staging Table'!$A126, LS_previous!$B$4:$B$138, 0), MATCH(AB$4&amp;AB$5, LS_previous!$D$2:$AY$2&amp;LS_previous!$D$3:$AY$3, 0)),SUM(VLOOKUP($A126, LS_previous!$B$4:$AY$138, LS_previous!T$149, FALSE), VLOOKUP('Staging Table'!$A126, LS_previous!$B$4:$AY$138,LS_previous!AR$149, FALSE))/2)</f>
        <v>-6999.2225023019982</v>
      </c>
      <c r="AC126" s="192">
        <f t="array" ref="AC126">IF($G126=0, INDEX(LS_previous!$D$4:$AY$138, MATCH('Staging Table'!$A126, LS_previous!$B$4:$B$138, 0), MATCH(AC$4&amp;AC$5, LS_previous!$D$2:$AY$2&amp;LS_previous!$D$3:$AY$3, 0)),SUM(VLOOKUP($A126, LS_previous!$B$4:$AY$138, LS_previous!U$149, FALSE), VLOOKUP('Staging Table'!$A126, LS_previous!$B$4:$AY$138,LS_previous!AS$149, FALSE))/2)</f>
        <v>-3608.4793247879998</v>
      </c>
      <c r="AD126" s="192">
        <f t="array" ref="AD126">IF($G126=0, INDEX(LS_previous!$D$4:$AY$138, MATCH('Staging Table'!$A126, LS_previous!$B$4:$B$138, 0), MATCH(AD$4&amp;AD$5, LS_previous!$D$2:$AY$2&amp;LS_previous!$D$3:$AY$3, 0)),SUM(VLOOKUP($A126, LS_previous!$B$4:$AY$138, LS_previous!V$149, FALSE), VLOOKUP('Staging Table'!$A126, LS_previous!$B$4:$AY$138,LS_previous!AT$149, FALSE))/2)</f>
        <v>-2254.3715798019985</v>
      </c>
      <c r="AE126" s="192">
        <f t="array" ref="AE126">IF($G126=0, INDEX(LS_previous!$D$4:$AY$138, MATCH('Staging Table'!$A126, LS_previous!$B$4:$B$138, 0), MATCH(AE$4&amp;AE$5, LS_previous!$D$2:$AY$2&amp;LS_previous!$D$3:$AY$3, 0)),SUM(VLOOKUP($A126, LS_previous!$B$4:$AY$138, LS_previous!W$149, FALSE), VLOOKUP('Staging Table'!$A126, LS_previous!$B$4:$AY$138,LS_previous!AU$149, FALSE))/2)</f>
        <v>541.27469058400038</v>
      </c>
      <c r="AF126" s="192">
        <f t="array" ref="AF126">IF($G126=0, INDEX(LS_previous!$D$4:$AY$138, MATCH('Staging Table'!$A126, LS_previous!$B$4:$B$138, 0), MATCH(AF$4&amp;AF$5, LS_previous!$D$2:$AY$2&amp;LS_previous!$D$3:$AY$3, 0)),SUM(VLOOKUP($A126, LS_previous!$B$4:$AY$138, LS_previous!X$149, FALSE), VLOOKUP('Staging Table'!$A126, LS_previous!$B$4:$AY$138,LS_previous!AV$149, FALSE))/2)</f>
        <v>-1908.626632051999</v>
      </c>
      <c r="AG126" s="192">
        <f t="array" ref="AG126">IF($G126=0, INDEX(LS_previous!$D$4:$AY$138, MATCH('Staging Table'!$A126, LS_previous!$B$4:$B$138, 0), MATCH(AG$4&amp;AG$5, LS_previous!$D$2:$AY$2&amp;LS_previous!$D$3:$AY$3, 0)),SUM(VLOOKUP($A126, LS_previous!$B$4:$AY$138, LS_previous!Y$149, FALSE), VLOOKUP('Staging Table'!$A126, LS_previous!$B$4:$AY$138,LS_previous!AW$149, FALSE))/2)</f>
        <v>-57.824149415999273</v>
      </c>
      <c r="AH126" s="192">
        <f t="array" ref="AH126">IF($G126=0, INDEX(LS_previous!$D$4:$AY$138, MATCH('Staging Table'!$A126, LS_previous!$B$4:$B$138, 0), MATCH(AH$4&amp;AH$5, LS_previous!$D$2:$AY$2&amp;LS_previous!$D$3:$AY$3, 0)),SUM(VLOOKUP($A126, LS_previous!$B$4:$AY$138, LS_previous!Z$149, FALSE), VLOOKUP('Staging Table'!$A126, LS_previous!$B$4:$AY$138,LS_previous!AX$149, FALSE))/2)</f>
        <v>-2568.6403247999988</v>
      </c>
      <c r="AI126" s="192">
        <f t="array" ref="AI126">IF($G126=0, INDEX(LS_previous!$D$4:$AY$138, MATCH('Staging Table'!$A126, LS_previous!$B$4:$B$138, 0), MATCH(AI$4&amp;AI$5, LS_previous!$D$2:$AY$2&amp;LS_previous!$D$3:$AY$3, 0)),SUM(VLOOKUP($A126, LS_previous!$B$4:$AY$138, LS_previous!AA$149, FALSE), VLOOKUP('Staging Table'!$A126, LS_previous!$B$4:$AY$138,LS_previous!AY$149, FALSE))/2)</f>
        <v>-810.32895553999879</v>
      </c>
      <c r="AJ126" s="314">
        <f t="array" ref="AJ126">INDEX(Demand_previous!$D$4:$AY$138, MATCH('Staging Table'!$A126, Demand_previous!$B$4:$B$138, 0), MATCH(AJ$4&amp;AJ$5,Demand_previous!$D$2:$AY$2&amp;Demand_previous!$D$3:$AY$3, 0))/1000</f>
        <v>0.65841898148148115</v>
      </c>
      <c r="AK126" s="314">
        <f t="array" ref="AK126">INDEX(Demand_previous!$D$4:$AY$138, MATCH('Staging Table'!$A126, Demand_previous!$B$4:$B$138, 0), MATCH(AK$4&amp;AK$5,Demand_previous!$D$2:$AY$2&amp;Demand_previous!$D$3:$AY$3, 0))/1000</f>
        <v>0.61445500000000131</v>
      </c>
      <c r="AL126" s="314">
        <f t="array" ref="AL126">INDEX(Demand_previous!$D$4:$AY$138, MATCH('Staging Table'!$A126, Demand_previous!$B$4:$B$138, 0), MATCH(AL$4&amp;AL$5,Demand_previous!$D$2:$AY$2&amp;Demand_previous!$D$3:$AY$3, 0))/1000</f>
        <v>2.0097350000000045</v>
      </c>
      <c r="AM126" s="314">
        <f t="array" ref="AM126">INDEX(Demand_previous!$D$4:$AY$138, MATCH('Staging Table'!$A126, Demand_previous!$B$4:$B$138, 0), MATCH(AM$4&amp;AM$5,Demand_previous!$D$2:$AY$2&amp;Demand_previous!$D$3:$AY$3, 0))/1000</f>
        <v>8.9039182692307719</v>
      </c>
      <c r="AN126" s="314">
        <f t="array" ref="AN126">INDEX(Demand_previous!$D$4:$AY$138, MATCH('Staging Table'!$A126, Demand_previous!$B$4:$B$138, 0), MATCH(AN$4&amp;AN$5,Demand_previous!$D$2:$AY$2&amp;Demand_previous!$D$3:$AY$3, 0))/1000</f>
        <v>1.9937299999999976</v>
      </c>
      <c r="AO126" s="314">
        <f t="array" ref="AO126">INDEX(Demand_previous!$D$4:$AY$138, MATCH('Staging Table'!$A126, Demand_previous!$B$4:$B$138, 0), MATCH(AO$4&amp;AO$5,Demand_previous!$D$2:$AY$2&amp;Demand_previous!$D$3:$AY$3, 0))/1000</f>
        <v>0.90737500000000271</v>
      </c>
      <c r="AP126" s="314">
        <f t="array" ref="AP126">INDEX(Demand_previous!$D$4:$AY$138, MATCH('Staging Table'!$A126, Demand_previous!$B$4:$B$138, 0), MATCH(AP$4&amp;AP$5,Demand_previous!$D$2:$AY$2&amp;Demand_previous!$D$3:$AY$3, 0))/1000</f>
        <v>3.7927740384615394</v>
      </c>
      <c r="AQ126" s="314">
        <f t="array" ref="AQ126">INDEX(Demand_previous!$D$4:$AY$138, MATCH('Staging Table'!$A126, Demand_previous!$B$4:$B$138, 0), MATCH(AQ$4&amp;AQ$5,Demand_previous!$D$2:$AY$2&amp;Demand_previous!$D$3:$AY$3, 0))/1000</f>
        <v>4.3759225000000006</v>
      </c>
      <c r="AR126" s="314">
        <f t="array" ref="AR126">INDEX(Demand_previous!$D$4:$AY$138, MATCH('Staging Table'!$A126, Demand_previous!$B$4:$B$138, 0), MATCH(AR$4&amp;AR$5,Demand_previous!$D$2:$AY$2&amp;Demand_previous!$D$3:$AY$3, 0))/1000</f>
        <v>6.4067740384615348</v>
      </c>
      <c r="AS126" s="314">
        <f t="array" ref="AS126">INDEX(Demand_previous!$D$4:$AY$138, MATCH('Staging Table'!$A126, Demand_previous!$B$4:$B$138, 0), MATCH(AS$4&amp;AS$5,Demand_previous!$D$2:$AY$2&amp;Demand_previous!$D$3:$AY$3, 0))/1000</f>
        <v>8.6733822115384633</v>
      </c>
      <c r="AT126" s="314">
        <f t="array" ref="AT126">INDEX(Demand_previous!$D$4:$AY$138, MATCH('Staging Table'!$A126, Demand_previous!$B$4:$B$138, 0), MATCH(AT$4&amp;AT$5,Demand_previous!$D$2:$AY$2&amp;Demand_previous!$D$3:$AY$3, 0))/1000</f>
        <v>11.630680288461539</v>
      </c>
      <c r="AU126" s="314">
        <f t="array" ref="AU126">INDEX(Demand_previous!$D$4:$AY$138, MATCH('Staging Table'!$A126, Demand_previous!$B$4:$B$138, 0), MATCH(AU$4&amp;AU$5,Demand_previous!$D$2:$AY$2&amp;Demand_previous!$D$3:$AY$3, 0))/1000</f>
        <v>7.613939999999995</v>
      </c>
      <c r="AV126" s="192">
        <f>$F126*(VLOOKUP(AV$4, Rates_previous!$G$6:$Q$29, 10, FALSE)+VLOOKUP(AV$4, Rates_previous!$G$6:$Q$29, 11, FALSE))</f>
        <v>17755.893277217998</v>
      </c>
      <c r="AW126" s="192">
        <f>$F126*(VLOOKUP(AW$4, Rates_previous!$G$6:$Q$29, 10, FALSE)+VLOOKUP(AW$4, Rates_previous!$G$6:$Q$29, 11, FALSE))</f>
        <v>22555.523520574501</v>
      </c>
      <c r="AX126" s="192">
        <f>$F126*(VLOOKUP(AX$4, Rates_previous!$G$6:$Q$29, 10, FALSE)+VLOOKUP(AX$4, Rates_previous!$G$6:$Q$29, 11, FALSE))</f>
        <v>22283.135053718001</v>
      </c>
      <c r="AY126" s="192">
        <f>$F126*(VLOOKUP(AY$4, Rates_previous!$G$6:$Q$29, 10, FALSE)+VLOOKUP(AY$4, Rates_previous!$G$6:$Q$29, 11, FALSE))</f>
        <v>18574.350269718001</v>
      </c>
      <c r="AZ126" s="192">
        <f>$F126*(VLOOKUP(AZ$4, Rates_previous!$G$6:$Q$29, 10, FALSE)+VLOOKUP(AZ$4, Rates_previous!$G$6:$Q$29, 11, FALSE))</f>
        <v>16826.434404399999</v>
      </c>
      <c r="BA126" s="192">
        <f>$F126*(VLOOKUP(BA$4, Rates_previous!$G$6:$Q$29, 10, FALSE)+VLOOKUP(BA$4, Rates_previous!$G$6:$Q$29, 11, FALSE))</f>
        <v>18716.3405157335</v>
      </c>
      <c r="BB126" s="192">
        <f>$F126*(VLOOKUP(BB$4, Rates_previous!$G$6:$Q$29, 10, FALSE)+VLOOKUP(BB$4, Rates_previous!$G$6:$Q$29, 11, FALSE))</f>
        <v>15238.86464484</v>
      </c>
      <c r="BC126" s="192">
        <f>$F126*(VLOOKUP(BC$4, Rates_previous!$G$6:$Q$29, 10, FALSE)+VLOOKUP(BC$4, Rates_previous!$G$6:$Q$29, 11, FALSE))</f>
        <v>20551.881339968</v>
      </c>
      <c r="BD126" s="192">
        <f>$F126*(VLOOKUP(BD$4, Rates_previous!$G$6:$Q$29, 10, FALSE)+VLOOKUP(BD$4, Rates_previous!$G$6:$Q$29, 11, FALSE))</f>
        <v>26222.802827090003</v>
      </c>
      <c r="BE126" s="192">
        <f>$F126*(VLOOKUP(BE$4, Rates_previous!$G$6:$Q$29, 10, FALSE)+VLOOKUP(BE$4, Rates_previous!$G$6:$Q$29, 11, FALSE))</f>
        <v>20559.508889218003</v>
      </c>
      <c r="BF126" s="192">
        <f>$F126*(VLOOKUP(BF$4, Rates_previous!$G$6:$Q$29, 10, FALSE)+VLOOKUP(BF$4, Rates_previous!$G$6:$Q$29, 11, FALSE))</f>
        <v>20020.867781468001</v>
      </c>
      <c r="BG126" s="192">
        <f>$F126*(VLOOKUP(BG$4, Rates_previous!$G$6:$Q$29, 10, FALSE)+VLOOKUP(BG$4, Rates_previous!$G$6:$Q$29, 11, FALSE))</f>
        <v>17974.480280340002</v>
      </c>
      <c r="BH126" s="314">
        <f>IF($D126=0,IF(C126=0, MAX(BJ126 - (VLOOKUP($A126,TOCA_previous!$A$2:$AI$137,MATCH("RHWM 2020",TOCA_previous!$A$2:$AI$2,0),FALSE)*$F$2*TOCA_previous!C123),0),0), 0)</f>
        <v>0</v>
      </c>
      <c r="BI126" s="204">
        <f>MIN(VLOOKUP($A126,TOCA_previous!$A$2:$AI$137,MATCH("TRL - NLSL - Existing Resource "&amp;$F$1,TOCA_previous!$A$2:$AI$2,0),FALSE)*$F$2,(VLOOKUP($A126,TOCA_previous!$A$2:$AI$137,MATCH("RHWM 2020",TOCA_previous!$A$2:$AI$2,0),FALSE)*$F$2))</f>
        <v>237282.19200000001</v>
      </c>
      <c r="BJ126" s="418">
        <f>SUM(L126:AI126)+(F126*RT1SC!$C$3*$F$2)</f>
        <v>219518.28090617803</v>
      </c>
      <c r="BK126" s="417">
        <f>VLOOKUP($A126,TOCA_previous!$A$2:$AI$137,MATCH("Above RHWM Not Served with LS "&amp;$F$1,TOCA_previous!$A$2:$AI$2,0),FALSE)*$F$2</f>
        <v>11199.599999999999</v>
      </c>
      <c r="BL126" s="418">
        <f t="shared" si="27"/>
        <v>-17763.911093821982</v>
      </c>
      <c r="BM126" s="417">
        <f>(VLOOKUP($A126,TOCA_previous!$A$2:$AI$137,MATCH("RHWM 2020",TOCA_previous!$A$2:$AI$2,0),FALSE)*$F$2) - $BI126</f>
        <v>0</v>
      </c>
      <c r="BN126" s="418">
        <f t="shared" si="28"/>
        <v>0</v>
      </c>
      <c r="BO126" s="417">
        <f t="shared" si="29"/>
        <v>6564.3110938219834</v>
      </c>
      <c r="BP126" s="418">
        <f t="shared" si="30"/>
        <v>0</v>
      </c>
      <c r="BQ126" s="417">
        <f t="shared" si="37"/>
        <v>6564.3110938219834</v>
      </c>
      <c r="BR126" s="120">
        <f>VLOOKUP($A126,TOCA_current!$A$2:$AI$137,MATCH(BR$4,TOCA_current!$A$2:$AI$2,0),FALSE)</f>
        <v>3.8455E-3</v>
      </c>
      <c r="BS126" s="120">
        <f>VLOOKUP($A126,TOCA_current!$A$2:$AI$137,MATCH(BS$4,TOCA_current!$A$2:$AI$2,0),FALSE)</f>
        <v>3.8455E-3</v>
      </c>
      <c r="BT126" s="201">
        <f t="shared" si="31"/>
        <v>0</v>
      </c>
      <c r="BU126" s="120">
        <f>VLOOKUP($A126,TOCA_current!A122:BG257,MATCH(BU$4,TOCA_current!$A$2:$BG$2,0),FALSE)</f>
        <v>0</v>
      </c>
      <c r="BV126" s="120">
        <f t="shared" si="38"/>
        <v>0</v>
      </c>
      <c r="BW126" s="120">
        <f t="shared" si="39"/>
        <v>0</v>
      </c>
      <c r="BX126" s="191">
        <f>VLOOKUP($A126,IRD!$A$4:$G$139, 7, FALSE)</f>
        <v>0</v>
      </c>
      <c r="BY126" s="192">
        <f t="array" ref="BY126">IF($BT126=0, INDEX(LS_current!$D$4:$AY$138, MATCH('Staging Table'!$A126, LS_current!$B$4:$B$138, 0), MATCH(BY$4&amp;BY$5, LS_current!$D$2:$AY$2&amp;LS_current!$D$3:$AY$3, 0)),SUM(VLOOKUP($A126, LS_current!$B$4:$AY$138, LS_current!D$148, FALSE), VLOOKUP($A126, LS_current!$B$4:$AY$138,LS_current!AB$148, FALSE))/2)</f>
        <v>-1089.8399622712623</v>
      </c>
      <c r="BZ126" s="192">
        <f t="array" ref="BZ126">IF($BT126=0, INDEX(LS_current!$D$4:$AY$138, MATCH('Staging Table'!$A126, LS_current!$B$4:$B$138, 0), MATCH(BZ$4&amp;BZ$5, LS_current!$D$2:$AY$2&amp;LS_current!$D$3:$AY$3, 0)),SUM(VLOOKUP($A126, LS_current!$B$4:$AY$138, LS_current!E$148, FALSE), VLOOKUP($A126, LS_current!$B$4:$AY$138,LS_current!AC$148, FALSE))/2)</f>
        <v>-467.71439777285195</v>
      </c>
      <c r="CA126" s="192">
        <f t="array" ref="CA126">IF($BT126=0, INDEX(LS_current!$D$4:$AY$138, MATCH('Staging Table'!$A126, LS_current!$B$4:$B$138, 0), MATCH(CA$4&amp;CA$5, LS_current!$D$2:$AY$2&amp;LS_current!$D$3:$AY$3, 0)),SUM(VLOOKUP($A126, LS_current!$B$4:$AY$138, LS_current!F$148, FALSE), VLOOKUP($A126, LS_current!$B$4:$AY$138,LS_current!AD$148, FALSE))/2)</f>
        <v>-2422.1501533711762</v>
      </c>
      <c r="CB126" s="192">
        <f t="array" ref="CB126">IF($BT126=0, INDEX(LS_current!$D$4:$AY$138, MATCH('Staging Table'!$A126, LS_current!$B$4:$B$138, 0), MATCH(CB$4&amp;CB$5, LS_current!$D$2:$AY$2&amp;LS_current!$D$3:$AY$3, 0)),SUM(VLOOKUP($A126, LS_current!$B$4:$AY$138, LS_current!G$148, FALSE), VLOOKUP($A126, LS_current!$B$4:$AY$138,LS_current!AE$148, FALSE))/2)</f>
        <v>-1066.4727168834552</v>
      </c>
      <c r="CC126" s="192">
        <f t="array" ref="CC126">IF($BT126=0, INDEX(LS_current!$D$4:$AY$138, MATCH('Staging Table'!$A126, LS_current!$B$4:$B$138, 0), MATCH(CC$4&amp;CC$5, LS_current!$D$2:$AY$2&amp;LS_current!$D$3:$AY$3, 0)),SUM(VLOOKUP($A126, LS_current!$B$4:$AY$138, LS_current!H$148, FALSE), VLOOKUP($A126, LS_current!$B$4:$AY$138,LS_current!AF$148, FALSE))/2)</f>
        <v>2008.4633949483286</v>
      </c>
      <c r="CD126" s="192">
        <f t="array" ref="CD126">IF($BT126=0, INDEX(LS_current!$D$4:$AY$138, MATCH('Staging Table'!$A126, LS_current!$B$4:$B$138, 0), MATCH(CD$4&amp;CD$5, LS_current!$D$2:$AY$2&amp;LS_current!$D$3:$AY$3, 0)),SUM(VLOOKUP($A126, LS_current!$B$4:$AY$138, LS_current!I$148, FALSE), VLOOKUP($A126, LS_current!$B$4:$AY$138,LS_current!AG$148, FALSE))/2)</f>
        <v>389.0405957290277</v>
      </c>
      <c r="CE126" s="192">
        <f t="array" ref="CE126">IF($BT126=0, INDEX(LS_current!$D$4:$AY$138, MATCH('Staging Table'!$A126, LS_current!$B$4:$B$138, 0), MATCH(CE$4&amp;CE$5, LS_current!$D$2:$AY$2&amp;LS_current!$D$3:$AY$3, 0)),SUM(VLOOKUP($A126, LS_current!$B$4:$AY$138, LS_current!J$148, FALSE), VLOOKUP($A126, LS_current!$B$4:$AY$138,LS_current!AH$148, FALSE))/2)</f>
        <v>4039.0801667337855</v>
      </c>
      <c r="CF126" s="192">
        <f t="array" ref="CF126">IF($BT126=0, INDEX(LS_current!$D$4:$AY$138, MATCH('Staging Table'!$A126, LS_current!$B$4:$B$138, 0), MATCH(CF$4&amp;CF$5, LS_current!$D$2:$AY$2&amp;LS_current!$D$3:$AY$3, 0)),SUM(VLOOKUP($A126, LS_current!$B$4:$AY$138, LS_current!K$148, FALSE), VLOOKUP($A126, LS_current!$B$4:$AY$138,LS_current!AI$148, FALSE))/2)</f>
        <v>1712.1898252465453</v>
      </c>
      <c r="CG126" s="192">
        <f t="array" ref="CG126">IF($BT126=0, INDEX(LS_current!$D$4:$AY$138, MATCH('Staging Table'!$A126, LS_current!$B$4:$B$138, 0), MATCH(CG$4&amp;CG$5, LS_current!$D$2:$AY$2&amp;LS_current!$D$3:$AY$3, 0)),SUM(VLOOKUP($A126, LS_current!$B$4:$AY$138, LS_current!L$148, FALSE), VLOOKUP($A126, LS_current!$B$4:$AY$138,LS_current!AJ$148, FALSE))/2)</f>
        <v>2938.5511371449356</v>
      </c>
      <c r="CH126" s="192">
        <f t="array" ref="CH126">IF($BT126=0, INDEX(LS_current!$D$4:$AY$138, MATCH('Staging Table'!$A126, LS_current!$B$4:$B$138, 0), MATCH(CH$4&amp;CH$5, LS_current!$D$2:$AY$2&amp;LS_current!$D$3:$AY$3, 0)),SUM(VLOOKUP($A126, LS_current!$B$4:$AY$138, LS_current!M$148, FALSE), VLOOKUP($A126, LS_current!$B$4:$AY$138,LS_current!AK$148, FALSE))/2)</f>
        <v>887.26401036805328</v>
      </c>
      <c r="CI126" s="192">
        <f t="array" ref="CI126">IF($BT126=0, INDEX(LS_current!$D$4:$AY$138, MATCH('Staging Table'!$A126, LS_current!$B$4:$B$138, 0), MATCH(CI$4&amp;CI$5, LS_current!$D$2:$AY$2&amp;LS_current!$D$3:$AY$3, 0)),SUM(VLOOKUP($A126, LS_current!$B$4:$AY$138, LS_current!N$148, FALSE), VLOOKUP($A126, LS_current!$B$4:$AY$138,LS_current!AL$148, FALSE))/2)</f>
        <v>327.80315908162629</v>
      </c>
      <c r="CJ126" s="192">
        <f t="array" ref="CJ126">IF($BT126=0, INDEX(LS_current!$D$4:$AY$138, MATCH('Staging Table'!$A126, LS_current!$B$4:$B$138, 0), MATCH(CJ$4&amp;CJ$5, LS_current!$D$2:$AY$2&amp;LS_current!$D$3:$AY$3, 0)),SUM(VLOOKUP($A126, LS_current!$B$4:$AY$138, LS_current!O$148, FALSE), VLOOKUP($A126, LS_current!$B$4:$AY$138,LS_current!AM$148, FALSE))/2)</f>
        <v>218.8770657711184</v>
      </c>
      <c r="CK126" s="192">
        <f t="array" ref="CK126">IF($BT126=0, INDEX(LS_current!$D$4:$AY$138, MATCH('Staging Table'!$A126, LS_current!$B$4:$B$138, 0), MATCH(CK$4&amp;CK$5, LS_current!$D$2:$AY$2&amp;LS_current!$D$3:$AY$3, 0)),SUM(VLOOKUP($A126, LS_current!$B$4:$AY$138, LS_current!P$148, FALSE), VLOOKUP($A126, LS_current!$B$4:$AY$138,LS_current!AN$148, FALSE))/2)</f>
        <v>1073.0474261770269</v>
      </c>
      <c r="CL126" s="192">
        <f t="array" ref="CL126">IF($BT126=0, INDEX(LS_current!$D$4:$AY$138, MATCH('Staging Table'!$A126, LS_current!$B$4:$B$138, 0), MATCH(CL$4&amp;CL$5, LS_current!$D$2:$AY$2&amp;LS_current!$D$3:$AY$3, 0)),SUM(VLOOKUP($A126, LS_current!$B$4:$AY$138, LS_current!Q$148, FALSE), VLOOKUP($A126, LS_current!$B$4:$AY$138,LS_current!AO$148, FALSE))/2)</f>
        <v>468.85646101929888</v>
      </c>
      <c r="CM126" s="192">
        <f t="array" ref="CM126">IF($BT126=0, INDEX(LS_current!$D$4:$AY$138, MATCH('Staging Table'!$A126, LS_current!$B$4:$B$138, 0), MATCH(CM$4&amp;CM$5, LS_current!$D$2:$AY$2&amp;LS_current!$D$3:$AY$3, 0)),SUM(VLOOKUP($A126, LS_current!$B$4:$AY$138, LS_current!R$148, FALSE), VLOOKUP($A126, LS_current!$B$4:$AY$138,LS_current!AP$148, FALSE))/2)</f>
        <v>-4330.320551864992</v>
      </c>
      <c r="CN126" s="192">
        <f t="array" ref="CN126">IF($BT126=0, INDEX(LS_current!$D$4:$AY$138, MATCH('Staging Table'!$A126, LS_current!$B$4:$B$138, 0), MATCH(CN$4&amp;CN$5, LS_current!$D$2:$AY$2&amp;LS_current!$D$3:$AY$3, 0)),SUM(VLOOKUP($A126, LS_current!$B$4:$AY$138, LS_current!S$148, FALSE), VLOOKUP($A126, LS_current!$B$4:$AY$138,LS_current!AQ$148, FALSE))/2)</f>
        <v>-802.37099100763044</v>
      </c>
      <c r="CO126" s="192">
        <f t="array" ref="CO126">IF($BT126=0, INDEX(LS_current!$D$4:$AY$138, MATCH('Staging Table'!$A126, LS_current!$B$4:$B$138, 0), MATCH(CO$4&amp;CO$5, LS_current!$D$2:$AY$2&amp;LS_current!$D$3:$AY$3, 0)),SUM(VLOOKUP($A126, LS_current!$B$4:$AY$138, LS_current!T$148, FALSE), VLOOKUP($A126, LS_current!$B$4:$AY$138,LS_current!AR$148, FALSE))/2)</f>
        <v>-5239.7895166377057</v>
      </c>
      <c r="CP126" s="192">
        <f t="array" ref="CP126">IF($BT126=0, INDEX(LS_current!$D$4:$AY$138, MATCH('Staging Table'!$A126, LS_current!$B$4:$B$138, 0), MATCH(CP$4&amp;CP$5, LS_current!$D$2:$AY$2&amp;LS_current!$D$3:$AY$3, 0)),SUM(VLOOKUP($A126, LS_current!$B$4:$AY$138, LS_current!U$148, FALSE), VLOOKUP($A126, LS_current!$B$4:$AY$138,LS_current!AS$148, FALSE))/2)</f>
        <v>-561.92617136270837</v>
      </c>
      <c r="CQ126" s="192">
        <f t="array" ref="CQ126">IF($BT126=0, INDEX(LS_current!$D$4:$AY$138, MATCH('Staging Table'!$A126, LS_current!$B$4:$B$138, 0), MATCH(CQ$4&amp;CQ$5, LS_current!$D$2:$AY$2&amp;LS_current!$D$3:$AY$3, 0)),SUM(VLOOKUP($A126, LS_current!$B$4:$AY$138, LS_current!V$148, FALSE), VLOOKUP($A126, LS_current!$B$4:$AY$138,LS_current!AT$148, FALSE))/2)</f>
        <v>-1617.1093169222531</v>
      </c>
      <c r="CR126" s="192">
        <f t="array" ref="CR126">IF($BT126=0, INDEX(LS_current!$D$4:$AY$138, MATCH('Staging Table'!$A126, LS_current!$B$4:$B$138, 0), MATCH(CR$4&amp;CR$5, LS_current!$D$2:$AY$2&amp;LS_current!$D$3:$AY$3, 0)),SUM(VLOOKUP($A126, LS_current!$B$4:$AY$138, LS_current!W$148, FALSE), VLOOKUP($A126, LS_current!$B$4:$AY$138,LS_current!AU$148, FALSE))/2)</f>
        <v>120.76869498006727</v>
      </c>
      <c r="CS126" s="192">
        <f t="array" ref="CS126">IF($BT126=0, INDEX(LS_current!$D$4:$AY$138, MATCH('Staging Table'!$A126, LS_current!$B$4:$B$138, 0), MATCH(CS$4&amp;CS$5, LS_current!$D$2:$AY$2&amp;LS_current!$D$3:$AY$3, 0)),SUM(VLOOKUP($A126, LS_current!$B$4:$AY$138, LS_current!X$148, FALSE), VLOOKUP($A126, LS_current!$B$4:$AY$138,LS_current!AV$148, FALSE))/2)</f>
        <v>-1441.5090755321999</v>
      </c>
      <c r="CT126" s="192">
        <f t="array" ref="CT126">IF($BT126=0, INDEX(LS_current!$D$4:$AY$138, MATCH('Staging Table'!$A126, LS_current!$B$4:$B$138, 0), MATCH(CT$4&amp;CT$5, LS_current!$D$2:$AY$2&amp;LS_current!$D$3:$AY$3, 0)),SUM(VLOOKUP($A126, LS_current!$B$4:$AY$138, LS_current!Y$148, FALSE), VLOOKUP($A126, LS_current!$B$4:$AY$138,LS_current!AW$148, FALSE))/2)</f>
        <v>-167.27236738979627</v>
      </c>
      <c r="CU126" s="192">
        <f t="array" ref="CU126">IF($BT126=0, INDEX(LS_current!$D$4:$AY$138, MATCH('Staging Table'!$A126, LS_current!$B$4:$B$138, 0), MATCH(CU$4&amp;CU$5, LS_current!$D$2:$AY$2&amp;LS_current!$D$3:$AY$3, 0)),SUM(VLOOKUP($A126, LS_current!$B$4:$AY$138, LS_current!Z$148, FALSE), VLOOKUP($A126, LS_current!$B$4:$AY$138,LS_current!AX$148, FALSE))/2)</f>
        <v>-2648.8646435829123</v>
      </c>
      <c r="CV126" s="192">
        <f t="array" ref="CV126">IF($BT126=0, INDEX(LS_current!$D$4:$AY$138, MATCH('Staging Table'!$A126, LS_current!$B$4:$B$138, 0), MATCH(CV$4&amp;CV$5, LS_current!$D$2:$AY$2&amp;LS_current!$D$3:$AY$3, 0)),SUM(VLOOKUP($A126, LS_current!$B$4:$AY$138, LS_current!AA$148, FALSE), VLOOKUP($A126, LS_current!$B$4:$AY$138,LS_current!AY$148, FALSE))/2)</f>
        <v>-931.01482663113165</v>
      </c>
      <c r="CW126" s="194">
        <f t="array" ref="CW126">INDEX(Demand_current!$D$4:$AY$138, MATCH($A126, Demand_current!$B$4:$B$138, 0), MATCH(CW$4&amp;CW$5,Demand_current!$D$2:$AY$2&amp;Demand_current!$D$3:$AY$3, 0))/1000</f>
        <v>0</v>
      </c>
      <c r="CX126" s="194">
        <f t="array" ref="CX126">INDEX(Demand_current!$D$4:$AY$138, MATCH($A126, Demand_current!$B$4:$B$138, 0), MATCH(CX$4&amp;CX$5,Demand_current!$D$2:$AY$2&amp;Demand_current!$D$3:$AY$3, 0))/1000</f>
        <v>0.61445500000000131</v>
      </c>
      <c r="CY126" s="194">
        <f t="array" ref="CY126">INDEX(Demand_current!$D$4:$AY$138, MATCH($A126, Demand_current!$B$4:$B$138, 0), MATCH(CY$4&amp;CY$5,Demand_current!$D$2:$AY$2&amp;Demand_current!$D$3:$AY$3, 0))/1000</f>
        <v>3.4515144230769277</v>
      </c>
      <c r="CZ126" s="194">
        <f t="array" ref="CZ126">INDEX(Demand_current!$D$4:$AY$138, MATCH($A126, Demand_current!$B$4:$B$138, 0), MATCH(CZ$4&amp;CZ$5,Demand_current!$D$2:$AY$2&amp;Demand_current!$D$3:$AY$3, 0))/1000</f>
        <v>7.480674999999998</v>
      </c>
      <c r="DA126" s="194">
        <f t="array" ref="DA126">INDEX(Demand_current!$D$4:$AY$138, MATCH($A126, Demand_current!$B$4:$B$138, 0), MATCH(DA$4&amp;DA$5,Demand_current!$D$2:$AY$2&amp;Demand_current!$D$3:$AY$3, 0))/1000</f>
        <v>0.69101041666666241</v>
      </c>
      <c r="DB126" s="194">
        <f t="array" ref="DB126">INDEX(Demand_current!$D$4:$AY$138, MATCH($A126, Demand_current!$B$4:$B$138, 0), MATCH(DB$4&amp;DB$5,Demand_current!$D$2:$AY$2&amp;Demand_current!$D$3:$AY$3, 0))/1000</f>
        <v>2.005027777777781</v>
      </c>
      <c r="DC126" s="194">
        <f t="array" ref="DC126">INDEX(Demand_current!$D$4:$AY$138, MATCH($A126, Demand_current!$B$4:$B$138, 0), MATCH(DC$4&amp;DC$5,Demand_current!$D$2:$AY$2&amp;Demand_current!$D$3:$AY$3, 0))/1000</f>
        <v>3.7927740384615394</v>
      </c>
      <c r="DD126" s="194">
        <f t="array" ref="DD126">INDEX(Demand_current!$D$4:$AY$138, MATCH($A126, Demand_current!$B$4:$B$138, 0), MATCH(DD$4&amp;DD$5,Demand_current!$D$2:$AY$2&amp;Demand_current!$D$3:$AY$3, 0))/1000</f>
        <v>4.3759225000000006</v>
      </c>
      <c r="DE126" s="194">
        <f t="array" ref="DE126">INDEX(Demand_current!$D$4:$AY$138, MATCH($A126, Demand_current!$B$4:$B$138, 0), MATCH(DE$4&amp;DE$5,Demand_current!$D$2:$AY$2&amp;Demand_current!$D$3:$AY$3, 0))/1000</f>
        <v>6.4067740384615348</v>
      </c>
      <c r="DF126" s="194">
        <f t="array" ref="DF126">INDEX(Demand_current!$D$4:$AY$138, MATCH($A126, Demand_current!$B$4:$B$138, 0), MATCH(DF$4&amp;DF$5,Demand_current!$D$2:$AY$2&amp;Demand_current!$D$3:$AY$3, 0))/1000</f>
        <v>7.4783175000000019</v>
      </c>
      <c r="DG126" s="194">
        <f t="array" ref="DG126">INDEX(Demand_current!$D$4:$AY$138, MATCH($A126, Demand_current!$B$4:$B$138, 0), MATCH(DG$4&amp;DG$5,Demand_current!$D$2:$AY$2&amp;Demand_current!$D$3:$AY$3, 0))/1000</f>
        <v>12.729469907407408</v>
      </c>
      <c r="DH126" s="194">
        <f t="array" ref="DH126">INDEX(Demand_current!$D$4:$AY$138, MATCH($A126, Demand_current!$B$4:$B$138, 0), MATCH(DH$4&amp;DH$5,Demand_current!$D$2:$AY$2&amp;Demand_current!$D$3:$AY$3, 0))/1000</f>
        <v>7.613939999999995</v>
      </c>
      <c r="DI126" s="192">
        <f>$BS126*(VLOOKUP(DI$4, Rates_current!$G$6:$Q$29, 10, FALSE)+VLOOKUP(DI$4, Rates_current!$G$6:$Q$29, 11, FALSE))</f>
        <v>17512.116360044118</v>
      </c>
      <c r="DJ126" s="192">
        <f>$BS126*(VLOOKUP(DJ$4, Rates_current!$G$6:$Q$29, 10, FALSE)+VLOOKUP(DJ$4, Rates_current!$G$6:$Q$29, 11, FALSE))</f>
        <v>22170.974870254635</v>
      </c>
      <c r="DK126" s="192">
        <f>$BS126*(VLOOKUP(DK$4, Rates_current!$G$6:$Q$29, 10, FALSE)+VLOOKUP(DK$4, Rates_current!$G$6:$Q$29, 11, FALSE))</f>
        <v>21700.955009322646</v>
      </c>
      <c r="DL126" s="192">
        <f>$BS126*(VLOOKUP(DL$4, Rates_current!$G$6:$Q$29, 10, FALSE)+VLOOKUP(DL$4, Rates_current!$G$6:$Q$29, 11, FALSE))</f>
        <v>17924.066008019669</v>
      </c>
      <c r="DM126" s="192">
        <f>$BS126*(VLOOKUP(DM$4, Rates_current!$G$6:$Q$29, 10, FALSE)+VLOOKUP(DM$4, Rates_current!$G$6:$Q$29, 11, FALSE))</f>
        <v>15535.180852487012</v>
      </c>
      <c r="DN126" s="192">
        <f>$BS126*(VLOOKUP(DN$4, Rates_current!$G$6:$Q$29, 10, FALSE)+VLOOKUP(DN$4, Rates_current!$G$6:$Q$29, 11, FALSE))</f>
        <v>18545.868775147257</v>
      </c>
      <c r="DO126" s="192">
        <f>$BS126*(VLOOKUP(DO$4, Rates_current!$G$6:$Q$29, 10, FALSE)+VLOOKUP(DO$4, Rates_current!$G$6:$Q$29, 11, FALSE))</f>
        <v>14398.398112803674</v>
      </c>
      <c r="DP126" s="192">
        <f>$BS126*(VLOOKUP(DP$4, Rates_current!$G$6:$Q$29, 10, FALSE)+VLOOKUP(DP$4, Rates_current!$G$6:$Q$29, 11, FALSE))</f>
        <v>19949.086542872621</v>
      </c>
      <c r="DQ126" s="192">
        <f>$BS126*(VLOOKUP(DQ$4, Rates_current!$G$6:$Q$29, 10, FALSE)+VLOOKUP(DQ$4, Rates_current!$G$6:$Q$29, 11, FALSE))</f>
        <v>21316.016688000414</v>
      </c>
      <c r="DR126" s="192">
        <f>$BS126*(VLOOKUP(DR$4, Rates_current!$G$6:$Q$29, 10, FALSE)+VLOOKUP(DR$4, Rates_current!$G$6:$Q$29, 11, FALSE))</f>
        <v>20238.592621942189</v>
      </c>
      <c r="DS126" s="192">
        <f>$BS126*(VLOOKUP(DS$4, Rates_current!$G$6:$Q$29, 10, FALSE)+VLOOKUP(DS$4, Rates_current!$G$6:$Q$29, 11, FALSE))</f>
        <v>19559.038442921996</v>
      </c>
      <c r="DT126" s="192">
        <f>$BS126*(VLOOKUP(DT$4, Rates_current!$G$6:$Q$29, 10, FALSE)+VLOOKUP(DT$4, Rates_current!$G$6:$Q$29, 11, FALSE))</f>
        <v>18074.590470214047</v>
      </c>
      <c r="DU126" s="418">
        <f>IF(D126=0,IF(C126=0,MAX(0,DW126 - (VLOOKUP($A126,TOCA_current!$A$2:$AI$137,MATCH("RHWM 2022",TOCA_current!$A$2:$AI$2,0),FALSE)*$BS$2)), 0),0)</f>
        <v>0</v>
      </c>
      <c r="DV126" s="419">
        <f>MIN(VLOOKUP($A126,TOCA_current!$A$2:$AI$137,MATCH("TRL - NLSL - Existing Resource "&amp;$BS$1,TOCA_current!$A$2:$AI$2,0),FALSE)*$BS$2, VLOOKUP($A126,TOCA_current!$A$2:$AI$137,MATCH("RHWM 2022",TOCA_current!$A$2:$AI$2,0),FALSE)*$BS$2)</f>
        <v>226927.80000000002</v>
      </c>
      <c r="DW126" s="419">
        <f>SUM(BY126:CV126)+(BS126*RT1SC!$C$4*$BS$2)</f>
        <v>218322.48360818974</v>
      </c>
      <c r="DX126" s="419">
        <f>VLOOKUP($A126,TOCA_current!$A$2:$AI$137,MATCH("Above RHWM Not Served with LS "&amp;$BS$1,TOCA_current!$A$2:$AI$2,0),FALSE)*$BS$2</f>
        <v>12395.4</v>
      </c>
      <c r="DY126" s="419">
        <f t="shared" si="32"/>
        <v>-8605.31639181028</v>
      </c>
      <c r="DZ126" s="419">
        <f>(VLOOKUP($A126,TOCA_current!$A$2:$AI$137,MATCH("RHWM 2022",TOCA_current!$A$2:$AI$2,0),FALSE)*$BS$2) - $DV126</f>
        <v>0</v>
      </c>
      <c r="EA126" s="419">
        <f t="shared" si="33"/>
        <v>0</v>
      </c>
      <c r="EB126" s="419">
        <f t="shared" si="34"/>
        <v>0</v>
      </c>
      <c r="EC126" s="419">
        <f t="shared" si="35"/>
        <v>0</v>
      </c>
      <c r="ED126" s="419">
        <f t="shared" si="36"/>
        <v>0</v>
      </c>
    </row>
    <row r="127" spans="1:134">
      <c r="A127" s="135">
        <v>10436</v>
      </c>
      <c r="B127" s="136" t="s">
        <v>128</v>
      </c>
      <c r="C127" s="244">
        <f>VLOOKUP(A127, TOCA_current!$A$3:$D$137, 4, FALSE)</f>
        <v>0</v>
      </c>
      <c r="D127" s="203">
        <v>0</v>
      </c>
      <c r="E127" s="119">
        <f>VLOOKUP($A127,TOCA_previous!$A$2:$AI$137,MATCH(E$4,TOCA_previous!$A$2:$AI$2,0),FALSE)</f>
        <v>2.7120999999999998E-3</v>
      </c>
      <c r="F127" s="120">
        <f>VLOOKUP($A127,TOCA_previous!$A$2:$AI$137,MATCH(F$4,TOCA_previous!$A$2:$AI$2,0),FALSE)</f>
        <v>2.7120999999999998E-3</v>
      </c>
      <c r="G127" s="120">
        <f t="shared" si="24"/>
        <v>0</v>
      </c>
      <c r="H127" s="120">
        <f>VLOOKUP($A127,TOCA_previous!$A$2:$AI$137,MATCH(H$4,TOCA_previous!$A$2:$AI$2,0),FALSE)</f>
        <v>7.7503018214266986E-2</v>
      </c>
      <c r="I127" s="120">
        <f t="shared" si="25"/>
        <v>0</v>
      </c>
      <c r="J127" s="120">
        <f t="shared" si="26"/>
        <v>0</v>
      </c>
      <c r="K127" s="191">
        <f>VLOOKUP(A127, IRD!$A$5:$C$139, 3, FALSE)</f>
        <v>38863.257999999994</v>
      </c>
      <c r="L127" s="192">
        <f t="array" ref="L127">IF($G127=0, INDEX(LS_previous!$D$4:$AY$138, MATCH('Staging Table'!$A127, LS_previous!$B$4:$B$138, 0), MATCH(L$4&amp;L$5, LS_previous!$D$2:$AY$2&amp;LS_previous!$D$3:$AY$3, 0)),SUM(VLOOKUP($A127, LS_previous!$B$4:$AY$138, LS_previous!D$149, FALSE), VLOOKUP('Staging Table'!$A127, LS_previous!$B$4:$AY$138,LS_previous!AB$149, FALSE))/2)</f>
        <v>-1481.1622387947991</v>
      </c>
      <c r="M127" s="192">
        <f t="array" ref="M127">IF($G127=0, INDEX(LS_previous!$D$4:$AY$138, MATCH('Staging Table'!$A127, LS_previous!$B$4:$B$138, 0), MATCH(M$4&amp;M$5, LS_previous!$D$2:$AY$2&amp;LS_previous!$D$3:$AY$3, 0)),SUM(VLOOKUP($A127, LS_previous!$B$4:$AY$138, LS_previous!E$149, FALSE), VLOOKUP('Staging Table'!$A127, LS_previous!$B$4:$AY$138,LS_previous!AC$149, FALSE))/2)</f>
        <v>128.41127152320041</v>
      </c>
      <c r="N127" s="192">
        <f t="array" ref="N127">IF($G127=0, INDEX(LS_previous!$D$4:$AY$138, MATCH('Staging Table'!$A127, LS_previous!$B$4:$B$138, 0), MATCH(N$4&amp;N$5, LS_previous!$D$2:$AY$2&amp;LS_previous!$D$3:$AY$3, 0)),SUM(VLOOKUP($A127, LS_previous!$B$4:$AY$138, LS_previous!F$149, FALSE), VLOOKUP('Staging Table'!$A127, LS_previous!$B$4:$AY$138,LS_previous!AD$149, FALSE))/2)</f>
        <v>-3147.5824726887995</v>
      </c>
      <c r="O127" s="192">
        <f t="array" ref="O127">IF($G127=0, INDEX(LS_previous!$D$4:$AY$138, MATCH('Staging Table'!$A127, LS_previous!$B$4:$B$138, 0), MATCH(O$4&amp;O$5, LS_previous!$D$2:$AY$2&amp;LS_previous!$D$3:$AY$3, 0)),SUM(VLOOKUP($A127, LS_previous!$B$4:$AY$138, LS_previous!G$149, FALSE), VLOOKUP('Staging Table'!$A127, LS_previous!$B$4:$AY$138,LS_previous!AE$149, FALSE))/2)</f>
        <v>-663.37901480310029</v>
      </c>
      <c r="P127" s="192">
        <f t="array" ref="P127">IF($G127=0, INDEX(LS_previous!$D$4:$AY$138, MATCH('Staging Table'!$A127, LS_previous!$B$4:$B$138, 0), MATCH(P$4&amp;P$5, LS_previous!$D$2:$AY$2&amp;LS_previous!$D$3:$AY$3, 0)),SUM(VLOOKUP($A127, LS_previous!$B$4:$AY$138, LS_previous!H$149, FALSE), VLOOKUP('Staging Table'!$A127, LS_previous!$B$4:$AY$138,LS_previous!AF$149, FALSE))/2)</f>
        <v>-551.48634013119954</v>
      </c>
      <c r="Q127" s="192">
        <f t="array" ref="Q127">IF($G127=0, INDEX(LS_previous!$D$4:$AY$138, MATCH('Staging Table'!$A127, LS_previous!$B$4:$B$138, 0), MATCH(Q$4&amp;Q$5, LS_previous!$D$2:$AY$2&amp;LS_previous!$D$3:$AY$3, 0)),SUM(VLOOKUP($A127, LS_previous!$B$4:$AY$138, LS_previous!I$149, FALSE), VLOOKUP('Staging Table'!$A127, LS_previous!$B$4:$AY$138,LS_previous!AG$149, FALSE))/2)</f>
        <v>1147.8041485595986</v>
      </c>
      <c r="R127" s="192">
        <f t="array" ref="R127">IF($G127=0, INDEX(LS_previous!$D$4:$AY$138, MATCH('Staging Table'!$A127, LS_previous!$B$4:$B$138, 0), MATCH(R$4&amp;R$5, LS_previous!$D$2:$AY$2&amp;LS_previous!$D$3:$AY$3, 0)),SUM(VLOOKUP($A127, LS_previous!$B$4:$AY$138, LS_previous!J$149, FALSE), VLOOKUP('Staging Table'!$A127, LS_previous!$B$4:$AY$138,LS_previous!AH$149, FALSE))/2)</f>
        <v>820.09365946879916</v>
      </c>
      <c r="S127" s="192">
        <f t="array" ref="S127">IF($G127=0, INDEX(LS_previous!$D$4:$AY$138, MATCH('Staging Table'!$A127, LS_previous!$B$4:$B$138, 0), MATCH(S$4&amp;S$5, LS_previous!$D$2:$AY$2&amp;LS_previous!$D$3:$AY$3, 0)),SUM(VLOOKUP($A127, LS_previous!$B$4:$AY$138, LS_previous!K$149, FALSE), VLOOKUP('Staging Table'!$A127, LS_previous!$B$4:$AY$138,LS_previous!AI$149, FALSE))/2)</f>
        <v>2172.1585697596011</v>
      </c>
      <c r="T127" s="192">
        <f t="array" ref="T127">IF($G127=0, INDEX(LS_previous!$D$4:$AY$138, MATCH('Staging Table'!$A127, LS_previous!$B$4:$B$138, 0), MATCH(T$4&amp;T$5, LS_previous!$D$2:$AY$2&amp;LS_previous!$D$3:$AY$3, 0)),SUM(VLOOKUP($A127, LS_previous!$B$4:$AY$138, LS_previous!L$149, FALSE), VLOOKUP('Staging Table'!$A127, LS_previous!$B$4:$AY$138,LS_previous!AJ$149, FALSE))/2)</f>
        <v>23.973539999601599</v>
      </c>
      <c r="U127" s="192">
        <f t="array" ref="U127">IF($G127=0, INDEX(LS_previous!$D$4:$AY$138, MATCH('Staging Table'!$A127, LS_previous!$B$4:$B$138, 0), MATCH(U$4&amp;U$5, LS_previous!$D$2:$AY$2&amp;LS_previous!$D$3:$AY$3, 0)),SUM(VLOOKUP($A127, LS_previous!$B$4:$AY$138, LS_previous!M$149, FALSE), VLOOKUP('Staging Table'!$A127, LS_previous!$B$4:$AY$138,LS_previous!AK$149, FALSE))/2)</f>
        <v>1057.6711367204007</v>
      </c>
      <c r="V127" s="192">
        <f t="array" ref="V127">IF($G127=0, INDEX(LS_previous!$D$4:$AY$138, MATCH('Staging Table'!$A127, LS_previous!$B$4:$B$138, 0), MATCH(V$4&amp;V$5, LS_previous!$D$2:$AY$2&amp;LS_previous!$D$3:$AY$3, 0)),SUM(VLOOKUP($A127, LS_previous!$B$4:$AY$138, LS_previous!N$149, FALSE), VLOOKUP('Staging Table'!$A127, LS_previous!$B$4:$AY$138,LS_previous!AL$149, FALSE))/2)</f>
        <v>-912.51288837359789</v>
      </c>
      <c r="W127" s="192">
        <f t="array" ref="W127">IF($G127=0, INDEX(LS_previous!$D$4:$AY$138, MATCH('Staging Table'!$A127, LS_previous!$B$4:$B$138, 0), MATCH(W$4&amp;W$5, LS_previous!$D$2:$AY$2&amp;LS_previous!$D$3:$AY$3, 0)),SUM(VLOOKUP($A127, LS_previous!$B$4:$AY$138, LS_previous!O$149, FALSE), VLOOKUP('Staging Table'!$A127, LS_previous!$B$4:$AY$138,LS_previous!AM$149, FALSE))/2)</f>
        <v>648.03923963590023</v>
      </c>
      <c r="X127" s="192">
        <f t="array" ref="X127">IF($G127=0, INDEX(LS_previous!$D$4:$AY$138, MATCH('Staging Table'!$A127, LS_previous!$B$4:$B$138, 0), MATCH(X$4&amp;X$5, LS_previous!$D$2:$AY$2&amp;LS_previous!$D$3:$AY$3, 0)),SUM(VLOOKUP($A127, LS_previous!$B$4:$AY$138, LS_previous!P$149, FALSE), VLOOKUP('Staging Table'!$A127, LS_previous!$B$4:$AY$138,LS_previous!AN$149, FALSE))/2)</f>
        <v>60.477815797601579</v>
      </c>
      <c r="Y127" s="192">
        <f t="array" ref="Y127">IF($G127=0, INDEX(LS_previous!$D$4:$AY$138, MATCH('Staging Table'!$A127, LS_previous!$B$4:$B$138, 0), MATCH(Y$4&amp;Y$5, LS_previous!$D$2:$AY$2&amp;LS_previous!$D$3:$AY$3, 0)),SUM(VLOOKUP($A127, LS_previous!$B$4:$AY$138, LS_previous!Q$149, FALSE), VLOOKUP('Staging Table'!$A127, LS_previous!$B$4:$AY$138,LS_previous!AO$149, FALSE))/2)</f>
        <v>812.45266859440017</v>
      </c>
      <c r="Z127" s="192">
        <f t="array" ref="Z127">IF($G127=0, INDEX(LS_previous!$D$4:$AY$138, MATCH('Staging Table'!$A127, LS_previous!$B$4:$B$138, 0), MATCH(Z$4&amp;Z$5, LS_previous!$D$2:$AY$2&amp;LS_previous!$D$3:$AY$3, 0)),SUM(VLOOKUP($A127, LS_previous!$B$4:$AY$138, LS_previous!R$149, FALSE), VLOOKUP('Staging Table'!$A127, LS_previous!$B$4:$AY$138,LS_previous!AP$149, FALSE))/2)</f>
        <v>-43.952023909998388</v>
      </c>
      <c r="AA127" s="192">
        <f t="array" ref="AA127">IF($G127=0, INDEX(LS_previous!$D$4:$AY$138, MATCH('Staging Table'!$A127, LS_previous!$B$4:$B$138, 0), MATCH(AA$4&amp;AA$5, LS_previous!$D$2:$AY$2&amp;LS_previous!$D$3:$AY$3, 0)),SUM(VLOOKUP($A127, LS_previous!$B$4:$AY$138, LS_previous!S$149, FALSE), VLOOKUP('Staging Table'!$A127, LS_previous!$B$4:$AY$138,LS_previous!AQ$149, FALSE))/2)</f>
        <v>2044.8810325884006</v>
      </c>
      <c r="AB127" s="192">
        <f t="array" ref="AB127">IF($G127=0, INDEX(LS_previous!$D$4:$AY$138, MATCH('Staging Table'!$A127, LS_previous!$B$4:$B$138, 0), MATCH(AB$4&amp;AB$5, LS_previous!$D$2:$AY$2&amp;LS_previous!$D$3:$AY$3, 0)),SUM(VLOOKUP($A127, LS_previous!$B$4:$AY$138, LS_previous!T$149, FALSE), VLOOKUP('Staging Table'!$A127, LS_previous!$B$4:$AY$138,LS_previous!AR$149, FALSE))/2)</f>
        <v>103.36288144760147</v>
      </c>
      <c r="AC127" s="192">
        <f t="array" ref="AC127">IF($G127=0, INDEX(LS_previous!$D$4:$AY$138, MATCH('Staging Table'!$A127, LS_previous!$B$4:$B$138, 0), MATCH(AC$4&amp;AC$5, LS_previous!$D$2:$AY$2&amp;LS_previous!$D$3:$AY$3, 0)),SUM(VLOOKUP($A127, LS_previous!$B$4:$AY$138, LS_previous!U$149, FALSE), VLOOKUP('Staging Table'!$A127, LS_previous!$B$4:$AY$138,LS_previous!AS$149, FALSE))/2)</f>
        <v>1816.2816079944014</v>
      </c>
      <c r="AD127" s="192">
        <f t="array" ref="AD127">IF($G127=0, INDEX(LS_previous!$D$4:$AY$138, MATCH('Staging Table'!$A127, LS_previous!$B$4:$B$138, 0), MATCH(AD$4&amp;AD$5, LS_previous!$D$2:$AY$2&amp;LS_previous!$D$3:$AY$3, 0)),SUM(VLOOKUP($A127, LS_previous!$B$4:$AY$138, LS_previous!V$149, FALSE), VLOOKUP('Staging Table'!$A127, LS_previous!$B$4:$AY$138,LS_previous!AT$149, FALSE))/2)</f>
        <v>3567.0044509476011</v>
      </c>
      <c r="AE127" s="192">
        <f t="array" ref="AE127">IF($G127=0, INDEX(LS_previous!$D$4:$AY$138, MATCH('Staging Table'!$A127, LS_previous!$B$4:$B$138, 0), MATCH(AE$4&amp;AE$5, LS_previous!$D$2:$AY$2&amp;LS_previous!$D$3:$AY$3, 0)),SUM(VLOOKUP($A127, LS_previous!$B$4:$AY$138, LS_previous!W$149, FALSE), VLOOKUP('Staging Table'!$A127, LS_previous!$B$4:$AY$138,LS_previous!AU$149, FALSE))/2)</f>
        <v>5514.7991073808007</v>
      </c>
      <c r="AF127" s="192">
        <f t="array" ref="AF127">IF($G127=0, INDEX(LS_previous!$D$4:$AY$138, MATCH('Staging Table'!$A127, LS_previous!$B$4:$B$138, 0), MATCH(AF$4&amp;AF$5, LS_previous!$D$2:$AY$2&amp;LS_previous!$D$3:$AY$3, 0)),SUM(VLOOKUP($A127, LS_previous!$B$4:$AY$138, LS_previous!X$149, FALSE), VLOOKUP('Staging Table'!$A127, LS_previous!$B$4:$AY$138,LS_previous!AV$149, FALSE))/2)</f>
        <v>2395.2266619975999</v>
      </c>
      <c r="AG127" s="192">
        <f t="array" ref="AG127">IF($G127=0, INDEX(LS_previous!$D$4:$AY$138, MATCH('Staging Table'!$A127, LS_previous!$B$4:$B$138, 0), MATCH(AG$4&amp;AG$5, LS_previous!$D$2:$AY$2&amp;LS_previous!$D$3:$AY$3, 0)),SUM(VLOOKUP($A127, LS_previous!$B$4:$AY$138, LS_previous!Y$149, FALSE), VLOOKUP('Staging Table'!$A127, LS_previous!$B$4:$AY$138,LS_previous!AW$149, FALSE))/2)</f>
        <v>3688.8500993807993</v>
      </c>
      <c r="AH127" s="192">
        <f t="array" ref="AH127">IF($G127=0, INDEX(LS_previous!$D$4:$AY$138, MATCH('Staging Table'!$A127, LS_previous!$B$4:$B$138, 0), MATCH(AH$4&amp;AH$5, LS_previous!$D$2:$AY$2&amp;LS_previous!$D$3:$AY$3, 0)),SUM(VLOOKUP($A127, LS_previous!$B$4:$AY$138, LS_previous!Z$149, FALSE), VLOOKUP('Staging Table'!$A127, LS_previous!$B$4:$AY$138,LS_previous!AX$149, FALSE))/2)</f>
        <v>79.40091424000093</v>
      </c>
      <c r="AI127" s="192">
        <f t="array" ref="AI127">IF($G127=0, INDEX(LS_previous!$D$4:$AY$138, MATCH('Staging Table'!$A127, LS_previous!$B$4:$B$138, 0), MATCH(AI$4&amp;AI$5, LS_previous!$D$2:$AY$2&amp;LS_previous!$D$3:$AY$3, 0)),SUM(VLOOKUP($A127, LS_previous!$B$4:$AY$138, LS_previous!AA$149, FALSE), VLOOKUP('Staging Table'!$A127, LS_previous!$B$4:$AY$138,LS_previous!AY$149, FALSE))/2)</f>
        <v>1678.2961600520002</v>
      </c>
      <c r="AJ127" s="314">
        <f t="array" ref="AJ127">INDEX(Demand_previous!$D$4:$AY$138, MATCH('Staging Table'!$A127, Demand_previous!$B$4:$B$138, 0), MATCH(AJ$4&amp;AJ$5,Demand_previous!$D$2:$AY$2&amp;Demand_previous!$D$3:$AY$3, 0))/1000</f>
        <v>3.6686759259259256</v>
      </c>
      <c r="AK127" s="314">
        <f t="array" ref="AK127">INDEX(Demand_previous!$D$4:$AY$138, MATCH('Staging Table'!$A127, Demand_previous!$B$4:$B$138, 0), MATCH(AK$4&amp;AK$5,Demand_previous!$D$2:$AY$2&amp;Demand_previous!$D$3:$AY$3, 0))/1000</f>
        <v>0.7674850000000033</v>
      </c>
      <c r="AL127" s="314">
        <f t="array" ref="AL127">INDEX(Demand_previous!$D$4:$AY$138, MATCH('Staging Table'!$A127, Demand_previous!$B$4:$B$138, 0), MATCH(AL$4&amp;AL$5,Demand_previous!$D$2:$AY$2&amp;Demand_previous!$D$3:$AY$3, 0))/1000</f>
        <v>0</v>
      </c>
      <c r="AM127" s="314">
        <f t="array" ref="AM127">INDEX(Demand_previous!$D$4:$AY$138, MATCH('Staging Table'!$A127, Demand_previous!$B$4:$B$138, 0), MATCH(AM$4&amp;AM$5,Demand_previous!$D$2:$AY$2&amp;Demand_previous!$D$3:$AY$3, 0))/1000</f>
        <v>2.2622403846153869</v>
      </c>
      <c r="AN127" s="314">
        <f t="array" ref="AN127">INDEX(Demand_previous!$D$4:$AY$138, MATCH('Staging Table'!$A127, Demand_previous!$B$4:$B$138, 0), MATCH(AN$4&amp;AN$5,Demand_previous!$D$2:$AY$2&amp;Demand_previous!$D$3:$AY$3, 0))/1000</f>
        <v>1.8625274999999952</v>
      </c>
      <c r="AO127" s="314">
        <f t="array" ref="AO127">INDEX(Demand_previous!$D$4:$AY$138, MATCH('Staging Table'!$A127, Demand_previous!$B$4:$B$138, 0), MATCH(AO$4&amp;AO$5,Demand_previous!$D$2:$AY$2&amp;Demand_previous!$D$3:$AY$3, 0))/1000</f>
        <v>1.7124254807692294</v>
      </c>
      <c r="AP127" s="314">
        <f t="array" ref="AP127">INDEX(Demand_previous!$D$4:$AY$138, MATCH('Staging Table'!$A127, Demand_previous!$B$4:$B$138, 0), MATCH(AP$4&amp;AP$5,Demand_previous!$D$2:$AY$2&amp;Demand_previous!$D$3:$AY$3, 0))/1000</f>
        <v>3.9737668269230779</v>
      </c>
      <c r="AQ127" s="314">
        <f t="array" ref="AQ127">INDEX(Demand_previous!$D$4:$AY$138, MATCH('Staging Table'!$A127, Demand_previous!$B$4:$B$138, 0), MATCH(AQ$4&amp;AQ$5,Demand_previous!$D$2:$AY$2&amp;Demand_previous!$D$3:$AY$3, 0))/1000</f>
        <v>2.7763825000000004</v>
      </c>
      <c r="AR127" s="314">
        <f t="array" ref="AR127">INDEX(Demand_previous!$D$4:$AY$138, MATCH('Staging Table'!$A127, Demand_previous!$B$4:$B$138, 0), MATCH(AR$4&amp;AR$5,Demand_previous!$D$2:$AY$2&amp;Demand_previous!$D$3:$AY$3, 0))/1000</f>
        <v>4.1909062500000021</v>
      </c>
      <c r="AS127" s="314">
        <f t="array" ref="AS127">INDEX(Demand_previous!$D$4:$AY$138, MATCH('Staging Table'!$A127, Demand_previous!$B$4:$B$138, 0), MATCH(AS$4&amp;AS$5,Demand_previous!$D$2:$AY$2&amp;Demand_previous!$D$3:$AY$3, 0))/1000</f>
        <v>5.8657740384615398</v>
      </c>
      <c r="AT127" s="314">
        <f t="array" ref="AT127">INDEX(Demand_previous!$D$4:$AY$138, MATCH('Staging Table'!$A127, Demand_previous!$B$4:$B$138, 0), MATCH(AT$4&amp;AT$5,Demand_previous!$D$2:$AY$2&amp;Demand_previous!$D$3:$AY$3, 0))/1000</f>
        <v>3.5553173076923077</v>
      </c>
      <c r="AU127" s="314">
        <f t="array" ref="AU127">INDEX(Demand_previous!$D$4:$AY$138, MATCH('Staging Table'!$A127, Demand_previous!$B$4:$B$138, 0), MATCH(AU$4&amp;AU$5,Demand_previous!$D$2:$AY$2&amp;Demand_previous!$D$3:$AY$3, 0))/1000</f>
        <v>5.8215950000000003</v>
      </c>
      <c r="AV127" s="192">
        <f>$F127*(VLOOKUP(AV$4, Rates_previous!$G$6:$Q$29, 10, FALSE)+VLOOKUP(AV$4, Rates_previous!$G$6:$Q$29, 11, FALSE))</f>
        <v>12522.625967271599</v>
      </c>
      <c r="AW127" s="192">
        <f>$F127*(VLOOKUP(AW$4, Rates_previous!$G$6:$Q$29, 10, FALSE)+VLOOKUP(AW$4, Rates_previous!$G$6:$Q$29, 11, FALSE))</f>
        <v>15907.641487491899</v>
      </c>
      <c r="AX127" s="192">
        <f>$F127*(VLOOKUP(AX$4, Rates_previous!$G$6:$Q$29, 10, FALSE)+VLOOKUP(AX$4, Rates_previous!$G$6:$Q$29, 11, FALSE))</f>
        <v>15715.5351915716</v>
      </c>
      <c r="AY127" s="192">
        <f>$F127*(VLOOKUP(AY$4, Rates_previous!$G$6:$Q$29, 10, FALSE)+VLOOKUP(AY$4, Rates_previous!$G$6:$Q$29, 11, FALSE))</f>
        <v>13099.855770771601</v>
      </c>
      <c r="AZ127" s="192">
        <f>$F127*(VLOOKUP(AZ$4, Rates_previous!$G$6:$Q$29, 10, FALSE)+VLOOKUP(AZ$4, Rates_previous!$G$6:$Q$29, 11, FALSE))</f>
        <v>11867.11032328</v>
      </c>
      <c r="BA127" s="192">
        <f>$F127*(VLOOKUP(BA$4, Rates_previous!$G$6:$Q$29, 10, FALSE)+VLOOKUP(BA$4, Rates_previous!$G$6:$Q$29, 11, FALSE))</f>
        <v>13199.996648737699</v>
      </c>
      <c r="BB127" s="192">
        <f>$F127*(VLOOKUP(BB$4, Rates_previous!$G$6:$Q$29, 10, FALSE)+VLOOKUP(BB$4, Rates_previous!$G$6:$Q$29, 11, FALSE))</f>
        <v>10747.451515608</v>
      </c>
      <c r="BC127" s="192">
        <f>$F127*(VLOOKUP(BC$4, Rates_previous!$G$6:$Q$29, 10, FALSE)+VLOOKUP(BC$4, Rates_previous!$G$6:$Q$29, 11, FALSE))</f>
        <v>14494.540991321601</v>
      </c>
      <c r="BD127" s="192">
        <f>$F127*(VLOOKUP(BD$4, Rates_previous!$G$6:$Q$29, 10, FALSE)+VLOOKUP(BD$4, Rates_previous!$G$6:$Q$29, 11, FALSE))</f>
        <v>18494.048510558001</v>
      </c>
      <c r="BE127" s="192">
        <f>$F127*(VLOOKUP(BE$4, Rates_previous!$G$6:$Q$29, 10, FALSE)+VLOOKUP(BE$4, Rates_previous!$G$6:$Q$29, 11, FALSE))</f>
        <v>14499.9204416716</v>
      </c>
      <c r="BF127" s="192">
        <f>$F127*(VLOOKUP(BF$4, Rates_previous!$G$6:$Q$29, 10, FALSE)+VLOOKUP(BF$4, Rates_previous!$G$6:$Q$29, 11, FALSE))</f>
        <v>14120.0352386216</v>
      </c>
      <c r="BG127" s="192">
        <f>$F127*(VLOOKUP(BG$4, Rates_previous!$G$6:$Q$29, 10, FALSE)+VLOOKUP(BG$4, Rates_previous!$G$6:$Q$29, 11, FALSE))</f>
        <v>12676.787925708</v>
      </c>
      <c r="BH127" s="314">
        <f>IF($D127=0,IF(C127=0, MAX(BJ127 - (VLOOKUP($A127,TOCA_previous!$A$2:$AI$137,MATCH("RHWM 2020",TOCA_previous!$A$2:$AI$2,0),FALSE)*$F$2*TOCA_previous!C124),0),0), 0)</f>
        <v>20960.682281223591</v>
      </c>
      <c r="BI127" s="204">
        <f>MIN(VLOOKUP($A127,TOCA_previous!$A$2:$AI$137,MATCH("TRL - NLSL - Existing Resource "&amp;$F$1,TOCA_previous!$A$2:$AI$2,0),FALSE)*$F$2,(VLOOKUP($A127,TOCA_previous!$A$2:$AI$137,MATCH("RHWM 2020",TOCA_previous!$A$2:$AI$2,0),FALSE)*$F$2))</f>
        <v>167343.984</v>
      </c>
      <c r="BJ127" s="418">
        <f>SUM(L127:AI127)+(F127*RT1SC!$C$3*$F$2)</f>
        <v>188304.66628122359</v>
      </c>
      <c r="BK127" s="417">
        <f>VLOOKUP($A127,TOCA_previous!$A$2:$AI$137,MATCH("Above RHWM Not Served with LS "&amp;$F$1,TOCA_previous!$A$2:$AI$2,0),FALSE)*$F$2</f>
        <v>17936.928</v>
      </c>
      <c r="BL127" s="418">
        <f t="shared" si="27"/>
        <v>20960.682281223591</v>
      </c>
      <c r="BM127" s="417">
        <f>(VLOOKUP($A127,TOCA_previous!$A$2:$AI$137,MATCH("RHWM 2020",TOCA_previous!$A$2:$AI$2,0),FALSE)*$F$2) - $BI127</f>
        <v>0</v>
      </c>
      <c r="BN127" s="418">
        <f t="shared" si="28"/>
        <v>0</v>
      </c>
      <c r="BO127" s="417">
        <f t="shared" si="29"/>
        <v>0</v>
      </c>
      <c r="BP127" s="418">
        <f t="shared" si="30"/>
        <v>0</v>
      </c>
      <c r="BQ127" s="417">
        <f t="shared" si="37"/>
        <v>0</v>
      </c>
      <c r="BR127" s="120">
        <f>VLOOKUP($A127,TOCA_current!$A$2:$AI$137,MATCH(BR$4,TOCA_current!$A$2:$AI$2,0),FALSE)</f>
        <v>2.712E-3</v>
      </c>
      <c r="BS127" s="120">
        <f>VLOOKUP($A127,TOCA_current!$A$2:$AI$137,MATCH(BS$4,TOCA_current!$A$2:$AI$2,0),FALSE)</f>
        <v>2.712E-3</v>
      </c>
      <c r="BT127" s="201">
        <f t="shared" si="31"/>
        <v>0</v>
      </c>
      <c r="BU127" s="120">
        <f>VLOOKUP($A127,TOCA_current!A123:BG258,MATCH(BU$4,TOCA_current!$A$2:$BG$2,0),FALSE)</f>
        <v>8.1349280201434143E-2</v>
      </c>
      <c r="BV127" s="120">
        <f t="shared" si="38"/>
        <v>0</v>
      </c>
      <c r="BW127" s="120">
        <f t="shared" si="39"/>
        <v>0</v>
      </c>
      <c r="BX127" s="191">
        <f>VLOOKUP($A127,IRD!$A$4:$G$139, 7, FALSE)</f>
        <v>38863.257999999994</v>
      </c>
      <c r="BY127" s="192">
        <f t="array" ref="BY127">IF($BT127=0, INDEX(LS_current!$D$4:$AY$138, MATCH('Staging Table'!$A127, LS_current!$B$4:$B$138, 0), MATCH(BY$4&amp;BY$5, LS_current!$D$2:$AY$2&amp;LS_current!$D$3:$AY$3, 0)),SUM(VLOOKUP($A127, LS_current!$B$4:$AY$138, LS_current!D$148, FALSE), VLOOKUP($A127, LS_current!$B$4:$AY$138,LS_current!AB$148, FALSE))/2)</f>
        <v>-1591.5071974202747</v>
      </c>
      <c r="BZ127" s="192">
        <f t="array" ref="BZ127">IF($BT127=0, INDEX(LS_current!$D$4:$AY$138, MATCH('Staging Table'!$A127, LS_current!$B$4:$B$138, 0), MATCH(BZ$4&amp;BZ$5, LS_current!$D$2:$AY$2&amp;LS_current!$D$3:$AY$3, 0)),SUM(VLOOKUP($A127, LS_current!$B$4:$AY$138, LS_current!E$148, FALSE), VLOOKUP($A127, LS_current!$B$4:$AY$138,LS_current!AC$148, FALSE))/2)</f>
        <v>-273.34083168898087</v>
      </c>
      <c r="CA127" s="192">
        <f t="array" ref="CA127">IF($BT127=0, INDEX(LS_current!$D$4:$AY$138, MATCH('Staging Table'!$A127, LS_current!$B$4:$B$138, 0), MATCH(CA$4&amp;CA$5, LS_current!$D$2:$AY$2&amp;LS_current!$D$3:$AY$3, 0)),SUM(VLOOKUP($A127, LS_current!$B$4:$AY$138, LS_current!F$148, FALSE), VLOOKUP($A127, LS_current!$B$4:$AY$138,LS_current!AD$148, FALSE))/2)</f>
        <v>-3137.1013025465172</v>
      </c>
      <c r="CB127" s="192">
        <f t="array" ref="CB127">IF($BT127=0, INDEX(LS_current!$D$4:$AY$138, MATCH('Staging Table'!$A127, LS_current!$B$4:$B$138, 0), MATCH(CB$4&amp;CB$5, LS_current!$D$2:$AY$2&amp;LS_current!$D$3:$AY$3, 0)),SUM(VLOOKUP($A127, LS_current!$B$4:$AY$138, LS_current!G$148, FALSE), VLOOKUP($A127, LS_current!$B$4:$AY$138,LS_current!AE$148, FALSE))/2)</f>
        <v>-1065.3945934697522</v>
      </c>
      <c r="CC127" s="192">
        <f t="array" ref="CC127">IF($BT127=0, INDEX(LS_current!$D$4:$AY$138, MATCH('Staging Table'!$A127, LS_current!$B$4:$B$138, 0), MATCH(CC$4&amp;CC$5, LS_current!$D$2:$AY$2&amp;LS_current!$D$3:$AY$3, 0)),SUM(VLOOKUP($A127, LS_current!$B$4:$AY$138, LS_current!H$148, FALSE), VLOOKUP($A127, LS_current!$B$4:$AY$138,LS_current!AF$148, FALSE))/2)</f>
        <v>49.3531408399067</v>
      </c>
      <c r="CD127" s="192">
        <f t="array" ref="CD127">IF($BT127=0, INDEX(LS_current!$D$4:$AY$138, MATCH('Staging Table'!$A127, LS_current!$B$4:$B$138, 0), MATCH(CD$4&amp;CD$5, LS_current!$D$2:$AY$2&amp;LS_current!$D$3:$AY$3, 0)),SUM(VLOOKUP($A127, LS_current!$B$4:$AY$138, LS_current!I$148, FALSE), VLOOKUP($A127, LS_current!$B$4:$AY$138,LS_current!AG$148, FALSE))/2)</f>
        <v>273.64071853260248</v>
      </c>
      <c r="CE127" s="192">
        <f t="array" ref="CE127">IF($BT127=0, INDEX(LS_current!$D$4:$AY$138, MATCH('Staging Table'!$A127, LS_current!$B$4:$B$138, 0), MATCH(CE$4&amp;CE$5, LS_current!$D$2:$AY$2&amp;LS_current!$D$3:$AY$3, 0)),SUM(VLOOKUP($A127, LS_current!$B$4:$AY$138, LS_current!J$148, FALSE), VLOOKUP($A127, LS_current!$B$4:$AY$138,LS_current!AH$148, FALSE))/2)</f>
        <v>1526.4797852508191</v>
      </c>
      <c r="CF127" s="192">
        <f t="array" ref="CF127">IF($BT127=0, INDEX(LS_current!$D$4:$AY$138, MATCH('Staging Table'!$A127, LS_current!$B$4:$B$138, 0), MATCH(CF$4&amp;CF$5, LS_current!$D$2:$AY$2&amp;LS_current!$D$3:$AY$3, 0)),SUM(VLOOKUP($A127, LS_current!$B$4:$AY$138, LS_current!K$148, FALSE), VLOOKUP($A127, LS_current!$B$4:$AY$138,LS_current!AI$148, FALSE))/2)</f>
        <v>1240.3818608941965</v>
      </c>
      <c r="CG127" s="192">
        <f t="array" ref="CG127">IF($BT127=0, INDEX(LS_current!$D$4:$AY$138, MATCH('Staging Table'!$A127, LS_current!$B$4:$B$138, 0), MATCH(CG$4&amp;CG$5, LS_current!$D$2:$AY$2&amp;LS_current!$D$3:$AY$3, 0)),SUM(VLOOKUP($A127, LS_current!$B$4:$AY$138, LS_current!L$148, FALSE), VLOOKUP($A127, LS_current!$B$4:$AY$138,LS_current!AJ$148, FALSE))/2)</f>
        <v>826.15739004994521</v>
      </c>
      <c r="CH127" s="192">
        <f t="array" ref="CH127">IF($BT127=0, INDEX(LS_current!$D$4:$AY$138, MATCH('Staging Table'!$A127, LS_current!$B$4:$B$138, 0), MATCH(CH$4&amp;CH$5, LS_current!$D$2:$AY$2&amp;LS_current!$D$3:$AY$3, 0)),SUM(VLOOKUP($A127, LS_current!$B$4:$AY$138, LS_current!M$148, FALSE), VLOOKUP($A127, LS_current!$B$4:$AY$138,LS_current!AK$148, FALSE))/2)</f>
        <v>597.33636227230818</v>
      </c>
      <c r="CI127" s="192">
        <f t="array" ref="CI127">IF($BT127=0, INDEX(LS_current!$D$4:$AY$138, MATCH('Staging Table'!$A127, LS_current!$B$4:$B$138, 0), MATCH(CI$4&amp;CI$5, LS_current!$D$2:$AY$2&amp;LS_current!$D$3:$AY$3, 0)),SUM(VLOOKUP($A127, LS_current!$B$4:$AY$138, LS_current!N$148, FALSE), VLOOKUP($A127, LS_current!$B$4:$AY$138,LS_current!AL$148, FALSE))/2)</f>
        <v>-982.28504955678636</v>
      </c>
      <c r="CJ127" s="192">
        <f t="array" ref="CJ127">IF($BT127=0, INDEX(LS_current!$D$4:$AY$138, MATCH('Staging Table'!$A127, LS_current!$B$4:$B$138, 0), MATCH(CJ$4&amp;CJ$5, LS_current!$D$2:$AY$2&amp;LS_current!$D$3:$AY$3, 0)),SUM(VLOOKUP($A127, LS_current!$B$4:$AY$138, LS_current!O$148, FALSE), VLOOKUP($A127, LS_current!$B$4:$AY$138,LS_current!AM$148, FALSE))/2)</f>
        <v>154.96158012515207</v>
      </c>
      <c r="CK127" s="192">
        <f t="array" ref="CK127">IF($BT127=0, INDEX(LS_current!$D$4:$AY$138, MATCH('Staging Table'!$A127, LS_current!$B$4:$B$138, 0), MATCH(CK$4&amp;CK$5, LS_current!$D$2:$AY$2&amp;LS_current!$D$3:$AY$3, 0)),SUM(VLOOKUP($A127, LS_current!$B$4:$AY$138, LS_current!P$148, FALSE), VLOOKUP($A127, LS_current!$B$4:$AY$138,LS_current!AN$148, FALSE))/2)</f>
        <v>183.17442862881308</v>
      </c>
      <c r="CL127" s="192">
        <f t="array" ref="CL127">IF($BT127=0, INDEX(LS_current!$D$4:$AY$138, MATCH('Staging Table'!$A127, LS_current!$B$4:$B$138, 0), MATCH(CL$4&amp;CL$5, LS_current!$D$2:$AY$2&amp;LS_current!$D$3:$AY$3, 0)),SUM(VLOOKUP($A127, LS_current!$B$4:$AY$138, LS_current!Q$148, FALSE), VLOOKUP($A127, LS_current!$B$4:$AY$138,LS_current!AO$148, FALSE))/2)</f>
        <v>620.48285886993517</v>
      </c>
      <c r="CM127" s="192">
        <f t="array" ref="CM127">IF($BT127=0, INDEX(LS_current!$D$4:$AY$138, MATCH('Staging Table'!$A127, LS_current!$B$4:$B$138, 0), MATCH(CM$4&amp;CM$5, LS_current!$D$2:$AY$2&amp;LS_current!$D$3:$AY$3, 0)),SUM(VLOOKUP($A127, LS_current!$B$4:$AY$138, LS_current!R$148, FALSE), VLOOKUP($A127, LS_current!$B$4:$AY$138,LS_current!AP$148, FALSE))/2)</f>
        <v>-486.51763623920306</v>
      </c>
      <c r="CN127" s="192">
        <f t="array" ref="CN127">IF($BT127=0, INDEX(LS_current!$D$4:$AY$138, MATCH('Staging Table'!$A127, LS_current!$B$4:$B$138, 0), MATCH(CN$4&amp;CN$5, LS_current!$D$2:$AY$2&amp;LS_current!$D$3:$AY$3, 0)),SUM(VLOOKUP($A127, LS_current!$B$4:$AY$138, LS_current!S$148, FALSE), VLOOKUP($A127, LS_current!$B$4:$AY$138,LS_current!AQ$148, FALSE))/2)</f>
        <v>2228.6160215543641</v>
      </c>
      <c r="CO127" s="192">
        <f t="array" ref="CO127">IF($BT127=0, INDEX(LS_current!$D$4:$AY$138, MATCH('Staging Table'!$A127, LS_current!$B$4:$B$138, 0), MATCH(CO$4&amp;CO$5, LS_current!$D$2:$AY$2&amp;LS_current!$D$3:$AY$3, 0)),SUM(VLOOKUP($A127, LS_current!$B$4:$AY$138, LS_current!T$148, FALSE), VLOOKUP($A127, LS_current!$B$4:$AY$138,LS_current!AR$148, FALSE))/2)</f>
        <v>1002.9809401582461</v>
      </c>
      <c r="CP127" s="192">
        <f t="array" ref="CP127">IF($BT127=0, INDEX(LS_current!$D$4:$AY$138, MATCH('Staging Table'!$A127, LS_current!$B$4:$B$138, 0), MATCH(CP$4&amp;CP$5, LS_current!$D$2:$AY$2&amp;LS_current!$D$3:$AY$3, 0)),SUM(VLOOKUP($A127, LS_current!$B$4:$AY$138, LS_current!U$148, FALSE), VLOOKUP($A127, LS_current!$B$4:$AY$138,LS_current!AS$148, FALSE))/2)</f>
        <v>3715.4067789011406</v>
      </c>
      <c r="CQ127" s="192">
        <f t="array" ref="CQ127">IF($BT127=0, INDEX(LS_current!$D$4:$AY$138, MATCH('Staging Table'!$A127, LS_current!$B$4:$B$138, 0), MATCH(CQ$4&amp;CQ$5, LS_current!$D$2:$AY$2&amp;LS_current!$D$3:$AY$3, 0)),SUM(VLOOKUP($A127, LS_current!$B$4:$AY$138, LS_current!V$148, FALSE), VLOOKUP($A127, LS_current!$B$4:$AY$138,LS_current!AT$148, FALSE))/2)</f>
        <v>3706.5737910562602</v>
      </c>
      <c r="CR127" s="192">
        <f t="array" ref="CR127">IF($BT127=0, INDEX(LS_current!$D$4:$AY$138, MATCH('Staging Table'!$A127, LS_current!$B$4:$B$138, 0), MATCH(CR$4&amp;CR$5, LS_current!$D$2:$AY$2&amp;LS_current!$D$3:$AY$3, 0)),SUM(VLOOKUP($A127, LS_current!$B$4:$AY$138, LS_current!W$148, FALSE), VLOOKUP($A127, LS_current!$B$4:$AY$138,LS_current!AU$148, FALSE))/2)</f>
        <v>4917.6073586753209</v>
      </c>
      <c r="CS127" s="192">
        <f t="array" ref="CS127">IF($BT127=0, INDEX(LS_current!$D$4:$AY$138, MATCH('Staging Table'!$A127, LS_current!$B$4:$B$138, 0), MATCH(CS$4&amp;CS$5, LS_current!$D$2:$AY$2&amp;LS_current!$D$3:$AY$3, 0)),SUM(VLOOKUP($A127, LS_current!$B$4:$AY$138, LS_current!X$148, FALSE), VLOOKUP($A127, LS_current!$B$4:$AY$138,LS_current!AV$148, FALSE))/2)</f>
        <v>2351.9411751805146</v>
      </c>
      <c r="CT127" s="192">
        <f t="array" ref="CT127">IF($BT127=0, INDEX(LS_current!$D$4:$AY$138, MATCH('Staging Table'!$A127, LS_current!$B$4:$B$138, 0), MATCH(CT$4&amp;CT$5, LS_current!$D$2:$AY$2&amp;LS_current!$D$3:$AY$3, 0)),SUM(VLOOKUP($A127, LS_current!$B$4:$AY$138, LS_current!Y$148, FALSE), VLOOKUP($A127, LS_current!$B$4:$AY$138,LS_current!AW$148, FALSE))/2)</f>
        <v>3373.8766895433273</v>
      </c>
      <c r="CU127" s="192">
        <f t="array" ref="CU127">IF($BT127=0, INDEX(LS_current!$D$4:$AY$138, MATCH('Staging Table'!$A127, LS_current!$B$4:$B$138, 0), MATCH(CU$4&amp;CU$5, LS_current!$D$2:$AY$2&amp;LS_current!$D$3:$AY$3, 0)),SUM(VLOOKUP($A127, LS_current!$B$4:$AY$138, LS_current!Z$148, FALSE), VLOOKUP($A127, LS_current!$B$4:$AY$138,LS_current!AX$148, FALSE))/2)</f>
        <v>-305.38370313271662</v>
      </c>
      <c r="CV127" s="192">
        <f t="array" ref="CV127">IF($BT127=0, INDEX(LS_current!$D$4:$AY$138, MATCH('Staging Table'!$A127, LS_current!$B$4:$B$138, 0), MATCH(CV$4&amp;CV$5, LS_current!$D$2:$AY$2&amp;LS_current!$D$3:$AY$3, 0)),SUM(VLOOKUP($A127, LS_current!$B$4:$AY$138, LS_current!AA$148, FALSE), VLOOKUP($A127, LS_current!$B$4:$AY$138,LS_current!AY$148, FALSE))/2)</f>
        <v>1330.5464939998355</v>
      </c>
      <c r="CW127" s="194">
        <f t="array" ref="CW127">INDEX(Demand_current!$D$4:$AY$138, MATCH($A127, Demand_current!$B$4:$B$138, 0), MATCH(CW$4&amp;CW$5,Demand_current!$D$2:$AY$2&amp;Demand_current!$D$3:$AY$3, 0))/1000</f>
        <v>2.9954326923076922</v>
      </c>
      <c r="CX127" s="194">
        <f t="array" ref="CX127">INDEX(Demand_current!$D$4:$AY$138, MATCH($A127, Demand_current!$B$4:$B$138, 0), MATCH(CX$4&amp;CX$5,Demand_current!$D$2:$AY$2&amp;Demand_current!$D$3:$AY$3, 0))/1000</f>
        <v>0.7674850000000033</v>
      </c>
      <c r="CY127" s="194">
        <f t="array" ref="CY127">INDEX(Demand_current!$D$4:$AY$138, MATCH($A127, Demand_current!$B$4:$B$138, 0), MATCH(CY$4&amp;CY$5,Demand_current!$D$2:$AY$2&amp;Demand_current!$D$3:$AY$3, 0))/1000</f>
        <v>0.8141923076923101</v>
      </c>
      <c r="CZ127" s="194">
        <f t="array" ref="CZ127">INDEX(Demand_current!$D$4:$AY$138, MATCH($A127, Demand_current!$B$4:$B$138, 0), MATCH(CZ$4&amp;CZ$5,Demand_current!$D$2:$AY$2&amp;Demand_current!$D$3:$AY$3, 0))/1000</f>
        <v>1.3100900000000077</v>
      </c>
      <c r="DA127" s="194">
        <f t="array" ref="DA127">INDEX(Demand_current!$D$4:$AY$138, MATCH($A127, Demand_current!$B$4:$B$138, 0), MATCH(DA$4&amp;DA$5,Demand_current!$D$2:$AY$2&amp;Demand_current!$D$3:$AY$3, 0))/1000</f>
        <v>0.99504947916666353</v>
      </c>
      <c r="DB127" s="194">
        <f t="array" ref="DB127">INDEX(Demand_current!$D$4:$AY$138, MATCH($A127, Demand_current!$B$4:$B$138, 0), MATCH(DB$4&amp;DB$5,Demand_current!$D$2:$AY$2&amp;Demand_current!$D$3:$AY$3, 0))/1000</f>
        <v>2.4540393518518497</v>
      </c>
      <c r="DC127" s="194">
        <f t="array" ref="DC127">INDEX(Demand_current!$D$4:$AY$138, MATCH($A127, Demand_current!$B$4:$B$138, 0), MATCH(DC$4&amp;DC$5,Demand_current!$D$2:$AY$2&amp;Demand_current!$D$3:$AY$3, 0))/1000</f>
        <v>3.9737668269230779</v>
      </c>
      <c r="DD127" s="194">
        <f t="array" ref="DD127">INDEX(Demand_current!$D$4:$AY$138, MATCH($A127, Demand_current!$B$4:$B$138, 0), MATCH(DD$4&amp;DD$5,Demand_current!$D$2:$AY$2&amp;Demand_current!$D$3:$AY$3, 0))/1000</f>
        <v>2.7763825000000004</v>
      </c>
      <c r="DE127" s="194">
        <f t="array" ref="DE127">INDEX(Demand_current!$D$4:$AY$138, MATCH($A127, Demand_current!$B$4:$B$138, 0), MATCH(DE$4&amp;DE$5,Demand_current!$D$2:$AY$2&amp;Demand_current!$D$3:$AY$3, 0))/1000</f>
        <v>4.1909062500000056</v>
      </c>
      <c r="DF127" s="194">
        <f t="array" ref="DF127">INDEX(Demand_current!$D$4:$AY$138, MATCH($A127, Demand_current!$B$4:$B$138, 0), MATCH(DF$4&amp;DF$5,Demand_current!$D$2:$AY$2&amp;Demand_current!$D$3:$AY$3, 0))/1000</f>
        <v>4.4813650000000056</v>
      </c>
      <c r="DG127" s="194">
        <f t="array" ref="DG127">INDEX(Demand_current!$D$4:$AY$138, MATCH($A127, Demand_current!$B$4:$B$138, 0), MATCH(DG$4&amp;DG$5,Demand_current!$D$2:$AY$2&amp;Demand_current!$D$3:$AY$3, 0))/1000</f>
        <v>4.7056759259259255</v>
      </c>
      <c r="DH127" s="194">
        <f t="array" ref="DH127">INDEX(Demand_current!$D$4:$AY$138, MATCH($A127, Demand_current!$B$4:$B$138, 0), MATCH(DH$4&amp;DH$5,Demand_current!$D$2:$AY$2&amp;Demand_current!$D$3:$AY$3, 0))/1000</f>
        <v>5.8215950000000003</v>
      </c>
      <c r="DI127" s="192">
        <f>$BS127*(VLOOKUP(DI$4, Rates_current!$G$6:$Q$29, 10, FALSE)+VLOOKUP(DI$4, Rates_current!$G$6:$Q$29, 11, FALSE))</f>
        <v>12350.243029109255</v>
      </c>
      <c r="DJ127" s="192">
        <f>$BS127*(VLOOKUP(DJ$4, Rates_current!$G$6:$Q$29, 10, FALSE)+VLOOKUP(DJ$4, Rates_current!$G$6:$Q$29, 11, FALSE))</f>
        <v>15635.85589601627</v>
      </c>
      <c r="DK127" s="192">
        <f>$BS127*(VLOOKUP(DK$4, Rates_current!$G$6:$Q$29, 10, FALSE)+VLOOKUP(DK$4, Rates_current!$G$6:$Q$29, 11, FALSE))</f>
        <v>15304.37914062749</v>
      </c>
      <c r="DL127" s="192">
        <f>$BS127*(VLOOKUP(DL$4, Rates_current!$G$6:$Q$29, 10, FALSE)+VLOOKUP(DL$4, Rates_current!$G$6:$Q$29, 11, FALSE))</f>
        <v>12640.766353854984</v>
      </c>
      <c r="DM127" s="192">
        <f>$BS127*(VLOOKUP(DM$4, Rates_current!$G$6:$Q$29, 10, FALSE)+VLOOKUP(DM$4, Rates_current!$G$6:$Q$29, 11, FALSE))</f>
        <v>10956.029247677747</v>
      </c>
      <c r="DN127" s="192">
        <f>$BS127*(VLOOKUP(DN$4, Rates_current!$G$6:$Q$29, 10, FALSE)+VLOOKUP(DN$4, Rates_current!$G$6:$Q$29, 11, FALSE))</f>
        <v>13079.286469431636</v>
      </c>
      <c r="DO127" s="192">
        <f>$BS127*(VLOOKUP(DO$4, Rates_current!$G$6:$Q$29, 10, FALSE)+VLOOKUP(DO$4, Rates_current!$G$6:$Q$29, 11, FALSE))</f>
        <v>10154.324712501251</v>
      </c>
      <c r="DP127" s="192">
        <f>$BS127*(VLOOKUP(DP$4, Rates_current!$G$6:$Q$29, 10, FALSE)+VLOOKUP(DP$4, Rates_current!$G$6:$Q$29, 11, FALSE))</f>
        <v>14068.891614684839</v>
      </c>
      <c r="DQ127" s="192">
        <f>$BS127*(VLOOKUP(DQ$4, Rates_current!$G$6:$Q$29, 10, FALSE)+VLOOKUP(DQ$4, Rates_current!$G$6:$Q$29, 11, FALSE))</f>
        <v>15032.905280940611</v>
      </c>
      <c r="DR127" s="192">
        <f>$BS127*(VLOOKUP(DR$4, Rates_current!$G$6:$Q$29, 10, FALSE)+VLOOKUP(DR$4, Rates_current!$G$6:$Q$29, 11, FALSE))</f>
        <v>14273.062850268421</v>
      </c>
      <c r="DS127" s="192">
        <f>$BS127*(VLOOKUP(DS$4, Rates_current!$G$6:$Q$29, 10, FALSE)+VLOOKUP(DS$4, Rates_current!$G$6:$Q$29, 11, FALSE))</f>
        <v>13793.814135276154</v>
      </c>
      <c r="DT127" s="192">
        <f>$BS127*(VLOOKUP(DT$4, Rates_current!$G$6:$Q$29, 10, FALSE)+VLOOKUP(DT$4, Rates_current!$G$6:$Q$29, 11, FALSE))</f>
        <v>12746.922209132881</v>
      </c>
      <c r="DU127" s="418">
        <f>IF(D127=0,IF(C127=0,MAX(0,DW127 - (VLOOKUP($A127,TOCA_current!$A$2:$AI$137,MATCH("RHWM 2022",TOCA_current!$A$2:$AI$2,0),FALSE)*$BS$2)), 0),0)</f>
        <v>20258.036186558485</v>
      </c>
      <c r="DV127" s="419">
        <f>MIN(VLOOKUP($A127,TOCA_current!$A$2:$AI$137,MATCH("TRL - NLSL - Existing Resource "&amp;$BS$1,TOCA_current!$A$2:$AI$2,0),FALSE)*$BS$2, VLOOKUP($A127,TOCA_current!$A$2:$AI$137,MATCH("RHWM 2022",TOCA_current!$A$2:$AI$2,0),FALSE)*$BS$2)</f>
        <v>160036.43999999997</v>
      </c>
      <c r="DW127" s="419">
        <f>SUM(BY127:CV127)+(BS127*RT1SC!$C$4*$BS$2)</f>
        <v>180294.47618655846</v>
      </c>
      <c r="DX127" s="419">
        <f>VLOOKUP($A127,TOCA_current!$A$2:$AI$137,MATCH("Above RHWM Not Served with LS "&amp;$BS$1,TOCA_current!$A$2:$AI$2,0),FALSE)*$BS$2</f>
        <v>25947.120000000003</v>
      </c>
      <c r="DY127" s="419">
        <f t="shared" si="32"/>
        <v>20258.036186558485</v>
      </c>
      <c r="DZ127" s="419">
        <f>(VLOOKUP($A127,TOCA_current!$A$2:$AI$137,MATCH("RHWM 2022",TOCA_current!$A$2:$AI$2,0),FALSE)*$BS$2) - $DV127</f>
        <v>0</v>
      </c>
      <c r="EA127" s="419">
        <f t="shared" si="33"/>
        <v>0</v>
      </c>
      <c r="EB127" s="419">
        <f t="shared" si="34"/>
        <v>0</v>
      </c>
      <c r="EC127" s="419">
        <f t="shared" si="35"/>
        <v>0</v>
      </c>
      <c r="ED127" s="419">
        <f t="shared" si="36"/>
        <v>0</v>
      </c>
    </row>
    <row r="128" spans="1:134">
      <c r="A128" s="135">
        <v>10440</v>
      </c>
      <c r="B128" s="136" t="s">
        <v>129</v>
      </c>
      <c r="C128" s="244">
        <f>VLOOKUP(A128, TOCA_current!$A$3:$D$137, 4, FALSE)</f>
        <v>0</v>
      </c>
      <c r="D128" s="203">
        <v>0</v>
      </c>
      <c r="E128" s="119">
        <f>VLOOKUP($A128,TOCA_previous!$A$2:$AI$137,MATCH(E$4,TOCA_previous!$A$2:$AI$2,0),FALSE)</f>
        <v>7.0109999999999997E-4</v>
      </c>
      <c r="F128" s="120">
        <f>VLOOKUP($A128,TOCA_previous!$A$2:$AI$137,MATCH(F$4,TOCA_previous!$A$2:$AI$2,0),FALSE)</f>
        <v>7.0109999999999997E-4</v>
      </c>
      <c r="G128" s="120">
        <f t="shared" si="24"/>
        <v>0</v>
      </c>
      <c r="H128" s="120">
        <f>VLOOKUP($A128,TOCA_previous!$A$2:$AI$137,MATCH(H$4,TOCA_previous!$A$2:$AI$2,0),FALSE)</f>
        <v>5.5E-2</v>
      </c>
      <c r="I128" s="120">
        <f t="shared" si="25"/>
        <v>0</v>
      </c>
      <c r="J128" s="120">
        <f t="shared" si="26"/>
        <v>0</v>
      </c>
      <c r="K128" s="191">
        <f>VLOOKUP(A128, IRD!$A$5:$C$139, 3, FALSE)</f>
        <v>0</v>
      </c>
      <c r="L128" s="192">
        <f t="array" ref="L128">IF($G128=0, INDEX(LS_previous!$D$4:$AY$138, MATCH('Staging Table'!$A128, LS_previous!$B$4:$B$138, 0), MATCH(L$4&amp;L$5, LS_previous!$D$2:$AY$2&amp;LS_previous!$D$3:$AY$3, 0)),SUM(VLOOKUP($A128, LS_previous!$B$4:$AY$138, LS_previous!D$149, FALSE), VLOOKUP('Staging Table'!$A128, LS_previous!$B$4:$AY$138,LS_previous!AB$149, FALSE))/2)</f>
        <v>-53.854743526799666</v>
      </c>
      <c r="M128" s="192">
        <f t="array" ref="M128">IF($G128=0, INDEX(LS_previous!$D$4:$AY$138, MATCH('Staging Table'!$A128, LS_previous!$B$4:$B$138, 0), MATCH(M$4&amp;M$5, LS_previous!$D$2:$AY$2&amp;LS_previous!$D$3:$AY$3, 0)),SUM(VLOOKUP($A128, LS_previous!$B$4:$AY$138, LS_previous!E$149, FALSE), VLOOKUP('Staging Table'!$A128, LS_previous!$B$4:$AY$138,LS_previous!AC$149, FALSE))/2)</f>
        <v>185.98365741120006</v>
      </c>
      <c r="N128" s="192">
        <f t="array" ref="N128">IF($G128=0, INDEX(LS_previous!$D$4:$AY$138, MATCH('Staging Table'!$A128, LS_previous!$B$4:$B$138, 0), MATCH(N$4&amp;N$5, LS_previous!$D$2:$AY$2&amp;LS_previous!$D$3:$AY$3, 0)),SUM(VLOOKUP($A128, LS_previous!$B$4:$AY$138, LS_previous!F$149, FALSE), VLOOKUP('Staging Table'!$A128, LS_previous!$B$4:$AY$138,LS_previous!AD$149, FALSE))/2)</f>
        <v>-59.431373880799583</v>
      </c>
      <c r="O128" s="192">
        <f t="array" ref="O128">IF($G128=0, INDEX(LS_previous!$D$4:$AY$138, MATCH('Staging Table'!$A128, LS_previous!$B$4:$B$138, 0), MATCH(O$4&amp;O$5, LS_previous!$D$2:$AY$2&amp;LS_previous!$D$3:$AY$3, 0)),SUM(VLOOKUP($A128, LS_previous!$B$4:$AY$138, LS_previous!G$149, FALSE), VLOOKUP('Staging Table'!$A128, LS_previous!$B$4:$AY$138,LS_previous!AE$149, FALSE))/2)</f>
        <v>172.65113001789996</v>
      </c>
      <c r="P128" s="192">
        <f t="array" ref="P128">IF($G128=0, INDEX(LS_previous!$D$4:$AY$138, MATCH('Staging Table'!$A128, LS_previous!$B$4:$B$138, 0), MATCH(P$4&amp;P$5, LS_previous!$D$2:$AY$2&amp;LS_previous!$D$3:$AY$3, 0)),SUM(VLOOKUP($A128, LS_previous!$B$4:$AY$138, LS_previous!H$149, FALSE), VLOOKUP('Staging Table'!$A128, LS_previous!$B$4:$AY$138,LS_previous!AF$149, FALSE))/2)</f>
        <v>773.84702726079968</v>
      </c>
      <c r="Q128" s="192">
        <f t="array" ref="Q128">IF($G128=0, INDEX(LS_previous!$D$4:$AY$138, MATCH('Staging Table'!$A128, LS_previous!$B$4:$B$138, 0), MATCH(Q$4&amp;Q$5, LS_previous!$D$2:$AY$2&amp;LS_previous!$D$3:$AY$3, 0)),SUM(VLOOKUP($A128, LS_previous!$B$4:$AY$138, LS_previous!I$149, FALSE), VLOOKUP('Staging Table'!$A128, LS_previous!$B$4:$AY$138,LS_previous!AG$149, FALSE))/2)</f>
        <v>651.90777532359971</v>
      </c>
      <c r="R128" s="192">
        <f t="array" ref="R128">IF($G128=0, INDEX(LS_previous!$D$4:$AY$138, MATCH('Staging Table'!$A128, LS_previous!$B$4:$B$138, 0), MATCH(R$4&amp;R$5, LS_previous!$D$2:$AY$2&amp;LS_previous!$D$3:$AY$3, 0)),SUM(VLOOKUP($A128, LS_previous!$B$4:$AY$138, LS_previous!J$149, FALSE), VLOOKUP('Staging Table'!$A128, LS_previous!$B$4:$AY$138,LS_previous!AH$149, FALSE))/2)</f>
        <v>1044.3173908608001</v>
      </c>
      <c r="S128" s="192">
        <f t="array" ref="S128">IF($G128=0, INDEX(LS_previous!$D$4:$AY$138, MATCH('Staging Table'!$A128, LS_previous!$B$4:$B$138, 0), MATCH(S$4&amp;S$5, LS_previous!$D$2:$AY$2&amp;LS_previous!$D$3:$AY$3, 0)),SUM(VLOOKUP($A128, LS_previous!$B$4:$AY$138, LS_previous!K$149, FALSE), VLOOKUP('Staging Table'!$A128, LS_previous!$B$4:$AY$138,LS_previous!AI$149, FALSE))/2)</f>
        <v>1130.8049045235998</v>
      </c>
      <c r="T128" s="192">
        <f t="array" ref="T128">IF($G128=0, INDEX(LS_previous!$D$4:$AY$138, MATCH('Staging Table'!$A128, LS_previous!$B$4:$B$138, 0), MATCH(T$4&amp;T$5, LS_previous!$D$2:$AY$2&amp;LS_previous!$D$3:$AY$3, 0)),SUM(VLOOKUP($A128, LS_previous!$B$4:$AY$138, LS_previous!L$149, FALSE), VLOOKUP('Staging Table'!$A128, LS_previous!$B$4:$AY$138,LS_previous!AJ$149, FALSE))/2)</f>
        <v>1070.3713563636002</v>
      </c>
      <c r="U128" s="192">
        <f t="array" ref="U128">IF($G128=0, INDEX(LS_previous!$D$4:$AY$138, MATCH('Staging Table'!$A128, LS_previous!$B$4:$B$138, 0), MATCH(U$4&amp;U$5, LS_previous!$D$2:$AY$2&amp;LS_previous!$D$3:$AY$3, 0)),SUM(VLOOKUP($A128, LS_previous!$B$4:$AY$138, LS_previous!M$149, FALSE), VLOOKUP('Staging Table'!$A128, LS_previous!$B$4:$AY$138,LS_previous!AK$149, FALSE))/2)</f>
        <v>816.34770515640002</v>
      </c>
      <c r="V128" s="192">
        <f t="array" ref="V128">IF($G128=0, INDEX(LS_previous!$D$4:$AY$138, MATCH('Staging Table'!$A128, LS_previous!$B$4:$B$138, 0), MATCH(V$4&amp;V$5, LS_previous!$D$2:$AY$2&amp;LS_previous!$D$3:$AY$3, 0)),SUM(VLOOKUP($A128, LS_previous!$B$4:$AY$138, LS_previous!N$149, FALSE), VLOOKUP('Staging Table'!$A128, LS_previous!$B$4:$AY$138,LS_previous!AL$149, FALSE))/2)</f>
        <v>739.06927560240001</v>
      </c>
      <c r="W128" s="192">
        <f t="array" ref="W128">IF($G128=0, INDEX(LS_previous!$D$4:$AY$138, MATCH('Staging Table'!$A128, LS_previous!$B$4:$B$138, 0), MATCH(W$4&amp;W$5, LS_previous!$D$2:$AY$2&amp;LS_previous!$D$3:$AY$3, 0)),SUM(VLOOKUP($A128, LS_previous!$B$4:$AY$138, LS_previous!O$149, FALSE), VLOOKUP('Staging Table'!$A128, LS_previous!$B$4:$AY$138,LS_previous!AM$149, FALSE))/2)</f>
        <v>547.09778496690001</v>
      </c>
      <c r="X128" s="192">
        <f t="array" ref="X128">IF($G128=0, INDEX(LS_previous!$D$4:$AY$138, MATCH('Staging Table'!$A128, LS_previous!$B$4:$B$138, 0), MATCH(X$4&amp;X$5, LS_previous!$D$2:$AY$2&amp;LS_previous!$D$3:$AY$3, 0)),SUM(VLOOKUP($A128, LS_previous!$B$4:$AY$138, LS_previous!P$149, FALSE), VLOOKUP('Staging Table'!$A128, LS_previous!$B$4:$AY$138,LS_previous!AN$149, FALSE))/2)</f>
        <v>588.09073598159989</v>
      </c>
      <c r="Y128" s="192">
        <f t="array" ref="Y128">IF($G128=0, INDEX(LS_previous!$D$4:$AY$138, MATCH('Staging Table'!$A128, LS_previous!$B$4:$B$138, 0), MATCH(Y$4&amp;Y$5, LS_previous!$D$2:$AY$2&amp;LS_previous!$D$3:$AY$3, 0)),SUM(VLOOKUP($A128, LS_previous!$B$4:$AY$138, LS_previous!Q$149, FALSE), VLOOKUP('Staging Table'!$A128, LS_previous!$B$4:$AY$138,LS_previous!AO$149, FALSE))/2)</f>
        <v>424.67427169040025</v>
      </c>
      <c r="Z128" s="192">
        <f t="array" ref="Z128">IF($G128=0, INDEX(LS_previous!$D$4:$AY$138, MATCH('Staging Table'!$A128, LS_previous!$B$4:$B$138, 0), MATCH(Z$4&amp;Z$5, LS_previous!$D$2:$AY$2&amp;LS_previous!$D$3:$AY$3, 0)),SUM(VLOOKUP($A128, LS_previous!$B$4:$AY$138, LS_previous!R$149, FALSE), VLOOKUP('Staging Table'!$A128, LS_previous!$B$4:$AY$138,LS_previous!AP$149, FALSE))/2)</f>
        <v>-747.49586580999994</v>
      </c>
      <c r="AA128" s="192">
        <f t="array" ref="AA128">IF($G128=0, INDEX(LS_previous!$D$4:$AY$138, MATCH('Staging Table'!$A128, LS_previous!$B$4:$B$138, 0), MATCH(AA$4&amp;AA$5, LS_previous!$D$2:$AY$2&amp;LS_previous!$D$3:$AY$3, 0)),SUM(VLOOKUP($A128, LS_previous!$B$4:$AY$138, LS_previous!S$149, FALSE), VLOOKUP('Staging Table'!$A128, LS_previous!$B$4:$AY$138,LS_previous!AQ$149, FALSE))/2)</f>
        <v>-116.12535885559987</v>
      </c>
      <c r="AB128" s="192">
        <f t="array" ref="AB128">IF($G128=0, INDEX(LS_previous!$D$4:$AY$138, MATCH('Staging Table'!$A128, LS_previous!$B$4:$B$138, 0), MATCH(AB$4&amp;AB$5, LS_previous!$D$2:$AY$2&amp;LS_previous!$D$3:$AY$3, 0)),SUM(VLOOKUP($A128, LS_previous!$B$4:$AY$138, LS_previous!T$149, FALSE), VLOOKUP('Staging Table'!$A128, LS_previous!$B$4:$AY$138,LS_previous!AR$149, FALSE))/2)</f>
        <v>-1457.3589398683998</v>
      </c>
      <c r="AC128" s="192">
        <f t="array" ref="AC128">IF($G128=0, INDEX(LS_previous!$D$4:$AY$138, MATCH('Staging Table'!$A128, LS_previous!$B$4:$B$138, 0), MATCH(AC$4&amp;AC$5, LS_previous!$D$2:$AY$2&amp;LS_previous!$D$3:$AY$3, 0)),SUM(VLOOKUP($A128, LS_previous!$B$4:$AY$138, LS_previous!U$149, FALSE), VLOOKUP('Staging Table'!$A128, LS_previous!$B$4:$AY$138,LS_previous!AS$149, FALSE))/2)</f>
        <v>-717.24264290959991</v>
      </c>
      <c r="AD128" s="192">
        <f t="array" ref="AD128">IF($G128=0, INDEX(LS_previous!$D$4:$AY$138, MATCH('Staging Table'!$A128, LS_previous!$B$4:$B$138, 0), MATCH(AD$4&amp;AD$5, LS_previous!$D$2:$AY$2&amp;LS_previous!$D$3:$AY$3, 0)),SUM(VLOOKUP($A128, LS_previous!$B$4:$AY$138, LS_previous!V$149, FALSE), VLOOKUP('Staging Table'!$A128, LS_previous!$B$4:$AY$138,LS_previous!AT$149, FALSE))/2)</f>
        <v>-1072.3096153683996</v>
      </c>
      <c r="AE128" s="192">
        <f t="array" ref="AE128">IF($G128=0, INDEX(LS_previous!$D$4:$AY$138, MATCH('Staging Table'!$A128, LS_previous!$B$4:$B$138, 0), MATCH(AE$4&amp;AE$5, LS_previous!$D$2:$AY$2&amp;LS_previous!$D$3:$AY$3, 0)),SUM(VLOOKUP($A128, LS_previous!$B$4:$AY$138, LS_previous!W$149, FALSE), VLOOKUP('Staging Table'!$A128, LS_previous!$B$4:$AY$138,LS_previous!AU$149, FALSE))/2)</f>
        <v>-134.4942411472</v>
      </c>
      <c r="AF128" s="192">
        <f t="array" ref="AF128">IF($G128=0, INDEX(LS_previous!$D$4:$AY$138, MATCH('Staging Table'!$A128, LS_previous!$B$4:$B$138, 0), MATCH(AF$4&amp;AF$5, LS_previous!$D$2:$AY$2&amp;LS_previous!$D$3:$AY$3, 0)),SUM(VLOOKUP($A128, LS_previous!$B$4:$AY$138, LS_previous!X$149, FALSE), VLOOKUP('Staging Table'!$A128, LS_previous!$B$4:$AY$138,LS_previous!AV$149, FALSE))/2)</f>
        <v>-842.04445981839967</v>
      </c>
      <c r="AG128" s="192">
        <f t="array" ref="AG128">IF($G128=0, INDEX(LS_previous!$D$4:$AY$138, MATCH('Staging Table'!$A128, LS_previous!$B$4:$B$138, 0), MATCH(AG$4&amp;AG$5, LS_previous!$D$2:$AY$2&amp;LS_previous!$D$3:$AY$3, 0)),SUM(VLOOKUP($A128, LS_previous!$B$4:$AY$138, LS_previous!Y$149, FALSE), VLOOKUP('Staging Table'!$A128, LS_previous!$B$4:$AY$138,LS_previous!AW$149, FALSE))/2)</f>
        <v>-240.68796914719996</v>
      </c>
      <c r="AH128" s="192">
        <f t="array" ref="AH128">IF($G128=0, INDEX(LS_previous!$D$4:$AY$138, MATCH('Staging Table'!$A128, LS_previous!$B$4:$B$138, 0), MATCH(AH$4&amp;AH$5, LS_previous!$D$2:$AY$2&amp;LS_previous!$D$3:$AY$3, 0)),SUM(VLOOKUP($A128, LS_previous!$B$4:$AY$138, LS_previous!Z$149, FALSE), VLOOKUP('Staging Table'!$A128, LS_previous!$B$4:$AY$138,LS_previous!AX$149, FALSE))/2)</f>
        <v>-507.97364416000005</v>
      </c>
      <c r="AI128" s="192">
        <f t="array" ref="AI128">IF($G128=0, INDEX(LS_previous!$D$4:$AY$138, MATCH('Staging Table'!$A128, LS_previous!$B$4:$B$138, 0), MATCH(AI$4&amp;AI$5, LS_previous!$D$2:$AY$2&amp;LS_previous!$D$3:$AY$3, 0)),SUM(VLOOKUP($A128, LS_previous!$B$4:$AY$138, LS_previous!AA$149, FALSE), VLOOKUP('Staging Table'!$A128, LS_previous!$B$4:$AY$138,LS_previous!AY$149, FALSE))/2)</f>
        <v>-185.18156726799987</v>
      </c>
      <c r="AJ128" s="314">
        <f t="array" ref="AJ128">INDEX(Demand_previous!$D$4:$AY$138, MATCH('Staging Table'!$A128, Demand_previous!$B$4:$B$138, 0), MATCH(AJ$4&amp;AJ$5,Demand_previous!$D$2:$AY$2&amp;Demand_previous!$D$3:$AY$3, 0))/1000</f>
        <v>0.30320138888888915</v>
      </c>
      <c r="AK128" s="314">
        <f t="array" ref="AK128">INDEX(Demand_previous!$D$4:$AY$138, MATCH('Staging Table'!$A128, Demand_previous!$B$4:$B$138, 0), MATCH(AK$4&amp;AK$5,Demand_previous!$D$2:$AY$2&amp;Demand_previous!$D$3:$AY$3, 0))/1000</f>
        <v>0.3910724999999986</v>
      </c>
      <c r="AL128" s="314">
        <f t="array" ref="AL128">INDEX(Demand_previous!$D$4:$AY$138, MATCH('Staging Table'!$A128, Demand_previous!$B$4:$B$138, 0), MATCH(AL$4&amp;AL$5,Demand_previous!$D$2:$AY$2&amp;Demand_previous!$D$3:$AY$3, 0))/1000</f>
        <v>0.65718750000000004</v>
      </c>
      <c r="AM128" s="314">
        <f t="array" ref="AM128">INDEX(Demand_previous!$D$4:$AY$138, MATCH('Staging Table'!$A128, Demand_previous!$B$4:$B$138, 0), MATCH(AM$4&amp;AM$5,Demand_previous!$D$2:$AY$2&amp;Demand_previous!$D$3:$AY$3, 0))/1000</f>
        <v>0.84164663461538503</v>
      </c>
      <c r="AN128" s="314">
        <f t="array" ref="AN128">INDEX(Demand_previous!$D$4:$AY$138, MATCH('Staging Table'!$A128, Demand_previous!$B$4:$B$138, 0), MATCH(AN$4&amp;AN$5,Demand_previous!$D$2:$AY$2&amp;Demand_previous!$D$3:$AY$3, 0))/1000</f>
        <v>1.4274349999999996</v>
      </c>
      <c r="AO128" s="314">
        <f t="array" ref="AO128">INDEX(Demand_previous!$D$4:$AY$138, MATCH('Staging Table'!$A128, Demand_previous!$B$4:$B$138, 0), MATCH(AO$4&amp;AO$5,Demand_previous!$D$2:$AY$2&amp;Demand_previous!$D$3:$AY$3, 0))/1000</f>
        <v>0.70295913461538584</v>
      </c>
      <c r="AP128" s="314">
        <f t="array" ref="AP128">INDEX(Demand_previous!$D$4:$AY$138, MATCH('Staging Table'!$A128, Demand_previous!$B$4:$B$138, 0), MATCH(AP$4&amp;AP$5,Demand_previous!$D$2:$AY$2&amp;Demand_previous!$D$3:$AY$3, 0))/1000</f>
        <v>0.31879086538461543</v>
      </c>
      <c r="AQ128" s="314">
        <f t="array" ref="AQ128">INDEX(Demand_previous!$D$4:$AY$138, MATCH('Staging Table'!$A128, Demand_previous!$B$4:$B$138, 0), MATCH(AQ$4&amp;AQ$5,Demand_previous!$D$2:$AY$2&amp;Demand_previous!$D$3:$AY$3, 0))/1000</f>
        <v>0.17304999999999993</v>
      </c>
      <c r="AR128" s="314">
        <f t="array" ref="AR128">INDEX(Demand_previous!$D$4:$AY$138, MATCH('Staging Table'!$A128, Demand_previous!$B$4:$B$138, 0), MATCH(AR$4&amp;AR$5,Demand_previous!$D$2:$AY$2&amp;Demand_previous!$D$3:$AY$3, 0))/1000</f>
        <v>0.13862740384615391</v>
      </c>
      <c r="AS128" s="314">
        <f t="array" ref="AS128">INDEX(Demand_previous!$D$4:$AY$138, MATCH('Staging Table'!$A128, Demand_previous!$B$4:$B$138, 0), MATCH(AS$4&amp;AS$5,Demand_previous!$D$2:$AY$2&amp;Demand_previous!$D$3:$AY$3, 0))/1000</f>
        <v>0.50110096153846173</v>
      </c>
      <c r="AT128" s="314">
        <f t="array" ref="AT128">INDEX(Demand_previous!$D$4:$AY$138, MATCH('Staging Table'!$A128, Demand_previous!$B$4:$B$138, 0), MATCH(AT$4&amp;AT$5,Demand_previous!$D$2:$AY$2&amp;Demand_previous!$D$3:$AY$3, 0))/1000</f>
        <v>0.50526442307692254</v>
      </c>
      <c r="AU128" s="314">
        <f t="array" ref="AU128">INDEX(Demand_previous!$D$4:$AY$138, MATCH('Staging Table'!$A128, Demand_previous!$B$4:$B$138, 0), MATCH(AU$4&amp;AU$5,Demand_previous!$D$2:$AY$2&amp;Demand_previous!$D$3:$AY$3, 0))/1000</f>
        <v>0.18727749999999976</v>
      </c>
      <c r="AV128" s="192">
        <f>$F128*(VLOOKUP(AV$4, Rates_previous!$G$6:$Q$29, 10, FALSE)+VLOOKUP(AV$4, Rates_previous!$G$6:$Q$29, 11, FALSE))</f>
        <v>3237.2010861155995</v>
      </c>
      <c r="AW128" s="192">
        <f>$F128*(VLOOKUP(AW$4, Rates_previous!$G$6:$Q$29, 10, FALSE)+VLOOKUP(AW$4, Rates_previous!$G$6:$Q$29, 11, FALSE))</f>
        <v>4112.2552438629</v>
      </c>
      <c r="AX128" s="192">
        <f>$F128*(VLOOKUP(AX$4, Rates_previous!$G$6:$Q$29, 10, FALSE)+VLOOKUP(AX$4, Rates_previous!$G$6:$Q$29, 11, FALSE))</f>
        <v>4062.5941974156003</v>
      </c>
      <c r="AY128" s="192">
        <f>$F128*(VLOOKUP(AY$4, Rates_previous!$G$6:$Q$29, 10, FALSE)+VLOOKUP(AY$4, Rates_previous!$G$6:$Q$29, 11, FALSE))</f>
        <v>3386.4197046156</v>
      </c>
      <c r="AZ128" s="192">
        <f>$F128*(VLOOKUP(AZ$4, Rates_previous!$G$6:$Q$29, 10, FALSE)+VLOOKUP(AZ$4, Rates_previous!$G$6:$Q$29, 11, FALSE))</f>
        <v>3067.7449384799997</v>
      </c>
      <c r="BA128" s="192">
        <f>$F128*(VLOOKUP(BA$4, Rates_previous!$G$6:$Q$29, 10, FALSE)+VLOOKUP(BA$4, Rates_previous!$G$6:$Q$29, 11, FALSE))</f>
        <v>3412.3069394306999</v>
      </c>
      <c r="BB128" s="192">
        <f>$F128*(VLOOKUP(BB$4, Rates_previous!$G$6:$Q$29, 10, FALSE)+VLOOKUP(BB$4, Rates_previous!$G$6:$Q$29, 11, FALSE))</f>
        <v>2778.3039923279998</v>
      </c>
      <c r="BC128" s="192">
        <f>$F128*(VLOOKUP(BC$4, Rates_previous!$G$6:$Q$29, 10, FALSE)+VLOOKUP(BC$4, Rates_previous!$G$6:$Q$29, 11, FALSE))</f>
        <v>3746.9572246656003</v>
      </c>
      <c r="BD128" s="192">
        <f>$F128*(VLOOKUP(BD$4, Rates_previous!$G$6:$Q$29, 10, FALSE)+VLOOKUP(BD$4, Rates_previous!$G$6:$Q$29, 11, FALSE))</f>
        <v>4780.8625827779997</v>
      </c>
      <c r="BE128" s="192">
        <f>$F128*(VLOOKUP(BE$4, Rates_previous!$G$6:$Q$29, 10, FALSE)+VLOOKUP(BE$4, Rates_previous!$G$6:$Q$29, 11, FALSE))</f>
        <v>3748.3478565156001</v>
      </c>
      <c r="BF128" s="192">
        <f>$F128*(VLOOKUP(BF$4, Rates_previous!$G$6:$Q$29, 10, FALSE)+VLOOKUP(BF$4, Rates_previous!$G$6:$Q$29, 11, FALSE))</f>
        <v>3650.1444289656001</v>
      </c>
      <c r="BG128" s="192">
        <f>$F128*(VLOOKUP(BG$4, Rates_previous!$G$6:$Q$29, 10, FALSE)+VLOOKUP(BG$4, Rates_previous!$G$6:$Q$29, 11, FALSE))</f>
        <v>3277.0532114279999</v>
      </c>
      <c r="BH128" s="314">
        <f>IF($D128=0,IF(C128=0, MAX(BJ128 - (VLOOKUP($A128,TOCA_previous!$A$2:$AI$137,MATCH("RHWM 2020",TOCA_previous!$A$2:$AI$2,0),FALSE)*$F$2*TOCA_previous!C125),0),0), 0)</f>
        <v>1535.6196237475961</v>
      </c>
      <c r="BI128" s="204">
        <f>MIN(VLOOKUP($A128,TOCA_previous!$A$2:$AI$137,MATCH("TRL - NLSL - Existing Resource "&amp;$F$1,TOCA_previous!$A$2:$AI$2,0),FALSE)*$F$2,(VLOOKUP($A128,TOCA_previous!$A$2:$AI$137,MATCH("RHWM 2020",TOCA_previous!$A$2:$AI$2,0),FALSE)*$F$2))</f>
        <v>43261.2</v>
      </c>
      <c r="BJ128" s="418">
        <f>SUM(L128:AI128)+(F128*RT1SC!$C$3*$F$2)</f>
        <v>45271.155623747596</v>
      </c>
      <c r="BK128" s="417">
        <f>VLOOKUP($A128,TOCA_previous!$A$2:$AI$137,MATCH("Above RHWM Not Served with LS "&amp;$F$1,TOCA_previous!$A$2:$AI$2,0),FALSE)*$F$2</f>
        <v>0</v>
      </c>
      <c r="BL128" s="418">
        <f t="shared" si="27"/>
        <v>2009.955623747599</v>
      </c>
      <c r="BM128" s="417">
        <f>(VLOOKUP($A128,TOCA_previous!$A$2:$AI$137,MATCH("RHWM 2020",TOCA_previous!$A$2:$AI$2,0),FALSE)*$F$2) - $BI128</f>
        <v>474.33600000000297</v>
      </c>
      <c r="BN128" s="418">
        <f t="shared" si="28"/>
        <v>-474.33600000000297</v>
      </c>
      <c r="BO128" s="417">
        <f t="shared" si="29"/>
        <v>0</v>
      </c>
      <c r="BP128" s="418">
        <f t="shared" si="30"/>
        <v>0</v>
      </c>
      <c r="BQ128" s="417">
        <f t="shared" si="37"/>
        <v>-474.33600000000297</v>
      </c>
      <c r="BR128" s="120">
        <f>VLOOKUP($A128,TOCA_current!$A$2:$AI$137,MATCH(BR$4,TOCA_current!$A$2:$AI$2,0),FALSE)</f>
        <v>7.0879999999999999E-4</v>
      </c>
      <c r="BS128" s="120">
        <f>VLOOKUP($A128,TOCA_current!$A$2:$AI$137,MATCH(BS$4,TOCA_current!$A$2:$AI$2,0),FALSE)</f>
        <v>7.0879999999999999E-4</v>
      </c>
      <c r="BT128" s="201">
        <f t="shared" si="31"/>
        <v>0</v>
      </c>
      <c r="BU128" s="120">
        <f>VLOOKUP($A128,TOCA_current!A124:BG259,MATCH(BU$4,TOCA_current!$A$2:$BG$2,0),FALSE)</f>
        <v>5.6681675392670154E-2</v>
      </c>
      <c r="BV128" s="120">
        <f t="shared" si="38"/>
        <v>0</v>
      </c>
      <c r="BW128" s="120">
        <f t="shared" si="39"/>
        <v>0</v>
      </c>
      <c r="BX128" s="191">
        <f>VLOOKUP($A128,IRD!$A$4:$G$139, 7, FALSE)</f>
        <v>0</v>
      </c>
      <c r="BY128" s="192">
        <f t="array" ref="BY128">IF($BT128=0, INDEX(LS_current!$D$4:$AY$138, MATCH('Staging Table'!$A128, LS_current!$B$4:$B$138, 0), MATCH(BY$4&amp;BY$5, LS_current!$D$2:$AY$2&amp;LS_current!$D$3:$AY$3, 0)),SUM(VLOOKUP($A128, LS_current!$B$4:$AY$138, LS_current!D$148, FALSE), VLOOKUP($A128, LS_current!$B$4:$AY$138,LS_current!AB$148, FALSE))/2)</f>
        <v>-14.455139502762449</v>
      </c>
      <c r="BZ128" s="192">
        <f t="array" ref="BZ128">IF($BT128=0, INDEX(LS_current!$D$4:$AY$138, MATCH('Staging Table'!$A128, LS_current!$B$4:$B$138, 0), MATCH(BZ$4&amp;BZ$5, LS_current!$D$2:$AY$2&amp;LS_current!$D$3:$AY$3, 0)),SUM(VLOOKUP($A128, LS_current!$B$4:$AY$138, LS_current!E$148, FALSE), VLOOKUP($A128, LS_current!$B$4:$AY$138,LS_current!AC$148, FALSE))/2)</f>
        <v>155.96351006594796</v>
      </c>
      <c r="CA128" s="192">
        <f t="array" ref="CA128">IF($BT128=0, INDEX(LS_current!$D$4:$AY$138, MATCH('Staging Table'!$A128, LS_current!$B$4:$B$138, 0), MATCH(CA$4&amp;CA$5, LS_current!$D$2:$AY$2&amp;LS_current!$D$3:$AY$3, 0)),SUM(VLOOKUP($A128, LS_current!$B$4:$AY$138, LS_current!F$148, FALSE), VLOOKUP($A128, LS_current!$B$4:$AY$138,LS_current!AD$148, FALSE))/2)</f>
        <v>11.075463110261808</v>
      </c>
      <c r="CB128" s="192">
        <f t="array" ref="CB128">IF($BT128=0, INDEX(LS_current!$D$4:$AY$138, MATCH('Staging Table'!$A128, LS_current!$B$4:$B$138, 0), MATCH(CB$4&amp;CB$5, LS_current!$D$2:$AY$2&amp;LS_current!$D$3:$AY$3, 0)),SUM(VLOOKUP($A128, LS_current!$B$4:$AY$138, LS_current!G$148, FALSE), VLOOKUP($A128, LS_current!$B$4:$AY$138,LS_current!AE$148, FALSE))/2)</f>
        <v>127.86020831439532</v>
      </c>
      <c r="CC128" s="192">
        <f t="array" ref="CC128">IF($BT128=0, INDEX(LS_current!$D$4:$AY$138, MATCH('Staging Table'!$A128, LS_current!$B$4:$B$138, 0), MATCH(CC$4&amp;CC$5, LS_current!$D$2:$AY$2&amp;LS_current!$D$3:$AY$3, 0)),SUM(VLOOKUP($A128, LS_current!$B$4:$AY$138, LS_current!H$148, FALSE), VLOOKUP($A128, LS_current!$B$4:$AY$138,LS_current!AF$148, FALSE))/2)</f>
        <v>1011.6440049510793</v>
      </c>
      <c r="CD128" s="192">
        <f t="array" ref="CD128">IF($BT128=0, INDEX(LS_current!$D$4:$AY$138, MATCH('Staging Table'!$A128, LS_current!$B$4:$B$138, 0), MATCH(CD$4&amp;CD$5, LS_current!$D$2:$AY$2&amp;LS_current!$D$3:$AY$3, 0)),SUM(VLOOKUP($A128, LS_current!$B$4:$AY$138, LS_current!I$148, FALSE), VLOOKUP($A128, LS_current!$B$4:$AY$138,LS_current!AG$148, FALSE))/2)</f>
        <v>476.79941434214925</v>
      </c>
      <c r="CE128" s="192">
        <f t="array" ref="CE128">IF($BT128=0, INDEX(LS_current!$D$4:$AY$138, MATCH('Staging Table'!$A128, LS_current!$B$4:$B$138, 0), MATCH(CE$4&amp;CE$5, LS_current!$D$2:$AY$2&amp;LS_current!$D$3:$AY$3, 0)),SUM(VLOOKUP($A128, LS_current!$B$4:$AY$138, LS_current!J$148, FALSE), VLOOKUP($A128, LS_current!$B$4:$AY$138,LS_current!AH$148, FALSE))/2)</f>
        <v>1293.1232907764681</v>
      </c>
      <c r="CF128" s="192">
        <f t="array" ref="CF128">IF($BT128=0, INDEX(LS_current!$D$4:$AY$138, MATCH('Staging Table'!$A128, LS_current!$B$4:$B$138, 0), MATCH(CF$4&amp;CF$5, LS_current!$D$2:$AY$2&amp;LS_current!$D$3:$AY$3, 0)),SUM(VLOOKUP($A128, LS_current!$B$4:$AY$138, LS_current!K$148, FALSE), VLOOKUP($A128, LS_current!$B$4:$AY$138,LS_current!AI$148, FALSE))/2)</f>
        <v>964.66679491217019</v>
      </c>
      <c r="CG128" s="192">
        <f t="array" ref="CG128">IF($BT128=0, INDEX(LS_current!$D$4:$AY$138, MATCH('Staging Table'!$A128, LS_current!$B$4:$B$138, 0), MATCH(CG$4&amp;CG$5, LS_current!$D$2:$AY$2&amp;LS_current!$D$3:$AY$3, 0)),SUM(VLOOKUP($A128, LS_current!$B$4:$AY$138, LS_current!L$148, FALSE), VLOOKUP($A128, LS_current!$B$4:$AY$138,LS_current!AJ$148, FALSE))/2)</f>
        <v>1342.4920417652661</v>
      </c>
      <c r="CH128" s="192">
        <f t="array" ref="CH128">IF($BT128=0, INDEX(LS_current!$D$4:$AY$138, MATCH('Staging Table'!$A128, LS_current!$B$4:$B$138, 0), MATCH(CH$4&amp;CH$5, LS_current!$D$2:$AY$2&amp;LS_current!$D$3:$AY$3, 0)),SUM(VLOOKUP($A128, LS_current!$B$4:$AY$138, LS_current!M$148, FALSE), VLOOKUP($A128, LS_current!$B$4:$AY$138,LS_current!AK$148, FALSE))/2)</f>
        <v>748.53776547883922</v>
      </c>
      <c r="CI128" s="192">
        <f t="array" ref="CI128">IF($BT128=0, INDEX(LS_current!$D$4:$AY$138, MATCH('Staging Table'!$A128, LS_current!$B$4:$B$138, 0), MATCH(CI$4&amp;CI$5, LS_current!$D$2:$AY$2&amp;LS_current!$D$3:$AY$3, 0)),SUM(VLOOKUP($A128, LS_current!$B$4:$AY$138, LS_current!N$148, FALSE), VLOOKUP($A128, LS_current!$B$4:$AY$138,LS_current!AL$148, FALSE))/2)</f>
        <v>809.33733867040883</v>
      </c>
      <c r="CJ128" s="192">
        <f t="array" ref="CJ128">IF($BT128=0, INDEX(LS_current!$D$4:$AY$138, MATCH('Staging Table'!$A128, LS_current!$B$4:$B$138, 0), MATCH(CJ$4&amp;CJ$5, LS_current!$D$2:$AY$2&amp;LS_current!$D$3:$AY$3, 0)),SUM(VLOOKUP($A128, LS_current!$B$4:$AY$138, LS_current!O$148, FALSE), VLOOKUP($A128, LS_current!$B$4:$AY$138,LS_current!AM$148, FALSE))/2)</f>
        <v>470.77447492356487</v>
      </c>
      <c r="CK128" s="192">
        <f t="array" ref="CK128">IF($BT128=0, INDEX(LS_current!$D$4:$AY$138, MATCH('Staging Table'!$A128, LS_current!$B$4:$B$138, 0), MATCH(CK$4&amp;CK$5, LS_current!$D$2:$AY$2&amp;LS_current!$D$3:$AY$3, 0)),SUM(VLOOKUP($A128, LS_current!$B$4:$AY$138, LS_current!P$148, FALSE), VLOOKUP($A128, LS_current!$B$4:$AY$138,LS_current!AN$148, FALSE))/2)</f>
        <v>700.9190972758488</v>
      </c>
      <c r="CL128" s="192">
        <f t="array" ref="CL128">IF($BT128=0, INDEX(LS_current!$D$4:$AY$138, MATCH('Staging Table'!$A128, LS_current!$B$4:$B$138, 0), MATCH(CL$4&amp;CL$5, LS_current!$D$2:$AY$2&amp;LS_current!$D$3:$AY$3, 0)),SUM(VLOOKUP($A128, LS_current!$B$4:$AY$138, LS_current!Q$148, FALSE), VLOOKUP($A128, LS_current!$B$4:$AY$138,LS_current!AO$148, FALSE))/2)</f>
        <v>436.24674777544647</v>
      </c>
      <c r="CM128" s="192">
        <f t="array" ref="CM128">IF($BT128=0, INDEX(LS_current!$D$4:$AY$138, MATCH('Staging Table'!$A128, LS_current!$B$4:$B$138, 0), MATCH(CM$4&amp;CM$5, LS_current!$D$2:$AY$2&amp;LS_current!$D$3:$AY$3, 0)),SUM(VLOOKUP($A128, LS_current!$B$4:$AY$138, LS_current!R$148, FALSE), VLOOKUP($A128, LS_current!$B$4:$AY$138,LS_current!AP$148, FALSE))/2)</f>
        <v>-793.77901702298959</v>
      </c>
      <c r="CN128" s="192">
        <f t="array" ref="CN128">IF($BT128=0, INDEX(LS_current!$D$4:$AY$138, MATCH('Staging Table'!$A128, LS_current!$B$4:$B$138, 0), MATCH(CN$4&amp;CN$5, LS_current!$D$2:$AY$2&amp;LS_current!$D$3:$AY$3, 0)),SUM(VLOOKUP($A128, LS_current!$B$4:$AY$138, LS_current!S$148, FALSE), VLOOKUP($A128, LS_current!$B$4:$AY$138,LS_current!AQ$148, FALSE))/2)</f>
        <v>0.11266581037352807</v>
      </c>
      <c r="CO128" s="192">
        <f t="array" ref="CO128">IF($BT128=0, INDEX(LS_current!$D$4:$AY$138, MATCH('Staging Table'!$A128, LS_current!$B$4:$B$138, 0), MATCH(CO$4&amp;CO$5, LS_current!$D$2:$AY$2&amp;LS_current!$D$3:$AY$3, 0)),SUM(VLOOKUP($A128, LS_current!$B$4:$AY$138, LS_current!T$148, FALSE), VLOOKUP($A128, LS_current!$B$4:$AY$138,LS_current!AR$148, FALSE))/2)</f>
        <v>-1156.4038486784052</v>
      </c>
      <c r="CP128" s="192">
        <f t="array" ref="CP128">IF($BT128=0, INDEX(LS_current!$D$4:$AY$138, MATCH('Staging Table'!$A128, LS_current!$B$4:$B$138, 0), MATCH(CP$4&amp;CP$5, LS_current!$D$2:$AY$2&amp;LS_current!$D$3:$AY$3, 0)),SUM(VLOOKUP($A128, LS_current!$B$4:$AY$138, LS_current!U$148, FALSE), VLOOKUP($A128, LS_current!$B$4:$AY$138,LS_current!AS$148, FALSE))/2)</f>
        <v>-166.28915690076406</v>
      </c>
      <c r="CQ128" s="192">
        <f t="array" ref="CQ128">IF($BT128=0, INDEX(LS_current!$D$4:$AY$138, MATCH('Staging Table'!$A128, LS_current!$B$4:$B$138, 0), MATCH(CQ$4&amp;CQ$5, LS_current!$D$2:$AY$2&amp;LS_current!$D$3:$AY$3, 0)),SUM(VLOOKUP($A128, LS_current!$B$4:$AY$138, LS_current!V$148, FALSE), VLOOKUP($A128, LS_current!$B$4:$AY$138,LS_current!AT$148, FALSE))/2)</f>
        <v>-976.62650298647577</v>
      </c>
      <c r="CR128" s="192">
        <f t="array" ref="CR128">IF($BT128=0, INDEX(LS_current!$D$4:$AY$138, MATCH('Staging Table'!$A128, LS_current!$B$4:$B$138, 0), MATCH(CR$4&amp;CR$5, LS_current!$D$2:$AY$2&amp;LS_current!$D$3:$AY$3, 0)),SUM(VLOOKUP($A128, LS_current!$B$4:$AY$138, LS_current!W$148, FALSE), VLOOKUP($A128, LS_current!$B$4:$AY$138,LS_current!AU$148, FALSE))/2)</f>
        <v>-212.19341599223208</v>
      </c>
      <c r="CS128" s="192">
        <f t="array" ref="CS128">IF($BT128=0, INDEX(LS_current!$D$4:$AY$138, MATCH('Staging Table'!$A128, LS_current!$B$4:$B$138, 0), MATCH(CS$4&amp;CS$5, LS_current!$D$2:$AY$2&amp;LS_current!$D$3:$AY$3, 0)),SUM(VLOOKUP($A128, LS_current!$B$4:$AY$138, LS_current!X$148, FALSE), VLOOKUP($A128, LS_current!$B$4:$AY$138,LS_current!AV$148, FALSE))/2)</f>
        <v>-768.50968813866143</v>
      </c>
      <c r="CT128" s="192">
        <f t="array" ref="CT128">IF($BT128=0, INDEX(LS_current!$D$4:$AY$138, MATCH('Staging Table'!$A128, LS_current!$B$4:$B$138, 0), MATCH(CT$4&amp;CT$5, LS_current!$D$2:$AY$2&amp;LS_current!$D$3:$AY$3, 0)),SUM(VLOOKUP($A128, LS_current!$B$4:$AY$138, LS_current!Y$148, FALSE), VLOOKUP($A128, LS_current!$B$4:$AY$138,LS_current!AW$148, FALSE))/2)</f>
        <v>-269.1872569512127</v>
      </c>
      <c r="CU128" s="192">
        <f t="array" ref="CU128">IF($BT128=0, INDEX(LS_current!$D$4:$AY$138, MATCH('Staging Table'!$A128, LS_current!$B$4:$B$138, 0), MATCH(CU$4&amp;CU$5, LS_current!$D$2:$AY$2&amp;LS_current!$D$3:$AY$3, 0)),SUM(VLOOKUP($A128, LS_current!$B$4:$AY$138, LS_current!Z$148, FALSE), VLOOKUP($A128, LS_current!$B$4:$AY$138,LS_current!AX$148, FALSE))/2)</f>
        <v>-535.48772359161853</v>
      </c>
      <c r="CV128" s="192">
        <f t="array" ref="CV128">IF($BT128=0, INDEX(LS_current!$D$4:$AY$138, MATCH('Staging Table'!$A128, LS_current!$B$4:$B$138, 0), MATCH(CV$4&amp;CV$5, LS_current!$D$2:$AY$2&amp;LS_current!$D$3:$AY$3, 0)),SUM(VLOOKUP($A128, LS_current!$B$4:$AY$138, LS_current!AA$148, FALSE), VLOOKUP($A128, LS_current!$B$4:$AY$138,LS_current!AY$148, FALSE))/2)</f>
        <v>-212.11075938529359</v>
      </c>
      <c r="CW128" s="194">
        <f t="array" ref="CW128">INDEX(Demand_current!$D$4:$AY$138, MATCH($A128, Demand_current!$B$4:$B$138, 0), MATCH(CW$4&amp;CW$5,Demand_current!$D$2:$AY$2&amp;Demand_current!$D$3:$AY$3, 0))/1000</f>
        <v>0.12017067307692342</v>
      </c>
      <c r="CX128" s="194">
        <f t="array" ref="CX128">INDEX(Demand_current!$D$4:$AY$138, MATCH($A128, Demand_current!$B$4:$B$138, 0), MATCH(CX$4&amp;CX$5,Demand_current!$D$2:$AY$2&amp;Demand_current!$D$3:$AY$3, 0))/1000</f>
        <v>0.3910724999999986</v>
      </c>
      <c r="CY128" s="194">
        <f t="array" ref="CY128">INDEX(Demand_current!$D$4:$AY$138, MATCH($A128, Demand_current!$B$4:$B$138, 0), MATCH(CY$4&amp;CY$5,Demand_current!$D$2:$AY$2&amp;Demand_current!$D$3:$AY$3, 0))/1000</f>
        <v>0.9741802884615387</v>
      </c>
      <c r="CZ128" s="194">
        <f t="array" ref="CZ128">INDEX(Demand_current!$D$4:$AY$138, MATCH($A128, Demand_current!$B$4:$B$138, 0), MATCH(CZ$4&amp;CZ$5,Demand_current!$D$2:$AY$2&amp;Demand_current!$D$3:$AY$3, 0))/1000</f>
        <v>0.53659250000000025</v>
      </c>
      <c r="DA128" s="194">
        <f t="array" ref="DA128">INDEX(Demand_current!$D$4:$AY$138, MATCH($A128, Demand_current!$B$4:$B$138, 0), MATCH(DA$4&amp;DA$5,Demand_current!$D$2:$AY$2&amp;Demand_current!$D$3:$AY$3, 0))/1000</f>
        <v>1.1143281249999997</v>
      </c>
      <c r="DB128" s="194">
        <f t="array" ref="DB128">INDEX(Demand_current!$D$4:$AY$138, MATCH($A128, Demand_current!$B$4:$B$138, 0), MATCH(DB$4&amp;DB$5,Demand_current!$D$2:$AY$2&amp;Demand_current!$D$3:$AY$3, 0))/1000</f>
        <v>0.96192361111111202</v>
      </c>
      <c r="DC128" s="194">
        <f t="array" ref="DC128">INDEX(Demand_current!$D$4:$AY$138, MATCH($A128, Demand_current!$B$4:$B$138, 0), MATCH(DC$4&amp;DC$5,Demand_current!$D$2:$AY$2&amp;Demand_current!$D$3:$AY$3, 0))/1000</f>
        <v>0.31879086538461543</v>
      </c>
      <c r="DD128" s="194">
        <f t="array" ref="DD128">INDEX(Demand_current!$D$4:$AY$138, MATCH($A128, Demand_current!$B$4:$B$138, 0), MATCH(DD$4&amp;DD$5,Demand_current!$D$2:$AY$2&amp;Demand_current!$D$3:$AY$3, 0))/1000</f>
        <v>0.17304999999999993</v>
      </c>
      <c r="DE128" s="194">
        <f t="array" ref="DE128">INDEX(Demand_current!$D$4:$AY$138, MATCH($A128, Demand_current!$B$4:$B$138, 0), MATCH(DE$4&amp;DE$5,Demand_current!$D$2:$AY$2&amp;Demand_current!$D$3:$AY$3, 0))/1000</f>
        <v>0.13862740384615391</v>
      </c>
      <c r="DF128" s="194">
        <f t="array" ref="DF128">INDEX(Demand_current!$D$4:$AY$138, MATCH($A128, Demand_current!$B$4:$B$138, 0), MATCH(DF$4&amp;DF$5,Demand_current!$D$2:$AY$2&amp;Demand_current!$D$3:$AY$3, 0))/1000</f>
        <v>0.35610500000000023</v>
      </c>
      <c r="DG128" s="194">
        <f t="array" ref="DG128">INDEX(Demand_current!$D$4:$AY$138, MATCH($A128, Demand_current!$B$4:$B$138, 0), MATCH(DG$4&amp;DG$5,Demand_current!$D$2:$AY$2&amp;Demand_current!$D$3:$AY$3, 0))/1000</f>
        <v>0.65299537037036992</v>
      </c>
      <c r="DH128" s="194">
        <f t="array" ref="DH128">INDEX(Demand_current!$D$4:$AY$138, MATCH($A128, Demand_current!$B$4:$B$138, 0), MATCH(DH$4&amp;DH$5,Demand_current!$D$2:$AY$2&amp;Demand_current!$D$3:$AY$3, 0))/1000</f>
        <v>0.18727749999999976</v>
      </c>
      <c r="DI128" s="192">
        <f>$BS128*(VLOOKUP(DI$4, Rates_current!$G$6:$Q$29, 10, FALSE)+VLOOKUP(DI$4, Rates_current!$G$6:$Q$29, 11, FALSE))</f>
        <v>3227.8216294368144</v>
      </c>
      <c r="DJ128" s="192">
        <f>$BS128*(VLOOKUP(DJ$4, Rates_current!$G$6:$Q$29, 10, FALSE)+VLOOKUP(DJ$4, Rates_current!$G$6:$Q$29, 11, FALSE))</f>
        <v>4086.5393285753435</v>
      </c>
      <c r="DK128" s="192">
        <f>$BS128*(VLOOKUP(DK$4, Rates_current!$G$6:$Q$29, 10, FALSE)+VLOOKUP(DK$4, Rates_current!$G$6:$Q$29, 11, FALSE))</f>
        <v>3999.9055807067716</v>
      </c>
      <c r="DL128" s="192">
        <f>$BS128*(VLOOKUP(DL$4, Rates_current!$G$6:$Q$29, 10, FALSE)+VLOOKUP(DL$4, Rates_current!$G$6:$Q$29, 11, FALSE))</f>
        <v>3303.7519143113614</v>
      </c>
      <c r="DM128" s="192">
        <f>$BS128*(VLOOKUP(DM$4, Rates_current!$G$6:$Q$29, 10, FALSE)+VLOOKUP(DM$4, Rates_current!$G$6:$Q$29, 11, FALSE))</f>
        <v>2863.4341927558949</v>
      </c>
      <c r="DN128" s="192">
        <f>$BS128*(VLOOKUP(DN$4, Rates_current!$G$6:$Q$29, 10, FALSE)+VLOOKUP(DN$4, Rates_current!$G$6:$Q$29, 11, FALSE))</f>
        <v>3418.3621864060265</v>
      </c>
      <c r="DO128" s="192">
        <f>$BS128*(VLOOKUP(DO$4, Rates_current!$G$6:$Q$29, 10, FALSE)+VLOOKUP(DO$4, Rates_current!$G$6:$Q$29, 11, FALSE))</f>
        <v>2653.9031549487049</v>
      </c>
      <c r="DP128" s="192">
        <f>$BS128*(VLOOKUP(DP$4, Rates_current!$G$6:$Q$29, 10, FALSE)+VLOOKUP(DP$4, Rates_current!$G$6:$Q$29, 11, FALSE))</f>
        <v>3677.0023512126158</v>
      </c>
      <c r="DQ128" s="192">
        <f>$BS128*(VLOOKUP(DQ$4, Rates_current!$G$6:$Q$29, 10, FALSE)+VLOOKUP(DQ$4, Rates_current!$G$6:$Q$29, 11, FALSE))</f>
        <v>3928.9540055791686</v>
      </c>
      <c r="DR128" s="192">
        <f>$BS128*(VLOOKUP(DR$4, Rates_current!$G$6:$Q$29, 10, FALSE)+VLOOKUP(DR$4, Rates_current!$G$6:$Q$29, 11, FALSE))</f>
        <v>3730.3639189787082</v>
      </c>
      <c r="DS128" s="192">
        <f>$BS128*(VLOOKUP(DS$4, Rates_current!$G$6:$Q$29, 10, FALSE)+VLOOKUP(DS$4, Rates_current!$G$6:$Q$29, 11, FALSE))</f>
        <v>3605.1089450898739</v>
      </c>
      <c r="DT128" s="192">
        <f>$BS128*(VLOOKUP(DT$4, Rates_current!$G$6:$Q$29, 10, FALSE)+VLOOKUP(DT$4, Rates_current!$G$6:$Q$29, 11, FALSE))</f>
        <v>3331.4964829769119</v>
      </c>
      <c r="DU128" s="418">
        <f>IF(D128=0,IF(C128=0,MAX(0,DW128 - (VLOOKUP($A128,TOCA_current!$A$2:$AI$137,MATCH("RHWM 2022",TOCA_current!$A$2:$AI$2,0),FALSE)*$BS$2)), 0),0)</f>
        <v>3442.1561396138059</v>
      </c>
      <c r="DV128" s="419">
        <f>MIN(VLOOKUP($A128,TOCA_current!$A$2:$AI$137,MATCH("TRL - NLSL - Existing Resource "&amp;$BS$1,TOCA_current!$A$2:$AI$2,0),FALSE)*$BS$2, VLOOKUP($A128,TOCA_current!$A$2:$AI$137,MATCH("RHWM 2022",TOCA_current!$A$2:$AI$2,0),FALSE)*$BS$2)</f>
        <v>41829</v>
      </c>
      <c r="DW128" s="419">
        <f>SUM(BY128:CV128)+(BS128*RT1SC!$C$4*$BS$2)</f>
        <v>45271.156139613806</v>
      </c>
      <c r="DX128" s="419">
        <f>VLOOKUP($A128,TOCA_current!$A$2:$AI$137,MATCH("Above RHWM Not Served with LS "&amp;$BS$1,TOCA_current!$A$2:$AI$2,0),FALSE)*$BS$2</f>
        <v>0</v>
      </c>
      <c r="DY128" s="419">
        <f t="shared" si="32"/>
        <v>3442.1561396138059</v>
      </c>
      <c r="DZ128" s="419">
        <f>(VLOOKUP($A128,TOCA_current!$A$2:$AI$137,MATCH("RHWM 2022",TOCA_current!$A$2:$AI$2,0),FALSE)*$BS$2) - $DV128</f>
        <v>0</v>
      </c>
      <c r="EA128" s="419">
        <f t="shared" si="33"/>
        <v>0</v>
      </c>
      <c r="EB128" s="419">
        <f t="shared" si="34"/>
        <v>0</v>
      </c>
      <c r="EC128" s="419">
        <f t="shared" si="35"/>
        <v>0</v>
      </c>
      <c r="ED128" s="419">
        <f t="shared" si="36"/>
        <v>0</v>
      </c>
    </row>
    <row r="129" spans="1:134">
      <c r="A129" s="135">
        <v>10442</v>
      </c>
      <c r="B129" s="136" t="s">
        <v>130</v>
      </c>
      <c r="C129" s="244">
        <f>VLOOKUP(A129, TOCA_current!$A$3:$D$137, 4, FALSE)</f>
        <v>0</v>
      </c>
      <c r="D129" s="203">
        <v>0</v>
      </c>
      <c r="E129" s="119">
        <f>VLOOKUP($A129,TOCA_previous!$A$2:$AI$137,MATCH(E$4,TOCA_previous!$A$2:$AI$2,0),FALSE)</f>
        <v>1.7897E-3</v>
      </c>
      <c r="F129" s="120">
        <f>VLOOKUP($A129,TOCA_previous!$A$2:$AI$137,MATCH(F$4,TOCA_previous!$A$2:$AI$2,0),FALSE)</f>
        <v>1.7897E-3</v>
      </c>
      <c r="G129" s="120">
        <f t="shared" si="24"/>
        <v>0</v>
      </c>
      <c r="H129" s="120">
        <f>VLOOKUP($A129,TOCA_previous!$A$2:$AI$137,MATCH(H$4,TOCA_previous!$A$2:$AI$2,0),FALSE)</f>
        <v>7.0000000000000007E-2</v>
      </c>
      <c r="I129" s="120">
        <f t="shared" si="25"/>
        <v>0</v>
      </c>
      <c r="J129" s="120">
        <f t="shared" si="26"/>
        <v>0</v>
      </c>
      <c r="K129" s="191">
        <f>VLOOKUP(A129, IRD!$A$5:$C$139, 3, FALSE)</f>
        <v>9733.33</v>
      </c>
      <c r="L129" s="192">
        <f t="array" ref="L129">IF($G129=0, INDEX(LS_previous!$D$4:$AY$138, MATCH('Staging Table'!$A129, LS_previous!$B$4:$B$138, 0), MATCH(L$4&amp;L$5, LS_previous!$D$2:$AY$2&amp;LS_previous!$D$3:$AY$3, 0)),SUM(VLOOKUP($A129, LS_previous!$B$4:$AY$138, LS_previous!D$149, FALSE), VLOOKUP('Staging Table'!$A129, LS_previous!$B$4:$AY$138,LS_previous!AB$149, FALSE))/2)</f>
        <v>-1591.5013249035997</v>
      </c>
      <c r="M129" s="192">
        <f t="array" ref="M129">IF($G129=0, INDEX(LS_previous!$D$4:$AY$138, MATCH('Staging Table'!$A129, LS_previous!$B$4:$B$138, 0), MATCH(M$4&amp;M$5, LS_previous!$D$2:$AY$2&amp;LS_previous!$D$3:$AY$3, 0)),SUM(VLOOKUP($A129, LS_previous!$B$4:$AY$138, LS_previous!E$149, FALSE), VLOOKUP('Staging Table'!$A129, LS_previous!$B$4:$AY$138,LS_previous!AC$149, FALSE))/2)</f>
        <v>-152.13926077760016</v>
      </c>
      <c r="N129" s="192">
        <f t="array" ref="N129">IF($G129=0, INDEX(LS_previous!$D$4:$AY$138, MATCH('Staging Table'!$A129, LS_previous!$B$4:$B$138, 0), MATCH(N$4&amp;N$5, LS_previous!$D$2:$AY$2&amp;LS_previous!$D$3:$AY$3, 0)),SUM(VLOOKUP($A129, LS_previous!$B$4:$AY$138, LS_previous!F$149, FALSE), VLOOKUP('Staging Table'!$A129, LS_previous!$B$4:$AY$138,LS_previous!AD$149, FALSE))/2)</f>
        <v>-2053.9496648615996</v>
      </c>
      <c r="O129" s="192">
        <f t="array" ref="O129">IF($G129=0, INDEX(LS_previous!$D$4:$AY$138, MATCH('Staging Table'!$A129, LS_previous!$B$4:$B$138, 0), MATCH(O$4&amp;O$5, LS_previous!$D$2:$AY$2&amp;LS_previous!$D$3:$AY$3, 0)),SUM(VLOOKUP($A129, LS_previous!$B$4:$AY$138, LS_previous!G$149, FALSE), VLOOKUP('Staging Table'!$A129, LS_previous!$B$4:$AY$138,LS_previous!AE$149, FALSE))/2)</f>
        <v>-577.36020297670029</v>
      </c>
      <c r="P129" s="192">
        <f t="array" ref="P129">IF($G129=0, INDEX(LS_previous!$D$4:$AY$138, MATCH('Staging Table'!$A129, LS_previous!$B$4:$B$138, 0), MATCH(P$4&amp;P$5, LS_previous!$D$2:$AY$2&amp;LS_previous!$D$3:$AY$3, 0)),SUM(VLOOKUP($A129, LS_previous!$B$4:$AY$138, LS_previous!H$149, FALSE), VLOOKUP('Staging Table'!$A129, LS_previous!$B$4:$AY$138,LS_previous!AF$149, FALSE))/2)</f>
        <v>71.724094121599592</v>
      </c>
      <c r="Q129" s="192">
        <f t="array" ref="Q129">IF($G129=0, INDEX(LS_previous!$D$4:$AY$138, MATCH('Staging Table'!$A129, LS_previous!$B$4:$B$138, 0), MATCH(Q$4&amp;Q$5, LS_previous!$D$2:$AY$2&amp;LS_previous!$D$3:$AY$3, 0)),SUM(VLOOKUP($A129, LS_previous!$B$4:$AY$138, LS_previous!I$149, FALSE), VLOOKUP('Staging Table'!$A129, LS_previous!$B$4:$AY$138,LS_previous!AG$149, FALSE))/2)</f>
        <v>895.22793509719986</v>
      </c>
      <c r="R129" s="192">
        <f t="array" ref="R129">IF($G129=0, INDEX(LS_previous!$D$4:$AY$138, MATCH('Staging Table'!$A129, LS_previous!$B$4:$B$138, 0), MATCH(R$4&amp;R$5, LS_previous!$D$2:$AY$2&amp;LS_previous!$D$3:$AY$3, 0)),SUM(VLOOKUP($A129, LS_previous!$B$4:$AY$138, LS_previous!J$149, FALSE), VLOOKUP('Staging Table'!$A129, LS_previous!$B$4:$AY$138,LS_previous!AH$149, FALSE))/2)</f>
        <v>1027.3562713215997</v>
      </c>
      <c r="S129" s="192">
        <f t="array" ref="S129">IF($G129=0, INDEX(LS_previous!$D$4:$AY$138, MATCH('Staging Table'!$A129, LS_previous!$B$4:$B$138, 0), MATCH(S$4&amp;S$5, LS_previous!$D$2:$AY$2&amp;LS_previous!$D$3:$AY$3, 0)),SUM(VLOOKUP($A129, LS_previous!$B$4:$AY$138, LS_previous!K$149, FALSE), VLOOKUP('Staging Table'!$A129, LS_previous!$B$4:$AY$138,LS_previous!AI$149, FALSE))/2)</f>
        <v>1953.6683434971997</v>
      </c>
      <c r="T129" s="192">
        <f t="array" ref="T129">IF($G129=0, INDEX(LS_previous!$D$4:$AY$138, MATCH('Staging Table'!$A129, LS_previous!$B$4:$B$138, 0), MATCH(T$4&amp;T$5, LS_previous!$D$2:$AY$2&amp;LS_previous!$D$3:$AY$3, 0)),SUM(VLOOKUP($A129, LS_previous!$B$4:$AY$138, LS_previous!L$149, FALSE), VLOOKUP('Staging Table'!$A129, LS_previous!$B$4:$AY$138,LS_previous!AJ$149, FALSE))/2)</f>
        <v>-657.3966728227997</v>
      </c>
      <c r="U129" s="192">
        <f t="array" ref="U129">IF($G129=0, INDEX(LS_previous!$D$4:$AY$138, MATCH('Staging Table'!$A129, LS_previous!$B$4:$B$138, 0), MATCH(U$4&amp;U$5, LS_previous!$D$2:$AY$2&amp;LS_previous!$D$3:$AY$3, 0)),SUM(VLOOKUP($A129, LS_previous!$B$4:$AY$138, LS_previous!M$149, FALSE), VLOOKUP('Staging Table'!$A129, LS_previous!$B$4:$AY$138,LS_previous!AK$149, FALSE))/2)</f>
        <v>66.535285862800265</v>
      </c>
      <c r="V129" s="192">
        <f t="array" ref="V129">IF($G129=0, INDEX(LS_previous!$D$4:$AY$138, MATCH('Staging Table'!$A129, LS_previous!$B$4:$B$138, 0), MATCH(V$4&amp;V$5, LS_previous!$D$2:$AY$2&amp;LS_previous!$D$3:$AY$3, 0)),SUM(VLOOKUP($A129, LS_previous!$B$4:$AY$138, LS_previous!N$149, FALSE), VLOOKUP('Staging Table'!$A129, LS_previous!$B$4:$AY$138,LS_previous!AL$149, FALSE))/2)</f>
        <v>-839.46855249519922</v>
      </c>
      <c r="W129" s="192">
        <f t="array" ref="W129">IF($G129=0, INDEX(LS_previous!$D$4:$AY$138, MATCH('Staging Table'!$A129, LS_previous!$B$4:$B$138, 0), MATCH(W$4&amp;W$5, LS_previous!$D$2:$AY$2&amp;LS_previous!$D$3:$AY$3, 0)),SUM(VLOOKUP($A129, LS_previous!$B$4:$AY$138, LS_previous!O$149, FALSE), VLOOKUP('Staging Table'!$A129, LS_previous!$B$4:$AY$138,LS_previous!AM$149, FALSE))/2)</f>
        <v>43.369748046300174</v>
      </c>
      <c r="X129" s="192">
        <f t="array" ref="X129">IF($G129=0, INDEX(LS_previous!$D$4:$AY$138, MATCH('Staging Table'!$A129, LS_previous!$B$4:$B$138, 0), MATCH(X$4&amp;X$5, LS_previous!$D$2:$AY$2&amp;LS_previous!$D$3:$AY$3, 0)),SUM(VLOOKUP($A129, LS_previous!$B$4:$AY$138, LS_previous!P$149, FALSE), VLOOKUP('Staging Table'!$A129, LS_previous!$B$4:$AY$138,LS_previous!AN$149, FALSE))/2)</f>
        <v>-202.91061633679965</v>
      </c>
      <c r="Y129" s="192">
        <f t="array" ref="Y129">IF($G129=0, INDEX(LS_previous!$D$4:$AY$138, MATCH('Staging Table'!$A129, LS_previous!$B$4:$B$138, 0), MATCH(Y$4&amp;Y$5, LS_previous!$D$2:$AY$2&amp;LS_previous!$D$3:$AY$3, 0)),SUM(VLOOKUP($A129, LS_previous!$B$4:$AY$138, LS_previous!Q$149, FALSE), VLOOKUP('Staging Table'!$A129, LS_previous!$B$4:$AY$138,LS_previous!AO$149, FALSE))/2)</f>
        <v>179.40797068080019</v>
      </c>
      <c r="Z129" s="192">
        <f t="array" ref="Z129">IF($G129=0, INDEX(LS_previous!$D$4:$AY$138, MATCH('Staging Table'!$A129, LS_previous!$B$4:$B$138, 0), MATCH(Z$4&amp;Z$5, LS_previous!$D$2:$AY$2&amp;LS_previous!$D$3:$AY$3, 0)),SUM(VLOOKUP($A129, LS_previous!$B$4:$AY$138, LS_previous!R$149, FALSE), VLOOKUP('Staging Table'!$A129, LS_previous!$B$4:$AY$138,LS_previous!AP$149, FALSE))/2)</f>
        <v>-1857.9644828700002</v>
      </c>
      <c r="AA129" s="192">
        <f t="array" ref="AA129">IF($G129=0, INDEX(LS_previous!$D$4:$AY$138, MATCH('Staging Table'!$A129, LS_previous!$B$4:$B$138, 0), MATCH(AA$4&amp;AA$5, LS_previous!$D$2:$AY$2&amp;LS_previous!$D$3:$AY$3, 0)),SUM(VLOOKUP($A129, LS_previous!$B$4:$AY$138, LS_previous!S$149, FALSE), VLOOKUP('Staging Table'!$A129, LS_previous!$B$4:$AY$138,LS_previous!AQ$149, FALSE))/2)</f>
        <v>-144.74307366120001</v>
      </c>
      <c r="AB129" s="192">
        <f t="array" ref="AB129">IF($G129=0, INDEX(LS_previous!$D$4:$AY$138, MATCH('Staging Table'!$A129, LS_previous!$B$4:$B$138, 0), MATCH(AB$4&amp;AB$5, LS_previous!$D$2:$AY$2&amp;LS_previous!$D$3:$AY$3, 0)),SUM(VLOOKUP($A129, LS_previous!$B$4:$AY$138, LS_previous!T$149, FALSE), VLOOKUP('Staging Table'!$A129, LS_previous!$B$4:$AY$138,LS_previous!AR$149, FALSE))/2)</f>
        <v>-2669.7820742867998</v>
      </c>
      <c r="AC129" s="192">
        <f t="array" ref="AC129">IF($G129=0, INDEX(LS_previous!$D$4:$AY$138, MATCH('Staging Table'!$A129, LS_previous!$B$4:$B$138, 0), MATCH(AC$4&amp;AC$5, LS_previous!$D$2:$AY$2&amp;LS_previous!$D$3:$AY$3, 0)),SUM(VLOOKUP($A129, LS_previous!$B$4:$AY$138, LS_previous!U$149, FALSE), VLOOKUP('Staging Table'!$A129, LS_previous!$B$4:$AY$138,LS_previous!AS$149, FALSE))/2)</f>
        <v>-1179.2776835192003</v>
      </c>
      <c r="AD129" s="192">
        <f t="array" ref="AD129">IF($G129=0, INDEX(LS_previous!$D$4:$AY$138, MATCH('Staging Table'!$A129, LS_previous!$B$4:$B$138, 0), MATCH(AD$4&amp;AD$5, LS_previous!$D$2:$AY$2&amp;LS_previous!$D$3:$AY$3, 0)),SUM(VLOOKUP($A129, LS_previous!$B$4:$AY$138, LS_previous!V$149, FALSE), VLOOKUP('Staging Table'!$A129, LS_previous!$B$4:$AY$138,LS_previous!AT$149, FALSE))/2)</f>
        <v>-810.04061278680001</v>
      </c>
      <c r="AE129" s="192">
        <f t="array" ref="AE129">IF($G129=0, INDEX(LS_previous!$D$4:$AY$138, MATCH('Staging Table'!$A129, LS_previous!$B$4:$B$138, 0), MATCH(AE$4&amp;AE$5, LS_previous!$D$2:$AY$2&amp;LS_previous!$D$3:$AY$3, 0)),SUM(VLOOKUP($A129, LS_previous!$B$4:$AY$138, LS_previous!W$149, FALSE), VLOOKUP('Staging Table'!$A129, LS_previous!$B$4:$AY$138,LS_previous!AU$149, FALSE))/2)</f>
        <v>1012.5181863056</v>
      </c>
      <c r="AF129" s="192">
        <f t="array" ref="AF129">IF($G129=0, INDEX(LS_previous!$D$4:$AY$138, MATCH('Staging Table'!$A129, LS_previous!$B$4:$B$138, 0), MATCH(AF$4&amp;AF$5, LS_previous!$D$2:$AY$2&amp;LS_previous!$D$3:$AY$3, 0)),SUM(VLOOKUP($A129, LS_previous!$B$4:$AY$138, LS_previous!X$149, FALSE), VLOOKUP('Staging Table'!$A129, LS_previous!$B$4:$AY$138,LS_previous!AV$149, FALSE))/2)</f>
        <v>-628.87198293680012</v>
      </c>
      <c r="AG129" s="192">
        <f t="array" ref="AG129">IF($G129=0, INDEX(LS_previous!$D$4:$AY$138, MATCH('Staging Table'!$A129, LS_previous!$B$4:$B$138, 0), MATCH(AG$4&amp;AG$5, LS_previous!$D$2:$AY$2&amp;LS_previous!$D$3:$AY$3, 0)),SUM(VLOOKUP($A129, LS_previous!$B$4:$AY$138, LS_previous!Y$149, FALSE), VLOOKUP('Staging Table'!$A129, LS_previous!$B$4:$AY$138,LS_previous!AW$149, FALSE))/2)</f>
        <v>337.93273030559976</v>
      </c>
      <c r="AH129" s="192">
        <f t="array" ref="AH129">IF($G129=0, INDEX(LS_previous!$D$4:$AY$138, MATCH('Staging Table'!$A129, LS_previous!$B$4:$B$138, 0), MATCH(AH$4&amp;AH$5, LS_previous!$D$2:$AY$2&amp;LS_previous!$D$3:$AY$3, 0)),SUM(VLOOKUP($A129, LS_previous!$B$4:$AY$138, LS_previous!Z$149, FALSE), VLOOKUP('Staging Table'!$A129, LS_previous!$B$4:$AY$138,LS_previous!AX$149, FALSE))/2)</f>
        <v>-1118.5532083200005</v>
      </c>
      <c r="AI129" s="192">
        <f t="array" ref="AI129">IF($G129=0, INDEX(LS_previous!$D$4:$AY$138, MATCH('Staging Table'!$A129, LS_previous!$B$4:$B$138, 0), MATCH(AI$4&amp;AI$5, LS_previous!$D$2:$AY$2&amp;LS_previous!$D$3:$AY$3, 0)),SUM(VLOOKUP($A129, LS_previous!$B$4:$AY$138, LS_previous!AA$149, FALSE), VLOOKUP('Staging Table'!$A129, LS_previous!$B$4:$AY$138,LS_previous!AY$149, FALSE))/2)</f>
        <v>-55.917013035999389</v>
      </c>
      <c r="AJ129" s="314">
        <f t="array" ref="AJ129">INDEX(Demand_previous!$D$4:$AY$138, MATCH('Staging Table'!$A129, Demand_previous!$B$4:$B$138, 0), MATCH(AJ$4&amp;AJ$5,Demand_previous!$D$2:$AY$2&amp;Demand_previous!$D$3:$AY$3, 0))/1000</f>
        <v>1.4160023148148149</v>
      </c>
      <c r="AK129" s="314">
        <f t="array" ref="AK129">INDEX(Demand_previous!$D$4:$AY$138, MATCH('Staging Table'!$A129, Demand_previous!$B$4:$B$138, 0), MATCH(AK$4&amp;AK$5,Demand_previous!$D$2:$AY$2&amp;Demand_previous!$D$3:$AY$3, 0))/1000</f>
        <v>2.1124124999999978</v>
      </c>
      <c r="AL129" s="314">
        <f t="array" ref="AL129">INDEX(Demand_previous!$D$4:$AY$138, MATCH('Staging Table'!$A129, Demand_previous!$B$4:$B$138, 0), MATCH(AL$4&amp;AL$5,Demand_previous!$D$2:$AY$2&amp;Demand_previous!$D$3:$AY$3, 0))/1000</f>
        <v>2.3162950000000011</v>
      </c>
      <c r="AM129" s="314">
        <f t="array" ref="AM129">INDEX(Demand_previous!$D$4:$AY$138, MATCH('Staging Table'!$A129, Demand_previous!$B$4:$B$138, 0), MATCH(AM$4&amp;AM$5,Demand_previous!$D$2:$AY$2&amp;Demand_previous!$D$3:$AY$3, 0))/1000</f>
        <v>2.9768293269230783</v>
      </c>
      <c r="AN129" s="314">
        <f t="array" ref="AN129">INDEX(Demand_previous!$D$4:$AY$138, MATCH('Staging Table'!$A129, Demand_previous!$B$4:$B$138, 0), MATCH(AN$4&amp;AN$5,Demand_previous!$D$2:$AY$2&amp;Demand_previous!$D$3:$AY$3, 0))/1000</f>
        <v>0</v>
      </c>
      <c r="AO129" s="314">
        <f t="array" ref="AO129">INDEX(Demand_previous!$D$4:$AY$138, MATCH('Staging Table'!$A129, Demand_previous!$B$4:$B$138, 0), MATCH(AO$4&amp;AO$5,Demand_previous!$D$2:$AY$2&amp;Demand_previous!$D$3:$AY$3, 0))/1000</f>
        <v>2.0095048076923039</v>
      </c>
      <c r="AP129" s="314">
        <f t="array" ref="AP129">INDEX(Demand_previous!$D$4:$AY$138, MATCH('Staging Table'!$A129, Demand_previous!$B$4:$B$138, 0), MATCH(AP$4&amp;AP$5,Demand_previous!$D$2:$AY$2&amp;Demand_previous!$D$3:$AY$3, 0))/1000</f>
        <v>0.98095673076923084</v>
      </c>
      <c r="AQ129" s="314">
        <f t="array" ref="AQ129">INDEX(Demand_previous!$D$4:$AY$138, MATCH('Staging Table'!$A129, Demand_previous!$B$4:$B$138, 0), MATCH(AQ$4&amp;AQ$5,Demand_previous!$D$2:$AY$2&amp;Demand_previous!$D$3:$AY$3, 0))/1000</f>
        <v>0.74482250000000016</v>
      </c>
      <c r="AR129" s="314">
        <f t="array" ref="AR129">INDEX(Demand_previous!$D$4:$AY$138, MATCH('Staging Table'!$A129, Demand_previous!$B$4:$B$138, 0), MATCH(AR$4&amp;AR$5,Demand_previous!$D$2:$AY$2&amp;Demand_previous!$D$3:$AY$3, 0))/1000</f>
        <v>2.7050552884615371</v>
      </c>
      <c r="AS129" s="314">
        <f t="array" ref="AS129">INDEX(Demand_previous!$D$4:$AY$138, MATCH('Staging Table'!$A129, Demand_previous!$B$4:$B$138, 0), MATCH(AS$4&amp;AS$5,Demand_previous!$D$2:$AY$2&amp;Demand_previous!$D$3:$AY$3, 0))/1000</f>
        <v>2.2719038461538461</v>
      </c>
      <c r="AT129" s="314">
        <f t="array" ref="AT129">INDEX(Demand_previous!$D$4:$AY$138, MATCH('Staging Table'!$A129, Demand_previous!$B$4:$B$138, 0), MATCH(AT$4&amp;AT$5,Demand_previous!$D$2:$AY$2&amp;Demand_previous!$D$3:$AY$3, 0))/1000</f>
        <v>1.9106129807692311</v>
      </c>
      <c r="AU129" s="314">
        <f t="array" ref="AU129">INDEX(Demand_previous!$D$4:$AY$138, MATCH('Staging Table'!$A129, Demand_previous!$B$4:$B$138, 0), MATCH(AU$4&amp;AU$5,Demand_previous!$D$2:$AY$2&amp;Demand_previous!$D$3:$AY$3, 0))/1000</f>
        <v>2.6032274999999987</v>
      </c>
      <c r="AV129" s="192">
        <f>$F129*(VLOOKUP(AV$4, Rates_previous!$G$6:$Q$29, 10, FALSE)+VLOOKUP(AV$4, Rates_previous!$G$6:$Q$29, 11, FALSE))</f>
        <v>8263.6125856811996</v>
      </c>
      <c r="AW129" s="192">
        <f>$F129*(VLOOKUP(AW$4, Rates_previous!$G$6:$Q$29, 10, FALSE)+VLOOKUP(AW$4, Rates_previous!$G$6:$Q$29, 11, FALSE))</f>
        <v>10497.3658678383</v>
      </c>
      <c r="AX129" s="192">
        <f>$F129*(VLOOKUP(AX$4, Rates_previous!$G$6:$Q$29, 10, FALSE)+VLOOKUP(AX$4, Rates_previous!$G$6:$Q$29, 11, FALSE))</f>
        <v>10370.5959707812</v>
      </c>
      <c r="AY129" s="192">
        <f>$F129*(VLOOKUP(AY$4, Rates_previous!$G$6:$Q$29, 10, FALSE)+VLOOKUP(AY$4, Rates_previous!$G$6:$Q$29, 11, FALSE))</f>
        <v>8644.5233851812009</v>
      </c>
      <c r="AZ129" s="192">
        <f>$F129*(VLOOKUP(AZ$4, Rates_previous!$G$6:$Q$29, 10, FALSE)+VLOOKUP(AZ$4, Rates_previous!$G$6:$Q$29, 11, FALSE))</f>
        <v>7831.0413869599997</v>
      </c>
      <c r="BA129" s="192">
        <f>$F129*(VLOOKUP(BA$4, Rates_previous!$G$6:$Q$29, 10, FALSE)+VLOOKUP(BA$4, Rates_previous!$G$6:$Q$29, 11, FALSE))</f>
        <v>8710.6058044489</v>
      </c>
      <c r="BB129" s="192">
        <f>$F129*(VLOOKUP(BB$4, Rates_previous!$G$6:$Q$29, 10, FALSE)+VLOOKUP(BB$4, Rates_previous!$G$6:$Q$29, 11, FALSE))</f>
        <v>7092.1846456559997</v>
      </c>
      <c r="BC129" s="192">
        <f>$F129*(VLOOKUP(BC$4, Rates_previous!$G$6:$Q$29, 10, FALSE)+VLOOKUP(BC$4, Rates_previous!$G$6:$Q$29, 11, FALSE))</f>
        <v>9564.8685565312007</v>
      </c>
      <c r="BD129" s="192">
        <f>$F129*(VLOOKUP(BD$4, Rates_previous!$G$6:$Q$29, 10, FALSE)+VLOOKUP(BD$4, Rates_previous!$G$6:$Q$29, 11, FALSE))</f>
        <v>12204.121757806</v>
      </c>
      <c r="BE129" s="192">
        <f>$F129*(VLOOKUP(BE$4, Rates_previous!$G$6:$Q$29, 10, FALSE)+VLOOKUP(BE$4, Rates_previous!$G$6:$Q$29, 11, FALSE))</f>
        <v>9568.4184264812011</v>
      </c>
      <c r="BF129" s="192">
        <f>$F129*(VLOOKUP(BF$4, Rates_previous!$G$6:$Q$29, 10, FALSE)+VLOOKUP(BF$4, Rates_previous!$G$6:$Q$29, 11, FALSE))</f>
        <v>9317.7342526312004</v>
      </c>
      <c r="BG129" s="192">
        <f>$F129*(VLOOKUP(BG$4, Rates_previous!$G$6:$Q$29, 10, FALSE)+VLOOKUP(BG$4, Rates_previous!$G$6:$Q$29, 11, FALSE))</f>
        <v>8365.3432213560009</v>
      </c>
      <c r="BH129" s="314">
        <f>IF($D129=0,IF(C129=0, MAX(BJ129 - (VLOOKUP($A129,TOCA_previous!$A$2:$AI$137,MATCH("RHWM 2020",TOCA_previous!$A$2:$AI$2,0),FALSE)*$F$2*TOCA_previous!C126),0),0), 0)</f>
        <v>0</v>
      </c>
      <c r="BI129" s="204">
        <f>MIN(VLOOKUP($A129,TOCA_previous!$A$2:$AI$137,MATCH("TRL - NLSL - Existing Resource "&amp;$F$1,TOCA_previous!$A$2:$AI$2,0),FALSE)*$F$2,(VLOOKUP($A129,TOCA_previous!$A$2:$AI$137,MATCH("RHWM 2020",TOCA_previous!$A$2:$AI$2,0),FALSE)*$F$2))</f>
        <v>110432.44799999999</v>
      </c>
      <c r="BJ129" s="418">
        <f>SUM(L129:AI129)+(F129*RT1SC!$C$3*$F$2)</f>
        <v>101478.28414494521</v>
      </c>
      <c r="BK129" s="417">
        <f>VLOOKUP($A129,TOCA_previous!$A$2:$AI$137,MATCH("Above RHWM Not Served with LS "&amp;$F$1,TOCA_previous!$A$2:$AI$2,0),FALSE)*$F$2</f>
        <v>0</v>
      </c>
      <c r="BL129" s="418">
        <f t="shared" si="27"/>
        <v>-8954.1638550547796</v>
      </c>
      <c r="BM129" s="417">
        <f>(VLOOKUP($A129,TOCA_previous!$A$2:$AI$137,MATCH("RHWM 2020",TOCA_previous!$A$2:$AI$2,0),FALSE)*$F$2) - $BI129</f>
        <v>6614.351999999999</v>
      </c>
      <c r="BN129" s="418">
        <f t="shared" si="28"/>
        <v>0</v>
      </c>
      <c r="BO129" s="417">
        <f t="shared" si="29"/>
        <v>8954.1638550547796</v>
      </c>
      <c r="BP129" s="418">
        <f t="shared" si="30"/>
        <v>0</v>
      </c>
      <c r="BQ129" s="417">
        <f t="shared" si="37"/>
        <v>8954.1638550547796</v>
      </c>
      <c r="BR129" s="120">
        <f>VLOOKUP($A129,TOCA_current!$A$2:$AI$137,MATCH(BR$4,TOCA_current!$A$2:$AI$2,0),FALSE)</f>
        <v>1.8883999999999999E-3</v>
      </c>
      <c r="BS129" s="120">
        <f>VLOOKUP($A129,TOCA_current!$A$2:$AI$137,MATCH(BS$4,TOCA_current!$A$2:$AI$2,0),FALSE)</f>
        <v>1.8883999999999999E-3</v>
      </c>
      <c r="BT129" s="201">
        <f t="shared" si="31"/>
        <v>0</v>
      </c>
      <c r="BU129" s="120">
        <f>VLOOKUP($A129,TOCA_current!A125:BG260,MATCH(BU$4,TOCA_current!$A$2:$BG$2,0),FALSE)</f>
        <v>7.0000000000000007E-2</v>
      </c>
      <c r="BV129" s="120">
        <f t="shared" si="38"/>
        <v>0</v>
      </c>
      <c r="BW129" s="120">
        <f t="shared" si="39"/>
        <v>0</v>
      </c>
      <c r="BX129" s="191">
        <f>VLOOKUP($A129,IRD!$A$4:$G$139, 7, FALSE)</f>
        <v>9733.33</v>
      </c>
      <c r="BY129" s="192">
        <f t="array" ref="BY129">IF($BT129=0, INDEX(LS_current!$D$4:$AY$138, MATCH('Staging Table'!$A129, LS_current!$B$4:$B$138, 0), MATCH(BY$4&amp;BY$5, LS_current!$D$2:$AY$2&amp;LS_current!$D$3:$AY$3, 0)),SUM(VLOOKUP($A129, LS_current!$B$4:$AY$138, LS_current!D$148, FALSE), VLOOKUP($A129, LS_current!$B$4:$AY$138,LS_current!AB$148, FALSE))/2)</f>
        <v>-1721.797335548838</v>
      </c>
      <c r="BZ129" s="192">
        <f t="array" ref="BZ129">IF($BT129=0, INDEX(LS_current!$D$4:$AY$138, MATCH('Staging Table'!$A129, LS_current!$B$4:$B$138, 0), MATCH(BZ$4&amp;BZ$5, LS_current!$D$2:$AY$2&amp;LS_current!$D$3:$AY$3, 0)),SUM(VLOOKUP($A129, LS_current!$B$4:$AY$138, LS_current!E$148, FALSE), VLOOKUP($A129, LS_current!$B$4:$AY$138,LS_current!AC$148, FALSE))/2)</f>
        <v>-357.86154062001151</v>
      </c>
      <c r="CA129" s="192">
        <f t="array" ref="CA129">IF($BT129=0, INDEX(LS_current!$D$4:$AY$138, MATCH('Staging Table'!$A129, LS_current!$B$4:$B$138, 0), MATCH(CA$4&amp;CA$5, LS_current!$D$2:$AY$2&amp;LS_current!$D$3:$AY$3, 0)),SUM(VLOOKUP($A129, LS_current!$B$4:$AY$138, LS_current!F$148, FALSE), VLOOKUP($A129, LS_current!$B$4:$AY$138,LS_current!AD$148, FALSE))/2)</f>
        <v>-2153.6206600770065</v>
      </c>
      <c r="CB129" s="192">
        <f t="array" ref="CB129">IF($BT129=0, INDEX(LS_current!$D$4:$AY$138, MATCH('Staging Table'!$A129, LS_current!$B$4:$B$138, 0), MATCH(CB$4&amp;CB$5, LS_current!$D$2:$AY$2&amp;LS_current!$D$3:$AY$3, 0)),SUM(VLOOKUP($A129, LS_current!$B$4:$AY$138, LS_current!G$148, FALSE), VLOOKUP($A129, LS_current!$B$4:$AY$138,LS_current!AE$148, FALSE))/2)</f>
        <v>-867.76813123461579</v>
      </c>
      <c r="CC129" s="192">
        <f t="array" ref="CC129">IF($BT129=0, INDEX(LS_current!$D$4:$AY$138, MATCH('Staging Table'!$A129, LS_current!$B$4:$B$138, 0), MATCH(CC$4&amp;CC$5, LS_current!$D$2:$AY$2&amp;LS_current!$D$3:$AY$3, 0)),SUM(VLOOKUP($A129, LS_current!$B$4:$AY$138, LS_current!H$148, FALSE), VLOOKUP($A129, LS_current!$B$4:$AY$138,LS_current!AF$148, FALSE))/2)</f>
        <v>423.92072594472029</v>
      </c>
      <c r="CD129" s="192">
        <f t="array" ref="CD129">IF($BT129=0, INDEX(LS_current!$D$4:$AY$138, MATCH('Staging Table'!$A129, LS_current!$B$4:$B$138, 0), MATCH(CD$4&amp;CD$5, LS_current!$D$2:$AY$2&amp;LS_current!$D$3:$AY$3, 0)),SUM(VLOOKUP($A129, LS_current!$B$4:$AY$138, LS_current!I$148, FALSE), VLOOKUP($A129, LS_current!$B$4:$AY$138,LS_current!AG$148, FALSE))/2)</f>
        <v>256.99395209327758</v>
      </c>
      <c r="CE129" s="192">
        <f t="array" ref="CE129">IF($BT129=0, INDEX(LS_current!$D$4:$AY$138, MATCH('Staging Table'!$A129, LS_current!$B$4:$B$138, 0), MATCH(CE$4&amp;CE$5, LS_current!$D$2:$AY$2&amp;LS_current!$D$3:$AY$3, 0)),SUM(VLOOKUP($A129, LS_current!$B$4:$AY$138, LS_current!J$148, FALSE), VLOOKUP($A129, LS_current!$B$4:$AY$138,LS_current!AH$148, FALSE))/2)</f>
        <v>1452.8918469275995</v>
      </c>
      <c r="CF129" s="192">
        <f t="array" ref="CF129">IF($BT129=0, INDEX(LS_current!$D$4:$AY$138, MATCH('Staging Table'!$A129, LS_current!$B$4:$B$138, 0), MATCH(CF$4&amp;CF$5, LS_current!$D$2:$AY$2&amp;LS_current!$D$3:$AY$3, 0)),SUM(VLOOKUP($A129, LS_current!$B$4:$AY$138, LS_current!K$148, FALSE), VLOOKUP($A129, LS_current!$B$4:$AY$138,LS_current!AI$148, FALSE))/2)</f>
        <v>1370.7302007789817</v>
      </c>
      <c r="CG129" s="192">
        <f t="array" ref="CG129">IF($BT129=0, INDEX(LS_current!$D$4:$AY$138, MATCH('Staging Table'!$A129, LS_current!$B$4:$B$138, 0), MATCH(CG$4&amp;CG$5, LS_current!$D$2:$AY$2&amp;LS_current!$D$3:$AY$3, 0)),SUM(VLOOKUP($A129, LS_current!$B$4:$AY$138, LS_current!L$148, FALSE), VLOOKUP($A129, LS_current!$B$4:$AY$138,LS_current!AJ$148, FALSE))/2)</f>
        <v>-148.2456257484082</v>
      </c>
      <c r="CH129" s="192">
        <f t="array" ref="CH129">IF($BT129=0, INDEX(LS_current!$D$4:$AY$138, MATCH('Staging Table'!$A129, LS_current!$B$4:$B$138, 0), MATCH(CH$4&amp;CH$5, LS_current!$D$2:$AY$2&amp;LS_current!$D$3:$AY$3, 0)),SUM(VLOOKUP($A129, LS_current!$B$4:$AY$138, LS_current!M$148, FALSE), VLOOKUP($A129, LS_current!$B$4:$AY$138,LS_current!AK$148, FALSE))/2)</f>
        <v>-240.39650969209879</v>
      </c>
      <c r="CI129" s="192">
        <f t="array" ref="CI129">IF($BT129=0, INDEX(LS_current!$D$4:$AY$138, MATCH('Staging Table'!$A129, LS_current!$B$4:$B$138, 0), MATCH(CI$4&amp;CI$5, LS_current!$D$2:$AY$2&amp;LS_current!$D$3:$AY$3, 0)),SUM(VLOOKUP($A129, LS_current!$B$4:$AY$138, LS_current!N$148, FALSE), VLOOKUP($A129, LS_current!$B$4:$AY$138,LS_current!AL$148, FALSE))/2)</f>
        <v>-894.2112421766351</v>
      </c>
      <c r="CJ129" s="192">
        <f t="array" ref="CJ129">IF($BT129=0, INDEX(LS_current!$D$4:$AY$138, MATCH('Staging Table'!$A129, LS_current!$B$4:$B$138, 0), MATCH(CJ$4&amp;CJ$5, LS_current!$D$2:$AY$2&amp;LS_current!$D$3:$AY$3, 0)),SUM(VLOOKUP($A129, LS_current!$B$4:$AY$138, LS_current!O$148, FALSE), VLOOKUP($A129, LS_current!$B$4:$AY$138,LS_current!AM$148, FALSE))/2)</f>
        <v>-298.5548289423532</v>
      </c>
      <c r="CK129" s="192">
        <f t="array" ref="CK129">IF($BT129=0, INDEX(LS_current!$D$4:$AY$138, MATCH('Staging Table'!$A129, LS_current!$B$4:$B$138, 0), MATCH(CK$4&amp;CK$5, LS_current!$D$2:$AY$2&amp;LS_current!$D$3:$AY$3, 0)),SUM(VLOOKUP($A129, LS_current!$B$4:$AY$138, LS_current!P$148, FALSE), VLOOKUP($A129, LS_current!$B$4:$AY$138,LS_current!AN$148, FALSE))/2)</f>
        <v>-97.273063634715982</v>
      </c>
      <c r="CL129" s="192">
        <f t="array" ref="CL129">IF($BT129=0, INDEX(LS_current!$D$4:$AY$138, MATCH('Staging Table'!$A129, LS_current!$B$4:$B$138, 0), MATCH(CL$4&amp;CL$5, LS_current!$D$2:$AY$2&amp;LS_current!$D$3:$AY$3, 0)),SUM(VLOOKUP($A129, LS_current!$B$4:$AY$138, LS_current!Q$148, FALSE), VLOOKUP($A129, LS_current!$B$4:$AY$138,LS_current!AO$148, FALSE))/2)</f>
        <v>95.369965151175165</v>
      </c>
      <c r="CM129" s="192">
        <f t="array" ref="CM129">IF($BT129=0, INDEX(LS_current!$D$4:$AY$138, MATCH('Staging Table'!$A129, LS_current!$B$4:$B$138, 0), MATCH(CM$4&amp;CM$5, LS_current!$D$2:$AY$2&amp;LS_current!$D$3:$AY$3, 0)),SUM(VLOOKUP($A129, LS_current!$B$4:$AY$138, LS_current!R$148, FALSE), VLOOKUP($A129, LS_current!$B$4:$AY$138,LS_current!AP$148, FALSE))/2)</f>
        <v>-2252.4271486261478</v>
      </c>
      <c r="CN129" s="192">
        <f t="array" ref="CN129">IF($BT129=0, INDEX(LS_current!$D$4:$AY$138, MATCH('Staging Table'!$A129, LS_current!$B$4:$B$138, 0), MATCH(CN$4&amp;CN$5, LS_current!$D$2:$AY$2&amp;LS_current!$D$3:$AY$3, 0)),SUM(VLOOKUP($A129, LS_current!$B$4:$AY$138, LS_current!S$148, FALSE), VLOOKUP($A129, LS_current!$B$4:$AY$138,LS_current!AQ$148, FALSE))/2)</f>
        <v>18.240462353709972</v>
      </c>
      <c r="CO129" s="192">
        <f t="array" ref="CO129">IF($BT129=0, INDEX(LS_current!$D$4:$AY$138, MATCH('Staging Table'!$A129, LS_current!$B$4:$B$138, 0), MATCH(CO$4&amp;CO$5, LS_current!$D$2:$AY$2&amp;LS_current!$D$3:$AY$3, 0)),SUM(VLOOKUP($A129, LS_current!$B$4:$AY$138, LS_current!T$148, FALSE), VLOOKUP($A129, LS_current!$B$4:$AY$138,LS_current!AR$148, FALSE))/2)</f>
        <v>-2213.9895127600166</v>
      </c>
      <c r="CP129" s="192">
        <f t="array" ref="CP129">IF($BT129=0, INDEX(LS_current!$D$4:$AY$138, MATCH('Staging Table'!$A129, LS_current!$B$4:$B$138, 0), MATCH(CP$4&amp;CP$5, LS_current!$D$2:$AY$2&amp;LS_current!$D$3:$AY$3, 0)),SUM(VLOOKUP($A129, LS_current!$B$4:$AY$138, LS_current!U$148, FALSE), VLOOKUP($A129, LS_current!$B$4:$AY$138,LS_current!AS$148, FALSE))/2)</f>
        <v>101.44888277172322</v>
      </c>
      <c r="CQ129" s="192">
        <f t="array" ref="CQ129">IF($BT129=0, INDEX(LS_current!$D$4:$AY$138, MATCH('Staging Table'!$A129, LS_current!$B$4:$B$138, 0), MATCH(CQ$4&amp;CQ$5, LS_current!$D$2:$AY$2&amp;LS_current!$D$3:$AY$3, 0)),SUM(VLOOKUP($A129, LS_current!$B$4:$AY$138, LS_current!V$148, FALSE), VLOOKUP($A129, LS_current!$B$4:$AY$138,LS_current!AT$148, FALSE))/2)</f>
        <v>-842.8667531597921</v>
      </c>
      <c r="CR129" s="192">
        <f t="array" ref="CR129">IF($BT129=0, INDEX(LS_current!$D$4:$AY$138, MATCH('Staging Table'!$A129, LS_current!$B$4:$B$138, 0), MATCH(CR$4&amp;CR$5, LS_current!$D$2:$AY$2&amp;LS_current!$D$3:$AY$3, 0)),SUM(VLOOKUP($A129, LS_current!$B$4:$AY$138, LS_current!W$148, FALSE), VLOOKUP($A129, LS_current!$B$4:$AY$138,LS_current!AU$148, FALSE))/2)</f>
        <v>675.24804576787437</v>
      </c>
      <c r="CS129" s="192">
        <f t="array" ref="CS129">IF($BT129=0, INDEX(LS_current!$D$4:$AY$138, MATCH('Staging Table'!$A129, LS_current!$B$4:$B$138, 0), MATCH(CS$4&amp;CS$5, LS_current!$D$2:$AY$2&amp;LS_current!$D$3:$AY$3, 0)),SUM(VLOOKUP($A129, LS_current!$B$4:$AY$138, LS_current!X$148, FALSE), VLOOKUP($A129, LS_current!$B$4:$AY$138,LS_current!AV$148, FALSE))/2)</f>
        <v>-711.90638583669261</v>
      </c>
      <c r="CT129" s="192">
        <f t="array" ref="CT129">IF($BT129=0, INDEX(LS_current!$D$4:$AY$138, MATCH('Staging Table'!$A129, LS_current!$B$4:$B$138, 0), MATCH(CT$4&amp;CT$5, LS_current!$D$2:$AY$2&amp;LS_current!$D$3:$AY$3, 0)),SUM(VLOOKUP($A129, LS_current!$B$4:$AY$138, LS_current!Y$148, FALSE), VLOOKUP($A129, LS_current!$B$4:$AY$138,LS_current!AW$148, FALSE))/2)</f>
        <v>133.89363765988992</v>
      </c>
      <c r="CU129" s="192">
        <f t="array" ref="CU129">IF($BT129=0, INDEX(LS_current!$D$4:$AY$138, MATCH('Staging Table'!$A129, LS_current!$B$4:$B$138, 0), MATCH(CU$4&amp;CU$5, LS_current!$D$2:$AY$2&amp;LS_current!$D$3:$AY$3, 0)),SUM(VLOOKUP($A129, LS_current!$B$4:$AY$138, LS_current!Z$148, FALSE), VLOOKUP($A129, LS_current!$B$4:$AY$138,LS_current!AX$148, FALSE))/2)</f>
        <v>-1425.8961422550965</v>
      </c>
      <c r="CV129" s="192">
        <f t="array" ref="CV129">IF($BT129=0, INDEX(LS_current!$D$4:$AY$138, MATCH('Staging Table'!$A129, LS_current!$B$4:$B$138, 0), MATCH(CV$4&amp;CV$5, LS_current!$D$2:$AY$2&amp;LS_current!$D$3:$AY$3, 0)),SUM(VLOOKUP($A129, LS_current!$B$4:$AY$138, LS_current!AA$148, FALSE), VLOOKUP($A129, LS_current!$B$4:$AY$138,LS_current!AY$148, FALSE))/2)</f>
        <v>-259.07447858801925</v>
      </c>
      <c r="CW129" s="194">
        <f t="array" ref="CW129">INDEX(Demand_current!$D$4:$AY$138, MATCH($A129, Demand_current!$B$4:$B$138, 0), MATCH(CW$4&amp;CW$5,Demand_current!$D$2:$AY$2&amp;Demand_current!$D$3:$AY$3, 0))/1000</f>
        <v>1.0782331730769241</v>
      </c>
      <c r="CX129" s="194">
        <f t="array" ref="CX129">INDEX(Demand_current!$D$4:$AY$138, MATCH($A129, Demand_current!$B$4:$B$138, 0), MATCH(CX$4&amp;CX$5,Demand_current!$D$2:$AY$2&amp;Demand_current!$D$3:$AY$3, 0))/1000</f>
        <v>2.1124124999999978</v>
      </c>
      <c r="CY129" s="194">
        <f t="array" ref="CY129">INDEX(Demand_current!$D$4:$AY$138, MATCH($A129, Demand_current!$B$4:$B$138, 0), MATCH(CY$4&amp;CY$5,Demand_current!$D$2:$AY$2&amp;Demand_current!$D$3:$AY$3, 0))/1000</f>
        <v>2.9424375000000014</v>
      </c>
      <c r="CZ129" s="194">
        <f t="array" ref="CZ129">INDEX(Demand_current!$D$4:$AY$138, MATCH($A129, Demand_current!$B$4:$B$138, 0), MATCH(CZ$4&amp;CZ$5,Demand_current!$D$2:$AY$2&amp;Demand_current!$D$3:$AY$3, 0))/1000</f>
        <v>2.355662500000002</v>
      </c>
      <c r="DA129" s="194">
        <f t="array" ref="DA129">INDEX(Demand_current!$D$4:$AY$138, MATCH($A129, Demand_current!$B$4:$B$138, 0), MATCH(DA$4&amp;DA$5,Demand_current!$D$2:$AY$2&amp;Demand_current!$D$3:$AY$3, 0))/1000</f>
        <v>0</v>
      </c>
      <c r="DB129" s="194">
        <f t="array" ref="DB129">INDEX(Demand_current!$D$4:$AY$138, MATCH($A129, Demand_current!$B$4:$B$138, 0), MATCH(DB$4&amp;DB$5,Demand_current!$D$2:$AY$2&amp;Demand_current!$D$3:$AY$3, 0))/1000</f>
        <v>2.4278564814814789</v>
      </c>
      <c r="DC129" s="194">
        <f t="array" ref="DC129">INDEX(Demand_current!$D$4:$AY$138, MATCH($A129, Demand_current!$B$4:$B$138, 0), MATCH(DC$4&amp;DC$5,Demand_current!$D$2:$AY$2&amp;Demand_current!$D$3:$AY$3, 0))/1000</f>
        <v>0.98095673076923084</v>
      </c>
      <c r="DD129" s="194">
        <f t="array" ref="DD129">INDEX(Demand_current!$D$4:$AY$138, MATCH($A129, Demand_current!$B$4:$B$138, 0), MATCH(DD$4&amp;DD$5,Demand_current!$D$2:$AY$2&amp;Demand_current!$D$3:$AY$3, 0))/1000</f>
        <v>0.74482250000000016</v>
      </c>
      <c r="DE129" s="194">
        <f t="array" ref="DE129">INDEX(Demand_current!$D$4:$AY$138, MATCH($A129, Demand_current!$B$4:$B$138, 0), MATCH(DE$4&amp;DE$5,Demand_current!$D$2:$AY$2&amp;Demand_current!$D$3:$AY$3, 0))/1000</f>
        <v>2.7050552884615371</v>
      </c>
      <c r="DF129" s="194">
        <f t="array" ref="DF129">INDEX(Demand_current!$D$4:$AY$138, MATCH($A129, Demand_current!$B$4:$B$138, 0), MATCH(DF$4&amp;DF$5,Demand_current!$D$2:$AY$2&amp;Demand_current!$D$3:$AY$3, 0))/1000</f>
        <v>1.7164600000000001</v>
      </c>
      <c r="DG129" s="194">
        <f t="array" ref="DG129">INDEX(Demand_current!$D$4:$AY$138, MATCH($A129, Demand_current!$B$4:$B$138, 0), MATCH(DG$4&amp;DG$5,Demand_current!$D$2:$AY$2&amp;Demand_current!$D$3:$AY$3, 0))/1000</f>
        <v>2.4231087962962969</v>
      </c>
      <c r="DH129" s="194">
        <f t="array" ref="DH129">INDEX(Demand_current!$D$4:$AY$138, MATCH($A129, Demand_current!$B$4:$B$138, 0), MATCH(DH$4&amp;DH$5,Demand_current!$D$2:$AY$2&amp;Demand_current!$D$3:$AY$3, 0))/1000</f>
        <v>2.6032274999999987</v>
      </c>
      <c r="DI129" s="192">
        <f>$BS129*(VLOOKUP(DI$4, Rates_current!$G$6:$Q$29, 10, FALSE)+VLOOKUP(DI$4, Rates_current!$G$6:$Q$29, 11, FALSE))</f>
        <v>8599.6308761688488</v>
      </c>
      <c r="DJ129" s="192">
        <f>$BS129*(VLOOKUP(DJ$4, Rates_current!$G$6:$Q$29, 10, FALSE)+VLOOKUP(DJ$4, Rates_current!$G$6:$Q$29, 11, FALSE))</f>
        <v>10887.444791311624</v>
      </c>
      <c r="DK129" s="192">
        <f>$BS129*(VLOOKUP(DK$4, Rates_current!$G$6:$Q$29, 10, FALSE)+VLOOKUP(DK$4, Rates_current!$G$6:$Q$29, 11, FALSE))</f>
        <v>10656.633321962003</v>
      </c>
      <c r="DL129" s="192">
        <f>$BS129*(VLOOKUP(DL$4, Rates_current!$G$6:$Q$29, 10, FALSE)+VLOOKUP(DL$4, Rates_current!$G$6:$Q$29, 11, FALSE))</f>
        <v>8801.925952293419</v>
      </c>
      <c r="DM129" s="192">
        <f>$BS129*(VLOOKUP(DM$4, Rates_current!$G$6:$Q$29, 10, FALSE)+VLOOKUP(DM$4, Rates_current!$G$6:$Q$29, 11, FALSE))</f>
        <v>7628.8221354405077</v>
      </c>
      <c r="DN129" s="192">
        <f>$BS129*(VLOOKUP(DN$4, Rates_current!$G$6:$Q$29, 10, FALSE)+VLOOKUP(DN$4, Rates_current!$G$6:$Q$29, 11, FALSE))</f>
        <v>9107.2730711189906</v>
      </c>
      <c r="DO129" s="192">
        <f>$BS129*(VLOOKUP(DO$4, Rates_current!$G$6:$Q$29, 10, FALSE)+VLOOKUP(DO$4, Rates_current!$G$6:$Q$29, 11, FALSE))</f>
        <v>7070.5850984835406</v>
      </c>
      <c r="DP129" s="192">
        <f>$BS129*(VLOOKUP(DP$4, Rates_current!$G$6:$Q$29, 10, FALSE)+VLOOKUP(DP$4, Rates_current!$G$6:$Q$29, 11, FALSE))</f>
        <v>9796.3476862724365</v>
      </c>
      <c r="DQ129" s="192">
        <f>$BS129*(VLOOKUP(DQ$4, Rates_current!$G$6:$Q$29, 10, FALSE)+VLOOKUP(DQ$4, Rates_current!$G$6:$Q$29, 11, FALSE))</f>
        <v>10467.602629988292</v>
      </c>
      <c r="DR129" s="192">
        <f>$BS129*(VLOOKUP(DR$4, Rates_current!$G$6:$Q$29, 10, FALSE)+VLOOKUP(DR$4, Rates_current!$G$6:$Q$29, 11, FALSE))</f>
        <v>9938.5147073919197</v>
      </c>
      <c r="DS129" s="192">
        <f>$BS129*(VLOOKUP(DS$4, Rates_current!$G$6:$Q$29, 10, FALSE)+VLOOKUP(DS$4, Rates_current!$G$6:$Q$29, 11, FALSE))</f>
        <v>9604.8077481768032</v>
      </c>
      <c r="DT129" s="192">
        <f>$BS129*(VLOOKUP(DT$4, Rates_current!$G$6:$Q$29, 10, FALSE)+VLOOKUP(DT$4, Rates_current!$G$6:$Q$29, 11, FALSE))</f>
        <v>8875.8436208431158</v>
      </c>
      <c r="DU129" s="418">
        <f>IF(D129=0,IF(C129=0,MAX(0,DW129 - (VLOOKUP($A129,TOCA_current!$A$2:$AI$137,MATCH("RHWM 2022",TOCA_current!$A$2:$AI$2,0),FALSE)*$BS$2)), 0),0)</f>
        <v>0</v>
      </c>
      <c r="DV129" s="419">
        <f>MIN(VLOOKUP($A129,TOCA_current!$A$2:$AI$137,MATCH("TRL - NLSL - Existing Resource "&amp;$BS$1,TOCA_current!$A$2:$AI$2,0),FALSE)*$BS$2, VLOOKUP($A129,TOCA_current!$A$2:$AI$137,MATCH("RHWM 2022",TOCA_current!$A$2:$AI$2,0),FALSE)*$BS$2)</f>
        <v>111435.96</v>
      </c>
      <c r="DW129" s="419">
        <f>SUM(BY129:CV129)+(BS129*RT1SC!$C$4*$BS$2)</f>
        <v>101478.28570040449</v>
      </c>
      <c r="DX129" s="419">
        <f>VLOOKUP($A129,TOCA_current!$A$2:$AI$137,MATCH("Above RHWM Not Served with LS "&amp;$BS$1,TOCA_current!$A$2:$AI$2,0),FALSE)*$BS$2</f>
        <v>0</v>
      </c>
      <c r="DY129" s="419">
        <f t="shared" si="32"/>
        <v>-9957.6742995955137</v>
      </c>
      <c r="DZ129" s="419">
        <f>(VLOOKUP($A129,TOCA_current!$A$2:$AI$137,MATCH("RHWM 2022",TOCA_current!$A$2:$AI$2,0),FALSE)*$BS$2) - $DV129</f>
        <v>508.07999999998719</v>
      </c>
      <c r="EA129" s="419">
        <f t="shared" si="33"/>
        <v>0</v>
      </c>
      <c r="EB129" s="419">
        <f t="shared" si="34"/>
        <v>9957.6742995955137</v>
      </c>
      <c r="EC129" s="419">
        <f t="shared" si="35"/>
        <v>0</v>
      </c>
      <c r="ED129" s="419">
        <f t="shared" si="36"/>
        <v>9957.6742995955137</v>
      </c>
    </row>
    <row r="130" spans="1:134">
      <c r="A130" s="135">
        <v>10446</v>
      </c>
      <c r="B130" s="136" t="s">
        <v>131</v>
      </c>
      <c r="C130" s="244">
        <f>VLOOKUP(A130, TOCA_current!$A$3:$D$137, 4, FALSE)</f>
        <v>0</v>
      </c>
      <c r="D130" s="203">
        <v>0</v>
      </c>
      <c r="E130" s="119">
        <f>VLOOKUP($A130,TOCA_previous!$A$2:$AI$137,MATCH(E$4,TOCA_previous!$A$2:$AI$2,0),FALSE)</f>
        <v>1.3251199999999999E-2</v>
      </c>
      <c r="F130" s="120">
        <f>VLOOKUP($A130,TOCA_previous!$A$2:$AI$137,MATCH(F$4,TOCA_previous!$A$2:$AI$2,0),FALSE)</f>
        <v>1.3251199999999999E-2</v>
      </c>
      <c r="G130" s="120">
        <f t="shared" si="24"/>
        <v>0</v>
      </c>
      <c r="H130" s="120">
        <f>VLOOKUP($A130,TOCA_previous!$A$2:$AI$137,MATCH(H$4,TOCA_previous!$A$2:$AI$2,0),FALSE)</f>
        <v>6.5000000000000002E-2</v>
      </c>
      <c r="I130" s="120">
        <f t="shared" si="25"/>
        <v>0</v>
      </c>
      <c r="J130" s="120">
        <f t="shared" si="26"/>
        <v>0</v>
      </c>
      <c r="K130" s="191">
        <f>VLOOKUP(A130, IRD!$A$5:$C$139, 3, FALSE)</f>
        <v>7171.34</v>
      </c>
      <c r="L130" s="192">
        <f t="array" ref="L130">IF($G130=0, INDEX(LS_previous!$D$4:$AY$138, MATCH('Staging Table'!$A130, LS_previous!$B$4:$B$138, 0), MATCH(L$4&amp;L$5, LS_previous!$D$2:$AY$2&amp;LS_previous!$D$3:$AY$3, 0)),SUM(VLOOKUP($A130, LS_previous!$B$4:$AY$138, LS_previous!D$149, FALSE), VLOOKUP('Staging Table'!$A130, LS_previous!$B$4:$AY$138,LS_previous!AB$149, FALSE))/2)</f>
        <v>-563.70426946559746</v>
      </c>
      <c r="M130" s="192">
        <f t="array" ref="M130">IF($G130=0, INDEX(LS_previous!$D$4:$AY$138, MATCH('Staging Table'!$A130, LS_previous!$B$4:$B$138, 0), MATCH(M$4&amp;M$5, LS_previous!$D$2:$AY$2&amp;LS_previous!$D$3:$AY$3, 0)),SUM(VLOOKUP($A130, LS_previous!$B$4:$AY$138, LS_previous!E$149, FALSE), VLOOKUP('Staging Table'!$A130, LS_previous!$B$4:$AY$138,LS_previous!AC$149, FALSE))/2)</f>
        <v>9966.5446418304018</v>
      </c>
      <c r="N130" s="192">
        <f t="array" ref="N130">IF($G130=0, INDEX(LS_previous!$D$4:$AY$138, MATCH('Staging Table'!$A130, LS_previous!$B$4:$B$138, 0), MATCH(N$4&amp;N$5, LS_previous!$D$2:$AY$2&amp;LS_previous!$D$3:$AY$3, 0)),SUM(VLOOKUP($A130, LS_previous!$B$4:$AY$138, LS_previous!F$149, FALSE), VLOOKUP('Staging Table'!$A130, LS_previous!$B$4:$AY$138,LS_previous!AD$149, FALSE))/2)</f>
        <v>-9664.1695870335971</v>
      </c>
      <c r="O130" s="192">
        <f t="array" ref="O130">IF($G130=0, INDEX(LS_previous!$D$4:$AY$138, MATCH('Staging Table'!$A130, LS_previous!$B$4:$B$138, 0), MATCH(O$4&amp;O$5, LS_previous!$D$2:$AY$2&amp;LS_previous!$D$3:$AY$3, 0)),SUM(VLOOKUP($A130, LS_previous!$B$4:$AY$138, LS_previous!G$149, FALSE), VLOOKUP('Staging Table'!$A130, LS_previous!$B$4:$AY$138,LS_previous!AE$149, FALSE))/2)</f>
        <v>3316.4416503967987</v>
      </c>
      <c r="P130" s="192">
        <f t="array" ref="P130">IF($G130=0, INDEX(LS_previous!$D$4:$AY$138, MATCH('Staging Table'!$A130, LS_previous!$B$4:$B$138, 0), MATCH(P$4&amp;P$5, LS_previous!$D$2:$AY$2&amp;LS_previous!$D$3:$AY$3, 0)),SUM(VLOOKUP($A130, LS_previous!$B$4:$AY$138, LS_previous!H$149, FALSE), VLOOKUP('Staging Table'!$A130, LS_previous!$B$4:$AY$138,LS_previous!AF$149, FALSE))/2)</f>
        <v>-4088.572052006406</v>
      </c>
      <c r="Q130" s="192">
        <f t="array" ref="Q130">IF($G130=0, INDEX(LS_previous!$D$4:$AY$138, MATCH('Staging Table'!$A130, LS_previous!$B$4:$B$138, 0), MATCH(Q$4&amp;Q$5, LS_previous!$D$2:$AY$2&amp;LS_previous!$D$3:$AY$3, 0)),SUM(VLOOKUP($A130, LS_previous!$B$4:$AY$138, LS_previous!I$149, FALSE), VLOOKUP('Staging Table'!$A130, LS_previous!$B$4:$AY$138,LS_previous!AG$149, FALSE))/2)</f>
        <v>5743.0059347711976</v>
      </c>
      <c r="R130" s="192">
        <f t="array" ref="R130">IF($G130=0, INDEX(LS_previous!$D$4:$AY$138, MATCH('Staging Table'!$A130, LS_previous!$B$4:$B$138, 0), MATCH(R$4&amp;R$5, LS_previous!$D$2:$AY$2&amp;LS_previous!$D$3:$AY$3, 0)),SUM(VLOOKUP($A130, LS_previous!$B$4:$AY$138, LS_previous!J$149, FALSE), VLOOKUP('Staging Table'!$A130, LS_previous!$B$4:$AY$138,LS_previous!AH$149, FALSE))/2)</f>
        <v>2466.7063991935938</v>
      </c>
      <c r="S130" s="192">
        <f t="array" ref="S130">IF($G130=0, INDEX(LS_previous!$D$4:$AY$138, MATCH('Staging Table'!$A130, LS_previous!$B$4:$B$138, 0), MATCH(S$4&amp;S$5, LS_previous!$D$2:$AY$2&amp;LS_previous!$D$3:$AY$3, 0)),SUM(VLOOKUP($A130, LS_previous!$B$4:$AY$138, LS_previous!K$149, FALSE), VLOOKUP('Staging Table'!$A130, LS_previous!$B$4:$AY$138,LS_previous!AI$149, FALSE))/2)</f>
        <v>13493.8718211712</v>
      </c>
      <c r="T130" s="192">
        <f t="array" ref="T130">IF($G130=0, INDEX(LS_previous!$D$4:$AY$138, MATCH('Staging Table'!$A130, LS_previous!$B$4:$B$138, 0), MATCH(T$4&amp;T$5, LS_previous!$D$2:$AY$2&amp;LS_previous!$D$3:$AY$3, 0)),SUM(VLOOKUP($A130, LS_previous!$B$4:$AY$138, LS_previous!L$149, FALSE), VLOOKUP('Staging Table'!$A130, LS_previous!$B$4:$AY$138,LS_previous!AJ$149, FALSE))/2)</f>
        <v>3838.6583904512081</v>
      </c>
      <c r="U130" s="192">
        <f t="array" ref="U130">IF($G130=0, INDEX(LS_previous!$D$4:$AY$138, MATCH('Staging Table'!$A130, LS_previous!$B$4:$B$138, 0), MATCH(U$4&amp;U$5, LS_previous!$D$2:$AY$2&amp;LS_previous!$D$3:$AY$3, 0)),SUM(VLOOKUP($A130, LS_previous!$B$4:$AY$138, LS_previous!M$149, FALSE), VLOOKUP('Staging Table'!$A130, LS_previous!$B$4:$AY$138,LS_previous!AK$149, FALSE))/2)</f>
        <v>9553.8932693888019</v>
      </c>
      <c r="V130" s="192">
        <f t="array" ref="V130">IF($G130=0, INDEX(LS_previous!$D$4:$AY$138, MATCH('Staging Table'!$A130, LS_previous!$B$4:$B$138, 0), MATCH(V$4&amp;V$5, LS_previous!$D$2:$AY$2&amp;LS_previous!$D$3:$AY$3, 0)),SUM(VLOOKUP($A130, LS_previous!$B$4:$AY$138, LS_previous!N$149, FALSE), VLOOKUP('Staging Table'!$A130, LS_previous!$B$4:$AY$138,LS_previous!AL$149, FALSE))/2)</f>
        <v>2036.9304254208109</v>
      </c>
      <c r="W130" s="192">
        <f t="array" ref="W130">IF($G130=0, INDEX(LS_previous!$D$4:$AY$138, MATCH('Staging Table'!$A130, LS_previous!$B$4:$B$138, 0), MATCH(W$4&amp;W$5, LS_previous!$D$2:$AY$2&amp;LS_previous!$D$3:$AY$3, 0)),SUM(VLOOKUP($A130, LS_previous!$B$4:$AY$138, LS_previous!O$149, FALSE), VLOOKUP('Staging Table'!$A130, LS_previous!$B$4:$AY$138,LS_previous!AM$149, FALSE))/2)</f>
        <v>8280.6569182048006</v>
      </c>
      <c r="X130" s="192">
        <f t="array" ref="X130">IF($G130=0, INDEX(LS_previous!$D$4:$AY$138, MATCH('Staging Table'!$A130, LS_previous!$B$4:$B$138, 0), MATCH(X$4&amp;X$5, LS_previous!$D$2:$AY$2&amp;LS_previous!$D$3:$AY$3, 0)),SUM(VLOOKUP($A130, LS_previous!$B$4:$AY$138, LS_previous!P$149, FALSE), VLOOKUP('Staging Table'!$A130, LS_previous!$B$4:$AY$138,LS_previous!AN$149, FALSE))/2)</f>
        <v>6172.7868403072061</v>
      </c>
      <c r="Y130" s="192">
        <f t="array" ref="Y130">IF($G130=0, INDEX(LS_previous!$D$4:$AY$138, MATCH('Staging Table'!$A130, LS_previous!$B$4:$B$138, 0), MATCH(Y$4&amp;Y$5, LS_previous!$D$2:$AY$2&amp;LS_previous!$D$3:$AY$3, 0)),SUM(VLOOKUP($A130, LS_previous!$B$4:$AY$138, LS_previous!Q$149, FALSE), VLOOKUP('Staging Table'!$A130, LS_previous!$B$4:$AY$138,LS_previous!AO$149, FALSE))/2)</f>
        <v>9519.3749655168031</v>
      </c>
      <c r="Z130" s="192">
        <f t="array" ref="Z130">IF($G130=0, INDEX(LS_previous!$D$4:$AY$138, MATCH('Staging Table'!$A130, LS_previous!$B$4:$B$138, 0), MATCH(Z$4&amp;Z$5, LS_previous!$D$2:$AY$2&amp;LS_previous!$D$3:$AY$3, 0)),SUM(VLOOKUP($A130, LS_previous!$B$4:$AY$138, LS_previous!R$149, FALSE), VLOOKUP('Staging Table'!$A130, LS_previous!$B$4:$AY$138,LS_previous!AP$149, FALSE))/2)</f>
        <v>-14168.313779520002</v>
      </c>
      <c r="AA130" s="192">
        <f t="array" ref="AA130">IF($G130=0, INDEX(LS_previous!$D$4:$AY$138, MATCH('Staging Table'!$A130, LS_previous!$B$4:$B$138, 0), MATCH(AA$4&amp;AA$5, LS_previous!$D$2:$AY$2&amp;LS_previous!$D$3:$AY$3, 0)),SUM(VLOOKUP($A130, LS_previous!$B$4:$AY$138, LS_previous!S$149, FALSE), VLOOKUP('Staging Table'!$A130, LS_previous!$B$4:$AY$138,LS_previous!AQ$149, FALSE))/2)</f>
        <v>3303.2620302848045</v>
      </c>
      <c r="AB130" s="192">
        <f t="array" ref="AB130">IF($G130=0, INDEX(LS_previous!$D$4:$AY$138, MATCH('Staging Table'!$A130, LS_previous!$B$4:$B$138, 0), MATCH(AB$4&amp;AB$5, LS_previous!$D$2:$AY$2&amp;LS_previous!$D$3:$AY$3, 0)),SUM(VLOOKUP($A130, LS_previous!$B$4:$AY$138, LS_previous!T$149, FALSE), VLOOKUP('Staging Table'!$A130, LS_previous!$B$4:$AY$138,LS_previous!AR$149, FALSE))/2)</f>
        <v>-16639.029962892797</v>
      </c>
      <c r="AC130" s="192">
        <f t="array" ref="AC130">IF($G130=0, INDEX(LS_previous!$D$4:$AY$138, MATCH('Staging Table'!$A130, LS_previous!$B$4:$B$138, 0), MATCH(AC$4&amp;AC$5, LS_previous!$D$2:$AY$2&amp;LS_previous!$D$3:$AY$3, 0)),SUM(VLOOKUP($A130, LS_previous!$B$4:$AY$138, LS_previous!U$149, FALSE), VLOOKUP('Staging Table'!$A130, LS_previous!$B$4:$AY$138,LS_previous!AS$149, FALSE))/2)</f>
        <v>-944.29867768320037</v>
      </c>
      <c r="AD130" s="192">
        <f t="array" ref="AD130">IF($G130=0, INDEX(LS_previous!$D$4:$AY$138, MATCH('Staging Table'!$A130, LS_previous!$B$4:$B$138, 0), MATCH(AD$4&amp;AD$5, LS_previous!$D$2:$AY$2&amp;LS_previous!$D$3:$AY$3, 0)),SUM(VLOOKUP($A130, LS_previous!$B$4:$AY$138, LS_previous!V$149, FALSE), VLOOKUP('Staging Table'!$A130, LS_previous!$B$4:$AY$138,LS_previous!AT$149, FALSE))/2)</f>
        <v>-7971.6998588927963</v>
      </c>
      <c r="AE130" s="192">
        <f t="array" ref="AE130">IF($G130=0, INDEX(LS_previous!$D$4:$AY$138, MATCH('Staging Table'!$A130, LS_previous!$B$4:$B$138, 0), MATCH(AE$4&amp;AE$5, LS_previous!$D$2:$AY$2&amp;LS_previous!$D$3:$AY$3, 0)),SUM(VLOOKUP($A130, LS_previous!$B$4:$AY$138, LS_previous!W$149, FALSE), VLOOKUP('Staging Table'!$A130, LS_previous!$B$4:$AY$138,LS_previous!AU$149, FALSE))/2)</f>
        <v>12675.1473544576</v>
      </c>
      <c r="AF130" s="192">
        <f t="array" ref="AF130">IF($G130=0, INDEX(LS_previous!$D$4:$AY$138, MATCH('Staging Table'!$A130, LS_previous!$B$4:$B$138, 0), MATCH(AF$4&amp;AF$5, LS_previous!$D$2:$AY$2&amp;LS_previous!$D$3:$AY$3, 0)),SUM(VLOOKUP($A130, LS_previous!$B$4:$AY$138, LS_previous!X$149, FALSE), VLOOKUP('Staging Table'!$A130, LS_previous!$B$4:$AY$138,LS_previous!AV$149, FALSE))/2)</f>
        <v>-2527.4076732927933</v>
      </c>
      <c r="AG130" s="192">
        <f t="array" ref="AG130">IF($G130=0, INDEX(LS_previous!$D$4:$AY$138, MATCH('Staging Table'!$A130, LS_previous!$B$4:$B$138, 0), MATCH(AG$4&amp;AG$5, LS_previous!$D$2:$AY$2&amp;LS_previous!$D$3:$AY$3, 0)),SUM(VLOOKUP($A130, LS_previous!$B$4:$AY$138, LS_previous!Y$149, FALSE), VLOOKUP('Staging Table'!$A130, LS_previous!$B$4:$AY$138,LS_previous!AW$149, FALSE))/2)</f>
        <v>10724.1423784576</v>
      </c>
      <c r="AH130" s="192">
        <f t="array" ref="AH130">IF($G130=0, INDEX(LS_previous!$D$4:$AY$138, MATCH('Staging Table'!$A130, LS_previous!$B$4:$B$138, 0), MATCH(AH$4&amp;AH$5, LS_previous!$D$2:$AY$2&amp;LS_previous!$D$3:$AY$3, 0)),SUM(VLOOKUP($A130, LS_previous!$B$4:$AY$138, LS_previous!Z$149, FALSE), VLOOKUP('Staging Table'!$A130, LS_previous!$B$4:$AY$138,LS_previous!AX$149, FALSE))/2)</f>
        <v>-239.93526271999872</v>
      </c>
      <c r="AI130" s="192">
        <f t="array" ref="AI130">IF($G130=0, INDEX(LS_previous!$D$4:$AY$138, MATCH('Staging Table'!$A130, LS_previous!$B$4:$B$138, 0), MATCH(AI$4&amp;AI$5, LS_previous!$D$2:$AY$2&amp;LS_previous!$D$3:$AY$3, 0)),SUM(VLOOKUP($A130, LS_previous!$B$4:$AY$138, LS_previous!AA$149, FALSE), VLOOKUP('Staging Table'!$A130, LS_previous!$B$4:$AY$138,LS_previous!AY$149, FALSE))/2)</f>
        <v>9398.5451613440018</v>
      </c>
      <c r="AJ130" s="314">
        <f t="array" ref="AJ130">INDEX(Demand_previous!$D$4:$AY$138, MATCH('Staging Table'!$A130, Demand_previous!$B$4:$B$138, 0), MATCH(AJ$4&amp;AJ$5,Demand_previous!$D$2:$AY$2&amp;Demand_previous!$D$3:$AY$3, 0))/1000</f>
        <v>9.8855763888888966</v>
      </c>
      <c r="AK130" s="314">
        <f t="array" ref="AK130">INDEX(Demand_previous!$D$4:$AY$138, MATCH('Staging Table'!$A130, Demand_previous!$B$4:$B$138, 0), MATCH(AK$4&amp;AK$5,Demand_previous!$D$2:$AY$2&amp;Demand_previous!$D$3:$AY$3, 0))/1000</f>
        <v>8.7575925000000083</v>
      </c>
      <c r="AL130" s="314">
        <f t="array" ref="AL130">INDEX(Demand_previous!$D$4:$AY$138, MATCH('Staging Table'!$A130, Demand_previous!$B$4:$B$138, 0), MATCH(AL$4&amp;AL$5,Demand_previous!$D$2:$AY$2&amp;Demand_previous!$D$3:$AY$3, 0))/1000</f>
        <v>6.2497575000000074</v>
      </c>
      <c r="AM130" s="314">
        <f t="array" ref="AM130">INDEX(Demand_previous!$D$4:$AY$138, MATCH('Staging Table'!$A130, Demand_previous!$B$4:$B$138, 0), MATCH(AM$4&amp;AM$5,Demand_previous!$D$2:$AY$2&amp;Demand_previous!$D$3:$AY$3, 0))/1000</f>
        <v>12.784497596153855</v>
      </c>
      <c r="AN130" s="314">
        <f t="array" ref="AN130">INDEX(Demand_previous!$D$4:$AY$138, MATCH('Staging Table'!$A130, Demand_previous!$B$4:$B$138, 0), MATCH(AN$4&amp;AN$5,Demand_previous!$D$2:$AY$2&amp;Demand_previous!$D$3:$AY$3, 0))/1000</f>
        <v>8.952292499999988</v>
      </c>
      <c r="AO130" s="314">
        <f t="array" ref="AO130">INDEX(Demand_previous!$D$4:$AY$138, MATCH('Staging Table'!$A130, Demand_previous!$B$4:$B$138, 0), MATCH(AO$4&amp;AO$5,Demand_previous!$D$2:$AY$2&amp;Demand_previous!$D$3:$AY$3, 0))/1000</f>
        <v>5.3678173076923077</v>
      </c>
      <c r="AP130" s="314">
        <f t="array" ref="AP130">INDEX(Demand_previous!$D$4:$AY$138, MATCH('Staging Table'!$A130, Demand_previous!$B$4:$B$138, 0), MATCH(AP$4&amp;AP$5,Demand_previous!$D$2:$AY$2&amp;Demand_previous!$D$3:$AY$3, 0))/1000</f>
        <v>4.2753052884615297</v>
      </c>
      <c r="AQ130" s="314">
        <f t="array" ref="AQ130">INDEX(Demand_previous!$D$4:$AY$138, MATCH('Staging Table'!$A130, Demand_previous!$B$4:$B$138, 0), MATCH(AQ$4&amp;AQ$5,Demand_previous!$D$2:$AY$2&amp;Demand_previous!$D$3:$AY$3, 0))/1000</f>
        <v>6.8179949999999998</v>
      </c>
      <c r="AR130" s="314">
        <f t="array" ref="AR130">INDEX(Demand_previous!$D$4:$AY$138, MATCH('Staging Table'!$A130, Demand_previous!$B$4:$B$138, 0), MATCH(AR$4&amp;AR$5,Demand_previous!$D$2:$AY$2&amp;Demand_previous!$D$3:$AY$3, 0))/1000</f>
        <v>8.1640240384615463</v>
      </c>
      <c r="AS130" s="314">
        <f t="array" ref="AS130">INDEX(Demand_previous!$D$4:$AY$138, MATCH('Staging Table'!$A130, Demand_previous!$B$4:$B$138, 0), MATCH(AS$4&amp;AS$5,Demand_previous!$D$2:$AY$2&amp;Demand_previous!$D$3:$AY$3, 0))/1000</f>
        <v>13.565608173076939</v>
      </c>
      <c r="AT130" s="314">
        <f t="array" ref="AT130">INDEX(Demand_previous!$D$4:$AY$138, MATCH('Staging Table'!$A130, Demand_previous!$B$4:$B$138, 0), MATCH(AT$4&amp;AT$5,Demand_previous!$D$2:$AY$2&amp;Demand_previous!$D$3:$AY$3, 0))/1000</f>
        <v>4.158533653846149</v>
      </c>
      <c r="AU130" s="314">
        <f t="array" ref="AU130">INDEX(Demand_previous!$D$4:$AY$138, MATCH('Staging Table'!$A130, Demand_previous!$B$4:$B$138, 0), MATCH(AU$4&amp;AU$5,Demand_previous!$D$2:$AY$2&amp;Demand_previous!$D$3:$AY$3, 0))/1000</f>
        <v>9.6949599999999929</v>
      </c>
      <c r="AV130" s="192">
        <f>$F130*(VLOOKUP(AV$4, Rates_previous!$G$6:$Q$29, 10, FALSE)+VLOOKUP(AV$4, Rates_previous!$G$6:$Q$29, 11, FALSE))</f>
        <v>61184.993627635195</v>
      </c>
      <c r="AW130" s="192">
        <f>$F130*(VLOOKUP(AW$4, Rates_previous!$G$6:$Q$29, 10, FALSE)+VLOOKUP(AW$4, Rates_previous!$G$6:$Q$29, 11, FALSE))</f>
        <v>77724.028936636794</v>
      </c>
      <c r="AX130" s="192">
        <f>$F130*(VLOOKUP(AX$4, Rates_previous!$G$6:$Q$29, 10, FALSE)+VLOOKUP(AX$4, Rates_previous!$G$6:$Q$29, 11, FALSE))</f>
        <v>76785.406117235209</v>
      </c>
      <c r="AY130" s="192">
        <f>$F130*(VLOOKUP(AY$4, Rates_previous!$G$6:$Q$29, 10, FALSE)+VLOOKUP(AY$4, Rates_previous!$G$6:$Q$29, 11, FALSE))</f>
        <v>64005.312779635206</v>
      </c>
      <c r="AZ130" s="192">
        <f>$F130*(VLOOKUP(AZ$4, Rates_previous!$G$6:$Q$29, 10, FALSE)+VLOOKUP(AZ$4, Rates_previous!$G$6:$Q$29, 11, FALSE))</f>
        <v>57982.173340159992</v>
      </c>
      <c r="BA130" s="192">
        <f>$F130*(VLOOKUP(BA$4, Rates_previous!$G$6:$Q$29, 10, FALSE)+VLOOKUP(BA$4, Rates_previous!$G$6:$Q$29, 11, FALSE))</f>
        <v>64494.596656374393</v>
      </c>
      <c r="BB130" s="192">
        <f>$F130*(VLOOKUP(BB$4, Rates_previous!$G$6:$Q$29, 10, FALSE)+VLOOKUP(BB$4, Rates_previous!$G$6:$Q$29, 11, FALSE))</f>
        <v>52511.570194175998</v>
      </c>
      <c r="BC130" s="192">
        <f>$F130*(VLOOKUP(BC$4, Rates_previous!$G$6:$Q$29, 10, FALSE)+VLOOKUP(BC$4, Rates_previous!$G$6:$Q$29, 11, FALSE))</f>
        <v>70819.682749235202</v>
      </c>
      <c r="BD130" s="192">
        <f>$F130*(VLOOKUP(BD$4, Rates_previous!$G$6:$Q$29, 10, FALSE)+VLOOKUP(BD$4, Rates_previous!$G$6:$Q$29, 11, FALSE))</f>
        <v>90361.098640576005</v>
      </c>
      <c r="BE130" s="192">
        <f>$F130*(VLOOKUP(BE$4, Rates_previous!$G$6:$Q$29, 10, FALSE)+VLOOKUP(BE$4, Rates_previous!$G$6:$Q$29, 11, FALSE))</f>
        <v>70845.9665044352</v>
      </c>
      <c r="BF130" s="192">
        <f>$F130*(VLOOKUP(BF$4, Rates_previous!$G$6:$Q$29, 10, FALSE)+VLOOKUP(BF$4, Rates_previous!$G$6:$Q$29, 11, FALSE))</f>
        <v>68989.864294835206</v>
      </c>
      <c r="BG130" s="192">
        <f>$F130*(VLOOKUP(BG$4, Rates_previous!$G$6:$Q$29, 10, FALSE)+VLOOKUP(BG$4, Rates_previous!$G$6:$Q$29, 11, FALSE))</f>
        <v>61938.222101376006</v>
      </c>
      <c r="BH130" s="314">
        <f>IF($D130=0,IF(C130=0, MAX(BJ130 - (VLOOKUP($A130,TOCA_previous!$A$2:$AI$137,MATCH("RHWM 2020",TOCA_previous!$A$2:$AI$2,0),FALSE)*$F$2*TOCA_previous!C127),0),0), 0)</f>
        <v>34526.807689779322</v>
      </c>
      <c r="BI130" s="204">
        <f>MIN(VLOOKUP($A130,TOCA_previous!$A$2:$AI$137,MATCH("TRL - NLSL - Existing Resource "&amp;$F$1,TOCA_previous!$A$2:$AI$2,0),FALSE)*$F$2,(VLOOKUP($A130,TOCA_previous!$A$2:$AI$137,MATCH("RHWM 2020",TOCA_previous!$A$2:$AI$2,0),FALSE)*$F$2))</f>
        <v>817641.07200000004</v>
      </c>
      <c r="BJ130" s="418">
        <f>SUM(L130:AI130)+(F130*RT1SC!$C$3*$F$2)</f>
        <v>871325.78368977923</v>
      </c>
      <c r="BK130" s="417">
        <f>VLOOKUP($A130,TOCA_previous!$A$2:$AI$137,MATCH("Above RHWM Not Served with LS "&amp;$F$1,TOCA_previous!$A$2:$AI$2,0),FALSE)*$F$2</f>
        <v>0</v>
      </c>
      <c r="BL130" s="418">
        <f t="shared" si="27"/>
        <v>53684.711689779186</v>
      </c>
      <c r="BM130" s="417">
        <f>(VLOOKUP($A130,TOCA_previous!$A$2:$AI$137,MATCH("RHWM 2020",TOCA_previous!$A$2:$AI$2,0),FALSE)*$F$2) - $BI130</f>
        <v>19157.903999999864</v>
      </c>
      <c r="BN130" s="418">
        <f t="shared" si="28"/>
        <v>-19157.903999999864</v>
      </c>
      <c r="BO130" s="417">
        <f t="shared" si="29"/>
        <v>0</v>
      </c>
      <c r="BP130" s="418">
        <f t="shared" si="30"/>
        <v>0</v>
      </c>
      <c r="BQ130" s="417">
        <f t="shared" si="37"/>
        <v>-19157.903999999864</v>
      </c>
      <c r="BR130" s="120">
        <f>VLOOKUP($A130,TOCA_current!$A$2:$AI$137,MATCH(BR$4,TOCA_current!$A$2:$AI$2,0),FALSE)</f>
        <v>1.35616E-2</v>
      </c>
      <c r="BS130" s="120">
        <f>VLOOKUP($A130,TOCA_current!$A$2:$AI$137,MATCH(BS$4,TOCA_current!$A$2:$AI$2,0),FALSE)</f>
        <v>1.35616E-2</v>
      </c>
      <c r="BT130" s="201">
        <f t="shared" si="31"/>
        <v>0</v>
      </c>
      <c r="BU130" s="120">
        <f>VLOOKUP($A130,TOCA_current!A126:BG261,MATCH(BU$4,TOCA_current!$A$2:$BG$2,0),FALSE)</f>
        <v>7.7197228425062395E-2</v>
      </c>
      <c r="BV130" s="120">
        <f t="shared" si="38"/>
        <v>0</v>
      </c>
      <c r="BW130" s="120">
        <f t="shared" si="39"/>
        <v>0</v>
      </c>
      <c r="BX130" s="191">
        <f>VLOOKUP($A130,IRD!$A$4:$G$139, 7, FALSE)</f>
        <v>7171.34</v>
      </c>
      <c r="BY130" s="192">
        <f t="array" ref="BY130">IF($BT130=0, INDEX(LS_current!$D$4:$AY$138, MATCH('Staging Table'!$A130, LS_current!$B$4:$B$138, 0), MATCH(BY$4&amp;BY$5, LS_current!$D$2:$AY$2&amp;LS_current!$D$3:$AY$3, 0)),SUM(VLOOKUP($A130, LS_current!$B$4:$AY$138, LS_current!D$148, FALSE), VLOOKUP($A130, LS_current!$B$4:$AY$138,LS_current!AB$148, FALSE))/2)</f>
        <v>-4208.054251524627</v>
      </c>
      <c r="BZ130" s="192">
        <f t="array" ref="BZ130">IF($BT130=0, INDEX(LS_current!$D$4:$AY$138, MATCH('Staging Table'!$A130, LS_current!$B$4:$B$138, 0), MATCH(BZ$4&amp;BZ$5, LS_current!$D$2:$AY$2&amp;LS_current!$D$3:$AY$3, 0)),SUM(VLOOKUP($A130, LS_current!$B$4:$AY$138, LS_current!E$148, FALSE), VLOOKUP($A130, LS_current!$B$4:$AY$138,LS_current!AC$148, FALSE))/2)</f>
        <v>6048.994826905131</v>
      </c>
      <c r="CA130" s="192">
        <f t="array" ref="CA130">IF($BT130=0, INDEX(LS_current!$D$4:$AY$138, MATCH('Staging Table'!$A130, LS_current!$B$4:$B$138, 0), MATCH(CA$4&amp;CA$5, LS_current!$D$2:$AY$2&amp;LS_current!$D$3:$AY$3, 0)),SUM(VLOOKUP($A130, LS_current!$B$4:$AY$138, LS_current!F$148, FALSE), VLOOKUP($A130, LS_current!$B$4:$AY$138,LS_current!AD$148, FALSE))/2)</f>
        <v>-12672.034225005475</v>
      </c>
      <c r="CB130" s="192">
        <f t="array" ref="CB130">IF($BT130=0, INDEX(LS_current!$D$4:$AY$138, MATCH('Staging Table'!$A130, LS_current!$B$4:$B$138, 0), MATCH(CB$4&amp;CB$5, LS_current!$D$2:$AY$2&amp;LS_current!$D$3:$AY$3, 0)),SUM(VLOOKUP($A130, LS_current!$B$4:$AY$138, LS_current!G$148, FALSE), VLOOKUP($A130, LS_current!$B$4:$AY$138,LS_current!AE$148, FALSE))/2)</f>
        <v>-912.52194881983814</v>
      </c>
      <c r="CC130" s="192">
        <f t="array" ref="CC130">IF($BT130=0, INDEX(LS_current!$D$4:$AY$138, MATCH('Staging Table'!$A130, LS_current!$B$4:$B$138, 0), MATCH(CC$4&amp;CC$5, LS_current!$D$2:$AY$2&amp;LS_current!$D$3:$AY$3, 0)),SUM(VLOOKUP($A130, LS_current!$B$4:$AY$138, LS_current!H$148, FALSE), VLOOKUP($A130, LS_current!$B$4:$AY$138,LS_current!AF$148, FALSE))/2)</f>
        <v>-4033.0634921775418</v>
      </c>
      <c r="CD130" s="192">
        <f t="array" ref="CD130">IF($BT130=0, INDEX(LS_current!$D$4:$AY$138, MATCH('Staging Table'!$A130, LS_current!$B$4:$B$138, 0), MATCH(CD$4&amp;CD$5, LS_current!$D$2:$AY$2&amp;LS_current!$D$3:$AY$3, 0)),SUM(VLOOKUP($A130, LS_current!$B$4:$AY$138, LS_current!I$148, FALSE), VLOOKUP($A130, LS_current!$B$4:$AY$138,LS_current!AG$148, FALSE))/2)</f>
        <v>-1046.4133431962618</v>
      </c>
      <c r="CE130" s="192">
        <f t="array" ref="CE130">IF($BT130=0, INDEX(LS_current!$D$4:$AY$138, MATCH('Staging Table'!$A130, LS_current!$B$4:$B$138, 0), MATCH(CE$4&amp;CE$5, LS_current!$D$2:$AY$2&amp;LS_current!$D$3:$AY$3, 0)),SUM(VLOOKUP($A130, LS_current!$B$4:$AY$138, LS_current!J$148, FALSE), VLOOKUP($A130, LS_current!$B$4:$AY$138,LS_current!AH$148, FALSE))/2)</f>
        <v>2974.9293986937773</v>
      </c>
      <c r="CF130" s="192">
        <f t="array" ref="CF130">IF($BT130=0, INDEX(LS_current!$D$4:$AY$138, MATCH('Staging Table'!$A130, LS_current!$B$4:$B$138, 0), MATCH(CF$4&amp;CF$5, LS_current!$D$2:$AY$2&amp;LS_current!$D$3:$AY$3, 0)),SUM(VLOOKUP($A130, LS_current!$B$4:$AY$138, LS_current!K$148, FALSE), VLOOKUP($A130, LS_current!$B$4:$AY$138,LS_current!AI$148, FALSE))/2)</f>
        <v>6791.2801527664888</v>
      </c>
      <c r="CG130" s="192">
        <f t="array" ref="CG130">IF($BT130=0, INDEX(LS_current!$D$4:$AY$138, MATCH('Staging Table'!$A130, LS_current!$B$4:$B$138, 0), MATCH(CG$4&amp;CG$5, LS_current!$D$2:$AY$2&amp;LS_current!$D$3:$AY$3, 0)),SUM(VLOOKUP($A130, LS_current!$B$4:$AY$138, LS_current!L$148, FALSE), VLOOKUP($A130, LS_current!$B$4:$AY$138,LS_current!AJ$148, FALSE))/2)</f>
        <v>4988.0982460550695</v>
      </c>
      <c r="CH130" s="192">
        <f t="array" ref="CH130">IF($BT130=0, INDEX(LS_current!$D$4:$AY$138, MATCH('Staging Table'!$A130, LS_current!$B$4:$B$138, 0), MATCH(CH$4&amp;CH$5, LS_current!$D$2:$AY$2&amp;LS_current!$D$3:$AY$3, 0)),SUM(VLOOKUP($A130, LS_current!$B$4:$AY$138, LS_current!M$148, FALSE), VLOOKUP($A130, LS_current!$B$4:$AY$138,LS_current!AK$148, FALSE))/2)</f>
        <v>5287.9207814867732</v>
      </c>
      <c r="CI130" s="192">
        <f t="array" ref="CI130">IF($BT130=0, INDEX(LS_current!$D$4:$AY$138, MATCH('Staging Table'!$A130, LS_current!$B$4:$B$138, 0), MATCH(CI$4&amp;CI$5, LS_current!$D$2:$AY$2&amp;LS_current!$D$3:$AY$3, 0)),SUM(VLOOKUP($A130, LS_current!$B$4:$AY$138, LS_current!N$148, FALSE), VLOOKUP($A130, LS_current!$B$4:$AY$138,LS_current!AL$148, FALSE))/2)</f>
        <v>-1181.0431905860314</v>
      </c>
      <c r="CJ130" s="192">
        <f t="array" ref="CJ130">IF($BT130=0, INDEX(LS_current!$D$4:$AY$138, MATCH('Staging Table'!$A130, LS_current!$B$4:$B$138, 0), MATCH(CJ$4&amp;CJ$5, LS_current!$D$2:$AY$2&amp;LS_current!$D$3:$AY$3, 0)),SUM(VLOOKUP($A130, LS_current!$B$4:$AY$138, LS_current!O$148, FALSE), VLOOKUP($A130, LS_current!$B$4:$AY$138,LS_current!AM$148, FALSE))/2)</f>
        <v>3610.0794502305507</v>
      </c>
      <c r="CK130" s="192">
        <f t="array" ref="CK130">IF($BT130=0, INDEX(LS_current!$D$4:$AY$138, MATCH('Staging Table'!$A130, LS_current!$B$4:$B$138, 0), MATCH(CK$4&amp;CK$5, LS_current!$D$2:$AY$2&amp;LS_current!$D$3:$AY$3, 0)),SUM(VLOOKUP($A130, LS_current!$B$4:$AY$138, LS_current!P$148, FALSE), VLOOKUP($A130, LS_current!$B$4:$AY$138,LS_current!AN$148, FALSE))/2)</f>
        <v>4017.4244413320484</v>
      </c>
      <c r="CL130" s="192">
        <f t="array" ref="CL130">IF($BT130=0, INDEX(LS_current!$D$4:$AY$138, MATCH('Staging Table'!$A130, LS_current!$B$4:$B$138, 0), MATCH(CL$4&amp;CL$5, LS_current!$D$2:$AY$2&amp;LS_current!$D$3:$AY$3, 0)),SUM(VLOOKUP($A130, LS_current!$B$4:$AY$138, LS_current!Q$148, FALSE), VLOOKUP($A130, LS_current!$B$4:$AY$138,LS_current!AO$148, FALSE))/2)</f>
        <v>6645.7332441189246</v>
      </c>
      <c r="CM130" s="192">
        <f t="array" ref="CM130">IF($BT130=0, INDEX(LS_current!$D$4:$AY$138, MATCH('Staging Table'!$A130, LS_current!$B$4:$B$138, 0), MATCH(CM$4&amp;CM$5, LS_current!$D$2:$AY$2&amp;LS_current!$D$3:$AY$3, 0)),SUM(VLOOKUP($A130, LS_current!$B$4:$AY$138, LS_current!R$148, FALSE), VLOOKUP($A130, LS_current!$B$4:$AY$138,LS_current!AP$148, FALSE))/2)</f>
        <v>-19376.61431667463</v>
      </c>
      <c r="CN130" s="192">
        <f t="array" ref="CN130">IF($BT130=0, INDEX(LS_current!$D$4:$AY$138, MATCH('Staging Table'!$A130, LS_current!$B$4:$B$138, 0), MATCH(CN$4&amp;CN$5, LS_current!$D$2:$AY$2&amp;LS_current!$D$3:$AY$3, 0)),SUM(VLOOKUP($A130, LS_current!$B$4:$AY$138, LS_current!S$148, FALSE), VLOOKUP($A130, LS_current!$B$4:$AY$138,LS_current!AQ$148, FALSE))/2)</f>
        <v>1990.0950122093163</v>
      </c>
      <c r="CO130" s="192">
        <f t="array" ref="CO130">IF($BT130=0, INDEX(LS_current!$D$4:$AY$138, MATCH('Staging Table'!$A130, LS_current!$B$4:$B$138, 0), MATCH(CO$4&amp;CO$5, LS_current!$D$2:$AY$2&amp;LS_current!$D$3:$AY$3, 0)),SUM(VLOOKUP($A130, LS_current!$B$4:$AY$138, LS_current!T$148, FALSE), VLOOKUP($A130, LS_current!$B$4:$AY$138,LS_current!AR$148, FALSE))/2)</f>
        <v>-15509.99299186944</v>
      </c>
      <c r="CP130" s="192">
        <f t="array" ref="CP130">IF($BT130=0, INDEX(LS_current!$D$4:$AY$138, MATCH('Staging Table'!$A130, LS_current!$B$4:$B$138, 0), MATCH(CP$4&amp;CP$5, LS_current!$D$2:$AY$2&amp;LS_current!$D$3:$AY$3, 0)),SUM(VLOOKUP($A130, LS_current!$B$4:$AY$138, LS_current!U$148, FALSE), VLOOKUP($A130, LS_current!$B$4:$AY$138,LS_current!AS$148, FALSE))/2)</f>
        <v>6351.4076164991493</v>
      </c>
      <c r="CQ130" s="192">
        <f t="array" ref="CQ130">IF($BT130=0, INDEX(LS_current!$D$4:$AY$138, MATCH('Staging Table'!$A130, LS_current!$B$4:$B$138, 0), MATCH(CQ$4&amp;CQ$5, LS_current!$D$2:$AY$2&amp;LS_current!$D$3:$AY$3, 0)),SUM(VLOOKUP($A130, LS_current!$B$4:$AY$138, LS_current!V$148, FALSE), VLOOKUP($A130, LS_current!$B$4:$AY$138,LS_current!AT$148, FALSE))/2)</f>
        <v>-10498.342587614832</v>
      </c>
      <c r="CR130" s="192">
        <f t="array" ref="CR130">IF($BT130=0, INDEX(LS_current!$D$4:$AY$138, MATCH('Staging Table'!$A130, LS_current!$B$4:$B$138, 0), MATCH(CR$4&amp;CR$5, LS_current!$D$2:$AY$2&amp;LS_current!$D$3:$AY$3, 0)),SUM(VLOOKUP($A130, LS_current!$B$4:$AY$138, LS_current!W$148, FALSE), VLOOKUP($A130, LS_current!$B$4:$AY$138,LS_current!AU$148, FALSE))/2)</f>
        <v>7685.6296502253754</v>
      </c>
      <c r="CS130" s="192">
        <f t="array" ref="CS130">IF($BT130=0, INDEX(LS_current!$D$4:$AY$138, MATCH('Staging Table'!$A130, LS_current!$B$4:$B$138, 0), MATCH(CS$4&amp;CS$5, LS_current!$D$2:$AY$2&amp;LS_current!$D$3:$AY$3, 0)),SUM(VLOOKUP($A130, LS_current!$B$4:$AY$138, LS_current!X$148, FALSE), VLOOKUP($A130, LS_current!$B$4:$AY$138,LS_current!AV$148, FALSE))/2)</f>
        <v>-5760.0405387433202</v>
      </c>
      <c r="CT130" s="192">
        <f t="array" ref="CT130">IF($BT130=0, INDEX(LS_current!$D$4:$AY$138, MATCH('Staging Table'!$A130, LS_current!$B$4:$B$138, 0), MATCH(CT$4&amp;CT$5, LS_current!$D$2:$AY$2&amp;LS_current!$D$3:$AY$3, 0)),SUM(VLOOKUP($A130, LS_current!$B$4:$AY$138, LS_current!Y$148, FALSE), VLOOKUP($A130, LS_current!$B$4:$AY$138,LS_current!AW$148, FALSE))/2)</f>
        <v>6981.0389189199086</v>
      </c>
      <c r="CU130" s="192">
        <f t="array" ref="CU130">IF($BT130=0, INDEX(LS_current!$D$4:$AY$138, MATCH('Staging Table'!$A130, LS_current!$B$4:$B$138, 0), MATCH(CU$4&amp;CU$5, LS_current!$D$2:$AY$2&amp;LS_current!$D$3:$AY$3, 0)),SUM(VLOOKUP($A130, LS_current!$B$4:$AY$138, LS_current!Z$148, FALSE), VLOOKUP($A130, LS_current!$B$4:$AY$138,LS_current!AX$148, FALSE))/2)</f>
        <v>-5011.7120116536244</v>
      </c>
      <c r="CV130" s="192">
        <f t="array" ref="CV130">IF($BT130=0, INDEX(LS_current!$D$4:$AY$138, MATCH('Staging Table'!$A130, LS_current!$B$4:$B$138, 0), MATCH(CV$4&amp;CV$5, LS_current!$D$2:$AY$2&amp;LS_current!$D$3:$AY$3, 0)),SUM(VLOOKUP($A130, LS_current!$B$4:$AY$138, LS_current!AA$148, FALSE), VLOOKUP($A130, LS_current!$B$4:$AY$138,LS_current!AY$148, FALSE))/2)</f>
        <v>5603.4526579012454</v>
      </c>
      <c r="CW130" s="194">
        <f t="array" ref="CW130">INDEX(Demand_current!$D$4:$AY$138, MATCH($A130, Demand_current!$B$4:$B$138, 0), MATCH(CW$4&amp;CW$5,Demand_current!$D$2:$AY$2&amp;Demand_current!$D$3:$AY$3, 0))/1000</f>
        <v>6.3857524038461575</v>
      </c>
      <c r="CX130" s="194">
        <f t="array" ref="CX130">INDEX(Demand_current!$D$4:$AY$138, MATCH($A130, Demand_current!$B$4:$B$138, 0), MATCH(CX$4&amp;CX$5,Demand_current!$D$2:$AY$2&amp;Demand_current!$D$3:$AY$3, 0))/1000</f>
        <v>8.7575925000000083</v>
      </c>
      <c r="CY130" s="194">
        <f t="array" ref="CY130">INDEX(Demand_current!$D$4:$AY$138, MATCH($A130, Demand_current!$B$4:$B$138, 0), MATCH(CY$4&amp;CY$5,Demand_current!$D$2:$AY$2&amp;Demand_current!$D$3:$AY$3, 0))/1000</f>
        <v>10.441612980769241</v>
      </c>
      <c r="CZ130" s="194">
        <f t="array" ref="CZ130">INDEX(Demand_current!$D$4:$AY$138, MATCH($A130, Demand_current!$B$4:$B$138, 0), MATCH(CZ$4&amp;CZ$5,Demand_current!$D$2:$AY$2&amp;Demand_current!$D$3:$AY$3, 0))/1000</f>
        <v>8.6795175000000171</v>
      </c>
      <c r="DA130" s="194">
        <f t="array" ref="DA130">INDEX(Demand_current!$D$4:$AY$138, MATCH($A130, Demand_current!$B$4:$B$138, 0), MATCH(DA$4&amp;DA$5,Demand_current!$D$2:$AY$2&amp;Demand_current!$D$3:$AY$3, 0))/1000</f>
        <v>4.7418880208333336</v>
      </c>
      <c r="DB130" s="194">
        <f t="array" ref="DB130">INDEX(Demand_current!$D$4:$AY$138, MATCH($A130, Demand_current!$B$4:$B$138, 0), MATCH(DB$4&amp;DB$5,Demand_current!$D$2:$AY$2&amp;Demand_current!$D$3:$AY$3, 0))/1000</f>
        <v>9.2000833333333265</v>
      </c>
      <c r="DC130" s="194">
        <f t="array" ref="DC130">INDEX(Demand_current!$D$4:$AY$138, MATCH($A130, Demand_current!$B$4:$B$138, 0), MATCH(DC$4&amp;DC$5,Demand_current!$D$2:$AY$2&amp;Demand_current!$D$3:$AY$3, 0))/1000</f>
        <v>4.2753052884615297</v>
      </c>
      <c r="DD130" s="194">
        <f t="array" ref="DD130">INDEX(Demand_current!$D$4:$AY$138, MATCH($A130, Demand_current!$B$4:$B$138, 0), MATCH(DD$4&amp;DD$5,Demand_current!$D$2:$AY$2&amp;Demand_current!$D$3:$AY$3, 0))/1000</f>
        <v>6.8179949999999998</v>
      </c>
      <c r="DE130" s="194">
        <f t="array" ref="DE130">INDEX(Demand_current!$D$4:$AY$138, MATCH($A130, Demand_current!$B$4:$B$138, 0), MATCH(DE$4&amp;DE$5,Demand_current!$D$2:$AY$2&amp;Demand_current!$D$3:$AY$3, 0))/1000</f>
        <v>8.1640240384615463</v>
      </c>
      <c r="DF130" s="194">
        <f t="array" ref="DF130">INDEX(Demand_current!$D$4:$AY$138, MATCH($A130, Demand_current!$B$4:$B$138, 0), MATCH(DF$4&amp;DF$5,Demand_current!$D$2:$AY$2&amp;Demand_current!$D$3:$AY$3, 0))/1000</f>
        <v>9.6428325000000115</v>
      </c>
      <c r="DG130" s="194">
        <f t="array" ref="DG130">INDEX(Demand_current!$D$4:$AY$138, MATCH($A130, Demand_current!$B$4:$B$138, 0), MATCH(DG$4&amp;DG$5,Demand_current!$D$2:$AY$2&amp;Demand_current!$D$3:$AY$3, 0))/1000</f>
        <v>8.1426620370370273</v>
      </c>
      <c r="DH130" s="194">
        <f t="array" ref="DH130">INDEX(Demand_current!$D$4:$AY$138, MATCH($A130, Demand_current!$B$4:$B$138, 0), MATCH(DH$4&amp;DH$5,Demand_current!$D$2:$AY$2&amp;Demand_current!$D$3:$AY$3, 0))/1000</f>
        <v>9.6949599999999929</v>
      </c>
      <c r="DI130" s="192">
        <f>$BS130*(VLOOKUP(DI$4, Rates_current!$G$6:$Q$29, 10, FALSE)+VLOOKUP(DI$4, Rates_current!$G$6:$Q$29, 11, FALSE))</f>
        <v>61758.501424619499</v>
      </c>
      <c r="DJ130" s="192">
        <f>$BS130*(VLOOKUP(DJ$4, Rates_current!$G$6:$Q$29, 10, FALSE)+VLOOKUP(DJ$4, Rates_current!$G$6:$Q$29, 11, FALSE))</f>
        <v>78188.504173825306</v>
      </c>
      <c r="DK130" s="192">
        <f>$BS130*(VLOOKUP(DK$4, Rates_current!$G$6:$Q$29, 10, FALSE)+VLOOKUP(DK$4, Rates_current!$G$6:$Q$29, 11, FALSE))</f>
        <v>76530.924835373808</v>
      </c>
      <c r="DL130" s="192">
        <f>$BS130*(VLOOKUP(DL$4, Rates_current!$G$6:$Q$29, 10, FALSE)+VLOOKUP(DL$4, Rates_current!$G$6:$Q$29, 11, FALSE))</f>
        <v>63211.289448539734</v>
      </c>
      <c r="DM130" s="192">
        <f>$BS130*(VLOOKUP(DM$4, Rates_current!$G$6:$Q$29, 10, FALSE)+VLOOKUP(DM$4, Rates_current!$G$6:$Q$29, 11, FALSE))</f>
        <v>54786.609972458165</v>
      </c>
      <c r="DN130" s="192">
        <f>$BS130*(VLOOKUP(DN$4, Rates_current!$G$6:$Q$29, 10, FALSE)+VLOOKUP(DN$4, Rates_current!$G$6:$Q$29, 11, FALSE))</f>
        <v>65404.148740355486</v>
      </c>
      <c r="DO130" s="192">
        <f>$BS130*(VLOOKUP(DO$4, Rates_current!$G$6:$Q$29, 10, FALSE)+VLOOKUP(DO$4, Rates_current!$G$6:$Q$29, 11, FALSE))</f>
        <v>50777.614314549035</v>
      </c>
      <c r="DP130" s="192">
        <f>$BS130*(VLOOKUP(DP$4, Rates_current!$G$6:$Q$29, 10, FALSE)+VLOOKUP(DP$4, Rates_current!$G$6:$Q$29, 11, FALSE))</f>
        <v>70352.758304465315</v>
      </c>
      <c r="DQ130" s="192">
        <f>$BS130*(VLOOKUP(DQ$4, Rates_current!$G$6:$Q$29, 10, FALSE)+VLOOKUP(DQ$4, Rates_current!$G$6:$Q$29, 11, FALSE))</f>
        <v>75173.395375370281</v>
      </c>
      <c r="DR130" s="192">
        <f>$BS130*(VLOOKUP(DR$4, Rates_current!$G$6:$Q$29, 10, FALSE)+VLOOKUP(DR$4, Rates_current!$G$6:$Q$29, 11, FALSE))</f>
        <v>71373.734937389454</v>
      </c>
      <c r="DS130" s="192">
        <f>$BS130*(VLOOKUP(DS$4, Rates_current!$G$6:$Q$29, 10, FALSE)+VLOOKUP(DS$4, Rates_current!$G$6:$Q$29, 11, FALSE))</f>
        <v>68977.208619823417</v>
      </c>
      <c r="DT130" s="192">
        <f>$BS130*(VLOOKUP(DT$4, Rates_current!$G$6:$Q$29, 10, FALSE)+VLOOKUP(DT$4, Rates_current!$G$6:$Q$29, 11, FALSE))</f>
        <v>63742.131353752382</v>
      </c>
      <c r="DU130" s="418">
        <f>IF(D130=0,IF(C130=0,MAX(0,DW130 - (VLOOKUP($A130,TOCA_current!$A$2:$AI$137,MATCH("RHWM 2022",TOCA_current!$A$2:$AI$2,0),FALSE)*$BS$2)), 0),0)</f>
        <v>0</v>
      </c>
      <c r="DV130" s="419">
        <f>MIN(VLOOKUP($A130,TOCA_current!$A$2:$AI$137,MATCH("TRL - NLSL - Existing Resource "&amp;$BS$1,TOCA_current!$A$2:$AI$2,0),FALSE)*$BS$2, VLOOKUP($A130,TOCA_current!$A$2:$AI$137,MATCH("RHWM 2022",TOCA_current!$A$2:$AI$2,0),FALSE)*$BS$2)</f>
        <v>800278.55999999994</v>
      </c>
      <c r="DW130" s="419">
        <f>SUM(BY130:CV130)+(BS130*RT1SC!$C$4*$BS$2)</f>
        <v>789043.11393762217</v>
      </c>
      <c r="DX130" s="419">
        <f>VLOOKUP($A130,TOCA_current!$A$2:$AI$137,MATCH("Above RHWM Not Served with LS "&amp;$BS$1,TOCA_current!$A$2:$AI$2,0),FALSE)*$BS$2</f>
        <v>82282.680000000008</v>
      </c>
      <c r="DY130" s="419">
        <f t="shared" si="32"/>
        <v>-11235.44606237777</v>
      </c>
      <c r="DZ130" s="419">
        <f>(VLOOKUP($A130,TOCA_current!$A$2:$AI$137,MATCH("RHWM 2022",TOCA_current!$A$2:$AI$2,0),FALSE)*$BS$2) - $DV130</f>
        <v>0</v>
      </c>
      <c r="EA130" s="419">
        <f t="shared" si="33"/>
        <v>0</v>
      </c>
      <c r="EB130" s="419">
        <f t="shared" si="34"/>
        <v>0</v>
      </c>
      <c r="EC130" s="419">
        <f t="shared" si="35"/>
        <v>0</v>
      </c>
      <c r="ED130" s="419">
        <f t="shared" si="36"/>
        <v>0</v>
      </c>
    </row>
    <row r="131" spans="1:134">
      <c r="A131" s="135">
        <v>10448</v>
      </c>
      <c r="B131" s="136" t="s">
        <v>132</v>
      </c>
      <c r="C131" s="244">
        <f>VLOOKUP(A131, TOCA_current!$A$3:$D$137, 4, FALSE)</f>
        <v>1</v>
      </c>
      <c r="D131" s="203">
        <v>0</v>
      </c>
      <c r="E131" s="119">
        <f>VLOOKUP($A131,TOCA_previous!$A$2:$AI$137,MATCH(E$4,TOCA_previous!$A$2:$AI$2,0),FALSE)</f>
        <v>1.1582000000000001E-3</v>
      </c>
      <c r="F131" s="120">
        <f>VLOOKUP($A131,TOCA_previous!$A$2:$AI$137,MATCH(F$4,TOCA_previous!$A$2:$AI$2,0),FALSE)</f>
        <v>1.1582000000000001E-3</v>
      </c>
      <c r="G131" s="120">
        <f t="shared" si="24"/>
        <v>0</v>
      </c>
      <c r="H131" s="120">
        <f>VLOOKUP($A131,TOCA_previous!$A$2:$AI$137,MATCH(H$4,TOCA_previous!$A$2:$AI$2,0),FALSE)</f>
        <v>7.0000000000000007E-2</v>
      </c>
      <c r="I131" s="120">
        <f t="shared" si="25"/>
        <v>7.0000000000000007E-2</v>
      </c>
      <c r="J131" s="120">
        <f t="shared" si="26"/>
        <v>1.1582000000000001E-3</v>
      </c>
      <c r="K131" s="191">
        <f>VLOOKUP(A131, IRD!$A$5:$C$139, 3, FALSE)</f>
        <v>0</v>
      </c>
      <c r="L131" s="192">
        <f t="array" ref="L131">IF($G131=0, INDEX(LS_previous!$D$4:$AY$138, MATCH('Staging Table'!$A131, LS_previous!$B$4:$B$138, 0), MATCH(L$4&amp;L$5, LS_previous!$D$2:$AY$2&amp;LS_previous!$D$3:$AY$3, 0)),SUM(VLOOKUP($A131, LS_previous!$B$4:$AY$138, LS_previous!D$149, FALSE), VLOOKUP('Staging Table'!$A131, LS_previous!$B$4:$AY$138,LS_previous!AB$149, FALSE))/2)</f>
        <v>0</v>
      </c>
      <c r="M131" s="192">
        <f t="array" ref="M131">IF($G131=0, INDEX(LS_previous!$D$4:$AY$138, MATCH('Staging Table'!$A131, LS_previous!$B$4:$B$138, 0), MATCH(M$4&amp;M$5, LS_previous!$D$2:$AY$2&amp;LS_previous!$D$3:$AY$3, 0)),SUM(VLOOKUP($A131, LS_previous!$B$4:$AY$138, LS_previous!E$149, FALSE), VLOOKUP('Staging Table'!$A131, LS_previous!$B$4:$AY$138,LS_previous!AC$149, FALSE))/2)</f>
        <v>0</v>
      </c>
      <c r="N131" s="192">
        <f t="array" ref="N131">IF($G131=0, INDEX(LS_previous!$D$4:$AY$138, MATCH('Staging Table'!$A131, LS_previous!$B$4:$B$138, 0), MATCH(N$4&amp;N$5, LS_previous!$D$2:$AY$2&amp;LS_previous!$D$3:$AY$3, 0)),SUM(VLOOKUP($A131, LS_previous!$B$4:$AY$138, LS_previous!F$149, FALSE), VLOOKUP('Staging Table'!$A131, LS_previous!$B$4:$AY$138,LS_previous!AD$149, FALSE))/2)</f>
        <v>0</v>
      </c>
      <c r="O131" s="192">
        <f t="array" ref="O131">IF($G131=0, INDEX(LS_previous!$D$4:$AY$138, MATCH('Staging Table'!$A131, LS_previous!$B$4:$B$138, 0), MATCH(O$4&amp;O$5, LS_previous!$D$2:$AY$2&amp;LS_previous!$D$3:$AY$3, 0)),SUM(VLOOKUP($A131, LS_previous!$B$4:$AY$138, LS_previous!G$149, FALSE), VLOOKUP('Staging Table'!$A131, LS_previous!$B$4:$AY$138,LS_previous!AE$149, FALSE))/2)</f>
        <v>0</v>
      </c>
      <c r="P131" s="192">
        <f t="array" ref="P131">IF($G131=0, INDEX(LS_previous!$D$4:$AY$138, MATCH('Staging Table'!$A131, LS_previous!$B$4:$B$138, 0), MATCH(P$4&amp;P$5, LS_previous!$D$2:$AY$2&amp;LS_previous!$D$3:$AY$3, 0)),SUM(VLOOKUP($A131, LS_previous!$B$4:$AY$138, LS_previous!H$149, FALSE), VLOOKUP('Staging Table'!$A131, LS_previous!$B$4:$AY$138,LS_previous!AF$149, FALSE))/2)</f>
        <v>0</v>
      </c>
      <c r="Q131" s="192">
        <f t="array" ref="Q131">IF($G131=0, INDEX(LS_previous!$D$4:$AY$138, MATCH('Staging Table'!$A131, LS_previous!$B$4:$B$138, 0), MATCH(Q$4&amp;Q$5, LS_previous!$D$2:$AY$2&amp;LS_previous!$D$3:$AY$3, 0)),SUM(VLOOKUP($A131, LS_previous!$B$4:$AY$138, LS_previous!I$149, FALSE), VLOOKUP('Staging Table'!$A131, LS_previous!$B$4:$AY$138,LS_previous!AG$149, FALSE))/2)</f>
        <v>0</v>
      </c>
      <c r="R131" s="192">
        <f t="array" ref="R131">IF($G131=0, INDEX(LS_previous!$D$4:$AY$138, MATCH('Staging Table'!$A131, LS_previous!$B$4:$B$138, 0), MATCH(R$4&amp;R$5, LS_previous!$D$2:$AY$2&amp;LS_previous!$D$3:$AY$3, 0)),SUM(VLOOKUP($A131, LS_previous!$B$4:$AY$138, LS_previous!J$149, FALSE), VLOOKUP('Staging Table'!$A131, LS_previous!$B$4:$AY$138,LS_previous!AH$149, FALSE))/2)</f>
        <v>0</v>
      </c>
      <c r="S131" s="192">
        <f t="array" ref="S131">IF($G131=0, INDEX(LS_previous!$D$4:$AY$138, MATCH('Staging Table'!$A131, LS_previous!$B$4:$B$138, 0), MATCH(S$4&amp;S$5, LS_previous!$D$2:$AY$2&amp;LS_previous!$D$3:$AY$3, 0)),SUM(VLOOKUP($A131, LS_previous!$B$4:$AY$138, LS_previous!K$149, FALSE), VLOOKUP('Staging Table'!$A131, LS_previous!$B$4:$AY$138,LS_previous!AI$149, FALSE))/2)</f>
        <v>0</v>
      </c>
      <c r="T131" s="192">
        <f t="array" ref="T131">IF($G131=0, INDEX(LS_previous!$D$4:$AY$138, MATCH('Staging Table'!$A131, LS_previous!$B$4:$B$138, 0), MATCH(T$4&amp;T$5, LS_previous!$D$2:$AY$2&amp;LS_previous!$D$3:$AY$3, 0)),SUM(VLOOKUP($A131, LS_previous!$B$4:$AY$138, LS_previous!L$149, FALSE), VLOOKUP('Staging Table'!$A131, LS_previous!$B$4:$AY$138,LS_previous!AJ$149, FALSE))/2)</f>
        <v>0</v>
      </c>
      <c r="U131" s="192">
        <f t="array" ref="U131">IF($G131=0, INDEX(LS_previous!$D$4:$AY$138, MATCH('Staging Table'!$A131, LS_previous!$B$4:$B$138, 0), MATCH(U$4&amp;U$5, LS_previous!$D$2:$AY$2&amp;LS_previous!$D$3:$AY$3, 0)),SUM(VLOOKUP($A131, LS_previous!$B$4:$AY$138, LS_previous!M$149, FALSE), VLOOKUP('Staging Table'!$A131, LS_previous!$B$4:$AY$138,LS_previous!AK$149, FALSE))/2)</f>
        <v>0</v>
      </c>
      <c r="V131" s="192">
        <f t="array" ref="V131">IF($G131=0, INDEX(LS_previous!$D$4:$AY$138, MATCH('Staging Table'!$A131, LS_previous!$B$4:$B$138, 0), MATCH(V$4&amp;V$5, LS_previous!$D$2:$AY$2&amp;LS_previous!$D$3:$AY$3, 0)),SUM(VLOOKUP($A131, LS_previous!$B$4:$AY$138, LS_previous!N$149, FALSE), VLOOKUP('Staging Table'!$A131, LS_previous!$B$4:$AY$138,LS_previous!AL$149, FALSE))/2)</f>
        <v>0</v>
      </c>
      <c r="W131" s="192">
        <f t="array" ref="W131">IF($G131=0, INDEX(LS_previous!$D$4:$AY$138, MATCH('Staging Table'!$A131, LS_previous!$B$4:$B$138, 0), MATCH(W$4&amp;W$5, LS_previous!$D$2:$AY$2&amp;LS_previous!$D$3:$AY$3, 0)),SUM(VLOOKUP($A131, LS_previous!$B$4:$AY$138, LS_previous!O$149, FALSE), VLOOKUP('Staging Table'!$A131, LS_previous!$B$4:$AY$138,LS_previous!AM$149, FALSE))/2)</f>
        <v>0</v>
      </c>
      <c r="X131" s="192">
        <f t="array" ref="X131">IF($G131=0, INDEX(LS_previous!$D$4:$AY$138, MATCH('Staging Table'!$A131, LS_previous!$B$4:$B$138, 0), MATCH(X$4&amp;X$5, LS_previous!$D$2:$AY$2&amp;LS_previous!$D$3:$AY$3, 0)),SUM(VLOOKUP($A131, LS_previous!$B$4:$AY$138, LS_previous!P$149, FALSE), VLOOKUP('Staging Table'!$A131, LS_previous!$B$4:$AY$138,LS_previous!AN$149, FALSE))/2)</f>
        <v>0</v>
      </c>
      <c r="Y131" s="192">
        <f t="array" ref="Y131">IF($G131=0, INDEX(LS_previous!$D$4:$AY$138, MATCH('Staging Table'!$A131, LS_previous!$B$4:$B$138, 0), MATCH(Y$4&amp;Y$5, LS_previous!$D$2:$AY$2&amp;LS_previous!$D$3:$AY$3, 0)),SUM(VLOOKUP($A131, LS_previous!$B$4:$AY$138, LS_previous!Q$149, FALSE), VLOOKUP('Staging Table'!$A131, LS_previous!$B$4:$AY$138,LS_previous!AO$149, FALSE))/2)</f>
        <v>0</v>
      </c>
      <c r="Z131" s="192">
        <f t="array" ref="Z131">IF($G131=0, INDEX(LS_previous!$D$4:$AY$138, MATCH('Staging Table'!$A131, LS_previous!$B$4:$B$138, 0), MATCH(Z$4&amp;Z$5, LS_previous!$D$2:$AY$2&amp;LS_previous!$D$3:$AY$3, 0)),SUM(VLOOKUP($A131, LS_previous!$B$4:$AY$138, LS_previous!R$149, FALSE), VLOOKUP('Staging Table'!$A131, LS_previous!$B$4:$AY$138,LS_previous!AP$149, FALSE))/2)</f>
        <v>0</v>
      </c>
      <c r="AA131" s="192">
        <f t="array" ref="AA131">IF($G131=0, INDEX(LS_previous!$D$4:$AY$138, MATCH('Staging Table'!$A131, LS_previous!$B$4:$B$138, 0), MATCH(AA$4&amp;AA$5, LS_previous!$D$2:$AY$2&amp;LS_previous!$D$3:$AY$3, 0)),SUM(VLOOKUP($A131, LS_previous!$B$4:$AY$138, LS_previous!S$149, FALSE), VLOOKUP('Staging Table'!$A131, LS_previous!$B$4:$AY$138,LS_previous!AQ$149, FALSE))/2)</f>
        <v>0</v>
      </c>
      <c r="AB131" s="192">
        <f t="array" ref="AB131">IF($G131=0, INDEX(LS_previous!$D$4:$AY$138, MATCH('Staging Table'!$A131, LS_previous!$B$4:$B$138, 0), MATCH(AB$4&amp;AB$5, LS_previous!$D$2:$AY$2&amp;LS_previous!$D$3:$AY$3, 0)),SUM(VLOOKUP($A131, LS_previous!$B$4:$AY$138, LS_previous!T$149, FALSE), VLOOKUP('Staging Table'!$A131, LS_previous!$B$4:$AY$138,LS_previous!AR$149, FALSE))/2)</f>
        <v>0</v>
      </c>
      <c r="AC131" s="192">
        <f t="array" ref="AC131">IF($G131=0, INDEX(LS_previous!$D$4:$AY$138, MATCH('Staging Table'!$A131, LS_previous!$B$4:$B$138, 0), MATCH(AC$4&amp;AC$5, LS_previous!$D$2:$AY$2&amp;LS_previous!$D$3:$AY$3, 0)),SUM(VLOOKUP($A131, LS_previous!$B$4:$AY$138, LS_previous!U$149, FALSE), VLOOKUP('Staging Table'!$A131, LS_previous!$B$4:$AY$138,LS_previous!AS$149, FALSE))/2)</f>
        <v>0</v>
      </c>
      <c r="AD131" s="192">
        <f t="array" ref="AD131">IF($G131=0, INDEX(LS_previous!$D$4:$AY$138, MATCH('Staging Table'!$A131, LS_previous!$B$4:$B$138, 0), MATCH(AD$4&amp;AD$5, LS_previous!$D$2:$AY$2&amp;LS_previous!$D$3:$AY$3, 0)),SUM(VLOOKUP($A131, LS_previous!$B$4:$AY$138, LS_previous!V$149, FALSE), VLOOKUP('Staging Table'!$A131, LS_previous!$B$4:$AY$138,LS_previous!AT$149, FALSE))/2)</f>
        <v>0</v>
      </c>
      <c r="AE131" s="192">
        <f t="array" ref="AE131">IF($G131=0, INDEX(LS_previous!$D$4:$AY$138, MATCH('Staging Table'!$A131, LS_previous!$B$4:$B$138, 0), MATCH(AE$4&amp;AE$5, LS_previous!$D$2:$AY$2&amp;LS_previous!$D$3:$AY$3, 0)),SUM(VLOOKUP($A131, LS_previous!$B$4:$AY$138, LS_previous!W$149, FALSE), VLOOKUP('Staging Table'!$A131, LS_previous!$B$4:$AY$138,LS_previous!AU$149, FALSE))/2)</f>
        <v>0</v>
      </c>
      <c r="AF131" s="192">
        <f t="array" ref="AF131">IF($G131=0, INDEX(LS_previous!$D$4:$AY$138, MATCH('Staging Table'!$A131, LS_previous!$B$4:$B$138, 0), MATCH(AF$4&amp;AF$5, LS_previous!$D$2:$AY$2&amp;LS_previous!$D$3:$AY$3, 0)),SUM(VLOOKUP($A131, LS_previous!$B$4:$AY$138, LS_previous!X$149, FALSE), VLOOKUP('Staging Table'!$A131, LS_previous!$B$4:$AY$138,LS_previous!AV$149, FALSE))/2)</f>
        <v>0</v>
      </c>
      <c r="AG131" s="192">
        <f t="array" ref="AG131">IF($G131=0, INDEX(LS_previous!$D$4:$AY$138, MATCH('Staging Table'!$A131, LS_previous!$B$4:$B$138, 0), MATCH(AG$4&amp;AG$5, LS_previous!$D$2:$AY$2&amp;LS_previous!$D$3:$AY$3, 0)),SUM(VLOOKUP($A131, LS_previous!$B$4:$AY$138, LS_previous!Y$149, FALSE), VLOOKUP('Staging Table'!$A131, LS_previous!$B$4:$AY$138,LS_previous!AW$149, FALSE))/2)</f>
        <v>0</v>
      </c>
      <c r="AH131" s="192">
        <f t="array" ref="AH131">IF($G131=0, INDEX(LS_previous!$D$4:$AY$138, MATCH('Staging Table'!$A131, LS_previous!$B$4:$B$138, 0), MATCH(AH$4&amp;AH$5, LS_previous!$D$2:$AY$2&amp;LS_previous!$D$3:$AY$3, 0)),SUM(VLOOKUP($A131, LS_previous!$B$4:$AY$138, LS_previous!Z$149, FALSE), VLOOKUP('Staging Table'!$A131, LS_previous!$B$4:$AY$138,LS_previous!AX$149, FALSE))/2)</f>
        <v>0</v>
      </c>
      <c r="AI131" s="192">
        <f t="array" ref="AI131">IF($G131=0, INDEX(LS_previous!$D$4:$AY$138, MATCH('Staging Table'!$A131, LS_previous!$B$4:$B$138, 0), MATCH(AI$4&amp;AI$5, LS_previous!$D$2:$AY$2&amp;LS_previous!$D$3:$AY$3, 0)),SUM(VLOOKUP($A131, LS_previous!$B$4:$AY$138, LS_previous!AA$149, FALSE), VLOOKUP('Staging Table'!$A131, LS_previous!$B$4:$AY$138,LS_previous!AY$149, FALSE))/2)</f>
        <v>0</v>
      </c>
      <c r="AJ131" s="314">
        <f t="array" ref="AJ131">INDEX(Demand_previous!$D$4:$AY$138, MATCH('Staging Table'!$A131, Demand_previous!$B$4:$B$138, 0), MATCH(AJ$4&amp;AJ$5,Demand_previous!$D$2:$AY$2&amp;Demand_previous!$D$3:$AY$3, 0))/1000</f>
        <v>0</v>
      </c>
      <c r="AK131" s="314">
        <f t="array" ref="AK131">INDEX(Demand_previous!$D$4:$AY$138, MATCH('Staging Table'!$A131, Demand_previous!$B$4:$B$138, 0), MATCH(AK$4&amp;AK$5,Demand_previous!$D$2:$AY$2&amp;Demand_previous!$D$3:$AY$3, 0))/1000</f>
        <v>0</v>
      </c>
      <c r="AL131" s="314">
        <f t="array" ref="AL131">INDEX(Demand_previous!$D$4:$AY$138, MATCH('Staging Table'!$A131, Demand_previous!$B$4:$B$138, 0), MATCH(AL$4&amp;AL$5,Demand_previous!$D$2:$AY$2&amp;Demand_previous!$D$3:$AY$3, 0))/1000</f>
        <v>0</v>
      </c>
      <c r="AM131" s="314">
        <f t="array" ref="AM131">INDEX(Demand_previous!$D$4:$AY$138, MATCH('Staging Table'!$A131, Demand_previous!$B$4:$B$138, 0), MATCH(AM$4&amp;AM$5,Demand_previous!$D$2:$AY$2&amp;Demand_previous!$D$3:$AY$3, 0))/1000</f>
        <v>0</v>
      </c>
      <c r="AN131" s="314">
        <f t="array" ref="AN131">INDEX(Demand_previous!$D$4:$AY$138, MATCH('Staging Table'!$A131, Demand_previous!$B$4:$B$138, 0), MATCH(AN$4&amp;AN$5,Demand_previous!$D$2:$AY$2&amp;Demand_previous!$D$3:$AY$3, 0))/1000</f>
        <v>0</v>
      </c>
      <c r="AO131" s="314">
        <f t="array" ref="AO131">INDEX(Demand_previous!$D$4:$AY$138, MATCH('Staging Table'!$A131, Demand_previous!$B$4:$B$138, 0), MATCH(AO$4&amp;AO$5,Demand_previous!$D$2:$AY$2&amp;Demand_previous!$D$3:$AY$3, 0))/1000</f>
        <v>0</v>
      </c>
      <c r="AP131" s="314">
        <f t="array" ref="AP131">INDEX(Demand_previous!$D$4:$AY$138, MATCH('Staging Table'!$A131, Demand_previous!$B$4:$B$138, 0), MATCH(AP$4&amp;AP$5,Demand_previous!$D$2:$AY$2&amp;Demand_previous!$D$3:$AY$3, 0))/1000</f>
        <v>0</v>
      </c>
      <c r="AQ131" s="314">
        <f t="array" ref="AQ131">INDEX(Demand_previous!$D$4:$AY$138, MATCH('Staging Table'!$A131, Demand_previous!$B$4:$B$138, 0), MATCH(AQ$4&amp;AQ$5,Demand_previous!$D$2:$AY$2&amp;Demand_previous!$D$3:$AY$3, 0))/1000</f>
        <v>0</v>
      </c>
      <c r="AR131" s="314">
        <f t="array" ref="AR131">INDEX(Demand_previous!$D$4:$AY$138, MATCH('Staging Table'!$A131, Demand_previous!$B$4:$B$138, 0), MATCH(AR$4&amp;AR$5,Demand_previous!$D$2:$AY$2&amp;Demand_previous!$D$3:$AY$3, 0))/1000</f>
        <v>0</v>
      </c>
      <c r="AS131" s="314">
        <f t="array" ref="AS131">INDEX(Demand_previous!$D$4:$AY$138, MATCH('Staging Table'!$A131, Demand_previous!$B$4:$B$138, 0), MATCH(AS$4&amp;AS$5,Demand_previous!$D$2:$AY$2&amp;Demand_previous!$D$3:$AY$3, 0))/1000</f>
        <v>0</v>
      </c>
      <c r="AT131" s="314">
        <f t="array" ref="AT131">INDEX(Demand_previous!$D$4:$AY$138, MATCH('Staging Table'!$A131, Demand_previous!$B$4:$B$138, 0), MATCH(AT$4&amp;AT$5,Demand_previous!$D$2:$AY$2&amp;Demand_previous!$D$3:$AY$3, 0))/1000</f>
        <v>0</v>
      </c>
      <c r="AU131" s="314">
        <f t="array" ref="AU131">INDEX(Demand_previous!$D$4:$AY$138, MATCH('Staging Table'!$A131, Demand_previous!$B$4:$B$138, 0), MATCH(AU$4&amp;AU$5,Demand_previous!$D$2:$AY$2&amp;Demand_previous!$D$3:$AY$3, 0))/1000</f>
        <v>0</v>
      </c>
      <c r="AV131" s="192">
        <f>$F131*(VLOOKUP(AV$4, Rates_previous!$G$6:$Q$29, 10, FALSE)+VLOOKUP(AV$4, Rates_previous!$G$6:$Q$29, 11, FALSE))</f>
        <v>5347.7767764071996</v>
      </c>
      <c r="AW131" s="192">
        <f>$F131*(VLOOKUP(AW$4, Rates_previous!$G$6:$Q$29, 10, FALSE)+VLOOKUP(AW$4, Rates_previous!$G$6:$Q$29, 11, FALSE))</f>
        <v>6793.3447774098004</v>
      </c>
      <c r="AX131" s="192">
        <f>$F131*(VLOOKUP(AX$4, Rates_previous!$G$6:$Q$29, 10, FALSE)+VLOOKUP(AX$4, Rates_previous!$G$6:$Q$29, 11, FALSE))</f>
        <v>6711.3059470072012</v>
      </c>
      <c r="AY131" s="192">
        <f>$F131*(VLOOKUP(AY$4, Rates_previous!$G$6:$Q$29, 10, FALSE)+VLOOKUP(AY$4, Rates_previous!$G$6:$Q$29, 11, FALSE))</f>
        <v>5594.2822734072006</v>
      </c>
      <c r="AZ131" s="192">
        <f>$F131*(VLOOKUP(AZ$4, Rates_previous!$G$6:$Q$29, 10, FALSE)+VLOOKUP(AZ$4, Rates_previous!$G$6:$Q$29, 11, FALSE))</f>
        <v>5067.8393777600004</v>
      </c>
      <c r="BA131" s="192">
        <f>$F131*(VLOOKUP(BA$4, Rates_previous!$G$6:$Q$29, 10, FALSE)+VLOOKUP(BA$4, Rates_previous!$G$6:$Q$29, 11, FALSE))</f>
        <v>5637.0473502333998</v>
      </c>
      <c r="BB131" s="192">
        <f>$F131*(VLOOKUP(BB$4, Rates_previous!$G$6:$Q$29, 10, FALSE)+VLOOKUP(BB$4, Rates_previous!$G$6:$Q$29, 11, FALSE))</f>
        <v>4589.6900355360003</v>
      </c>
      <c r="BC131" s="192">
        <f>$F131*(VLOOKUP(BC$4, Rates_previous!$G$6:$Q$29, 10, FALSE)+VLOOKUP(BC$4, Rates_previous!$G$6:$Q$29, 11, FALSE))</f>
        <v>6189.8814115072009</v>
      </c>
      <c r="BD131" s="192">
        <f>$F131*(VLOOKUP(BD$4, Rates_previous!$G$6:$Q$29, 10, FALSE)+VLOOKUP(BD$4, Rates_previous!$G$6:$Q$29, 11, FALSE))</f>
        <v>7897.8676984360009</v>
      </c>
      <c r="BE131" s="192">
        <f>$F131*(VLOOKUP(BE$4, Rates_previous!$G$6:$Q$29, 10, FALSE)+VLOOKUP(BE$4, Rates_previous!$G$6:$Q$29, 11, FALSE))</f>
        <v>6192.1787012072009</v>
      </c>
      <c r="BF131" s="192">
        <f>$F131*(VLOOKUP(BF$4, Rates_previous!$G$6:$Q$29, 10, FALSE)+VLOOKUP(BF$4, Rates_previous!$G$6:$Q$29, 11, FALSE))</f>
        <v>6029.9490481072007</v>
      </c>
      <c r="BG131" s="192">
        <f>$F131*(VLOOKUP(BG$4, Rates_previous!$G$6:$Q$29, 10, FALSE)+VLOOKUP(BG$4, Rates_previous!$G$6:$Q$29, 11, FALSE))</f>
        <v>5413.6115097360007</v>
      </c>
      <c r="BH131" s="314">
        <f>IF($D131=0,IF(C131=0, MAX(BJ131 - (VLOOKUP($A131,TOCA_previous!$A$2:$AI$137,MATCH("RHWM 2020",TOCA_previous!$A$2:$AI$2,0),FALSE)*$F$2*TOCA_previous!C128),0),0), 0)</f>
        <v>0</v>
      </c>
      <c r="BI131" s="204">
        <f>MIN(VLOOKUP($A131,TOCA_previous!$A$2:$AI$137,MATCH("TRL - NLSL - Existing Resource "&amp;$F$1,TOCA_previous!$A$2:$AI$2,0),FALSE)*$F$2,(VLOOKUP($A131,TOCA_previous!$A$2:$AI$137,MATCH("RHWM 2020",TOCA_previous!$A$2:$AI$2,0),FALSE)*$F$2))</f>
        <v>71466.623999999996</v>
      </c>
      <c r="BJ131" s="418">
        <f>SUM(L131:AI131)+(F131*RT1SC!$C$3*$F$2)</f>
        <v>71464.777589145597</v>
      </c>
      <c r="BK131" s="417">
        <f>VLOOKUP($A131,TOCA_previous!$A$2:$AI$137,MATCH("Above RHWM Not Served with LS "&amp;$F$1,TOCA_previous!$A$2:$AI$2,0),FALSE)*$F$2</f>
        <v>0</v>
      </c>
      <c r="BL131" s="418">
        <f t="shared" si="27"/>
        <v>-1.8464108543994371</v>
      </c>
      <c r="BM131" s="417">
        <f>(VLOOKUP($A131,TOCA_previous!$A$2:$AI$137,MATCH("RHWM 2020",TOCA_previous!$A$2:$AI$2,0),FALSE)*$F$2) - $BI131</f>
        <v>2643.9839999999967</v>
      </c>
      <c r="BN131" s="418">
        <f t="shared" si="28"/>
        <v>0</v>
      </c>
      <c r="BO131" s="417">
        <f t="shared" si="29"/>
        <v>1.8464108543994371</v>
      </c>
      <c r="BP131" s="418">
        <f t="shared" si="30"/>
        <v>0</v>
      </c>
      <c r="BQ131" s="417">
        <f t="shared" si="37"/>
        <v>1.8464108543994371</v>
      </c>
      <c r="BR131" s="120">
        <f>VLOOKUP($A131,TOCA_current!$A$2:$AI$137,MATCH(BR$4,TOCA_current!$A$2:$AI$2,0),FALSE)</f>
        <v>1.2009E-3</v>
      </c>
      <c r="BS131" s="120">
        <f>VLOOKUP($A131,TOCA_current!$A$2:$AI$137,MATCH(BS$4,TOCA_current!$A$2:$AI$2,0),FALSE)</f>
        <v>1.2009E-3</v>
      </c>
      <c r="BT131" s="201">
        <f t="shared" si="31"/>
        <v>0</v>
      </c>
      <c r="BU131" s="120">
        <f>VLOOKUP($A131,TOCA_current!A127:BG262,MATCH(BU$4,TOCA_current!$A$2:$BG$2,0),FALSE)</f>
        <v>7.1436341161928318E-2</v>
      </c>
      <c r="BV131" s="120">
        <f t="shared" si="38"/>
        <v>7.1436341161928318E-2</v>
      </c>
      <c r="BW131" s="120">
        <f t="shared" si="39"/>
        <v>1.2009E-3</v>
      </c>
      <c r="BX131" s="191">
        <f>VLOOKUP($A131,IRD!$A$4:$G$139, 7, FALSE)</f>
        <v>0</v>
      </c>
      <c r="BY131" s="192">
        <f t="array" ref="BY131">IF($BT131=0, INDEX(LS_current!$D$4:$AY$138, MATCH('Staging Table'!$A131, LS_current!$B$4:$B$138, 0), MATCH(BY$4&amp;BY$5, LS_current!$D$2:$AY$2&amp;LS_current!$D$3:$AY$3, 0)),SUM(VLOOKUP($A131, LS_current!$B$4:$AY$138, LS_current!D$148, FALSE), VLOOKUP($A131, LS_current!$B$4:$AY$138,LS_current!AB$148, FALSE))/2)</f>
        <v>0</v>
      </c>
      <c r="BZ131" s="192">
        <f t="array" ref="BZ131">IF($BT131=0, INDEX(LS_current!$D$4:$AY$138, MATCH('Staging Table'!$A131, LS_current!$B$4:$B$138, 0), MATCH(BZ$4&amp;BZ$5, LS_current!$D$2:$AY$2&amp;LS_current!$D$3:$AY$3, 0)),SUM(VLOOKUP($A131, LS_current!$B$4:$AY$138, LS_current!E$148, FALSE), VLOOKUP($A131, LS_current!$B$4:$AY$138,LS_current!AC$148, FALSE))/2)</f>
        <v>0</v>
      </c>
      <c r="CA131" s="192">
        <f t="array" ref="CA131">IF($BT131=0, INDEX(LS_current!$D$4:$AY$138, MATCH('Staging Table'!$A131, LS_current!$B$4:$B$138, 0), MATCH(CA$4&amp;CA$5, LS_current!$D$2:$AY$2&amp;LS_current!$D$3:$AY$3, 0)),SUM(VLOOKUP($A131, LS_current!$B$4:$AY$138, LS_current!F$148, FALSE), VLOOKUP($A131, LS_current!$B$4:$AY$138,LS_current!AD$148, FALSE))/2)</f>
        <v>0</v>
      </c>
      <c r="CB131" s="192">
        <f t="array" ref="CB131">IF($BT131=0, INDEX(LS_current!$D$4:$AY$138, MATCH('Staging Table'!$A131, LS_current!$B$4:$B$138, 0), MATCH(CB$4&amp;CB$5, LS_current!$D$2:$AY$2&amp;LS_current!$D$3:$AY$3, 0)),SUM(VLOOKUP($A131, LS_current!$B$4:$AY$138, LS_current!G$148, FALSE), VLOOKUP($A131, LS_current!$B$4:$AY$138,LS_current!AE$148, FALSE))/2)</f>
        <v>0</v>
      </c>
      <c r="CC131" s="192">
        <f t="array" ref="CC131">IF($BT131=0, INDEX(LS_current!$D$4:$AY$138, MATCH('Staging Table'!$A131, LS_current!$B$4:$B$138, 0), MATCH(CC$4&amp;CC$5, LS_current!$D$2:$AY$2&amp;LS_current!$D$3:$AY$3, 0)),SUM(VLOOKUP($A131, LS_current!$B$4:$AY$138, LS_current!H$148, FALSE), VLOOKUP($A131, LS_current!$B$4:$AY$138,LS_current!AF$148, FALSE))/2)</f>
        <v>0</v>
      </c>
      <c r="CD131" s="192">
        <f t="array" ref="CD131">IF($BT131=0, INDEX(LS_current!$D$4:$AY$138, MATCH('Staging Table'!$A131, LS_current!$B$4:$B$138, 0), MATCH(CD$4&amp;CD$5, LS_current!$D$2:$AY$2&amp;LS_current!$D$3:$AY$3, 0)),SUM(VLOOKUP($A131, LS_current!$B$4:$AY$138, LS_current!I$148, FALSE), VLOOKUP($A131, LS_current!$B$4:$AY$138,LS_current!AG$148, FALSE))/2)</f>
        <v>0</v>
      </c>
      <c r="CE131" s="192">
        <f t="array" ref="CE131">IF($BT131=0, INDEX(LS_current!$D$4:$AY$138, MATCH('Staging Table'!$A131, LS_current!$B$4:$B$138, 0), MATCH(CE$4&amp;CE$5, LS_current!$D$2:$AY$2&amp;LS_current!$D$3:$AY$3, 0)),SUM(VLOOKUP($A131, LS_current!$B$4:$AY$138, LS_current!J$148, FALSE), VLOOKUP($A131, LS_current!$B$4:$AY$138,LS_current!AH$148, FALSE))/2)</f>
        <v>0</v>
      </c>
      <c r="CF131" s="192">
        <f t="array" ref="CF131">IF($BT131=0, INDEX(LS_current!$D$4:$AY$138, MATCH('Staging Table'!$A131, LS_current!$B$4:$B$138, 0), MATCH(CF$4&amp;CF$5, LS_current!$D$2:$AY$2&amp;LS_current!$D$3:$AY$3, 0)),SUM(VLOOKUP($A131, LS_current!$B$4:$AY$138, LS_current!K$148, FALSE), VLOOKUP($A131, LS_current!$B$4:$AY$138,LS_current!AI$148, FALSE))/2)</f>
        <v>0</v>
      </c>
      <c r="CG131" s="192">
        <f t="array" ref="CG131">IF($BT131=0, INDEX(LS_current!$D$4:$AY$138, MATCH('Staging Table'!$A131, LS_current!$B$4:$B$138, 0), MATCH(CG$4&amp;CG$5, LS_current!$D$2:$AY$2&amp;LS_current!$D$3:$AY$3, 0)),SUM(VLOOKUP($A131, LS_current!$B$4:$AY$138, LS_current!L$148, FALSE), VLOOKUP($A131, LS_current!$B$4:$AY$138,LS_current!AJ$148, FALSE))/2)</f>
        <v>0</v>
      </c>
      <c r="CH131" s="192">
        <f t="array" ref="CH131">IF($BT131=0, INDEX(LS_current!$D$4:$AY$138, MATCH('Staging Table'!$A131, LS_current!$B$4:$B$138, 0), MATCH(CH$4&amp;CH$5, LS_current!$D$2:$AY$2&amp;LS_current!$D$3:$AY$3, 0)),SUM(VLOOKUP($A131, LS_current!$B$4:$AY$138, LS_current!M$148, FALSE), VLOOKUP($A131, LS_current!$B$4:$AY$138,LS_current!AK$148, FALSE))/2)</f>
        <v>0</v>
      </c>
      <c r="CI131" s="192">
        <f t="array" ref="CI131">IF($BT131=0, INDEX(LS_current!$D$4:$AY$138, MATCH('Staging Table'!$A131, LS_current!$B$4:$B$138, 0), MATCH(CI$4&amp;CI$5, LS_current!$D$2:$AY$2&amp;LS_current!$D$3:$AY$3, 0)),SUM(VLOOKUP($A131, LS_current!$B$4:$AY$138, LS_current!N$148, FALSE), VLOOKUP($A131, LS_current!$B$4:$AY$138,LS_current!AL$148, FALSE))/2)</f>
        <v>0</v>
      </c>
      <c r="CJ131" s="192">
        <f t="array" ref="CJ131">IF($BT131=0, INDEX(LS_current!$D$4:$AY$138, MATCH('Staging Table'!$A131, LS_current!$B$4:$B$138, 0), MATCH(CJ$4&amp;CJ$5, LS_current!$D$2:$AY$2&amp;LS_current!$D$3:$AY$3, 0)),SUM(VLOOKUP($A131, LS_current!$B$4:$AY$138, LS_current!O$148, FALSE), VLOOKUP($A131, LS_current!$B$4:$AY$138,LS_current!AM$148, FALSE))/2)</f>
        <v>0</v>
      </c>
      <c r="CK131" s="192">
        <f t="array" ref="CK131">IF($BT131=0, INDEX(LS_current!$D$4:$AY$138, MATCH('Staging Table'!$A131, LS_current!$B$4:$B$138, 0), MATCH(CK$4&amp;CK$5, LS_current!$D$2:$AY$2&amp;LS_current!$D$3:$AY$3, 0)),SUM(VLOOKUP($A131, LS_current!$B$4:$AY$138, LS_current!P$148, FALSE), VLOOKUP($A131, LS_current!$B$4:$AY$138,LS_current!AN$148, FALSE))/2)</f>
        <v>0</v>
      </c>
      <c r="CL131" s="192">
        <f t="array" ref="CL131">IF($BT131=0, INDEX(LS_current!$D$4:$AY$138, MATCH('Staging Table'!$A131, LS_current!$B$4:$B$138, 0), MATCH(CL$4&amp;CL$5, LS_current!$D$2:$AY$2&amp;LS_current!$D$3:$AY$3, 0)),SUM(VLOOKUP($A131, LS_current!$B$4:$AY$138, LS_current!Q$148, FALSE), VLOOKUP($A131, LS_current!$B$4:$AY$138,LS_current!AO$148, FALSE))/2)</f>
        <v>0</v>
      </c>
      <c r="CM131" s="192">
        <f t="array" ref="CM131">IF($BT131=0, INDEX(LS_current!$D$4:$AY$138, MATCH('Staging Table'!$A131, LS_current!$B$4:$B$138, 0), MATCH(CM$4&amp;CM$5, LS_current!$D$2:$AY$2&amp;LS_current!$D$3:$AY$3, 0)),SUM(VLOOKUP($A131, LS_current!$B$4:$AY$138, LS_current!R$148, FALSE), VLOOKUP($A131, LS_current!$B$4:$AY$138,LS_current!AP$148, FALSE))/2)</f>
        <v>0</v>
      </c>
      <c r="CN131" s="192">
        <f t="array" ref="CN131">IF($BT131=0, INDEX(LS_current!$D$4:$AY$138, MATCH('Staging Table'!$A131, LS_current!$B$4:$B$138, 0), MATCH(CN$4&amp;CN$5, LS_current!$D$2:$AY$2&amp;LS_current!$D$3:$AY$3, 0)),SUM(VLOOKUP($A131, LS_current!$B$4:$AY$138, LS_current!S$148, FALSE), VLOOKUP($A131, LS_current!$B$4:$AY$138,LS_current!AQ$148, FALSE))/2)</f>
        <v>0</v>
      </c>
      <c r="CO131" s="192">
        <f t="array" ref="CO131">IF($BT131=0, INDEX(LS_current!$D$4:$AY$138, MATCH('Staging Table'!$A131, LS_current!$B$4:$B$138, 0), MATCH(CO$4&amp;CO$5, LS_current!$D$2:$AY$2&amp;LS_current!$D$3:$AY$3, 0)),SUM(VLOOKUP($A131, LS_current!$B$4:$AY$138, LS_current!T$148, FALSE), VLOOKUP($A131, LS_current!$B$4:$AY$138,LS_current!AR$148, FALSE))/2)</f>
        <v>0</v>
      </c>
      <c r="CP131" s="192">
        <f t="array" ref="CP131">IF($BT131=0, INDEX(LS_current!$D$4:$AY$138, MATCH('Staging Table'!$A131, LS_current!$B$4:$B$138, 0), MATCH(CP$4&amp;CP$5, LS_current!$D$2:$AY$2&amp;LS_current!$D$3:$AY$3, 0)),SUM(VLOOKUP($A131, LS_current!$B$4:$AY$138, LS_current!U$148, FALSE), VLOOKUP($A131, LS_current!$B$4:$AY$138,LS_current!AS$148, FALSE))/2)</f>
        <v>0</v>
      </c>
      <c r="CQ131" s="192">
        <f t="array" ref="CQ131">IF($BT131=0, INDEX(LS_current!$D$4:$AY$138, MATCH('Staging Table'!$A131, LS_current!$B$4:$B$138, 0), MATCH(CQ$4&amp;CQ$5, LS_current!$D$2:$AY$2&amp;LS_current!$D$3:$AY$3, 0)),SUM(VLOOKUP($A131, LS_current!$B$4:$AY$138, LS_current!V$148, FALSE), VLOOKUP($A131, LS_current!$B$4:$AY$138,LS_current!AT$148, FALSE))/2)</f>
        <v>0</v>
      </c>
      <c r="CR131" s="192">
        <f t="array" ref="CR131">IF($BT131=0, INDEX(LS_current!$D$4:$AY$138, MATCH('Staging Table'!$A131, LS_current!$B$4:$B$138, 0), MATCH(CR$4&amp;CR$5, LS_current!$D$2:$AY$2&amp;LS_current!$D$3:$AY$3, 0)),SUM(VLOOKUP($A131, LS_current!$B$4:$AY$138, LS_current!W$148, FALSE), VLOOKUP($A131, LS_current!$B$4:$AY$138,LS_current!AU$148, FALSE))/2)</f>
        <v>0</v>
      </c>
      <c r="CS131" s="192">
        <f t="array" ref="CS131">IF($BT131=0, INDEX(LS_current!$D$4:$AY$138, MATCH('Staging Table'!$A131, LS_current!$B$4:$B$138, 0), MATCH(CS$4&amp;CS$5, LS_current!$D$2:$AY$2&amp;LS_current!$D$3:$AY$3, 0)),SUM(VLOOKUP($A131, LS_current!$B$4:$AY$138, LS_current!X$148, FALSE), VLOOKUP($A131, LS_current!$B$4:$AY$138,LS_current!AV$148, FALSE))/2)</f>
        <v>0</v>
      </c>
      <c r="CT131" s="192">
        <f t="array" ref="CT131">IF($BT131=0, INDEX(LS_current!$D$4:$AY$138, MATCH('Staging Table'!$A131, LS_current!$B$4:$B$138, 0), MATCH(CT$4&amp;CT$5, LS_current!$D$2:$AY$2&amp;LS_current!$D$3:$AY$3, 0)),SUM(VLOOKUP($A131, LS_current!$B$4:$AY$138, LS_current!Y$148, FALSE), VLOOKUP($A131, LS_current!$B$4:$AY$138,LS_current!AW$148, FALSE))/2)</f>
        <v>0</v>
      </c>
      <c r="CU131" s="192">
        <f t="array" ref="CU131">IF($BT131=0, INDEX(LS_current!$D$4:$AY$138, MATCH('Staging Table'!$A131, LS_current!$B$4:$B$138, 0), MATCH(CU$4&amp;CU$5, LS_current!$D$2:$AY$2&amp;LS_current!$D$3:$AY$3, 0)),SUM(VLOOKUP($A131, LS_current!$B$4:$AY$138, LS_current!Z$148, FALSE), VLOOKUP($A131, LS_current!$B$4:$AY$138,LS_current!AX$148, FALSE))/2)</f>
        <v>0</v>
      </c>
      <c r="CV131" s="192">
        <f t="array" ref="CV131">IF($BT131=0, INDEX(LS_current!$D$4:$AY$138, MATCH('Staging Table'!$A131, LS_current!$B$4:$B$138, 0), MATCH(CV$4&amp;CV$5, LS_current!$D$2:$AY$2&amp;LS_current!$D$3:$AY$3, 0)),SUM(VLOOKUP($A131, LS_current!$B$4:$AY$138, LS_current!AA$148, FALSE), VLOOKUP($A131, LS_current!$B$4:$AY$138,LS_current!AY$148, FALSE))/2)</f>
        <v>0</v>
      </c>
      <c r="CW131" s="194">
        <f t="array" ref="CW131">INDEX(Demand_current!$D$4:$AY$138, MATCH($A131, Demand_current!$B$4:$B$138, 0), MATCH(CW$4&amp;CW$5,Demand_current!$D$2:$AY$2&amp;Demand_current!$D$3:$AY$3, 0))/1000</f>
        <v>0</v>
      </c>
      <c r="CX131" s="194">
        <f t="array" ref="CX131">INDEX(Demand_current!$D$4:$AY$138, MATCH($A131, Demand_current!$B$4:$B$138, 0), MATCH(CX$4&amp;CX$5,Demand_current!$D$2:$AY$2&amp;Demand_current!$D$3:$AY$3, 0))/1000</f>
        <v>0</v>
      </c>
      <c r="CY131" s="194">
        <f t="array" ref="CY131">INDEX(Demand_current!$D$4:$AY$138, MATCH($A131, Demand_current!$B$4:$B$138, 0), MATCH(CY$4&amp;CY$5,Demand_current!$D$2:$AY$2&amp;Demand_current!$D$3:$AY$3, 0))/1000</f>
        <v>0</v>
      </c>
      <c r="CZ131" s="194">
        <f t="array" ref="CZ131">INDEX(Demand_current!$D$4:$AY$138, MATCH($A131, Demand_current!$B$4:$B$138, 0), MATCH(CZ$4&amp;CZ$5,Demand_current!$D$2:$AY$2&amp;Demand_current!$D$3:$AY$3, 0))/1000</f>
        <v>0</v>
      </c>
      <c r="DA131" s="194">
        <f t="array" ref="DA131">INDEX(Demand_current!$D$4:$AY$138, MATCH($A131, Demand_current!$B$4:$B$138, 0), MATCH(DA$4&amp;DA$5,Demand_current!$D$2:$AY$2&amp;Demand_current!$D$3:$AY$3, 0))/1000</f>
        <v>0</v>
      </c>
      <c r="DB131" s="194">
        <f t="array" ref="DB131">INDEX(Demand_current!$D$4:$AY$138, MATCH($A131, Demand_current!$B$4:$B$138, 0), MATCH(DB$4&amp;DB$5,Demand_current!$D$2:$AY$2&amp;Demand_current!$D$3:$AY$3, 0))/1000</f>
        <v>0</v>
      </c>
      <c r="DC131" s="194">
        <f t="array" ref="DC131">INDEX(Demand_current!$D$4:$AY$138, MATCH($A131, Demand_current!$B$4:$B$138, 0), MATCH(DC$4&amp;DC$5,Demand_current!$D$2:$AY$2&amp;Demand_current!$D$3:$AY$3, 0))/1000</f>
        <v>0</v>
      </c>
      <c r="DD131" s="194">
        <f t="array" ref="DD131">INDEX(Demand_current!$D$4:$AY$138, MATCH($A131, Demand_current!$B$4:$B$138, 0), MATCH(DD$4&amp;DD$5,Demand_current!$D$2:$AY$2&amp;Demand_current!$D$3:$AY$3, 0))/1000</f>
        <v>0</v>
      </c>
      <c r="DE131" s="194">
        <f t="array" ref="DE131">INDEX(Demand_current!$D$4:$AY$138, MATCH($A131, Demand_current!$B$4:$B$138, 0), MATCH(DE$4&amp;DE$5,Demand_current!$D$2:$AY$2&amp;Demand_current!$D$3:$AY$3, 0))/1000</f>
        <v>0</v>
      </c>
      <c r="DF131" s="194">
        <f t="array" ref="DF131">INDEX(Demand_current!$D$4:$AY$138, MATCH($A131, Demand_current!$B$4:$B$138, 0), MATCH(DF$4&amp;DF$5,Demand_current!$D$2:$AY$2&amp;Demand_current!$D$3:$AY$3, 0))/1000</f>
        <v>0</v>
      </c>
      <c r="DG131" s="194">
        <f t="array" ref="DG131">INDEX(Demand_current!$D$4:$AY$138, MATCH($A131, Demand_current!$B$4:$B$138, 0), MATCH(DG$4&amp;DG$5,Demand_current!$D$2:$AY$2&amp;Demand_current!$D$3:$AY$3, 0))/1000</f>
        <v>0</v>
      </c>
      <c r="DH131" s="194">
        <f t="array" ref="DH131">INDEX(Demand_current!$D$4:$AY$138, MATCH($A131, Demand_current!$B$4:$B$138, 0), MATCH(DH$4&amp;DH$5,Demand_current!$D$2:$AY$2&amp;Demand_current!$D$3:$AY$3, 0))/1000</f>
        <v>0</v>
      </c>
      <c r="DI131" s="192">
        <f>$BS131*(VLOOKUP(DI$4, Rates_current!$G$6:$Q$29, 10, FALSE)+VLOOKUP(DI$4, Rates_current!$G$6:$Q$29, 11, FALSE))</f>
        <v>5468.8078368942861</v>
      </c>
      <c r="DJ131" s="192">
        <f>$BS131*(VLOOKUP(DJ$4, Rates_current!$G$6:$Q$29, 10, FALSE)+VLOOKUP(DJ$4, Rates_current!$G$6:$Q$29, 11, FALSE))</f>
        <v>6923.7091982027796</v>
      </c>
      <c r="DK131" s="192">
        <f>$BS131*(VLOOKUP(DK$4, Rates_current!$G$6:$Q$29, 10, FALSE)+VLOOKUP(DK$4, Rates_current!$G$6:$Q$29, 11, FALSE))</f>
        <v>6776.9280641517526</v>
      </c>
      <c r="DL131" s="192">
        <f>$BS131*(VLOOKUP(DL$4, Rates_current!$G$6:$Q$29, 10, FALSE)+VLOOKUP(DL$4, Rates_current!$G$6:$Q$29, 11, FALSE))</f>
        <v>5597.4543931948565</v>
      </c>
      <c r="DM131" s="192">
        <f>$BS131*(VLOOKUP(DM$4, Rates_current!$G$6:$Q$29, 10, FALSE)+VLOOKUP(DM$4, Rates_current!$G$6:$Q$29, 11, FALSE))</f>
        <v>4851.4364024838515</v>
      </c>
      <c r="DN131" s="192">
        <f>$BS131*(VLOOKUP(DN$4, Rates_current!$G$6:$Q$29, 10, FALSE)+VLOOKUP(DN$4, Rates_current!$G$6:$Q$29, 11, FALSE))</f>
        <v>5791.6353691520835</v>
      </c>
      <c r="DO131" s="192">
        <f>$BS131*(VLOOKUP(DO$4, Rates_current!$G$6:$Q$29, 10, FALSE)+VLOOKUP(DO$4, Rates_current!$G$6:$Q$29, 11, FALSE))</f>
        <v>4496.4338301042599</v>
      </c>
      <c r="DP131" s="192">
        <f>$BS131*(VLOOKUP(DP$4, Rates_current!$G$6:$Q$29, 10, FALSE)+VLOOKUP(DP$4, Rates_current!$G$6:$Q$29, 11, FALSE))</f>
        <v>6229.8421607946248</v>
      </c>
      <c r="DQ131" s="192">
        <f>$BS131*(VLOOKUP(DQ$4, Rates_current!$G$6:$Q$29, 10, FALSE)+VLOOKUP(DQ$4, Rates_current!$G$6:$Q$29, 11, FALSE))</f>
        <v>6656.7167964165119</v>
      </c>
      <c r="DR131" s="192">
        <f>$BS131*(VLOOKUP(DR$4, Rates_current!$G$6:$Q$29, 10, FALSE)+VLOOKUP(DR$4, Rates_current!$G$6:$Q$29, 11, FALSE))</f>
        <v>6320.2511714186376</v>
      </c>
      <c r="DS131" s="192">
        <f>$BS131*(VLOOKUP(DS$4, Rates_current!$G$6:$Q$29, 10, FALSE)+VLOOKUP(DS$4, Rates_current!$G$6:$Q$29, 11, FALSE))</f>
        <v>6108.0351751670851</v>
      </c>
      <c r="DT131" s="192">
        <f>$BS131*(VLOOKUP(DT$4, Rates_current!$G$6:$Q$29, 10, FALSE)+VLOOKUP(DT$4, Rates_current!$G$6:$Q$29, 11, FALSE))</f>
        <v>5644.4612392874906</v>
      </c>
      <c r="DU131" s="418">
        <f>IF(D131=0,IF(C131=0,MAX(0,DW131 - (VLOOKUP($A131,TOCA_current!$A$2:$AI$137,MATCH("RHWM 2022",TOCA_current!$A$2:$AI$2,0),FALSE)*$BS$2)), 0),0)</f>
        <v>0</v>
      </c>
      <c r="DV131" s="419">
        <f>MIN(VLOOKUP($A131,TOCA_current!$A$2:$AI$137,MATCH("TRL - NLSL - Existing Resource "&amp;$BS$1,TOCA_current!$A$2:$AI$2,0),FALSE)*$BS$2, VLOOKUP($A131,TOCA_current!$A$2:$AI$137,MATCH("RHWM 2022",TOCA_current!$A$2:$AI$2,0),FALSE)*$BS$2)</f>
        <v>70868.399999999994</v>
      </c>
      <c r="DW131" s="419">
        <f>SUM(BY131:CV131)+(BS131*RT1SC!$C$4*$BS$2)</f>
        <v>70865.71526235601</v>
      </c>
      <c r="DX131" s="419">
        <f>VLOOKUP($A131,TOCA_current!$A$2:$AI$137,MATCH("Above RHWM Not Served with LS "&amp;$BS$1,TOCA_current!$A$2:$AI$2,0),FALSE)*$BS$2</f>
        <v>1454.16</v>
      </c>
      <c r="DY131" s="419">
        <f t="shared" si="32"/>
        <v>-2.6847376439836808</v>
      </c>
      <c r="DZ131" s="419">
        <f>(VLOOKUP($A131,TOCA_current!$A$2:$AI$137,MATCH("RHWM 2022",TOCA_current!$A$2:$AI$2,0),FALSE)*$BS$2) - $DV131</f>
        <v>0</v>
      </c>
      <c r="EA131" s="419">
        <f t="shared" si="33"/>
        <v>0</v>
      </c>
      <c r="EB131" s="419">
        <f t="shared" si="34"/>
        <v>0</v>
      </c>
      <c r="EC131" s="419">
        <f t="shared" si="35"/>
        <v>0</v>
      </c>
      <c r="ED131" s="419">
        <f t="shared" si="36"/>
        <v>0</v>
      </c>
    </row>
    <row r="132" spans="1:134">
      <c r="A132" s="135">
        <v>10451</v>
      </c>
      <c r="B132" s="136" t="s">
        <v>133</v>
      </c>
      <c r="C132" s="244">
        <f>VLOOKUP(A132, TOCA_current!$A$3:$D$137, 4, FALSE)</f>
        <v>0</v>
      </c>
      <c r="D132" s="203">
        <v>0</v>
      </c>
      <c r="E132" s="119">
        <f>VLOOKUP($A132,TOCA_previous!$A$2:$AI$137,MATCH(E$4,TOCA_previous!$A$2:$AI$2,0),FALSE)</f>
        <v>3.7504000000000001E-3</v>
      </c>
      <c r="F132" s="120">
        <f>VLOOKUP($A132,TOCA_previous!$A$2:$AI$137,MATCH(F$4,TOCA_previous!$A$2:$AI$2,0),FALSE)</f>
        <v>3.7504000000000001E-3</v>
      </c>
      <c r="G132" s="120">
        <f t="shared" si="24"/>
        <v>0</v>
      </c>
      <c r="H132" s="120">
        <f>VLOOKUP($A132,TOCA_previous!$A$2:$AI$137,MATCH(H$4,TOCA_previous!$A$2:$AI$2,0),FALSE)</f>
        <v>0</v>
      </c>
      <c r="I132" s="120">
        <f t="shared" si="25"/>
        <v>0</v>
      </c>
      <c r="J132" s="120">
        <f t="shared" si="26"/>
        <v>0</v>
      </c>
      <c r="K132" s="191">
        <f>VLOOKUP(A132, IRD!$A$5:$C$139, 3, FALSE)</f>
        <v>0</v>
      </c>
      <c r="L132" s="192">
        <f t="array" ref="L132">IF($G132=0, INDEX(LS_previous!$D$4:$AY$138, MATCH('Staging Table'!$A132, LS_previous!$B$4:$B$138, 0), MATCH(L$4&amp;L$5, LS_previous!$D$2:$AY$2&amp;LS_previous!$D$3:$AY$3, 0)),SUM(VLOOKUP($A132, LS_previous!$B$4:$AY$138, LS_previous!D$149, FALSE), VLOOKUP('Staging Table'!$A132, LS_previous!$B$4:$AY$138,LS_previous!AB$149, FALSE))/2)</f>
        <v>281.14116884480063</v>
      </c>
      <c r="M132" s="192">
        <f t="array" ref="M132">IF($G132=0, INDEX(LS_previous!$D$4:$AY$138, MATCH('Staging Table'!$A132, LS_previous!$B$4:$B$138, 0), MATCH(M$4&amp;M$5, LS_previous!$D$2:$AY$2&amp;LS_previous!$D$3:$AY$3, 0)),SUM(VLOOKUP($A132, LS_previous!$B$4:$AY$138, LS_previous!E$149, FALSE), VLOOKUP('Staging Table'!$A132, LS_previous!$B$4:$AY$138,LS_previous!AC$149, FALSE))/2)</f>
        <v>3030.2714192768008</v>
      </c>
      <c r="N132" s="192">
        <f t="array" ref="N132">IF($G132=0, INDEX(LS_previous!$D$4:$AY$138, MATCH('Staging Table'!$A132, LS_previous!$B$4:$B$138, 0), MATCH(N$4&amp;N$5, LS_previous!$D$2:$AY$2&amp;LS_previous!$D$3:$AY$3, 0)),SUM(VLOOKUP($A132, LS_previous!$B$4:$AY$138, LS_previous!F$149, FALSE), VLOOKUP('Staging Table'!$A132, LS_previous!$B$4:$AY$138,LS_previous!AD$149, FALSE))/2)</f>
        <v>-2710.0651770111999</v>
      </c>
      <c r="O132" s="192">
        <f t="array" ref="O132">IF($G132=0, INDEX(LS_previous!$D$4:$AY$138, MATCH('Staging Table'!$A132, LS_previous!$B$4:$B$138, 0), MATCH(O$4&amp;O$5, LS_previous!$D$2:$AY$2&amp;LS_previous!$D$3:$AY$3, 0)),SUM(VLOOKUP($A132, LS_previous!$B$4:$AY$138, LS_previous!G$149, FALSE), VLOOKUP('Staging Table'!$A132, LS_previous!$B$4:$AY$138,LS_previous!AE$149, FALSE))/2)</f>
        <v>653.47535746559879</v>
      </c>
      <c r="P132" s="192">
        <f t="array" ref="P132">IF($G132=0, INDEX(LS_previous!$D$4:$AY$138, MATCH('Staging Table'!$A132, LS_previous!$B$4:$B$138, 0), MATCH(P$4&amp;P$5, LS_previous!$D$2:$AY$2&amp;LS_previous!$D$3:$AY$3, 0)),SUM(VLOOKUP($A132, LS_previous!$B$4:$AY$138, LS_previous!H$149, FALSE), VLOOKUP('Staging Table'!$A132, LS_previous!$B$4:$AY$138,LS_previous!AF$149, FALSE))/2)</f>
        <v>-2029.4349026688014</v>
      </c>
      <c r="Q132" s="192">
        <f t="array" ref="Q132">IF($G132=0, INDEX(LS_previous!$D$4:$AY$138, MATCH('Staging Table'!$A132, LS_previous!$B$4:$B$138, 0), MATCH(Q$4&amp;Q$5, LS_previous!$D$2:$AY$2&amp;LS_previous!$D$3:$AY$3, 0)),SUM(VLOOKUP($A132, LS_previous!$B$4:$AY$138, LS_previous!I$149, FALSE), VLOOKUP('Staging Table'!$A132, LS_previous!$B$4:$AY$138,LS_previous!AG$149, FALSE))/2)</f>
        <v>767.08832759039797</v>
      </c>
      <c r="R132" s="192">
        <f t="array" ref="R132">IF($G132=0, INDEX(LS_previous!$D$4:$AY$138, MATCH('Staging Table'!$A132, LS_previous!$B$4:$B$138, 0), MATCH(R$4&amp;R$5, LS_previous!$D$2:$AY$2&amp;LS_previous!$D$3:$AY$3, 0)),SUM(VLOOKUP($A132, LS_previous!$B$4:$AY$138, LS_previous!J$149, FALSE), VLOOKUP('Staging Table'!$A132, LS_previous!$B$4:$AY$138,LS_previous!AH$149, FALSE))/2)</f>
        <v>-309.44175226879997</v>
      </c>
      <c r="S132" s="192">
        <f t="array" ref="S132">IF($G132=0, INDEX(LS_previous!$D$4:$AY$138, MATCH('Staging Table'!$A132, LS_previous!$B$4:$B$138, 0), MATCH(S$4&amp;S$5, LS_previous!$D$2:$AY$2&amp;LS_previous!$D$3:$AY$3, 0)),SUM(VLOOKUP($A132, LS_previous!$B$4:$AY$138, LS_previous!K$149, FALSE), VLOOKUP('Staging Table'!$A132, LS_previous!$B$4:$AY$138,LS_previous!AI$149, FALSE))/2)</f>
        <v>2734.3089563904005</v>
      </c>
      <c r="T132" s="192">
        <f t="array" ref="T132">IF($G132=0, INDEX(LS_previous!$D$4:$AY$138, MATCH('Staging Table'!$A132, LS_previous!$B$4:$B$138, 0), MATCH(T$4&amp;T$5, LS_previous!$D$2:$AY$2&amp;LS_previous!$D$3:$AY$3, 0)),SUM(VLOOKUP($A132, LS_previous!$B$4:$AY$138, LS_previous!L$149, FALSE), VLOOKUP('Staging Table'!$A132, LS_previous!$B$4:$AY$138,LS_previous!AJ$149, FALSE))/2)</f>
        <v>371.34154615039915</v>
      </c>
      <c r="U132" s="192">
        <f t="array" ref="U132">IF($G132=0, INDEX(LS_previous!$D$4:$AY$138, MATCH('Staging Table'!$A132, LS_previous!$B$4:$B$138, 0), MATCH(U$4&amp;U$5, LS_previous!$D$2:$AY$2&amp;LS_previous!$D$3:$AY$3, 0)),SUM(VLOOKUP($A132, LS_previous!$B$4:$AY$138, LS_previous!M$149, FALSE), VLOOKUP('Staging Table'!$A132, LS_previous!$B$4:$AY$138,LS_previous!AK$149, FALSE))/2)</f>
        <v>1920.7692071295996</v>
      </c>
      <c r="V132" s="192">
        <f t="array" ref="V132">IF($G132=0, INDEX(LS_previous!$D$4:$AY$138, MATCH('Staging Table'!$A132, LS_previous!$B$4:$B$138, 0), MATCH(V$4&amp;V$5, LS_previous!$D$2:$AY$2&amp;LS_previous!$D$3:$AY$3, 0)),SUM(VLOOKUP($A132, LS_previous!$B$4:$AY$138, LS_previous!N$149, FALSE), VLOOKUP('Staging Table'!$A132, LS_previous!$B$4:$AY$138,LS_previous!AL$149, FALSE))/2)</f>
        <v>414.31435247360241</v>
      </c>
      <c r="W132" s="192">
        <f t="array" ref="W132">IF($G132=0, INDEX(LS_previous!$D$4:$AY$138, MATCH('Staging Table'!$A132, LS_previous!$B$4:$B$138, 0), MATCH(W$4&amp;W$5, LS_previous!$D$2:$AY$2&amp;LS_previous!$D$3:$AY$3, 0)),SUM(VLOOKUP($A132, LS_previous!$B$4:$AY$138, LS_previous!O$149, FALSE), VLOOKUP('Staging Table'!$A132, LS_previous!$B$4:$AY$138,LS_previous!AM$149, FALSE))/2)</f>
        <v>1916.9160534016009</v>
      </c>
      <c r="X132" s="192">
        <f t="array" ref="X132">IF($G132=0, INDEX(LS_previous!$D$4:$AY$138, MATCH('Staging Table'!$A132, LS_previous!$B$4:$B$138, 0), MATCH(X$4&amp;X$5, LS_previous!$D$2:$AY$2&amp;LS_previous!$D$3:$AY$3, 0)),SUM(VLOOKUP($A132, LS_previous!$B$4:$AY$138, LS_previous!P$149, FALSE), VLOOKUP('Staging Table'!$A132, LS_previous!$B$4:$AY$138,LS_previous!AN$149, FALSE))/2)</f>
        <v>2112.3407761024009</v>
      </c>
      <c r="Y132" s="192">
        <f t="array" ref="Y132">IF($G132=0, INDEX(LS_previous!$D$4:$AY$138, MATCH('Staging Table'!$A132, LS_previous!$B$4:$B$138, 0), MATCH(Y$4&amp;Y$5, LS_previous!$D$2:$AY$2&amp;LS_previous!$D$3:$AY$3, 0)),SUM(VLOOKUP($A132, LS_previous!$B$4:$AY$138, LS_previous!Q$149, FALSE), VLOOKUP('Staging Table'!$A132, LS_previous!$B$4:$AY$138,LS_previous!AO$149, FALSE))/2)</f>
        <v>2842.7388125055995</v>
      </c>
      <c r="Z132" s="192">
        <f t="array" ref="Z132">IF($G132=0, INDEX(LS_previous!$D$4:$AY$138, MATCH('Staging Table'!$A132, LS_previous!$B$4:$B$138, 0), MATCH(Z$4&amp;Z$5, LS_previous!$D$2:$AY$2&amp;LS_previous!$D$3:$AY$3, 0)),SUM(VLOOKUP($A132, LS_previous!$B$4:$AY$138, LS_previous!R$149, FALSE), VLOOKUP('Staging Table'!$A132, LS_previous!$B$4:$AY$138,LS_previous!AP$149, FALSE))/2)</f>
        <v>-2088.3048598400019</v>
      </c>
      <c r="AA132" s="192">
        <f t="array" ref="AA132">IF($G132=0, INDEX(LS_previous!$D$4:$AY$138, MATCH('Staging Table'!$A132, LS_previous!$B$4:$B$138, 0), MATCH(AA$4&amp;AA$5, LS_previous!$D$2:$AY$2&amp;LS_previous!$D$3:$AY$3, 0)),SUM(VLOOKUP($A132, LS_previous!$B$4:$AY$138, LS_previous!S$149, FALSE), VLOOKUP('Staging Table'!$A132, LS_previous!$B$4:$AY$138,LS_previous!AQ$149, FALSE))/2)</f>
        <v>2328.3697407616</v>
      </c>
      <c r="AB132" s="192">
        <f t="array" ref="AB132">IF($G132=0, INDEX(LS_previous!$D$4:$AY$138, MATCH('Staging Table'!$A132, LS_previous!$B$4:$B$138, 0), MATCH(AB$4&amp;AB$5, LS_previous!$D$2:$AY$2&amp;LS_previous!$D$3:$AY$3, 0)),SUM(VLOOKUP($A132, LS_previous!$B$4:$AY$138, LS_previous!T$149, FALSE), VLOOKUP('Staging Table'!$A132, LS_previous!$B$4:$AY$138,LS_previous!AR$149, FALSE))/2)</f>
        <v>-5129.4351582975996</v>
      </c>
      <c r="AC132" s="192">
        <f t="array" ref="AC132">IF($G132=0, INDEX(LS_previous!$D$4:$AY$138, MATCH('Staging Table'!$A132, LS_previous!$B$4:$B$138, 0), MATCH(AC$4&amp;AC$5, LS_previous!$D$2:$AY$2&amp;LS_previous!$D$3:$AY$3, 0)),SUM(VLOOKUP($A132, LS_previous!$B$4:$AY$138, LS_previous!U$149, FALSE), VLOOKUP('Staging Table'!$A132, LS_previous!$B$4:$AY$138,LS_previous!AS$149, FALSE))/2)</f>
        <v>-642.49540189439904</v>
      </c>
      <c r="AD132" s="192">
        <f t="array" ref="AD132">IF($G132=0, INDEX(LS_previous!$D$4:$AY$138, MATCH('Staging Table'!$A132, LS_previous!$B$4:$B$138, 0), MATCH(AD$4&amp;AD$5, LS_previous!$D$2:$AY$2&amp;LS_previous!$D$3:$AY$3, 0)),SUM(VLOOKUP($A132, LS_previous!$B$4:$AY$138, LS_previous!V$149, FALSE), VLOOKUP('Staging Table'!$A132, LS_previous!$B$4:$AY$138,LS_previous!AT$149, FALSE))/2)</f>
        <v>-2716.1727902975999</v>
      </c>
      <c r="AE132" s="192">
        <f t="array" ref="AE132">IF($G132=0, INDEX(LS_previous!$D$4:$AY$138, MATCH('Staging Table'!$A132, LS_previous!$B$4:$B$138, 0), MATCH(AE$4&amp;AE$5, LS_previous!$D$2:$AY$2&amp;LS_previous!$D$3:$AY$3, 0)),SUM(VLOOKUP($A132, LS_previous!$B$4:$AY$138, LS_previous!W$149, FALSE), VLOOKUP('Staging Table'!$A132, LS_previous!$B$4:$AY$138,LS_previous!AU$149, FALSE))/2)</f>
        <v>3196.6177528192002</v>
      </c>
      <c r="AF132" s="192">
        <f t="array" ref="AF132">IF($G132=0, INDEX(LS_previous!$D$4:$AY$138, MATCH('Staging Table'!$A132, LS_previous!$B$4:$B$138, 0), MATCH(AF$4&amp;AF$5, LS_previous!$D$2:$AY$2&amp;LS_previous!$D$3:$AY$3, 0)),SUM(VLOOKUP($A132, LS_previous!$B$4:$AY$138, LS_previous!X$149, FALSE), VLOOKUP('Staging Table'!$A132, LS_previous!$B$4:$AY$138,LS_previous!AV$149, FALSE))/2)</f>
        <v>-1358.4533950976002</v>
      </c>
      <c r="AG132" s="192">
        <f t="array" ref="AG132">IF($G132=0, INDEX(LS_previous!$D$4:$AY$138, MATCH('Staging Table'!$A132, LS_previous!$B$4:$B$138, 0), MATCH(AG$4&amp;AG$5, LS_previous!$D$2:$AY$2&amp;LS_previous!$D$3:$AY$3, 0)),SUM(VLOOKUP($A132, LS_previous!$B$4:$AY$138, LS_previous!Y$149, FALSE), VLOOKUP('Staging Table'!$A132, LS_previous!$B$4:$AY$138,LS_previous!AW$149, FALSE))/2)</f>
        <v>2454.7797608191995</v>
      </c>
      <c r="AH132" s="192">
        <f t="array" ref="AH132">IF($G132=0, INDEX(LS_previous!$D$4:$AY$138, MATCH('Staging Table'!$A132, LS_previous!$B$4:$B$138, 0), MATCH(AH$4&amp;AH$5, LS_previous!$D$2:$AY$2&amp;LS_previous!$D$3:$AY$3, 0)),SUM(VLOOKUP($A132, LS_previous!$B$4:$AY$138, LS_previous!Z$149, FALSE), VLOOKUP('Staging Table'!$A132, LS_previous!$B$4:$AY$138,LS_previous!AX$149, FALSE))/2)</f>
        <v>-6292.6653542400009</v>
      </c>
      <c r="AI132" s="192">
        <f t="array" ref="AI132">IF($G132=0, INDEX(LS_previous!$D$4:$AY$138, MATCH('Staging Table'!$A132, LS_previous!$B$4:$B$138, 0), MATCH(AI$4&amp;AI$5, LS_previous!$D$2:$AY$2&amp;LS_previous!$D$3:$AY$3, 0)),SUM(VLOOKUP($A132, LS_previous!$B$4:$AY$138, LS_previous!AA$149, FALSE), VLOOKUP('Staging Table'!$A132, LS_previous!$B$4:$AY$138,LS_previous!AY$149, FALSE))/2)</f>
        <v>-2376.6193595519999</v>
      </c>
      <c r="AJ132" s="314">
        <f t="array" ref="AJ132">INDEX(Demand_previous!$D$4:$AY$138, MATCH('Staging Table'!$A132, Demand_previous!$B$4:$B$138, 0), MATCH(AJ$4&amp;AJ$5,Demand_previous!$D$2:$AY$2&amp;Demand_previous!$D$3:$AY$3, 0))/1000</f>
        <v>3.4610648148148151</v>
      </c>
      <c r="AK132" s="314">
        <f t="array" ref="AK132">INDEX(Demand_previous!$D$4:$AY$138, MATCH('Staging Table'!$A132, Demand_previous!$B$4:$B$138, 0), MATCH(AK$4&amp;AK$5,Demand_previous!$D$2:$AY$2&amp;Demand_previous!$D$3:$AY$3, 0))/1000</f>
        <v>2.8541650000000018</v>
      </c>
      <c r="AL132" s="314">
        <f t="array" ref="AL132">INDEX(Demand_previous!$D$4:$AY$138, MATCH('Staging Table'!$A132, Demand_previous!$B$4:$B$138, 0), MATCH(AL$4&amp;AL$5,Demand_previous!$D$2:$AY$2&amp;Demand_previous!$D$3:$AY$3, 0))/1000</f>
        <v>1.9544575000000002</v>
      </c>
      <c r="AM132" s="314">
        <f t="array" ref="AM132">INDEX(Demand_previous!$D$4:$AY$138, MATCH('Staging Table'!$A132, Demand_previous!$B$4:$B$138, 0), MATCH(AM$4&amp;AM$5,Demand_previous!$D$2:$AY$2&amp;Demand_previous!$D$3:$AY$3, 0))/1000</f>
        <v>3.9179230769230746</v>
      </c>
      <c r="AN132" s="314">
        <f t="array" ref="AN132">INDEX(Demand_previous!$D$4:$AY$138, MATCH('Staging Table'!$A132, Demand_previous!$B$4:$B$138, 0), MATCH(AN$4&amp;AN$5,Demand_previous!$D$2:$AY$2&amp;Demand_previous!$D$3:$AY$3, 0))/1000</f>
        <v>0</v>
      </c>
      <c r="AO132" s="314">
        <f t="array" ref="AO132">INDEX(Demand_previous!$D$4:$AY$138, MATCH('Staging Table'!$A132, Demand_previous!$B$4:$B$138, 0), MATCH(AO$4&amp;AO$5,Demand_previous!$D$2:$AY$2&amp;Demand_previous!$D$3:$AY$3, 0))/1000</f>
        <v>0</v>
      </c>
      <c r="AP132" s="314">
        <f t="array" ref="AP132">INDEX(Demand_previous!$D$4:$AY$138, MATCH('Staging Table'!$A132, Demand_previous!$B$4:$B$138, 0), MATCH(AP$4&amp;AP$5,Demand_previous!$D$2:$AY$2&amp;Demand_previous!$D$3:$AY$3, 0))/1000</f>
        <v>2.5126322115384596</v>
      </c>
      <c r="AQ132" s="314">
        <f t="array" ref="AQ132">INDEX(Demand_previous!$D$4:$AY$138, MATCH('Staging Table'!$A132, Demand_previous!$B$4:$B$138, 0), MATCH(AQ$4&amp;AQ$5,Demand_previous!$D$2:$AY$2&amp;Demand_previous!$D$3:$AY$3, 0))/1000</f>
        <v>2.4159775000000003</v>
      </c>
      <c r="AR132" s="314">
        <f t="array" ref="AR132">INDEX(Demand_previous!$D$4:$AY$138, MATCH('Staging Table'!$A132, Demand_previous!$B$4:$B$138, 0), MATCH(AR$4&amp;AR$5,Demand_previous!$D$2:$AY$2&amp;Demand_previous!$D$3:$AY$3, 0))/1000</f>
        <v>4.110812499999998</v>
      </c>
      <c r="AS132" s="314">
        <f t="array" ref="AS132">INDEX(Demand_previous!$D$4:$AY$138, MATCH('Staging Table'!$A132, Demand_previous!$B$4:$B$138, 0), MATCH(AS$4&amp;AS$5,Demand_previous!$D$2:$AY$2&amp;Demand_previous!$D$3:$AY$3, 0))/1000</f>
        <v>5.8288221153846145</v>
      </c>
      <c r="AT132" s="314">
        <f t="array" ref="AT132">INDEX(Demand_previous!$D$4:$AY$138, MATCH('Staging Table'!$A132, Demand_previous!$B$4:$B$138, 0), MATCH(AT$4&amp;AT$5,Demand_previous!$D$2:$AY$2&amp;Demand_previous!$D$3:$AY$3, 0))/1000</f>
        <v>3.8577596153846123</v>
      </c>
      <c r="AU132" s="314">
        <f t="array" ref="AU132">INDEX(Demand_previous!$D$4:$AY$138, MATCH('Staging Table'!$A132, Demand_previous!$B$4:$B$138, 0), MATCH(AU$4&amp;AU$5,Demand_previous!$D$2:$AY$2&amp;Demand_previous!$D$3:$AY$3, 0))/1000</f>
        <v>19.625680000000003</v>
      </c>
      <c r="AV132" s="192">
        <f>$F132*(VLOOKUP(AV$4, Rates_previous!$G$6:$Q$29, 10, FALSE)+VLOOKUP(AV$4, Rates_previous!$G$6:$Q$29, 11, FALSE))</f>
        <v>17316.786411878398</v>
      </c>
      <c r="AW132" s="192">
        <f>$F132*(VLOOKUP(AW$4, Rates_previous!$G$6:$Q$29, 10, FALSE)+VLOOKUP(AW$4, Rates_previous!$G$6:$Q$29, 11, FALSE))</f>
        <v>21997.720819545601</v>
      </c>
      <c r="AX132" s="192">
        <f>$F132*(VLOOKUP(AX$4, Rates_previous!$G$6:$Q$29, 10, FALSE)+VLOOKUP(AX$4, Rates_previous!$G$6:$Q$29, 11, FALSE))</f>
        <v>21732.068575078403</v>
      </c>
      <c r="AY132" s="192">
        <f>$F132*(VLOOKUP(AY$4, Rates_previous!$G$6:$Q$29, 10, FALSE)+VLOOKUP(AY$4, Rates_previous!$G$6:$Q$29, 11, FALSE))</f>
        <v>18115.002795878401</v>
      </c>
      <c r="AZ132" s="192">
        <f>$F132*(VLOOKUP(AZ$4, Rates_previous!$G$6:$Q$29, 10, FALSE)+VLOOKUP(AZ$4, Rates_previous!$G$6:$Q$29, 11, FALSE))</f>
        <v>16410.313246720001</v>
      </c>
      <c r="BA132" s="192">
        <f>$F132*(VLOOKUP(BA$4, Rates_previous!$G$6:$Q$29, 10, FALSE)+VLOOKUP(BA$4, Rates_previous!$G$6:$Q$29, 11, FALSE))</f>
        <v>18253.481594124802</v>
      </c>
      <c r="BB132" s="192">
        <f>$F132*(VLOOKUP(BB$4, Rates_previous!$G$6:$Q$29, 10, FALSE)+VLOOKUP(BB$4, Rates_previous!$G$6:$Q$29, 11, FALSE))</f>
        <v>14862.004411391999</v>
      </c>
      <c r="BC132" s="192">
        <f>$F132*(VLOOKUP(BC$4, Rates_previous!$G$6:$Q$29, 10, FALSE)+VLOOKUP(BC$4, Rates_previous!$G$6:$Q$29, 11, FALSE))</f>
        <v>20043.629119078403</v>
      </c>
      <c r="BD132" s="192">
        <f>$F132*(VLOOKUP(BD$4, Rates_previous!$G$6:$Q$29, 10, FALSE)+VLOOKUP(BD$4, Rates_previous!$G$6:$Q$29, 11, FALSE))</f>
        <v>25574.307560192003</v>
      </c>
      <c r="BE132" s="192">
        <f>$F132*(VLOOKUP(BE$4, Rates_previous!$G$6:$Q$29, 10, FALSE)+VLOOKUP(BE$4, Rates_previous!$G$6:$Q$29, 11, FALSE))</f>
        <v>20051.068037478402</v>
      </c>
      <c r="BF132" s="192">
        <f>$F132*(VLOOKUP(BF$4, Rates_previous!$G$6:$Q$29, 10, FALSE)+VLOOKUP(BF$4, Rates_previous!$G$6:$Q$29, 11, FALSE))</f>
        <v>19525.747634278403</v>
      </c>
      <c r="BG132" s="192">
        <f>$F132*(VLOOKUP(BG$4, Rates_previous!$G$6:$Q$29, 10, FALSE)+VLOOKUP(BG$4, Rates_previous!$G$6:$Q$29, 11, FALSE))</f>
        <v>17529.967713792001</v>
      </c>
      <c r="BH132" s="314">
        <f>IF($D132=0,IF(C132=0, MAX(BJ132 - (VLOOKUP($A132,TOCA_previous!$A$2:$AI$137,MATCH("RHWM 2020",TOCA_previous!$A$2:$AI$2,0),FALSE)*$F$2*TOCA_previous!C129),0),0), 0)</f>
        <v>0</v>
      </c>
      <c r="BI132" s="204">
        <f>MIN(VLOOKUP($A132,TOCA_previous!$A$2:$AI$137,MATCH("TRL - NLSL - Existing Resource "&amp;$F$1,TOCA_previous!$A$2:$AI$2,0),FALSE)*$F$2,(VLOOKUP($A132,TOCA_previous!$A$2:$AI$137,MATCH("RHWM 2020",TOCA_previous!$A$2:$AI$2,0),FALSE)*$F$2))</f>
        <v>231414.47999999998</v>
      </c>
      <c r="BJ132" s="418">
        <f>SUM(L132:AI132)+(F132*RT1SC!$C$3*$F$2)</f>
        <v>230783.49168592639</v>
      </c>
      <c r="BK132" s="417">
        <f>VLOOKUP($A132,TOCA_previous!$A$2:$AI$137,MATCH("Above RHWM Not Served with LS "&amp;$F$1,TOCA_previous!$A$2:$AI$2,0),FALSE)*$F$2</f>
        <v>0</v>
      </c>
      <c r="BL132" s="418">
        <f t="shared" si="27"/>
        <v>-630.98831407359103</v>
      </c>
      <c r="BM132" s="417">
        <f>(VLOOKUP($A132,TOCA_previous!$A$2:$AI$137,MATCH("RHWM 2020",TOCA_previous!$A$2:$AI$2,0),FALSE)*$F$2) - $BI132</f>
        <v>3039.2639999999956</v>
      </c>
      <c r="BN132" s="418">
        <f t="shared" si="28"/>
        <v>0</v>
      </c>
      <c r="BO132" s="417">
        <f t="shared" si="29"/>
        <v>630.98831407359103</v>
      </c>
      <c r="BP132" s="418">
        <f t="shared" si="30"/>
        <v>0</v>
      </c>
      <c r="BQ132" s="417">
        <f t="shared" si="37"/>
        <v>630.98831407359103</v>
      </c>
      <c r="BR132" s="120">
        <f>VLOOKUP($A132,TOCA_current!$A$2:$AI$137,MATCH(BR$4,TOCA_current!$A$2:$AI$2,0),FALSE)</f>
        <v>3.7997E-3</v>
      </c>
      <c r="BS132" s="120">
        <f>VLOOKUP($A132,TOCA_current!$A$2:$AI$137,MATCH(BS$4,TOCA_current!$A$2:$AI$2,0),FALSE)</f>
        <v>3.7997E-3</v>
      </c>
      <c r="BT132" s="201">
        <f t="shared" si="31"/>
        <v>0</v>
      </c>
      <c r="BU132" s="120">
        <f>VLOOKUP($A132,TOCA_current!A128:BG263,MATCH(BU$4,TOCA_current!$A$2:$BG$2,0),FALSE)</f>
        <v>0</v>
      </c>
      <c r="BV132" s="120">
        <f t="shared" si="38"/>
        <v>0</v>
      </c>
      <c r="BW132" s="120">
        <f t="shared" si="39"/>
        <v>0</v>
      </c>
      <c r="BX132" s="191">
        <f>VLOOKUP($A132,IRD!$A$4:$G$139, 7, FALSE)</f>
        <v>0</v>
      </c>
      <c r="BY132" s="192">
        <f t="array" ref="BY132">IF($BT132=0, INDEX(LS_current!$D$4:$AY$138, MATCH('Staging Table'!$A132, LS_current!$B$4:$B$138, 0), MATCH(BY$4&amp;BY$5, LS_current!$D$2:$AY$2&amp;LS_current!$D$3:$AY$3, 0)),SUM(VLOOKUP($A132, LS_current!$B$4:$AY$138, LS_current!D$148, FALSE), VLOOKUP($A132, LS_current!$B$4:$AY$138,LS_current!AB$148, FALSE))/2)</f>
        <v>-208.61876815553842</v>
      </c>
      <c r="BZ132" s="192">
        <f t="array" ref="BZ132">IF($BT132=0, INDEX(LS_current!$D$4:$AY$138, MATCH('Staging Table'!$A132, LS_current!$B$4:$B$138, 0), MATCH(BZ$4&amp;BZ$5, LS_current!$D$2:$AY$2&amp;LS_current!$D$3:$AY$3, 0)),SUM(VLOOKUP($A132, LS_current!$B$4:$AY$138, LS_current!E$148, FALSE), VLOOKUP($A132, LS_current!$B$4:$AY$138,LS_current!AC$148, FALSE))/2)</f>
        <v>2322.7831465823692</v>
      </c>
      <c r="CA132" s="192">
        <f t="array" ref="CA132">IF($BT132=0, INDEX(LS_current!$D$4:$AY$138, MATCH('Staging Table'!$A132, LS_current!$B$4:$B$138, 0), MATCH(CA$4&amp;CA$5, LS_current!$D$2:$AY$2&amp;LS_current!$D$3:$AY$3, 0)),SUM(VLOOKUP($A132, LS_current!$B$4:$AY$138, LS_current!F$148, FALSE), VLOOKUP($A132, LS_current!$B$4:$AY$138,LS_current!AD$148, FALSE))/2)</f>
        <v>-3012.3962645597348</v>
      </c>
      <c r="CB132" s="192">
        <f t="array" ref="CB132">IF($BT132=0, INDEX(LS_current!$D$4:$AY$138, MATCH('Staging Table'!$A132, LS_current!$B$4:$B$138, 0), MATCH(CB$4&amp;CB$5, LS_current!$D$2:$AY$2&amp;LS_current!$D$3:$AY$3, 0)),SUM(VLOOKUP($A132, LS_current!$B$4:$AY$138, LS_current!G$148, FALSE), VLOOKUP($A132, LS_current!$B$4:$AY$138,LS_current!AE$148, FALSE))/2)</f>
        <v>-126.45774727397293</v>
      </c>
      <c r="CC132" s="192">
        <f t="array" ref="CC132">IF($BT132=0, INDEX(LS_current!$D$4:$AY$138, MATCH('Staging Table'!$A132, LS_current!$B$4:$B$138, 0), MATCH(CC$4&amp;CC$5, LS_current!$D$2:$AY$2&amp;LS_current!$D$3:$AY$3, 0)),SUM(VLOOKUP($A132, LS_current!$B$4:$AY$138, LS_current!H$148, FALSE), VLOOKUP($A132, LS_current!$B$4:$AY$138,LS_current!AF$148, FALSE))/2)</f>
        <v>-1460.3642337575966</v>
      </c>
      <c r="CD132" s="192">
        <f t="array" ref="CD132">IF($BT132=0, INDEX(LS_current!$D$4:$AY$138, MATCH('Staging Table'!$A132, LS_current!$B$4:$B$138, 0), MATCH(CD$4&amp;CD$5, LS_current!$D$2:$AY$2&amp;LS_current!$D$3:$AY$3, 0)),SUM(VLOOKUP($A132, LS_current!$B$4:$AY$138, LS_current!I$148, FALSE), VLOOKUP($A132, LS_current!$B$4:$AY$138,LS_current!AG$148, FALSE))/2)</f>
        <v>-722.89786529928824</v>
      </c>
      <c r="CE132" s="192">
        <f t="array" ref="CE132">IF($BT132=0, INDEX(LS_current!$D$4:$AY$138, MATCH('Staging Table'!$A132, LS_current!$B$4:$B$138, 0), MATCH(CE$4&amp;CE$5, LS_current!$D$2:$AY$2&amp;LS_current!$D$3:$AY$3, 0)),SUM(VLOOKUP($A132, LS_current!$B$4:$AY$138, LS_current!J$148, FALSE), VLOOKUP($A132, LS_current!$B$4:$AY$138,LS_current!AH$148, FALSE))/2)</f>
        <v>349.19251814806194</v>
      </c>
      <c r="CF132" s="192">
        <f t="array" ref="CF132">IF($BT132=0, INDEX(LS_current!$D$4:$AY$138, MATCH('Staging Table'!$A132, LS_current!$B$4:$B$138, 0), MATCH(CF$4&amp;CF$5, LS_current!$D$2:$AY$2&amp;LS_current!$D$3:$AY$3, 0)),SUM(VLOOKUP($A132, LS_current!$B$4:$AY$138, LS_current!K$148, FALSE), VLOOKUP($A132, LS_current!$B$4:$AY$138,LS_current!AI$148, FALSE))/2)</f>
        <v>1269.5995427874914</v>
      </c>
      <c r="CG132" s="192">
        <f t="array" ref="CG132">IF($BT132=0, INDEX(LS_current!$D$4:$AY$138, MATCH('Staging Table'!$A132, LS_current!$B$4:$B$138, 0), MATCH(CG$4&amp;CG$5, LS_current!$D$2:$AY$2&amp;LS_current!$D$3:$AY$3, 0)),SUM(VLOOKUP($A132, LS_current!$B$4:$AY$138, LS_current!L$148, FALSE), VLOOKUP($A132, LS_current!$B$4:$AY$138,LS_current!AJ$148, FALSE))/2)</f>
        <v>1183.198544717101</v>
      </c>
      <c r="CH132" s="192">
        <f t="array" ref="CH132">IF($BT132=0, INDEX(LS_current!$D$4:$AY$138, MATCH('Staging Table'!$A132, LS_current!$B$4:$B$138, 0), MATCH(CH$4&amp;CH$5, LS_current!$D$2:$AY$2&amp;LS_current!$D$3:$AY$3, 0)),SUM(VLOOKUP($A132, LS_current!$B$4:$AY$138, LS_current!M$148, FALSE), VLOOKUP($A132, LS_current!$B$4:$AY$138,LS_current!AK$148, FALSE))/2)</f>
        <v>1075.7249905332183</v>
      </c>
      <c r="CI132" s="192">
        <f t="array" ref="CI132">IF($BT132=0, INDEX(LS_current!$D$4:$AY$138, MATCH('Staging Table'!$A132, LS_current!$B$4:$B$138, 0), MATCH(CI$4&amp;CI$5, LS_current!$D$2:$AY$2&amp;LS_current!$D$3:$AY$3, 0)),SUM(VLOOKUP($A132, LS_current!$B$4:$AY$138, LS_current!N$148, FALSE), VLOOKUP($A132, LS_current!$B$4:$AY$138,LS_current!AL$148, FALSE))/2)</f>
        <v>63.31439679169489</v>
      </c>
      <c r="CJ132" s="192">
        <f t="array" ref="CJ132">IF($BT132=0, INDEX(LS_current!$D$4:$AY$138, MATCH('Staging Table'!$A132, LS_current!$B$4:$B$138, 0), MATCH(CJ$4&amp;CJ$5, LS_current!$D$2:$AY$2&amp;LS_current!$D$3:$AY$3, 0)),SUM(VLOOKUP($A132, LS_current!$B$4:$AY$138, LS_current!O$148, FALSE), VLOOKUP($A132, LS_current!$B$4:$AY$138,LS_current!AM$148, FALSE))/2)</f>
        <v>987.54958333390186</v>
      </c>
      <c r="CK132" s="192">
        <f t="array" ref="CK132">IF($BT132=0, INDEX(LS_current!$D$4:$AY$138, MATCH('Staging Table'!$A132, LS_current!$B$4:$B$138, 0), MATCH(CK$4&amp;CK$5, LS_current!$D$2:$AY$2&amp;LS_current!$D$3:$AY$3, 0)),SUM(VLOOKUP($A132, LS_current!$B$4:$AY$138, LS_current!P$148, FALSE), VLOOKUP($A132, LS_current!$B$4:$AY$138,LS_current!AN$148, FALSE))/2)</f>
        <v>2020.3493905460546</v>
      </c>
      <c r="CL132" s="192">
        <f t="array" ref="CL132">IF($BT132=0, INDEX(LS_current!$D$4:$AY$138, MATCH('Staging Table'!$A132, LS_current!$B$4:$B$138, 0), MATCH(CL$4&amp;CL$5, LS_current!$D$2:$AY$2&amp;LS_current!$D$3:$AY$3, 0)),SUM(VLOOKUP($A132, LS_current!$B$4:$AY$138, LS_current!Q$148, FALSE), VLOOKUP($A132, LS_current!$B$4:$AY$138,LS_current!AO$148, FALSE))/2)</f>
        <v>2398.3817738746657</v>
      </c>
      <c r="CM132" s="192">
        <f t="array" ref="CM132">IF($BT132=0, INDEX(LS_current!$D$4:$AY$138, MATCH('Staging Table'!$A132, LS_current!$B$4:$B$138, 0), MATCH(CM$4&amp;CM$5, LS_current!$D$2:$AY$2&amp;LS_current!$D$3:$AY$3, 0)),SUM(VLOOKUP($A132, LS_current!$B$4:$AY$138, LS_current!R$148, FALSE), VLOOKUP($A132, LS_current!$B$4:$AY$138,LS_current!AP$148, FALSE))/2)</f>
        <v>-3015.0390487898603</v>
      </c>
      <c r="CN132" s="192">
        <f t="array" ref="CN132">IF($BT132=0, INDEX(LS_current!$D$4:$AY$138, MATCH('Staging Table'!$A132, LS_current!$B$4:$B$138, 0), MATCH(CN$4&amp;CN$5, LS_current!$D$2:$AY$2&amp;LS_current!$D$3:$AY$3, 0)),SUM(VLOOKUP($A132, LS_current!$B$4:$AY$138, LS_current!S$148, FALSE), VLOOKUP($A132, LS_current!$B$4:$AY$138,LS_current!AQ$148, FALSE))/2)</f>
        <v>2376.752619469069</v>
      </c>
      <c r="CO132" s="192">
        <f t="array" ref="CO132">IF($BT132=0, INDEX(LS_current!$D$4:$AY$138, MATCH('Staging Table'!$A132, LS_current!$B$4:$B$138, 0), MATCH(CO$4&amp;CO$5, LS_current!$D$2:$AY$2&amp;LS_current!$D$3:$AY$3, 0)),SUM(VLOOKUP($A132, LS_current!$B$4:$AY$138, LS_current!T$148, FALSE), VLOOKUP($A132, LS_current!$B$4:$AY$138,LS_current!AR$148, FALSE))/2)</f>
        <v>-4228.4251892259254</v>
      </c>
      <c r="CP132" s="192">
        <f t="array" ref="CP132">IF($BT132=0, INDEX(LS_current!$D$4:$AY$138, MATCH('Staging Table'!$A132, LS_current!$B$4:$B$138, 0), MATCH(CP$4&amp;CP$5, LS_current!$D$2:$AY$2&amp;LS_current!$D$3:$AY$3, 0)),SUM(VLOOKUP($A132, LS_current!$B$4:$AY$138, LS_current!U$148, FALSE), VLOOKUP($A132, LS_current!$B$4:$AY$138,LS_current!AS$148, FALSE))/2)</f>
        <v>1797.2197865747276</v>
      </c>
      <c r="CQ132" s="192">
        <f t="array" ref="CQ132">IF($BT132=0, INDEX(LS_current!$D$4:$AY$138, MATCH('Staging Table'!$A132, LS_current!$B$4:$B$138, 0), MATCH(CQ$4&amp;CQ$5, LS_current!$D$2:$AY$2&amp;LS_current!$D$3:$AY$3, 0)),SUM(VLOOKUP($A132, LS_current!$B$4:$AY$138, LS_current!V$148, FALSE), VLOOKUP($A132, LS_current!$B$4:$AY$138,LS_current!AT$148, FALSE))/2)</f>
        <v>-2883.5637765204738</v>
      </c>
      <c r="CR132" s="192">
        <f t="array" ref="CR132">IF($BT132=0, INDEX(LS_current!$D$4:$AY$138, MATCH('Staging Table'!$A132, LS_current!$B$4:$B$138, 0), MATCH(CR$4&amp;CR$5, LS_current!$D$2:$AY$2&amp;LS_current!$D$3:$AY$3, 0)),SUM(VLOOKUP($A132, LS_current!$B$4:$AY$138, LS_current!W$148, FALSE), VLOOKUP($A132, LS_current!$B$4:$AY$138,LS_current!AU$148, FALSE))/2)</f>
        <v>2207.0382926838547</v>
      </c>
      <c r="CS132" s="192">
        <f t="array" ref="CS132">IF($BT132=0, INDEX(LS_current!$D$4:$AY$138, MATCH('Staging Table'!$A132, LS_current!$B$4:$B$138, 0), MATCH(CS$4&amp;CS$5, LS_current!$D$2:$AY$2&amp;LS_current!$D$3:$AY$3, 0)),SUM(VLOOKUP($A132, LS_current!$B$4:$AY$138, LS_current!X$148, FALSE), VLOOKUP($A132, LS_current!$B$4:$AY$138,LS_current!AV$148, FALSE))/2)</f>
        <v>-1695.7372062929899</v>
      </c>
      <c r="CT132" s="192">
        <f t="array" ref="CT132">IF($BT132=0, INDEX(LS_current!$D$4:$AY$138, MATCH('Staging Table'!$A132, LS_current!$B$4:$B$138, 0), MATCH(CT$4&amp;CT$5, LS_current!$D$2:$AY$2&amp;LS_current!$D$3:$AY$3, 0)),SUM(VLOOKUP($A132, LS_current!$B$4:$AY$138, LS_current!Y$148, FALSE), VLOOKUP($A132, LS_current!$B$4:$AY$138,LS_current!AW$148, FALSE))/2)</f>
        <v>1781.2333944165875</v>
      </c>
      <c r="CU132" s="192">
        <f t="array" ref="CU132">IF($BT132=0, INDEX(LS_current!$D$4:$AY$138, MATCH('Staging Table'!$A132, LS_current!$B$4:$B$138, 0), MATCH(CU$4&amp;CU$5, LS_current!$D$2:$AY$2&amp;LS_current!$D$3:$AY$3, 0)),SUM(VLOOKUP($A132, LS_current!$B$4:$AY$138, LS_current!Z$148, FALSE), VLOOKUP($A132, LS_current!$B$4:$AY$138,LS_current!AX$148, FALSE))/2)</f>
        <v>-7114.9750708677675</v>
      </c>
      <c r="CV132" s="192">
        <f t="array" ref="CV132">IF($BT132=0, INDEX(LS_current!$D$4:$AY$138, MATCH('Staging Table'!$A132, LS_current!$B$4:$B$138, 0), MATCH(CV$4&amp;CV$5, LS_current!$D$2:$AY$2&amp;LS_current!$D$3:$AY$3, 0)),SUM(VLOOKUP($A132, LS_current!$B$4:$AY$138, LS_current!AA$148, FALSE), VLOOKUP($A132, LS_current!$B$4:$AY$138,LS_current!AY$148, FALSE))/2)</f>
        <v>-3055.1035803277368</v>
      </c>
      <c r="CW132" s="194">
        <f t="array" ref="CW132">INDEX(Demand_current!$D$4:$AY$138, MATCH($A132, Demand_current!$B$4:$B$138, 0), MATCH(CW$4&amp;CW$5,Demand_current!$D$2:$AY$2&amp;Demand_current!$D$3:$AY$3, 0))/1000</f>
        <v>2.4312980769230776</v>
      </c>
      <c r="CX132" s="194">
        <f t="array" ref="CX132">INDEX(Demand_current!$D$4:$AY$138, MATCH($A132, Demand_current!$B$4:$B$138, 0), MATCH(CX$4&amp;CX$5,Demand_current!$D$2:$AY$2&amp;Demand_current!$D$3:$AY$3, 0))/1000</f>
        <v>2.8541650000000018</v>
      </c>
      <c r="CY132" s="194">
        <f t="array" ref="CY132">INDEX(Demand_current!$D$4:$AY$138, MATCH($A132, Demand_current!$B$4:$B$138, 0), MATCH(CY$4&amp;CY$5,Demand_current!$D$2:$AY$2&amp;Demand_current!$D$3:$AY$3, 0))/1000</f>
        <v>3.0569783653846159</v>
      </c>
      <c r="CZ132" s="194">
        <f t="array" ref="CZ132">INDEX(Demand_current!$D$4:$AY$138, MATCH($A132, Demand_current!$B$4:$B$138, 0), MATCH(CZ$4&amp;CZ$5,Demand_current!$D$2:$AY$2&amp;Demand_current!$D$3:$AY$3, 0))/1000</f>
        <v>2.852999999999998</v>
      </c>
      <c r="DA132" s="194">
        <f t="array" ref="DA132">INDEX(Demand_current!$D$4:$AY$138, MATCH($A132, Demand_current!$B$4:$B$138, 0), MATCH(DA$4&amp;DA$5,Demand_current!$D$2:$AY$2&amp;Demand_current!$D$3:$AY$3, 0))/1000</f>
        <v>0</v>
      </c>
      <c r="DB132" s="194">
        <f t="array" ref="DB132">INDEX(Demand_current!$D$4:$AY$138, MATCH($A132, Demand_current!$B$4:$B$138, 0), MATCH(DB$4&amp;DB$5,Demand_current!$D$2:$AY$2&amp;Demand_current!$D$3:$AY$3, 0))/1000</f>
        <v>0</v>
      </c>
      <c r="DC132" s="194">
        <f t="array" ref="DC132">INDEX(Demand_current!$D$4:$AY$138, MATCH($A132, Demand_current!$B$4:$B$138, 0), MATCH(DC$4&amp;DC$5,Demand_current!$D$2:$AY$2&amp;Demand_current!$D$3:$AY$3, 0))/1000</f>
        <v>2.5126322115384596</v>
      </c>
      <c r="DD132" s="194">
        <f t="array" ref="DD132">INDEX(Demand_current!$D$4:$AY$138, MATCH($A132, Demand_current!$B$4:$B$138, 0), MATCH(DD$4&amp;DD$5,Demand_current!$D$2:$AY$2&amp;Demand_current!$D$3:$AY$3, 0))/1000</f>
        <v>2.4159775000000003</v>
      </c>
      <c r="DE132" s="194">
        <f t="array" ref="DE132">INDEX(Demand_current!$D$4:$AY$138, MATCH($A132, Demand_current!$B$4:$B$138, 0), MATCH(DE$4&amp;DE$5,Demand_current!$D$2:$AY$2&amp;Demand_current!$D$3:$AY$3, 0))/1000</f>
        <v>4.110812499999998</v>
      </c>
      <c r="DF132" s="194">
        <f t="array" ref="DF132">INDEX(Demand_current!$D$4:$AY$138, MATCH($A132, Demand_current!$B$4:$B$138, 0), MATCH(DF$4&amp;DF$5,Demand_current!$D$2:$AY$2&amp;Demand_current!$D$3:$AY$3, 0))/1000</f>
        <v>4.7628149999999998</v>
      </c>
      <c r="DG132" s="194">
        <f t="array" ref="DG132">INDEX(Demand_current!$D$4:$AY$138, MATCH($A132, Demand_current!$B$4:$B$138, 0), MATCH(DG$4&amp;DG$5,Demand_current!$D$2:$AY$2&amp;Demand_current!$D$3:$AY$3, 0))/1000</f>
        <v>4.9281018518518493</v>
      </c>
      <c r="DH132" s="194">
        <f t="array" ref="DH132">INDEX(Demand_current!$D$4:$AY$138, MATCH($A132, Demand_current!$B$4:$B$138, 0), MATCH(DH$4&amp;DH$5,Demand_current!$D$2:$AY$2&amp;Demand_current!$D$3:$AY$3, 0))/1000</f>
        <v>19.625680000000003</v>
      </c>
      <c r="DI132" s="192">
        <f>$BS132*(VLOOKUP(DI$4, Rates_current!$G$6:$Q$29, 10, FALSE)+VLOOKUP(DI$4, Rates_current!$G$6:$Q$29, 11, FALSE))</f>
        <v>17303.546621573172</v>
      </c>
      <c r="DJ132" s="192">
        <f>$BS132*(VLOOKUP(DJ$4, Rates_current!$G$6:$Q$29, 10, FALSE)+VLOOKUP(DJ$4, Rates_current!$G$6:$Q$29, 11, FALSE))</f>
        <v>21906.91801183371</v>
      </c>
      <c r="DK132" s="192">
        <f>$BS132*(VLOOKUP(DK$4, Rates_current!$G$6:$Q$29, 10, FALSE)+VLOOKUP(DK$4, Rates_current!$G$6:$Q$29, 11, FALSE))</f>
        <v>21442.496099056887</v>
      </c>
      <c r="DL132" s="192">
        <f>$BS132*(VLOOKUP(DL$4, Rates_current!$G$6:$Q$29, 10, FALSE)+VLOOKUP(DL$4, Rates_current!$G$6:$Q$29, 11, FALSE))</f>
        <v>17710.589939064448</v>
      </c>
      <c r="DM132" s="192">
        <f>$BS132*(VLOOKUP(DM$4, Rates_current!$G$6:$Q$29, 10, FALSE)+VLOOKUP(DM$4, Rates_current!$G$6:$Q$29, 11, FALSE))</f>
        <v>15350.156464749682</v>
      </c>
      <c r="DN132" s="192">
        <f>$BS132*(VLOOKUP(DN$4, Rates_current!$G$6:$Q$29, 10, FALSE)+VLOOKUP(DN$4, Rates_current!$G$6:$Q$29, 11, FALSE))</f>
        <v>18324.987019874407</v>
      </c>
      <c r="DO132" s="192">
        <f>$BS132*(VLOOKUP(DO$4, Rates_current!$G$6:$Q$29, 10, FALSE)+VLOOKUP(DO$4, Rates_current!$G$6:$Q$29, 11, FALSE))</f>
        <v>14226.91283557928</v>
      </c>
      <c r="DP132" s="192">
        <f>$BS132*(VLOOKUP(DP$4, Rates_current!$G$6:$Q$29, 10, FALSE)+VLOOKUP(DP$4, Rates_current!$G$6:$Q$29, 11, FALSE))</f>
        <v>19711.492429320791</v>
      </c>
      <c r="DQ132" s="192">
        <f>$BS132*(VLOOKUP(DQ$4, Rates_current!$G$6:$Q$29, 10, FALSE)+VLOOKUP(DQ$4, Rates_current!$G$6:$Q$29, 11, FALSE))</f>
        <v>21062.142402651196</v>
      </c>
      <c r="DR132" s="192">
        <f>$BS132*(VLOOKUP(DR$4, Rates_current!$G$6:$Q$29, 10, FALSE)+VLOOKUP(DR$4, Rates_current!$G$6:$Q$29, 11, FALSE))</f>
        <v>19997.550483836621</v>
      </c>
      <c r="DS132" s="192">
        <f>$BS132*(VLOOKUP(DS$4, Rates_current!$G$6:$Q$29, 10, FALSE)+VLOOKUP(DS$4, Rates_current!$G$6:$Q$29, 11, FALSE))</f>
        <v>19326.089811876402</v>
      </c>
      <c r="DT132" s="192">
        <f>$BS132*(VLOOKUP(DT$4, Rates_current!$G$6:$Q$29, 10, FALSE)+VLOOKUP(DT$4, Rates_current!$G$6:$Q$29, 11, FALSE))</f>
        <v>17859.321651195503</v>
      </c>
      <c r="DU132" s="418">
        <f>IF(D132=0,IF(C132=0,MAX(0,DW132 - (VLOOKUP($A132,TOCA_current!$A$2:$AI$137,MATCH("RHWM 2022",TOCA_current!$A$2:$AI$2,0),FALSE)*$BS$2)), 0),0)</f>
        <v>0</v>
      </c>
      <c r="DV132" s="419">
        <f>MIN(VLOOKUP($A132,TOCA_current!$A$2:$AI$137,MATCH("TRL - NLSL - Existing Resource "&amp;$BS$1,TOCA_current!$A$2:$AI$2,0),FALSE)*$BS$2, VLOOKUP($A132,TOCA_current!$A$2:$AI$137,MATCH("RHWM 2022",TOCA_current!$A$2:$AI$2,0),FALSE)*$BS$2)</f>
        <v>224220.96</v>
      </c>
      <c r="DW132" s="419">
        <f>SUM(BY132:CV132)+(BS132*RT1SC!$C$4*$BS$2)</f>
        <v>216530.97446993593</v>
      </c>
      <c r="DX132" s="419">
        <f>VLOOKUP($A132,TOCA_current!$A$2:$AI$137,MATCH("Above RHWM Not Served with LS "&amp;$BS$1,TOCA_current!$A$2:$AI$2,0),FALSE)*$BS$2</f>
        <v>14252.52</v>
      </c>
      <c r="DY132" s="419">
        <f t="shared" si="32"/>
        <v>-7689.9855300640629</v>
      </c>
      <c r="DZ132" s="419">
        <f>(VLOOKUP($A132,TOCA_current!$A$2:$AI$137,MATCH("RHWM 2022",TOCA_current!$A$2:$AI$2,0),FALSE)*$BS$2) - $DV132</f>
        <v>0</v>
      </c>
      <c r="EA132" s="419">
        <f t="shared" si="33"/>
        <v>0</v>
      </c>
      <c r="EB132" s="419">
        <f t="shared" si="34"/>
        <v>0</v>
      </c>
      <c r="EC132" s="419">
        <f t="shared" si="35"/>
        <v>0</v>
      </c>
      <c r="ED132" s="419">
        <f t="shared" si="36"/>
        <v>0</v>
      </c>
    </row>
    <row r="133" spans="1:134">
      <c r="A133" s="135">
        <v>10482</v>
      </c>
      <c r="B133" s="136" t="s">
        <v>134</v>
      </c>
      <c r="C133" s="244">
        <f>VLOOKUP(A133, TOCA_current!$A$3:$D$137, 4, FALSE)</f>
        <v>0</v>
      </c>
      <c r="D133" s="203">
        <v>0</v>
      </c>
      <c r="E133" s="119">
        <f>VLOOKUP($A133,TOCA_previous!$A$2:$AI$137,MATCH(E$4,TOCA_previous!$A$2:$AI$2,0),FALSE)</f>
        <v>3.8420000000000001E-4</v>
      </c>
      <c r="F133" s="120">
        <f>VLOOKUP($A133,TOCA_previous!$A$2:$AI$137,MATCH(F$4,TOCA_previous!$A$2:$AI$2,0),FALSE)</f>
        <v>3.8420000000000001E-4</v>
      </c>
      <c r="G133" s="120">
        <f t="shared" si="24"/>
        <v>0</v>
      </c>
      <c r="H133" s="120">
        <f>VLOOKUP($A133,TOCA_previous!$A$2:$AI$137,MATCH(H$4,TOCA_previous!$A$2:$AI$2,0),FALSE)</f>
        <v>0</v>
      </c>
      <c r="I133" s="120">
        <f t="shared" si="25"/>
        <v>0</v>
      </c>
      <c r="J133" s="120">
        <f t="shared" si="26"/>
        <v>0</v>
      </c>
      <c r="K133" s="191">
        <f>VLOOKUP(A133, IRD!$A$5:$C$139, 3, FALSE)</f>
        <v>0</v>
      </c>
      <c r="L133" s="192">
        <f t="array" ref="L133">IF($G133=0, INDEX(LS_previous!$D$4:$AY$138, MATCH('Staging Table'!$A133, LS_previous!$B$4:$B$138, 0), MATCH(L$4&amp;L$5, LS_previous!$D$2:$AY$2&amp;LS_previous!$D$3:$AY$3, 0)),SUM(VLOOKUP($A133, LS_previous!$B$4:$AY$138, LS_previous!D$149, FALSE), VLOOKUP('Staging Table'!$A133, LS_previous!$B$4:$AY$138,LS_previous!AB$149, FALSE))/2)</f>
        <v>-19.930922069600001</v>
      </c>
      <c r="M133" s="192">
        <f t="array" ref="M133">IF($G133=0, INDEX(LS_previous!$D$4:$AY$138, MATCH('Staging Table'!$A133, LS_previous!$B$4:$B$138, 0), MATCH(M$4&amp;M$5, LS_previous!$D$2:$AY$2&amp;LS_previous!$D$3:$AY$3, 0)),SUM(VLOOKUP($A133, LS_previous!$B$4:$AY$138, LS_previous!E$149, FALSE), VLOOKUP('Staging Table'!$A133, LS_previous!$B$4:$AY$138,LS_previous!AC$149, FALSE))/2)</f>
        <v>247.58565536640003</v>
      </c>
      <c r="N133" s="192">
        <f t="array" ref="N133">IF($G133=0, INDEX(LS_previous!$D$4:$AY$138, MATCH('Staging Table'!$A133, LS_previous!$B$4:$B$138, 0), MATCH(N$4&amp;N$5, LS_previous!$D$2:$AY$2&amp;LS_previous!$D$3:$AY$3, 0)),SUM(VLOOKUP($A133, LS_previous!$B$4:$AY$138, LS_previous!F$149, FALSE), VLOOKUP('Staging Table'!$A133, LS_previous!$B$4:$AY$138,LS_previous!AD$149, FALSE))/2)</f>
        <v>-258.64560425759987</v>
      </c>
      <c r="O133" s="192">
        <f t="array" ref="O133">IF($G133=0, INDEX(LS_previous!$D$4:$AY$138, MATCH('Staging Table'!$A133, LS_previous!$B$4:$B$138, 0), MATCH(O$4&amp;O$5, LS_previous!$D$2:$AY$2&amp;LS_previous!$D$3:$AY$3, 0)),SUM(VLOOKUP($A133, LS_previous!$B$4:$AY$138, LS_previous!G$149, FALSE), VLOOKUP('Staging Table'!$A133, LS_previous!$B$4:$AY$138,LS_previous!AE$149, FALSE))/2)</f>
        <v>43.665153833799991</v>
      </c>
      <c r="P133" s="192">
        <f t="array" ref="P133">IF($G133=0, INDEX(LS_previous!$D$4:$AY$138, MATCH('Staging Table'!$A133, LS_previous!$B$4:$B$138, 0), MATCH(P$4&amp;P$5, LS_previous!$D$2:$AY$2&amp;LS_previous!$D$3:$AY$3, 0)),SUM(VLOOKUP($A133, LS_previous!$B$4:$AY$138, LS_previous!H$149, FALSE), VLOOKUP('Staging Table'!$A133, LS_previous!$B$4:$AY$138,LS_previous!AF$149, FALSE))/2)</f>
        <v>-132.03105338240016</v>
      </c>
      <c r="Q133" s="192">
        <f t="array" ref="Q133">IF($G133=0, INDEX(LS_previous!$D$4:$AY$138, MATCH('Staging Table'!$A133, LS_previous!$B$4:$B$138, 0), MATCH(Q$4&amp;Q$5, LS_previous!$D$2:$AY$2&amp;LS_previous!$D$3:$AY$3, 0)),SUM(VLOOKUP($A133, LS_previous!$B$4:$AY$138, LS_previous!I$149, FALSE), VLOOKUP('Staging Table'!$A133, LS_previous!$B$4:$AY$138,LS_previous!AG$149, FALSE))/2)</f>
        <v>89.827658079199864</v>
      </c>
      <c r="R133" s="192">
        <f t="array" ref="R133">IF($G133=0, INDEX(LS_previous!$D$4:$AY$138, MATCH('Staging Table'!$A133, LS_previous!$B$4:$B$138, 0), MATCH(R$4&amp;R$5, LS_previous!$D$2:$AY$2&amp;LS_previous!$D$3:$AY$3, 0)),SUM(VLOOKUP($A133, LS_previous!$B$4:$AY$138, LS_previous!J$149, FALSE), VLOOKUP('Staging Table'!$A133, LS_previous!$B$4:$AY$138,LS_previous!AH$149, FALSE))/2)</f>
        <v>30.443905817599898</v>
      </c>
      <c r="S133" s="192">
        <f t="array" ref="S133">IF($G133=0, INDEX(LS_previous!$D$4:$AY$138, MATCH('Staging Table'!$A133, LS_previous!$B$4:$B$138, 0), MATCH(S$4&amp;S$5, LS_previous!$D$2:$AY$2&amp;LS_previous!$D$3:$AY$3, 0)),SUM(VLOOKUP($A133, LS_previous!$B$4:$AY$138, LS_previous!K$149, FALSE), VLOOKUP('Staging Table'!$A133, LS_previous!$B$4:$AY$138,LS_previous!AI$149, FALSE))/2)</f>
        <v>317.36262047920002</v>
      </c>
      <c r="T133" s="192">
        <f t="array" ref="T133">IF($G133=0, INDEX(LS_previous!$D$4:$AY$138, MATCH('Staging Table'!$A133, LS_previous!$B$4:$B$138, 0), MATCH(T$4&amp;T$5, LS_previous!$D$2:$AY$2&amp;LS_previous!$D$3:$AY$3, 0)),SUM(VLOOKUP($A133, LS_previous!$B$4:$AY$138, LS_previous!L$149, FALSE), VLOOKUP('Staging Table'!$A133, LS_previous!$B$4:$AY$138,LS_previous!AJ$149, FALSE))/2)</f>
        <v>76.807584959200085</v>
      </c>
      <c r="U133" s="192">
        <f t="array" ref="U133">IF($G133=0, INDEX(LS_previous!$D$4:$AY$138, MATCH('Staging Table'!$A133, LS_previous!$B$4:$B$138, 0), MATCH(U$4&amp;U$5, LS_previous!$D$2:$AY$2&amp;LS_previous!$D$3:$AY$3, 0)),SUM(VLOOKUP($A133, LS_previous!$B$4:$AY$138, LS_previous!M$149, FALSE), VLOOKUP('Staging Table'!$A133, LS_previous!$B$4:$AY$138,LS_previous!AK$149, FALSE))/2)</f>
        <v>207.61844048080002</v>
      </c>
      <c r="V133" s="192">
        <f t="array" ref="V133">IF($G133=0, INDEX(LS_previous!$D$4:$AY$138, MATCH('Staging Table'!$A133, LS_previous!$B$4:$B$138, 0), MATCH(V$4&amp;V$5, LS_previous!$D$2:$AY$2&amp;LS_previous!$D$3:$AY$3, 0)),SUM(VLOOKUP($A133, LS_previous!$B$4:$AY$138, LS_previous!N$149, FALSE), VLOOKUP('Staging Table'!$A133, LS_previous!$B$4:$AY$138,LS_previous!AL$149, FALSE))/2)</f>
        <v>66.522055892799926</v>
      </c>
      <c r="W133" s="192">
        <f t="array" ref="W133">IF($G133=0, INDEX(LS_previous!$D$4:$AY$138, MATCH('Staging Table'!$A133, LS_previous!$B$4:$B$138, 0), MATCH(W$4&amp;W$5, LS_previous!$D$2:$AY$2&amp;LS_previous!$D$3:$AY$3, 0)),SUM(VLOOKUP($A133, LS_previous!$B$4:$AY$138, LS_previous!O$149, FALSE), VLOOKUP('Staging Table'!$A133, LS_previous!$B$4:$AY$138,LS_previous!AM$149, FALSE))/2)</f>
        <v>196.87536911180007</v>
      </c>
      <c r="X133" s="192">
        <f t="array" ref="X133">IF($G133=0, INDEX(LS_previous!$D$4:$AY$138, MATCH('Staging Table'!$A133, LS_previous!$B$4:$B$138, 0), MATCH(X$4&amp;X$5, LS_previous!$D$2:$AY$2&amp;LS_previous!$D$3:$AY$3, 0)),SUM(VLOOKUP($A133, LS_previous!$B$4:$AY$138, LS_previous!P$149, FALSE), VLOOKUP('Staging Table'!$A133, LS_previous!$B$4:$AY$138,LS_previous!AN$149, FALSE))/2)</f>
        <v>220.46474135519998</v>
      </c>
      <c r="Y133" s="192">
        <f t="array" ref="Y133">IF($G133=0, INDEX(LS_previous!$D$4:$AY$138, MATCH('Staging Table'!$A133, LS_previous!$B$4:$B$138, 0), MATCH(Y$4&amp;Y$5, LS_previous!$D$2:$AY$2&amp;LS_previous!$D$3:$AY$3, 0)),SUM(VLOOKUP($A133, LS_previous!$B$4:$AY$138, LS_previous!Q$149, FALSE), VLOOKUP('Staging Table'!$A133, LS_previous!$B$4:$AY$138,LS_previous!AO$149, FALSE))/2)</f>
        <v>270.32376662879994</v>
      </c>
      <c r="Z133" s="192">
        <f t="array" ref="Z133">IF($G133=0, INDEX(LS_previous!$D$4:$AY$138, MATCH('Staging Table'!$A133, LS_previous!$B$4:$B$138, 0), MATCH(Z$4&amp;Z$5, LS_previous!$D$2:$AY$2&amp;LS_previous!$D$3:$AY$3, 0)),SUM(VLOOKUP($A133, LS_previous!$B$4:$AY$138, LS_previous!R$149, FALSE), VLOOKUP('Staging Table'!$A133, LS_previous!$B$4:$AY$138,LS_previous!AP$149, FALSE))/2)</f>
        <v>-231.42106381999997</v>
      </c>
      <c r="AA133" s="192">
        <f t="array" ref="AA133">IF($G133=0, INDEX(LS_previous!$D$4:$AY$138, MATCH('Staging Table'!$A133, LS_previous!$B$4:$B$138, 0), MATCH(AA$4&amp;AA$5, LS_previous!$D$2:$AY$2&amp;LS_previous!$D$3:$AY$3, 0)),SUM(VLOOKUP($A133, LS_previous!$B$4:$AY$138, LS_previous!S$149, FALSE), VLOOKUP('Staging Table'!$A133, LS_previous!$B$4:$AY$138,LS_previous!AQ$149, FALSE))/2)</f>
        <v>190.95246901680002</v>
      </c>
      <c r="AB133" s="192">
        <f t="array" ref="AB133">IF($G133=0, INDEX(LS_previous!$D$4:$AY$138, MATCH('Staging Table'!$A133, LS_previous!$B$4:$B$138, 0), MATCH(AB$4&amp;AB$5, LS_previous!$D$2:$AY$2&amp;LS_previous!$D$3:$AY$3, 0)),SUM(VLOOKUP($A133, LS_previous!$B$4:$AY$138, LS_previous!T$149, FALSE), VLOOKUP('Staging Table'!$A133, LS_previous!$B$4:$AY$138,LS_previous!AR$149, FALSE))/2)</f>
        <v>-502.55168734480003</v>
      </c>
      <c r="AC133" s="192">
        <f t="array" ref="AC133">IF($G133=0, INDEX(LS_previous!$D$4:$AY$138, MATCH('Staging Table'!$A133, LS_previous!$B$4:$B$138, 0), MATCH(AC$4&amp;AC$5, LS_previous!$D$2:$AY$2&amp;LS_previous!$D$3:$AY$3, 0)),SUM(VLOOKUP($A133, LS_previous!$B$4:$AY$138, LS_previous!U$149, FALSE), VLOOKUP('Staging Table'!$A133, LS_previous!$B$4:$AY$138,LS_previous!AS$149, FALSE))/2)</f>
        <v>-120.92191457119998</v>
      </c>
      <c r="AD133" s="192">
        <f t="array" ref="AD133">IF($G133=0, INDEX(LS_previous!$D$4:$AY$138, MATCH('Staging Table'!$A133, LS_previous!$B$4:$B$138, 0), MATCH(AD$4&amp;AD$5, LS_previous!$D$2:$AY$2&amp;LS_previous!$D$3:$AY$3, 0)),SUM(VLOOKUP($A133, LS_previous!$B$4:$AY$138, LS_previous!V$149, FALSE), VLOOKUP('Staging Table'!$A133, LS_previous!$B$4:$AY$138,LS_previous!AT$149, FALSE))/2)</f>
        <v>-223.61334834479999</v>
      </c>
      <c r="AE133" s="192">
        <f t="array" ref="AE133">IF($G133=0, INDEX(LS_previous!$D$4:$AY$138, MATCH('Staging Table'!$A133, LS_previous!$B$4:$B$138, 0), MATCH(AE$4&amp;AE$5, LS_previous!$D$2:$AY$2&amp;LS_previous!$D$3:$AY$3, 0)),SUM(VLOOKUP($A133, LS_previous!$B$4:$AY$138, LS_previous!W$149, FALSE), VLOOKUP('Staging Table'!$A133, LS_previous!$B$4:$AY$138,LS_previous!AU$149, FALSE))/2)</f>
        <v>262.7056928415999</v>
      </c>
      <c r="AF133" s="192">
        <f t="array" ref="AF133">IF($G133=0, INDEX(LS_previous!$D$4:$AY$138, MATCH('Staging Table'!$A133, LS_previous!$B$4:$B$138, 0), MATCH(AF$4&amp;AF$5, LS_previous!$D$2:$AY$2&amp;LS_previous!$D$3:$AY$3, 0)),SUM(VLOOKUP($A133, LS_previous!$B$4:$AY$138, LS_previous!X$149, FALSE), VLOOKUP('Staging Table'!$A133, LS_previous!$B$4:$AY$138,LS_previous!AV$149, FALSE))/2)</f>
        <v>-107.96644624479995</v>
      </c>
      <c r="AG133" s="192">
        <f t="array" ref="AG133">IF($G133=0, INDEX(LS_previous!$D$4:$AY$138, MATCH('Staging Table'!$A133, LS_previous!$B$4:$B$138, 0), MATCH(AG$4&amp;AG$5, LS_previous!$D$2:$AY$2&amp;LS_previous!$D$3:$AY$3, 0)),SUM(VLOOKUP($A133, LS_previous!$B$4:$AY$138, LS_previous!Y$149, FALSE), VLOOKUP('Staging Table'!$A133, LS_previous!$B$4:$AY$138,LS_previous!AW$149, FALSE))/2)</f>
        <v>151.33887684160004</v>
      </c>
      <c r="AH133" s="192">
        <f t="array" ref="AH133">IF($G133=0, INDEX(LS_previous!$D$4:$AY$138, MATCH('Staging Table'!$A133, LS_previous!$B$4:$B$138, 0), MATCH(AH$4&amp;AH$5, LS_previous!$D$2:$AY$2&amp;LS_previous!$D$3:$AY$3, 0)),SUM(VLOOKUP($A133, LS_previous!$B$4:$AY$138, LS_previous!Z$149, FALSE), VLOOKUP('Staging Table'!$A133, LS_previous!$B$4:$AY$138,LS_previous!AX$149, FALSE))/2)</f>
        <v>-39.934747519999974</v>
      </c>
      <c r="AI133" s="192">
        <f t="array" ref="AI133">IF($G133=0, INDEX(LS_previous!$D$4:$AY$138, MATCH('Staging Table'!$A133, LS_previous!$B$4:$B$138, 0), MATCH(AI$4&amp;AI$5, LS_previous!$D$2:$AY$2&amp;LS_previous!$D$3:$AY$3, 0)),SUM(VLOOKUP($A133, LS_previous!$B$4:$AY$138, LS_previous!AA$149, FALSE), VLOOKUP('Staging Table'!$A133, LS_previous!$B$4:$AY$138,LS_previous!AY$149, FALSE))/2)</f>
        <v>170.79867530400008</v>
      </c>
      <c r="AJ133" s="314">
        <f t="array" ref="AJ133">INDEX(Demand_previous!$D$4:$AY$138, MATCH('Staging Table'!$A133, Demand_previous!$B$4:$B$138, 0), MATCH(AJ$4&amp;AJ$5,Demand_previous!$D$2:$AY$2&amp;Demand_previous!$D$3:$AY$3, 0))/1000</f>
        <v>0.19501851851851848</v>
      </c>
      <c r="AK133" s="314">
        <f t="array" ref="AK133">INDEX(Demand_previous!$D$4:$AY$138, MATCH('Staging Table'!$A133, Demand_previous!$B$4:$B$138, 0), MATCH(AK$4&amp;AK$5,Demand_previous!$D$2:$AY$2&amp;Demand_previous!$D$3:$AY$3, 0))/1000</f>
        <v>0.2295024999999998</v>
      </c>
      <c r="AL133" s="314">
        <f t="array" ref="AL133">INDEX(Demand_previous!$D$4:$AY$138, MATCH('Staging Table'!$A133, Demand_previous!$B$4:$B$138, 0), MATCH(AL$4&amp;AL$5,Demand_previous!$D$2:$AY$2&amp;Demand_previous!$D$3:$AY$3, 0))/1000</f>
        <v>0.13075999999999965</v>
      </c>
      <c r="AM133" s="314">
        <f t="array" ref="AM133">INDEX(Demand_previous!$D$4:$AY$138, MATCH('Staging Table'!$A133, Demand_previous!$B$4:$B$138, 0), MATCH(AM$4&amp;AM$5,Demand_previous!$D$2:$AY$2&amp;Demand_previous!$D$3:$AY$3, 0))/1000</f>
        <v>0.40328365384615406</v>
      </c>
      <c r="AN133" s="314">
        <f t="array" ref="AN133">INDEX(Demand_previous!$D$4:$AY$138, MATCH('Staging Table'!$A133, Demand_previous!$B$4:$B$138, 0), MATCH(AN$4&amp;AN$5,Demand_previous!$D$2:$AY$2&amp;Demand_previous!$D$3:$AY$3, 0))/1000</f>
        <v>0.2444274999999998</v>
      </c>
      <c r="AO133" s="314">
        <f t="array" ref="AO133">INDEX(Demand_previous!$D$4:$AY$138, MATCH('Staging Table'!$A133, Demand_previous!$B$4:$B$138, 0), MATCH(AO$4&amp;AO$5,Demand_previous!$D$2:$AY$2&amp;Demand_previous!$D$3:$AY$3, 0))/1000</f>
        <v>4.5055288461538723E-2</v>
      </c>
      <c r="AP133" s="314">
        <f t="array" ref="AP133">INDEX(Demand_previous!$D$4:$AY$138, MATCH('Staging Table'!$A133, Demand_previous!$B$4:$B$138, 0), MATCH(AP$4&amp;AP$5,Demand_previous!$D$2:$AY$2&amp;Demand_previous!$D$3:$AY$3, 0))/1000</f>
        <v>0.15006730769230769</v>
      </c>
      <c r="AQ133" s="314">
        <f t="array" ref="AQ133">INDEX(Demand_previous!$D$4:$AY$138, MATCH('Staging Table'!$A133, Demand_previous!$B$4:$B$138, 0), MATCH(AQ$4&amp;AQ$5,Demand_previous!$D$2:$AY$2&amp;Demand_previous!$D$3:$AY$3, 0))/1000</f>
        <v>0.22945499999999985</v>
      </c>
      <c r="AR133" s="314">
        <f t="array" ref="AR133">INDEX(Demand_previous!$D$4:$AY$138, MATCH('Staging Table'!$A133, Demand_previous!$B$4:$B$138, 0), MATCH(AR$4&amp;AR$5,Demand_previous!$D$2:$AY$2&amp;Demand_previous!$D$3:$AY$3, 0))/1000</f>
        <v>0.43275240384615382</v>
      </c>
      <c r="AS133" s="314">
        <f t="array" ref="AS133">INDEX(Demand_previous!$D$4:$AY$138, MATCH('Staging Table'!$A133, Demand_previous!$B$4:$B$138, 0), MATCH(AS$4&amp;AS$5,Demand_previous!$D$2:$AY$2&amp;Demand_previous!$D$3:$AY$3, 0))/1000</f>
        <v>0.41755048076923057</v>
      </c>
      <c r="AT133" s="314">
        <f t="array" ref="AT133">INDEX(Demand_previous!$D$4:$AY$138, MATCH('Staging Table'!$A133, Demand_previous!$B$4:$B$138, 0), MATCH(AT$4&amp;AT$5,Demand_previous!$D$2:$AY$2&amp;Demand_previous!$D$3:$AY$3, 0))/1000</f>
        <v>0.45350000000000013</v>
      </c>
      <c r="AU133" s="314">
        <f t="array" ref="AU133">INDEX(Demand_previous!$D$4:$AY$138, MATCH('Staging Table'!$A133, Demand_previous!$B$4:$B$138, 0), MATCH(AU$4&amp;AU$5,Demand_previous!$D$2:$AY$2&amp;Demand_previous!$D$3:$AY$3, 0))/1000</f>
        <v>0.29969000000000001</v>
      </c>
      <c r="AV133" s="192">
        <f>$F133*(VLOOKUP(AV$4, Rates_previous!$G$6:$Q$29, 10, FALSE)+VLOOKUP(AV$4, Rates_previous!$G$6:$Q$29, 11, FALSE))</f>
        <v>1773.9732667031999</v>
      </c>
      <c r="AW133" s="192">
        <f>$F133*(VLOOKUP(AW$4, Rates_previous!$G$6:$Q$29, 10, FALSE)+VLOOKUP(AW$4, Rates_previous!$G$6:$Q$29, 11, FALSE))</f>
        <v>2253.4994504238002</v>
      </c>
      <c r="AX133" s="192">
        <f>$F133*(VLOOKUP(AX$4, Rates_previous!$G$6:$Q$29, 10, FALSE)+VLOOKUP(AX$4, Rates_previous!$G$6:$Q$29, 11, FALSE))</f>
        <v>2226.2853953032004</v>
      </c>
      <c r="AY133" s="192">
        <f>$F133*(VLOOKUP(AY$4, Rates_previous!$G$6:$Q$29, 10, FALSE)+VLOOKUP(AY$4, Rates_previous!$G$6:$Q$29, 11, FALSE))</f>
        <v>1855.7444737032004</v>
      </c>
      <c r="AZ133" s="192">
        <f>$F133*(VLOOKUP(AZ$4, Rates_previous!$G$6:$Q$29, 10, FALSE)+VLOOKUP(AZ$4, Rates_previous!$G$6:$Q$29, 11, FALSE))</f>
        <v>1681.1119745599999</v>
      </c>
      <c r="BA133" s="192">
        <f>$F133*(VLOOKUP(BA$4, Rates_previous!$G$6:$Q$29, 10, FALSE)+VLOOKUP(BA$4, Rates_previous!$G$6:$Q$29, 11, FALSE))</f>
        <v>1869.9305749954001</v>
      </c>
      <c r="BB133" s="192">
        <f>$F133*(VLOOKUP(BB$4, Rates_previous!$G$6:$Q$29, 10, FALSE)+VLOOKUP(BB$4, Rates_previous!$G$6:$Q$29, 11, FALSE))</f>
        <v>1522.499492016</v>
      </c>
      <c r="BC133" s="192">
        <f>$F133*(VLOOKUP(BC$4, Rates_previous!$G$6:$Q$29, 10, FALSE)+VLOOKUP(BC$4, Rates_previous!$G$6:$Q$29, 11, FALSE))</f>
        <v>2053.3175948032003</v>
      </c>
      <c r="BD133" s="192">
        <f>$F133*(VLOOKUP(BD$4, Rates_previous!$G$6:$Q$29, 10, FALSE)+VLOOKUP(BD$4, Rates_previous!$G$6:$Q$29, 11, FALSE))</f>
        <v>2619.8936019160001</v>
      </c>
      <c r="BE133" s="192">
        <f>$F133*(VLOOKUP(BE$4, Rates_previous!$G$6:$Q$29, 10, FALSE)+VLOOKUP(BE$4, Rates_previous!$G$6:$Q$29, 11, FALSE))</f>
        <v>2054.0796555032002</v>
      </c>
      <c r="BF133" s="192">
        <f>$F133*(VLOOKUP(BF$4, Rates_previous!$G$6:$Q$29, 10, FALSE)+VLOOKUP(BF$4, Rates_previous!$G$6:$Q$29, 11, FALSE))</f>
        <v>2000.2645694032003</v>
      </c>
      <c r="BG133" s="192">
        <f>$F133*(VLOOKUP(BG$4, Rates_previous!$G$6:$Q$29, 10, FALSE)+VLOOKUP(BG$4, Rates_previous!$G$6:$Q$29, 11, FALSE))</f>
        <v>1795.8120722160002</v>
      </c>
      <c r="BH133" s="314">
        <f>IF($D133=0,IF(C133=0, MAX(BJ133 - (VLOOKUP($A133,TOCA_previous!$A$2:$AI$137,MATCH("RHWM 2020",TOCA_previous!$A$2:$AI$2,0),FALSE)*$F$2*TOCA_previous!C130),0),0), 0)</f>
        <v>0</v>
      </c>
      <c r="BI133" s="204">
        <f>MIN(VLOOKUP($A133,TOCA_previous!$A$2:$AI$137,MATCH("TRL - NLSL - Existing Resource "&amp;$F$1,TOCA_previous!$A$2:$AI$2,0),FALSE)*$F$2,(VLOOKUP($A133,TOCA_previous!$A$2:$AI$137,MATCH("RHWM 2020",TOCA_previous!$A$2:$AI$2,0),FALSE)*$F$2))</f>
        <v>23708.016</v>
      </c>
      <c r="BJ133" s="418">
        <f>SUM(L133:AI133)+(F133*RT1SC!$C$3*$F$2)</f>
        <v>24612.688889807199</v>
      </c>
      <c r="BK133" s="417">
        <f>VLOOKUP($A133,TOCA_previous!$A$2:$AI$137,MATCH("Above RHWM Not Served with LS "&amp;$F$1,TOCA_previous!$A$2:$AI$2,0),FALSE)*$F$2</f>
        <v>0</v>
      </c>
      <c r="BL133" s="418">
        <f t="shared" si="27"/>
        <v>904.67288980719968</v>
      </c>
      <c r="BM133" s="417">
        <f>(VLOOKUP($A133,TOCA_previous!$A$2:$AI$137,MATCH("RHWM 2020",TOCA_previous!$A$2:$AI$2,0),FALSE)*$F$2) - $BI133</f>
        <v>12236.111999999997</v>
      </c>
      <c r="BN133" s="418">
        <f t="shared" si="28"/>
        <v>-904.67288980719968</v>
      </c>
      <c r="BO133" s="417">
        <f t="shared" si="29"/>
        <v>0</v>
      </c>
      <c r="BP133" s="418">
        <f t="shared" si="30"/>
        <v>0</v>
      </c>
      <c r="BQ133" s="417">
        <f t="shared" si="37"/>
        <v>-904.67288980719968</v>
      </c>
      <c r="BR133" s="120">
        <f>VLOOKUP($A133,TOCA_current!$A$2:$AI$137,MATCH(BR$4,TOCA_current!$A$2:$AI$2,0),FALSE)</f>
        <v>4.1649999999999999E-4</v>
      </c>
      <c r="BS133" s="120">
        <f>VLOOKUP($A133,TOCA_current!$A$2:$AI$137,MATCH(BS$4,TOCA_current!$A$2:$AI$2,0),FALSE)</f>
        <v>4.1649999999999999E-4</v>
      </c>
      <c r="BT133" s="201">
        <f t="shared" si="31"/>
        <v>0</v>
      </c>
      <c r="BU133" s="120">
        <f>VLOOKUP($A133,TOCA_current!A129:BG264,MATCH(BU$4,TOCA_current!$A$2:$BG$2,0),FALSE)</f>
        <v>0</v>
      </c>
      <c r="BV133" s="120">
        <f t="shared" si="38"/>
        <v>0</v>
      </c>
      <c r="BW133" s="120">
        <f t="shared" si="39"/>
        <v>0</v>
      </c>
      <c r="BX133" s="191">
        <f>VLOOKUP($A133,IRD!$A$4:$G$139, 7, FALSE)</f>
        <v>0</v>
      </c>
      <c r="BY133" s="192">
        <f t="array" ref="BY133">IF($BT133=0, INDEX(LS_current!$D$4:$AY$138, MATCH('Staging Table'!$A133, LS_current!$B$4:$B$138, 0), MATCH(BY$4&amp;BY$5, LS_current!$D$2:$AY$2&amp;LS_current!$D$3:$AY$3, 0)),SUM(VLOOKUP($A133, LS_current!$B$4:$AY$138, LS_current!D$148, FALSE), VLOOKUP($A133, LS_current!$B$4:$AY$138,LS_current!AB$148, FALSE))/2)</f>
        <v>-80.35714517903557</v>
      </c>
      <c r="BZ133" s="192">
        <f t="array" ref="BZ133">IF($BT133=0, INDEX(LS_current!$D$4:$AY$138, MATCH('Staging Table'!$A133, LS_current!$B$4:$B$138, 0), MATCH(BZ$4&amp;BZ$5, LS_current!$D$2:$AY$2&amp;LS_current!$D$3:$AY$3, 0)),SUM(VLOOKUP($A133, LS_current!$B$4:$AY$138, LS_current!E$148, FALSE), VLOOKUP($A133, LS_current!$B$4:$AY$138,LS_current!AC$148, FALSE))/2)</f>
        <v>185.27562393124617</v>
      </c>
      <c r="CA133" s="192">
        <f t="array" ref="CA133">IF($BT133=0, INDEX(LS_current!$D$4:$AY$138, MATCH('Staging Table'!$A133, LS_current!$B$4:$B$138, 0), MATCH(CA$4&amp;CA$5, LS_current!$D$2:$AY$2&amp;LS_current!$D$3:$AY$3, 0)),SUM(VLOOKUP($A133, LS_current!$B$4:$AY$138, LS_current!F$148, FALSE), VLOOKUP($A133, LS_current!$B$4:$AY$138,LS_current!AD$148, FALSE))/2)</f>
        <v>-319.35516353636581</v>
      </c>
      <c r="CB133" s="192">
        <f t="array" ref="CB133">IF($BT133=0, INDEX(LS_current!$D$4:$AY$138, MATCH('Staging Table'!$A133, LS_current!$B$4:$B$138, 0), MATCH(CB$4&amp;CB$5, LS_current!$D$2:$AY$2&amp;LS_current!$D$3:$AY$3, 0)),SUM(VLOOKUP($A133, LS_current!$B$4:$AY$138, LS_current!G$148, FALSE), VLOOKUP($A133, LS_current!$B$4:$AY$138,LS_current!AE$148, FALSE))/2)</f>
        <v>-43.428926688846445</v>
      </c>
      <c r="CC133" s="192">
        <f t="array" ref="CC133">IF($BT133=0, INDEX(LS_current!$D$4:$AY$138, MATCH('Staging Table'!$A133, LS_current!$B$4:$B$138, 0), MATCH(CC$4&amp;CC$5, LS_current!$D$2:$AY$2&amp;LS_current!$D$3:$AY$3, 0)),SUM(VLOOKUP($A133, LS_current!$B$4:$AY$138, LS_current!H$148, FALSE), VLOOKUP($A133, LS_current!$B$4:$AY$138,LS_current!AF$148, FALSE))/2)</f>
        <v>-92.246994410095112</v>
      </c>
      <c r="CD133" s="192">
        <f t="array" ref="CD133">IF($BT133=0, INDEX(LS_current!$D$4:$AY$138, MATCH('Staging Table'!$A133, LS_current!$B$4:$B$138, 0), MATCH(CD$4&amp;CD$5, LS_current!$D$2:$AY$2&amp;LS_current!$D$3:$AY$3, 0)),SUM(VLOOKUP($A133, LS_current!$B$4:$AY$138, LS_current!I$148, FALSE), VLOOKUP($A133, LS_current!$B$4:$AY$138,LS_current!AG$148, FALSE))/2)</f>
        <v>-74.066990866950846</v>
      </c>
      <c r="CE133" s="192">
        <f t="array" ref="CE133">IF($BT133=0, INDEX(LS_current!$D$4:$AY$138, MATCH('Staging Table'!$A133, LS_current!$B$4:$B$138, 0), MATCH(CE$4&amp;CE$5, LS_current!$D$2:$AY$2&amp;LS_current!$D$3:$AY$3, 0)),SUM(VLOOKUP($A133, LS_current!$B$4:$AY$138, LS_current!J$148, FALSE), VLOOKUP($A133, LS_current!$B$4:$AY$138,LS_current!AH$148, FALSE))/2)</f>
        <v>92.331044453158711</v>
      </c>
      <c r="CF133" s="192">
        <f t="array" ref="CF133">IF($BT133=0, INDEX(LS_current!$D$4:$AY$138, MATCH('Staging Table'!$A133, LS_current!$B$4:$B$138, 0), MATCH(CF$4&amp;CF$5, LS_current!$D$2:$AY$2&amp;LS_current!$D$3:$AY$3, 0)),SUM(VLOOKUP($A133, LS_current!$B$4:$AY$138, LS_current!K$148, FALSE), VLOOKUP($A133, LS_current!$B$4:$AY$138,LS_current!AI$148, FALSE))/2)</f>
        <v>169.89282192567578</v>
      </c>
      <c r="CG133" s="192">
        <f t="array" ref="CG133">IF($BT133=0, INDEX(LS_current!$D$4:$AY$138, MATCH('Staging Table'!$A133, LS_current!$B$4:$B$138, 0), MATCH(CG$4&amp;CG$5, LS_current!$D$2:$AY$2&amp;LS_current!$D$3:$AY$3, 0)),SUM(VLOOKUP($A133, LS_current!$B$4:$AY$138, LS_current!L$148, FALSE), VLOOKUP($A133, LS_current!$B$4:$AY$138,LS_current!AJ$148, FALSE))/2)</f>
        <v>160.03256432736077</v>
      </c>
      <c r="CH133" s="192">
        <f t="array" ref="CH133">IF($BT133=0, INDEX(LS_current!$D$4:$AY$138, MATCH('Staging Table'!$A133, LS_current!$B$4:$B$138, 0), MATCH(CH$4&amp;CH$5, LS_current!$D$2:$AY$2&amp;LS_current!$D$3:$AY$3, 0)),SUM(VLOOKUP($A133, LS_current!$B$4:$AY$138, LS_current!M$148, FALSE), VLOOKUP($A133, LS_current!$B$4:$AY$138,LS_current!AK$148, FALSE))/2)</f>
        <v>122.91466072507978</v>
      </c>
      <c r="CI133" s="192">
        <f t="array" ref="CI133">IF($BT133=0, INDEX(LS_current!$D$4:$AY$138, MATCH('Staging Table'!$A133, LS_current!$B$4:$B$138, 0), MATCH(CI$4&amp;CI$5, LS_current!$D$2:$AY$2&amp;LS_current!$D$3:$AY$3, 0)),SUM(VLOOKUP($A133, LS_current!$B$4:$AY$138, LS_current!N$148, FALSE), VLOOKUP($A133, LS_current!$B$4:$AY$138,LS_current!AL$148, FALSE))/2)</f>
        <v>21.858951828760382</v>
      </c>
      <c r="CJ133" s="192">
        <f t="array" ref="CJ133">IF($BT133=0, INDEX(LS_current!$D$4:$AY$138, MATCH('Staging Table'!$A133, LS_current!$B$4:$B$138, 0), MATCH(CJ$4&amp;CJ$5, LS_current!$D$2:$AY$2&amp;LS_current!$D$3:$AY$3, 0)),SUM(VLOOKUP($A133, LS_current!$B$4:$AY$138, LS_current!O$148, FALSE), VLOOKUP($A133, LS_current!$B$4:$AY$138,LS_current!AM$148, FALSE))/2)</f>
        <v>102.79544399783413</v>
      </c>
      <c r="CK133" s="192">
        <f t="array" ref="CK133">IF($BT133=0, INDEX(LS_current!$D$4:$AY$138, MATCH('Staging Table'!$A133, LS_current!$B$4:$B$138, 0), MATCH(CK$4&amp;CK$5, LS_current!$D$2:$AY$2&amp;LS_current!$D$3:$AY$3, 0)),SUM(VLOOKUP($A133, LS_current!$B$4:$AY$138, LS_current!P$148, FALSE), VLOOKUP($A133, LS_current!$B$4:$AY$138,LS_current!AN$148, FALSE))/2)</f>
        <v>217.50387205896038</v>
      </c>
      <c r="CL133" s="192">
        <f t="array" ref="CL133">IF($BT133=0, INDEX(LS_current!$D$4:$AY$138, MATCH('Staging Table'!$A133, LS_current!$B$4:$B$138, 0), MATCH(CL$4&amp;CL$5, LS_current!$D$2:$AY$2&amp;LS_current!$D$3:$AY$3, 0)),SUM(VLOOKUP($A133, LS_current!$B$4:$AY$138, LS_current!Q$148, FALSE), VLOOKUP($A133, LS_current!$B$4:$AY$138,LS_current!AO$148, FALSE))/2)</f>
        <v>236.316486806537</v>
      </c>
      <c r="CM133" s="192">
        <f t="array" ref="CM133">IF($BT133=0, INDEX(LS_current!$D$4:$AY$138, MATCH('Staging Table'!$A133, LS_current!$B$4:$B$138, 0), MATCH(CM$4&amp;CM$5, LS_current!$D$2:$AY$2&amp;LS_current!$D$3:$AY$3, 0)),SUM(VLOOKUP($A133, LS_current!$B$4:$AY$138, LS_current!R$148, FALSE), VLOOKUP($A133, LS_current!$B$4:$AY$138,LS_current!AP$148, FALSE))/2)</f>
        <v>-354.94507927493669</v>
      </c>
      <c r="CN133" s="192">
        <f t="array" ref="CN133">IF($BT133=0, INDEX(LS_current!$D$4:$AY$138, MATCH('Staging Table'!$A133, LS_current!$B$4:$B$138, 0), MATCH(CN$4&amp;CN$5, LS_current!$D$2:$AY$2&amp;LS_current!$D$3:$AY$3, 0)),SUM(VLOOKUP($A133, LS_current!$B$4:$AY$138, LS_current!S$148, FALSE), VLOOKUP($A133, LS_current!$B$4:$AY$138,LS_current!AQ$148, FALSE))/2)</f>
        <v>207.14018638546929</v>
      </c>
      <c r="CO133" s="192">
        <f t="array" ref="CO133">IF($BT133=0, INDEX(LS_current!$D$4:$AY$138, MATCH('Staging Table'!$A133, LS_current!$B$4:$B$138, 0), MATCH(CO$4&amp;CO$5, LS_current!$D$2:$AY$2&amp;LS_current!$D$3:$AY$3, 0)),SUM(VLOOKUP($A133, LS_current!$B$4:$AY$138, LS_current!T$148, FALSE), VLOOKUP($A133, LS_current!$B$4:$AY$138,LS_current!AR$148, FALSE))/2)</f>
        <v>-448.62955823159655</v>
      </c>
      <c r="CP133" s="192">
        <f t="array" ref="CP133">IF($BT133=0, INDEX(LS_current!$D$4:$AY$138, MATCH('Staging Table'!$A133, LS_current!$B$4:$B$138, 0), MATCH(CP$4&amp;CP$5, LS_current!$D$2:$AY$2&amp;LS_current!$D$3:$AY$3, 0)),SUM(VLOOKUP($A133, LS_current!$B$4:$AY$138, LS_current!U$148, FALSE), VLOOKUP($A133, LS_current!$B$4:$AY$138,LS_current!AS$148, FALSE))/2)</f>
        <v>136.34563142047375</v>
      </c>
      <c r="CQ133" s="192">
        <f t="array" ref="CQ133">IF($BT133=0, INDEX(LS_current!$D$4:$AY$138, MATCH('Staging Table'!$A133, LS_current!$B$4:$B$138, 0), MATCH(CQ$4&amp;CQ$5, LS_current!$D$2:$AY$2&amp;LS_current!$D$3:$AY$3, 0)),SUM(VLOOKUP($A133, LS_current!$B$4:$AY$138, LS_current!V$148, FALSE), VLOOKUP($A133, LS_current!$B$4:$AY$138,LS_current!AT$148, FALSE))/2)</f>
        <v>-269.61082264936113</v>
      </c>
      <c r="CR133" s="192">
        <f t="array" ref="CR133">IF($BT133=0, INDEX(LS_current!$D$4:$AY$138, MATCH('Staging Table'!$A133, LS_current!$B$4:$B$138, 0), MATCH(CR$4&amp;CR$5, LS_current!$D$2:$AY$2&amp;LS_current!$D$3:$AY$3, 0)),SUM(VLOOKUP($A133, LS_current!$B$4:$AY$138, LS_current!W$148, FALSE), VLOOKUP($A133, LS_current!$B$4:$AY$138,LS_current!AU$148, FALSE))/2)</f>
        <v>170.77298594700244</v>
      </c>
      <c r="CS133" s="192">
        <f t="array" ref="CS133">IF($BT133=0, INDEX(LS_current!$D$4:$AY$138, MATCH('Staging Table'!$A133, LS_current!$B$4:$B$138, 0), MATCH(CS$4&amp;CS$5, LS_current!$D$2:$AY$2&amp;LS_current!$D$3:$AY$3, 0)),SUM(VLOOKUP($A133, LS_current!$B$4:$AY$138, LS_current!X$148, FALSE), VLOOKUP($A133, LS_current!$B$4:$AY$138,LS_current!AV$148, FALSE))/2)</f>
        <v>-163.85243751375901</v>
      </c>
      <c r="CT133" s="192">
        <f t="array" ref="CT133">IF($BT133=0, INDEX(LS_current!$D$4:$AY$138, MATCH('Staging Table'!$A133, LS_current!$B$4:$B$138, 0), MATCH(CT$4&amp;CT$5, LS_current!$D$2:$AY$2&amp;LS_current!$D$3:$AY$3, 0)),SUM(VLOOKUP($A133, LS_current!$B$4:$AY$138, LS_current!Y$148, FALSE), VLOOKUP($A133, LS_current!$B$4:$AY$138,LS_current!AW$148, FALSE))/2)</f>
        <v>89.081035101326165</v>
      </c>
      <c r="CU133" s="192">
        <f t="array" ref="CU133">IF($BT133=0, INDEX(LS_current!$D$4:$AY$138, MATCH('Staging Table'!$A133, LS_current!$B$4:$B$138, 0), MATCH(CU$4&amp;CU$5, LS_current!$D$2:$AY$2&amp;LS_current!$D$3:$AY$3, 0)),SUM(VLOOKUP($A133, LS_current!$B$4:$AY$138, LS_current!Z$148, FALSE), VLOOKUP($A133, LS_current!$B$4:$AY$138,LS_current!AX$148, FALSE))/2)</f>
        <v>-139.24479990957821</v>
      </c>
      <c r="CV133" s="192">
        <f t="array" ref="CV133">IF($BT133=0, INDEX(LS_current!$D$4:$AY$138, MATCH('Staging Table'!$A133, LS_current!$B$4:$B$138, 0), MATCH(CV$4&amp;CV$5, LS_current!$D$2:$AY$2&amp;LS_current!$D$3:$AY$3, 0)),SUM(VLOOKUP($A133, LS_current!$B$4:$AY$138, LS_current!AA$148, FALSE), VLOOKUP($A133, LS_current!$B$4:$AY$138,LS_current!AY$148, FALSE))/2)</f>
        <v>108.29060075624341</v>
      </c>
      <c r="CW133" s="194">
        <f t="array" ref="CW133">INDEX(Demand_current!$D$4:$AY$138, MATCH($A133, Demand_current!$B$4:$B$138, 0), MATCH(CW$4&amp;CW$5,Demand_current!$D$2:$AY$2&amp;Demand_current!$D$3:$AY$3, 0))/1000</f>
        <v>9.3865384615384517E-2</v>
      </c>
      <c r="CX133" s="194">
        <f t="array" ref="CX133">INDEX(Demand_current!$D$4:$AY$138, MATCH($A133, Demand_current!$B$4:$B$138, 0), MATCH(CX$4&amp;CX$5,Demand_current!$D$2:$AY$2&amp;Demand_current!$D$3:$AY$3, 0))/1000</f>
        <v>0.2295024999999998</v>
      </c>
      <c r="CY133" s="194">
        <f t="array" ref="CY133">INDEX(Demand_current!$D$4:$AY$138, MATCH($A133, Demand_current!$B$4:$B$138, 0), MATCH(CY$4&amp;CY$5,Demand_current!$D$2:$AY$2&amp;Demand_current!$D$3:$AY$3, 0))/1000</f>
        <v>0.25099999999999956</v>
      </c>
      <c r="CZ133" s="194">
        <f t="array" ref="CZ133">INDEX(Demand_current!$D$4:$AY$138, MATCH($A133, Demand_current!$B$4:$B$138, 0), MATCH(CZ$4&amp;CZ$5,Demand_current!$D$2:$AY$2&amp;Demand_current!$D$3:$AY$3, 0))/1000</f>
        <v>0.28821500000000044</v>
      </c>
      <c r="DA133" s="194">
        <f t="array" ref="DA133">INDEX(Demand_current!$D$4:$AY$138, MATCH($A133, Demand_current!$B$4:$B$138, 0), MATCH(DA$4&amp;DA$5,Demand_current!$D$2:$AY$2&amp;Demand_current!$D$3:$AY$3, 0))/1000</f>
        <v>0.12594531249999963</v>
      </c>
      <c r="DB133" s="194">
        <f t="array" ref="DB133">INDEX(Demand_current!$D$4:$AY$138, MATCH($A133, Demand_current!$B$4:$B$138, 0), MATCH(DB$4&amp;DB$5,Demand_current!$D$2:$AY$2&amp;Demand_current!$D$3:$AY$3, 0))/1000</f>
        <v>0.15683101851851863</v>
      </c>
      <c r="DC133" s="194">
        <f t="array" ref="DC133">INDEX(Demand_current!$D$4:$AY$138, MATCH($A133, Demand_current!$B$4:$B$138, 0), MATCH(DC$4&amp;DC$5,Demand_current!$D$2:$AY$2&amp;Demand_current!$D$3:$AY$3, 0))/1000</f>
        <v>0.15006730769230769</v>
      </c>
      <c r="DD133" s="194">
        <f t="array" ref="DD133">INDEX(Demand_current!$D$4:$AY$138, MATCH($A133, Demand_current!$B$4:$B$138, 0), MATCH(DD$4&amp;DD$5,Demand_current!$D$2:$AY$2&amp;Demand_current!$D$3:$AY$3, 0))/1000</f>
        <v>0.22945499999999985</v>
      </c>
      <c r="DE133" s="194">
        <f t="array" ref="DE133">INDEX(Demand_current!$D$4:$AY$138, MATCH($A133, Demand_current!$B$4:$B$138, 0), MATCH(DE$4&amp;DE$5,Demand_current!$D$2:$AY$2&amp;Demand_current!$D$3:$AY$3, 0))/1000</f>
        <v>0.43275240384615382</v>
      </c>
      <c r="DF133" s="194">
        <f t="array" ref="DF133">INDEX(Demand_current!$D$4:$AY$138, MATCH($A133, Demand_current!$B$4:$B$138, 0), MATCH(DF$4&amp;DF$5,Demand_current!$D$2:$AY$2&amp;Demand_current!$D$3:$AY$3, 0))/1000</f>
        <v>0.30309250000000004</v>
      </c>
      <c r="DG133" s="194">
        <f t="array" ref="DG133">INDEX(Demand_current!$D$4:$AY$138, MATCH($A133, Demand_current!$B$4:$B$138, 0), MATCH(DG$4&amp;DG$5,Demand_current!$D$2:$AY$2&amp;Demand_current!$D$3:$AY$3, 0))/1000</f>
        <v>0.56592592592592583</v>
      </c>
      <c r="DH133" s="194">
        <f t="array" ref="DH133">INDEX(Demand_current!$D$4:$AY$138, MATCH($A133, Demand_current!$B$4:$B$138, 0), MATCH(DH$4&amp;DH$5,Demand_current!$D$2:$AY$2&amp;Demand_current!$D$3:$AY$3, 0))/1000</f>
        <v>0.29969000000000001</v>
      </c>
      <c r="DI133" s="192">
        <f>$BS133*(VLOOKUP(DI$4, Rates_current!$G$6:$Q$29, 10, FALSE)+VLOOKUP(DI$4, Rates_current!$G$6:$Q$29, 11, FALSE))</f>
        <v>1896.7095212477893</v>
      </c>
      <c r="DJ133" s="192">
        <f>$BS133*(VLOOKUP(DJ$4, Rates_current!$G$6:$Q$29, 10, FALSE)+VLOOKUP(DJ$4, Rates_current!$G$6:$Q$29, 11, FALSE))</f>
        <v>2401.3030902252126</v>
      </c>
      <c r="DK133" s="192">
        <f>$BS133*(VLOOKUP(DK$4, Rates_current!$G$6:$Q$29, 10, FALSE)+VLOOKUP(DK$4, Rates_current!$G$6:$Q$29, 11, FALSE))</f>
        <v>2350.3959852770463</v>
      </c>
      <c r="DL133" s="192">
        <f>$BS133*(VLOOKUP(DL$4, Rates_current!$G$6:$Q$29, 10, FALSE)+VLOOKUP(DL$4, Rates_current!$G$6:$Q$29, 11, FALSE))</f>
        <v>1941.3271336211653</v>
      </c>
      <c r="DM133" s="192">
        <f>$BS133*(VLOOKUP(DM$4, Rates_current!$G$6:$Q$29, 10, FALSE)+VLOOKUP(DM$4, Rates_current!$G$6:$Q$29, 11, FALSE))</f>
        <v>1682.5907749475596</v>
      </c>
      <c r="DN133" s="192">
        <f>$BS133*(VLOOKUP(DN$4, Rates_current!$G$6:$Q$29, 10, FALSE)+VLOOKUP(DN$4, Rates_current!$G$6:$Q$29, 11, FALSE))</f>
        <v>2008.6736041734057</v>
      </c>
      <c r="DO133" s="192">
        <f>$BS133*(VLOOKUP(DO$4, Rates_current!$G$6:$Q$29, 10, FALSE)+VLOOKUP(DO$4, Rates_current!$G$6:$Q$29, 11, FALSE))</f>
        <v>1559.4676411345026</v>
      </c>
      <c r="DP133" s="192">
        <f>$BS133*(VLOOKUP(DP$4, Rates_current!$G$6:$Q$29, 10, FALSE)+VLOOKUP(DP$4, Rates_current!$G$6:$Q$29, 11, FALSE))</f>
        <v>2160.6538928894674</v>
      </c>
      <c r="DQ133" s="192">
        <f>$BS133*(VLOOKUP(DQ$4, Rates_current!$G$6:$Q$29, 10, FALSE)+VLOOKUP(DQ$4, Rates_current!$G$6:$Q$29, 11, FALSE))</f>
        <v>2308.7039268111225</v>
      </c>
      <c r="DR133" s="192">
        <f>$BS133*(VLOOKUP(DR$4, Rates_current!$G$6:$Q$29, 10, FALSE)+VLOOKUP(DR$4, Rates_current!$G$6:$Q$29, 11, FALSE))</f>
        <v>2192.0098367023588</v>
      </c>
      <c r="DS133" s="192">
        <f>$BS133*(VLOOKUP(DS$4, Rates_current!$G$6:$Q$29, 10, FALSE)+VLOOKUP(DS$4, Rates_current!$G$6:$Q$29, 11, FALSE))</f>
        <v>2118.4084024124331</v>
      </c>
      <c r="DT133" s="192">
        <f>$BS133*(VLOOKUP(DT$4, Rates_current!$G$6:$Q$29, 10, FALSE)+VLOOKUP(DT$4, Rates_current!$G$6:$Q$29, 11, FALSE))</f>
        <v>1957.6301991533351</v>
      </c>
      <c r="DU133" s="418">
        <f>IF(D133=0,IF(C133=0,MAX(0,DW133 - (VLOOKUP($A133,TOCA_current!$A$2:$AI$137,MATCH("RHWM 2022",TOCA_current!$A$2:$AI$2,0),FALSE)*$BS$2)), 0),0)</f>
        <v>0</v>
      </c>
      <c r="DV133" s="419">
        <f>MIN(VLOOKUP($A133,TOCA_current!$A$2:$AI$137,MATCH("TRL - NLSL - Existing Resource "&amp;$BS$1,TOCA_current!$A$2:$AI$2,0),FALSE)*$BS$2, VLOOKUP($A133,TOCA_current!$A$2:$AI$137,MATCH("RHWM 2022",TOCA_current!$A$2:$AI$2,0),FALSE)*$BS$2)</f>
        <v>24580.560000000001</v>
      </c>
      <c r="DW133" s="419">
        <f>SUM(BY133:CV133)+(BS133*RT1SC!$C$4*$BS$2)</f>
        <v>24612.689257264603</v>
      </c>
      <c r="DX133" s="419">
        <f>VLOOKUP($A133,TOCA_current!$A$2:$AI$137,MATCH("Above RHWM Not Served with LS "&amp;$BS$1,TOCA_current!$A$2:$AI$2,0),FALSE)*$BS$2</f>
        <v>0</v>
      </c>
      <c r="DY133" s="419">
        <f t="shared" si="32"/>
        <v>32.12925726460162</v>
      </c>
      <c r="DZ133" s="419">
        <f>(VLOOKUP($A133,TOCA_current!$A$2:$AI$137,MATCH("RHWM 2022",TOCA_current!$A$2:$AI$2,0),FALSE)*$BS$2) - $DV133</f>
        <v>9793.6799999999967</v>
      </c>
      <c r="EA133" s="419">
        <f t="shared" si="33"/>
        <v>-32.12925726460162</v>
      </c>
      <c r="EB133" s="419">
        <f t="shared" si="34"/>
        <v>0</v>
      </c>
      <c r="EC133" s="419">
        <f t="shared" si="35"/>
        <v>0</v>
      </c>
      <c r="ED133" s="419">
        <f t="shared" si="36"/>
        <v>-32.12925726460162</v>
      </c>
    </row>
    <row r="134" spans="1:134">
      <c r="A134" s="135">
        <v>10502</v>
      </c>
      <c r="B134" s="136" t="s">
        <v>135</v>
      </c>
      <c r="C134" s="244">
        <f>VLOOKUP(A134, TOCA_current!$A$3:$D$137, 4, FALSE)</f>
        <v>0</v>
      </c>
      <c r="D134" s="203">
        <v>0</v>
      </c>
      <c r="E134" s="119">
        <f>VLOOKUP($A134,TOCA_previous!$A$2:$AI$137,MATCH(E$4,TOCA_previous!$A$2:$AI$2,0),FALSE)</f>
        <v>2.6489999999999999E-3</v>
      </c>
      <c r="F134" s="120">
        <f>VLOOKUP($A134,TOCA_previous!$A$2:$AI$137,MATCH(F$4,TOCA_previous!$A$2:$AI$2,0),FALSE)</f>
        <v>2.6489999999999999E-3</v>
      </c>
      <c r="G134" s="120">
        <f t="shared" si="24"/>
        <v>0</v>
      </c>
      <c r="H134" s="120">
        <f>VLOOKUP($A134,TOCA_previous!$A$2:$AI$137,MATCH(H$4,TOCA_previous!$A$2:$AI$2,0),FALSE)</f>
        <v>7.0312231298366293E-2</v>
      </c>
      <c r="I134" s="120">
        <f t="shared" si="25"/>
        <v>0</v>
      </c>
      <c r="J134" s="120">
        <f t="shared" si="26"/>
        <v>0</v>
      </c>
      <c r="K134" s="191">
        <f>VLOOKUP(A134, IRD!$A$5:$C$139, 3, FALSE)</f>
        <v>7189.6969999999992</v>
      </c>
      <c r="L134" s="192">
        <f t="array" ref="L134">IF($G134=0, INDEX(LS_previous!$D$4:$AY$138, MATCH('Staging Table'!$A134, LS_previous!$B$4:$B$138, 0), MATCH(L$4&amp;L$5, LS_previous!$D$2:$AY$2&amp;LS_previous!$D$3:$AY$3, 0)),SUM(VLOOKUP($A134, LS_previous!$B$4:$AY$138, LS_previous!D$149, FALSE), VLOOKUP('Staging Table'!$A134, LS_previous!$B$4:$AY$138,LS_previous!AB$149, FALSE))/2)</f>
        <v>-1630.444212811999</v>
      </c>
      <c r="M134" s="192">
        <f t="array" ref="M134">IF($G134=0, INDEX(LS_previous!$D$4:$AY$138, MATCH('Staging Table'!$A134, LS_previous!$B$4:$B$138, 0), MATCH(M$4&amp;M$5, LS_previous!$D$2:$AY$2&amp;LS_previous!$D$3:$AY$3, 0)),SUM(VLOOKUP($A134, LS_previous!$B$4:$AY$138, LS_previous!E$149, FALSE), VLOOKUP('Staging Table'!$A134, LS_previous!$B$4:$AY$138,LS_previous!AC$149, FALSE))/2)</f>
        <v>-307.74903939199976</v>
      </c>
      <c r="N134" s="192">
        <f t="array" ref="N134">IF($G134=0, INDEX(LS_previous!$D$4:$AY$138, MATCH('Staging Table'!$A134, LS_previous!$B$4:$B$138, 0), MATCH(N$4&amp;N$5, LS_previous!$D$2:$AY$2&amp;LS_previous!$D$3:$AY$3, 0)),SUM(VLOOKUP($A134, LS_previous!$B$4:$AY$138, LS_previous!F$149, FALSE), VLOOKUP('Staging Table'!$A134, LS_previous!$B$4:$AY$138,LS_previous!AD$149, FALSE))/2)</f>
        <v>-4724.663581672</v>
      </c>
      <c r="O134" s="192">
        <f t="array" ref="O134">IF($G134=0, INDEX(LS_previous!$D$4:$AY$138, MATCH('Staging Table'!$A134, LS_previous!$B$4:$B$138, 0), MATCH(O$4&amp;O$5, LS_previous!$D$2:$AY$2&amp;LS_previous!$D$3:$AY$3, 0)),SUM(VLOOKUP($A134, LS_previous!$B$4:$AY$138, LS_previous!G$149, FALSE), VLOOKUP('Staging Table'!$A134, LS_previous!$B$4:$AY$138,LS_previous!AE$149, FALSE))/2)</f>
        <v>-2270.7370684390003</v>
      </c>
      <c r="P134" s="192">
        <f t="array" ref="P134">IF($G134=0, INDEX(LS_previous!$D$4:$AY$138, MATCH('Staging Table'!$A134, LS_previous!$B$4:$B$138, 0), MATCH(P$4&amp;P$5, LS_previous!$D$2:$AY$2&amp;LS_previous!$D$3:$AY$3, 0)),SUM(VLOOKUP($A134, LS_previous!$B$4:$AY$138, LS_previous!H$149, FALSE), VLOOKUP('Staging Table'!$A134, LS_previous!$B$4:$AY$138,LS_previous!AF$149, FALSE))/2)</f>
        <v>-3441.1187241279995</v>
      </c>
      <c r="Q134" s="192">
        <f t="array" ref="Q134">IF($G134=0, INDEX(LS_previous!$D$4:$AY$138, MATCH('Staging Table'!$A134, LS_previous!$B$4:$B$138, 0), MATCH(Q$4&amp;Q$5, LS_previous!$D$2:$AY$2&amp;LS_previous!$D$3:$AY$3, 0)),SUM(VLOOKUP($A134, LS_previous!$B$4:$AY$138, LS_previous!I$149, FALSE), VLOOKUP('Staging Table'!$A134, LS_previous!$B$4:$AY$138,LS_previous!AG$149, FALSE))/2)</f>
        <v>-1420.1821950760004</v>
      </c>
      <c r="R134" s="192">
        <f t="array" ref="R134">IF($G134=0, INDEX(LS_previous!$D$4:$AY$138, MATCH('Staging Table'!$A134, LS_previous!$B$4:$B$138, 0), MATCH(R$4&amp;R$5, LS_previous!$D$2:$AY$2&amp;LS_previous!$D$3:$AY$3, 0)),SUM(VLOOKUP($A134, LS_previous!$B$4:$AY$138, LS_previous!J$149, FALSE), VLOOKUP('Staging Table'!$A134, LS_previous!$B$4:$AY$138,LS_previous!AH$149, FALSE))/2)</f>
        <v>-2154.3552001280004</v>
      </c>
      <c r="S134" s="192">
        <f t="array" ref="S134">IF($G134=0, INDEX(LS_previous!$D$4:$AY$138, MATCH('Staging Table'!$A134, LS_previous!$B$4:$B$138, 0), MATCH(S$4&amp;S$5, LS_previous!$D$2:$AY$2&amp;LS_previous!$D$3:$AY$3, 0)),SUM(VLOOKUP($A134, LS_previous!$B$4:$AY$138, LS_previous!K$149, FALSE), VLOOKUP('Staging Table'!$A134, LS_previous!$B$4:$AY$138,LS_previous!AI$149, FALSE))/2)</f>
        <v>-592.18296707599984</v>
      </c>
      <c r="T134" s="192">
        <f t="array" ref="T134">IF($G134=0, INDEX(LS_previous!$D$4:$AY$138, MATCH('Staging Table'!$A134, LS_previous!$B$4:$B$138, 0), MATCH(T$4&amp;T$5, LS_previous!$D$2:$AY$2&amp;LS_previous!$D$3:$AY$3, 0)),SUM(VLOOKUP($A134, LS_previous!$B$4:$AY$138, LS_previous!L$149, FALSE), VLOOKUP('Staging Table'!$A134, LS_previous!$B$4:$AY$138,LS_previous!AJ$149, FALSE))/2)</f>
        <v>-1816.222781475999</v>
      </c>
      <c r="U134" s="192">
        <f t="array" ref="U134">IF($G134=0, INDEX(LS_previous!$D$4:$AY$138, MATCH('Staging Table'!$A134, LS_previous!$B$4:$B$138, 0), MATCH(U$4&amp;U$5, LS_previous!$D$2:$AY$2&amp;LS_previous!$D$3:$AY$3, 0)),SUM(VLOOKUP($A134, LS_previous!$B$4:$AY$138, LS_previous!M$149, FALSE), VLOOKUP('Staging Table'!$A134, LS_previous!$B$4:$AY$138,LS_previous!AK$149, FALSE))/2)</f>
        <v>-642.52112172399939</v>
      </c>
      <c r="V134" s="192">
        <f t="array" ref="V134">IF($G134=0, INDEX(LS_previous!$D$4:$AY$138, MATCH('Staging Table'!$A134, LS_previous!$B$4:$B$138, 0), MATCH(V$4&amp;V$5, LS_previous!$D$2:$AY$2&amp;LS_previous!$D$3:$AY$3, 0)),SUM(VLOOKUP($A134, LS_previous!$B$4:$AY$138, LS_previous!N$149, FALSE), VLOOKUP('Staging Table'!$A134, LS_previous!$B$4:$AY$138,LS_previous!AL$149, FALSE))/2)</f>
        <v>-2950.8170185839981</v>
      </c>
      <c r="W134" s="192">
        <f t="array" ref="W134">IF($G134=0, INDEX(LS_previous!$D$4:$AY$138, MATCH('Staging Table'!$A134, LS_previous!$B$4:$B$138, 0), MATCH(W$4&amp;W$5, LS_previous!$D$2:$AY$2&amp;LS_previous!$D$3:$AY$3, 0)),SUM(VLOOKUP($A134, LS_previous!$B$4:$AY$138, LS_previous!O$149, FALSE), VLOOKUP('Staging Table'!$A134, LS_previous!$B$4:$AY$138,LS_previous!AM$149, FALSE))/2)</f>
        <v>-1259.8041385289998</v>
      </c>
      <c r="X134" s="192">
        <f t="array" ref="X134">IF($G134=0, INDEX(LS_previous!$D$4:$AY$138, MATCH('Staging Table'!$A134, LS_previous!$B$4:$B$138, 0), MATCH(X$4&amp;X$5, LS_previous!$D$2:$AY$2&amp;LS_previous!$D$3:$AY$3, 0)),SUM(VLOOKUP($A134, LS_previous!$B$4:$AY$138, LS_previous!P$149, FALSE), VLOOKUP('Staging Table'!$A134, LS_previous!$B$4:$AY$138,LS_previous!AN$149, FALSE))/2)</f>
        <v>-58.951986855999166</v>
      </c>
      <c r="Y134" s="192">
        <f t="array" ref="Y134">IF($G134=0, INDEX(LS_previous!$D$4:$AY$138, MATCH('Staging Table'!$A134, LS_previous!$B$4:$B$138, 0), MATCH(Y$4&amp;Y$5, LS_previous!$D$2:$AY$2&amp;LS_previous!$D$3:$AY$3, 0)),SUM(VLOOKUP($A134, LS_previous!$B$4:$AY$138, LS_previous!Q$149, FALSE), VLOOKUP('Staging Table'!$A134, LS_previous!$B$4:$AY$138,LS_previous!AO$149, FALSE))/2)</f>
        <v>260.08179333599992</v>
      </c>
      <c r="Z134" s="192">
        <f t="array" ref="Z134">IF($G134=0, INDEX(LS_previous!$D$4:$AY$138, MATCH('Staging Table'!$A134, LS_previous!$B$4:$B$138, 0), MATCH(Z$4&amp;Z$5, LS_previous!$D$2:$AY$2&amp;LS_previous!$D$3:$AY$3, 0)),SUM(VLOOKUP($A134, LS_previous!$B$4:$AY$138, LS_previous!R$149, FALSE), VLOOKUP('Staging Table'!$A134, LS_previous!$B$4:$AY$138,LS_previous!AP$149, FALSE))/2)</f>
        <v>-442.00372789999892</v>
      </c>
      <c r="AA134" s="192">
        <f t="array" ref="AA134">IF($G134=0, INDEX(LS_previous!$D$4:$AY$138, MATCH('Staging Table'!$A134, LS_previous!$B$4:$B$138, 0), MATCH(AA$4&amp;AA$5, LS_previous!$D$2:$AY$2&amp;LS_previous!$D$3:$AY$3, 0)),SUM(VLOOKUP($A134, LS_previous!$B$4:$AY$138, LS_previous!S$149, FALSE), VLOOKUP('Staging Table'!$A134, LS_previous!$B$4:$AY$138,LS_previous!AQ$149, FALSE))/2)</f>
        <v>1017.4562311960008</v>
      </c>
      <c r="AB134" s="192">
        <f t="array" ref="AB134">IF($G134=0, INDEX(LS_previous!$D$4:$AY$138, MATCH('Staging Table'!$A134, LS_previous!$B$4:$B$138, 0), MATCH(AB$4&amp;AB$5, LS_previous!$D$2:$AY$2&amp;LS_previous!$D$3:$AY$3, 0)),SUM(VLOOKUP($A134, LS_previous!$B$4:$AY$138, LS_previous!T$149, FALSE), VLOOKUP('Staging Table'!$A134, LS_previous!$B$4:$AY$138,LS_previous!AR$149, FALSE))/2)</f>
        <v>-785.29123835599967</v>
      </c>
      <c r="AC134" s="192">
        <f t="array" ref="AC134">IF($G134=0, INDEX(LS_previous!$D$4:$AY$138, MATCH('Staging Table'!$A134, LS_previous!$B$4:$B$138, 0), MATCH(AC$4&amp;AC$5, LS_previous!$D$2:$AY$2&amp;LS_previous!$D$3:$AY$3, 0)),SUM(VLOOKUP($A134, LS_previous!$B$4:$AY$138, LS_previous!U$149, FALSE), VLOOKUP('Staging Table'!$A134, LS_previous!$B$4:$AY$138,LS_previous!AS$149, FALSE))/2)</f>
        <v>506.30817933600065</v>
      </c>
      <c r="AD134" s="192">
        <f t="array" ref="AD134">IF($G134=0, INDEX(LS_previous!$D$4:$AY$138, MATCH('Staging Table'!$A134, LS_previous!$B$4:$B$138, 0), MATCH(AD$4&amp;AD$5, LS_previous!$D$2:$AY$2&amp;LS_previous!$D$3:$AY$3, 0)),SUM(VLOOKUP($A134, LS_previous!$B$4:$AY$138, LS_previous!V$149, FALSE), VLOOKUP('Staging Table'!$A134, LS_previous!$B$4:$AY$138,LS_previous!AT$149, FALSE))/2)</f>
        <v>3424.1762166440003</v>
      </c>
      <c r="AE134" s="192">
        <f t="array" ref="AE134">IF($G134=0, INDEX(LS_previous!$D$4:$AY$138, MATCH('Staging Table'!$A134, LS_previous!$B$4:$B$138, 0), MATCH(AE$4&amp;AE$5, LS_previous!$D$2:$AY$2&amp;LS_previous!$D$3:$AY$3, 0)),SUM(VLOOKUP($A134, LS_previous!$B$4:$AY$138, LS_previous!W$149, FALSE), VLOOKUP('Staging Table'!$A134, LS_previous!$B$4:$AY$138,LS_previous!AU$149, FALSE))/2)</f>
        <v>4699.6009951519991</v>
      </c>
      <c r="AF134" s="192">
        <f t="array" ref="AF134">IF($G134=0, INDEX(LS_previous!$D$4:$AY$138, MATCH('Staging Table'!$A134, LS_previous!$B$4:$B$138, 0), MATCH(AF$4&amp;AF$5, LS_previous!$D$2:$AY$2&amp;LS_previous!$D$3:$AY$3, 0)),SUM(VLOOKUP($A134, LS_previous!$B$4:$AY$138, LS_previous!X$149, FALSE), VLOOKUP('Staging Table'!$A134, LS_previous!$B$4:$AY$138,LS_previous!AV$149, FALSE))/2)</f>
        <v>4511.370491144</v>
      </c>
      <c r="AG134" s="192">
        <f t="array" ref="AG134">IF($G134=0, INDEX(LS_previous!$D$4:$AY$138, MATCH('Staging Table'!$A134, LS_previous!$B$4:$B$138, 0), MATCH(AG$4&amp;AG$5, LS_previous!$D$2:$AY$2&amp;LS_previous!$D$3:$AY$3, 0)),SUM(VLOOKUP($A134, LS_previous!$B$4:$AY$138, LS_previous!Y$149, FALSE), VLOOKUP('Staging Table'!$A134, LS_previous!$B$4:$AY$138,LS_previous!AW$149, FALSE))/2)</f>
        <v>4328.8274751520003</v>
      </c>
      <c r="AH134" s="192">
        <f t="array" ref="AH134">IF($G134=0, INDEX(LS_previous!$D$4:$AY$138, MATCH('Staging Table'!$A134, LS_previous!$B$4:$B$138, 0), MATCH(AH$4&amp;AH$5, LS_previous!$D$2:$AY$2&amp;LS_previous!$D$3:$AY$3, 0)),SUM(VLOOKUP($A134, LS_previous!$B$4:$AY$138, LS_previous!Z$149, FALSE), VLOOKUP('Staging Table'!$A134, LS_previous!$B$4:$AY$138,LS_previous!AX$149, FALSE))/2)</f>
        <v>1012.2375456000009</v>
      </c>
      <c r="AI134" s="192">
        <f t="array" ref="AI134">IF($G134=0, INDEX(LS_previous!$D$4:$AY$138, MATCH('Staging Table'!$A134, LS_previous!$B$4:$B$138, 0), MATCH(AI$4&amp;AI$5, LS_previous!$D$2:$AY$2&amp;LS_previous!$D$3:$AY$3, 0)),SUM(VLOOKUP($A134, LS_previous!$B$4:$AY$138, LS_previous!AA$149, FALSE), VLOOKUP('Staging Table'!$A134, LS_previous!$B$4:$AY$138,LS_previous!AY$149, FALSE))/2)</f>
        <v>1811.4949918800003</v>
      </c>
      <c r="AJ134" s="314">
        <f t="array" ref="AJ134">INDEX(Demand_previous!$D$4:$AY$138, MATCH('Staging Table'!$A134, Demand_previous!$B$4:$B$138, 0), MATCH(AJ$4&amp;AJ$5,Demand_previous!$D$2:$AY$2&amp;Demand_previous!$D$3:$AY$3, 0))/1000</f>
        <v>4.3807546296296316</v>
      </c>
      <c r="AK134" s="314">
        <f t="array" ref="AK134">INDEX(Demand_previous!$D$4:$AY$138, MATCH('Staging Table'!$A134, Demand_previous!$B$4:$B$138, 0), MATCH(AK$4&amp;AK$5,Demand_previous!$D$2:$AY$2&amp;Demand_previous!$D$3:$AY$3, 0))/1000</f>
        <v>4.1732925000000023</v>
      </c>
      <c r="AL134" s="314">
        <f t="array" ref="AL134">INDEX(Demand_previous!$D$4:$AY$138, MATCH('Staging Table'!$A134, Demand_previous!$B$4:$B$138, 0), MATCH(AL$4&amp;AL$5,Demand_previous!$D$2:$AY$2&amp;Demand_previous!$D$3:$AY$3, 0))/1000</f>
        <v>1.661017499999998</v>
      </c>
      <c r="AM134" s="314">
        <f t="array" ref="AM134">INDEX(Demand_previous!$D$4:$AY$138, MATCH('Staging Table'!$A134, Demand_previous!$B$4:$B$138, 0), MATCH(AM$4&amp;AM$5,Demand_previous!$D$2:$AY$2&amp;Demand_previous!$D$3:$AY$3, 0))/1000</f>
        <v>3.2008028846153844</v>
      </c>
      <c r="AN134" s="314">
        <f t="array" ref="AN134">INDEX(Demand_previous!$D$4:$AY$138, MATCH('Staging Table'!$A134, Demand_previous!$B$4:$B$138, 0), MATCH(AN$4&amp;AN$5,Demand_previous!$D$2:$AY$2&amp;Demand_previous!$D$3:$AY$3, 0))/1000</f>
        <v>3.0575024999999996</v>
      </c>
      <c r="AO134" s="314">
        <f t="array" ref="AO134">INDEX(Demand_previous!$D$4:$AY$138, MATCH('Staging Table'!$A134, Demand_previous!$B$4:$B$138, 0), MATCH(AO$4&amp;AO$5,Demand_previous!$D$2:$AY$2&amp;Demand_previous!$D$3:$AY$3, 0))/1000</f>
        <v>2.4635913461538475</v>
      </c>
      <c r="AP134" s="314">
        <f t="array" ref="AP134">INDEX(Demand_previous!$D$4:$AY$138, MATCH('Staging Table'!$A134, Demand_previous!$B$4:$B$138, 0), MATCH(AP$4&amp;AP$5,Demand_previous!$D$2:$AY$2&amp;Demand_previous!$D$3:$AY$3, 0))/1000</f>
        <v>4.4960913461538476</v>
      </c>
      <c r="AQ134" s="314">
        <f t="array" ref="AQ134">INDEX(Demand_previous!$D$4:$AY$138, MATCH('Staging Table'!$A134, Demand_previous!$B$4:$B$138, 0), MATCH(AQ$4&amp;AQ$5,Demand_previous!$D$2:$AY$2&amp;Demand_previous!$D$3:$AY$3, 0))/1000</f>
        <v>3.6576025000000012</v>
      </c>
      <c r="AR134" s="314">
        <f t="array" ref="AR134">INDEX(Demand_previous!$D$4:$AY$138, MATCH('Staging Table'!$A134, Demand_previous!$B$4:$B$138, 0), MATCH(AR$4&amp;AR$5,Demand_previous!$D$2:$AY$2&amp;Demand_previous!$D$3:$AY$3, 0))/1000</f>
        <v>5.5533822115384606</v>
      </c>
      <c r="AS134" s="314">
        <f t="array" ref="AS134">INDEX(Demand_previous!$D$4:$AY$138, MATCH('Staging Table'!$A134, Demand_previous!$B$4:$B$138, 0), MATCH(AS$4&amp;AS$5,Demand_previous!$D$2:$AY$2&amp;Demand_previous!$D$3:$AY$3, 0))/1000</f>
        <v>3.7813509615384637</v>
      </c>
      <c r="AT134" s="314">
        <f t="array" ref="AT134">INDEX(Demand_previous!$D$4:$AY$138, MATCH('Staging Table'!$A134, Demand_previous!$B$4:$B$138, 0), MATCH(AT$4&amp;AT$5,Demand_previous!$D$2:$AY$2&amp;Demand_previous!$D$3:$AY$3, 0))/1000</f>
        <v>0.32860096153845664</v>
      </c>
      <c r="AU134" s="314">
        <f t="array" ref="AU134">INDEX(Demand_previous!$D$4:$AY$138, MATCH('Staging Table'!$A134, Demand_previous!$B$4:$B$138, 0), MATCH(AU$4&amp;AU$5,Demand_previous!$D$2:$AY$2&amp;Demand_previous!$D$3:$AY$3, 0))/1000</f>
        <v>6.2797099999999997</v>
      </c>
      <c r="AV134" s="192">
        <f>$F134*(VLOOKUP(AV$4, Rates_previous!$G$6:$Q$29, 10, FALSE)+VLOOKUP(AV$4, Rates_previous!$G$6:$Q$29, 11, FALSE))</f>
        <v>12231.273252203999</v>
      </c>
      <c r="AW134" s="192">
        <f>$F134*(VLOOKUP(AW$4, Rates_previous!$G$6:$Q$29, 10, FALSE)+VLOOKUP(AW$4, Rates_previous!$G$6:$Q$29, 11, FALSE))</f>
        <v>15537.532650110999</v>
      </c>
      <c r="AX134" s="192">
        <f>$F134*(VLOOKUP(AX$4, Rates_previous!$G$6:$Q$29, 10, FALSE)+VLOOKUP(AX$4, Rates_previous!$G$6:$Q$29, 11, FALSE))</f>
        <v>15349.895919204</v>
      </c>
      <c r="AY134" s="192">
        <f>$F134*(VLOOKUP(AY$4, Rates_previous!$G$6:$Q$29, 10, FALSE)+VLOOKUP(AY$4, Rates_previous!$G$6:$Q$29, 11, FALSE))</f>
        <v>12795.073167204</v>
      </c>
      <c r="AZ134" s="192">
        <f>$F134*(VLOOKUP(AZ$4, Rates_previous!$G$6:$Q$29, 10, FALSE)+VLOOKUP(AZ$4, Rates_previous!$G$6:$Q$29, 11, FALSE))</f>
        <v>11591.0089032</v>
      </c>
      <c r="BA134" s="192">
        <f>$F134*(VLOOKUP(BA$4, Rates_previous!$G$6:$Q$29, 10, FALSE)+VLOOKUP(BA$4, Rates_previous!$G$6:$Q$29, 11, FALSE))</f>
        <v>12892.884157113</v>
      </c>
      <c r="BB134" s="192">
        <f>$F134*(VLOOKUP(BB$4, Rates_previous!$G$6:$Q$29, 10, FALSE)+VLOOKUP(BB$4, Rates_previous!$G$6:$Q$29, 11, FALSE))</f>
        <v>10497.400193519999</v>
      </c>
      <c r="BC134" s="192">
        <f>$F134*(VLOOKUP(BC$4, Rates_previous!$G$6:$Q$29, 10, FALSE)+VLOOKUP(BC$4, Rates_previous!$G$6:$Q$29, 11, FALSE))</f>
        <v>14157.309496704</v>
      </c>
      <c r="BD134" s="192">
        <f>$F134*(VLOOKUP(BD$4, Rates_previous!$G$6:$Q$29, 10, FALSE)+VLOOKUP(BD$4, Rates_previous!$G$6:$Q$29, 11, FALSE))</f>
        <v>18063.764059019999</v>
      </c>
      <c r="BE134" s="192">
        <f>$F134*(VLOOKUP(BE$4, Rates_previous!$G$6:$Q$29, 10, FALSE)+VLOOKUP(BE$4, Rates_previous!$G$6:$Q$29, 11, FALSE))</f>
        <v>14162.563788204001</v>
      </c>
      <c r="BF134" s="192">
        <f>$F134*(VLOOKUP(BF$4, Rates_previous!$G$6:$Q$29, 10, FALSE)+VLOOKUP(BF$4, Rates_previous!$G$6:$Q$29, 11, FALSE))</f>
        <v>13791.517033704</v>
      </c>
      <c r="BG134" s="192">
        <f>$F134*(VLOOKUP(BG$4, Rates_previous!$G$6:$Q$29, 10, FALSE)+VLOOKUP(BG$4, Rates_previous!$G$6:$Q$29, 11, FALSE))</f>
        <v>12381.84846252</v>
      </c>
      <c r="BH134" s="314">
        <f>IF($D134=0,IF(C134=0, MAX(BJ134 - (VLOOKUP($A134,TOCA_previous!$A$2:$AI$137,MATCH("RHWM 2020",TOCA_previous!$A$2:$AI$2,0),FALSE)*$F$2*TOCA_previous!C131),0),0), 0)</f>
        <v>0</v>
      </c>
      <c r="BI134" s="204">
        <f>MIN(VLOOKUP($A134,TOCA_previous!$A$2:$AI$137,MATCH("TRL - NLSL - Existing Resource "&amp;$F$1,TOCA_previous!$A$2:$AI$2,0),FALSE)*$F$2,(VLOOKUP($A134,TOCA_previous!$A$2:$AI$137,MATCH("RHWM 2020",TOCA_previous!$A$2:$AI$2,0),FALSE)*$F$2))</f>
        <v>163452.67199999999</v>
      </c>
      <c r="BJ134" s="418">
        <f>SUM(L134:AI134)+(F134*RT1SC!$C$3*$F$2)</f>
        <v>160526.58613508398</v>
      </c>
      <c r="BK134" s="417">
        <f>VLOOKUP($A134,TOCA_previous!$A$2:$AI$137,MATCH("Above RHWM Not Served with LS "&amp;$F$1,TOCA_previous!$A$2:$AI$2,0),FALSE)*$F$2</f>
        <v>0</v>
      </c>
      <c r="BL134" s="418">
        <f t="shared" si="27"/>
        <v>-2926.0858649160073</v>
      </c>
      <c r="BM134" s="417">
        <f>(VLOOKUP($A134,TOCA_previous!$A$2:$AI$137,MATCH("RHWM 2020",TOCA_previous!$A$2:$AI$2,0),FALSE)*$F$2) - $BI134</f>
        <v>0</v>
      </c>
      <c r="BN134" s="418">
        <f t="shared" si="28"/>
        <v>0</v>
      </c>
      <c r="BO134" s="417">
        <f t="shared" si="29"/>
        <v>2926.0858649160073</v>
      </c>
      <c r="BP134" s="418">
        <f t="shared" si="30"/>
        <v>0</v>
      </c>
      <c r="BQ134" s="417">
        <f t="shared" ref="BQ134:BQ140" si="40">IF($D134=0,SUM($BN134:$BP134),0)</f>
        <v>2926.0858649160073</v>
      </c>
      <c r="BR134" s="120">
        <f>VLOOKUP($A134,TOCA_current!$A$2:$AI$137,MATCH(BR$4,TOCA_current!$A$2:$AI$2,0),FALSE)</f>
        <v>2.6491000000000002E-3</v>
      </c>
      <c r="BS134" s="120">
        <f>VLOOKUP($A134,TOCA_current!$A$2:$AI$137,MATCH(BS$4,TOCA_current!$A$2:$AI$2,0),FALSE)</f>
        <v>2.6491000000000002E-3</v>
      </c>
      <c r="BT134" s="201">
        <f t="shared" si="31"/>
        <v>0</v>
      </c>
      <c r="BU134" s="120">
        <f>VLOOKUP($A134,TOCA_current!A130:BG265,MATCH(BU$4,TOCA_current!$A$2:$BG$2,0),FALSE)</f>
        <v>7.2251611095544982E-2</v>
      </c>
      <c r="BV134" s="120">
        <f t="shared" ref="BV134:BV140" si="41">IF(C134=0,0,BU134)</f>
        <v>0</v>
      </c>
      <c r="BW134" s="120">
        <f t="shared" ref="BW134:BW140" si="42">IF(C134=0,0,BR134)</f>
        <v>0</v>
      </c>
      <c r="BX134" s="191">
        <f>VLOOKUP($A134,IRD!$A$4:$G$139, 7, FALSE)</f>
        <v>7189.6969999999992</v>
      </c>
      <c r="BY134" s="192">
        <f t="array" ref="BY134">IF($BT134=0, INDEX(LS_current!$D$4:$AY$138, MATCH('Staging Table'!$A134, LS_current!$B$4:$B$138, 0), MATCH(BY$4&amp;BY$5, LS_current!$D$2:$AY$2&amp;LS_current!$D$3:$AY$3, 0)),SUM(VLOOKUP($A134, LS_current!$B$4:$AY$138, LS_current!D$148, FALSE), VLOOKUP($A134, LS_current!$B$4:$AY$138,LS_current!AB$148, FALSE))/2)</f>
        <v>-1396.8954897809926</v>
      </c>
      <c r="BZ134" s="192">
        <f t="array" ref="BZ134">IF($BT134=0, INDEX(LS_current!$D$4:$AY$138, MATCH('Staging Table'!$A134, LS_current!$B$4:$B$138, 0), MATCH(BZ$4&amp;BZ$5, LS_current!$D$2:$AY$2&amp;LS_current!$D$3:$AY$3, 0)),SUM(VLOOKUP($A134, LS_current!$B$4:$AY$138, LS_current!E$148, FALSE), VLOOKUP($A134, LS_current!$B$4:$AY$138,LS_current!AC$148, FALSE))/2)</f>
        <v>-373.82569326227076</v>
      </c>
      <c r="CA134" s="192">
        <f t="array" ref="CA134">IF($BT134=0, INDEX(LS_current!$D$4:$AY$138, MATCH('Staging Table'!$A134, LS_current!$B$4:$B$138, 0), MATCH(CA$4&amp;CA$5, LS_current!$D$2:$AY$2&amp;LS_current!$D$3:$AY$3, 0)),SUM(VLOOKUP($A134, LS_current!$B$4:$AY$138, LS_current!F$148, FALSE), VLOOKUP($A134, LS_current!$B$4:$AY$138,LS_current!AD$148, FALSE))/2)</f>
        <v>-4355.687551318576</v>
      </c>
      <c r="CB134" s="192">
        <f t="array" ref="CB134">IF($BT134=0, INDEX(LS_current!$D$4:$AY$138, MATCH('Staging Table'!$A134, LS_current!$B$4:$B$138, 0), MATCH(CB$4&amp;CB$5, LS_current!$D$2:$AY$2&amp;LS_current!$D$3:$AY$3, 0)),SUM(VLOOKUP($A134, LS_current!$B$4:$AY$138, LS_current!G$148, FALSE), VLOOKUP($A134, LS_current!$B$4:$AY$138,LS_current!AE$148, FALSE))/2)</f>
        <v>-2375.3905718881711</v>
      </c>
      <c r="CC134" s="192">
        <f t="array" ref="CC134">IF($BT134=0, INDEX(LS_current!$D$4:$AY$138, MATCH('Staging Table'!$A134, LS_current!$B$4:$B$138, 0), MATCH(CC$4&amp;CC$5, LS_current!$D$2:$AY$2&amp;LS_current!$D$3:$AY$3, 0)),SUM(VLOOKUP($A134, LS_current!$B$4:$AY$138, LS_current!H$148, FALSE), VLOOKUP($A134, LS_current!$B$4:$AY$138,LS_current!AF$148, FALSE))/2)</f>
        <v>-2449.1682640859153</v>
      </c>
      <c r="CD134" s="192">
        <f t="array" ref="CD134">IF($BT134=0, INDEX(LS_current!$D$4:$AY$138, MATCH('Staging Table'!$A134, LS_current!$B$4:$B$138, 0), MATCH(CD$4&amp;CD$5, LS_current!$D$2:$AY$2&amp;LS_current!$D$3:$AY$3, 0)),SUM(VLOOKUP($A134, LS_current!$B$4:$AY$138, LS_current!I$148, FALSE), VLOOKUP($A134, LS_current!$B$4:$AY$138,LS_current!AG$148, FALSE))/2)</f>
        <v>-2011.6581154997348</v>
      </c>
      <c r="CE134" s="192">
        <f t="array" ref="CE134">IF($BT134=0, INDEX(LS_current!$D$4:$AY$138, MATCH('Staging Table'!$A134, LS_current!$B$4:$B$138, 0), MATCH(CE$4&amp;CE$5, LS_current!$D$2:$AY$2&amp;LS_current!$D$3:$AY$3, 0)),SUM(VLOOKUP($A134, LS_current!$B$4:$AY$138, LS_current!J$148, FALSE), VLOOKUP($A134, LS_current!$B$4:$AY$138,LS_current!AH$148, FALSE))/2)</f>
        <v>-1137.4018500339425</v>
      </c>
      <c r="CF134" s="192">
        <f t="array" ref="CF134">IF($BT134=0, INDEX(LS_current!$D$4:$AY$138, MATCH('Staging Table'!$A134, LS_current!$B$4:$B$138, 0), MATCH(CF$4&amp;CF$5, LS_current!$D$2:$AY$2&amp;LS_current!$D$3:$AY$3, 0)),SUM(VLOOKUP($A134, LS_current!$B$4:$AY$138, LS_current!K$148, FALSE), VLOOKUP($A134, LS_current!$B$4:$AY$138,LS_current!AI$148, FALSE))/2)</f>
        <v>-1161.6494877231517</v>
      </c>
      <c r="CG134" s="192">
        <f t="array" ref="CG134">IF($BT134=0, INDEX(LS_current!$D$4:$AY$138, MATCH('Staging Table'!$A134, LS_current!$B$4:$B$138, 0), MATCH(CG$4&amp;CG$5, LS_current!$D$2:$AY$2&amp;LS_current!$D$3:$AY$3, 0)),SUM(VLOOKUP($A134, LS_current!$B$4:$AY$138, LS_current!L$148, FALSE), VLOOKUP($A134, LS_current!$B$4:$AY$138,LS_current!AJ$148, FALSE))/2)</f>
        <v>-720.01780129745202</v>
      </c>
      <c r="CH134" s="192">
        <f t="array" ref="CH134">IF($BT134=0, INDEX(LS_current!$D$4:$AY$138, MATCH('Staging Table'!$A134, LS_current!$B$4:$B$138, 0), MATCH(CH$4&amp;CH$5, LS_current!$D$2:$AY$2&amp;LS_current!$D$3:$AY$3, 0)),SUM(VLOOKUP($A134, LS_current!$B$4:$AY$138, LS_current!M$148, FALSE), VLOOKUP($A134, LS_current!$B$4:$AY$138,LS_current!AK$148, FALSE))/2)</f>
        <v>-849.64090077596938</v>
      </c>
      <c r="CI134" s="192">
        <f t="array" ref="CI134">IF($BT134=0, INDEX(LS_current!$D$4:$AY$138, MATCH('Staging Table'!$A134, LS_current!$B$4:$B$138, 0), MATCH(CI$4&amp;CI$5, LS_current!$D$2:$AY$2&amp;LS_current!$D$3:$AY$3, 0)),SUM(VLOOKUP($A134, LS_current!$B$4:$AY$138, LS_current!N$148, FALSE), VLOOKUP($A134, LS_current!$B$4:$AY$138,LS_current!AL$148, FALSE))/2)</f>
        <v>-2599.4463606492945</v>
      </c>
      <c r="CJ134" s="192">
        <f t="array" ref="CJ134">IF($BT134=0, INDEX(LS_current!$D$4:$AY$138, MATCH('Staging Table'!$A134, LS_current!$B$4:$B$138, 0), MATCH(CJ$4&amp;CJ$5, LS_current!$D$2:$AY$2&amp;LS_current!$D$3:$AY$3, 0)),SUM(VLOOKUP($A134, LS_current!$B$4:$AY$138, LS_current!O$148, FALSE), VLOOKUP($A134, LS_current!$B$4:$AY$138,LS_current!AM$148, FALSE))/2)</f>
        <v>-1494.2264012132964</v>
      </c>
      <c r="CK134" s="192">
        <f t="array" ref="CK134">IF($BT134=0, INDEX(LS_current!$D$4:$AY$138, MATCH('Staging Table'!$A134, LS_current!$B$4:$B$138, 0), MATCH(CK$4&amp;CK$5, LS_current!$D$2:$AY$2&amp;LS_current!$D$3:$AY$3, 0)),SUM(VLOOKUP($A134, LS_current!$B$4:$AY$138, LS_current!P$148, FALSE), VLOOKUP($A134, LS_current!$B$4:$AY$138,LS_current!AN$148, FALSE))/2)</f>
        <v>434.24945611378553</v>
      </c>
      <c r="CL134" s="192">
        <f t="array" ref="CL134">IF($BT134=0, INDEX(LS_current!$D$4:$AY$138, MATCH('Staging Table'!$A134, LS_current!$B$4:$B$138, 0), MATCH(CL$4&amp;CL$5, LS_current!$D$2:$AY$2&amp;LS_current!$D$3:$AY$3, 0)),SUM(VLOOKUP($A134, LS_current!$B$4:$AY$138, LS_current!Q$148, FALSE), VLOOKUP($A134, LS_current!$B$4:$AY$138,LS_current!AO$148, FALSE))/2)</f>
        <v>345.46727106649905</v>
      </c>
      <c r="CM134" s="192">
        <f t="array" ref="CM134">IF($BT134=0, INDEX(LS_current!$D$4:$AY$138, MATCH('Staging Table'!$A134, LS_current!$B$4:$B$138, 0), MATCH(CM$4&amp;CM$5, LS_current!$D$2:$AY$2&amp;LS_current!$D$3:$AY$3, 0)),SUM(VLOOKUP($A134, LS_current!$B$4:$AY$138, LS_current!R$148, FALSE), VLOOKUP($A134, LS_current!$B$4:$AY$138,LS_current!AP$148, FALSE))/2)</f>
        <v>-515.52549773645842</v>
      </c>
      <c r="CN134" s="192">
        <f t="array" ref="CN134">IF($BT134=0, INDEX(LS_current!$D$4:$AY$138, MATCH('Staging Table'!$A134, LS_current!$B$4:$B$138, 0), MATCH(CN$4&amp;CN$5, LS_current!$D$2:$AY$2&amp;LS_current!$D$3:$AY$3, 0)),SUM(VLOOKUP($A134, LS_current!$B$4:$AY$138, LS_current!S$148, FALSE), VLOOKUP($A134, LS_current!$B$4:$AY$138,LS_current!AQ$148, FALSE))/2)</f>
        <v>1505.6987158553338</v>
      </c>
      <c r="CO134" s="192">
        <f t="array" ref="CO134">IF($BT134=0, INDEX(LS_current!$D$4:$AY$138, MATCH('Staging Table'!$A134, LS_current!$B$4:$B$138, 0), MATCH(CO$4&amp;CO$5, LS_current!$D$2:$AY$2&amp;LS_current!$D$3:$AY$3, 0)),SUM(VLOOKUP($A134, LS_current!$B$4:$AY$138, LS_current!T$148, FALSE), VLOOKUP($A134, LS_current!$B$4:$AY$138,LS_current!AR$148, FALSE))/2)</f>
        <v>466.43042038097883</v>
      </c>
      <c r="CP134" s="192">
        <f t="array" ref="CP134">IF($BT134=0, INDEX(LS_current!$D$4:$AY$138, MATCH('Staging Table'!$A134, LS_current!$B$4:$B$138, 0), MATCH(CP$4&amp;CP$5, LS_current!$D$2:$AY$2&amp;LS_current!$D$3:$AY$3, 0)),SUM(VLOOKUP($A134, LS_current!$B$4:$AY$138, LS_current!U$148, FALSE), VLOOKUP($A134, LS_current!$B$4:$AY$138,LS_current!AS$148, FALSE))/2)</f>
        <v>2634.1067080335579</v>
      </c>
      <c r="CQ134" s="192">
        <f t="array" ref="CQ134">IF($BT134=0, INDEX(LS_current!$D$4:$AY$138, MATCH('Staging Table'!$A134, LS_current!$B$4:$B$138, 0), MATCH(CQ$4&amp;CQ$5, LS_current!$D$2:$AY$2&amp;LS_current!$D$3:$AY$3, 0)),SUM(VLOOKUP($A134, LS_current!$B$4:$AY$138, LS_current!V$148, FALSE), VLOOKUP($A134, LS_current!$B$4:$AY$138,LS_current!AT$148, FALSE))/2)</f>
        <v>3887.3316336604476</v>
      </c>
      <c r="CR134" s="192">
        <f t="array" ref="CR134">IF($BT134=0, INDEX(LS_current!$D$4:$AY$138, MATCH('Staging Table'!$A134, LS_current!$B$4:$B$138, 0), MATCH(CR$4&amp;CR$5, LS_current!$D$2:$AY$2&amp;LS_current!$D$3:$AY$3, 0)),SUM(VLOOKUP($A134, LS_current!$B$4:$AY$138, LS_current!W$148, FALSE), VLOOKUP($A134, LS_current!$B$4:$AY$138,LS_current!AU$148, FALSE))/2)</f>
        <v>4456.9847363078125</v>
      </c>
      <c r="CS134" s="192">
        <f t="array" ref="CS134">IF($BT134=0, INDEX(LS_current!$D$4:$AY$138, MATCH('Staging Table'!$A134, LS_current!$B$4:$B$138, 0), MATCH(CS$4&amp;CS$5, LS_current!$D$2:$AY$2&amp;LS_current!$D$3:$AY$3, 0)),SUM(VLOOKUP($A134, LS_current!$B$4:$AY$138, LS_current!X$148, FALSE), VLOOKUP($A134, LS_current!$B$4:$AY$138,LS_current!AV$148, FALSE))/2)</f>
        <v>4888.5199759479001</v>
      </c>
      <c r="CT134" s="192">
        <f t="array" ref="CT134">IF($BT134=0, INDEX(LS_current!$D$4:$AY$138, MATCH('Staging Table'!$A134, LS_current!$B$4:$B$138, 0), MATCH(CT$4&amp;CT$5, LS_current!$D$2:$AY$2&amp;LS_current!$D$3:$AY$3, 0)),SUM(VLOOKUP($A134, LS_current!$B$4:$AY$138, LS_current!Y$148, FALSE), VLOOKUP($A134, LS_current!$B$4:$AY$138,LS_current!AW$148, FALSE))/2)</f>
        <v>4269.303790364761</v>
      </c>
      <c r="CU134" s="192">
        <f t="array" ref="CU134">IF($BT134=0, INDEX(LS_current!$D$4:$AY$138, MATCH('Staging Table'!$A134, LS_current!$B$4:$B$138, 0), MATCH(CU$4&amp;CU$5, LS_current!$D$2:$AY$2&amp;LS_current!$D$3:$AY$3, 0)),SUM(VLOOKUP($A134, LS_current!$B$4:$AY$138, LS_current!Z$148, FALSE), VLOOKUP($A134, LS_current!$B$4:$AY$138,LS_current!AX$148, FALSE))/2)</f>
        <v>995.25048297607646</v>
      </c>
      <c r="CV134" s="192">
        <f t="array" ref="CV134">IF($BT134=0, INDEX(LS_current!$D$4:$AY$138, MATCH('Staging Table'!$A134, LS_current!$B$4:$B$138, 0), MATCH(CV$4&amp;CV$5, LS_current!$D$2:$AY$2&amp;LS_current!$D$3:$AY$3, 0)),SUM(VLOOKUP($A134, LS_current!$B$4:$AY$138, LS_current!AA$148, FALSE), VLOOKUP($A134, LS_current!$B$4:$AY$138,LS_current!AY$148, FALSE))/2)</f>
        <v>1759.0504195999138</v>
      </c>
      <c r="CW134" s="194">
        <f t="array" ref="CW134">INDEX(Demand_current!$D$4:$AY$138, MATCH($A134, Demand_current!$B$4:$B$138, 0), MATCH(CW$4&amp;CW$5,Demand_current!$D$2:$AY$2&amp;Demand_current!$D$3:$AY$3, 0))/1000</f>
        <v>3.8162451923076954</v>
      </c>
      <c r="CX134" s="194">
        <f t="array" ref="CX134">INDEX(Demand_current!$D$4:$AY$138, MATCH($A134, Demand_current!$B$4:$B$138, 0), MATCH(CX$4&amp;CX$5,Demand_current!$D$2:$AY$2&amp;Demand_current!$D$3:$AY$3, 0))/1000</f>
        <v>4.1732925000000023</v>
      </c>
      <c r="CY134" s="194">
        <f t="array" ref="CY134">INDEX(Demand_current!$D$4:$AY$138, MATCH($A134, Demand_current!$B$4:$B$138, 0), MATCH(CY$4&amp;CY$5,Demand_current!$D$2:$AY$2&amp;Demand_current!$D$3:$AY$3, 0))/1000</f>
        <v>2.2467091346153829</v>
      </c>
      <c r="CZ134" s="194">
        <f t="array" ref="CZ134">INDEX(Demand_current!$D$4:$AY$138, MATCH($A134, Demand_current!$B$4:$B$138, 0), MATCH(CZ$4&amp;CZ$5,Demand_current!$D$2:$AY$2&amp;Demand_current!$D$3:$AY$3, 0))/1000</f>
        <v>2.6347549999999997</v>
      </c>
      <c r="DA134" s="194">
        <f t="array" ref="DA134">INDEX(Demand_current!$D$4:$AY$138, MATCH($A134, Demand_current!$B$4:$B$138, 0), MATCH(DA$4&amp;DA$5,Demand_current!$D$2:$AY$2&amp;Demand_current!$D$3:$AY$3, 0))/1000</f>
        <v>2.4849401041666677</v>
      </c>
      <c r="DB134" s="194">
        <f t="array" ref="DB134">INDEX(Demand_current!$D$4:$AY$138, MATCH($A134, Demand_current!$B$4:$B$138, 0), MATCH(DB$4&amp;DB$5,Demand_current!$D$2:$AY$2&amp;Demand_current!$D$3:$AY$3, 0))/1000</f>
        <v>2.9307175925925928</v>
      </c>
      <c r="DC134" s="194">
        <f t="array" ref="DC134">INDEX(Demand_current!$D$4:$AY$138, MATCH($A134, Demand_current!$B$4:$B$138, 0), MATCH(DC$4&amp;DC$5,Demand_current!$D$2:$AY$2&amp;Demand_current!$D$3:$AY$3, 0))/1000</f>
        <v>4.4960913461538476</v>
      </c>
      <c r="DD134" s="194">
        <f t="array" ref="DD134">INDEX(Demand_current!$D$4:$AY$138, MATCH($A134, Demand_current!$B$4:$B$138, 0), MATCH(DD$4&amp;DD$5,Demand_current!$D$2:$AY$2&amp;Demand_current!$D$3:$AY$3, 0))/1000</f>
        <v>3.6576025000000012</v>
      </c>
      <c r="DE134" s="194">
        <f t="array" ref="DE134">INDEX(Demand_current!$D$4:$AY$138, MATCH($A134, Demand_current!$B$4:$B$138, 0), MATCH(DE$4&amp;DE$5,Demand_current!$D$2:$AY$2&amp;Demand_current!$D$3:$AY$3, 0))/1000</f>
        <v>5.5533822115384606</v>
      </c>
      <c r="DF134" s="194">
        <f t="array" ref="DF134">INDEX(Demand_current!$D$4:$AY$138, MATCH($A134, Demand_current!$B$4:$B$138, 0), MATCH(DF$4&amp;DF$5,Demand_current!$D$2:$AY$2&amp;Demand_current!$D$3:$AY$3, 0))/1000</f>
        <v>2.5146849999999992</v>
      </c>
      <c r="DG134" s="194">
        <f t="array" ref="DG134">INDEX(Demand_current!$D$4:$AY$138, MATCH($A134, Demand_current!$B$4:$B$138, 0), MATCH(DG$4&amp;DG$5,Demand_current!$D$2:$AY$2&amp;Demand_current!$D$3:$AY$3, 0))/1000</f>
        <v>1.5716898148148113</v>
      </c>
      <c r="DH134" s="194">
        <f t="array" ref="DH134">INDEX(Demand_current!$D$4:$AY$138, MATCH($A134, Demand_current!$B$4:$B$138, 0), MATCH(DH$4&amp;DH$5,Demand_current!$D$2:$AY$2&amp;Demand_current!$D$3:$AY$3, 0))/1000</f>
        <v>6.2797099999999997</v>
      </c>
      <c r="DI134" s="192">
        <f>$BS134*(VLOOKUP(DI$4, Rates_current!$G$6:$Q$29, 10, FALSE)+VLOOKUP(DI$4, Rates_current!$G$6:$Q$29, 11, FALSE))</f>
        <v>12063.801183043264</v>
      </c>
      <c r="DJ134" s="192">
        <f>$BS134*(VLOOKUP(DJ$4, Rates_current!$G$6:$Q$29, 10, FALSE)+VLOOKUP(DJ$4, Rates_current!$G$6:$Q$29, 11, FALSE))</f>
        <v>15273.210123206749</v>
      </c>
      <c r="DK134" s="192">
        <f>$BS134*(VLOOKUP(DK$4, Rates_current!$G$6:$Q$29, 10, FALSE)+VLOOKUP(DK$4, Rates_current!$G$6:$Q$29, 11, FALSE))</f>
        <v>14949.42137958565</v>
      </c>
      <c r="DL134" s="192">
        <f>$BS134*(VLOOKUP(DL$4, Rates_current!$G$6:$Q$29, 10, FALSE)+VLOOKUP(DL$4, Rates_current!$G$6:$Q$29, 11, FALSE))</f>
        <v>12347.586337757095</v>
      </c>
      <c r="DM134" s="192">
        <f>$BS134*(VLOOKUP(DM$4, Rates_current!$G$6:$Q$29, 10, FALSE)+VLOOKUP(DM$4, Rates_current!$G$6:$Q$29, 11, FALSE))</f>
        <v>10701.923702073422</v>
      </c>
      <c r="DN134" s="192">
        <f>$BS134*(VLOOKUP(DN$4, Rates_current!$G$6:$Q$29, 10, FALSE)+VLOOKUP(DN$4, Rates_current!$G$6:$Q$29, 11, FALSE))</f>
        <v>12775.935761862593</v>
      </c>
      <c r="DO134" s="192">
        <f>$BS134*(VLOOKUP(DO$4, Rates_current!$G$6:$Q$29, 10, FALSE)+VLOOKUP(DO$4, Rates_current!$G$6:$Q$29, 11, FALSE))</f>
        <v>9918.8132728197161</v>
      </c>
      <c r="DP134" s="192">
        <f>$BS134*(VLOOKUP(DP$4, Rates_current!$G$6:$Q$29, 10, FALSE)+VLOOKUP(DP$4, Rates_current!$G$6:$Q$29, 11, FALSE))</f>
        <v>13742.588781881124</v>
      </c>
      <c r="DQ134" s="192">
        <f>$BS134*(VLOOKUP(DQ$4, Rates_current!$G$6:$Q$29, 10, FALSE)+VLOOKUP(DQ$4, Rates_current!$G$6:$Q$29, 11, FALSE))</f>
        <v>14684.243871585464</v>
      </c>
      <c r="DR134" s="192">
        <f>$BS134*(VLOOKUP(DR$4, Rates_current!$G$6:$Q$29, 10, FALSE)+VLOOKUP(DR$4, Rates_current!$G$6:$Q$29, 11, FALSE))</f>
        <v>13942.024630031739</v>
      </c>
      <c r="DS134" s="192">
        <f>$BS134*(VLOOKUP(DS$4, Rates_current!$G$6:$Q$29, 10, FALSE)+VLOOKUP(DS$4, Rates_current!$G$6:$Q$29, 11, FALSE))</f>
        <v>13473.89123368734</v>
      </c>
      <c r="DT134" s="192">
        <f>$BS134*(VLOOKUP(DT$4, Rates_current!$G$6:$Q$29, 10, FALSE)+VLOOKUP(DT$4, Rates_current!$G$6:$Q$29, 11, FALSE))</f>
        <v>12451.280097424011</v>
      </c>
      <c r="DU134" s="418">
        <f>IF(D134=0,IF(C134=0,MAX(0,DW134 - (VLOOKUP($A134,TOCA_current!$A$2:$AI$137,MATCH("RHWM 2022",TOCA_current!$A$2:$AI$2,0),FALSE)*$BS$2)), 0),0)</f>
        <v>4204.3879966858658</v>
      </c>
      <c r="DV134" s="419">
        <f>MIN(VLOOKUP($A134,TOCA_current!$A$2:$AI$137,MATCH("TRL - NLSL - Existing Resource "&amp;$BS$1,TOCA_current!$A$2:$AI$2,0),FALSE)*$BS$2, VLOOKUP($A134,TOCA_current!$A$2:$AI$137,MATCH("RHWM 2022",TOCA_current!$A$2:$AI$2,0),FALSE)*$BS$2)</f>
        <v>156322.19999999998</v>
      </c>
      <c r="DW134" s="419">
        <f>SUM(BY134:CV134)+(BS134*RT1SC!$C$4*$BS$2)</f>
        <v>160526.58799668585</v>
      </c>
      <c r="DX134" s="419">
        <f>VLOOKUP($A134,TOCA_current!$A$2:$AI$137,MATCH("Above RHWM Not Served with LS "&amp;$BS$1,TOCA_current!$A$2:$AI$2,0),FALSE)*$BS$2</f>
        <v>0</v>
      </c>
      <c r="DY134" s="419">
        <f t="shared" si="32"/>
        <v>4204.3879966858658</v>
      </c>
      <c r="DZ134" s="419">
        <f>(VLOOKUP($A134,TOCA_current!$A$2:$AI$137,MATCH("RHWM 2022",TOCA_current!$A$2:$AI$2,0),FALSE)*$BS$2) - $DV134</f>
        <v>0</v>
      </c>
      <c r="EA134" s="419">
        <f t="shared" si="33"/>
        <v>0</v>
      </c>
      <c r="EB134" s="419">
        <f t="shared" si="34"/>
        <v>0</v>
      </c>
      <c r="EC134" s="419">
        <f t="shared" si="35"/>
        <v>0</v>
      </c>
      <c r="ED134" s="419">
        <f t="shared" si="36"/>
        <v>0</v>
      </c>
    </row>
    <row r="135" spans="1:134">
      <c r="A135" s="155">
        <v>13927</v>
      </c>
      <c r="B135" s="156" t="s">
        <v>238</v>
      </c>
      <c r="C135" s="244">
        <f>VLOOKUP(A135, TOCA_current!$A$3:$D$137, 4, FALSE)</f>
        <v>0</v>
      </c>
      <c r="D135" s="203">
        <v>0</v>
      </c>
      <c r="E135" s="119">
        <f>VLOOKUP($A135,TOCA_previous!$A$2:$AI$137,MATCH(E$4,TOCA_previous!$A$2:$AI$2,0),FALSE)</f>
        <v>4.2979999999999998E-4</v>
      </c>
      <c r="F135" s="120">
        <f>VLOOKUP($A135,TOCA_previous!$A$2:$AI$137,MATCH(F$4,TOCA_previous!$A$2:$AI$2,0),FALSE)</f>
        <v>4.2979999999999998E-4</v>
      </c>
      <c r="G135" s="120">
        <f t="shared" ref="G135:G140" si="43">E135-F135</f>
        <v>0</v>
      </c>
      <c r="H135" s="120">
        <f>VLOOKUP($A135,TOCA_previous!$A$2:$AI$137,MATCH(H$4,TOCA_previous!$A$2:$AI$2,0),FALSE)</f>
        <v>0</v>
      </c>
      <c r="I135" s="120">
        <f t="shared" ref="I135:I140" si="44">IF(C135=0,0,H135)</f>
        <v>0</v>
      </c>
      <c r="J135" s="120">
        <f t="shared" ref="J135:J140" si="45">IF(C135=0,0,E135)</f>
        <v>0</v>
      </c>
      <c r="K135" s="191">
        <f>VLOOKUP(A135, IRD!$A$5:$C$139, 3, FALSE)</f>
        <v>0</v>
      </c>
      <c r="L135" s="192">
        <f t="array" ref="L135">IF($G135=0, INDEX(LS_previous!$D$4:$AY$138, MATCH('Staging Table'!$A135, LS_previous!$B$4:$B$138, 0), MATCH(L$4&amp;L$5, LS_previous!$D$2:$AY$2&amp;LS_previous!$D$3:$AY$3, 0)),SUM(VLOOKUP($A135, LS_previous!$B$4:$AY$138, LS_previous!D$149, FALSE), VLOOKUP('Staging Table'!$A135, LS_previous!$B$4:$AY$138,LS_previous!AB$149, FALSE))/2)</f>
        <v>118.79069623760006</v>
      </c>
      <c r="M135" s="192">
        <f t="array" ref="M135">IF($G135=0, INDEX(LS_previous!$D$4:$AY$138, MATCH('Staging Table'!$A135, LS_previous!$B$4:$B$138, 0), MATCH(M$4&amp;M$5, LS_previous!$D$2:$AY$2&amp;LS_previous!$D$3:$AY$3, 0)),SUM(VLOOKUP($A135, LS_previous!$B$4:$AY$138, LS_previous!E$149, FALSE), VLOOKUP('Staging Table'!$A135, LS_previous!$B$4:$AY$138,LS_previous!AC$149, FALSE))/2)</f>
        <v>312.01837292160008</v>
      </c>
      <c r="N135" s="192">
        <f t="array" ref="N135">IF($G135=0, INDEX(LS_previous!$D$4:$AY$138, MATCH('Staging Table'!$A135, LS_previous!$B$4:$B$138, 0), MATCH(N$4&amp;N$5, LS_previous!$D$2:$AY$2&amp;LS_previous!$D$3:$AY$3, 0)),SUM(VLOOKUP($A135, LS_previous!$B$4:$AY$138, LS_previous!F$149, FALSE), VLOOKUP('Staging Table'!$A135, LS_previous!$B$4:$AY$138,LS_previous!AD$149, FALSE))/2)</f>
        <v>-223.01656353439989</v>
      </c>
      <c r="O135" s="192">
        <f t="array" ref="O135">IF($G135=0, INDEX(LS_previous!$D$4:$AY$138, MATCH('Staging Table'!$A135, LS_previous!$B$4:$B$138, 0), MATCH(O$4&amp;O$5, LS_previous!$D$2:$AY$2&amp;LS_previous!$D$3:$AY$3, 0)),SUM(VLOOKUP($A135, LS_previous!$B$4:$AY$138, LS_previous!G$149, FALSE), VLOOKUP('Staging Table'!$A135, LS_previous!$B$4:$AY$138,LS_previous!AE$149, FALSE))/2)</f>
        <v>127.19635741219997</v>
      </c>
      <c r="P135" s="192">
        <f t="array" ref="P135">IF($G135=0, INDEX(LS_previous!$D$4:$AY$138, MATCH('Staging Table'!$A135, LS_previous!$B$4:$B$138, 0), MATCH(P$4&amp;P$5, LS_previous!$D$2:$AY$2&amp;LS_previous!$D$3:$AY$3, 0)),SUM(VLOOKUP($A135, LS_previous!$B$4:$AY$138, LS_previous!H$149, FALSE), VLOOKUP('Staging Table'!$A135, LS_previous!$B$4:$AY$138,LS_previous!AF$149, FALSE))/2)</f>
        <v>-52.84467762560007</v>
      </c>
      <c r="Q135" s="192">
        <f t="array" ref="Q135">IF($G135=0, INDEX(LS_previous!$D$4:$AY$138, MATCH('Staging Table'!$A135, LS_previous!$B$4:$B$138, 0), MATCH(Q$4&amp;Q$5, LS_previous!$D$2:$AY$2&amp;LS_previous!$D$3:$AY$3, 0)),SUM(VLOOKUP($A135, LS_previous!$B$4:$AY$138, LS_previous!I$149, FALSE), VLOOKUP('Staging Table'!$A135, LS_previous!$B$4:$AY$138,LS_previous!AG$149, FALSE))/2)</f>
        <v>249.09651338480001</v>
      </c>
      <c r="R135" s="192">
        <f t="array" ref="R135">IF($G135=0, INDEX(LS_previous!$D$4:$AY$138, MATCH('Staging Table'!$A135, LS_previous!$B$4:$B$138, 0), MATCH(R$4&amp;R$5, LS_previous!$D$2:$AY$2&amp;LS_previous!$D$3:$AY$3, 0)),SUM(VLOOKUP($A135, LS_previous!$B$4:$AY$138, LS_previous!J$149, FALSE), VLOOKUP('Staging Table'!$A135, LS_previous!$B$4:$AY$138,LS_previous!AH$149, FALSE))/2)</f>
        <v>137.14142717439995</v>
      </c>
      <c r="S135" s="192">
        <f t="array" ref="S135">IF($G135=0, INDEX(LS_previous!$D$4:$AY$138, MATCH('Staging Table'!$A135, LS_previous!$B$4:$B$138, 0), MATCH(S$4&amp;S$5, LS_previous!$D$2:$AY$2&amp;LS_previous!$D$3:$AY$3, 0)),SUM(VLOOKUP($A135, LS_previous!$B$4:$AY$138, LS_previous!K$149, FALSE), VLOOKUP('Staging Table'!$A135, LS_previous!$B$4:$AY$138,LS_previous!AI$149, FALSE))/2)</f>
        <v>364.64515898479999</v>
      </c>
      <c r="T135" s="192">
        <f t="array" ref="T135">IF($G135=0, INDEX(LS_previous!$D$4:$AY$138, MATCH('Staging Table'!$A135, LS_previous!$B$4:$B$138, 0), MATCH(T$4&amp;T$5, LS_previous!$D$2:$AY$2&amp;LS_previous!$D$3:$AY$3, 0)),SUM(VLOOKUP($A135, LS_previous!$B$4:$AY$138, LS_previous!L$149, FALSE), VLOOKUP('Staging Table'!$A135, LS_previous!$B$4:$AY$138,LS_previous!AJ$149, FALSE))/2)</f>
        <v>208.3883561048001</v>
      </c>
      <c r="U135" s="192">
        <f t="array" ref="U135">IF($G135=0, INDEX(LS_previous!$D$4:$AY$138, MATCH('Staging Table'!$A135, LS_previous!$B$4:$B$138, 0), MATCH(U$4&amp;U$5, LS_previous!$D$2:$AY$2&amp;LS_previous!$D$3:$AY$3, 0)),SUM(VLOOKUP($A135, LS_previous!$B$4:$AY$138, LS_previous!M$149, FALSE), VLOOKUP('Staging Table'!$A135, LS_previous!$B$4:$AY$138,LS_previous!AK$149, FALSE))/2)</f>
        <v>346.37454325520002</v>
      </c>
      <c r="V135" s="192">
        <f t="array" ref="V135">IF($G135=0, INDEX(LS_previous!$D$4:$AY$138, MATCH('Staging Table'!$A135, LS_previous!$B$4:$B$138, 0), MATCH(V$4&amp;V$5, LS_previous!$D$2:$AY$2&amp;LS_previous!$D$3:$AY$3, 0)),SUM(VLOOKUP($A135, LS_previous!$B$4:$AY$138, LS_previous!N$149, FALSE), VLOOKUP('Staging Table'!$A135, LS_previous!$B$4:$AY$138,LS_previous!AL$149, FALSE))/2)</f>
        <v>59.745577883200212</v>
      </c>
      <c r="W135" s="192">
        <f t="array" ref="W135">IF($G135=0, INDEX(LS_previous!$D$4:$AY$138, MATCH('Staging Table'!$A135, LS_previous!$B$4:$B$138, 0), MATCH(W$4&amp;W$5, LS_previous!$D$2:$AY$2&amp;LS_previous!$D$3:$AY$3, 0)),SUM(VLOOKUP($A135, LS_previous!$B$4:$AY$138, LS_previous!O$149, FALSE), VLOOKUP('Staging Table'!$A135, LS_previous!$B$4:$AY$138,LS_previous!AM$149, FALSE))/2)</f>
        <v>247.36518439420001</v>
      </c>
      <c r="X135" s="192">
        <f t="array" ref="X135">IF($G135=0, INDEX(LS_previous!$D$4:$AY$138, MATCH('Staging Table'!$A135, LS_previous!$B$4:$B$138, 0), MATCH(X$4&amp;X$5, LS_previous!$D$2:$AY$2&amp;LS_previous!$D$3:$AY$3, 0)),SUM(VLOOKUP($A135, LS_previous!$B$4:$AY$138, LS_previous!P$149, FALSE), VLOOKUP('Staging Table'!$A135, LS_previous!$B$4:$AY$138,LS_previous!AN$149, FALSE))/2)</f>
        <v>241.7332770288001</v>
      </c>
      <c r="Y135" s="192">
        <f t="array" ref="Y135">IF($G135=0, INDEX(LS_previous!$D$4:$AY$138, MATCH('Staging Table'!$A135, LS_previous!$B$4:$B$138, 0), MATCH(Y$4&amp;Y$5, LS_previous!$D$2:$AY$2&amp;LS_previous!$D$3:$AY$3, 0)),SUM(VLOOKUP($A135, LS_previous!$B$4:$AY$138, LS_previous!Q$149, FALSE), VLOOKUP('Staging Table'!$A135, LS_previous!$B$4:$AY$138,LS_previous!AO$149, FALSE))/2)</f>
        <v>318.28453226720001</v>
      </c>
      <c r="Z135" s="192">
        <f t="array" ref="Z135">IF($G135=0, INDEX(LS_previous!$D$4:$AY$138, MATCH('Staging Table'!$A135, LS_previous!$B$4:$B$138, 0), MATCH(Z$4&amp;Z$5, LS_previous!$D$2:$AY$2&amp;LS_previous!$D$3:$AY$3, 0)),SUM(VLOOKUP($A135, LS_previous!$B$4:$AY$138, LS_previous!R$149, FALSE), VLOOKUP('Staging Table'!$A135, LS_previous!$B$4:$AY$138,LS_previous!AP$149, FALSE))/2)</f>
        <v>-122.2288355799999</v>
      </c>
      <c r="AA135" s="192">
        <f t="array" ref="AA135">IF($G135=0, INDEX(LS_previous!$D$4:$AY$138, MATCH('Staging Table'!$A135, LS_previous!$B$4:$B$138, 0), MATCH(AA$4&amp;AA$5, LS_previous!$D$2:$AY$2&amp;LS_previous!$D$3:$AY$3, 0)),SUM(VLOOKUP($A135, LS_previous!$B$4:$AY$138, LS_previous!S$149, FALSE), VLOOKUP('Staging Table'!$A135, LS_previous!$B$4:$AY$138,LS_previous!AQ$149, FALSE))/2)</f>
        <v>247.36570583920013</v>
      </c>
      <c r="AB135" s="192">
        <f t="array" ref="AB135">IF($G135=0, INDEX(LS_previous!$D$4:$AY$138, MATCH('Staging Table'!$A135, LS_previous!$B$4:$B$138, 0), MATCH(AB$4&amp;AB$5, LS_previous!$D$2:$AY$2&amp;LS_previous!$D$3:$AY$3, 0)),SUM(VLOOKUP($A135, LS_previous!$B$4:$AY$138, LS_previous!T$149, FALSE), VLOOKUP('Staging Table'!$A135, LS_previous!$B$4:$AY$138,LS_previous!AR$149, FALSE))/2)</f>
        <v>-423.87242327119998</v>
      </c>
      <c r="AC135" s="192">
        <f t="array" ref="AC135">IF($G135=0, INDEX(LS_previous!$D$4:$AY$138, MATCH('Staging Table'!$A135, LS_previous!$B$4:$B$138, 0), MATCH(AC$4&amp;AC$5, LS_previous!$D$2:$AY$2&amp;LS_previous!$D$3:$AY$3, 0)),SUM(VLOOKUP($A135, LS_previous!$B$4:$AY$138, LS_previous!U$149, FALSE), VLOOKUP('Staging Table'!$A135, LS_previous!$B$4:$AY$138,LS_previous!AS$149, FALSE))/2)</f>
        <v>-25.210590532799984</v>
      </c>
      <c r="AD135" s="192">
        <f t="array" ref="AD135">IF($G135=0, INDEX(LS_previous!$D$4:$AY$138, MATCH('Staging Table'!$A135, LS_previous!$B$4:$B$138, 0), MATCH(AD$4&amp;AD$5, LS_previous!$D$2:$AY$2&amp;LS_previous!$D$3:$AY$3, 0)),SUM(VLOOKUP($A135, LS_previous!$B$4:$AY$138, LS_previous!V$149, FALSE), VLOOKUP('Staging Table'!$A135, LS_previous!$B$4:$AY$138,LS_previous!AT$149, FALSE))/2)</f>
        <v>-1.4806322711999655</v>
      </c>
      <c r="AE135" s="192">
        <f t="array" ref="AE135">IF($G135=0, INDEX(LS_previous!$D$4:$AY$138, MATCH('Staging Table'!$A135, LS_previous!$B$4:$B$138, 0), MATCH(AE$4&amp;AE$5, LS_previous!$D$2:$AY$2&amp;LS_previous!$D$3:$AY$3, 0)),SUM(VLOOKUP($A135, LS_previous!$B$4:$AY$138, LS_previous!W$149, FALSE), VLOOKUP('Staging Table'!$A135, LS_previous!$B$4:$AY$138,LS_previous!AU$149, FALSE))/2)</f>
        <v>443.64299423040006</v>
      </c>
      <c r="AF135" s="192">
        <f t="array" ref="AF135">IF($G135=0, INDEX(LS_previous!$D$4:$AY$138, MATCH('Staging Table'!$A135, LS_previous!$B$4:$B$138, 0), MATCH(AF$4&amp;AF$5, LS_previous!$D$2:$AY$2&amp;LS_previous!$D$3:$AY$3, 0)),SUM(VLOOKUP($A135, LS_previous!$B$4:$AY$138, LS_previous!X$149, FALSE), VLOOKUP('Staging Table'!$A135, LS_previous!$B$4:$AY$138,LS_previous!AV$149, FALSE))/2)</f>
        <v>145.70457262879995</v>
      </c>
      <c r="AG135" s="192">
        <f t="array" ref="AG135">IF($G135=0, INDEX(LS_previous!$D$4:$AY$138, MATCH('Staging Table'!$A135, LS_previous!$B$4:$B$138, 0), MATCH(AG$4&amp;AG$5, LS_previous!$D$2:$AY$2&amp;LS_previous!$D$3:$AY$3, 0)),SUM(VLOOKUP($A135, LS_previous!$B$4:$AY$138, LS_previous!Y$149, FALSE), VLOOKUP('Staging Table'!$A135, LS_previous!$B$4:$AY$138,LS_previous!AW$149, FALSE))/2)</f>
        <v>399.70509023039995</v>
      </c>
      <c r="AH135" s="192">
        <f t="array" ref="AH135">IF($G135=0, INDEX(LS_previous!$D$4:$AY$138, MATCH('Staging Table'!$A135, LS_previous!$B$4:$B$138, 0), MATCH(AH$4&amp;AH$5, LS_previous!$D$2:$AY$2&amp;LS_previous!$D$3:$AY$3, 0)),SUM(VLOOKUP($A135, LS_previous!$B$4:$AY$138, LS_previous!Z$149, FALSE), VLOOKUP('Staging Table'!$A135, LS_previous!$B$4:$AY$138,LS_previous!AX$149, FALSE))/2)</f>
        <v>65.08786912000005</v>
      </c>
      <c r="AI135" s="192">
        <f t="array" ref="AI135">IF($G135=0, INDEX(LS_previous!$D$4:$AY$138, MATCH('Staging Table'!$A135, LS_previous!$B$4:$B$138, 0), MATCH(AI$4&amp;AI$5, LS_previous!$D$2:$AY$2&amp;LS_previous!$D$3:$AY$3, 0)),SUM(VLOOKUP($A135, LS_previous!$B$4:$AY$138, LS_previous!AA$149, FALSE), VLOOKUP('Staging Table'!$A135, LS_previous!$B$4:$AY$138,LS_previous!AY$149, FALSE))/2)</f>
        <v>308.38238637600011</v>
      </c>
      <c r="AJ135" s="314">
        <f t="array" ref="AJ135">INDEX(Demand_previous!$D$4:$AY$138, MATCH('Staging Table'!$A135, Demand_previous!$B$4:$B$138, 0), MATCH(AJ$4&amp;AJ$5,Demand_previous!$D$2:$AY$2&amp;Demand_previous!$D$3:$AY$3, 0))/1000</f>
        <v>0</v>
      </c>
      <c r="AK135" s="314">
        <f t="array" ref="AK135">INDEX(Demand_previous!$D$4:$AY$138, MATCH('Staging Table'!$A135, Demand_previous!$B$4:$B$138, 0), MATCH(AK$4&amp;AK$5,Demand_previous!$D$2:$AY$2&amp;Demand_previous!$D$3:$AY$3, 0))/1000</f>
        <v>0</v>
      </c>
      <c r="AL135" s="314">
        <f t="array" ref="AL135">INDEX(Demand_previous!$D$4:$AY$138, MATCH('Staging Table'!$A135, Demand_previous!$B$4:$B$138, 0), MATCH(AL$4&amp;AL$5,Demand_previous!$D$2:$AY$2&amp;Demand_previous!$D$3:$AY$3, 0))/1000</f>
        <v>0</v>
      </c>
      <c r="AM135" s="314">
        <f t="array" ref="AM135">INDEX(Demand_previous!$D$4:$AY$138, MATCH('Staging Table'!$A135, Demand_previous!$B$4:$B$138, 0), MATCH(AM$4&amp;AM$5,Demand_previous!$D$2:$AY$2&amp;Demand_previous!$D$3:$AY$3, 0))/1000</f>
        <v>0</v>
      </c>
      <c r="AN135" s="314">
        <f t="array" ref="AN135">INDEX(Demand_previous!$D$4:$AY$138, MATCH('Staging Table'!$A135, Demand_previous!$B$4:$B$138, 0), MATCH(AN$4&amp;AN$5,Demand_previous!$D$2:$AY$2&amp;Demand_previous!$D$3:$AY$3, 0))/1000</f>
        <v>0</v>
      </c>
      <c r="AO135" s="314">
        <f t="array" ref="AO135">INDEX(Demand_previous!$D$4:$AY$138, MATCH('Staging Table'!$A135, Demand_previous!$B$4:$B$138, 0), MATCH(AO$4&amp;AO$5,Demand_previous!$D$2:$AY$2&amp;Demand_previous!$D$3:$AY$3, 0))/1000</f>
        <v>0</v>
      </c>
      <c r="AP135" s="314">
        <f t="array" ref="AP135">INDEX(Demand_previous!$D$4:$AY$138, MATCH('Staging Table'!$A135, Demand_previous!$B$4:$B$138, 0), MATCH(AP$4&amp;AP$5,Demand_previous!$D$2:$AY$2&amp;Demand_previous!$D$3:$AY$3, 0))/1000</f>
        <v>0</v>
      </c>
      <c r="AQ135" s="314">
        <f t="array" ref="AQ135">INDEX(Demand_previous!$D$4:$AY$138, MATCH('Staging Table'!$A135, Demand_previous!$B$4:$B$138, 0), MATCH(AQ$4&amp;AQ$5,Demand_previous!$D$2:$AY$2&amp;Demand_previous!$D$3:$AY$3, 0))/1000</f>
        <v>0</v>
      </c>
      <c r="AR135" s="314">
        <f t="array" ref="AR135">INDEX(Demand_previous!$D$4:$AY$138, MATCH('Staging Table'!$A135, Demand_previous!$B$4:$B$138, 0), MATCH(AR$4&amp;AR$5,Demand_previous!$D$2:$AY$2&amp;Demand_previous!$D$3:$AY$3, 0))/1000</f>
        <v>0</v>
      </c>
      <c r="AS135" s="314">
        <f t="array" ref="AS135">INDEX(Demand_previous!$D$4:$AY$138, MATCH('Staging Table'!$A135, Demand_previous!$B$4:$B$138, 0), MATCH(AS$4&amp;AS$5,Demand_previous!$D$2:$AY$2&amp;Demand_previous!$D$3:$AY$3, 0))/1000</f>
        <v>0.17515865384615437</v>
      </c>
      <c r="AT135" s="314">
        <f t="array" ref="AT135">INDEX(Demand_previous!$D$4:$AY$138, MATCH('Staging Table'!$A135, Demand_previous!$B$4:$B$138, 0), MATCH(AT$4&amp;AT$5,Demand_previous!$D$2:$AY$2&amp;Demand_previous!$D$3:$AY$3, 0))/1000</f>
        <v>0.45863221153846156</v>
      </c>
      <c r="AU135" s="314">
        <f t="array" ref="AU135">INDEX(Demand_previous!$D$4:$AY$138, MATCH('Staging Table'!$A135, Demand_previous!$B$4:$B$138, 0), MATCH(AU$4&amp;AU$5,Demand_previous!$D$2:$AY$2&amp;Demand_previous!$D$3:$AY$3, 0))/1000</f>
        <v>0</v>
      </c>
      <c r="AV135" s="192">
        <f>$F135*(VLOOKUP(AV$4, Rates_previous!$G$6:$Q$29, 10, FALSE)+VLOOKUP(AV$4, Rates_previous!$G$6:$Q$29, 11, FALSE))</f>
        <v>1984.5229308407997</v>
      </c>
      <c r="AW135" s="192">
        <f>$F135*(VLOOKUP(AW$4, Rates_previous!$G$6:$Q$29, 10, FALSE)+VLOOKUP(AW$4, Rates_previous!$G$6:$Q$29, 11, FALSE))</f>
        <v>2520.9632061222001</v>
      </c>
      <c r="AX135" s="192">
        <f>$F135*(VLOOKUP(AX$4, Rates_previous!$G$6:$Q$29, 10, FALSE)+VLOOKUP(AX$4, Rates_previous!$G$6:$Q$29, 11, FALSE))</f>
        <v>2490.5191642407999</v>
      </c>
      <c r="AY135" s="192">
        <f>$F135*(VLOOKUP(AY$4, Rates_previous!$G$6:$Q$29, 10, FALSE)+VLOOKUP(AY$4, Rates_previous!$G$6:$Q$29, 11, FALSE))</f>
        <v>2075.9994138408001</v>
      </c>
      <c r="AZ135" s="192">
        <f>$F135*(VLOOKUP(AZ$4, Rates_previous!$G$6:$Q$29, 10, FALSE)+VLOOKUP(AZ$4, Rates_previous!$G$6:$Q$29, 11, FALSE))</f>
        <v>1880.6401006399999</v>
      </c>
      <c r="BA135" s="192">
        <f>$F135*(VLOOKUP(BA$4, Rates_previous!$G$6:$Q$29, 10, FALSE)+VLOOKUP(BA$4, Rates_previous!$G$6:$Q$29, 11, FALSE))</f>
        <v>2091.8692377225998</v>
      </c>
      <c r="BB135" s="192">
        <f>$F135*(VLOOKUP(BB$4, Rates_previous!$G$6:$Q$29, 10, FALSE)+VLOOKUP(BB$4, Rates_previous!$G$6:$Q$29, 11, FALSE))</f>
        <v>1703.202190704</v>
      </c>
      <c r="BC135" s="192">
        <f>$F135*(VLOOKUP(BC$4, Rates_previous!$G$6:$Q$29, 10, FALSE)+VLOOKUP(BC$4, Rates_previous!$G$6:$Q$29, 11, FALSE))</f>
        <v>2297.0221297408002</v>
      </c>
      <c r="BD135" s="192">
        <f>$F135*(VLOOKUP(BD$4, Rates_previous!$G$6:$Q$29, 10, FALSE)+VLOOKUP(BD$4, Rates_previous!$G$6:$Q$29, 11, FALSE))</f>
        <v>2930.844013804</v>
      </c>
      <c r="BE135" s="192">
        <f>$F135*(VLOOKUP(BE$4, Rates_previous!$G$6:$Q$29, 10, FALSE)+VLOOKUP(BE$4, Rates_previous!$G$6:$Q$29, 11, FALSE))</f>
        <v>2297.8746380408002</v>
      </c>
      <c r="BF135" s="192">
        <f>$F135*(VLOOKUP(BF$4, Rates_previous!$G$6:$Q$29, 10, FALSE)+VLOOKUP(BF$4, Rates_previous!$G$6:$Q$29, 11, FALSE))</f>
        <v>2237.6723371408002</v>
      </c>
      <c r="BG135" s="192">
        <f>$F135*(VLOOKUP(BG$4, Rates_previous!$G$6:$Q$29, 10, FALSE)+VLOOKUP(BG$4, Rates_previous!$G$6:$Q$29, 11, FALSE))</f>
        <v>2008.953744504</v>
      </c>
      <c r="BH135" s="314">
        <f>IF($D135=0,IF(C135=0, MAX(BJ135 - (VLOOKUP($A135,TOCA_previous!$A$2:$AI$137,MATCH("RHWM 2020",TOCA_previous!$A$2:$AI$2,0),FALSE)*$F$2*TOCA_previous!C132),0),0), 0)</f>
        <v>0</v>
      </c>
      <c r="BI135" s="204">
        <f>MIN(VLOOKUP($A135,TOCA_previous!$A$2:$AI$137,MATCH("TRL - NLSL - Existing Resource "&amp;$F$1,TOCA_previous!$A$2:$AI$2,0),FALSE)*$F$2,(VLOOKUP($A135,TOCA_previous!$A$2:$AI$137,MATCH("RHWM 2020",TOCA_previous!$A$2:$AI$2,0),FALSE)*$F$2))</f>
        <v>26518.896000000001</v>
      </c>
      <c r="BJ135" s="418">
        <f>SUM(L135:AI135)+(F135*RT1SC!$C$3*$F$2)</f>
        <v>30012.0989954168</v>
      </c>
      <c r="BK135" s="417">
        <f>VLOOKUP($A135,TOCA_previous!$A$2:$AI$137,MATCH("Above RHWM Not Served with LS "&amp;$F$1,TOCA_previous!$A$2:$AI$2,0),FALSE)*$F$2</f>
        <v>0</v>
      </c>
      <c r="BL135" s="418">
        <f t="shared" ref="BL135:BL140" si="46">BJ135-BI135</f>
        <v>3493.2029954167992</v>
      </c>
      <c r="BM135" s="417">
        <f>(VLOOKUP($A135,TOCA_previous!$A$2:$AI$137,MATCH("RHWM 2020",TOCA_previous!$A$2:$AI$2,0),FALSE)*$F$2) - $BI135</f>
        <v>9073.8719999999958</v>
      </c>
      <c r="BN135" s="418">
        <f t="shared" ref="BN135:BN140" si="47">IF(BL135&gt;0,IF(BM135&gt;0,(-1)*MIN(BL135,BM135),0),0)</f>
        <v>-3493.2029954167992</v>
      </c>
      <c r="BO135" s="417">
        <f t="shared" ref="BO135:BO140" si="48">IF(BL135&lt;0,IF(BK135&lt;ABS(BL135),MAX(0,ABS($BL135)-(BK135)),0),0)</f>
        <v>0</v>
      </c>
      <c r="BP135" s="418">
        <f t="shared" ref="BP135:BP140" si="49">IF(AND(BK135&gt;0,BM135&gt;0),IF(AND(BL135&lt;=0,ABS(BL135)&lt;BK135),(-1)*MIN(BK135,BK135-ABS(BL135),BM135),IF(AND(BL135&gt;0,BL135&lt;BM135),(-1)*MIN(BK135,BM135-BL135),0)),0)</f>
        <v>0</v>
      </c>
      <c r="BQ135" s="417">
        <f t="shared" si="40"/>
        <v>-3493.2029954167992</v>
      </c>
      <c r="BR135" s="120">
        <f>VLOOKUP($A135,TOCA_current!$A$2:$AI$137,MATCH(BR$4,TOCA_current!$A$2:$AI$2,0),FALSE)</f>
        <v>5.6130000000000004E-4</v>
      </c>
      <c r="BS135" s="120">
        <f>VLOOKUP($A135,TOCA_current!$A$2:$AI$137,MATCH(BS$4,TOCA_current!$A$2:$AI$2,0),FALSE)</f>
        <v>5.6130000000000004E-4</v>
      </c>
      <c r="BT135" s="201">
        <f t="shared" ref="BT135:BT140" si="50">BR135-BS135</f>
        <v>0</v>
      </c>
      <c r="BU135" s="120">
        <f>VLOOKUP($A135,TOCA_current!A131:BG266,MATCH(BU$4,TOCA_current!$A$2:$BG$2,0),FALSE)</f>
        <v>0</v>
      </c>
      <c r="BV135" s="120">
        <f t="shared" si="41"/>
        <v>0</v>
      </c>
      <c r="BW135" s="120">
        <f t="shared" si="42"/>
        <v>0</v>
      </c>
      <c r="BX135" s="191">
        <f>VLOOKUP($A135,IRD!$A$4:$G$139, 7, FALSE)</f>
        <v>0</v>
      </c>
      <c r="BY135" s="192">
        <f t="array" ref="BY135">IF($BT135=0, INDEX(LS_current!$D$4:$AY$138, MATCH('Staging Table'!$A135, LS_current!$B$4:$B$138, 0), MATCH(BY$4&amp;BY$5, LS_current!$D$2:$AY$2&amp;LS_current!$D$3:$AY$3, 0)),SUM(VLOOKUP($A135, LS_current!$B$4:$AY$138, LS_current!D$148, FALSE), VLOOKUP($A135, LS_current!$B$4:$AY$138,LS_current!AB$148, FALSE))/2)</f>
        <v>-227.35257548377604</v>
      </c>
      <c r="BZ135" s="192">
        <f t="array" ref="BZ135">IF($BT135=0, INDEX(LS_current!$D$4:$AY$138, MATCH('Staging Table'!$A135, LS_current!$B$4:$B$138, 0), MATCH(BZ$4&amp;BZ$5, LS_current!$D$2:$AY$2&amp;LS_current!$D$3:$AY$3, 0)),SUM(VLOOKUP($A135, LS_current!$B$4:$AY$138, LS_current!E$148, FALSE), VLOOKUP($A135, LS_current!$B$4:$AY$138,LS_current!AC$148, FALSE))/2)</f>
        <v>86.566798109504134</v>
      </c>
      <c r="CA135" s="192">
        <f t="array" ref="CA135">IF($BT135=0, INDEX(LS_current!$D$4:$AY$138, MATCH('Staging Table'!$A135, LS_current!$B$4:$B$138, 0), MATCH(CA$4&amp;CA$5, LS_current!$D$2:$AY$2&amp;LS_current!$D$3:$AY$3, 0)),SUM(VLOOKUP($A135, LS_current!$B$4:$AY$138, LS_current!F$148, FALSE), VLOOKUP($A135, LS_current!$B$4:$AY$138,LS_current!AD$148, FALSE))/2)</f>
        <v>-628.33262423280235</v>
      </c>
      <c r="CB135" s="192">
        <f t="array" ref="CB135">IF($BT135=0, INDEX(LS_current!$D$4:$AY$138, MATCH('Staging Table'!$A135, LS_current!$B$4:$B$138, 0), MATCH(CB$4&amp;CB$5, LS_current!$D$2:$AY$2&amp;LS_current!$D$3:$AY$3, 0)),SUM(VLOOKUP($A135, LS_current!$B$4:$AY$138, LS_current!G$148, FALSE), VLOOKUP($A135, LS_current!$B$4:$AY$138,LS_current!AE$148, FALSE))/2)</f>
        <v>-182.66224982100744</v>
      </c>
      <c r="CC135" s="192">
        <f t="array" ref="CC135">IF($BT135=0, INDEX(LS_current!$D$4:$AY$138, MATCH('Staging Table'!$A135, LS_current!$B$4:$B$138, 0), MATCH(CC$4&amp;CC$5, LS_current!$D$2:$AY$2&amp;LS_current!$D$3:$AY$3, 0)),SUM(VLOOKUP($A135, LS_current!$B$4:$AY$138, LS_current!H$148, FALSE), VLOOKUP($A135, LS_current!$B$4:$AY$138,LS_current!AF$148, FALSE))/2)</f>
        <v>-315.78776653634236</v>
      </c>
      <c r="CD135" s="192">
        <f t="array" ref="CD135">IF($BT135=0, INDEX(LS_current!$D$4:$AY$138, MATCH('Staging Table'!$A135, LS_current!$B$4:$B$138, 0), MATCH(CD$4&amp;CD$5, LS_current!$D$2:$AY$2&amp;LS_current!$D$3:$AY$3, 0)),SUM(VLOOKUP($A135, LS_current!$B$4:$AY$138, LS_current!I$148, FALSE), VLOOKUP($A135, LS_current!$B$4:$AY$138,LS_current!AG$148, FALSE))/2)</f>
        <v>-164.9736861311394</v>
      </c>
      <c r="CE135" s="192">
        <f t="array" ref="CE135">IF($BT135=0, INDEX(LS_current!$D$4:$AY$138, MATCH('Staging Table'!$A135, LS_current!$B$4:$B$138, 0), MATCH(CE$4&amp;CE$5, LS_current!$D$2:$AY$2&amp;LS_current!$D$3:$AY$3, 0)),SUM(VLOOKUP($A135, LS_current!$B$4:$AY$138, LS_current!J$148, FALSE), VLOOKUP($A135, LS_current!$B$4:$AY$138,LS_current!AH$148, FALSE))/2)</f>
        <v>-46.497699756163229</v>
      </c>
      <c r="CF135" s="192">
        <f t="array" ref="CF135">IF($BT135=0, INDEX(LS_current!$D$4:$AY$138, MATCH('Staging Table'!$A135, LS_current!$B$4:$B$138, 0), MATCH(CF$4&amp;CF$5, LS_current!$D$2:$AY$2&amp;LS_current!$D$3:$AY$3, 0)),SUM(VLOOKUP($A135, LS_current!$B$4:$AY$138, LS_current!K$148, FALSE), VLOOKUP($A135, LS_current!$B$4:$AY$138,LS_current!AI$148, FALSE))/2)</f>
        <v>8.0365926695840244</v>
      </c>
      <c r="CG135" s="192">
        <f t="array" ref="CG135">IF($BT135=0, INDEX(LS_current!$D$4:$AY$138, MATCH('Staging Table'!$A135, LS_current!$B$4:$B$138, 0), MATCH(CG$4&amp;CG$5, LS_current!$D$2:$AY$2&amp;LS_current!$D$3:$AY$3, 0)),SUM(VLOOKUP($A135, LS_current!$B$4:$AY$138, LS_current!L$148, FALSE), VLOOKUP($A135, LS_current!$B$4:$AY$138,LS_current!AJ$148, FALSE))/2)</f>
        <v>77.695834710558302</v>
      </c>
      <c r="CH135" s="192">
        <f t="array" ref="CH135">IF($BT135=0, INDEX(LS_current!$D$4:$AY$138, MATCH('Staging Table'!$A135, LS_current!$B$4:$B$138, 0), MATCH(CH$4&amp;CH$5, LS_current!$D$2:$AY$2&amp;LS_current!$D$3:$AY$3, 0)),SUM(VLOOKUP($A135, LS_current!$B$4:$AY$138, LS_current!M$148, FALSE), VLOOKUP($A135, LS_current!$B$4:$AY$138,LS_current!AK$148, FALSE))/2)</f>
        <v>90.148457058792928</v>
      </c>
      <c r="CI135" s="192">
        <f t="array" ref="CI135">IF($BT135=0, INDEX(LS_current!$D$4:$AY$138, MATCH('Staging Table'!$A135, LS_current!$B$4:$B$138, 0), MATCH(CI$4&amp;CI$5, LS_current!$D$2:$AY$2&amp;LS_current!$D$3:$AY$3, 0)),SUM(VLOOKUP($A135, LS_current!$B$4:$AY$138, LS_current!N$148, FALSE), VLOOKUP($A135, LS_current!$B$4:$AY$138,LS_current!AL$148, FALSE))/2)</f>
        <v>-272.67837176114494</v>
      </c>
      <c r="CJ135" s="192">
        <f t="array" ref="CJ135">IF($BT135=0, INDEX(LS_current!$D$4:$AY$138, MATCH('Staging Table'!$A135, LS_current!$B$4:$B$138, 0), MATCH(CJ$4&amp;CJ$5, LS_current!$D$2:$AY$2&amp;LS_current!$D$3:$AY$3, 0)),SUM(VLOOKUP($A135, LS_current!$B$4:$AY$138, LS_current!O$148, FALSE), VLOOKUP($A135, LS_current!$B$4:$AY$138,LS_current!AM$148, FALSE))/2)</f>
        <v>-35.348816768345273</v>
      </c>
      <c r="CK135" s="192">
        <f t="array" ref="CK135">IF($BT135=0, INDEX(LS_current!$D$4:$AY$138, MATCH('Staging Table'!$A135, LS_current!$B$4:$B$138, 0), MATCH(CK$4&amp;CK$5, LS_current!$D$2:$AY$2&amp;LS_current!$D$3:$AY$3, 0)),SUM(VLOOKUP($A135, LS_current!$B$4:$AY$138, LS_current!P$148, FALSE), VLOOKUP($A135, LS_current!$B$4:$AY$138,LS_current!AN$148, FALSE))/2)</f>
        <v>18.380858071295279</v>
      </c>
      <c r="CL135" s="192">
        <f t="array" ref="CL135">IF($BT135=0, INDEX(LS_current!$D$4:$AY$138, MATCH('Staging Table'!$A135, LS_current!$B$4:$B$138, 0), MATCH(CL$4&amp;CL$5, LS_current!$D$2:$AY$2&amp;LS_current!$D$3:$AY$3, 0)),SUM(VLOOKUP($A135, LS_current!$B$4:$AY$138, LS_current!Q$148, FALSE), VLOOKUP($A135, LS_current!$B$4:$AY$138,LS_current!AO$148, FALSE))/2)</f>
        <v>143.20844092319135</v>
      </c>
      <c r="CM135" s="192">
        <f t="array" ref="CM135">IF($BT135=0, INDEX(LS_current!$D$4:$AY$138, MATCH('Staging Table'!$A135, LS_current!$B$4:$B$138, 0), MATCH(CM$4&amp;CM$5, LS_current!$D$2:$AY$2&amp;LS_current!$D$3:$AY$3, 0)),SUM(VLOOKUP($A135, LS_current!$B$4:$AY$138, LS_current!R$148, FALSE), VLOOKUP($A135, LS_current!$B$4:$AY$138,LS_current!AP$148, FALSE))/2)</f>
        <v>-593.78684008888854</v>
      </c>
      <c r="CN135" s="192">
        <f t="array" ref="CN135">IF($BT135=0, INDEX(LS_current!$D$4:$AY$138, MATCH('Staging Table'!$A135, LS_current!$B$4:$B$138, 0), MATCH(CN$4&amp;CN$5, LS_current!$D$2:$AY$2&amp;LS_current!$D$3:$AY$3, 0)),SUM(VLOOKUP($A135, LS_current!$B$4:$AY$138, LS_current!S$148, FALSE), VLOOKUP($A135, LS_current!$B$4:$AY$138,LS_current!AQ$148, FALSE))/2)</f>
        <v>104.1210379787849</v>
      </c>
      <c r="CO135" s="192">
        <f t="array" ref="CO135">IF($BT135=0, INDEX(LS_current!$D$4:$AY$138, MATCH('Staging Table'!$A135, LS_current!$B$4:$B$138, 0), MATCH(CO$4&amp;CO$5, LS_current!$D$2:$AY$2&amp;LS_current!$D$3:$AY$3, 0)),SUM(VLOOKUP($A135, LS_current!$B$4:$AY$138, LS_current!T$148, FALSE), VLOOKUP($A135, LS_current!$B$4:$AY$138,LS_current!AR$148, FALSE))/2)</f>
        <v>-740.52724402255762</v>
      </c>
      <c r="CP135" s="192">
        <f t="array" ref="CP135">IF($BT135=0, INDEX(LS_current!$D$4:$AY$138, MATCH('Staging Table'!$A135, LS_current!$B$4:$B$138, 0), MATCH(CP$4&amp;CP$5, LS_current!$D$2:$AY$2&amp;LS_current!$D$3:$AY$3, 0)),SUM(VLOOKUP($A135, LS_current!$B$4:$AY$138, LS_current!U$148, FALSE), VLOOKUP($A135, LS_current!$B$4:$AY$138,LS_current!AS$148, FALSE))/2)</f>
        <v>110.94247182787956</v>
      </c>
      <c r="CQ135" s="192">
        <f t="array" ref="CQ135">IF($BT135=0, INDEX(LS_current!$D$4:$AY$138, MATCH('Staging Table'!$A135, LS_current!$B$4:$B$138, 0), MATCH(CQ$4&amp;CQ$5, LS_current!$D$2:$AY$2&amp;LS_current!$D$3:$AY$3, 0)),SUM(VLOOKUP($A135, LS_current!$B$4:$AY$138, LS_current!V$148, FALSE), VLOOKUP($A135, LS_current!$B$4:$AY$138,LS_current!AT$148, FALSE))/2)</f>
        <v>-387.22895474930738</v>
      </c>
      <c r="CR135" s="192">
        <f t="array" ref="CR135">IF($BT135=0, INDEX(LS_current!$D$4:$AY$138, MATCH('Staging Table'!$A135, LS_current!$B$4:$B$138, 0), MATCH(CR$4&amp;CR$5, LS_current!$D$2:$AY$2&amp;LS_current!$D$3:$AY$3, 0)),SUM(VLOOKUP($A135, LS_current!$B$4:$AY$138, LS_current!W$148, FALSE), VLOOKUP($A135, LS_current!$B$4:$AY$138,LS_current!AU$148, FALSE))/2)</f>
        <v>173.18403076123047</v>
      </c>
      <c r="CS135" s="192">
        <f t="array" ref="CS135">IF($BT135=0, INDEX(LS_current!$D$4:$AY$138, MATCH('Staging Table'!$A135, LS_current!$B$4:$B$138, 0), MATCH(CS$4&amp;CS$5, LS_current!$D$2:$AY$2&amp;LS_current!$D$3:$AY$3, 0)),SUM(VLOOKUP($A135, LS_current!$B$4:$AY$138, LS_current!X$148, FALSE), VLOOKUP($A135, LS_current!$B$4:$AY$138,LS_current!AV$148, FALSE))/2)</f>
        <v>-243.46896296872296</v>
      </c>
      <c r="CT135" s="192">
        <f t="array" ref="CT135">IF($BT135=0, INDEX(LS_current!$D$4:$AY$138, MATCH('Staging Table'!$A135, LS_current!$B$4:$B$138, 0), MATCH(CT$4&amp;CT$5, LS_current!$D$2:$AY$2&amp;LS_current!$D$3:$AY$3, 0)),SUM(VLOOKUP($A135, LS_current!$B$4:$AY$138, LS_current!Y$148, FALSE), VLOOKUP($A135, LS_current!$B$4:$AY$138,LS_current!AW$148, FALSE))/2)</f>
        <v>171.65867899729722</v>
      </c>
      <c r="CU135" s="192">
        <f t="array" ref="CU135">IF($BT135=0, INDEX(LS_current!$D$4:$AY$138, MATCH('Staging Table'!$A135, LS_current!$B$4:$B$138, 0), MATCH(CU$4&amp;CU$5, LS_current!$D$2:$AY$2&amp;LS_current!$D$3:$AY$3, 0)),SUM(VLOOKUP($A135, LS_current!$B$4:$AY$138, LS_current!Z$148, FALSE), VLOOKUP($A135, LS_current!$B$4:$AY$138,LS_current!AX$148, FALSE))/2)</f>
        <v>-332.07818700899497</v>
      </c>
      <c r="CV135" s="192">
        <f t="array" ref="CV135">IF($BT135=0, INDEX(LS_current!$D$4:$AY$138, MATCH('Staging Table'!$A135, LS_current!$B$4:$B$138, 0), MATCH(CV$4&amp;CV$5, LS_current!$D$2:$AY$2&amp;LS_current!$D$3:$AY$3, 0)),SUM(VLOOKUP($A135, LS_current!$B$4:$AY$138, LS_current!AA$148, FALSE), VLOOKUP($A135, LS_current!$B$4:$AY$138,LS_current!AY$148, FALSE))/2)</f>
        <v>76.284105893107721</v>
      </c>
      <c r="CW135" s="194">
        <f t="array" ref="CW135">INDEX(Demand_current!$D$4:$AY$138, MATCH($A135, Demand_current!$B$4:$B$138, 0), MATCH(CW$4&amp;CW$5,Demand_current!$D$2:$AY$2&amp;Demand_current!$D$3:$AY$3, 0))/1000</f>
        <v>0</v>
      </c>
      <c r="CX135" s="194">
        <f t="array" ref="CX135">INDEX(Demand_current!$D$4:$AY$138, MATCH($A135, Demand_current!$B$4:$B$138, 0), MATCH(CX$4&amp;CX$5,Demand_current!$D$2:$AY$2&amp;Demand_current!$D$3:$AY$3, 0))/1000</f>
        <v>0</v>
      </c>
      <c r="CY135" s="194">
        <f t="array" ref="CY135">INDEX(Demand_current!$D$4:$AY$138, MATCH($A135, Demand_current!$B$4:$B$138, 0), MATCH(CY$4&amp;CY$5,Demand_current!$D$2:$AY$2&amp;Demand_current!$D$3:$AY$3, 0))/1000</f>
        <v>0</v>
      </c>
      <c r="CZ135" s="194">
        <f t="array" ref="CZ135">INDEX(Demand_current!$D$4:$AY$138, MATCH($A135, Demand_current!$B$4:$B$138, 0), MATCH(CZ$4&amp;CZ$5,Demand_current!$D$2:$AY$2&amp;Demand_current!$D$3:$AY$3, 0))/1000</f>
        <v>0</v>
      </c>
      <c r="DA135" s="194">
        <f t="array" ref="DA135">INDEX(Demand_current!$D$4:$AY$138, MATCH($A135, Demand_current!$B$4:$B$138, 0), MATCH(DA$4&amp;DA$5,Demand_current!$D$2:$AY$2&amp;Demand_current!$D$3:$AY$3, 0))/1000</f>
        <v>0</v>
      </c>
      <c r="DB135" s="194">
        <f t="array" ref="DB135">INDEX(Demand_current!$D$4:$AY$138, MATCH($A135, Demand_current!$B$4:$B$138, 0), MATCH(DB$4&amp;DB$5,Demand_current!$D$2:$AY$2&amp;Demand_current!$D$3:$AY$3, 0))/1000</f>
        <v>0</v>
      </c>
      <c r="DC135" s="194">
        <f t="array" ref="DC135">INDEX(Demand_current!$D$4:$AY$138, MATCH($A135, Demand_current!$B$4:$B$138, 0), MATCH(DC$4&amp;DC$5,Demand_current!$D$2:$AY$2&amp;Demand_current!$D$3:$AY$3, 0))/1000</f>
        <v>0</v>
      </c>
      <c r="DD135" s="194">
        <f t="array" ref="DD135">INDEX(Demand_current!$D$4:$AY$138, MATCH($A135, Demand_current!$B$4:$B$138, 0), MATCH(DD$4&amp;DD$5,Demand_current!$D$2:$AY$2&amp;Demand_current!$D$3:$AY$3, 0))/1000</f>
        <v>0</v>
      </c>
      <c r="DE135" s="194">
        <f t="array" ref="DE135">INDEX(Demand_current!$D$4:$AY$138, MATCH($A135, Demand_current!$B$4:$B$138, 0), MATCH(DE$4&amp;DE$5,Demand_current!$D$2:$AY$2&amp;Demand_current!$D$3:$AY$3, 0))/1000</f>
        <v>0</v>
      </c>
      <c r="DF135" s="194">
        <f t="array" ref="DF135">INDEX(Demand_current!$D$4:$AY$138, MATCH($A135, Demand_current!$B$4:$B$138, 0), MATCH(DF$4&amp;DF$5,Demand_current!$D$2:$AY$2&amp;Demand_current!$D$3:$AY$3, 0))/1000</f>
        <v>2.3205000000000475E-2</v>
      </c>
      <c r="DG135" s="194">
        <f t="array" ref="DG135">INDEX(Demand_current!$D$4:$AY$138, MATCH($A135, Demand_current!$B$4:$B$138, 0), MATCH(DG$4&amp;DG$5,Demand_current!$D$2:$AY$2&amp;Demand_current!$D$3:$AY$3, 0))/1000</f>
        <v>0.60812731481481475</v>
      </c>
      <c r="DH135" s="194">
        <f t="array" ref="DH135">INDEX(Demand_current!$D$4:$AY$138, MATCH($A135, Demand_current!$B$4:$B$138, 0), MATCH(DH$4&amp;DH$5,Demand_current!$D$2:$AY$2&amp;Demand_current!$D$3:$AY$3, 0))/1000</f>
        <v>0</v>
      </c>
      <c r="DI135" s="192">
        <f>$BS135*(VLOOKUP(DI$4, Rates_current!$G$6:$Q$29, 10, FALSE)+VLOOKUP(DI$4, Rates_current!$G$6:$Q$29, 11, FALSE))</f>
        <v>2556.117777374272</v>
      </c>
      <c r="DJ135" s="192">
        <f>$BS135*(VLOOKUP(DJ$4, Rates_current!$G$6:$Q$29, 10, FALSE)+VLOOKUP(DJ$4, Rates_current!$G$6:$Q$29, 11, FALSE))</f>
        <v>3236.1378740538103</v>
      </c>
      <c r="DK135" s="192">
        <f>$BS135*(VLOOKUP(DK$4, Rates_current!$G$6:$Q$29, 10, FALSE)+VLOOKUP(DK$4, Rates_current!$G$6:$Q$29, 11, FALSE))</f>
        <v>3167.5324526674817</v>
      </c>
      <c r="DL135" s="192">
        <f>$BS135*(VLOOKUP(DL$4, Rates_current!$G$6:$Q$29, 10, FALSE)+VLOOKUP(DL$4, Rates_current!$G$6:$Q$29, 11, FALSE))</f>
        <v>2616.247107086579</v>
      </c>
      <c r="DM135" s="192">
        <f>$BS135*(VLOOKUP(DM$4, Rates_current!$G$6:$Q$29, 10, FALSE)+VLOOKUP(DM$4, Rates_current!$G$6:$Q$29, 11, FALSE))</f>
        <v>2267.5587082306488</v>
      </c>
      <c r="DN135" s="192">
        <f>$BS135*(VLOOKUP(DN$4, Rates_current!$G$6:$Q$29, 10, FALSE)+VLOOKUP(DN$4, Rates_current!$G$6:$Q$29, 11, FALSE))</f>
        <v>2707.0071885294906</v>
      </c>
      <c r="DO135" s="192">
        <f>$BS135*(VLOOKUP(DO$4, Rates_current!$G$6:$Q$29, 10, FALSE)+VLOOKUP(DO$4, Rates_current!$G$6:$Q$29, 11, FALSE))</f>
        <v>2101.6307010055139</v>
      </c>
      <c r="DP135" s="192">
        <f>$BS135*(VLOOKUP(DP$4, Rates_current!$G$6:$Q$29, 10, FALSE)+VLOOKUP(DP$4, Rates_current!$G$6:$Q$29, 11, FALSE))</f>
        <v>2911.8248021101035</v>
      </c>
      <c r="DQ135" s="192">
        <f>$BS135*(VLOOKUP(DQ$4, Rates_current!$G$6:$Q$29, 10, FALSE)+VLOOKUP(DQ$4, Rates_current!$G$6:$Q$29, 11, FALSE))</f>
        <v>3111.3457721946775</v>
      </c>
      <c r="DR135" s="192">
        <f>$BS135*(VLOOKUP(DR$4, Rates_current!$G$6:$Q$29, 10, FALSE)+VLOOKUP(DR$4, Rates_current!$G$6:$Q$29, 11, FALSE))</f>
        <v>2954.0819239880771</v>
      </c>
      <c r="DS135" s="192">
        <f>$BS135*(VLOOKUP(DS$4, Rates_current!$G$6:$Q$29, 10, FALSE)+VLOOKUP(DS$4, Rates_current!$G$6:$Q$29, 11, FALSE))</f>
        <v>2854.8922839714255</v>
      </c>
      <c r="DT135" s="192">
        <f>$BS135*(VLOOKUP(DT$4, Rates_current!$G$6:$Q$29, 10, FALSE)+VLOOKUP(DT$4, Rates_current!$G$6:$Q$29, 11, FALSE))</f>
        <v>2638.2180811158873</v>
      </c>
      <c r="DU135" s="418">
        <f>IF(D135=0,IF(C135=0,MAX(0,DW135 - (VLOOKUP($A135,TOCA_current!$A$2:$AI$137,MATCH("RHWM 2022",TOCA_current!$A$2:$AI$2,0),FALSE)*$BS$2)), 0),0)</f>
        <v>0</v>
      </c>
      <c r="DV135" s="419">
        <f>MIN(VLOOKUP($A135,TOCA_current!$A$2:$AI$137,MATCH("TRL - NLSL - Existing Resource "&amp;$BS$1,TOCA_current!$A$2:$AI$2,0),FALSE)*$BS$2, VLOOKUP($A135,TOCA_current!$A$2:$AI$137,MATCH("RHWM 2022",TOCA_current!$A$2:$AI$2,0),FALSE)*$BS$2)</f>
        <v>33121.56</v>
      </c>
      <c r="DW135" s="419">
        <f>SUM(BY135:CV135)+(BS135*RT1SC!$C$4*$BS$2)</f>
        <v>30012.099694364035</v>
      </c>
      <c r="DX135" s="419">
        <f>VLOOKUP($A135,TOCA_current!$A$2:$AI$137,MATCH("Above RHWM Not Served with LS "&amp;$BS$1,TOCA_current!$A$2:$AI$2,0),FALSE)*$BS$2</f>
        <v>0</v>
      </c>
      <c r="DY135" s="419">
        <f t="shared" ref="DY135:DY140" si="51">DW135-DV135</f>
        <v>-3109.4603056359629</v>
      </c>
      <c r="DZ135" s="419">
        <f>(VLOOKUP($A135,TOCA_current!$A$2:$AI$137,MATCH("RHWM 2022",TOCA_current!$A$2:$AI$2,0),FALSE)*$BS$2) - $DV135</f>
        <v>911.04000000000087</v>
      </c>
      <c r="EA135" s="419">
        <f t="shared" ref="EA135:EA140" si="52">IF(DY135&gt;0,IF(DZ135&gt;0,(-1)*MIN(DY135,DZ135),0),0)</f>
        <v>0</v>
      </c>
      <c r="EB135" s="419">
        <f t="shared" ref="EB135:EB140" si="53">IF(DY135&lt;0,IF(DX135&lt;ABS(DY135),MAX(0,ABS($DY135)-(DX135)),0),0)</f>
        <v>3109.4603056359629</v>
      </c>
      <c r="EC135" s="419">
        <f t="shared" ref="EC135:EC140" si="54">IF(AND(DX135&gt;0,DZ135&gt;0),IF(AND(DY135&lt;=0,ABS(DY135)&lt;DX135),(-1)*MIN(DX135,DX135-ABS(DY135),DZ135),IF(AND(DY135&gt;0,DY135&lt;DZ135),(-1)*MIN(DX135,DZ135-DY135),0)),0)</f>
        <v>0</v>
      </c>
      <c r="ED135" s="419">
        <f t="shared" ref="ED135:ED140" si="55">IF($D135=0,SUM(EA135:EC135),0)</f>
        <v>3109.4603056359629</v>
      </c>
    </row>
    <row r="136" spans="1:134">
      <c r="A136" s="135">
        <v>10597</v>
      </c>
      <c r="B136" s="136" t="s">
        <v>136</v>
      </c>
      <c r="C136" s="244">
        <f>VLOOKUP(A136, TOCA_current!$A$3:$D$137, 4, FALSE)</f>
        <v>0</v>
      </c>
      <c r="D136" s="203">
        <v>0</v>
      </c>
      <c r="E136" s="119">
        <f>VLOOKUP($A136,TOCA_previous!$A$2:$AI$137,MATCH(E$4,TOCA_previous!$A$2:$AI$2,0),FALSE)</f>
        <v>1.7507E-3</v>
      </c>
      <c r="F136" s="120">
        <f>VLOOKUP($A136,TOCA_previous!$A$2:$AI$137,MATCH(F$4,TOCA_previous!$A$2:$AI$2,0),FALSE)</f>
        <v>1.7507E-3</v>
      </c>
      <c r="G136" s="120">
        <f t="shared" si="43"/>
        <v>0</v>
      </c>
      <c r="H136" s="120">
        <f>VLOOKUP($A136,TOCA_previous!$A$2:$AI$137,MATCH(H$4,TOCA_previous!$A$2:$AI$2,0),FALSE)</f>
        <v>0</v>
      </c>
      <c r="I136" s="120">
        <f t="shared" si="44"/>
        <v>0</v>
      </c>
      <c r="J136" s="120">
        <f t="shared" si="45"/>
        <v>0</v>
      </c>
      <c r="K136" s="191">
        <f>VLOOKUP(A136, IRD!$A$5:$C$139, 3, FALSE)</f>
        <v>0</v>
      </c>
      <c r="L136" s="192">
        <f t="array" ref="L136">IF($G136=0, INDEX(LS_previous!$D$4:$AY$138, MATCH('Staging Table'!$A136, LS_previous!$B$4:$B$138, 0), MATCH(L$4&amp;L$5, LS_previous!$D$2:$AY$2&amp;LS_previous!$D$3:$AY$3, 0)),SUM(VLOOKUP($A136, LS_previous!$B$4:$AY$138, LS_previous!D$149, FALSE), VLOOKUP('Staging Table'!$A136, LS_previous!$B$4:$AY$138,LS_previous!AB$149, FALSE))/2)</f>
        <v>-356.799774771599</v>
      </c>
      <c r="M136" s="192">
        <f t="array" ref="M136">IF($G136=0, INDEX(LS_previous!$D$4:$AY$138, MATCH('Staging Table'!$A136, LS_previous!$B$4:$B$138, 0), MATCH(M$4&amp;M$5, LS_previous!$D$2:$AY$2&amp;LS_previous!$D$3:$AY$3, 0)),SUM(VLOOKUP($A136, LS_previous!$B$4:$AY$138, LS_previous!E$149, FALSE), VLOOKUP('Staging Table'!$A136, LS_previous!$B$4:$AY$138,LS_previous!AC$149, FALSE))/2)</f>
        <v>28.175559734400395</v>
      </c>
      <c r="N136" s="192">
        <f t="array" ref="N136">IF($G136=0, INDEX(LS_previous!$D$4:$AY$138, MATCH('Staging Table'!$A136, LS_previous!$B$4:$B$138, 0), MATCH(N$4&amp;N$5, LS_previous!$D$2:$AY$2&amp;LS_previous!$D$3:$AY$3, 0)),SUM(VLOOKUP($A136, LS_previous!$B$4:$AY$138, LS_previous!F$149, FALSE), VLOOKUP('Staging Table'!$A136, LS_previous!$B$4:$AY$138,LS_previous!AD$149, FALSE))/2)</f>
        <v>-1059.2113312695992</v>
      </c>
      <c r="O136" s="192">
        <f t="array" ref="O136">IF($G136=0, INDEX(LS_previous!$D$4:$AY$138, MATCH('Staging Table'!$A136, LS_previous!$B$4:$B$138, 0), MATCH(O$4&amp;O$5, LS_previous!$D$2:$AY$2&amp;LS_previous!$D$3:$AY$3, 0)),SUM(VLOOKUP($A136, LS_previous!$B$4:$AY$138, LS_previous!G$149, FALSE), VLOOKUP('Staging Table'!$A136, LS_previous!$B$4:$AY$138,LS_previous!AE$149, FALSE))/2)</f>
        <v>-150.89964024770052</v>
      </c>
      <c r="P136" s="192">
        <f t="array" ref="P136">IF($G136=0, INDEX(LS_previous!$D$4:$AY$138, MATCH('Staging Table'!$A136, LS_previous!$B$4:$B$138, 0), MATCH(P$4&amp;P$5, LS_previous!$D$2:$AY$2&amp;LS_previous!$D$3:$AY$3, 0)),SUM(VLOOKUP($A136, LS_previous!$B$4:$AY$138, LS_previous!H$149, FALSE), VLOOKUP('Staging Table'!$A136, LS_previous!$B$4:$AY$138,LS_previous!AF$149, FALSE))/2)</f>
        <v>36.339904329600358</v>
      </c>
      <c r="Q136" s="192">
        <f t="array" ref="Q136">IF($G136=0, INDEX(LS_previous!$D$4:$AY$138, MATCH('Staging Table'!$A136, LS_previous!$B$4:$B$138, 0), MATCH(Q$4&amp;Q$5, LS_previous!$D$2:$AY$2&amp;LS_previous!$D$3:$AY$3, 0)),SUM(VLOOKUP($A136, LS_previous!$B$4:$AY$138, LS_previous!I$149, FALSE), VLOOKUP('Staging Table'!$A136, LS_previous!$B$4:$AY$138,LS_previous!AG$149, FALSE))/2)</f>
        <v>604.50553253319958</v>
      </c>
      <c r="R136" s="192">
        <f t="array" ref="R136">IF($G136=0, INDEX(LS_previous!$D$4:$AY$138, MATCH('Staging Table'!$A136, LS_previous!$B$4:$B$138, 0), MATCH(R$4&amp;R$5, LS_previous!$D$2:$AY$2&amp;LS_previous!$D$3:$AY$3, 0)),SUM(VLOOKUP($A136, LS_previous!$B$4:$AY$138, LS_previous!J$149, FALSE), VLOOKUP('Staging Table'!$A136, LS_previous!$B$4:$AY$138,LS_previous!AH$149, FALSE))/2)</f>
        <v>1222.4899175295996</v>
      </c>
      <c r="S136" s="192">
        <f t="array" ref="S136">IF($G136=0, INDEX(LS_previous!$D$4:$AY$138, MATCH('Staging Table'!$A136, LS_previous!$B$4:$B$138, 0), MATCH(S$4&amp;S$5, LS_previous!$D$2:$AY$2&amp;LS_previous!$D$3:$AY$3, 0)),SUM(VLOOKUP($A136, LS_previous!$B$4:$AY$138, LS_previous!K$149, FALSE), VLOOKUP('Staging Table'!$A136, LS_previous!$B$4:$AY$138,LS_previous!AI$149, FALSE))/2)</f>
        <v>1286.8066329332</v>
      </c>
      <c r="T136" s="192">
        <f t="array" ref="T136">IF($G136=0, INDEX(LS_previous!$D$4:$AY$138, MATCH('Staging Table'!$A136, LS_previous!$B$4:$B$138, 0), MATCH(T$4&amp;T$5, LS_previous!$D$2:$AY$2&amp;LS_previous!$D$3:$AY$3, 0)),SUM(VLOOKUP($A136, LS_previous!$B$4:$AY$138, LS_previous!L$149, FALSE), VLOOKUP('Staging Table'!$A136, LS_previous!$B$4:$AY$138,LS_previous!AJ$149, FALSE))/2)</f>
        <v>703.09161501320068</v>
      </c>
      <c r="U136" s="192">
        <f t="array" ref="U136">IF($G136=0, INDEX(LS_previous!$D$4:$AY$138, MATCH('Staging Table'!$A136, LS_previous!$B$4:$B$138, 0), MATCH(U$4&amp;U$5, LS_previous!$D$2:$AY$2&amp;LS_previous!$D$3:$AY$3, 0)),SUM(VLOOKUP($A136, LS_previous!$B$4:$AY$138, LS_previous!M$149, FALSE), VLOOKUP('Staging Table'!$A136, LS_previous!$B$4:$AY$138,LS_previous!AK$149, FALSE))/2)</f>
        <v>756.00605322679985</v>
      </c>
      <c r="V136" s="192">
        <f t="array" ref="V136">IF($G136=0, INDEX(LS_previous!$D$4:$AY$138, MATCH('Staging Table'!$A136, LS_previous!$B$4:$B$138, 0), MATCH(V$4&amp;V$5, LS_previous!$D$2:$AY$2&amp;LS_previous!$D$3:$AY$3, 0)),SUM(VLOOKUP($A136, LS_previous!$B$4:$AY$138, LS_previous!N$149, FALSE), VLOOKUP('Staging Table'!$A136, LS_previous!$B$4:$AY$138,LS_previous!AL$149, FALSE))/2)</f>
        <v>-368.5253936711988</v>
      </c>
      <c r="W136" s="192">
        <f t="array" ref="W136">IF($G136=0, INDEX(LS_previous!$D$4:$AY$138, MATCH('Staging Table'!$A136, LS_previous!$B$4:$B$138, 0), MATCH(W$4&amp;W$5, LS_previous!$D$2:$AY$2&amp;LS_previous!$D$3:$AY$3, 0)),SUM(VLOOKUP($A136, LS_previous!$B$4:$AY$138, LS_previous!O$149, FALSE), VLOOKUP('Staging Table'!$A136, LS_previous!$B$4:$AY$138,LS_previous!AM$149, FALSE))/2)</f>
        <v>17.176550765299908</v>
      </c>
      <c r="X136" s="192">
        <f t="array" ref="X136">IF($G136=0, INDEX(LS_previous!$D$4:$AY$138, MATCH('Staging Table'!$A136, LS_previous!$B$4:$B$138, 0), MATCH(X$4&amp;X$5, LS_previous!$D$2:$AY$2&amp;LS_previous!$D$3:$AY$3, 0)),SUM(VLOOKUP($A136, LS_previous!$B$4:$AY$138, LS_previous!P$149, FALSE), VLOOKUP('Staging Table'!$A136, LS_previous!$B$4:$AY$138,LS_previous!AN$149, FALSE))/2)</f>
        <v>334.88618867920013</v>
      </c>
      <c r="Y136" s="192">
        <f t="array" ref="Y136">IF($G136=0, INDEX(LS_previous!$D$4:$AY$138, MATCH('Staging Table'!$A136, LS_previous!$B$4:$B$138, 0), MATCH(Y$4&amp;Y$5, LS_previous!$D$2:$AY$2&amp;LS_previous!$D$3:$AY$3, 0)),SUM(VLOOKUP($A136, LS_previous!$B$4:$AY$138, LS_previous!Q$149, FALSE), VLOOKUP('Staging Table'!$A136, LS_previous!$B$4:$AY$138,LS_previous!AO$149, FALSE))/2)</f>
        <v>165.24152638479973</v>
      </c>
      <c r="Z136" s="192">
        <f t="array" ref="Z136">IF($G136=0, INDEX(LS_previous!$D$4:$AY$138, MATCH('Staging Table'!$A136, LS_previous!$B$4:$B$138, 0), MATCH(Z$4&amp;Z$5, LS_previous!$D$2:$AY$2&amp;LS_previous!$D$3:$AY$3, 0)),SUM(VLOOKUP($A136, LS_previous!$B$4:$AY$138, LS_previous!R$149, FALSE), VLOOKUP('Staging Table'!$A136, LS_previous!$B$4:$AY$138,LS_previous!AP$149, FALSE))/2)</f>
        <v>-1178.2380859700006</v>
      </c>
      <c r="AA136" s="192">
        <f t="array" ref="AA136">IF($G136=0, INDEX(LS_previous!$D$4:$AY$138, MATCH('Staging Table'!$A136, LS_previous!$B$4:$B$138, 0), MATCH(AA$4&amp;AA$5, LS_previous!$D$2:$AY$2&amp;LS_previous!$D$3:$AY$3, 0)),SUM(VLOOKUP($A136, LS_previous!$B$4:$AY$138, LS_previous!S$149, FALSE), VLOOKUP('Staging Table'!$A136, LS_previous!$B$4:$AY$138,LS_previous!AQ$149, FALSE))/2)</f>
        <v>-293.92396041719985</v>
      </c>
      <c r="AB136" s="192">
        <f t="array" ref="AB136">IF($G136=0, INDEX(LS_previous!$D$4:$AY$138, MATCH('Staging Table'!$A136, LS_previous!$B$4:$B$138, 0), MATCH(AB$4&amp;AB$5, LS_previous!$D$2:$AY$2&amp;LS_previous!$D$3:$AY$3, 0)),SUM(VLOOKUP($A136, LS_previous!$B$4:$AY$138, LS_previous!T$149, FALSE), VLOOKUP('Staging Table'!$A136, LS_previous!$B$4:$AY$138,LS_previous!AR$149, FALSE))/2)</f>
        <v>-2365.1403527707998</v>
      </c>
      <c r="AC136" s="192">
        <f t="array" ref="AC136">IF($G136=0, INDEX(LS_previous!$D$4:$AY$138, MATCH('Staging Table'!$A136, LS_previous!$B$4:$B$138, 0), MATCH(AC$4&amp;AC$5, LS_previous!$D$2:$AY$2&amp;LS_previous!$D$3:$AY$3, 0)),SUM(VLOOKUP($A136, LS_previous!$B$4:$AY$138, LS_previous!U$149, FALSE), VLOOKUP('Staging Table'!$A136, LS_previous!$B$4:$AY$138,LS_previous!AS$149, FALSE))/2)</f>
        <v>-1252.8519738152004</v>
      </c>
      <c r="AD136" s="192">
        <f t="array" ref="AD136">IF($G136=0, INDEX(LS_previous!$D$4:$AY$138, MATCH('Staging Table'!$A136, LS_previous!$B$4:$B$138, 0), MATCH(AD$4&amp;AD$5, LS_previous!$D$2:$AY$2&amp;LS_previous!$D$3:$AY$3, 0)),SUM(VLOOKUP($A136, LS_previous!$B$4:$AY$138, LS_previous!V$149, FALSE), VLOOKUP('Staging Table'!$A136, LS_previous!$B$4:$AY$138,LS_previous!AT$149, FALSE))/2)</f>
        <v>72.296603729200797</v>
      </c>
      <c r="AE136" s="192">
        <f t="array" ref="AE136">IF($G136=0, INDEX(LS_previous!$D$4:$AY$138, MATCH('Staging Table'!$A136, LS_previous!$B$4:$B$138, 0), MATCH(AE$4&amp;AE$5, LS_previous!$D$2:$AY$2&amp;LS_previous!$D$3:$AY$3, 0)),SUM(VLOOKUP($A136, LS_previous!$B$4:$AY$138, LS_previous!W$149, FALSE), VLOOKUP('Staging Table'!$A136, LS_previous!$B$4:$AY$138,LS_previous!AU$149, FALSE))/2)</f>
        <v>897.4118364336</v>
      </c>
      <c r="AF136" s="192">
        <f t="array" ref="AF136">IF($G136=0, INDEX(LS_previous!$D$4:$AY$138, MATCH('Staging Table'!$A136, LS_previous!$B$4:$B$138, 0), MATCH(AF$4&amp;AF$5, LS_previous!$D$2:$AY$2&amp;LS_previous!$D$3:$AY$3, 0)),SUM(VLOOKUP($A136, LS_previous!$B$4:$AY$138, LS_previous!X$149, FALSE), VLOOKUP('Staging Table'!$A136, LS_previous!$B$4:$AY$138,LS_previous!AV$149, FALSE))/2)</f>
        <v>308.75076407920005</v>
      </c>
      <c r="AG136" s="192">
        <f t="array" ref="AG136">IF($G136=0, INDEX(LS_previous!$D$4:$AY$138, MATCH('Staging Table'!$A136, LS_previous!$B$4:$B$138, 0), MATCH(AG$4&amp;AG$5, LS_previous!$D$2:$AY$2&amp;LS_previous!$D$3:$AY$3, 0)),SUM(VLOOKUP($A136, LS_previous!$B$4:$AY$138, LS_previous!Y$149, FALSE), VLOOKUP('Staging Table'!$A136, LS_previous!$B$4:$AY$138,LS_previous!AW$149, FALSE))/2)</f>
        <v>589.70310043359996</v>
      </c>
      <c r="AH136" s="192">
        <f t="array" ref="AH136">IF($G136=0, INDEX(LS_previous!$D$4:$AY$138, MATCH('Staging Table'!$A136, LS_previous!$B$4:$B$138, 0), MATCH(AH$4&amp;AH$5, LS_previous!$D$2:$AY$2&amp;LS_previous!$D$3:$AY$3, 0)),SUM(VLOOKUP($A136, LS_previous!$B$4:$AY$138, LS_previous!Z$149, FALSE), VLOOKUP('Staging Table'!$A136, LS_previous!$B$4:$AY$138,LS_previous!AX$149, FALSE))/2)</f>
        <v>-274.93716992000009</v>
      </c>
      <c r="AI136" s="192">
        <f t="array" ref="AI136">IF($G136=0, INDEX(LS_previous!$D$4:$AY$138, MATCH('Staging Table'!$A136, LS_previous!$B$4:$B$138, 0), MATCH(AI$4&amp;AI$5, LS_previous!$D$2:$AY$2&amp;LS_previous!$D$3:$AY$3, 0)),SUM(VLOOKUP($A136, LS_previous!$B$4:$AY$138, LS_previous!AA$149, FALSE), VLOOKUP('Staging Table'!$A136, LS_previous!$B$4:$AY$138,LS_previous!AY$149, FALSE))/2)</f>
        <v>59.698168284000076</v>
      </c>
      <c r="AJ136" s="314">
        <f t="array" ref="AJ136">INDEX(Demand_previous!$D$4:$AY$138, MATCH('Staging Table'!$A136, Demand_previous!$B$4:$B$138, 0), MATCH(AJ$4&amp;AJ$5,Demand_previous!$D$2:$AY$2&amp;Demand_previous!$D$3:$AY$3, 0))/1000</f>
        <v>2.2215486111111113</v>
      </c>
      <c r="AK136" s="314">
        <f t="array" ref="AK136">INDEX(Demand_previous!$D$4:$AY$138, MATCH('Staging Table'!$A136, Demand_previous!$B$4:$B$138, 0), MATCH(AK$4&amp;AK$5,Demand_previous!$D$2:$AY$2&amp;Demand_previous!$D$3:$AY$3, 0))/1000</f>
        <v>1.1931099999999977</v>
      </c>
      <c r="AL136" s="314">
        <f t="array" ref="AL136">INDEX(Demand_previous!$D$4:$AY$138, MATCH('Staging Table'!$A136, Demand_previous!$B$4:$B$138, 0), MATCH(AL$4&amp;AL$5,Demand_previous!$D$2:$AY$2&amp;Demand_previous!$D$3:$AY$3, 0))/1000</f>
        <v>2.1176050000000002</v>
      </c>
      <c r="AM136" s="314">
        <f t="array" ref="AM136">INDEX(Demand_previous!$D$4:$AY$138, MATCH('Staging Table'!$A136, Demand_previous!$B$4:$B$138, 0), MATCH(AM$4&amp;AM$5,Demand_previous!$D$2:$AY$2&amp;Demand_previous!$D$3:$AY$3, 0))/1000</f>
        <v>1.9003437499999989</v>
      </c>
      <c r="AN136" s="314">
        <f t="array" ref="AN136">INDEX(Demand_previous!$D$4:$AY$138, MATCH('Staging Table'!$A136, Demand_previous!$B$4:$B$138, 0), MATCH(AN$4&amp;AN$5,Demand_previous!$D$2:$AY$2&amp;Demand_previous!$D$3:$AY$3, 0))/1000</f>
        <v>1.6288274999999981</v>
      </c>
      <c r="AO136" s="314">
        <f t="array" ref="AO136">INDEX(Demand_previous!$D$4:$AY$138, MATCH('Staging Table'!$A136, Demand_previous!$B$4:$B$138, 0), MATCH(AO$4&amp;AO$5,Demand_previous!$D$2:$AY$2&amp;Demand_previous!$D$3:$AY$3, 0))/1000</f>
        <v>1.7835480769230772</v>
      </c>
      <c r="AP136" s="314">
        <f t="array" ref="AP136">INDEX(Demand_previous!$D$4:$AY$138, MATCH('Staging Table'!$A136, Demand_previous!$B$4:$B$138, 0), MATCH(AP$4&amp;AP$5,Demand_previous!$D$2:$AY$2&amp;Demand_previous!$D$3:$AY$3, 0))/1000</f>
        <v>1.6389495192307704</v>
      </c>
      <c r="AQ136" s="314">
        <f t="array" ref="AQ136">INDEX(Demand_previous!$D$4:$AY$138, MATCH('Staging Table'!$A136, Demand_previous!$B$4:$B$138, 0), MATCH(AQ$4&amp;AQ$5,Demand_previous!$D$2:$AY$2&amp;Demand_previous!$D$3:$AY$3, 0))/1000</f>
        <v>0.75864499999999868</v>
      </c>
      <c r="AR136" s="314">
        <f t="array" ref="AR136">INDEX(Demand_previous!$D$4:$AY$138, MATCH('Staging Table'!$A136, Demand_previous!$B$4:$B$138, 0), MATCH(AR$4&amp;AR$5,Demand_previous!$D$2:$AY$2&amp;Demand_previous!$D$3:$AY$3, 0))/1000</f>
        <v>2.2686442307692305</v>
      </c>
      <c r="AS136" s="314">
        <f t="array" ref="AS136">INDEX(Demand_previous!$D$4:$AY$138, MATCH('Staging Table'!$A136, Demand_previous!$B$4:$B$138, 0), MATCH(AS$4&amp;AS$5,Demand_previous!$D$2:$AY$2&amp;Demand_previous!$D$3:$AY$3, 0))/1000</f>
        <v>3.1419302884615359</v>
      </c>
      <c r="AT136" s="314">
        <f t="array" ref="AT136">INDEX(Demand_previous!$D$4:$AY$138, MATCH('Staging Table'!$A136, Demand_previous!$B$4:$B$138, 0), MATCH(AT$4&amp;AT$5,Demand_previous!$D$2:$AY$2&amp;Demand_previous!$D$3:$AY$3, 0))/1000</f>
        <v>1.712189903846153</v>
      </c>
      <c r="AU136" s="314">
        <f t="array" ref="AU136">INDEX(Demand_previous!$D$4:$AY$138, MATCH('Staging Table'!$A136, Demand_previous!$B$4:$B$138, 0), MATCH(AU$4&amp;AU$5,Demand_previous!$D$2:$AY$2&amp;Demand_previous!$D$3:$AY$3, 0))/1000</f>
        <v>1.705042500000002</v>
      </c>
      <c r="AV136" s="192">
        <f>$F136*(VLOOKUP(AV$4, Rates_previous!$G$6:$Q$29, 10, FALSE)+VLOOKUP(AV$4, Rates_previous!$G$6:$Q$29, 11, FALSE))</f>
        <v>8083.5372150371995</v>
      </c>
      <c r="AW136" s="192">
        <f>$F136*(VLOOKUP(AW$4, Rates_previous!$G$6:$Q$29, 10, FALSE)+VLOOKUP(AW$4, Rates_previous!$G$6:$Q$29, 11, FALSE))</f>
        <v>10268.613971517299</v>
      </c>
      <c r="AX136" s="192">
        <f>$F136*(VLOOKUP(AX$4, Rates_previous!$G$6:$Q$29, 10, FALSE)+VLOOKUP(AX$4, Rates_previous!$G$6:$Q$29, 11, FALSE))</f>
        <v>10144.6065631372</v>
      </c>
      <c r="AY136" s="192">
        <f>$F136*(VLOOKUP(AY$4, Rates_previous!$G$6:$Q$29, 10, FALSE)+VLOOKUP(AY$4, Rates_previous!$G$6:$Q$29, 11, FALSE))</f>
        <v>8456.1474495372004</v>
      </c>
      <c r="AZ136" s="192">
        <f>$F136*(VLOOKUP(AZ$4, Rates_previous!$G$6:$Q$29, 10, FALSE)+VLOOKUP(AZ$4, Rates_previous!$G$6:$Q$29, 11, FALSE))</f>
        <v>7660.3923317599993</v>
      </c>
      <c r="BA136" s="192">
        <f>$F136*(VLOOKUP(BA$4, Rates_previous!$G$6:$Q$29, 10, FALSE)+VLOOKUP(BA$4, Rates_previous!$G$6:$Q$29, 11, FALSE))</f>
        <v>8520.7898429059005</v>
      </c>
      <c r="BB136" s="192">
        <f>$F136*(VLOOKUP(BB$4, Rates_previous!$G$6:$Q$29, 10, FALSE)+VLOOKUP(BB$4, Rates_previous!$G$6:$Q$29, 11, FALSE))</f>
        <v>6937.6362849360003</v>
      </c>
      <c r="BC136" s="192">
        <f>$F136*(VLOOKUP(BC$4, Rates_previous!$G$6:$Q$29, 10, FALSE)+VLOOKUP(BC$4, Rates_previous!$G$6:$Q$29, 11, FALSE))</f>
        <v>9356.4370463872001</v>
      </c>
      <c r="BD136" s="192">
        <f>$F136*(VLOOKUP(BD$4, Rates_previous!$G$6:$Q$29, 10, FALSE)+VLOOKUP(BD$4, Rates_previous!$G$6:$Q$29, 11, FALSE))</f>
        <v>11938.177326586001</v>
      </c>
      <c r="BE136" s="192">
        <f>$F136*(VLOOKUP(BE$4, Rates_previous!$G$6:$Q$29, 10, FALSE)+VLOOKUP(BE$4, Rates_previous!$G$6:$Q$29, 11, FALSE))</f>
        <v>9359.9095598372005</v>
      </c>
      <c r="BF136" s="192">
        <f>$F136*(VLOOKUP(BF$4, Rates_previous!$G$6:$Q$29, 10, FALSE)+VLOOKUP(BF$4, Rates_previous!$G$6:$Q$29, 11, FALSE))</f>
        <v>9114.6881354872003</v>
      </c>
      <c r="BG136" s="192">
        <f>$F136*(VLOOKUP(BG$4, Rates_previous!$G$6:$Q$29, 10, FALSE)+VLOOKUP(BG$4, Rates_previous!$G$6:$Q$29, 11, FALSE))</f>
        <v>8183.0510016360004</v>
      </c>
      <c r="BH136" s="314">
        <f>IF($D136=0,IF(C136=0, MAX(BJ136 - (VLOOKUP($A136,TOCA_previous!$A$2:$AI$137,MATCH("RHWM 2020",TOCA_previous!$A$2:$AI$2,0),FALSE)*$F$2*TOCA_previous!C133),0),0), 0)</f>
        <v>0</v>
      </c>
      <c r="BI136" s="204">
        <f>MIN(VLOOKUP($A136,TOCA_previous!$A$2:$AI$137,MATCH("TRL - NLSL - Existing Resource "&amp;$F$1,TOCA_previous!$A$2:$AI$2,0),FALSE)*$F$2,(VLOOKUP($A136,TOCA_previous!$A$2:$AI$137,MATCH("RHWM 2020",TOCA_previous!$A$2:$AI$2,0),FALSE)*$F$2))</f>
        <v>108025.632</v>
      </c>
      <c r="BJ136" s="418">
        <f>SUM(L136:AI136)+(F136*RT1SC!$C$3*$F$2)</f>
        <v>107806.0430546212</v>
      </c>
      <c r="BK136" s="417">
        <f>VLOOKUP($A136,TOCA_previous!$A$2:$AI$137,MATCH("Above RHWM Not Served with LS "&amp;$F$1,TOCA_previous!$A$2:$AI$2,0),FALSE)*$F$2</f>
        <v>0</v>
      </c>
      <c r="BL136" s="418">
        <f t="shared" si="46"/>
        <v>-219.58894537879678</v>
      </c>
      <c r="BM136" s="417">
        <f>(VLOOKUP($A136,TOCA_previous!$A$2:$AI$137,MATCH("RHWM 2020",TOCA_previous!$A$2:$AI$2,0),FALSE)*$F$2) - $BI136</f>
        <v>5015.6640000000043</v>
      </c>
      <c r="BN136" s="418">
        <f t="shared" si="47"/>
        <v>0</v>
      </c>
      <c r="BO136" s="417">
        <f t="shared" si="48"/>
        <v>219.58894537879678</v>
      </c>
      <c r="BP136" s="418">
        <f t="shared" si="49"/>
        <v>0</v>
      </c>
      <c r="BQ136" s="417">
        <f t="shared" si="40"/>
        <v>219.58894537879678</v>
      </c>
      <c r="BR136" s="120">
        <f>VLOOKUP($A136,TOCA_current!$A$2:$AI$137,MATCH(BR$4,TOCA_current!$A$2:$AI$2,0),FALSE)</f>
        <v>1.8270000000000001E-3</v>
      </c>
      <c r="BS136" s="120">
        <f>VLOOKUP($A136,TOCA_current!$A$2:$AI$137,MATCH(BS$4,TOCA_current!$A$2:$AI$2,0),FALSE)</f>
        <v>1.8270000000000001E-3</v>
      </c>
      <c r="BT136" s="201">
        <f t="shared" si="50"/>
        <v>0</v>
      </c>
      <c r="BU136" s="120">
        <f>VLOOKUP($A136,TOCA_current!A132:BG267,MATCH(BU$4,TOCA_current!$A$2:$BG$2,0),FALSE)</f>
        <v>0</v>
      </c>
      <c r="BV136" s="120">
        <f t="shared" si="41"/>
        <v>0</v>
      </c>
      <c r="BW136" s="120">
        <f t="shared" si="42"/>
        <v>0</v>
      </c>
      <c r="BX136" s="191">
        <f>VLOOKUP($A136,IRD!$A$4:$G$139, 7, FALSE)</f>
        <v>0</v>
      </c>
      <c r="BY136" s="192">
        <f t="array" ref="BY136">IF($BT136=0, INDEX(LS_current!$D$4:$AY$138, MATCH('Staging Table'!$A136, LS_current!$B$4:$B$138, 0), MATCH(BY$4&amp;BY$5, LS_current!$D$2:$AY$2&amp;LS_current!$D$3:$AY$3, 0)),SUM(VLOOKUP($A136, LS_current!$B$4:$AY$138, LS_current!D$148, FALSE), VLOOKUP($A136, LS_current!$B$4:$AY$138,LS_current!AB$148, FALSE))/2)</f>
        <v>-425.11281330635757</v>
      </c>
      <c r="BZ136" s="192">
        <f t="array" ref="BZ136">IF($BT136=0, INDEX(LS_current!$D$4:$AY$138, MATCH('Staging Table'!$A136, LS_current!$B$4:$B$138, 0), MATCH(BZ$4&amp;BZ$5, LS_current!$D$2:$AY$2&amp;LS_current!$D$3:$AY$3, 0)),SUM(VLOOKUP($A136, LS_current!$B$4:$AY$138, LS_current!E$148, FALSE), VLOOKUP($A136, LS_current!$B$4:$AY$138,LS_current!AC$148, FALSE))/2)</f>
        <v>-139.99410342764259</v>
      </c>
      <c r="CA136" s="192">
        <f t="array" ref="CA136">IF($BT136=0, INDEX(LS_current!$D$4:$AY$138, MATCH('Staging Table'!$A136, LS_current!$B$4:$B$138, 0), MATCH(CA$4&amp;CA$5, LS_current!$D$2:$AY$2&amp;LS_current!$D$3:$AY$3, 0)),SUM(VLOOKUP($A136, LS_current!$B$4:$AY$138, LS_current!F$148, FALSE), VLOOKUP($A136, LS_current!$B$4:$AY$138,LS_current!AD$148, FALSE))/2)</f>
        <v>-1085.0698266048994</v>
      </c>
      <c r="CB136" s="192">
        <f t="array" ref="CB136">IF($BT136=0, INDEX(LS_current!$D$4:$AY$138, MATCH('Staging Table'!$A136, LS_current!$B$4:$B$138, 0), MATCH(CB$4&amp;CB$5, LS_current!$D$2:$AY$2&amp;LS_current!$D$3:$AY$3, 0)),SUM(VLOOKUP($A136, LS_current!$B$4:$AY$138, LS_current!G$148, FALSE), VLOOKUP($A136, LS_current!$B$4:$AY$138,LS_current!AE$148, FALSE))/2)</f>
        <v>-389.87434228216716</v>
      </c>
      <c r="CC136" s="192">
        <f t="array" ref="CC136">IF($BT136=0, INDEX(LS_current!$D$4:$AY$138, MATCH('Staging Table'!$A136, LS_current!$B$4:$B$138, 0), MATCH(CC$4&amp;CC$5, LS_current!$D$2:$AY$2&amp;LS_current!$D$3:$AY$3, 0)),SUM(VLOOKUP($A136, LS_current!$B$4:$AY$138, LS_current!H$148, FALSE), VLOOKUP($A136, LS_current!$B$4:$AY$138,LS_current!AF$148, FALSE))/2)</f>
        <v>446.14251191538096</v>
      </c>
      <c r="CD136" s="192">
        <f t="array" ref="CD136">IF($BT136=0, INDEX(LS_current!$D$4:$AY$138, MATCH('Staging Table'!$A136, LS_current!$B$4:$B$138, 0), MATCH(CD$4&amp;CD$5, LS_current!$D$2:$AY$2&amp;LS_current!$D$3:$AY$3, 0)),SUM(VLOOKUP($A136, LS_current!$B$4:$AY$138, LS_current!I$148, FALSE), VLOOKUP($A136, LS_current!$B$4:$AY$138,LS_current!AG$148, FALSE))/2)</f>
        <v>29.169115692870946</v>
      </c>
      <c r="CE136" s="192">
        <f t="array" ref="CE136">IF($BT136=0, INDEX(LS_current!$D$4:$AY$138, MATCH('Staging Table'!$A136, LS_current!$B$4:$B$138, 0), MATCH(CE$4&amp;CE$5, LS_current!$D$2:$AY$2&amp;LS_current!$D$3:$AY$3, 0)),SUM(VLOOKUP($A136, LS_current!$B$4:$AY$138, LS_current!J$148, FALSE), VLOOKUP($A136, LS_current!$B$4:$AY$138,LS_current!AH$148, FALSE))/2)</f>
        <v>1692.4448420550325</v>
      </c>
      <c r="CF136" s="192">
        <f t="array" ref="CF136">IF($BT136=0, INDEX(LS_current!$D$4:$AY$138, MATCH('Staging Table'!$A136, LS_current!$B$4:$B$138, 0), MATCH(CF$4&amp;CF$5, LS_current!$D$2:$AY$2&amp;LS_current!$D$3:$AY$3, 0)),SUM(VLOOKUP($A136, LS_current!$B$4:$AY$138, LS_current!K$148, FALSE), VLOOKUP($A136, LS_current!$B$4:$AY$138,LS_current!AI$148, FALSE))/2)</f>
        <v>757.26164743867821</v>
      </c>
      <c r="CG136" s="192">
        <f t="array" ref="CG136">IF($BT136=0, INDEX(LS_current!$D$4:$AY$138, MATCH('Staging Table'!$A136, LS_current!$B$4:$B$138, 0), MATCH(CG$4&amp;CG$5, LS_current!$D$2:$AY$2&amp;LS_current!$D$3:$AY$3, 0)),SUM(VLOOKUP($A136, LS_current!$B$4:$AY$138, LS_current!L$148, FALSE), VLOOKUP($A136, LS_current!$B$4:$AY$138,LS_current!AJ$148, FALSE))/2)</f>
        <v>1248.6661477217003</v>
      </c>
      <c r="CH136" s="192">
        <f t="array" ref="CH136">IF($BT136=0, INDEX(LS_current!$D$4:$AY$138, MATCH('Staging Table'!$A136, LS_current!$B$4:$B$138, 0), MATCH(CH$4&amp;CH$5, LS_current!$D$2:$AY$2&amp;LS_current!$D$3:$AY$3, 0)),SUM(VLOOKUP($A136, LS_current!$B$4:$AY$138, LS_current!M$148, FALSE), VLOOKUP($A136, LS_current!$B$4:$AY$138,LS_current!AK$148, FALSE))/2)</f>
        <v>490.04751175203046</v>
      </c>
      <c r="CI136" s="192">
        <f t="array" ref="CI136">IF($BT136=0, INDEX(LS_current!$D$4:$AY$138, MATCH('Staging Table'!$A136, LS_current!$B$4:$B$138, 0), MATCH(CI$4&amp;CI$5, LS_current!$D$2:$AY$2&amp;LS_current!$D$3:$AY$3, 0)),SUM(VLOOKUP($A136, LS_current!$B$4:$AY$138, LS_current!N$148, FALSE), VLOOKUP($A136, LS_current!$B$4:$AY$138,LS_current!AL$148, FALSE))/2)</f>
        <v>-362.1003121461099</v>
      </c>
      <c r="CJ136" s="192">
        <f t="array" ref="CJ136">IF($BT136=0, INDEX(LS_current!$D$4:$AY$138, MATCH('Staging Table'!$A136, LS_current!$B$4:$B$138, 0), MATCH(CJ$4&amp;CJ$5, LS_current!$D$2:$AY$2&amp;LS_current!$D$3:$AY$3, 0)),SUM(VLOOKUP($A136, LS_current!$B$4:$AY$138, LS_current!O$148, FALSE), VLOOKUP($A136, LS_current!$B$4:$AY$138,LS_current!AM$148, FALSE))/2)</f>
        <v>-279.61517002630808</v>
      </c>
      <c r="CK136" s="192">
        <f t="array" ref="CK136">IF($BT136=0, INDEX(LS_current!$D$4:$AY$138, MATCH('Staging Table'!$A136, LS_current!$B$4:$B$138, 0), MATCH(CK$4&amp;CK$5, LS_current!$D$2:$AY$2&amp;LS_current!$D$3:$AY$3, 0)),SUM(VLOOKUP($A136, LS_current!$B$4:$AY$138, LS_current!P$148, FALSE), VLOOKUP($A136, LS_current!$B$4:$AY$138,LS_current!AN$148, FALSE))/2)</f>
        <v>484.94299340148973</v>
      </c>
      <c r="CL136" s="192">
        <f t="array" ref="CL136">IF($BT136=0, INDEX(LS_current!$D$4:$AY$138, MATCH('Staging Table'!$A136, LS_current!$B$4:$B$138, 0), MATCH(CL$4&amp;CL$5, LS_current!$D$2:$AY$2&amp;LS_current!$D$3:$AY$3, 0)),SUM(VLOOKUP($A136, LS_current!$B$4:$AY$138, LS_current!Q$148, FALSE), VLOOKUP($A136, LS_current!$B$4:$AY$138,LS_current!AO$148, FALSE))/2)</f>
        <v>112.13101775640553</v>
      </c>
      <c r="CM136" s="192">
        <f t="array" ref="CM136">IF($BT136=0, INDEX(LS_current!$D$4:$AY$138, MATCH('Staging Table'!$A136, LS_current!$B$4:$B$138, 0), MATCH(CM$4&amp;CM$5, LS_current!$D$2:$AY$2&amp;LS_current!$D$3:$AY$3, 0)),SUM(VLOOKUP($A136, LS_current!$B$4:$AY$138, LS_current!R$148, FALSE), VLOOKUP($A136, LS_current!$B$4:$AY$138,LS_current!AP$148, FALSE))/2)</f>
        <v>-1493.3195746345973</v>
      </c>
      <c r="CN136" s="192">
        <f t="array" ref="CN136">IF($BT136=0, INDEX(LS_current!$D$4:$AY$138, MATCH('Staging Table'!$A136, LS_current!$B$4:$B$138, 0), MATCH(CN$4&amp;CN$5, LS_current!$D$2:$AY$2&amp;LS_current!$D$3:$AY$3, 0)),SUM(VLOOKUP($A136, LS_current!$B$4:$AY$138, LS_current!S$148, FALSE), VLOOKUP($A136, LS_current!$B$4:$AY$138,LS_current!AQ$148, FALSE))/2)</f>
        <v>-100.2317454351687</v>
      </c>
      <c r="CO136" s="192">
        <f t="array" ref="CO136">IF($BT136=0, INDEX(LS_current!$D$4:$AY$138, MATCH('Staging Table'!$A136, LS_current!$B$4:$B$138, 0), MATCH(CO$4&amp;CO$5, LS_current!$D$2:$AY$2&amp;LS_current!$D$3:$AY$3, 0)),SUM(VLOOKUP($A136, LS_current!$B$4:$AY$138, LS_current!T$148, FALSE), VLOOKUP($A136, LS_current!$B$4:$AY$138,LS_current!AR$148, FALSE))/2)</f>
        <v>-1839.2364319066683</v>
      </c>
      <c r="CP136" s="192">
        <f t="array" ref="CP136">IF($BT136=0, INDEX(LS_current!$D$4:$AY$138, MATCH('Staging Table'!$A136, LS_current!$B$4:$B$138, 0), MATCH(CP$4&amp;CP$5, LS_current!$D$2:$AY$2&amp;LS_current!$D$3:$AY$3, 0)),SUM(VLOOKUP($A136, LS_current!$B$4:$AY$138, LS_current!U$148, FALSE), VLOOKUP($A136, LS_current!$B$4:$AY$138,LS_current!AS$148, FALSE))/2)</f>
        <v>32.165551273002166</v>
      </c>
      <c r="CQ136" s="192">
        <f t="array" ref="CQ136">IF($BT136=0, INDEX(LS_current!$D$4:$AY$138, MATCH('Staging Table'!$A136, LS_current!$B$4:$B$138, 0), MATCH(CQ$4&amp;CQ$5, LS_current!$D$2:$AY$2&amp;LS_current!$D$3:$AY$3, 0)),SUM(VLOOKUP($A136, LS_current!$B$4:$AY$138, LS_current!V$148, FALSE), VLOOKUP($A136, LS_current!$B$4:$AY$138,LS_current!AT$148, FALSE))/2)</f>
        <v>111.16608047927275</v>
      </c>
      <c r="CR136" s="192">
        <f t="array" ref="CR136">IF($BT136=0, INDEX(LS_current!$D$4:$AY$138, MATCH('Staging Table'!$A136, LS_current!$B$4:$B$138, 0), MATCH(CR$4&amp;CR$5, LS_current!$D$2:$AY$2&amp;LS_current!$D$3:$AY$3, 0)),SUM(VLOOKUP($A136, LS_current!$B$4:$AY$138, LS_current!W$148, FALSE), VLOOKUP($A136, LS_current!$B$4:$AY$138,LS_current!AU$148, FALSE))/2)</f>
        <v>603.08103919609493</v>
      </c>
      <c r="CS136" s="192">
        <f t="array" ref="CS136">IF($BT136=0, INDEX(LS_current!$D$4:$AY$138, MATCH('Staging Table'!$A136, LS_current!$B$4:$B$138, 0), MATCH(CS$4&amp;CS$5, LS_current!$D$2:$AY$2&amp;LS_current!$D$3:$AY$3, 0)),SUM(VLOOKUP($A136, LS_current!$B$4:$AY$138, LS_current!X$148, FALSE), VLOOKUP($A136, LS_current!$B$4:$AY$138,LS_current!AV$148, FALSE))/2)</f>
        <v>296.88452620014868</v>
      </c>
      <c r="CT136" s="192">
        <f t="array" ref="CT136">IF($BT136=0, INDEX(LS_current!$D$4:$AY$138, MATCH('Staging Table'!$A136, LS_current!$B$4:$B$138, 0), MATCH(CT$4&amp;CT$5, LS_current!$D$2:$AY$2&amp;LS_current!$D$3:$AY$3, 0)),SUM(VLOOKUP($A136, LS_current!$B$4:$AY$138, LS_current!Y$148, FALSE), VLOOKUP($A136, LS_current!$B$4:$AY$138,LS_current!AW$148, FALSE))/2)</f>
        <v>423.74330523438857</v>
      </c>
      <c r="CU136" s="192">
        <f t="array" ref="CU136">IF($BT136=0, INDEX(LS_current!$D$4:$AY$138, MATCH('Staging Table'!$A136, LS_current!$B$4:$B$138, 0), MATCH(CU$4&amp;CU$5, LS_current!$D$2:$AY$2&amp;LS_current!$D$3:$AY$3, 0)),SUM(VLOOKUP($A136, LS_current!$B$4:$AY$138, LS_current!Z$148, FALSE), VLOOKUP($A136, LS_current!$B$4:$AY$138,LS_current!AX$148, FALSE))/2)</f>
        <v>-514.84148363697477</v>
      </c>
      <c r="CV136" s="192">
        <f t="array" ref="CV136">IF($BT136=0, INDEX(LS_current!$D$4:$AY$138, MATCH('Staging Table'!$A136, LS_current!$B$4:$B$138, 0), MATCH(CV$4&amp;CV$5, LS_current!$D$2:$AY$2&amp;LS_current!$D$3:$AY$3, 0)),SUM(VLOOKUP($A136, LS_current!$B$4:$AY$138, LS_current!AA$148, FALSE), VLOOKUP($A136, LS_current!$B$4:$AY$138,LS_current!AY$148, FALSE))/2)</f>
        <v>-104.5983143297567</v>
      </c>
      <c r="CW136" s="194">
        <f t="array" ref="CW136">INDEX(Demand_current!$D$4:$AY$138, MATCH($A136, Demand_current!$B$4:$B$138, 0), MATCH(CW$4&amp;CW$5,Demand_current!$D$2:$AY$2&amp;Demand_current!$D$3:$AY$3, 0))/1000</f>
        <v>1.7843004807692315</v>
      </c>
      <c r="CX136" s="194">
        <f t="array" ref="CX136">INDEX(Demand_current!$D$4:$AY$138, MATCH($A136, Demand_current!$B$4:$B$138, 0), MATCH(CX$4&amp;CX$5,Demand_current!$D$2:$AY$2&amp;Demand_current!$D$3:$AY$3, 0))/1000</f>
        <v>1.1931099999999977</v>
      </c>
      <c r="CY136" s="194">
        <f t="array" ref="CY136">INDEX(Demand_current!$D$4:$AY$138, MATCH($A136, Demand_current!$B$4:$B$138, 0), MATCH(CY$4&amp;CY$5,Demand_current!$D$2:$AY$2&amp;Demand_current!$D$3:$AY$3, 0))/1000</f>
        <v>2.7268509615384611</v>
      </c>
      <c r="CZ136" s="194">
        <f t="array" ref="CZ136">INDEX(Demand_current!$D$4:$AY$138, MATCH($A136, Demand_current!$B$4:$B$138, 0), MATCH(CZ$4&amp;CZ$5,Demand_current!$D$2:$AY$2&amp;Demand_current!$D$3:$AY$3, 0))/1000</f>
        <v>1.2717975000000012</v>
      </c>
      <c r="DA136" s="194">
        <f t="array" ref="DA136">INDEX(Demand_current!$D$4:$AY$138, MATCH($A136, Demand_current!$B$4:$B$138, 0), MATCH(DA$4&amp;DA$5,Demand_current!$D$2:$AY$2&amp;Demand_current!$D$3:$AY$3, 0))/1000</f>
        <v>1.0521536458333323</v>
      </c>
      <c r="DB136" s="194">
        <f t="array" ref="DB136">INDEX(Demand_current!$D$4:$AY$138, MATCH($A136, Demand_current!$B$4:$B$138, 0), MATCH(DB$4&amp;DB$5,Demand_current!$D$2:$AY$2&amp;Demand_current!$D$3:$AY$3, 0))/1000</f>
        <v>2.2330833333333331</v>
      </c>
      <c r="DC136" s="194">
        <f t="array" ref="DC136">INDEX(Demand_current!$D$4:$AY$138, MATCH($A136, Demand_current!$B$4:$B$138, 0), MATCH(DC$4&amp;DC$5,Demand_current!$D$2:$AY$2&amp;Demand_current!$D$3:$AY$3, 0))/1000</f>
        <v>1.6389495192307704</v>
      </c>
      <c r="DD136" s="194">
        <f t="array" ref="DD136">INDEX(Demand_current!$D$4:$AY$138, MATCH($A136, Demand_current!$B$4:$B$138, 0), MATCH(DD$4&amp;DD$5,Demand_current!$D$2:$AY$2&amp;Demand_current!$D$3:$AY$3, 0))/1000</f>
        <v>0.75864499999999868</v>
      </c>
      <c r="DE136" s="194">
        <f t="array" ref="DE136">INDEX(Demand_current!$D$4:$AY$138, MATCH($A136, Demand_current!$B$4:$B$138, 0), MATCH(DE$4&amp;DE$5,Demand_current!$D$2:$AY$2&amp;Demand_current!$D$3:$AY$3, 0))/1000</f>
        <v>2.2686442307692305</v>
      </c>
      <c r="DF136" s="194">
        <f t="array" ref="DF136">INDEX(Demand_current!$D$4:$AY$138, MATCH($A136, Demand_current!$B$4:$B$138, 0), MATCH(DF$4&amp;DF$5,Demand_current!$D$2:$AY$2&amp;Demand_current!$D$3:$AY$3, 0))/1000</f>
        <v>2.5154474999999969</v>
      </c>
      <c r="DG136" s="194">
        <f t="array" ref="DG136">INDEX(Demand_current!$D$4:$AY$138, MATCH($A136, Demand_current!$B$4:$B$138, 0), MATCH(DG$4&amp;DG$5,Demand_current!$D$2:$AY$2&amp;Demand_current!$D$3:$AY$3, 0))/1000</f>
        <v>2.2957754629629621</v>
      </c>
      <c r="DH136" s="194">
        <f t="array" ref="DH136">INDEX(Demand_current!$D$4:$AY$138, MATCH($A136, Demand_current!$B$4:$B$138, 0), MATCH(DH$4&amp;DH$5,Demand_current!$D$2:$AY$2&amp;Demand_current!$D$3:$AY$3, 0))/1000</f>
        <v>1.705042500000002</v>
      </c>
      <c r="DI136" s="192">
        <f>$BS136*(VLOOKUP(DI$4, Rates_current!$G$6:$Q$29, 10, FALSE)+VLOOKUP(DI$4, Rates_current!$G$6:$Q$29, 11, FALSE))</f>
        <v>8320.0199167340015</v>
      </c>
      <c r="DJ136" s="192">
        <f>$BS136*(VLOOKUP(DJ$4, Rates_current!$G$6:$Q$29, 10, FALSE)+VLOOKUP(DJ$4, Rates_current!$G$6:$Q$29, 11, FALSE))</f>
        <v>10533.447168887067</v>
      </c>
      <c r="DK136" s="192">
        <f>$BS136*(VLOOKUP(DK$4, Rates_current!$G$6:$Q$29, 10, FALSE)+VLOOKUP(DK$4, Rates_current!$G$6:$Q$29, 11, FALSE))</f>
        <v>10310.14037239175</v>
      </c>
      <c r="DL136" s="192">
        <f>$BS136*(VLOOKUP(DL$4, Rates_current!$G$6:$Q$29, 10, FALSE)+VLOOKUP(DL$4, Rates_current!$G$6:$Q$29, 11, FALSE))</f>
        <v>8515.7375105062893</v>
      </c>
      <c r="DM136" s="192">
        <f>$BS136*(VLOOKUP(DM$4, Rates_current!$G$6:$Q$29, 10, FALSE)+VLOOKUP(DM$4, Rates_current!$G$6:$Q$29, 11, FALSE))</f>
        <v>7380.7763405262704</v>
      </c>
      <c r="DN136" s="192">
        <f>$BS136*(VLOOKUP(DN$4, Rates_current!$G$6:$Q$29, 10, FALSE)+VLOOKUP(DN$4, Rates_current!$G$6:$Q$29, 11, FALSE))</f>
        <v>8811.1564821724187</v>
      </c>
      <c r="DO136" s="192">
        <f>$BS136*(VLOOKUP(DO$4, Rates_current!$G$6:$Q$29, 10, FALSE)+VLOOKUP(DO$4, Rates_current!$G$6:$Q$29, 11, FALSE))</f>
        <v>6840.6899888421049</v>
      </c>
      <c r="DP136" s="192">
        <f>$BS136*(VLOOKUP(DP$4, Rates_current!$G$6:$Q$29, 10, FALSE)+VLOOKUP(DP$4, Rates_current!$G$6:$Q$29, 11, FALSE))</f>
        <v>9477.8263200697656</v>
      </c>
      <c r="DQ136" s="192">
        <f>$BS136*(VLOOKUP(DQ$4, Rates_current!$G$6:$Q$29, 10, FALSE)+VLOOKUP(DQ$4, Rates_current!$G$6:$Q$29, 11, FALSE))</f>
        <v>10127.255880633664</v>
      </c>
      <c r="DR136" s="192">
        <f>$BS136*(VLOOKUP(DR$4, Rates_current!$G$6:$Q$29, 10, FALSE)+VLOOKUP(DR$4, Rates_current!$G$6:$Q$29, 11, FALSE))</f>
        <v>9615.3708803246336</v>
      </c>
      <c r="DS136" s="192">
        <f>$BS136*(VLOOKUP(DS$4, Rates_current!$G$6:$Q$29, 10, FALSE)+VLOOKUP(DS$4, Rates_current!$G$6:$Q$29, 11, FALSE))</f>
        <v>9292.5141685654635</v>
      </c>
      <c r="DT136" s="192">
        <f>$BS136*(VLOOKUP(DT$4, Rates_current!$G$6:$Q$29, 10, FALSE)+VLOOKUP(DT$4, Rates_current!$G$6:$Q$29, 11, FALSE))</f>
        <v>8587.25179796673</v>
      </c>
      <c r="DU136" s="418">
        <f>IF(D136=0,IF(C136=0,MAX(0,DW136 - (VLOOKUP($A136,TOCA_current!$A$2:$AI$137,MATCH("RHWM 2022",TOCA_current!$A$2:$AI$2,0),FALSE)*$BS$2)), 0),0)</f>
        <v>0</v>
      </c>
      <c r="DV136" s="419">
        <f>MIN(VLOOKUP($A136,TOCA_current!$A$2:$AI$137,MATCH("TRL - NLSL - Existing Resource "&amp;$BS$1,TOCA_current!$A$2:$AI$2,0),FALSE)*$BS$2, VLOOKUP($A136,TOCA_current!$A$2:$AI$137,MATCH("RHWM 2022",TOCA_current!$A$2:$AI$2,0),FALSE)*$BS$2)</f>
        <v>107809.32</v>
      </c>
      <c r="DW136" s="419">
        <f>SUM(BY136:CV136)+(BS136*RT1SC!$C$4*$BS$2)</f>
        <v>107806.04451505987</v>
      </c>
      <c r="DX136" s="419">
        <f>VLOOKUP($A136,TOCA_current!$A$2:$AI$137,MATCH("Above RHWM Not Served with LS "&amp;$BS$1,TOCA_current!$A$2:$AI$2,0),FALSE)*$BS$2</f>
        <v>0</v>
      </c>
      <c r="DY136" s="419">
        <f t="shared" si="51"/>
        <v>-3.2754849401389947</v>
      </c>
      <c r="DZ136" s="419">
        <f>(VLOOKUP($A136,TOCA_current!$A$2:$AI$137,MATCH("RHWM 2022",TOCA_current!$A$2:$AI$2,0),FALSE)*$BS$2) - $DV136</f>
        <v>297.83999999998196</v>
      </c>
      <c r="EA136" s="419">
        <f t="shared" si="52"/>
        <v>0</v>
      </c>
      <c r="EB136" s="419">
        <f t="shared" si="53"/>
        <v>3.2754849401389947</v>
      </c>
      <c r="EC136" s="419">
        <f t="shared" si="54"/>
        <v>0</v>
      </c>
      <c r="ED136" s="419">
        <f t="shared" si="55"/>
        <v>3.2754849401389947</v>
      </c>
    </row>
    <row r="137" spans="1:134">
      <c r="A137" s="135">
        <v>10706</v>
      </c>
      <c r="B137" s="136" t="s">
        <v>137</v>
      </c>
      <c r="C137" s="244">
        <f>VLOOKUP(A137, TOCA_current!$A$3:$D$137, 4, FALSE)</f>
        <v>0</v>
      </c>
      <c r="D137" s="203">
        <v>0</v>
      </c>
      <c r="E137" s="119">
        <f>VLOOKUP($A137,TOCA_previous!$A$2:$AI$137,MATCH(E$4,TOCA_previous!$A$2:$AI$2,0),FALSE)</f>
        <v>2.4467E-3</v>
      </c>
      <c r="F137" s="120">
        <f>VLOOKUP($A137,TOCA_previous!$A$2:$AI$137,MATCH(F$4,TOCA_previous!$A$2:$AI$2,0),FALSE)</f>
        <v>2.4467E-3</v>
      </c>
      <c r="G137" s="120">
        <f t="shared" si="43"/>
        <v>0</v>
      </c>
      <c r="H137" s="120">
        <f>VLOOKUP($A137,TOCA_previous!$A$2:$AI$137,MATCH(H$4,TOCA_previous!$A$2:$AI$2,0),FALSE)</f>
        <v>0</v>
      </c>
      <c r="I137" s="120">
        <f t="shared" si="44"/>
        <v>0</v>
      </c>
      <c r="J137" s="120">
        <f t="shared" si="45"/>
        <v>0</v>
      </c>
      <c r="K137" s="191">
        <f>VLOOKUP(A137, IRD!$A$5:$C$139, 3, FALSE)</f>
        <v>0</v>
      </c>
      <c r="L137" s="192">
        <f t="array" ref="L137">IF($G137=0, INDEX(LS_previous!$D$4:$AY$138, MATCH('Staging Table'!$A137, LS_previous!$B$4:$B$138, 0), MATCH(L$4&amp;L$5, LS_previous!$D$2:$AY$2&amp;LS_previous!$D$3:$AY$3, 0)),SUM(VLOOKUP($A137, LS_previous!$B$4:$AY$138, LS_previous!D$149, FALSE), VLOOKUP('Staging Table'!$A137, LS_previous!$B$4:$AY$138,LS_previous!AB$149, FALSE))/2)</f>
        <v>-2733.5622848195999</v>
      </c>
      <c r="M137" s="192">
        <f t="array" ref="M137">IF($G137=0, INDEX(LS_previous!$D$4:$AY$138, MATCH('Staging Table'!$A137, LS_previous!$B$4:$B$138, 0), MATCH(M$4&amp;M$5, LS_previous!$D$2:$AY$2&amp;LS_previous!$D$3:$AY$3, 0)),SUM(VLOOKUP($A137, LS_previous!$B$4:$AY$138, LS_previous!E$149, FALSE), VLOOKUP('Staging Table'!$A137, LS_previous!$B$4:$AY$138,LS_previous!AC$149, FALSE))/2)</f>
        <v>-650.0196986336</v>
      </c>
      <c r="N137" s="192">
        <f t="array" ref="N137">IF($G137=0, INDEX(LS_previous!$D$4:$AY$138, MATCH('Staging Table'!$A137, LS_previous!$B$4:$B$138, 0), MATCH(N$4&amp;N$5, LS_previous!$D$2:$AY$2&amp;LS_previous!$D$3:$AY$3, 0)),SUM(VLOOKUP($A137, LS_previous!$B$4:$AY$138, LS_previous!F$149, FALSE), VLOOKUP('Staging Table'!$A137, LS_previous!$B$4:$AY$138,LS_previous!AD$149, FALSE))/2)</f>
        <v>-4763.0041307575993</v>
      </c>
      <c r="O137" s="192">
        <f t="array" ref="O137">IF($G137=0, INDEX(LS_previous!$D$4:$AY$138, MATCH('Staging Table'!$A137, LS_previous!$B$4:$B$138, 0), MATCH(O$4&amp;O$5, LS_previous!$D$2:$AY$2&amp;LS_previous!$D$3:$AY$3, 0)),SUM(VLOOKUP($A137, LS_previous!$B$4:$AY$138, LS_previous!G$149, FALSE), VLOOKUP('Staging Table'!$A137, LS_previous!$B$4:$AY$138,LS_previous!AE$149, FALSE))/2)</f>
        <v>-1982.8733751037003</v>
      </c>
      <c r="P137" s="192">
        <f t="array" ref="P137">IF($G137=0, INDEX(LS_previous!$D$4:$AY$138, MATCH('Staging Table'!$A137, LS_previous!$B$4:$B$138, 0), MATCH(P$4&amp;P$5, LS_previous!$D$2:$AY$2&amp;LS_previous!$D$3:$AY$3, 0)),SUM(VLOOKUP($A137, LS_previous!$B$4:$AY$138, LS_previous!H$149, FALSE), VLOOKUP('Staging Table'!$A137, LS_previous!$B$4:$AY$138,LS_previous!AF$149, FALSE))/2)</f>
        <v>-4300.8859393824014</v>
      </c>
      <c r="Q137" s="192">
        <f t="array" ref="Q137">IF($G137=0, INDEX(LS_previous!$D$4:$AY$138, MATCH('Staging Table'!$A137, LS_previous!$B$4:$B$138, 0), MATCH(Q$4&amp;Q$5, LS_previous!$D$2:$AY$2&amp;LS_previous!$D$3:$AY$3, 0)),SUM(VLOOKUP($A137, LS_previous!$B$4:$AY$138, LS_previous!I$149, FALSE), VLOOKUP('Staging Table'!$A137, LS_previous!$B$4:$AY$138,LS_previous!AG$149, FALSE))/2)</f>
        <v>-1974.5983601708008</v>
      </c>
      <c r="R137" s="192">
        <f t="array" ref="R137">IF($G137=0, INDEX(LS_previous!$D$4:$AY$138, MATCH('Staging Table'!$A137, LS_previous!$B$4:$B$138, 0), MATCH(R$4&amp;R$5, LS_previous!$D$2:$AY$2&amp;LS_previous!$D$3:$AY$3, 0)),SUM(VLOOKUP($A137, LS_previous!$B$4:$AY$138, LS_previous!J$149, FALSE), VLOOKUP('Staging Table'!$A137, LS_previous!$B$4:$AY$138,LS_previous!AH$149, FALSE))/2)</f>
        <v>-2949.7052301824006</v>
      </c>
      <c r="S137" s="192">
        <f t="array" ref="S137">IF($G137=0, INDEX(LS_previous!$D$4:$AY$138, MATCH('Staging Table'!$A137, LS_previous!$B$4:$B$138, 0), MATCH(S$4&amp;S$5, LS_previous!$D$2:$AY$2&amp;LS_previous!$D$3:$AY$3, 0)),SUM(VLOOKUP($A137, LS_previous!$B$4:$AY$138, LS_previous!K$149, FALSE), VLOOKUP('Staging Table'!$A137, LS_previous!$B$4:$AY$138,LS_previous!AI$149, FALSE))/2)</f>
        <v>-897.83914777080054</v>
      </c>
      <c r="T137" s="192">
        <f t="array" ref="T137">IF($G137=0, INDEX(LS_previous!$D$4:$AY$138, MATCH('Staging Table'!$A137, LS_previous!$B$4:$B$138, 0), MATCH(T$4&amp;T$5, LS_previous!$D$2:$AY$2&amp;LS_previous!$D$3:$AY$3, 0)),SUM(VLOOKUP($A137, LS_previous!$B$4:$AY$138, LS_previous!L$149, FALSE), VLOOKUP('Staging Table'!$A137, LS_previous!$B$4:$AY$138,LS_previous!AJ$149, FALSE))/2)</f>
        <v>-2723.4889832908002</v>
      </c>
      <c r="U137" s="192">
        <f t="array" ref="U137">IF($G137=0, INDEX(LS_previous!$D$4:$AY$138, MATCH('Staging Table'!$A137, LS_previous!$B$4:$B$138, 0), MATCH(U$4&amp;U$5, LS_previous!$D$2:$AY$2&amp;LS_previous!$D$3:$AY$3, 0)),SUM(VLOOKUP($A137, LS_previous!$B$4:$AY$138, LS_previous!M$149, FALSE), VLOOKUP('Staging Table'!$A137, LS_previous!$B$4:$AY$138,LS_previous!AK$149, FALSE))/2)</f>
        <v>-1009.3656412691998</v>
      </c>
      <c r="V137" s="192">
        <f t="array" ref="V137">IF($G137=0, INDEX(LS_previous!$D$4:$AY$138, MATCH('Staging Table'!$A137, LS_previous!$B$4:$B$138, 0), MATCH(V$4&amp;V$5, LS_previous!$D$2:$AY$2&amp;LS_previous!$D$3:$AY$3, 0)),SUM(VLOOKUP($A137, LS_previous!$B$4:$AY$138, LS_previous!N$149, FALSE), VLOOKUP('Staging Table'!$A137, LS_previous!$B$4:$AY$138,LS_previous!AL$149, FALSE))/2)</f>
        <v>-3037.5296896071995</v>
      </c>
      <c r="W137" s="192">
        <f t="array" ref="W137">IF($G137=0, INDEX(LS_previous!$D$4:$AY$138, MATCH('Staging Table'!$A137, LS_previous!$B$4:$B$138, 0), MATCH(W$4&amp;W$5, LS_previous!$D$2:$AY$2&amp;LS_previous!$D$3:$AY$3, 0)),SUM(VLOOKUP($A137, LS_previous!$B$4:$AY$138, LS_previous!O$149, FALSE), VLOOKUP('Staging Table'!$A137, LS_previous!$B$4:$AY$138,LS_previous!AM$149, FALSE))/2)</f>
        <v>-1168.1200054506999</v>
      </c>
      <c r="X137" s="192">
        <f t="array" ref="X137">IF($G137=0, INDEX(LS_previous!$D$4:$AY$138, MATCH('Staging Table'!$A137, LS_previous!$B$4:$B$138, 0), MATCH(X$4&amp;X$5, LS_previous!$D$2:$AY$2&amp;LS_previous!$D$3:$AY$3, 0)),SUM(VLOOKUP($A137, LS_previous!$B$4:$AY$138, LS_previous!P$149, FALSE), VLOOKUP('Staging Table'!$A137, LS_previous!$B$4:$AY$138,LS_previous!AN$149, FALSE))/2)</f>
        <v>-1741.7677931447997</v>
      </c>
      <c r="Y137" s="192">
        <f t="array" ref="Y137">IF($G137=0, INDEX(LS_previous!$D$4:$AY$138, MATCH('Staging Table'!$A137, LS_previous!$B$4:$B$138, 0), MATCH(Y$4&amp;Y$5, LS_previous!$D$2:$AY$2&amp;LS_previous!$D$3:$AY$3, 0)),SUM(VLOOKUP($A137, LS_previous!$B$4:$AY$138, LS_previous!Q$149, FALSE), VLOOKUP('Staging Table'!$A137, LS_previous!$B$4:$AY$138,LS_previous!AO$149, FALSE))/2)</f>
        <v>-459.90931387120008</v>
      </c>
      <c r="Z137" s="192">
        <f t="array" ref="Z137">IF($G137=0, INDEX(LS_previous!$D$4:$AY$138, MATCH('Staging Table'!$A137, LS_previous!$B$4:$B$138, 0), MATCH(Z$4&amp;Z$5, LS_previous!$D$2:$AY$2&amp;LS_previous!$D$3:$AY$3, 0)),SUM(VLOOKUP($A137, LS_previous!$B$4:$AY$138, LS_previous!R$149, FALSE), VLOOKUP('Staging Table'!$A137, LS_previous!$B$4:$AY$138,LS_previous!AP$149, FALSE))/2)</f>
        <v>-4019.2147075699995</v>
      </c>
      <c r="AA137" s="192">
        <f t="array" ref="AA137">IF($G137=0, INDEX(LS_previous!$D$4:$AY$138, MATCH('Staging Table'!$A137, LS_previous!$B$4:$B$138, 0), MATCH(AA$4&amp;AA$5, LS_previous!$D$2:$AY$2&amp;LS_previous!$D$3:$AY$3, 0)),SUM(VLOOKUP($A137, LS_previous!$B$4:$AY$138, LS_previous!S$149, FALSE), VLOOKUP('Staging Table'!$A137, LS_previous!$B$4:$AY$138,LS_previous!AQ$149, FALSE))/2)</f>
        <v>-1170.9541352331994</v>
      </c>
      <c r="AB137" s="192">
        <f t="array" ref="AB137">IF($G137=0, INDEX(LS_previous!$D$4:$AY$138, MATCH('Staging Table'!$A137, LS_previous!$B$4:$B$138, 0), MATCH(AB$4&amp;AB$5, LS_previous!$D$2:$AY$2&amp;LS_previous!$D$3:$AY$3, 0)),SUM(VLOOKUP($A137, LS_previous!$B$4:$AY$138, LS_previous!T$149, FALSE), VLOOKUP('Staging Table'!$A137, LS_previous!$B$4:$AY$138,LS_previous!AR$149, FALSE))/2)</f>
        <v>-5959.3526905947992</v>
      </c>
      <c r="AC137" s="192">
        <f t="array" ref="AC137">IF($G137=0, INDEX(LS_previous!$D$4:$AY$138, MATCH('Staging Table'!$A137, LS_previous!$B$4:$B$138, 0), MATCH(AC$4&amp;AC$5, LS_previous!$D$2:$AY$2&amp;LS_previous!$D$3:$AY$3, 0)),SUM(VLOOKUP($A137, LS_previous!$B$4:$AY$138, LS_previous!U$149, FALSE), VLOOKUP('Staging Table'!$A137, LS_previous!$B$4:$AY$138,LS_previous!AS$149, FALSE))/2)</f>
        <v>-2382.3568700712003</v>
      </c>
      <c r="AD137" s="192">
        <f t="array" ref="AD137">IF($G137=0, INDEX(LS_previous!$D$4:$AY$138, MATCH('Staging Table'!$A137, LS_previous!$B$4:$B$138, 0), MATCH(AD$4&amp;AD$5, LS_previous!$D$2:$AY$2&amp;LS_previous!$D$3:$AY$3, 0)),SUM(VLOOKUP($A137, LS_previous!$B$4:$AY$138, LS_previous!V$149, FALSE), VLOOKUP('Staging Table'!$A137, LS_previous!$B$4:$AY$138,LS_previous!AT$149, FALSE))/2)</f>
        <v>-3797.0444140947993</v>
      </c>
      <c r="AE137" s="192">
        <f t="array" ref="AE137">IF($G137=0, INDEX(LS_previous!$D$4:$AY$138, MATCH('Staging Table'!$A137, LS_previous!$B$4:$B$138, 0), MATCH(AE$4&amp;AE$5, LS_previous!$D$2:$AY$2&amp;LS_previous!$D$3:$AY$3, 0)),SUM(VLOOKUP($A137, LS_previous!$B$4:$AY$138, LS_previous!W$149, FALSE), VLOOKUP('Staging Table'!$A137, LS_previous!$B$4:$AY$138,LS_previous!AU$149, FALSE))/2)</f>
        <v>-15.107458158400277</v>
      </c>
      <c r="AF137" s="192">
        <f t="array" ref="AF137">IF($G137=0, INDEX(LS_previous!$D$4:$AY$138, MATCH('Staging Table'!$A137, LS_previous!$B$4:$B$138, 0), MATCH(AF$4&amp;AF$5, LS_previous!$D$2:$AY$2&amp;LS_previous!$D$3:$AY$3, 0)),SUM(VLOOKUP($A137, LS_previous!$B$4:$AY$138, LS_previous!X$149, FALSE), VLOOKUP('Staging Table'!$A137, LS_previous!$B$4:$AY$138,LS_previous!AV$149, FALSE))/2)</f>
        <v>-3103.0101057448001</v>
      </c>
      <c r="AG137" s="192">
        <f t="array" ref="AG137">IF($G137=0, INDEX(LS_previous!$D$4:$AY$138, MATCH('Staging Table'!$A137, LS_previous!$B$4:$B$138, 0), MATCH(AG$4&amp;AG$5, LS_previous!$D$2:$AY$2&amp;LS_previous!$D$3:$AY$3, 0)),SUM(VLOOKUP($A137, LS_previous!$B$4:$AY$138, LS_previous!Y$149, FALSE), VLOOKUP('Staging Table'!$A137, LS_previous!$B$4:$AY$138,LS_previous!AW$149, FALSE))/2)</f>
        <v>-105.23227415840074</v>
      </c>
      <c r="AH137" s="192">
        <f t="array" ref="AH137">IF($G137=0, INDEX(LS_previous!$D$4:$AY$138, MATCH('Staging Table'!$A137, LS_previous!$B$4:$B$138, 0), MATCH(AH$4&amp;AH$5, LS_previous!$D$2:$AY$2&amp;LS_previous!$D$3:$AY$3, 0)),SUM(VLOOKUP($A137, LS_previous!$B$4:$AY$138, LS_previous!Z$149, FALSE), VLOOKUP('Staging Table'!$A137, LS_previous!$B$4:$AY$138,LS_previous!AX$149, FALSE))/2)</f>
        <v>-2531.8875475200002</v>
      </c>
      <c r="AI137" s="192">
        <f t="array" ref="AI137">IF($G137=0, INDEX(LS_previous!$D$4:$AY$138, MATCH('Staging Table'!$A137, LS_previous!$B$4:$B$138, 0), MATCH(AI$4&amp;AI$5, LS_previous!$D$2:$AY$2&amp;LS_previous!$D$3:$AY$3, 0)),SUM(VLOOKUP($A137, LS_previous!$B$4:$AY$138, LS_previous!AA$149, FALSE), VLOOKUP('Staging Table'!$A137, LS_previous!$B$4:$AY$138,LS_previous!AY$149, FALSE))/2)</f>
        <v>-311.08545219600001</v>
      </c>
      <c r="AJ137" s="314">
        <f t="array" ref="AJ137">INDEX(Demand_previous!$D$4:$AY$138, MATCH('Staging Table'!$A137, Demand_previous!$B$4:$B$138, 0), MATCH(AJ$4&amp;AJ$5,Demand_previous!$D$2:$AY$2&amp;Demand_previous!$D$3:$AY$3, 0))/1000</f>
        <v>3.016375</v>
      </c>
      <c r="AK137" s="314">
        <f t="array" ref="AK137">INDEX(Demand_previous!$D$4:$AY$138, MATCH('Staging Table'!$A137, Demand_previous!$B$4:$B$138, 0), MATCH(AK$4&amp;AK$5,Demand_previous!$D$2:$AY$2&amp;Demand_previous!$D$3:$AY$3, 0))/1000</f>
        <v>3.0249724999999987</v>
      </c>
      <c r="AL137" s="314">
        <f t="array" ref="AL137">INDEX(Demand_previous!$D$4:$AY$138, MATCH('Staging Table'!$A137, Demand_previous!$B$4:$B$138, 0), MATCH(AL$4&amp;AL$5,Demand_previous!$D$2:$AY$2&amp;Demand_previous!$D$3:$AY$3, 0))/1000</f>
        <v>2.7433550000000011</v>
      </c>
      <c r="AM137" s="314">
        <f t="array" ref="AM137">INDEX(Demand_previous!$D$4:$AY$138, MATCH('Staging Table'!$A137, Demand_previous!$B$4:$B$138, 0), MATCH(AM$4&amp;AM$5,Demand_previous!$D$2:$AY$2&amp;Demand_previous!$D$3:$AY$3, 0))/1000</f>
        <v>3.2728990384615386</v>
      </c>
      <c r="AN137" s="314">
        <f t="array" ref="AN137">INDEX(Demand_previous!$D$4:$AY$138, MATCH('Staging Table'!$A137, Demand_previous!$B$4:$B$138, 0), MATCH(AN$4&amp;AN$5,Demand_previous!$D$2:$AY$2&amp;Demand_previous!$D$3:$AY$3, 0))/1000</f>
        <v>3.5898400000000006</v>
      </c>
      <c r="AO137" s="314">
        <f t="array" ref="AO137">INDEX(Demand_previous!$D$4:$AY$138, MATCH('Staging Table'!$A137, Demand_previous!$B$4:$B$138, 0), MATCH(AO$4&amp;AO$5,Demand_previous!$D$2:$AY$2&amp;Demand_previous!$D$3:$AY$3, 0))/1000</f>
        <v>2.9189302884615387</v>
      </c>
      <c r="AP137" s="314">
        <f t="array" ref="AP137">INDEX(Demand_previous!$D$4:$AY$138, MATCH('Staging Table'!$A137, Demand_previous!$B$4:$B$138, 0), MATCH(AP$4&amp;AP$5,Demand_previous!$D$2:$AY$2&amp;Demand_previous!$D$3:$AY$3, 0))/1000</f>
        <v>3.0219471153846156</v>
      </c>
      <c r="AQ137" s="314">
        <f t="array" ref="AQ137">INDEX(Demand_previous!$D$4:$AY$138, MATCH('Staging Table'!$A137, Demand_previous!$B$4:$B$138, 0), MATCH(AQ$4&amp;AQ$5,Demand_previous!$D$2:$AY$2&amp;Demand_previous!$D$3:$AY$3, 0))/1000</f>
        <v>2.2836149999999993</v>
      </c>
      <c r="AR137" s="314">
        <f t="array" ref="AR137">INDEX(Demand_previous!$D$4:$AY$138, MATCH('Staging Table'!$A137, Demand_previous!$B$4:$B$138, 0), MATCH(AR$4&amp;AR$5,Demand_previous!$D$2:$AY$2&amp;Demand_previous!$D$3:$AY$3, 0))/1000</f>
        <v>2.9841947115384615</v>
      </c>
      <c r="AS137" s="314">
        <f t="array" ref="AS137">INDEX(Demand_previous!$D$4:$AY$138, MATCH('Staging Table'!$A137, Demand_previous!$B$4:$B$138, 0), MATCH(AS$4&amp;AS$5,Demand_previous!$D$2:$AY$2&amp;Demand_previous!$D$3:$AY$3, 0))/1000</f>
        <v>2.3207836538461528</v>
      </c>
      <c r="AT137" s="314">
        <f t="array" ref="AT137">INDEX(Demand_previous!$D$4:$AY$138, MATCH('Staging Table'!$A137, Demand_previous!$B$4:$B$138, 0), MATCH(AT$4&amp;AT$5,Demand_previous!$D$2:$AY$2&amp;Demand_previous!$D$3:$AY$3, 0))/1000</f>
        <v>2.6803966346153865</v>
      </c>
      <c r="AU137" s="314">
        <f t="array" ref="AU137">INDEX(Demand_previous!$D$4:$AY$138, MATCH('Staging Table'!$A137, Demand_previous!$B$4:$B$138, 0), MATCH(AU$4&amp;AU$5,Demand_previous!$D$2:$AY$2&amp;Demand_previous!$D$3:$AY$3, 0))/1000</f>
        <v>3.0399274999999992</v>
      </c>
      <c r="AV137" s="192">
        <f>$F137*(VLOOKUP(AV$4, Rates_previous!$G$6:$Q$29, 10, FALSE)+VLOOKUP(AV$4, Rates_previous!$G$6:$Q$29, 11, FALSE))</f>
        <v>11297.1899834532</v>
      </c>
      <c r="AW137" s="192">
        <f>$F137*(VLOOKUP(AW$4, Rates_previous!$G$6:$Q$29, 10, FALSE)+VLOOKUP(AW$4, Rates_previous!$G$6:$Q$29, 11, FALSE))</f>
        <v>14350.9555058613</v>
      </c>
      <c r="AX137" s="192">
        <f>$F137*(VLOOKUP(AX$4, Rates_previous!$G$6:$Q$29, 10, FALSE)+VLOOKUP(AX$4, Rates_previous!$G$6:$Q$29, 11, FALSE))</f>
        <v>14177.648299553201</v>
      </c>
      <c r="AY137" s="192">
        <f>$F137*(VLOOKUP(AY$4, Rates_previous!$G$6:$Q$29, 10, FALSE)+VLOOKUP(AY$4, Rates_previous!$G$6:$Q$29, 11, FALSE))</f>
        <v>11817.933377953201</v>
      </c>
      <c r="AZ137" s="192">
        <f>$F137*(VLOOKUP(AZ$4, Rates_previous!$G$6:$Q$29, 10, FALSE)+VLOOKUP(AZ$4, Rates_previous!$G$6:$Q$29, 11, FALSE))</f>
        <v>10705.82162456</v>
      </c>
      <c r="BA137" s="192">
        <f>$F137*(VLOOKUP(BA$4, Rates_previous!$G$6:$Q$29, 10, FALSE)+VLOOKUP(BA$4, Rates_previous!$G$6:$Q$29, 11, FALSE))</f>
        <v>11908.2746950579</v>
      </c>
      <c r="BB137" s="192">
        <f>$F137*(VLOOKUP(BB$4, Rates_previous!$G$6:$Q$29, 10, FALSE)+VLOOKUP(BB$4, Rates_previous!$G$6:$Q$29, 11, FALSE))</f>
        <v>9695.7301070159992</v>
      </c>
      <c r="BC137" s="192">
        <f>$F137*(VLOOKUP(BC$4, Rates_previous!$G$6:$Q$29, 10, FALSE)+VLOOKUP(BC$4, Rates_previous!$G$6:$Q$29, 11, FALSE))</f>
        <v>13076.1378428032</v>
      </c>
      <c r="BD137" s="192">
        <f>$F137*(VLOOKUP(BD$4, Rates_previous!$G$6:$Q$29, 10, FALSE)+VLOOKUP(BD$4, Rates_previous!$G$6:$Q$29, 11, FALSE))</f>
        <v>16684.262560666</v>
      </c>
      <c r="BE137" s="192">
        <f>$F137*(VLOOKUP(BE$4, Rates_previous!$G$6:$Q$29, 10, FALSE)+VLOOKUP(BE$4, Rates_previous!$G$6:$Q$29, 11, FALSE))</f>
        <v>13080.990872253202</v>
      </c>
      <c r="BF137" s="192">
        <f>$F137*(VLOOKUP(BF$4, Rates_previous!$G$6:$Q$29, 10, FALSE)+VLOOKUP(BF$4, Rates_previous!$G$6:$Q$29, 11, FALSE))</f>
        <v>12738.280379903201</v>
      </c>
      <c r="BG137" s="192">
        <f>$F137*(VLOOKUP(BG$4, Rates_previous!$G$6:$Q$29, 10, FALSE)+VLOOKUP(BG$4, Rates_previous!$G$6:$Q$29, 11, FALSE))</f>
        <v>11436.265999716001</v>
      </c>
      <c r="BH137" s="314">
        <f>IF($D137=0,IF(C137=0, MAX(BJ137 - (VLOOKUP($A137,TOCA_previous!$A$2:$AI$137,MATCH("RHWM 2020",TOCA_previous!$A$2:$AI$2,0),FALSE)*$F$2*TOCA_previous!C134),0),0), 0)</f>
        <v>0</v>
      </c>
      <c r="BI137" s="204">
        <f>MIN(VLOOKUP($A137,TOCA_previous!$A$2:$AI$137,MATCH("TRL - NLSL - Existing Resource "&amp;$F$1,TOCA_previous!$A$2:$AI$2,0),FALSE)*$F$2,(VLOOKUP($A137,TOCA_previous!$A$2:$AI$137,MATCH("RHWM 2020",TOCA_previous!$A$2:$AI$2,0),FALSE)*$F$2))</f>
        <v>150970.60800000001</v>
      </c>
      <c r="BJ137" s="418">
        <f>SUM(L137:AI137)+(F137*RT1SC!$C$3*$F$2)</f>
        <v>97181.581666557177</v>
      </c>
      <c r="BK137" s="417">
        <f>VLOOKUP($A137,TOCA_previous!$A$2:$AI$137,MATCH("Above RHWM Not Served with LS "&amp;$F$1,TOCA_previous!$A$2:$AI$2,0),FALSE)*$F$2</f>
        <v>41196.960000000006</v>
      </c>
      <c r="BL137" s="418">
        <f t="shared" si="46"/>
        <v>-53789.026333442831</v>
      </c>
      <c r="BM137" s="417">
        <f>(VLOOKUP($A137,TOCA_previous!$A$2:$AI$137,MATCH("RHWM 2020",TOCA_previous!$A$2:$AI$2,0),FALSE)*$F$2) - $BI137</f>
        <v>0</v>
      </c>
      <c r="BN137" s="418">
        <f t="shared" si="47"/>
        <v>0</v>
      </c>
      <c r="BO137" s="417">
        <f t="shared" si="48"/>
        <v>12592.066333442825</v>
      </c>
      <c r="BP137" s="418">
        <f t="shared" si="49"/>
        <v>0</v>
      </c>
      <c r="BQ137" s="417">
        <f t="shared" si="40"/>
        <v>12592.066333442825</v>
      </c>
      <c r="BR137" s="120">
        <f>VLOOKUP($A137,TOCA_current!$A$2:$AI$137,MATCH(BR$4,TOCA_current!$A$2:$AI$2,0),FALSE)</f>
        <v>2.4467E-3</v>
      </c>
      <c r="BS137" s="120">
        <f>VLOOKUP($A137,TOCA_current!$A$2:$AI$137,MATCH(BS$4,TOCA_current!$A$2:$AI$2,0),FALSE)</f>
        <v>2.4467E-3</v>
      </c>
      <c r="BT137" s="201">
        <f t="shared" si="50"/>
        <v>0</v>
      </c>
      <c r="BU137" s="120">
        <f>VLOOKUP($A137,TOCA_current!A133:BG268,MATCH(BU$4,TOCA_current!$A$2:$BG$2,0),FALSE)</f>
        <v>0</v>
      </c>
      <c r="BV137" s="120">
        <f t="shared" si="41"/>
        <v>0</v>
      </c>
      <c r="BW137" s="120">
        <f t="shared" si="42"/>
        <v>0</v>
      </c>
      <c r="BX137" s="191">
        <f>VLOOKUP($A137,IRD!$A$4:$G$139, 7, FALSE)</f>
        <v>0</v>
      </c>
      <c r="BY137" s="192">
        <f t="array" ref="BY137">IF($BT137=0, INDEX(LS_current!$D$4:$AY$138, MATCH('Staging Table'!$A137, LS_current!$B$4:$B$138, 0), MATCH(BY$4&amp;BY$5, LS_current!$D$2:$AY$2&amp;LS_current!$D$3:$AY$3, 0)),SUM(VLOOKUP($A137, LS_current!$B$4:$AY$138, LS_current!D$148, FALSE), VLOOKUP($A137, LS_current!$B$4:$AY$138,LS_current!AB$148, FALSE))/2)</f>
        <v>-491.49954023900773</v>
      </c>
      <c r="BZ137" s="192">
        <f t="array" ref="BZ137">IF($BT137=0, INDEX(LS_current!$D$4:$AY$138, MATCH('Staging Table'!$A137, LS_current!$B$4:$B$138, 0), MATCH(BZ$4&amp;BZ$5, LS_current!$D$2:$AY$2&amp;LS_current!$D$3:$AY$3, 0)),SUM(VLOOKUP($A137, LS_current!$B$4:$AY$138, LS_current!E$148, FALSE), VLOOKUP($A137, LS_current!$B$4:$AY$138,LS_current!AC$148, FALSE))/2)</f>
        <v>752.38065995817533</v>
      </c>
      <c r="CA137" s="192">
        <f t="array" ref="CA137">IF($BT137=0, INDEX(LS_current!$D$4:$AY$138, MATCH('Staging Table'!$A137, LS_current!$B$4:$B$138, 0), MATCH(CA$4&amp;CA$5, LS_current!$D$2:$AY$2&amp;LS_current!$D$3:$AY$3, 0)),SUM(VLOOKUP($A137, LS_current!$B$4:$AY$138, LS_current!F$148, FALSE), VLOOKUP($A137, LS_current!$B$4:$AY$138,LS_current!AD$148, FALSE))/2)</f>
        <v>-2545.8794487981431</v>
      </c>
      <c r="CB137" s="192">
        <f t="array" ref="CB137">IF($BT137=0, INDEX(LS_current!$D$4:$AY$138, MATCH('Staging Table'!$A137, LS_current!$B$4:$B$138, 0), MATCH(CB$4&amp;CB$5, LS_current!$D$2:$AY$2&amp;LS_current!$D$3:$AY$3, 0)),SUM(VLOOKUP($A137, LS_current!$B$4:$AY$138, LS_current!G$148, FALSE), VLOOKUP($A137, LS_current!$B$4:$AY$138,LS_current!AE$148, FALSE))/2)</f>
        <v>-573.83891579736064</v>
      </c>
      <c r="CC137" s="192">
        <f t="array" ref="CC137">IF($BT137=0, INDEX(LS_current!$D$4:$AY$138, MATCH('Staging Table'!$A137, LS_current!$B$4:$B$138, 0), MATCH(CC$4&amp;CC$5, LS_current!$D$2:$AY$2&amp;LS_current!$D$3:$AY$3, 0)),SUM(VLOOKUP($A137, LS_current!$B$4:$AY$138, LS_current!H$148, FALSE), VLOOKUP($A137, LS_current!$B$4:$AY$138,LS_current!AF$148, FALSE))/2)</f>
        <v>-1508.3914223845868</v>
      </c>
      <c r="CD137" s="192">
        <f t="array" ref="CD137">IF($BT137=0, INDEX(LS_current!$D$4:$AY$138, MATCH('Staging Table'!$A137, LS_current!$B$4:$B$138, 0), MATCH(CD$4&amp;CD$5, LS_current!$D$2:$AY$2&amp;LS_current!$D$3:$AY$3, 0)),SUM(VLOOKUP($A137, LS_current!$B$4:$AY$138, LS_current!I$148, FALSE), VLOOKUP($A137, LS_current!$B$4:$AY$138,LS_current!AG$148, FALSE))/2)</f>
        <v>-907.32072930172581</v>
      </c>
      <c r="CE137" s="192">
        <f t="array" ref="CE137">IF($BT137=0, INDEX(LS_current!$D$4:$AY$138, MATCH('Staging Table'!$A137, LS_current!$B$4:$B$138, 0), MATCH(CE$4&amp;CE$5, LS_current!$D$2:$AY$2&amp;LS_current!$D$3:$AY$3, 0)),SUM(VLOOKUP($A137, LS_current!$B$4:$AY$138, LS_current!J$148, FALSE), VLOOKUP($A137, LS_current!$B$4:$AY$138,LS_current!AH$148, FALSE))/2)</f>
        <v>-59.130113652956425</v>
      </c>
      <c r="CF137" s="192">
        <f t="array" ref="CF137">IF($BT137=0, INDEX(LS_current!$D$4:$AY$138, MATCH('Staging Table'!$A137, LS_current!$B$4:$B$138, 0), MATCH(CF$4&amp;CF$5, LS_current!$D$2:$AY$2&amp;LS_current!$D$3:$AY$3, 0)),SUM(VLOOKUP($A137, LS_current!$B$4:$AY$138, LS_current!K$148, FALSE), VLOOKUP($A137, LS_current!$B$4:$AY$138,LS_current!AI$148, FALSE))/2)</f>
        <v>114.68920289447942</v>
      </c>
      <c r="CG137" s="192">
        <f t="array" ref="CG137">IF($BT137=0, INDEX(LS_current!$D$4:$AY$138, MATCH('Staging Table'!$A137, LS_current!$B$4:$B$138, 0), MATCH(CG$4&amp;CG$5, LS_current!$D$2:$AY$2&amp;LS_current!$D$3:$AY$3, 0)),SUM(VLOOKUP($A137, LS_current!$B$4:$AY$138, LS_current!L$148, FALSE), VLOOKUP($A137, LS_current!$B$4:$AY$138,LS_current!AJ$148, FALSE))/2)</f>
        <v>165.21727932713839</v>
      </c>
      <c r="CH137" s="192">
        <f t="array" ref="CH137">IF($BT137=0, INDEX(LS_current!$D$4:$AY$138, MATCH('Staging Table'!$A137, LS_current!$B$4:$B$138, 0), MATCH(CH$4&amp;CH$5, LS_current!$D$2:$AY$2&amp;LS_current!$D$3:$AY$3, 0)),SUM(VLOOKUP($A137, LS_current!$B$4:$AY$138, LS_current!M$148, FALSE), VLOOKUP($A137, LS_current!$B$4:$AY$138,LS_current!AK$148, FALSE))/2)</f>
        <v>187.72837838187934</v>
      </c>
      <c r="CI137" s="192">
        <f t="array" ref="CI137">IF($BT137=0, INDEX(LS_current!$D$4:$AY$138, MATCH('Staging Table'!$A137, LS_current!$B$4:$B$138, 0), MATCH(CI$4&amp;CI$5, LS_current!$D$2:$AY$2&amp;LS_current!$D$3:$AY$3, 0)),SUM(VLOOKUP($A137, LS_current!$B$4:$AY$138, LS_current!N$148, FALSE), VLOOKUP($A137, LS_current!$B$4:$AY$138,LS_current!AL$148, FALSE))/2)</f>
        <v>-761.67909618384601</v>
      </c>
      <c r="CJ137" s="192">
        <f t="array" ref="CJ137">IF($BT137=0, INDEX(LS_current!$D$4:$AY$138, MATCH('Staging Table'!$A137, LS_current!$B$4:$B$138, 0), MATCH(CJ$4&amp;CJ$5, LS_current!$D$2:$AY$2&amp;LS_current!$D$3:$AY$3, 0)),SUM(VLOOKUP($A137, LS_current!$B$4:$AY$138, LS_current!O$148, FALSE), VLOOKUP($A137, LS_current!$B$4:$AY$138,LS_current!AM$148, FALSE))/2)</f>
        <v>149.16207378031322</v>
      </c>
      <c r="CK137" s="192">
        <f t="array" ref="CK137">IF($BT137=0, INDEX(LS_current!$D$4:$AY$138, MATCH('Staging Table'!$A137, LS_current!$B$4:$B$138, 0), MATCH(CK$4&amp;CK$5, LS_current!$D$2:$AY$2&amp;LS_current!$D$3:$AY$3, 0)),SUM(VLOOKUP($A137, LS_current!$B$4:$AY$138, LS_current!P$148, FALSE), VLOOKUP($A137, LS_current!$B$4:$AY$138,LS_current!AN$148, FALSE))/2)</f>
        <v>665.02173533411315</v>
      </c>
      <c r="CL137" s="192">
        <f t="array" ref="CL137">IF($BT137=0, INDEX(LS_current!$D$4:$AY$138, MATCH('Staging Table'!$A137, LS_current!$B$4:$B$138, 0), MATCH(CL$4&amp;CL$5, LS_current!$D$2:$AY$2&amp;LS_current!$D$3:$AY$3, 0)),SUM(VLOOKUP($A137, LS_current!$B$4:$AY$138, LS_current!Q$148, FALSE), VLOOKUP($A137, LS_current!$B$4:$AY$138,LS_current!AO$148, FALSE))/2)</f>
        <v>1044.8481252570323</v>
      </c>
      <c r="CM137" s="192">
        <f t="array" ref="CM137">IF($BT137=0, INDEX(LS_current!$D$4:$AY$138, MATCH('Staging Table'!$A137, LS_current!$B$4:$B$138, 0), MATCH(CM$4&amp;CM$5, LS_current!$D$2:$AY$2&amp;LS_current!$D$3:$AY$3, 0)),SUM(VLOOKUP($A137, LS_current!$B$4:$AY$138, LS_current!R$148, FALSE), VLOOKUP($A137, LS_current!$B$4:$AY$138,LS_current!AP$148, FALSE))/2)</f>
        <v>-2210.798859692648</v>
      </c>
      <c r="CN137" s="192">
        <f t="array" ref="CN137">IF($BT137=0, INDEX(LS_current!$D$4:$AY$138, MATCH('Staging Table'!$A137, LS_current!$B$4:$B$138, 0), MATCH(CN$4&amp;CN$5, LS_current!$D$2:$AY$2&amp;LS_current!$D$3:$AY$3, 0)),SUM(VLOOKUP($A137, LS_current!$B$4:$AY$138, LS_current!S$148, FALSE), VLOOKUP($A137, LS_current!$B$4:$AY$138,LS_current!AQ$148, FALSE))/2)</f>
        <v>893.51830451219121</v>
      </c>
      <c r="CO137" s="192">
        <f t="array" ref="CO137">IF($BT137=0, INDEX(LS_current!$D$4:$AY$138, MATCH('Staging Table'!$A137, LS_current!$B$4:$B$138, 0), MATCH(CO$4&amp;CO$5, LS_current!$D$2:$AY$2&amp;LS_current!$D$3:$AY$3, 0)),SUM(VLOOKUP($A137, LS_current!$B$4:$AY$138, LS_current!T$148, FALSE), VLOOKUP($A137, LS_current!$B$4:$AY$138,LS_current!AR$148, FALSE))/2)</f>
        <v>-2851.8179580438118</v>
      </c>
      <c r="CP137" s="192">
        <f t="array" ref="CP137">IF($BT137=0, INDEX(LS_current!$D$4:$AY$138, MATCH('Staging Table'!$A137, LS_current!$B$4:$B$138, 0), MATCH(CP$4&amp;CP$5, LS_current!$D$2:$AY$2&amp;LS_current!$D$3:$AY$3, 0)),SUM(VLOOKUP($A137, LS_current!$B$4:$AY$138, LS_current!U$148, FALSE), VLOOKUP($A137, LS_current!$B$4:$AY$138,LS_current!AS$148, FALSE))/2)</f>
        <v>1008.8518758618798</v>
      </c>
      <c r="CQ137" s="192">
        <f t="array" ref="CQ137">IF($BT137=0, INDEX(LS_current!$D$4:$AY$138, MATCH('Staging Table'!$A137, LS_current!$B$4:$B$138, 0), MATCH(CQ$4&amp;CQ$5, LS_current!$D$2:$AY$2&amp;LS_current!$D$3:$AY$3, 0)),SUM(VLOOKUP($A137, LS_current!$B$4:$AY$138, LS_current!V$148, FALSE), VLOOKUP($A137, LS_current!$B$4:$AY$138,LS_current!AT$148, FALSE))/2)</f>
        <v>-1417.8956899788518</v>
      </c>
      <c r="CR137" s="192">
        <f t="array" ref="CR137">IF($BT137=0, INDEX(LS_current!$D$4:$AY$138, MATCH('Staging Table'!$A137, LS_current!$B$4:$B$138, 0), MATCH(CR$4&amp;CR$5, LS_current!$D$2:$AY$2&amp;LS_current!$D$3:$AY$3, 0)),SUM(VLOOKUP($A137, LS_current!$B$4:$AY$138, LS_current!W$148, FALSE), VLOOKUP($A137, LS_current!$B$4:$AY$138,LS_current!AU$148, FALSE))/2)</f>
        <v>1299.2868449376492</v>
      </c>
      <c r="CS137" s="192">
        <f t="array" ref="CS137">IF($BT137=0, INDEX(LS_current!$D$4:$AY$138, MATCH('Staging Table'!$A137, LS_current!$B$4:$B$138, 0), MATCH(CS$4&amp;CS$5, LS_current!$D$2:$AY$2&amp;LS_current!$D$3:$AY$3, 0)),SUM(VLOOKUP($A137, LS_current!$B$4:$AY$138, LS_current!X$148, FALSE), VLOOKUP($A137, LS_current!$B$4:$AY$138,LS_current!AV$148, FALSE))/2)</f>
        <v>-803.30657134433204</v>
      </c>
      <c r="CT137" s="192">
        <f t="array" ref="CT137">IF($BT137=0, INDEX(LS_current!$D$4:$AY$138, MATCH('Staging Table'!$A137, LS_current!$B$4:$B$138, 0), MATCH(CT$4&amp;CT$5, LS_current!$D$2:$AY$2&amp;LS_current!$D$3:$AY$3, 0)),SUM(VLOOKUP($A137, LS_current!$B$4:$AY$138, LS_current!Y$148, FALSE), VLOOKUP($A137, LS_current!$B$4:$AY$138,LS_current!AW$148, FALSE))/2)</f>
        <v>1378.2631831510548</v>
      </c>
      <c r="CU137" s="192">
        <f t="array" ref="CU137">IF($BT137=0, INDEX(LS_current!$D$4:$AY$138, MATCH('Staging Table'!$A137, LS_current!$B$4:$B$138, 0), MATCH(CU$4&amp;CU$5, LS_current!$D$2:$AY$2&amp;LS_current!$D$3:$AY$3, 0)),SUM(VLOOKUP($A137, LS_current!$B$4:$AY$138, LS_current!Z$148, FALSE), VLOOKUP($A137, LS_current!$B$4:$AY$138,LS_current!AX$148, FALSE))/2)</f>
        <v>-671.30027428274934</v>
      </c>
      <c r="CV137" s="192">
        <f t="array" ref="CV137">IF($BT137=0, INDEX(LS_current!$D$4:$AY$138, MATCH('Staging Table'!$A137, LS_current!$B$4:$B$138, 0), MATCH(CV$4&amp;CV$5, LS_current!$D$2:$AY$2&amp;LS_current!$D$3:$AY$3, 0)),SUM(VLOOKUP($A137, LS_current!$B$4:$AY$138, LS_current!AA$148, FALSE), VLOOKUP($A137, LS_current!$B$4:$AY$138,LS_current!AY$148, FALSE))/2)</f>
        <v>1141.4321499887174</v>
      </c>
      <c r="CW137" s="194">
        <f t="array" ref="CW137">INDEX(Demand_current!$D$4:$AY$138, MATCH($A137, Demand_current!$B$4:$B$138, 0), MATCH(CW$4&amp;CW$5,Demand_current!$D$2:$AY$2&amp;Demand_current!$D$3:$AY$3, 0))/1000</f>
        <v>2.4238894230769237</v>
      </c>
      <c r="CX137" s="194">
        <f t="array" ref="CX137">INDEX(Demand_current!$D$4:$AY$138, MATCH($A137, Demand_current!$B$4:$B$138, 0), MATCH(CX$4&amp;CX$5,Demand_current!$D$2:$AY$2&amp;Demand_current!$D$3:$AY$3, 0))/1000</f>
        <v>3.0249724999999987</v>
      </c>
      <c r="CY137" s="194">
        <f t="array" ref="CY137">INDEX(Demand_current!$D$4:$AY$138, MATCH($A137, Demand_current!$B$4:$B$138, 0), MATCH(CY$4&amp;CY$5,Demand_current!$D$2:$AY$2&amp;Demand_current!$D$3:$AY$3, 0))/1000</f>
        <v>3.3567644230769247</v>
      </c>
      <c r="CZ137" s="194">
        <f t="array" ref="CZ137">INDEX(Demand_current!$D$4:$AY$138, MATCH($A137, Demand_current!$B$4:$B$138, 0), MATCH(CZ$4&amp;CZ$5,Demand_current!$D$2:$AY$2&amp;Demand_current!$D$3:$AY$3, 0))/1000</f>
        <v>2.6547750000000003</v>
      </c>
      <c r="DA137" s="194">
        <f t="array" ref="DA137">INDEX(Demand_current!$D$4:$AY$138, MATCH($A137, Demand_current!$B$4:$B$138, 0), MATCH(DA$4&amp;DA$5,Demand_current!$D$2:$AY$2&amp;Demand_current!$D$3:$AY$3, 0))/1000</f>
        <v>2.9745416666666671</v>
      </c>
      <c r="DB137" s="194">
        <f t="array" ref="DB137">INDEX(Demand_current!$D$4:$AY$138, MATCH($A137, Demand_current!$B$4:$B$138, 0), MATCH(DB$4&amp;DB$5,Demand_current!$D$2:$AY$2&amp;Demand_current!$D$3:$AY$3, 0))/1000</f>
        <v>3.4963032407407404</v>
      </c>
      <c r="DC137" s="194">
        <f t="array" ref="DC137">INDEX(Demand_current!$D$4:$AY$138, MATCH($A137, Demand_current!$B$4:$B$138, 0), MATCH(DC$4&amp;DC$5,Demand_current!$D$2:$AY$2&amp;Demand_current!$D$3:$AY$3, 0))/1000</f>
        <v>3.0219471153846156</v>
      </c>
      <c r="DD137" s="194">
        <f t="array" ref="DD137">INDEX(Demand_current!$D$4:$AY$138, MATCH($A137, Demand_current!$B$4:$B$138, 0), MATCH(DD$4&amp;DD$5,Demand_current!$D$2:$AY$2&amp;Demand_current!$D$3:$AY$3, 0))/1000</f>
        <v>2.2836149999999993</v>
      </c>
      <c r="DE137" s="194">
        <f t="array" ref="DE137">INDEX(Demand_current!$D$4:$AY$138, MATCH($A137, Demand_current!$B$4:$B$138, 0), MATCH(DE$4&amp;DE$5,Demand_current!$D$2:$AY$2&amp;Demand_current!$D$3:$AY$3, 0))/1000</f>
        <v>2.9841947115384615</v>
      </c>
      <c r="DF137" s="194">
        <f t="array" ref="DF137">INDEX(Demand_current!$D$4:$AY$138, MATCH($A137, Demand_current!$B$4:$B$138, 0), MATCH(DF$4&amp;DF$5,Demand_current!$D$2:$AY$2&amp;Demand_current!$D$3:$AY$3, 0))/1000</f>
        <v>1.6324550000000002</v>
      </c>
      <c r="DG137" s="194">
        <f t="array" ref="DG137">INDEX(Demand_current!$D$4:$AY$138, MATCH($A137, Demand_current!$B$4:$B$138, 0), MATCH(DG$4&amp;DG$5,Demand_current!$D$2:$AY$2&amp;Demand_current!$D$3:$AY$3, 0))/1000</f>
        <v>3.3550115740740751</v>
      </c>
      <c r="DH137" s="194">
        <f t="array" ref="DH137">INDEX(Demand_current!$D$4:$AY$138, MATCH($A137, Demand_current!$B$4:$B$138, 0), MATCH(DH$4&amp;DH$5,Demand_current!$D$2:$AY$2&amp;Demand_current!$D$3:$AY$3, 0))/1000</f>
        <v>3.0399274999999992</v>
      </c>
      <c r="DI137" s="192">
        <f>$BS137*(VLOOKUP(DI$4, Rates_current!$G$6:$Q$29, 10, FALSE)+VLOOKUP(DI$4, Rates_current!$G$6:$Q$29, 11, FALSE))</f>
        <v>11142.086880280833</v>
      </c>
      <c r="DJ137" s="192">
        <f>$BS137*(VLOOKUP(DJ$4, Rates_current!$G$6:$Q$29, 10, FALSE)+VLOOKUP(DJ$4, Rates_current!$G$6:$Q$29, 11, FALSE))</f>
        <v>14106.286364595504</v>
      </c>
      <c r="DK137" s="192">
        <f>$BS137*(VLOOKUP(DK$4, Rates_current!$G$6:$Q$29, 10, FALSE)+VLOOKUP(DK$4, Rates_current!$G$6:$Q$29, 11, FALSE))</f>
        <v>13807.236151686313</v>
      </c>
      <c r="DL137" s="192">
        <f>$BS137*(VLOOKUP(DL$4, Rates_current!$G$6:$Q$29, 10, FALSE)+VLOOKUP(DL$4, Rates_current!$G$6:$Q$29, 11, FALSE))</f>
        <v>11404.189910758476</v>
      </c>
      <c r="DM137" s="192">
        <f>$BS137*(VLOOKUP(DM$4, Rates_current!$G$6:$Q$29, 10, FALSE)+VLOOKUP(DM$4, Rates_current!$G$6:$Q$29, 11, FALSE))</f>
        <v>9884.2613422909817</v>
      </c>
      <c r="DN137" s="192">
        <f>$BS137*(VLOOKUP(DN$4, Rates_current!$G$6:$Q$29, 10, FALSE)+VLOOKUP(DN$4, Rates_current!$G$6:$Q$29, 11, FALSE))</f>
        <v>11799.812022403534</v>
      </c>
      <c r="DO137" s="192">
        <f>$BS137*(VLOOKUP(DO$4, Rates_current!$G$6:$Q$29, 10, FALSE)+VLOOKUP(DO$4, Rates_current!$G$6:$Q$29, 11, FALSE))</f>
        <v>9160.9831394088542</v>
      </c>
      <c r="DP137" s="192">
        <f>$BS137*(VLOOKUP(DP$4, Rates_current!$G$6:$Q$29, 10, FALSE)+VLOOKUP(DP$4, Rates_current!$G$6:$Q$29, 11, FALSE))</f>
        <v>12692.609555180456</v>
      </c>
      <c r="DQ137" s="192">
        <f>$BS137*(VLOOKUP(DQ$4, Rates_current!$G$6:$Q$29, 10, FALSE)+VLOOKUP(DQ$4, Rates_current!$G$6:$Q$29, 11, FALSE))</f>
        <v>13562.31908218193</v>
      </c>
      <c r="DR137" s="192">
        <f>$BS137*(VLOOKUP(DR$4, Rates_current!$G$6:$Q$29, 10, FALSE)+VLOOKUP(DR$4, Rates_current!$G$6:$Q$29, 11, FALSE))</f>
        <v>12876.807845041205</v>
      </c>
      <c r="DS137" s="192">
        <f>$BS137*(VLOOKUP(DS$4, Rates_current!$G$6:$Q$29, 10, FALSE)+VLOOKUP(DS$4, Rates_current!$G$6:$Q$29, 11, FALSE))</f>
        <v>12444.441388193278</v>
      </c>
      <c r="DT137" s="192">
        <f>$BS137*(VLOOKUP(DT$4, Rates_current!$G$6:$Q$29, 10, FALSE)+VLOOKUP(DT$4, Rates_current!$G$6:$Q$29, 11, FALSE))</f>
        <v>11499.961124294034</v>
      </c>
      <c r="DU137" s="418">
        <f>IF(D137=0,IF(C137=0,MAX(0,DW137 - (VLOOKUP($A137,TOCA_current!$A$2:$AI$137,MATCH("RHWM 2022",TOCA_current!$A$2:$AI$2,0),FALSE)*$BS$2)), 0),0)</f>
        <v>0</v>
      </c>
      <c r="DV137" s="419">
        <f>MIN(VLOOKUP($A137,TOCA_current!$A$2:$AI$137,MATCH("TRL - NLSL - Existing Resource "&amp;$BS$1,TOCA_current!$A$2:$AI$2,0),FALSE)*$BS$2, VLOOKUP($A137,TOCA_current!$A$2:$AI$137,MATCH("RHWM 2022",TOCA_current!$A$2:$AI$2,0),FALSE)*$BS$2)</f>
        <v>144382.32</v>
      </c>
      <c r="DW137" s="419">
        <f>SUM(BY137:CV137)+(BS137*RT1SC!$C$4*$BS$2)</f>
        <v>138378.54338571258</v>
      </c>
      <c r="DX137" s="419">
        <f>VLOOKUP($A137,TOCA_current!$A$2:$AI$137,MATCH("Above RHWM Not Served with LS "&amp;$BS$1,TOCA_current!$A$2:$AI$2,0),FALSE)*$BS$2</f>
        <v>0</v>
      </c>
      <c r="DY137" s="419">
        <f t="shared" si="51"/>
        <v>-6003.7766142874316</v>
      </c>
      <c r="DZ137" s="419">
        <f>(VLOOKUP($A137,TOCA_current!$A$2:$AI$137,MATCH("RHWM 2022",TOCA_current!$A$2:$AI$2,0),FALSE)*$BS$2) - $DV137</f>
        <v>0</v>
      </c>
      <c r="EA137" s="419">
        <f t="shared" si="52"/>
        <v>0</v>
      </c>
      <c r="EB137" s="419">
        <f t="shared" si="53"/>
        <v>6003.7766142874316</v>
      </c>
      <c r="EC137" s="419">
        <f t="shared" si="54"/>
        <v>0</v>
      </c>
      <c r="ED137" s="419">
        <f t="shared" si="55"/>
        <v>6003.7766142874316</v>
      </c>
    </row>
    <row r="138" spans="1:134">
      <c r="A138" s="135">
        <v>11680</v>
      </c>
      <c r="B138" s="136" t="s">
        <v>138</v>
      </c>
      <c r="C138" s="244">
        <f>VLOOKUP(A138, TOCA_current!$A$3:$D$137, 4, FALSE)</f>
        <v>0</v>
      </c>
      <c r="D138" s="203">
        <v>0</v>
      </c>
      <c r="E138" s="119">
        <f>VLOOKUP($A138,TOCA_previous!$A$2:$AI$137,MATCH(E$4,TOCA_previous!$A$2:$AI$2,0),FALSE)</f>
        <v>8.9610000000000004E-4</v>
      </c>
      <c r="F138" s="120">
        <f>VLOOKUP($A138,TOCA_previous!$A$2:$AI$137,MATCH(F$4,TOCA_previous!$A$2:$AI$2,0),FALSE)</f>
        <v>8.9610000000000004E-4</v>
      </c>
      <c r="G138" s="120">
        <f t="shared" si="43"/>
        <v>0</v>
      </c>
      <c r="H138" s="120">
        <f>VLOOKUP($A138,TOCA_previous!$A$2:$AI$137,MATCH(H$4,TOCA_previous!$A$2:$AI$2,0),FALSE)</f>
        <v>0</v>
      </c>
      <c r="I138" s="120">
        <f t="shared" si="44"/>
        <v>0</v>
      </c>
      <c r="J138" s="120">
        <f t="shared" si="45"/>
        <v>0</v>
      </c>
      <c r="K138" s="191">
        <f>VLOOKUP(A138, IRD!$A$5:$C$139, 3, FALSE)</f>
        <v>0</v>
      </c>
      <c r="L138" s="192">
        <f t="array" ref="L138">IF($G138=0, INDEX(LS_previous!$D$4:$AY$138, MATCH('Staging Table'!$A138, LS_previous!$B$4:$B$138, 0), MATCH(L$4&amp;L$5, LS_previous!$D$2:$AY$2&amp;LS_previous!$D$3:$AY$3, 0)),SUM(VLOOKUP($A138, LS_previous!$B$4:$AY$138, LS_previous!D$149, FALSE), VLOOKUP('Staging Table'!$A138, LS_previous!$B$4:$AY$138,LS_previous!AB$149, FALSE))/2)</f>
        <v>-77.379494186800002</v>
      </c>
      <c r="M138" s="192">
        <f t="array" ref="M138">IF($G138=0, INDEX(LS_previous!$D$4:$AY$138, MATCH('Staging Table'!$A138, LS_previous!$B$4:$B$138, 0), MATCH(M$4&amp;M$5, LS_previous!$D$2:$AY$2&amp;LS_previous!$D$3:$AY$3, 0)),SUM(VLOOKUP($A138, LS_previous!$B$4:$AY$138, LS_previous!E$149, FALSE), VLOOKUP('Staging Table'!$A138, LS_previous!$B$4:$AY$138,LS_previous!AC$149, FALSE))/2)</f>
        <v>111.34655485119993</v>
      </c>
      <c r="N138" s="192">
        <f t="array" ref="N138">IF($G138=0, INDEX(LS_previous!$D$4:$AY$138, MATCH('Staging Table'!$A138, LS_previous!$B$4:$B$138, 0), MATCH(N$4&amp;N$5, LS_previous!$D$2:$AY$2&amp;LS_previous!$D$3:$AY$3, 0)),SUM(VLOOKUP($A138, LS_previous!$B$4:$AY$138, LS_previous!F$149, FALSE), VLOOKUP('Staging Table'!$A138, LS_previous!$B$4:$AY$138,LS_previous!AD$149, FALSE))/2)</f>
        <v>-445.73504184080002</v>
      </c>
      <c r="O138" s="192">
        <f t="array" ref="O138">IF($G138=0, INDEX(LS_previous!$D$4:$AY$138, MATCH('Staging Table'!$A138, LS_previous!$B$4:$B$138, 0), MATCH(O$4&amp;O$5, LS_previous!$D$2:$AY$2&amp;LS_previous!$D$3:$AY$3, 0)),SUM(VLOOKUP($A138, LS_previous!$B$4:$AY$138, LS_previous!G$149, FALSE), VLOOKUP('Staging Table'!$A138, LS_previous!$B$4:$AY$138,LS_previous!AE$149, FALSE))/2)</f>
        <v>-143.34668362710022</v>
      </c>
      <c r="P138" s="192">
        <f t="array" ref="P138">IF($G138=0, INDEX(LS_previous!$D$4:$AY$138, MATCH('Staging Table'!$A138, LS_previous!$B$4:$B$138, 0), MATCH(P$4&amp;P$5, LS_previous!$D$2:$AY$2&amp;LS_previous!$D$3:$AY$3, 0)),SUM(VLOOKUP($A138, LS_previous!$B$4:$AY$138, LS_previous!H$149, FALSE), VLOOKUP('Staging Table'!$A138, LS_previous!$B$4:$AY$138,LS_previous!AF$149, FALSE))/2)</f>
        <v>178.35097622079957</v>
      </c>
      <c r="Q138" s="192">
        <f t="array" ref="Q138">IF($G138=0, INDEX(LS_previous!$D$4:$AY$138, MATCH('Staging Table'!$A138, LS_previous!$B$4:$B$138, 0), MATCH(Q$4&amp;Q$5, LS_previous!$D$2:$AY$2&amp;LS_previous!$D$3:$AY$3, 0)),SUM(VLOOKUP($A138, LS_previous!$B$4:$AY$138, LS_previous!I$149, FALSE), VLOOKUP('Staging Table'!$A138, LS_previous!$B$4:$AY$138,LS_previous!AG$149, FALSE))/2)</f>
        <v>197.44178814359975</v>
      </c>
      <c r="R138" s="192">
        <f t="array" ref="R138">IF($G138=0, INDEX(LS_previous!$D$4:$AY$138, MATCH('Staging Table'!$A138, LS_previous!$B$4:$B$138, 0), MATCH(R$4&amp;R$5, LS_previous!$D$2:$AY$2&amp;LS_previous!$D$3:$AY$3, 0)),SUM(VLOOKUP($A138, LS_previous!$B$4:$AY$138, LS_previous!J$149, FALSE), VLOOKUP('Staging Table'!$A138, LS_previous!$B$4:$AY$138,LS_previous!AH$149, FALSE))/2)</f>
        <v>672.43015982079987</v>
      </c>
      <c r="S138" s="192">
        <f t="array" ref="S138">IF($G138=0, INDEX(LS_previous!$D$4:$AY$138, MATCH('Staging Table'!$A138, LS_previous!$B$4:$B$138, 0), MATCH(S$4&amp;S$5, LS_previous!$D$2:$AY$2&amp;LS_previous!$D$3:$AY$3, 0)),SUM(VLOOKUP($A138, LS_previous!$B$4:$AY$138, LS_previous!K$149, FALSE), VLOOKUP('Staging Table'!$A138, LS_previous!$B$4:$AY$138,LS_previous!AI$149, FALSE))/2)</f>
        <v>773.44445734359988</v>
      </c>
      <c r="T138" s="192">
        <f t="array" ref="T138">IF($G138=0, INDEX(LS_previous!$D$4:$AY$138, MATCH('Staging Table'!$A138, LS_previous!$B$4:$B$138, 0), MATCH(T$4&amp;T$5, LS_previous!$D$2:$AY$2&amp;LS_previous!$D$3:$AY$3, 0)),SUM(VLOOKUP($A138, LS_previous!$B$4:$AY$138, LS_previous!L$149, FALSE), VLOOKUP('Staging Table'!$A138, LS_previous!$B$4:$AY$138,LS_previous!AJ$149, FALSE))/2)</f>
        <v>427.89691718360018</v>
      </c>
      <c r="U138" s="192">
        <f t="array" ref="U138">IF($G138=0, INDEX(LS_previous!$D$4:$AY$138, MATCH('Staging Table'!$A138, LS_previous!$B$4:$B$138, 0), MATCH(U$4&amp;U$5, LS_previous!$D$2:$AY$2&amp;LS_previous!$D$3:$AY$3, 0)),SUM(VLOOKUP($A138, LS_previous!$B$4:$AY$138, LS_previous!M$149, FALSE), VLOOKUP('Staging Table'!$A138, LS_previous!$B$4:$AY$138,LS_previous!AK$149, FALSE))/2)</f>
        <v>301.83786833639988</v>
      </c>
      <c r="V138" s="192">
        <f t="array" ref="V138">IF($G138=0, INDEX(LS_previous!$D$4:$AY$138, MATCH('Staging Table'!$A138, LS_previous!$B$4:$B$138, 0), MATCH(V$4&amp;V$5, LS_previous!$D$2:$AY$2&amp;LS_previous!$D$3:$AY$3, 0)),SUM(VLOOKUP($A138, LS_previous!$B$4:$AY$138, LS_previous!N$149, FALSE), VLOOKUP('Staging Table'!$A138, LS_previous!$B$4:$AY$138,LS_previous!AL$149, FALSE))/2)</f>
        <v>78.967481482400217</v>
      </c>
      <c r="W138" s="192">
        <f t="array" ref="W138">IF($G138=0, INDEX(LS_previous!$D$4:$AY$138, MATCH('Staging Table'!$A138, LS_previous!$B$4:$B$138, 0), MATCH(W$4&amp;W$5, LS_previous!$D$2:$AY$2&amp;LS_previous!$D$3:$AY$3, 0)),SUM(VLOOKUP($A138, LS_previous!$B$4:$AY$138, LS_previous!O$149, FALSE), VLOOKUP('Staging Table'!$A138, LS_previous!$B$4:$AY$138,LS_previous!AM$149, FALSE))/2)</f>
        <v>18.514771371899997</v>
      </c>
      <c r="X138" s="192">
        <f t="array" ref="X138">IF($G138=0, INDEX(LS_previous!$D$4:$AY$138, MATCH('Staging Table'!$A138, LS_previous!$B$4:$B$138, 0), MATCH(X$4&amp;X$5, LS_previous!$D$2:$AY$2&amp;LS_previous!$D$3:$AY$3, 0)),SUM(VLOOKUP($A138, LS_previous!$B$4:$AY$138, LS_previous!P$149, FALSE), VLOOKUP('Staging Table'!$A138, LS_previous!$B$4:$AY$138,LS_previous!AN$149, FALSE))/2)</f>
        <v>311.17371090160032</v>
      </c>
      <c r="Y138" s="192">
        <f t="array" ref="Y138">IF($G138=0, INDEX(LS_previous!$D$4:$AY$138, MATCH('Staging Table'!$A138, LS_previous!$B$4:$B$138, 0), MATCH(Y$4&amp;Y$5, LS_previous!$D$2:$AY$2&amp;LS_previous!$D$3:$AY$3, 0)),SUM(VLOOKUP($A138, LS_previous!$B$4:$AY$138, LS_previous!Q$149, FALSE), VLOOKUP('Staging Table'!$A138, LS_previous!$B$4:$AY$138,LS_previous!AO$149, FALSE))/2)</f>
        <v>81.087493170399966</v>
      </c>
      <c r="Z138" s="192">
        <f t="array" ref="Z138">IF($G138=0, INDEX(LS_previous!$D$4:$AY$138, MATCH('Staging Table'!$A138, LS_previous!$B$4:$B$138, 0), MATCH(Z$4&amp;Z$5, LS_previous!$D$2:$AY$2&amp;LS_previous!$D$3:$AY$3, 0)),SUM(VLOOKUP($A138, LS_previous!$B$4:$AY$138, LS_previous!R$149, FALSE), VLOOKUP('Staging Table'!$A138, LS_previous!$B$4:$AY$138,LS_previous!AP$149, FALSE))/2)</f>
        <v>-687.03185031000021</v>
      </c>
      <c r="AA138" s="192">
        <f t="array" ref="AA138">IF($G138=0, INDEX(LS_previous!$D$4:$AY$138, MATCH('Staging Table'!$A138, LS_previous!$B$4:$B$138, 0), MATCH(AA$4&amp;AA$5, LS_previous!$D$2:$AY$2&amp;LS_previous!$D$3:$AY$3, 0)),SUM(VLOOKUP($A138, LS_previous!$B$4:$AY$138, LS_previous!S$149, FALSE), VLOOKUP('Staging Table'!$A138, LS_previous!$B$4:$AY$138,LS_previous!AQ$149, FALSE))/2)</f>
        <v>-167.77692507560005</v>
      </c>
      <c r="AB138" s="192">
        <f t="array" ref="AB138">IF($G138=0, INDEX(LS_previous!$D$4:$AY$138, MATCH('Staging Table'!$A138, LS_previous!$B$4:$B$138, 0), MATCH(AB$4&amp;AB$5, LS_previous!$D$2:$AY$2&amp;LS_previous!$D$3:$AY$3, 0)),SUM(VLOOKUP($A138, LS_previous!$B$4:$AY$138, LS_previous!T$149, FALSE), VLOOKUP('Staging Table'!$A138, LS_previous!$B$4:$AY$138,LS_previous!AR$149, FALSE))/2)</f>
        <v>-1146.8305474484005</v>
      </c>
      <c r="AC138" s="192">
        <f t="array" ref="AC138">IF($G138=0, INDEX(LS_previous!$D$4:$AY$138, MATCH('Staging Table'!$A138, LS_previous!$B$4:$B$138, 0), MATCH(AC$4&amp;AC$5, LS_previous!$D$2:$AY$2&amp;LS_previous!$D$3:$AY$3, 0)),SUM(VLOOKUP($A138, LS_previous!$B$4:$AY$138, LS_previous!U$149, FALSE), VLOOKUP('Staging Table'!$A138, LS_previous!$B$4:$AY$138,LS_previous!AS$149, FALSE))/2)</f>
        <v>-693.43619142959983</v>
      </c>
      <c r="AD138" s="192">
        <f t="array" ref="AD138">IF($G138=0, INDEX(LS_previous!$D$4:$AY$138, MATCH('Staging Table'!$A138, LS_previous!$B$4:$B$138, 0), MATCH(AD$4&amp;AD$5, LS_previous!$D$2:$AY$2&amp;LS_previous!$D$3:$AY$3, 0)),SUM(VLOOKUP($A138, LS_previous!$B$4:$AY$138, LS_previous!V$149, FALSE), VLOOKUP('Staging Table'!$A138, LS_previous!$B$4:$AY$138,LS_previous!AT$149, FALSE))/2)</f>
        <v>150.26430205160023</v>
      </c>
      <c r="AE138" s="192">
        <f t="array" ref="AE138">IF($G138=0, INDEX(LS_previous!$D$4:$AY$138, MATCH('Staging Table'!$A138, LS_previous!$B$4:$B$138, 0), MATCH(AE$4&amp;AE$5, LS_previous!$D$2:$AY$2&amp;LS_previous!$D$3:$AY$3, 0)),SUM(VLOOKUP($A138, LS_previous!$B$4:$AY$138, LS_previous!W$149, FALSE), VLOOKUP('Staging Table'!$A138, LS_previous!$B$4:$AY$138,LS_previous!AU$149, FALSE))/2)</f>
        <v>581.94450821279975</v>
      </c>
      <c r="AF138" s="192">
        <f t="array" ref="AF138">IF($G138=0, INDEX(LS_previous!$D$4:$AY$138, MATCH('Staging Table'!$A138, LS_previous!$B$4:$B$138, 0), MATCH(AF$4&amp;AF$5, LS_previous!$D$2:$AY$2&amp;LS_previous!$D$3:$AY$3, 0)),SUM(VLOOKUP($A138, LS_previous!$B$4:$AY$138, LS_previous!X$149, FALSE), VLOOKUP('Staging Table'!$A138, LS_previous!$B$4:$AY$138,LS_previous!AV$149, FALSE))/2)</f>
        <v>312.33880510159997</v>
      </c>
      <c r="AG138" s="192">
        <f t="array" ref="AG138">IF($G138=0, INDEX(LS_previous!$D$4:$AY$138, MATCH('Staging Table'!$A138, LS_previous!$B$4:$B$138, 0), MATCH(AG$4&amp;AG$5, LS_previous!$D$2:$AY$2&amp;LS_previous!$D$3:$AY$3, 0)),SUM(VLOOKUP($A138, LS_previous!$B$4:$AY$138, LS_previous!Y$149, FALSE), VLOOKUP('Staging Table'!$A138, LS_previous!$B$4:$AY$138,LS_previous!AW$149, FALSE))/2)</f>
        <v>271.78318021279983</v>
      </c>
      <c r="AH138" s="192">
        <f t="array" ref="AH138">IF($G138=0, INDEX(LS_previous!$D$4:$AY$138, MATCH('Staging Table'!$A138, LS_previous!$B$4:$B$138, 0), MATCH(AH$4&amp;AH$5, LS_previous!$D$2:$AY$2&amp;LS_previous!$D$3:$AY$3, 0)),SUM(VLOOKUP($A138, LS_previous!$B$4:$AY$138, LS_previous!Z$149, FALSE), VLOOKUP('Staging Table'!$A138, LS_previous!$B$4:$AY$138,LS_previous!AX$149, FALSE))/2)</f>
        <v>-170.11883616000023</v>
      </c>
      <c r="AI138" s="192">
        <f t="array" ref="AI138">IF($G138=0, INDEX(LS_previous!$D$4:$AY$138, MATCH('Staging Table'!$A138, LS_previous!$B$4:$B$138, 0), MATCH(AI$4&amp;AI$5, LS_previous!$D$2:$AY$2&amp;LS_previous!$D$3:$AY$3, 0)),SUM(VLOOKUP($A138, LS_previous!$B$4:$AY$138, LS_previous!AA$149, FALSE), VLOOKUP('Staging Table'!$A138, LS_previous!$B$4:$AY$138,LS_previous!AY$149, FALSE))/2)</f>
        <v>-80.546473868000021</v>
      </c>
      <c r="AJ138" s="314">
        <f t="array" ref="AJ138">INDEX(Demand_previous!$D$4:$AY$138, MATCH('Staging Table'!$A138, Demand_previous!$B$4:$B$138, 0), MATCH(AJ$4&amp;AJ$5,Demand_previous!$D$2:$AY$2&amp;Demand_previous!$D$3:$AY$3, 0))/1000</f>
        <v>0.57739814814814872</v>
      </c>
      <c r="AK138" s="314">
        <f t="array" ref="AK138">INDEX(Demand_previous!$D$4:$AY$138, MATCH('Staging Table'!$A138, Demand_previous!$B$4:$B$138, 0), MATCH(AK$4&amp;AK$5,Demand_previous!$D$2:$AY$2&amp;Demand_previous!$D$3:$AY$3, 0))/1000</f>
        <v>0.34811499999999995</v>
      </c>
      <c r="AL138" s="314">
        <f t="array" ref="AL138">INDEX(Demand_previous!$D$4:$AY$138, MATCH('Staging Table'!$A138, Demand_previous!$B$4:$B$138, 0), MATCH(AL$4&amp;AL$5,Demand_previous!$D$2:$AY$2&amp;Demand_previous!$D$3:$AY$3, 0))/1000</f>
        <v>0.1566800000000006</v>
      </c>
      <c r="AM138" s="314">
        <f t="array" ref="AM138">INDEX(Demand_previous!$D$4:$AY$138, MATCH('Staging Table'!$A138, Demand_previous!$B$4:$B$138, 0), MATCH(AM$4&amp;AM$5,Demand_previous!$D$2:$AY$2&amp;Demand_previous!$D$3:$AY$3, 0))/1000</f>
        <v>0.13767788461538369</v>
      </c>
      <c r="AN138" s="314">
        <f t="array" ref="AN138">INDEX(Demand_previous!$D$4:$AY$138, MATCH('Staging Table'!$A138, Demand_previous!$B$4:$B$138, 0), MATCH(AN$4&amp;AN$5,Demand_previous!$D$2:$AY$2&amp;Demand_previous!$D$3:$AY$3, 0))/1000</f>
        <v>0.35982999999999965</v>
      </c>
      <c r="AO138" s="314">
        <f t="array" ref="AO138">INDEX(Demand_previous!$D$4:$AY$138, MATCH('Staging Table'!$A138, Demand_previous!$B$4:$B$138, 0), MATCH(AO$4&amp;AO$5,Demand_previous!$D$2:$AY$2&amp;Demand_previous!$D$3:$AY$3, 0))/1000</f>
        <v>0.27615144230769184</v>
      </c>
      <c r="AP138" s="314">
        <f t="array" ref="AP138">INDEX(Demand_previous!$D$4:$AY$138, MATCH('Staging Table'!$A138, Demand_previous!$B$4:$B$138, 0), MATCH(AP$4&amp;AP$5,Demand_previous!$D$2:$AY$2&amp;Demand_previous!$D$3:$AY$3, 0))/1000</f>
        <v>0.59158894230769143</v>
      </c>
      <c r="AQ138" s="314">
        <f t="array" ref="AQ138">INDEX(Demand_previous!$D$4:$AY$138, MATCH('Staging Table'!$A138, Demand_previous!$B$4:$B$138, 0), MATCH(AQ$4&amp;AQ$5,Demand_previous!$D$2:$AY$2&amp;Demand_previous!$D$3:$AY$3, 0))/1000</f>
        <v>0</v>
      </c>
      <c r="AR138" s="314">
        <f t="array" ref="AR138">INDEX(Demand_previous!$D$4:$AY$138, MATCH('Staging Table'!$A138, Demand_previous!$B$4:$B$138, 0), MATCH(AR$4&amp;AR$5,Demand_previous!$D$2:$AY$2&amp;Demand_previous!$D$3:$AY$3, 0))/1000</f>
        <v>1.2936610576923075</v>
      </c>
      <c r="AS138" s="314">
        <f t="array" ref="AS138">INDEX(Demand_previous!$D$4:$AY$138, MATCH('Staging Table'!$A138, Demand_previous!$B$4:$B$138, 0), MATCH(AS$4&amp;AS$5,Demand_previous!$D$2:$AY$2&amp;Demand_previous!$D$3:$AY$3, 0))/1000</f>
        <v>1.1560745192307684</v>
      </c>
      <c r="AT138" s="314">
        <f t="array" ref="AT138">INDEX(Demand_previous!$D$4:$AY$138, MATCH('Staging Table'!$A138, Demand_previous!$B$4:$B$138, 0), MATCH(AT$4&amp;AT$5,Demand_previous!$D$2:$AY$2&amp;Demand_previous!$D$3:$AY$3, 0))/1000</f>
        <v>0</v>
      </c>
      <c r="AU138" s="314">
        <f t="array" ref="AU138">INDEX(Demand_previous!$D$4:$AY$138, MATCH('Staging Table'!$A138, Demand_previous!$B$4:$B$138, 0), MATCH(AU$4&amp;AU$5,Demand_previous!$D$2:$AY$2&amp;Demand_previous!$D$3:$AY$3, 0))/1000</f>
        <v>0</v>
      </c>
      <c r="AV138" s="192">
        <f>$F138*(VLOOKUP(AV$4, Rates_previous!$G$6:$Q$29, 10, FALSE)+VLOOKUP(AV$4, Rates_previous!$G$6:$Q$29, 11, FALSE))</f>
        <v>4137.5779393355997</v>
      </c>
      <c r="AW138" s="192">
        <f>$F138*(VLOOKUP(AW$4, Rates_previous!$G$6:$Q$29, 10, FALSE)+VLOOKUP(AW$4, Rates_previous!$G$6:$Q$29, 11, FALSE))</f>
        <v>5256.0147254679005</v>
      </c>
      <c r="AX138" s="192">
        <f>$F138*(VLOOKUP(AX$4, Rates_previous!$G$6:$Q$29, 10, FALSE)+VLOOKUP(AX$4, Rates_previous!$G$6:$Q$29, 11, FALSE))</f>
        <v>5192.541235635601</v>
      </c>
      <c r="AY138" s="192">
        <f>$F138*(VLOOKUP(AY$4, Rates_previous!$G$6:$Q$29, 10, FALSE)+VLOOKUP(AY$4, Rates_previous!$G$6:$Q$29, 11, FALSE))</f>
        <v>4328.2993828356002</v>
      </c>
      <c r="AZ138" s="192">
        <f>$F138*(VLOOKUP(AZ$4, Rates_previous!$G$6:$Q$29, 10, FALSE)+VLOOKUP(AZ$4, Rates_previous!$G$6:$Q$29, 11, FALSE))</f>
        <v>3920.9902144799998</v>
      </c>
      <c r="BA138" s="192">
        <f>$F138*(VLOOKUP(BA$4, Rates_previous!$G$6:$Q$29, 10, FALSE)+VLOOKUP(BA$4, Rates_previous!$G$6:$Q$29, 11, FALSE))</f>
        <v>4361.3867471456997</v>
      </c>
      <c r="BB138" s="192">
        <f>$F138*(VLOOKUP(BB$4, Rates_previous!$G$6:$Q$29, 10, FALSE)+VLOOKUP(BB$4, Rates_previous!$G$6:$Q$29, 11, FALSE))</f>
        <v>3551.0457959280002</v>
      </c>
      <c r="BC138" s="192">
        <f>$F138*(VLOOKUP(BC$4, Rates_previous!$G$6:$Q$29, 10, FALSE)+VLOOKUP(BC$4, Rates_previous!$G$6:$Q$29, 11, FALSE))</f>
        <v>4789.1147753856003</v>
      </c>
      <c r="BD138" s="192">
        <f>$F138*(VLOOKUP(BD$4, Rates_previous!$G$6:$Q$29, 10, FALSE)+VLOOKUP(BD$4, Rates_previous!$G$6:$Q$29, 11, FALSE))</f>
        <v>6110.5847388780003</v>
      </c>
      <c r="BE138" s="192">
        <f>$F138*(VLOOKUP(BE$4, Rates_previous!$G$6:$Q$29, 10, FALSE)+VLOOKUP(BE$4, Rates_previous!$G$6:$Q$29, 11, FALSE))</f>
        <v>4790.8921897356004</v>
      </c>
      <c r="BF138" s="192">
        <f>$F138*(VLOOKUP(BF$4, Rates_previous!$G$6:$Q$29, 10, FALSE)+VLOOKUP(BF$4, Rates_previous!$G$6:$Q$29, 11, FALSE))</f>
        <v>4665.3750146856009</v>
      </c>
      <c r="BG138" s="192">
        <f>$F138*(VLOOKUP(BG$4, Rates_previous!$G$6:$Q$29, 10, FALSE)+VLOOKUP(BG$4, Rates_previous!$G$6:$Q$29, 11, FALSE))</f>
        <v>4188.5143100280002</v>
      </c>
      <c r="BH138" s="314">
        <f>IF($D138=0,IF(C138=0, MAX(BJ138 - (VLOOKUP($A138,TOCA_previous!$A$2:$AI$137,MATCH("RHWM 2020",TOCA_previous!$A$2:$AI$2,0),FALSE)*$F$2*TOCA_previous!C135),0),0), 0)</f>
        <v>853.68007536759978</v>
      </c>
      <c r="BI138" s="204">
        <f>MIN(VLOOKUP($A138,TOCA_previous!$A$2:$AI$137,MATCH("TRL - NLSL - Existing Resource "&amp;$F$1,TOCA_previous!$A$2:$AI$2,0),FALSE)*$F$2,(VLOOKUP($A138,TOCA_previous!$A$2:$AI$137,MATCH("RHWM 2020",TOCA_previous!$A$2:$AI$2,0),FALSE)*$F$2))</f>
        <v>55295.28</v>
      </c>
      <c r="BJ138" s="418">
        <f>SUM(L138:AI138)+(F138*RT1SC!$C$3*$F$2)</f>
        <v>56148.960075367599</v>
      </c>
      <c r="BK138" s="417">
        <f>VLOOKUP($A138,TOCA_previous!$A$2:$AI$137,MATCH("Above RHWM Not Served with LS "&amp;$F$1,TOCA_previous!$A$2:$AI$2,0),FALSE)*$F$2</f>
        <v>0</v>
      </c>
      <c r="BL138" s="418">
        <f t="shared" si="46"/>
        <v>853.68007536759978</v>
      </c>
      <c r="BM138" s="417">
        <f>(VLOOKUP($A138,TOCA_previous!$A$2:$AI$137,MATCH("RHWM 2020",TOCA_previous!$A$2:$AI$2,0),FALSE)*$F$2) - $BI138</f>
        <v>0</v>
      </c>
      <c r="BN138" s="418">
        <f t="shared" si="47"/>
        <v>0</v>
      </c>
      <c r="BO138" s="417">
        <f t="shared" si="48"/>
        <v>0</v>
      </c>
      <c r="BP138" s="418">
        <f t="shared" si="49"/>
        <v>0</v>
      </c>
      <c r="BQ138" s="417">
        <f t="shared" si="40"/>
        <v>0</v>
      </c>
      <c r="BR138" s="120">
        <f>VLOOKUP($A138,TOCA_current!$A$2:$AI$137,MATCH(BR$4,TOCA_current!$A$2:$AI$2,0),FALSE)</f>
        <v>8.9619999999999999E-4</v>
      </c>
      <c r="BS138" s="120">
        <f>VLOOKUP($A138,TOCA_current!$A$2:$AI$137,MATCH(BS$4,TOCA_current!$A$2:$AI$2,0),FALSE)</f>
        <v>8.9619999999999999E-4</v>
      </c>
      <c r="BT138" s="201">
        <f t="shared" si="50"/>
        <v>0</v>
      </c>
      <c r="BU138" s="120">
        <f>VLOOKUP($A138,TOCA_current!A134:BG269,MATCH(BU$4,TOCA_current!$A$2:$BG$2,0),FALSE)</f>
        <v>0</v>
      </c>
      <c r="BV138" s="120">
        <f t="shared" si="41"/>
        <v>0</v>
      </c>
      <c r="BW138" s="120">
        <f t="shared" si="42"/>
        <v>0</v>
      </c>
      <c r="BX138" s="191">
        <f>VLOOKUP($A138,IRD!$A$4:$G$139, 7, FALSE)</f>
        <v>0</v>
      </c>
      <c r="BY138" s="192">
        <f t="array" ref="BY138">IF($BT138=0, INDEX(LS_current!$D$4:$AY$138, MATCH('Staging Table'!$A138, LS_current!$B$4:$B$138, 0), MATCH(BY$4&amp;BY$5, LS_current!$D$2:$AY$2&amp;LS_current!$D$3:$AY$3, 0)),SUM(VLOOKUP($A138, LS_current!$B$4:$AY$138, LS_current!D$148, FALSE), VLOOKUP($A138, LS_current!$B$4:$AY$138,LS_current!AB$148, FALSE))/2)</f>
        <v>1.4317649232848453</v>
      </c>
      <c r="BZ138" s="192">
        <f t="array" ref="BZ138">IF($BT138=0, INDEX(LS_current!$D$4:$AY$138, MATCH('Staging Table'!$A138, LS_current!$B$4:$B$138, 0), MATCH(BZ$4&amp;BZ$5, LS_current!$D$2:$AY$2&amp;LS_current!$D$3:$AY$3, 0)),SUM(VLOOKUP($A138, LS_current!$B$4:$AY$138, LS_current!E$148, FALSE), VLOOKUP($A138, LS_current!$B$4:$AY$138,LS_current!AC$148, FALSE))/2)</f>
        <v>88.886169188914437</v>
      </c>
      <c r="CA138" s="192">
        <f t="array" ref="CA138">IF($BT138=0, INDEX(LS_current!$D$4:$AY$138, MATCH('Staging Table'!$A138, LS_current!$B$4:$B$138, 0), MATCH(CA$4&amp;CA$5, LS_current!$D$2:$AY$2&amp;LS_current!$D$3:$AY$3, 0)),SUM(VLOOKUP($A138, LS_current!$B$4:$AY$138, LS_current!F$148, FALSE), VLOOKUP($A138, LS_current!$B$4:$AY$138,LS_current!AD$148, FALSE))/2)</f>
        <v>-321.15246185183923</v>
      </c>
      <c r="CB138" s="192">
        <f t="array" ref="CB138">IF($BT138=0, INDEX(LS_current!$D$4:$AY$138, MATCH('Staging Table'!$A138, LS_current!$B$4:$B$138, 0), MATCH(CB$4&amp;CB$5, LS_current!$D$2:$AY$2&amp;LS_current!$D$3:$AY$3, 0)),SUM(VLOOKUP($A138, LS_current!$B$4:$AY$138, LS_current!G$148, FALSE), VLOOKUP($A138, LS_current!$B$4:$AY$138,LS_current!AE$148, FALSE))/2)</f>
        <v>-178.89612148510014</v>
      </c>
      <c r="CC138" s="192">
        <f t="array" ref="CC138">IF($BT138=0, INDEX(LS_current!$D$4:$AY$138, MATCH('Staging Table'!$A138, LS_current!$B$4:$B$138, 0), MATCH(CC$4&amp;CC$5, LS_current!$D$2:$AY$2&amp;LS_current!$D$3:$AY$3, 0)),SUM(VLOOKUP($A138, LS_current!$B$4:$AY$138, LS_current!H$148, FALSE), VLOOKUP($A138, LS_current!$B$4:$AY$138,LS_current!AF$148, FALSE))/2)</f>
        <v>513.69325428492812</v>
      </c>
      <c r="CD138" s="192">
        <f t="array" ref="CD138">IF($BT138=0, INDEX(LS_current!$D$4:$AY$138, MATCH('Staging Table'!$A138, LS_current!$B$4:$B$138, 0), MATCH(CD$4&amp;CD$5, LS_current!$D$2:$AY$2&amp;LS_current!$D$3:$AY$3, 0)),SUM(VLOOKUP($A138, LS_current!$B$4:$AY$138, LS_current!I$148, FALSE), VLOOKUP($A138, LS_current!$B$4:$AY$138,LS_current!AG$148, FALSE))/2)</f>
        <v>-2.8019481751771309</v>
      </c>
      <c r="CE138" s="192">
        <f t="array" ref="CE138">IF($BT138=0, INDEX(LS_current!$D$4:$AY$138, MATCH('Staging Table'!$A138, LS_current!$B$4:$B$138, 0), MATCH(CE$4&amp;CE$5, LS_current!$D$2:$AY$2&amp;LS_current!$D$3:$AY$3, 0)),SUM(VLOOKUP($A138, LS_current!$B$4:$AY$138, LS_current!J$148, FALSE), VLOOKUP($A138, LS_current!$B$4:$AY$138,LS_current!AH$148, FALSE))/2)</f>
        <v>1016.2682502735197</v>
      </c>
      <c r="CF138" s="192">
        <f t="array" ref="CF138">IF($BT138=0, INDEX(LS_current!$D$4:$AY$138, MATCH('Staging Table'!$A138, LS_current!$B$4:$B$138, 0), MATCH(CF$4&amp;CF$5, LS_current!$D$2:$AY$2&amp;LS_current!$D$3:$AY$3, 0)),SUM(VLOOKUP($A138, LS_current!$B$4:$AY$138, LS_current!K$148, FALSE), VLOOKUP($A138, LS_current!$B$4:$AY$138,LS_current!AI$148, FALSE))/2)</f>
        <v>580.67315152410697</v>
      </c>
      <c r="CG138" s="192">
        <f t="array" ref="CG138">IF($BT138=0, INDEX(LS_current!$D$4:$AY$138, MATCH('Staging Table'!$A138, LS_current!$B$4:$B$138, 0), MATCH(CG$4&amp;CG$5, LS_current!$D$2:$AY$2&amp;LS_current!$D$3:$AY$3, 0)),SUM(VLOOKUP($A138, LS_current!$B$4:$AY$138, LS_current!L$148, FALSE), VLOOKUP($A138, LS_current!$B$4:$AY$138,LS_current!AJ$148, FALSE))/2)</f>
        <v>798.56431296562005</v>
      </c>
      <c r="CH138" s="192">
        <f t="array" ref="CH138">IF($BT138=0, INDEX(LS_current!$D$4:$AY$138, MATCH('Staging Table'!$A138, LS_current!$B$4:$B$138, 0), MATCH(CH$4&amp;CH$5, LS_current!$D$2:$AY$2&amp;LS_current!$D$3:$AY$3, 0)),SUM(VLOOKUP($A138, LS_current!$B$4:$AY$138, LS_current!M$148, FALSE), VLOOKUP($A138, LS_current!$B$4:$AY$138,LS_current!AK$148, FALSE))/2)</f>
        <v>231.66164139691841</v>
      </c>
      <c r="CI138" s="192">
        <f t="array" ref="CI138">IF($BT138=0, INDEX(LS_current!$D$4:$AY$138, MATCH('Staging Table'!$A138, LS_current!$B$4:$B$138, 0), MATCH(CI$4&amp;CI$5, LS_current!$D$2:$AY$2&amp;LS_current!$D$3:$AY$3, 0)),SUM(VLOOKUP($A138, LS_current!$B$4:$AY$138, LS_current!N$148, FALSE), VLOOKUP($A138, LS_current!$B$4:$AY$138,LS_current!AL$148, FALSE))/2)</f>
        <v>197.63266297463406</v>
      </c>
      <c r="CJ138" s="192">
        <f t="array" ref="CJ138">IF($BT138=0, INDEX(LS_current!$D$4:$AY$138, MATCH('Staging Table'!$A138, LS_current!$B$4:$B$138, 0), MATCH(CJ$4&amp;CJ$5, LS_current!$D$2:$AY$2&amp;LS_current!$D$3:$AY$3, 0)),SUM(VLOOKUP($A138, LS_current!$B$4:$AY$138, LS_current!O$148, FALSE), VLOOKUP($A138, LS_current!$B$4:$AY$138,LS_current!AM$148, FALSE))/2)</f>
        <v>-60.90840261498488</v>
      </c>
      <c r="CK138" s="192">
        <f t="array" ref="CK138">IF($BT138=0, INDEX(LS_current!$D$4:$AY$138, MATCH('Staging Table'!$A138, LS_current!$B$4:$B$138, 0), MATCH(CK$4&amp;CK$5, LS_current!$D$2:$AY$2&amp;LS_current!$D$3:$AY$3, 0)),SUM(VLOOKUP($A138, LS_current!$B$4:$AY$138, LS_current!P$148, FALSE), VLOOKUP($A138, LS_current!$B$4:$AY$138,LS_current!AN$148, FALSE))/2)</f>
        <v>477.86052254319429</v>
      </c>
      <c r="CL138" s="192">
        <f t="array" ref="CL138">IF($BT138=0, INDEX(LS_current!$D$4:$AY$138, MATCH('Staging Table'!$A138, LS_current!$B$4:$B$138, 0), MATCH(CL$4&amp;CL$5, LS_current!$D$2:$AY$2&amp;LS_current!$D$3:$AY$3, 0)),SUM(VLOOKUP($A138, LS_current!$B$4:$AY$138, LS_current!Q$148, FALSE), VLOOKUP($A138, LS_current!$B$4:$AY$138,LS_current!AO$148, FALSE))/2)</f>
        <v>109.87648949824347</v>
      </c>
      <c r="CM138" s="192">
        <f t="array" ref="CM138">IF($BT138=0, INDEX(LS_current!$D$4:$AY$138, MATCH('Staging Table'!$A138, LS_current!$B$4:$B$138, 0), MATCH(CM$4&amp;CM$5, LS_current!$D$2:$AY$2&amp;LS_current!$D$3:$AY$3, 0)),SUM(VLOOKUP($A138, LS_current!$B$4:$AY$138, LS_current!R$148, FALSE), VLOOKUP($A138, LS_current!$B$4:$AY$138,LS_current!AP$148, FALSE))/2)</f>
        <v>-712.1340099548579</v>
      </c>
      <c r="CN138" s="192">
        <f t="array" ref="CN138">IF($BT138=0, INDEX(LS_current!$D$4:$AY$138, MATCH('Staging Table'!$A138, LS_current!$B$4:$B$138, 0), MATCH(CN$4&amp;CN$5, LS_current!$D$2:$AY$2&amp;LS_current!$D$3:$AY$3, 0)),SUM(VLOOKUP($A138, LS_current!$B$4:$AY$138, LS_current!S$148, FALSE), VLOOKUP($A138, LS_current!$B$4:$AY$138,LS_current!AQ$148, FALSE))/2)</f>
        <v>-2.7269019480011139</v>
      </c>
      <c r="CO138" s="192">
        <f t="array" ref="CO138">IF($BT138=0, INDEX(LS_current!$D$4:$AY$138, MATCH('Staging Table'!$A138, LS_current!$B$4:$B$138, 0), MATCH(CO$4&amp;CO$5, LS_current!$D$2:$AY$2&amp;LS_current!$D$3:$AY$3, 0)),SUM(VLOOKUP($A138, LS_current!$B$4:$AY$138, LS_current!T$148, FALSE), VLOOKUP($A138, LS_current!$B$4:$AY$138,LS_current!AR$148, FALSE))/2)</f>
        <v>-723.66147655980058</v>
      </c>
      <c r="CP138" s="192">
        <f t="array" ref="CP138">IF($BT138=0, INDEX(LS_current!$D$4:$AY$138, MATCH('Staging Table'!$A138, LS_current!$B$4:$B$138, 0), MATCH(CP$4&amp;CP$5, LS_current!$D$2:$AY$2&amp;LS_current!$D$3:$AY$3, 0)),SUM(VLOOKUP($A138, LS_current!$B$4:$AY$138, LS_current!U$148, FALSE), VLOOKUP($A138, LS_current!$B$4:$AY$138,LS_current!AS$148, FALSE))/2)</f>
        <v>26.247281582301639</v>
      </c>
      <c r="CQ138" s="192">
        <f t="array" ref="CQ138">IF($BT138=0, INDEX(LS_current!$D$4:$AY$138, MATCH('Staging Table'!$A138, LS_current!$B$4:$B$138, 0), MATCH(CQ$4&amp;CQ$5, LS_current!$D$2:$AY$2&amp;LS_current!$D$3:$AY$3, 0)),SUM(VLOOKUP($A138, LS_current!$B$4:$AY$138, LS_current!V$148, FALSE), VLOOKUP($A138, LS_current!$B$4:$AY$138,LS_current!AT$148, FALSE))/2)</f>
        <v>306.70791030406372</v>
      </c>
      <c r="CR138" s="192">
        <f t="array" ref="CR138">IF($BT138=0, INDEX(LS_current!$D$4:$AY$138, MATCH('Staging Table'!$A138, LS_current!$B$4:$B$138, 0), MATCH(CR$4&amp;CR$5, LS_current!$D$2:$AY$2&amp;LS_current!$D$3:$AY$3, 0)),SUM(VLOOKUP($A138, LS_current!$B$4:$AY$138, LS_current!W$148, FALSE), VLOOKUP($A138, LS_current!$B$4:$AY$138,LS_current!AU$148, FALSE))/2)</f>
        <v>499.75631742065684</v>
      </c>
      <c r="CS138" s="192">
        <f t="array" ref="CS138">IF($BT138=0, INDEX(LS_current!$D$4:$AY$138, MATCH('Staging Table'!$A138, LS_current!$B$4:$B$138, 0), MATCH(CS$4&amp;CS$5, LS_current!$D$2:$AY$2&amp;LS_current!$D$3:$AY$3, 0)),SUM(VLOOKUP($A138, LS_current!$B$4:$AY$138, LS_current!X$148, FALSE), VLOOKUP($A138, LS_current!$B$4:$AY$138,LS_current!AV$148, FALSE))/2)</f>
        <v>439.69374645898961</v>
      </c>
      <c r="CT138" s="192">
        <f t="array" ref="CT138">IF($BT138=0, INDEX(LS_current!$D$4:$AY$138, MATCH('Staging Table'!$A138, LS_current!$B$4:$B$138, 0), MATCH(CT$4&amp;CT$5, LS_current!$D$2:$AY$2&amp;LS_current!$D$3:$AY$3, 0)),SUM(VLOOKUP($A138, LS_current!$B$4:$AY$138, LS_current!Y$148, FALSE), VLOOKUP($A138, LS_current!$B$4:$AY$138,LS_current!AW$148, FALSE))/2)</f>
        <v>251.537682731833</v>
      </c>
      <c r="CU138" s="192">
        <f t="array" ref="CU138">IF($BT138=0, INDEX(LS_current!$D$4:$AY$138, MATCH('Staging Table'!$A138, LS_current!$B$4:$B$138, 0), MATCH(CU$4&amp;CU$5, LS_current!$D$2:$AY$2&amp;LS_current!$D$3:$AY$3, 0)),SUM(VLOOKUP($A138, LS_current!$B$4:$AY$138, LS_current!Z$148, FALSE), VLOOKUP($A138, LS_current!$B$4:$AY$138,LS_current!AX$148, FALSE))/2)</f>
        <v>-176.06369142608446</v>
      </c>
      <c r="CV138" s="192">
        <f t="array" ref="CV138">IF($BT138=0, INDEX(LS_current!$D$4:$AY$138, MATCH('Staging Table'!$A138, LS_current!$B$4:$B$138, 0), MATCH(CV$4&amp;CV$5, LS_current!$D$2:$AY$2&amp;LS_current!$D$3:$AY$3, 0)),SUM(VLOOKUP($A138, LS_current!$B$4:$AY$138, LS_current!AA$148, FALSE), VLOOKUP($A138, LS_current!$B$4:$AY$138,LS_current!AY$148, FALSE))/2)</f>
        <v>-98.399876355953666</v>
      </c>
      <c r="CW138" s="194">
        <f t="array" ref="CW138">INDEX(Demand_current!$D$4:$AY$138, MATCH($A138, Demand_current!$B$4:$B$138, 0), MATCH(CW$4&amp;CW$5,Demand_current!$D$2:$AY$2&amp;Demand_current!$D$3:$AY$3, 0))/1000</f>
        <v>0.34422115384615393</v>
      </c>
      <c r="CX138" s="194">
        <f t="array" ref="CX138">INDEX(Demand_current!$D$4:$AY$138, MATCH($A138, Demand_current!$B$4:$B$138, 0), MATCH(CX$4&amp;CX$5,Demand_current!$D$2:$AY$2&amp;Demand_current!$D$3:$AY$3, 0))/1000</f>
        <v>0.34811499999999995</v>
      </c>
      <c r="CY138" s="194">
        <f t="array" ref="CY138">INDEX(Demand_current!$D$4:$AY$138, MATCH($A138, Demand_current!$B$4:$B$138, 0), MATCH(CY$4&amp;CY$5,Demand_current!$D$2:$AY$2&amp;Demand_current!$D$3:$AY$3, 0))/1000</f>
        <v>0.4838846153846168</v>
      </c>
      <c r="CZ138" s="194">
        <f t="array" ref="CZ138">INDEX(Demand_current!$D$4:$AY$138, MATCH($A138, Demand_current!$B$4:$B$138, 0), MATCH(CZ$4&amp;CZ$5,Demand_current!$D$2:$AY$2&amp;Demand_current!$D$3:$AY$3, 0))/1000</f>
        <v>0</v>
      </c>
      <c r="DA138" s="194">
        <f t="array" ref="DA138">INDEX(Demand_current!$D$4:$AY$138, MATCH($A138, Demand_current!$B$4:$B$138, 0), MATCH(DA$4&amp;DA$5,Demand_current!$D$2:$AY$2&amp;Demand_current!$D$3:$AY$3, 0))/1000</f>
        <v>5.7572916666666529E-2</v>
      </c>
      <c r="DB138" s="194">
        <f t="array" ref="DB138">INDEX(Demand_current!$D$4:$AY$138, MATCH($A138, Demand_current!$B$4:$B$138, 0), MATCH(DB$4&amp;DB$5,Demand_current!$D$2:$AY$2&amp;Demand_current!$D$3:$AY$3, 0))/1000</f>
        <v>0.53007175925925898</v>
      </c>
      <c r="DC138" s="194">
        <f t="array" ref="DC138">INDEX(Demand_current!$D$4:$AY$138, MATCH($A138, Demand_current!$B$4:$B$138, 0), MATCH(DC$4&amp;DC$5,Demand_current!$D$2:$AY$2&amp;Demand_current!$D$3:$AY$3, 0))/1000</f>
        <v>0.59158894230769143</v>
      </c>
      <c r="DD138" s="194">
        <f t="array" ref="DD138">INDEX(Demand_current!$D$4:$AY$138, MATCH($A138, Demand_current!$B$4:$B$138, 0), MATCH(DD$4&amp;DD$5,Demand_current!$D$2:$AY$2&amp;Demand_current!$D$3:$AY$3, 0))/1000</f>
        <v>0</v>
      </c>
      <c r="DE138" s="194">
        <f t="array" ref="DE138">INDEX(Demand_current!$D$4:$AY$138, MATCH($A138, Demand_current!$B$4:$B$138, 0), MATCH(DE$4&amp;DE$5,Demand_current!$D$2:$AY$2&amp;Demand_current!$D$3:$AY$3, 0))/1000</f>
        <v>1.2936610576923075</v>
      </c>
      <c r="DF138" s="194">
        <f t="array" ref="DF138">INDEX(Demand_current!$D$4:$AY$138, MATCH($A138, Demand_current!$B$4:$B$138, 0), MATCH(DF$4&amp;DF$5,Demand_current!$D$2:$AY$2&amp;Demand_current!$D$3:$AY$3, 0))/1000</f>
        <v>0.82451749999999846</v>
      </c>
      <c r="DG138" s="194">
        <f t="array" ref="DG138">INDEX(Demand_current!$D$4:$AY$138, MATCH($A138, Demand_current!$B$4:$B$138, 0), MATCH(DG$4&amp;DG$5,Demand_current!$D$2:$AY$2&amp;Demand_current!$D$3:$AY$3, 0))/1000</f>
        <v>5.2363425925925355E-2</v>
      </c>
      <c r="DH138" s="194">
        <f t="array" ref="DH138">INDEX(Demand_current!$D$4:$AY$138, MATCH($A138, Demand_current!$B$4:$B$138, 0), MATCH(DH$4&amp;DH$5,Demand_current!$D$2:$AY$2&amp;Demand_current!$D$3:$AY$3, 0))/1000</f>
        <v>0</v>
      </c>
      <c r="DI138" s="192">
        <f>$BS138*(VLOOKUP(DI$4, Rates_current!$G$6:$Q$29, 10, FALSE)+VLOOKUP(DI$4, Rates_current!$G$6:$Q$29, 11, FALSE))</f>
        <v>4081.2270658878006</v>
      </c>
      <c r="DJ138" s="192">
        <f>$BS138*(VLOOKUP(DJ$4, Rates_current!$G$6:$Q$29, 10, FALSE)+VLOOKUP(DJ$4, Rates_current!$G$6:$Q$29, 11, FALSE))</f>
        <v>5166.9815833369403</v>
      </c>
      <c r="DK138" s="192">
        <f>$BS138*(VLOOKUP(DK$4, Rates_current!$G$6:$Q$29, 10, FALSE)+VLOOKUP(DK$4, Rates_current!$G$6:$Q$29, 11, FALSE))</f>
        <v>5057.4426938902498</v>
      </c>
      <c r="DL138" s="192">
        <f>$BS138*(VLOOKUP(DL$4, Rates_current!$G$6:$Q$29, 10, FALSE)+VLOOKUP(DL$4, Rates_current!$G$6:$Q$29, 11, FALSE))</f>
        <v>4177.2325982023731</v>
      </c>
      <c r="DM138" s="192">
        <f>$BS138*(VLOOKUP(DM$4, Rates_current!$G$6:$Q$29, 10, FALSE)+VLOOKUP(DM$4, Rates_current!$G$6:$Q$29, 11, FALSE))</f>
        <v>3620.4990456374621</v>
      </c>
      <c r="DN138" s="192">
        <f>$BS138*(VLOOKUP(DN$4, Rates_current!$G$6:$Q$29, 10, FALSE)+VLOOKUP(DN$4, Rates_current!$G$6:$Q$29, 11, FALSE))</f>
        <v>4322.144739640351</v>
      </c>
      <c r="DO138" s="192">
        <f>$BS138*(VLOOKUP(DO$4, Rates_current!$G$6:$Q$29, 10, FALSE)+VLOOKUP(DO$4, Rates_current!$G$6:$Q$29, 11, FALSE))</f>
        <v>3355.5699879585627</v>
      </c>
      <c r="DP138" s="192">
        <f>$BS138*(VLOOKUP(DP$4, Rates_current!$G$6:$Q$29, 10, FALSE)+VLOOKUP(DP$4, Rates_current!$G$6:$Q$29, 11, FALSE))</f>
        <v>4649.1669119028584</v>
      </c>
      <c r="DQ138" s="192">
        <f>$BS138*(VLOOKUP(DQ$4, Rates_current!$G$6:$Q$29, 10, FALSE)+VLOOKUP(DQ$4, Rates_current!$G$6:$Q$29, 11, FALSE))</f>
        <v>4967.7321949774987</v>
      </c>
      <c r="DR138" s="192">
        <f>$BS138*(VLOOKUP(DR$4, Rates_current!$G$6:$Q$29, 10, FALSE)+VLOOKUP(DR$4, Rates_current!$G$6:$Q$29, 11, FALSE))</f>
        <v>4716.6367722752793</v>
      </c>
      <c r="DS138" s="192">
        <f>$BS138*(VLOOKUP(DS$4, Rates_current!$G$6:$Q$29, 10, FALSE)+VLOOKUP(DS$4, Rates_current!$G$6:$Q$29, 11, FALSE))</f>
        <v>4558.2655708091779</v>
      </c>
      <c r="DT138" s="192">
        <f>$BS138*(VLOOKUP(DT$4, Rates_current!$G$6:$Q$29, 10, FALSE)+VLOOKUP(DT$4, Rates_current!$G$6:$Q$29, 11, FALSE))</f>
        <v>4212.3125677820381</v>
      </c>
      <c r="DU138" s="418">
        <f>IF(D138=0,IF(C138=0,MAX(0,DW138 - (VLOOKUP($A138,TOCA_current!$A$2:$AI$137,MATCH("RHWM 2022",TOCA_current!$A$2:$AI$2,0),FALSE)*$BS$2)), 0),0)</f>
        <v>3264.8407053074116</v>
      </c>
      <c r="DV138" s="419">
        <f>MIN(VLOOKUP($A138,TOCA_current!$A$2:$AI$137,MATCH("TRL - NLSL - Existing Resource "&amp;$BS$1,TOCA_current!$A$2:$AI$2,0),FALSE)*$BS$2, VLOOKUP($A138,TOCA_current!$A$2:$AI$137,MATCH("RHWM 2022",TOCA_current!$A$2:$AI$2,0),FALSE)*$BS$2)</f>
        <v>52884.12</v>
      </c>
      <c r="DW138" s="419">
        <f>SUM(BY138:CV138)+(BS138*RT1SC!$C$4*$BS$2)</f>
        <v>56148.960705307414</v>
      </c>
      <c r="DX138" s="419">
        <f>VLOOKUP($A138,TOCA_current!$A$2:$AI$137,MATCH("Above RHWM Not Served with LS "&amp;$BS$1,TOCA_current!$A$2:$AI$2,0),FALSE)*$BS$2</f>
        <v>0</v>
      </c>
      <c r="DY138" s="419">
        <f t="shared" si="51"/>
        <v>3264.8407053074116</v>
      </c>
      <c r="DZ138" s="419">
        <f>(VLOOKUP($A138,TOCA_current!$A$2:$AI$137,MATCH("RHWM 2022",TOCA_current!$A$2:$AI$2,0),FALSE)*$BS$2) - $DV138</f>
        <v>0</v>
      </c>
      <c r="EA138" s="419">
        <f t="shared" si="52"/>
        <v>0</v>
      </c>
      <c r="EB138" s="419">
        <f t="shared" si="53"/>
        <v>0</v>
      </c>
      <c r="EC138" s="419">
        <f t="shared" si="54"/>
        <v>0</v>
      </c>
      <c r="ED138" s="419">
        <f t="shared" si="55"/>
        <v>0</v>
      </c>
    </row>
    <row r="139" spans="1:134">
      <c r="A139" s="135">
        <v>12026</v>
      </c>
      <c r="B139" s="136" t="s">
        <v>139</v>
      </c>
      <c r="C139" s="244">
        <f>VLOOKUP(A139, TOCA_current!$A$3:$D$137, 4, FALSE)</f>
        <v>0</v>
      </c>
      <c r="D139" s="203">
        <v>0</v>
      </c>
      <c r="E139" s="119">
        <f>VLOOKUP($A139,TOCA_previous!$A$2:$AI$137,MATCH(E$4,TOCA_previous!$A$2:$AI$2,0),FALSE)</f>
        <v>6.3328000000000004E-3</v>
      </c>
      <c r="F139" s="120">
        <f>VLOOKUP($A139,TOCA_previous!$A$2:$AI$137,MATCH(F$4,TOCA_previous!$A$2:$AI$2,0),FALSE)</f>
        <v>6.3328000000000004E-3</v>
      </c>
      <c r="G139" s="120">
        <f t="shared" si="43"/>
        <v>0</v>
      </c>
      <c r="H139" s="120">
        <f>VLOOKUP($A139,TOCA_previous!$A$2:$AI$137,MATCH(H$4,TOCA_previous!$A$2:$AI$2,0),FALSE)</f>
        <v>0</v>
      </c>
      <c r="I139" s="120">
        <f t="shared" si="44"/>
        <v>0</v>
      </c>
      <c r="J139" s="120">
        <f t="shared" si="45"/>
        <v>0</v>
      </c>
      <c r="K139" s="191">
        <f>VLOOKUP(A139, IRD!$A$5:$C$139, 3, FALSE)</f>
        <v>0</v>
      </c>
      <c r="L139" s="192">
        <f t="array" ref="L139">IF($G139=0, INDEX(LS_previous!$D$4:$AY$138, MATCH('Staging Table'!$A139, LS_previous!$B$4:$B$138, 0), MATCH(L$4&amp;L$5, LS_previous!$D$2:$AY$2&amp;LS_previous!$D$3:$AY$3, 0)),SUM(VLOOKUP($A139, LS_previous!$B$4:$AY$138, LS_previous!D$149, FALSE), VLOOKUP('Staging Table'!$A139, LS_previous!$B$4:$AY$138,LS_previous!AB$149, FALSE))/2)</f>
        <v>-24.20428912639909</v>
      </c>
      <c r="M139" s="192">
        <f t="array" ref="M139">IF($G139=0, INDEX(LS_previous!$D$4:$AY$138, MATCH('Staging Table'!$A139, LS_previous!$B$4:$B$138, 0), MATCH(M$4&amp;M$5, LS_previous!$D$2:$AY$2&amp;LS_previous!$D$3:$AY$3, 0)),SUM(VLOOKUP($A139, LS_previous!$B$4:$AY$138, LS_previous!E$149, FALSE), VLOOKUP('Staging Table'!$A139, LS_previous!$B$4:$AY$138,LS_previous!AC$149, FALSE))/2)</f>
        <v>2081.4899502976004</v>
      </c>
      <c r="N139" s="192">
        <f t="array" ref="N139">IF($G139=0, INDEX(LS_previous!$D$4:$AY$138, MATCH('Staging Table'!$A139, LS_previous!$B$4:$B$138, 0), MATCH(N$4&amp;N$5, LS_previous!$D$2:$AY$2&amp;LS_previous!$D$3:$AY$3, 0)),SUM(VLOOKUP($A139, LS_previous!$B$4:$AY$138, LS_previous!F$149, FALSE), VLOOKUP('Staging Table'!$A139, LS_previous!$B$4:$AY$138,LS_previous!AD$149, FALSE))/2)</f>
        <v>-1287.3260813184024</v>
      </c>
      <c r="O139" s="192">
        <f t="array" ref="O139">IF($G139=0, INDEX(LS_previous!$D$4:$AY$138, MATCH('Staging Table'!$A139, LS_previous!$B$4:$B$138, 0), MATCH(O$4&amp;O$5, LS_previous!$D$2:$AY$2&amp;LS_previous!$D$3:$AY$3, 0)),SUM(VLOOKUP($A139, LS_previous!$B$4:$AY$138, LS_previous!G$149, FALSE), VLOOKUP('Staging Table'!$A139, LS_previous!$B$4:$AY$138,LS_previous!AE$149, FALSE))/2)</f>
        <v>770.73346537919861</v>
      </c>
      <c r="P139" s="192">
        <f t="array" ref="P139">IF($G139=0, INDEX(LS_previous!$D$4:$AY$138, MATCH('Staging Table'!$A139, LS_previous!$B$4:$B$138, 0), MATCH(P$4&amp;P$5, LS_previous!$D$2:$AY$2&amp;LS_previous!$D$3:$AY$3, 0)),SUM(VLOOKUP($A139, LS_previous!$B$4:$AY$138, LS_previous!H$149, FALSE), VLOOKUP('Staging Table'!$A139, LS_previous!$B$4:$AY$138,LS_previous!AF$149, FALSE))/2)</f>
        <v>4448.4045875583979</v>
      </c>
      <c r="Q139" s="192">
        <f t="array" ref="Q139">IF($G139=0, INDEX(LS_previous!$D$4:$AY$138, MATCH('Staging Table'!$A139, LS_previous!$B$4:$B$138, 0), MATCH(Q$4&amp;Q$5, LS_previous!$D$2:$AY$2&amp;LS_previous!$D$3:$AY$3, 0)),SUM(VLOOKUP($A139, LS_previous!$B$4:$AY$138, LS_previous!I$149, FALSE), VLOOKUP('Staging Table'!$A139, LS_previous!$B$4:$AY$138,LS_previous!AG$149, FALSE))/2)</f>
        <v>3709.641291212798</v>
      </c>
      <c r="R139" s="192">
        <f t="array" ref="R139">IF($G139=0, INDEX(LS_previous!$D$4:$AY$138, MATCH('Staging Table'!$A139, LS_previous!$B$4:$B$138, 0), MATCH(R$4&amp;R$5, LS_previous!$D$2:$AY$2&amp;LS_previous!$D$3:$AY$3, 0)),SUM(VLOOKUP($A139, LS_previous!$B$4:$AY$138, LS_previous!J$149, FALSE), VLOOKUP('Staging Table'!$A139, LS_previous!$B$4:$AY$138,LS_previous!AH$149, FALSE))/2)</f>
        <v>7922.9427203583982</v>
      </c>
      <c r="S139" s="192">
        <f t="array" ref="S139">IF($G139=0, INDEX(LS_previous!$D$4:$AY$138, MATCH('Staging Table'!$A139, LS_previous!$B$4:$B$138, 0), MATCH(S$4&amp;S$5, LS_previous!$D$2:$AY$2&amp;LS_previous!$D$3:$AY$3, 0)),SUM(VLOOKUP($A139, LS_previous!$B$4:$AY$138, LS_previous!K$149, FALSE), VLOOKUP('Staging Table'!$A139, LS_previous!$B$4:$AY$138,LS_previous!AI$149, FALSE))/2)</f>
        <v>8247.0444528127973</v>
      </c>
      <c r="T139" s="192">
        <f t="array" ref="T139">IF($G139=0, INDEX(LS_previous!$D$4:$AY$138, MATCH('Staging Table'!$A139, LS_previous!$B$4:$B$138, 0), MATCH(T$4&amp;T$5, LS_previous!$D$2:$AY$2&amp;LS_previous!$D$3:$AY$3, 0)),SUM(VLOOKUP($A139, LS_previous!$B$4:$AY$138, LS_previous!L$149, FALSE), VLOOKUP('Staging Table'!$A139, LS_previous!$B$4:$AY$138,LS_previous!AJ$149, FALSE))/2)</f>
        <v>7258.4155331328002</v>
      </c>
      <c r="U139" s="192">
        <f t="array" ref="U139">IF($G139=0, INDEX(LS_previous!$D$4:$AY$138, MATCH('Staging Table'!$A139, LS_previous!$B$4:$B$138, 0), MATCH(U$4&amp;U$5, LS_previous!$D$2:$AY$2&amp;LS_previous!$D$3:$AY$3, 0)),SUM(VLOOKUP($A139, LS_previous!$B$4:$AY$138, LS_previous!M$149, FALSE), VLOOKUP('Staging Table'!$A139, LS_previous!$B$4:$AY$138,LS_previous!AK$149, FALSE))/2)</f>
        <v>5525.1393958272001</v>
      </c>
      <c r="V139" s="192">
        <f t="array" ref="V139">IF($G139=0, INDEX(LS_previous!$D$4:$AY$138, MATCH('Staging Table'!$A139, LS_previous!$B$4:$B$138, 0), MATCH(V$4&amp;V$5, LS_previous!$D$2:$AY$2&amp;LS_previous!$D$3:$AY$3, 0)),SUM(VLOOKUP($A139, LS_previous!$B$4:$AY$138, LS_previous!N$149, FALSE), VLOOKUP('Staging Table'!$A139, LS_previous!$B$4:$AY$138,LS_previous!AL$149, FALSE))/2)</f>
        <v>4613.7962820352041</v>
      </c>
      <c r="W139" s="192">
        <f t="array" ref="W139">IF($G139=0, INDEX(LS_previous!$D$4:$AY$138, MATCH('Staging Table'!$A139, LS_previous!$B$4:$B$138, 0), MATCH(W$4&amp;W$5, LS_previous!$D$2:$AY$2&amp;LS_previous!$D$3:$AY$3, 0)),SUM(VLOOKUP($A139, LS_previous!$B$4:$AY$138, LS_previous!O$149, FALSE), VLOOKUP('Staging Table'!$A139, LS_previous!$B$4:$AY$138,LS_previous!AM$149, FALSE))/2)</f>
        <v>3705.7042241311992</v>
      </c>
      <c r="X139" s="192">
        <f t="array" ref="X139">IF($G139=0, INDEX(LS_previous!$D$4:$AY$138, MATCH('Staging Table'!$A139, LS_previous!$B$4:$B$138, 0), MATCH(X$4&amp;X$5, LS_previous!$D$2:$AY$2&amp;LS_previous!$D$3:$AY$3, 0)),SUM(VLOOKUP($A139, LS_previous!$B$4:$AY$138, LS_previous!P$149, FALSE), VLOOKUP('Staging Table'!$A139, LS_previous!$B$4:$AY$138,LS_previous!AN$149, FALSE))/2)</f>
        <v>4367.7885331967991</v>
      </c>
      <c r="Y139" s="192">
        <f t="array" ref="Y139">IF($G139=0, INDEX(LS_previous!$D$4:$AY$138, MATCH('Staging Table'!$A139, LS_previous!$B$4:$B$138, 0), MATCH(Y$4&amp;Y$5, LS_previous!$D$2:$AY$2&amp;LS_previous!$D$3:$AY$3, 0)),SUM(VLOOKUP($A139, LS_previous!$B$4:$AY$138, LS_previous!Q$149, FALSE), VLOOKUP('Staging Table'!$A139, LS_previous!$B$4:$AY$138,LS_previous!AO$149, FALSE))/2)</f>
        <v>3304.7749086591994</v>
      </c>
      <c r="Z139" s="192">
        <f t="array" ref="Z139">IF($G139=0, INDEX(LS_previous!$D$4:$AY$138, MATCH('Staging Table'!$A139, LS_previous!$B$4:$B$138, 0), MATCH(Z$4&amp;Z$5, LS_previous!$D$2:$AY$2&amp;LS_previous!$D$3:$AY$3, 0)),SUM(VLOOKUP($A139, LS_previous!$B$4:$AY$138, LS_previous!R$149, FALSE), VLOOKUP('Staging Table'!$A139, LS_previous!$B$4:$AY$138,LS_previous!AP$149, FALSE))/2)</f>
        <v>-6079.5459868800008</v>
      </c>
      <c r="AA139" s="192">
        <f t="array" ref="AA139">IF($G139=0, INDEX(LS_previous!$D$4:$AY$138, MATCH('Staging Table'!$A139, LS_previous!$B$4:$B$138, 0), MATCH(AA$4&amp;AA$5, LS_previous!$D$2:$AY$2&amp;LS_previous!$D$3:$AY$3, 0)),SUM(VLOOKUP($A139, LS_previous!$B$4:$AY$138, LS_previous!S$149, FALSE), VLOOKUP('Staging Table'!$A139, LS_previous!$B$4:$AY$138,LS_previous!AQ$149, FALSE))/2)</f>
        <v>-573.14174234880011</v>
      </c>
      <c r="AB139" s="192">
        <f t="array" ref="AB139">IF($G139=0, INDEX(LS_previous!$D$4:$AY$138, MATCH('Staging Table'!$A139, LS_previous!$B$4:$B$138, 0), MATCH(AB$4&amp;AB$5, LS_previous!$D$2:$AY$2&amp;LS_previous!$D$3:$AY$3, 0)),SUM(VLOOKUP($A139, LS_previous!$B$4:$AY$138, LS_previous!T$149, FALSE), VLOOKUP('Staging Table'!$A139, LS_previous!$B$4:$AY$138,LS_previous!AR$149, FALSE))/2)</f>
        <v>-12377.271887603203</v>
      </c>
      <c r="AC139" s="192">
        <f t="array" ref="AC139">IF($G139=0, INDEX(LS_previous!$D$4:$AY$138, MATCH('Staging Table'!$A139, LS_previous!$B$4:$B$138, 0), MATCH(AC$4&amp;AC$5, LS_previous!$D$2:$AY$2&amp;LS_previous!$D$3:$AY$3, 0)),SUM(VLOOKUP($A139, LS_previous!$B$4:$AY$138, LS_previous!U$149, FALSE), VLOOKUP('Staging Table'!$A139, LS_previous!$B$4:$AY$138,LS_previous!AS$149, FALSE))/2)</f>
        <v>-6029.4724721408002</v>
      </c>
      <c r="AD139" s="192">
        <f t="array" ref="AD139">IF($G139=0, INDEX(LS_previous!$D$4:$AY$138, MATCH('Staging Table'!$A139, LS_previous!$B$4:$B$138, 0), MATCH(AD$4&amp;AD$5, LS_previous!$D$2:$AY$2&amp;LS_previous!$D$3:$AY$3, 0)),SUM(VLOOKUP($A139, LS_previous!$B$4:$AY$138, LS_previous!V$149, FALSE), VLOOKUP('Staging Table'!$A139, LS_previous!$B$4:$AY$138,LS_previous!AT$149, FALSE))/2)</f>
        <v>-8597.8887116032001</v>
      </c>
      <c r="AE139" s="192">
        <f t="array" ref="AE139">IF($G139=0, INDEX(LS_previous!$D$4:$AY$138, MATCH('Staging Table'!$A139, LS_previous!$B$4:$B$138, 0), MATCH(AE$4&amp;AE$5, LS_previous!$D$2:$AY$2&amp;LS_previous!$D$3:$AY$3, 0)),SUM(VLOOKUP($A139, LS_previous!$B$4:$AY$138, LS_previous!W$149, FALSE), VLOOKUP('Staging Table'!$A139, LS_previous!$B$4:$AY$138,LS_previous!AU$149, FALSE))/2)</f>
        <v>-803.6971264256008</v>
      </c>
      <c r="AF139" s="192">
        <f t="array" ref="AF139">IF($G139=0, INDEX(LS_previous!$D$4:$AY$138, MATCH('Staging Table'!$A139, LS_previous!$B$4:$B$138, 0), MATCH(AF$4&amp;AF$5, LS_previous!$D$2:$AY$2&amp;LS_previous!$D$3:$AY$3, 0)),SUM(VLOOKUP($A139, LS_previous!$B$4:$AY$138, LS_previous!X$149, FALSE), VLOOKUP('Staging Table'!$A139, LS_previous!$B$4:$AY$138,LS_previous!AV$149, FALSE))/2)</f>
        <v>-6856.0209052032005</v>
      </c>
      <c r="AG139" s="192">
        <f t="array" ref="AG139">IF($G139=0, INDEX(LS_previous!$D$4:$AY$138, MATCH('Staging Table'!$A139, LS_previous!$B$4:$B$138, 0), MATCH(AG$4&amp;AG$5, LS_previous!$D$2:$AY$2&amp;LS_previous!$D$3:$AY$3, 0)),SUM(VLOOKUP($A139, LS_previous!$B$4:$AY$138, LS_previous!Y$149, FALSE), VLOOKUP('Staging Table'!$A139, LS_previous!$B$4:$AY$138,LS_previous!AW$149, FALSE))/2)</f>
        <v>-1642.2674704256005</v>
      </c>
      <c r="AH139" s="192">
        <f t="array" ref="AH139">IF($G139=0, INDEX(LS_previous!$D$4:$AY$138, MATCH('Staging Table'!$A139, LS_previous!$B$4:$B$138, 0), MATCH(AH$4&amp;AH$5, LS_previous!$D$2:$AY$2&amp;LS_previous!$D$3:$AY$3, 0)),SUM(VLOOKUP($A139, LS_previous!$B$4:$AY$138, LS_previous!Z$149, FALSE), VLOOKUP('Staging Table'!$A139, LS_previous!$B$4:$AY$138,LS_previous!AX$149, FALSE))/2)</f>
        <v>-3654.3753276799998</v>
      </c>
      <c r="AI139" s="192">
        <f t="array" ref="AI139">IF($G139=0, INDEX(LS_previous!$D$4:$AY$138, MATCH('Staging Table'!$A139, LS_previous!$B$4:$B$138, 0), MATCH(AI$4&amp;AI$5, LS_previous!$D$2:$AY$2&amp;LS_previous!$D$3:$AY$3, 0)),SUM(VLOOKUP($A139, LS_previous!$B$4:$AY$138, LS_previous!AA$149, FALSE), VLOOKUP('Staging Table'!$A139, LS_previous!$B$4:$AY$138,LS_previous!AY$149, FALSE))/2)</f>
        <v>-897.27082726399931</v>
      </c>
      <c r="AJ139" s="314">
        <f t="array" ref="AJ139">INDEX(Demand_previous!$D$4:$AY$138, MATCH('Staging Table'!$A139, Demand_previous!$B$4:$B$138, 0), MATCH(AJ$4&amp;AJ$5,Demand_previous!$D$2:$AY$2&amp;Demand_previous!$D$3:$AY$3, 0))/1000</f>
        <v>0</v>
      </c>
      <c r="AK139" s="314">
        <f t="array" ref="AK139">INDEX(Demand_previous!$D$4:$AY$138, MATCH('Staging Table'!$A139, Demand_previous!$B$4:$B$138, 0), MATCH(AK$4&amp;AK$5,Demand_previous!$D$2:$AY$2&amp;Demand_previous!$D$3:$AY$3, 0))/1000</f>
        <v>6.8082324999999955</v>
      </c>
      <c r="AL139" s="314">
        <f t="array" ref="AL139">INDEX(Demand_previous!$D$4:$AY$138, MATCH('Staging Table'!$A139, Demand_previous!$B$4:$B$138, 0), MATCH(AL$4&amp;AL$5,Demand_previous!$D$2:$AY$2&amp;Demand_previous!$D$3:$AY$3, 0))/1000</f>
        <v>5.9922225000000005</v>
      </c>
      <c r="AM139" s="314">
        <f t="array" ref="AM139">INDEX(Demand_previous!$D$4:$AY$138, MATCH('Staging Table'!$A139, Demand_previous!$B$4:$B$138, 0), MATCH(AM$4&amp;AM$5,Demand_previous!$D$2:$AY$2&amp;Demand_previous!$D$3:$AY$3, 0))/1000</f>
        <v>16.29458653846153</v>
      </c>
      <c r="AN139" s="314">
        <f t="array" ref="AN139">INDEX(Demand_previous!$D$4:$AY$138, MATCH('Staging Table'!$A139, Demand_previous!$B$4:$B$138, 0), MATCH(AN$4&amp;AN$5,Demand_previous!$D$2:$AY$2&amp;Demand_previous!$D$3:$AY$3, 0))/1000</f>
        <v>8.5431875000000055</v>
      </c>
      <c r="AO139" s="314">
        <f t="array" ref="AO139">INDEX(Demand_previous!$D$4:$AY$138, MATCH('Staging Table'!$A139, Demand_previous!$B$4:$B$138, 0), MATCH(AO$4&amp;AO$5,Demand_previous!$D$2:$AY$2&amp;Demand_previous!$D$3:$AY$3, 0))/1000</f>
        <v>3.4359038461538418</v>
      </c>
      <c r="AP139" s="314">
        <f t="array" ref="AP139">INDEX(Demand_previous!$D$4:$AY$138, MATCH('Staging Table'!$A139, Demand_previous!$B$4:$B$138, 0), MATCH(AP$4&amp;AP$5,Demand_previous!$D$2:$AY$2&amp;Demand_previous!$D$3:$AY$3, 0))/1000</f>
        <v>5.2964759615384551</v>
      </c>
      <c r="AQ139" s="314">
        <f t="array" ref="AQ139">INDEX(Demand_previous!$D$4:$AY$138, MATCH('Staging Table'!$A139, Demand_previous!$B$4:$B$138, 0), MATCH(AQ$4&amp;AQ$5,Demand_previous!$D$2:$AY$2&amp;Demand_previous!$D$3:$AY$3, 0))/1000</f>
        <v>3.3371100000000027</v>
      </c>
      <c r="AR139" s="314">
        <f t="array" ref="AR139">INDEX(Demand_previous!$D$4:$AY$138, MATCH('Staging Table'!$A139, Demand_previous!$B$4:$B$138, 0), MATCH(AR$4&amp;AR$5,Demand_previous!$D$2:$AY$2&amp;Demand_previous!$D$3:$AY$3, 0))/1000</f>
        <v>4.0136826923076905</v>
      </c>
      <c r="AS139" s="314">
        <f t="array" ref="AS139">INDEX(Demand_previous!$D$4:$AY$138, MATCH('Staging Table'!$A139, Demand_previous!$B$4:$B$138, 0), MATCH(AS$4&amp;AS$5,Demand_previous!$D$2:$AY$2&amp;Demand_previous!$D$3:$AY$3, 0))/1000</f>
        <v>4.0143100961538423</v>
      </c>
      <c r="AT139" s="314">
        <f t="array" ref="AT139">INDEX(Demand_previous!$D$4:$AY$138, MATCH('Staging Table'!$A139, Demand_previous!$B$4:$B$138, 0), MATCH(AT$4&amp;AT$5,Demand_previous!$D$2:$AY$2&amp;Demand_previous!$D$3:$AY$3, 0))/1000</f>
        <v>1.9484927884615422</v>
      </c>
      <c r="AU139" s="314">
        <f t="array" ref="AU139">INDEX(Demand_previous!$D$4:$AY$138, MATCH('Staging Table'!$A139, Demand_previous!$B$4:$B$138, 0), MATCH(AU$4&amp;AU$5,Demand_previous!$D$2:$AY$2&amp;Demand_previous!$D$3:$AY$3, 0))/1000</f>
        <v>5.4986574999999984</v>
      </c>
      <c r="AV139" s="192">
        <f>$F139*(VLOOKUP(AV$4, Rates_previous!$G$6:$Q$29, 10, FALSE)+VLOOKUP(AV$4, Rates_previous!$G$6:$Q$29, 11, FALSE))</f>
        <v>29240.546338828797</v>
      </c>
      <c r="AW139" s="192">
        <f>$F139*(VLOOKUP(AW$4, Rates_previous!$G$6:$Q$29, 10, FALSE)+VLOOKUP(AW$4, Rates_previous!$G$6:$Q$29, 11, FALSE))</f>
        <v>37144.615615939205</v>
      </c>
      <c r="AX139" s="192">
        <f>$F139*(VLOOKUP(AX$4, Rates_previous!$G$6:$Q$29, 10, FALSE)+VLOOKUP(AX$4, Rates_previous!$G$6:$Q$29, 11, FALSE))</f>
        <v>36696.044121228806</v>
      </c>
      <c r="AY139" s="192">
        <f>$F139*(VLOOKUP(AY$4, Rates_previous!$G$6:$Q$29, 10, FALSE)+VLOOKUP(AY$4, Rates_previous!$G$6:$Q$29, 11, FALSE))</f>
        <v>30588.387826828806</v>
      </c>
      <c r="AZ139" s="192">
        <f>$F139*(VLOOKUP(AZ$4, Rates_previous!$G$6:$Q$29, 10, FALSE)+VLOOKUP(AZ$4, Rates_previous!$G$6:$Q$29, 11, FALSE))</f>
        <v>27709.906071040001</v>
      </c>
      <c r="BA139" s="192">
        <f>$F139*(VLOOKUP(BA$4, Rates_previous!$G$6:$Q$29, 10, FALSE)+VLOOKUP(BA$4, Rates_previous!$G$6:$Q$29, 11, FALSE))</f>
        <v>30822.218493833603</v>
      </c>
      <c r="BB139" s="192">
        <f>$F139*(VLOOKUP(BB$4, Rates_previous!$G$6:$Q$29, 10, FALSE)+VLOOKUP(BB$4, Rates_previous!$G$6:$Q$29, 11, FALSE))</f>
        <v>25095.483558144002</v>
      </c>
      <c r="BC139" s="192">
        <f>$F139*(VLOOKUP(BC$4, Rates_previous!$G$6:$Q$29, 10, FALSE)+VLOOKUP(BC$4, Rates_previous!$G$6:$Q$29, 11, FALSE))</f>
        <v>33845.001729228803</v>
      </c>
      <c r="BD139" s="192">
        <f>$F139*(VLOOKUP(BD$4, Rates_previous!$G$6:$Q$29, 10, FALSE)+VLOOKUP(BD$4, Rates_previous!$G$6:$Q$29, 11, FALSE))</f>
        <v>43183.920359744006</v>
      </c>
      <c r="BE139" s="192">
        <f>$F139*(VLOOKUP(BE$4, Rates_previous!$G$6:$Q$29, 10, FALSE)+VLOOKUP(BE$4, Rates_previous!$G$6:$Q$29, 11, FALSE))</f>
        <v>33857.562838028804</v>
      </c>
      <c r="BF139" s="192">
        <f>$F139*(VLOOKUP(BF$4, Rates_previous!$G$6:$Q$29, 10, FALSE)+VLOOKUP(BF$4, Rates_previous!$G$6:$Q$29, 11, FALSE))</f>
        <v>32970.524375628804</v>
      </c>
      <c r="BG139" s="192">
        <f>$F139*(VLOOKUP(BG$4, Rates_previous!$G$6:$Q$29, 10, FALSE)+VLOOKUP(BG$4, Rates_previous!$G$6:$Q$29, 11, FALSE))</f>
        <v>29600.517154944006</v>
      </c>
      <c r="BH139" s="314">
        <f>IF($D139=0,IF(C139=0, MAX(BJ139 - (VLOOKUP($A139,TOCA_previous!$A$2:$AI$137,MATCH("RHWM 2020",TOCA_previous!$A$2:$AI$2,0),FALSE)*$F$2*TOCA_previous!C136),0),0), 0)</f>
        <v>3187.879666764813</v>
      </c>
      <c r="BI139" s="204">
        <f>MIN(VLOOKUP($A139,TOCA_previous!$A$2:$AI$137,MATCH("TRL - NLSL - Existing Resource "&amp;$F$1,TOCA_previous!$A$2:$AI$2,0),FALSE)*$F$2,(VLOOKUP($A139,TOCA_previous!$A$2:$AI$137,MATCH("RHWM 2020",TOCA_previous!$A$2:$AI$2,0),FALSE)*$F$2))</f>
        <v>390756.24</v>
      </c>
      <c r="BJ139" s="418">
        <f>SUM(L139:AI139)+(F139*RT1SC!$C$3*$F$2)</f>
        <v>397888.13566676481</v>
      </c>
      <c r="BK139" s="417">
        <f>VLOOKUP($A139,TOCA_previous!$A$2:$AI$137,MATCH("Above RHWM Not Served with LS "&amp;$F$1,TOCA_previous!$A$2:$AI$2,0),FALSE)*$F$2</f>
        <v>0</v>
      </c>
      <c r="BL139" s="418">
        <f t="shared" si="46"/>
        <v>7131.8956667648163</v>
      </c>
      <c r="BM139" s="417">
        <f>(VLOOKUP($A139,TOCA_previous!$A$2:$AI$137,MATCH("RHWM 2020",TOCA_previous!$A$2:$AI$2,0),FALSE)*$F$2) - $BI139</f>
        <v>3944.0160000000033</v>
      </c>
      <c r="BN139" s="418">
        <f t="shared" si="47"/>
        <v>-3944.0160000000033</v>
      </c>
      <c r="BO139" s="417">
        <f t="shared" si="48"/>
        <v>0</v>
      </c>
      <c r="BP139" s="418">
        <f t="shared" si="49"/>
        <v>0</v>
      </c>
      <c r="BQ139" s="417">
        <f t="shared" si="40"/>
        <v>-3944.0160000000033</v>
      </c>
      <c r="BR139" s="120">
        <f>VLOOKUP($A139,TOCA_current!$A$2:$AI$137,MATCH(BR$4,TOCA_current!$A$2:$AI$2,0),FALSE)</f>
        <v>6.3968000000000002E-3</v>
      </c>
      <c r="BS139" s="120">
        <f>VLOOKUP($A139,TOCA_current!$A$2:$AI$137,MATCH(BS$4,TOCA_current!$A$2:$AI$2,0),FALSE)</f>
        <v>6.3968000000000002E-3</v>
      </c>
      <c r="BT139" s="201">
        <f t="shared" si="50"/>
        <v>0</v>
      </c>
      <c r="BU139" s="120">
        <f>VLOOKUP($A139,TOCA_current!A135:BG270,MATCH(BU$4,TOCA_current!$A$2:$BG$2,0),FALSE)</f>
        <v>0</v>
      </c>
      <c r="BV139" s="120">
        <f t="shared" si="41"/>
        <v>0</v>
      </c>
      <c r="BW139" s="120">
        <f t="shared" si="42"/>
        <v>0</v>
      </c>
      <c r="BX139" s="191">
        <f>VLOOKUP($A139,IRD!$A$4:$G$139, 7, FALSE)</f>
        <v>0</v>
      </c>
      <c r="BY139" s="192">
        <f t="array" ref="BY139">IF($BT139=0, INDEX(LS_current!$D$4:$AY$138, MATCH('Staging Table'!$A139, LS_current!$B$4:$B$138, 0), MATCH(BY$4&amp;BY$5, LS_current!$D$2:$AY$2&amp;LS_current!$D$3:$AY$3, 0)),SUM(VLOOKUP($A139, LS_current!$B$4:$AY$138, LS_current!D$148, FALSE), VLOOKUP($A139, LS_current!$B$4:$AY$138,LS_current!AB$148, FALSE))/2)</f>
        <v>-675.46616418068515</v>
      </c>
      <c r="BZ139" s="192">
        <f t="array" ref="BZ139">IF($BT139=0, INDEX(LS_current!$D$4:$AY$138, MATCH('Staging Table'!$A139, LS_current!$B$4:$B$138, 0), MATCH(BZ$4&amp;BZ$5, LS_current!$D$2:$AY$2&amp;LS_current!$D$3:$AY$3, 0)),SUM(VLOOKUP($A139, LS_current!$B$4:$AY$138, LS_current!E$148, FALSE), VLOOKUP($A139, LS_current!$B$4:$AY$138,LS_current!AC$148, FALSE))/2)</f>
        <v>1012.5144294439287</v>
      </c>
      <c r="CA139" s="192">
        <f t="array" ref="CA139">IF($BT139=0, INDEX(LS_current!$D$4:$AY$138, MATCH('Staging Table'!$A139, LS_current!$B$4:$B$138, 0), MATCH(CA$4&amp;CA$5, LS_current!$D$2:$AY$2&amp;LS_current!$D$3:$AY$3, 0)),SUM(VLOOKUP($A139, LS_current!$B$4:$AY$138, LS_current!F$148, FALSE), VLOOKUP($A139, LS_current!$B$4:$AY$138,LS_current!AD$148, FALSE))/2)</f>
        <v>-1614.820667009426</v>
      </c>
      <c r="CB139" s="192">
        <f t="array" ref="CB139">IF($BT139=0, INDEX(LS_current!$D$4:$AY$138, MATCH('Staging Table'!$A139, LS_current!$B$4:$B$138, 0), MATCH(CB$4&amp;CB$5, LS_current!$D$2:$AY$2&amp;LS_current!$D$3:$AY$3, 0)),SUM(VLOOKUP($A139, LS_current!$B$4:$AY$138, LS_current!G$148, FALSE), VLOOKUP($A139, LS_current!$B$4:$AY$138,LS_current!AE$148, FALSE))/2)</f>
        <v>-411.1419213522513</v>
      </c>
      <c r="CC139" s="192">
        <f t="array" ref="CC139">IF($BT139=0, INDEX(LS_current!$D$4:$AY$138, MATCH('Staging Table'!$A139, LS_current!$B$4:$B$138, 0), MATCH(CC$4&amp;CC$5, LS_current!$D$2:$AY$2&amp;LS_current!$D$3:$AY$3, 0)),SUM(VLOOKUP($A139, LS_current!$B$4:$AY$138, LS_current!H$148, FALSE), VLOOKUP($A139, LS_current!$B$4:$AY$138,LS_current!AF$148, FALSE))/2)</f>
        <v>5590.8818844117704</v>
      </c>
      <c r="CD139" s="192">
        <f t="array" ref="CD139">IF($BT139=0, INDEX(LS_current!$D$4:$AY$138, MATCH('Staging Table'!$A139, LS_current!$B$4:$B$138, 0), MATCH(CD$4&amp;CD$5, LS_current!$D$2:$AY$2&amp;LS_current!$D$3:$AY$3, 0)),SUM(VLOOKUP($A139, LS_current!$B$4:$AY$138, LS_current!I$148, FALSE), VLOOKUP($A139, LS_current!$B$4:$AY$138,LS_current!AG$148, FALSE))/2)</f>
        <v>1334.497434627343</v>
      </c>
      <c r="CE139" s="192">
        <f t="array" ref="CE139">IF($BT139=0, INDEX(LS_current!$D$4:$AY$138, MATCH('Staging Table'!$A139, LS_current!$B$4:$B$138, 0), MATCH(CE$4&amp;CE$5, LS_current!$D$2:$AY$2&amp;LS_current!$D$3:$AY$3, 0)),SUM(VLOOKUP($A139, LS_current!$B$4:$AY$138, LS_current!J$148, FALSE), VLOOKUP($A139, LS_current!$B$4:$AY$138,LS_current!AH$148, FALSE))/2)</f>
        <v>9201.0428138246498</v>
      </c>
      <c r="CF139" s="192">
        <f t="array" ref="CF139">IF($BT139=0, INDEX(LS_current!$D$4:$AY$138, MATCH('Staging Table'!$A139, LS_current!$B$4:$B$138, 0), MATCH(CF$4&amp;CF$5, LS_current!$D$2:$AY$2&amp;LS_current!$D$3:$AY$3, 0)),SUM(VLOOKUP($A139, LS_current!$B$4:$AY$138, LS_current!K$148, FALSE), VLOOKUP($A139, LS_current!$B$4:$AY$138,LS_current!AI$148, FALSE))/2)</f>
        <v>5911.2904854601711</v>
      </c>
      <c r="CG139" s="192">
        <f t="array" ref="CG139">IF($BT139=0, INDEX(LS_current!$D$4:$AY$138, MATCH('Staging Table'!$A139, LS_current!$B$4:$B$138, 0), MATCH(CG$4&amp;CG$5, LS_current!$D$2:$AY$2&amp;LS_current!$D$3:$AY$3, 0)),SUM(VLOOKUP($A139, LS_current!$B$4:$AY$138, LS_current!L$148, FALSE), VLOOKUP($A139, LS_current!$B$4:$AY$138,LS_current!AJ$148, FALSE))/2)</f>
        <v>8784.7776297461241</v>
      </c>
      <c r="CH139" s="192">
        <f t="array" ref="CH139">IF($BT139=0, INDEX(LS_current!$D$4:$AY$138, MATCH('Staging Table'!$A139, LS_current!$B$4:$B$138, 0), MATCH(CH$4&amp;CH$5, LS_current!$D$2:$AY$2&amp;LS_current!$D$3:$AY$3, 0)),SUM(VLOOKUP($A139, LS_current!$B$4:$AY$138, LS_current!M$148, FALSE), VLOOKUP($A139, LS_current!$B$4:$AY$138,LS_current!AK$148, FALSE))/2)</f>
        <v>4213.5545606871328</v>
      </c>
      <c r="CI139" s="192">
        <f t="array" ref="CI139">IF($BT139=0, INDEX(LS_current!$D$4:$AY$138, MATCH('Staging Table'!$A139, LS_current!$B$4:$B$138, 0), MATCH(CI$4&amp;CI$5, LS_current!$D$2:$AY$2&amp;LS_current!$D$3:$AY$3, 0)),SUM(VLOOKUP($A139, LS_current!$B$4:$AY$138, LS_current!N$148, FALSE), VLOOKUP($A139, LS_current!$B$4:$AY$138,LS_current!AL$148, FALSE))/2)</f>
        <v>4202.2266772105977</v>
      </c>
      <c r="CJ139" s="192">
        <f t="array" ref="CJ139">IF($BT139=0, INDEX(LS_current!$D$4:$AY$138, MATCH('Staging Table'!$A139, LS_current!$B$4:$B$138, 0), MATCH(CJ$4&amp;CJ$5, LS_current!$D$2:$AY$2&amp;LS_current!$D$3:$AY$3, 0)),SUM(VLOOKUP($A139, LS_current!$B$4:$AY$138, LS_current!O$148, FALSE), VLOOKUP($A139, LS_current!$B$4:$AY$138,LS_current!AM$148, FALSE))/2)</f>
        <v>2261.5723199648128</v>
      </c>
      <c r="CK139" s="192">
        <f t="array" ref="CK139">IF($BT139=0, INDEX(LS_current!$D$4:$AY$138, MATCH('Staging Table'!$A139, LS_current!$B$4:$B$138, 0), MATCH(CK$4&amp;CK$5, LS_current!$D$2:$AY$2&amp;LS_current!$D$3:$AY$3, 0)),SUM(VLOOKUP($A139, LS_current!$B$4:$AY$138, LS_current!P$148, FALSE), VLOOKUP($A139, LS_current!$B$4:$AY$138,LS_current!AN$148, FALSE))/2)</f>
        <v>4376.3781555504374</v>
      </c>
      <c r="CL139" s="192">
        <f t="array" ref="CL139">IF($BT139=0, INDEX(LS_current!$D$4:$AY$138, MATCH('Staging Table'!$A139, LS_current!$B$4:$B$138, 0), MATCH(CL$4&amp;CL$5, LS_current!$D$2:$AY$2&amp;LS_current!$D$3:$AY$3, 0)),SUM(VLOOKUP($A139, LS_current!$B$4:$AY$138, LS_current!Q$148, FALSE), VLOOKUP($A139, LS_current!$B$4:$AY$138,LS_current!AO$148, FALSE))/2)</f>
        <v>2669.4421774407092</v>
      </c>
      <c r="CM139" s="192">
        <f t="array" ref="CM139">IF($BT139=0, INDEX(LS_current!$D$4:$AY$138, MATCH('Staging Table'!$A139, LS_current!$B$4:$B$138, 0), MATCH(CM$4&amp;CM$5, LS_current!$D$2:$AY$2&amp;LS_current!$D$3:$AY$3, 0)),SUM(VLOOKUP($A139, LS_current!$B$4:$AY$138, LS_current!R$148, FALSE), VLOOKUP($A139, LS_current!$B$4:$AY$138,LS_current!AP$148, FALSE))/2)</f>
        <v>-7462.1996434715857</v>
      </c>
      <c r="CN139" s="192">
        <f t="array" ref="CN139">IF($BT139=0, INDEX(LS_current!$D$4:$AY$138, MATCH('Staging Table'!$A139, LS_current!$B$4:$B$138, 0), MATCH(CN$4&amp;CN$5, LS_current!$D$2:$AY$2&amp;LS_current!$D$3:$AY$3, 0)),SUM(VLOOKUP($A139, LS_current!$B$4:$AY$138, LS_current!S$148, FALSE), VLOOKUP($A139, LS_current!$B$4:$AY$138,LS_current!AQ$148, FALSE))/2)</f>
        <v>-360.05005889419044</v>
      </c>
      <c r="CO139" s="192">
        <f t="array" ref="CO139">IF($BT139=0, INDEX(LS_current!$D$4:$AY$138, MATCH('Staging Table'!$A139, LS_current!$B$4:$B$138, 0), MATCH(CO$4&amp;CO$5, LS_current!$D$2:$AY$2&amp;LS_current!$D$3:$AY$3, 0)),SUM(VLOOKUP($A139, LS_current!$B$4:$AY$138, LS_current!T$148, FALSE), VLOOKUP($A139, LS_current!$B$4:$AY$138,LS_current!AR$148, FALSE))/2)</f>
        <v>-10660.261257373057</v>
      </c>
      <c r="CP139" s="192">
        <f t="array" ref="CP139">IF($BT139=0, INDEX(LS_current!$D$4:$AY$138, MATCH('Staging Table'!$A139, LS_current!$B$4:$B$138, 0), MATCH(CP$4&amp;CP$5, LS_current!$D$2:$AY$2&amp;LS_current!$D$3:$AY$3, 0)),SUM(VLOOKUP($A139, LS_current!$B$4:$AY$138, LS_current!U$148, FALSE), VLOOKUP($A139, LS_current!$B$4:$AY$138,LS_current!AS$148, FALSE))/2)</f>
        <v>-1791.907470178905</v>
      </c>
      <c r="CQ139" s="192">
        <f t="array" ref="CQ139">IF($BT139=0, INDEX(LS_current!$D$4:$AY$138, MATCH('Staging Table'!$A139, LS_current!$B$4:$B$138, 0), MATCH(CQ$4&amp;CQ$5, LS_current!$D$2:$AY$2&amp;LS_current!$D$3:$AY$3, 0)),SUM(VLOOKUP($A139, LS_current!$B$4:$AY$138, LS_current!V$148, FALSE), VLOOKUP($A139, LS_current!$B$4:$AY$138,LS_current!AT$148, FALSE))/2)</f>
        <v>-8698.1554987357358</v>
      </c>
      <c r="CR139" s="192">
        <f t="array" ref="CR139">IF($BT139=0, INDEX(LS_current!$D$4:$AY$138, MATCH('Staging Table'!$A139, LS_current!$B$4:$B$138, 0), MATCH(CR$4&amp;CR$5, LS_current!$D$2:$AY$2&amp;LS_current!$D$3:$AY$3, 0)),SUM(VLOOKUP($A139, LS_current!$B$4:$AY$138, LS_current!W$148, FALSE), VLOOKUP($A139, LS_current!$B$4:$AY$138,LS_current!AU$148, FALSE))/2)</f>
        <v>-2342.0103185935532</v>
      </c>
      <c r="CS139" s="192">
        <f t="array" ref="CS139">IF($BT139=0, INDEX(LS_current!$D$4:$AY$138, MATCH('Staging Table'!$A139, LS_current!$B$4:$B$138, 0), MATCH(CS$4&amp;CS$5, LS_current!$D$2:$AY$2&amp;LS_current!$D$3:$AY$3, 0)),SUM(VLOOKUP($A139, LS_current!$B$4:$AY$138, LS_current!X$148, FALSE), VLOOKUP($A139, LS_current!$B$4:$AY$138,LS_current!AV$148, FALSE))/2)</f>
        <v>-7235.5107543529757</v>
      </c>
      <c r="CT139" s="192">
        <f t="array" ref="CT139">IF($BT139=0, INDEX(LS_current!$D$4:$AY$138, MATCH('Staging Table'!$A139, LS_current!$B$4:$B$138, 0), MATCH(CT$4&amp;CT$5, LS_current!$D$2:$AY$2&amp;LS_current!$D$3:$AY$3, 0)),SUM(VLOOKUP($A139, LS_current!$B$4:$AY$138, LS_current!Y$148, FALSE), VLOOKUP($A139, LS_current!$B$4:$AY$138,LS_current!AW$148, FALSE))/2)</f>
        <v>-2657.9911293249406</v>
      </c>
      <c r="CU139" s="192">
        <f t="array" ref="CU139">IF($BT139=0, INDEX(LS_current!$D$4:$AY$138, MATCH('Staging Table'!$A139, LS_current!$B$4:$B$138, 0), MATCH(CU$4&amp;CU$5, LS_current!$D$2:$AY$2&amp;LS_current!$D$3:$AY$3, 0)),SUM(VLOOKUP($A139, LS_current!$B$4:$AY$138, LS_current!Z$148, FALSE), VLOOKUP($A139, LS_current!$B$4:$AY$138,LS_current!AX$148, FALSE))/2)</f>
        <v>-4870.2479682151043</v>
      </c>
      <c r="CV139" s="192">
        <f t="array" ref="CV139">IF($BT139=0, INDEX(LS_current!$D$4:$AY$138, MATCH('Staging Table'!$A139, LS_current!$B$4:$B$138, 0), MATCH(CV$4&amp;CV$5, LS_current!$D$2:$AY$2&amp;LS_current!$D$3:$AY$3, 0)),SUM(VLOOKUP($A139, LS_current!$B$4:$AY$138, LS_current!AA$148, FALSE), VLOOKUP($A139, LS_current!$B$4:$AY$138,LS_current!AY$148, FALSE))/2)</f>
        <v>-1918.2727675449296</v>
      </c>
      <c r="CW139" s="194">
        <f t="array" ref="CW139">INDEX(Demand_current!$D$4:$AY$138, MATCH($A139, Demand_current!$B$4:$B$138, 0), MATCH(CW$4&amp;CW$5,Demand_current!$D$2:$AY$2&amp;Demand_current!$D$3:$AY$3, 0))/1000</f>
        <v>0</v>
      </c>
      <c r="CX139" s="194">
        <f t="array" ref="CX139">INDEX(Demand_current!$D$4:$AY$138, MATCH($A139, Demand_current!$B$4:$B$138, 0), MATCH(CX$4&amp;CX$5,Demand_current!$D$2:$AY$2&amp;Demand_current!$D$3:$AY$3, 0))/1000</f>
        <v>6.8082324999999955</v>
      </c>
      <c r="CY139" s="194">
        <f t="array" ref="CY139">INDEX(Demand_current!$D$4:$AY$138, MATCH($A139, Demand_current!$B$4:$B$138, 0), MATCH(CY$4&amp;CY$5,Demand_current!$D$2:$AY$2&amp;Demand_current!$D$3:$AY$3, 0))/1000</f>
        <v>8.6111370192307568</v>
      </c>
      <c r="CZ139" s="194">
        <f t="array" ref="CZ139">INDEX(Demand_current!$D$4:$AY$138, MATCH($A139, Demand_current!$B$4:$B$138, 0), MATCH(CZ$4&amp;CZ$5,Demand_current!$D$2:$AY$2&amp;Demand_current!$D$3:$AY$3, 0))/1000</f>
        <v>13.684330000000003</v>
      </c>
      <c r="DA139" s="194">
        <f t="array" ref="DA139">INDEX(Demand_current!$D$4:$AY$138, MATCH($A139, Demand_current!$B$4:$B$138, 0), MATCH(DA$4&amp;DA$5,Demand_current!$D$2:$AY$2&amp;Demand_current!$D$3:$AY$3, 0))/1000</f>
        <v>5.9660286458333367</v>
      </c>
      <c r="DB139" s="194">
        <f t="array" ref="DB139">INDEX(Demand_current!$D$4:$AY$138, MATCH($A139, Demand_current!$B$4:$B$138, 0), MATCH(DB$4&amp;DB$5,Demand_current!$D$2:$AY$2&amp;Demand_current!$D$3:$AY$3, 0))/1000</f>
        <v>5.5914629629629644</v>
      </c>
      <c r="DC139" s="194">
        <f t="array" ref="DC139">INDEX(Demand_current!$D$4:$AY$138, MATCH($A139, Demand_current!$B$4:$B$138, 0), MATCH(DC$4&amp;DC$5,Demand_current!$D$2:$AY$2&amp;Demand_current!$D$3:$AY$3, 0))/1000</f>
        <v>5.2964759615384551</v>
      </c>
      <c r="DD139" s="194">
        <f t="array" ref="DD139">INDEX(Demand_current!$D$4:$AY$138, MATCH($A139, Demand_current!$B$4:$B$138, 0), MATCH(DD$4&amp;DD$5,Demand_current!$D$2:$AY$2&amp;Demand_current!$D$3:$AY$3, 0))/1000</f>
        <v>3.3371100000000027</v>
      </c>
      <c r="DE139" s="194">
        <f t="array" ref="DE139">INDEX(Demand_current!$D$4:$AY$138, MATCH($A139, Demand_current!$B$4:$B$138, 0), MATCH(DE$4&amp;DE$5,Demand_current!$D$2:$AY$2&amp;Demand_current!$D$3:$AY$3, 0))/1000</f>
        <v>4.0136826923076905</v>
      </c>
      <c r="DF139" s="194">
        <f t="array" ref="DF139">INDEX(Demand_current!$D$4:$AY$138, MATCH($A139, Demand_current!$B$4:$B$138, 0), MATCH(DF$4&amp;DF$5,Demand_current!$D$2:$AY$2&amp;Demand_current!$D$3:$AY$3, 0))/1000</f>
        <v>2.6000024999999956</v>
      </c>
      <c r="DG139" s="194">
        <f t="array" ref="DG139">INDEX(Demand_current!$D$4:$AY$138, MATCH($A139, Demand_current!$B$4:$B$138, 0), MATCH(DG$4&amp;DG$5,Demand_current!$D$2:$AY$2&amp;Demand_current!$D$3:$AY$3, 0))/1000</f>
        <v>3.3496597222222269</v>
      </c>
      <c r="DH139" s="194">
        <f t="array" ref="DH139">INDEX(Demand_current!$D$4:$AY$138, MATCH($A139, Demand_current!$B$4:$B$138, 0), MATCH(DH$4&amp;DH$5,Demand_current!$D$2:$AY$2&amp;Demand_current!$D$3:$AY$3, 0))/1000</f>
        <v>5.4986574999999984</v>
      </c>
      <c r="DI139" s="192">
        <f>$BS139*(VLOOKUP(DI$4, Rates_current!$G$6:$Q$29, 10, FALSE)+VLOOKUP(DI$4, Rates_current!$G$6:$Q$29, 11, FALSE))</f>
        <v>29130.543734736759</v>
      </c>
      <c r="DJ139" s="192">
        <f>$BS139*(VLOOKUP(DJ$4, Rates_current!$G$6:$Q$29, 10, FALSE)+VLOOKUP(DJ$4, Rates_current!$G$6:$Q$29, 11, FALSE))</f>
        <v>36880.32558836168</v>
      </c>
      <c r="DK139" s="192">
        <f>$BS139*(VLOOKUP(DK$4, Rates_current!$G$6:$Q$29, 10, FALSE)+VLOOKUP(DK$4, Rates_current!$G$6:$Q$29, 11, FALSE))</f>
        <v>36098.470680960891</v>
      </c>
      <c r="DL139" s="192">
        <f>$BS139*(VLOOKUP(DL$4, Rates_current!$G$6:$Q$29, 10, FALSE)+VLOOKUP(DL$4, Rates_current!$G$6:$Q$29, 11, FALSE))</f>
        <v>29815.801700715179</v>
      </c>
      <c r="DM139" s="192">
        <f>$BS139*(VLOOKUP(DM$4, Rates_current!$G$6:$Q$29, 10, FALSE)+VLOOKUP(DM$4, Rates_current!$G$6:$Q$29, 11, FALSE))</f>
        <v>25842.008809566745</v>
      </c>
      <c r="DN139" s="192">
        <f>$BS139*(VLOOKUP(DN$4, Rates_current!$G$6:$Q$29, 10, FALSE)+VLOOKUP(DN$4, Rates_current!$G$6:$Q$29, 11, FALSE))</f>
        <v>30850.140002824592</v>
      </c>
      <c r="DO139" s="192">
        <f>$BS139*(VLOOKUP(DO$4, Rates_current!$G$6:$Q$29, 10, FALSE)+VLOOKUP(DO$4, Rates_current!$G$6:$Q$29, 11, FALSE))</f>
        <v>23951.026667008853</v>
      </c>
      <c r="DP139" s="192">
        <f>$BS139*(VLOOKUP(DP$4, Rates_current!$G$6:$Q$29, 10, FALSE)+VLOOKUP(DP$4, Rates_current!$G$6:$Q$29, 11, FALSE))</f>
        <v>33184.323702365778</v>
      </c>
      <c r="DQ139" s="192">
        <f>$BS139*(VLOOKUP(DQ$4, Rates_current!$G$6:$Q$29, 10, FALSE)+VLOOKUP(DQ$4, Rates_current!$G$6:$Q$29, 11, FALSE))</f>
        <v>35458.14472755196</v>
      </c>
      <c r="DR139" s="192">
        <f>$BS139*(VLOOKUP(DR$4, Rates_current!$G$6:$Q$29, 10, FALSE)+VLOOKUP(DR$4, Rates_current!$G$6:$Q$29, 11, FALSE))</f>
        <v>33665.90281732929</v>
      </c>
      <c r="DS139" s="192">
        <f>$BS139*(VLOOKUP(DS$4, Rates_current!$G$6:$Q$29, 10, FALSE)+VLOOKUP(DS$4, Rates_current!$G$6:$Q$29, 11, FALSE))</f>
        <v>32535.497883677916</v>
      </c>
      <c r="DT139" s="192">
        <f>$BS139*(VLOOKUP(DT$4, Rates_current!$G$6:$Q$29, 10, FALSE)+VLOOKUP(DT$4, Rates_current!$G$6:$Q$29, 11, FALSE))</f>
        <v>30066.191735760032</v>
      </c>
      <c r="DU139" s="418">
        <f>IF(D139=0,IF(C139=0,MAX(0,DW139 - (VLOOKUP($A139,TOCA_current!$A$2:$AI$137,MATCH("RHWM 2022",TOCA_current!$A$2:$AI$2,0),FALSE)*$BS$2)), 0),0)</f>
        <v>0</v>
      </c>
      <c r="DV139" s="419">
        <f>MIN(VLOOKUP($A139,TOCA_current!$A$2:$AI$137,MATCH("TRL - NLSL - Existing Resource "&amp;$BS$1,TOCA_current!$A$2:$AI$2,0),FALSE)*$BS$2, VLOOKUP($A139,TOCA_current!$A$2:$AI$137,MATCH("RHWM 2022",TOCA_current!$A$2:$AI$2,0),FALSE)*$BS$2)</f>
        <v>377477.16000000003</v>
      </c>
      <c r="DW139" s="419">
        <f>SUM(BY139:CV139)+(BS139*RT1SC!$C$4*$BS$2)</f>
        <v>376338.5403096524</v>
      </c>
      <c r="DX139" s="419">
        <f>VLOOKUP($A139,TOCA_current!$A$2:$AI$137,MATCH("Above RHWM Not Served with LS "&amp;$BS$1,TOCA_current!$A$2:$AI$2,0),FALSE)*$BS$2</f>
        <v>21549.599999999999</v>
      </c>
      <c r="DY139" s="419">
        <f t="shared" si="51"/>
        <v>-1138.6196903476375</v>
      </c>
      <c r="DZ139" s="419">
        <f>(VLOOKUP($A139,TOCA_current!$A$2:$AI$137,MATCH("RHWM 2022",TOCA_current!$A$2:$AI$2,0),FALSE)*$BS$2) - $DV139</f>
        <v>0</v>
      </c>
      <c r="EA139" s="419">
        <f t="shared" si="52"/>
        <v>0</v>
      </c>
      <c r="EB139" s="419">
        <f t="shared" si="53"/>
        <v>0</v>
      </c>
      <c r="EC139" s="419">
        <f t="shared" si="54"/>
        <v>0</v>
      </c>
      <c r="ED139" s="419">
        <f t="shared" si="55"/>
        <v>0</v>
      </c>
    </row>
    <row r="140" spans="1:134">
      <c r="A140" s="135">
        <v>10298</v>
      </c>
      <c r="B140" s="136" t="s">
        <v>140</v>
      </c>
      <c r="C140" s="244">
        <f>VLOOKUP(A140, TOCA_current!$A$3:$D$137, 4, FALSE)</f>
        <v>0</v>
      </c>
      <c r="D140" s="203">
        <v>0</v>
      </c>
      <c r="E140" s="119">
        <f>VLOOKUP($A140,TOCA_previous!$A$2:$AI$137,MATCH(E$4,TOCA_previous!$A$2:$AI$2,0),FALSE)</f>
        <v>6.0947099999999997E-2</v>
      </c>
      <c r="F140" s="120">
        <f>VLOOKUP($A140,TOCA_previous!$A$2:$AI$137,MATCH(F$4,TOCA_previous!$A$2:$AI$2,0),FALSE)</f>
        <v>6.0947099999999997E-2</v>
      </c>
      <c r="G140" s="120">
        <f t="shared" si="43"/>
        <v>0</v>
      </c>
      <c r="H140" s="120">
        <f>SUMPRODUCT(I6:I139,J6:J139)/SUM(J6:J139)</f>
        <v>6.8156888761610163E-2</v>
      </c>
      <c r="I140" s="120">
        <f t="shared" si="44"/>
        <v>0</v>
      </c>
      <c r="J140" s="120">
        <f t="shared" si="45"/>
        <v>0</v>
      </c>
      <c r="K140" s="191">
        <f>VLOOKUP(A140, IRD!$A$5:$C$139, 3, FALSE)</f>
        <v>218482.31100000002</v>
      </c>
      <c r="L140" s="192">
        <f t="array" ref="L140">IF($G140=0, INDEX(LS_previous!$D$4:$AY$138, MATCH('Staging Table'!$A140, LS_previous!$B$4:$B$138, 0), MATCH(L$4&amp;L$5, LS_previous!$D$2:$AY$2&amp;LS_previous!$D$3:$AY$3, 0)),SUM(VLOOKUP($A140, LS_previous!$B$4:$AY$138, LS_previous!D$149, FALSE), VLOOKUP('Staging Table'!$A140, LS_previous!$B$4:$AY$138,LS_previous!AB$149, FALSE))/2)</f>
        <v>-11485.784108974796</v>
      </c>
      <c r="M140" s="192">
        <f t="array" ref="M140">IF($G140=0, INDEX(LS_previous!$D$4:$AY$138, MATCH('Staging Table'!$A140, LS_previous!$B$4:$B$138, 0), MATCH(M$4&amp;M$5, LS_previous!$D$2:$AY$2&amp;LS_previous!$D$3:$AY$3, 0)),SUM(VLOOKUP($A140, LS_previous!$B$4:$AY$138, LS_previous!E$149, FALSE), VLOOKUP('Staging Table'!$A140, LS_previous!$B$4:$AY$138,LS_previous!AC$149, FALSE))/2)</f>
        <v>6906.5742326432082</v>
      </c>
      <c r="N140" s="192">
        <f t="array" ref="N140">IF($G140=0, INDEX(LS_previous!$D$4:$AY$138, MATCH('Staging Table'!$A140, LS_previous!$B$4:$B$138, 0), MATCH(N$4&amp;N$5, LS_previous!$D$2:$AY$2&amp;LS_previous!$D$3:$AY$3, 0)),SUM(VLOOKUP($A140, LS_previous!$B$4:$AY$138, LS_previous!F$149, FALSE), VLOOKUP('Staging Table'!$A140, LS_previous!$B$4:$AY$138,LS_previous!AD$149, FALSE))/2)</f>
        <v>-27199.414465768816</v>
      </c>
      <c r="O140" s="192">
        <f t="array" ref="O140">IF($G140=0, INDEX(LS_previous!$D$4:$AY$138, MATCH('Staging Table'!$A140, LS_previous!$B$4:$B$138, 0), MATCH(O$4&amp;O$5, LS_previous!$D$2:$AY$2&amp;LS_previous!$D$3:$AY$3, 0)),SUM(VLOOKUP($A140, LS_previous!$B$4:$AY$138, LS_previous!G$149, FALSE), VLOOKUP('Staging Table'!$A140, LS_previous!$B$4:$AY$138,LS_previous!AE$149, FALSE))/2)</f>
        <v>-1028.6046948881121</v>
      </c>
      <c r="P140" s="192">
        <f t="array" ref="P140">IF($G140=0, INDEX(LS_previous!$D$4:$AY$138, MATCH('Staging Table'!$A140, LS_previous!$B$4:$B$138, 0), MATCH(P$4&amp;P$5, LS_previous!$D$2:$AY$2&amp;LS_previous!$D$3:$AY$3, 0)),SUM(VLOOKUP($A140, LS_previous!$B$4:$AY$138, LS_previous!H$149, FALSE), VLOOKUP('Staging Table'!$A140, LS_previous!$B$4:$AY$138,LS_previous!AF$149, FALSE))/2)</f>
        <v>31981.332365948765</v>
      </c>
      <c r="Q140" s="192">
        <f t="array" ref="Q140">IF($G140=0, INDEX(LS_previous!$D$4:$AY$138, MATCH('Staging Table'!$A140, LS_previous!$B$4:$B$138, 0), MATCH(Q$4&amp;Q$5, LS_previous!$D$2:$AY$2&amp;LS_previous!$D$3:$AY$3, 0)),SUM(VLOOKUP($A140, LS_previous!$B$4:$AY$138, LS_previous!I$149, FALSE), VLOOKUP('Staging Table'!$A140, LS_previous!$B$4:$AY$138,LS_previous!AG$149, FALSE))/2)</f>
        <v>34582.918028419605</v>
      </c>
      <c r="R140" s="192">
        <f t="array" ref="R140">IF($G140=0, INDEX(LS_previous!$D$4:$AY$138, MATCH('Staging Table'!$A140, LS_previous!$B$4:$B$138, 0), MATCH(R$4&amp;R$5, LS_previous!$D$2:$AY$2&amp;LS_previous!$D$3:$AY$3, 0)),SUM(VLOOKUP($A140, LS_previous!$B$4:$AY$138, LS_previous!J$149, FALSE), VLOOKUP('Staging Table'!$A140, LS_previous!$B$4:$AY$138,LS_previous!AH$149, FALSE))/2)</f>
        <v>56023.550225548795</v>
      </c>
      <c r="S140" s="192">
        <f t="array" ref="S140">IF($G140=0, INDEX(LS_previous!$D$4:$AY$138, MATCH('Staging Table'!$A140, LS_previous!$B$4:$B$138, 0), MATCH(S$4&amp;S$5, LS_previous!$D$2:$AY$2&amp;LS_previous!$D$3:$AY$3, 0)),SUM(VLOOKUP($A140, LS_previous!$B$4:$AY$138, LS_previous!K$149, FALSE), VLOOKUP('Staging Table'!$A140, LS_previous!$B$4:$AY$138,LS_previous!AI$149, FALSE))/2)</f>
        <v>61305.774869619621</v>
      </c>
      <c r="T140" s="192">
        <f t="array" ref="T140">IF($G140=0, INDEX(LS_previous!$D$4:$AY$138, MATCH('Staging Table'!$A140, LS_previous!$B$4:$B$138, 0), MATCH(T$4&amp;T$5, LS_previous!$D$2:$AY$2&amp;LS_previous!$D$3:$AY$3, 0)),SUM(VLOOKUP($A140, LS_previous!$B$4:$AY$138, LS_previous!L$149, FALSE), VLOOKUP('Staging Table'!$A140, LS_previous!$B$4:$AY$138,LS_previous!AJ$149, FALSE))/2)</f>
        <v>40785.958023859595</v>
      </c>
      <c r="U140" s="192">
        <f t="array" ref="U140">IF($G140=0, INDEX(LS_previous!$D$4:$AY$138, MATCH('Staging Table'!$A140, LS_previous!$B$4:$B$138, 0), MATCH(U$4&amp;U$5, LS_previous!$D$2:$AY$2&amp;LS_previous!$D$3:$AY$3, 0)),SUM(VLOOKUP($A140, LS_previous!$B$4:$AY$138, LS_previous!M$149, FALSE), VLOOKUP('Staging Table'!$A140, LS_previous!$B$4:$AY$138,LS_previous!AK$149, FALSE))/2)</f>
        <v>35555.761304860411</v>
      </c>
      <c r="V140" s="192">
        <f t="array" ref="V140">IF($G140=0, INDEX(LS_previous!$D$4:$AY$138, MATCH('Staging Table'!$A140, LS_previous!$B$4:$B$138, 0), MATCH(V$4&amp;V$5, LS_previous!$D$2:$AY$2&amp;LS_previous!$D$3:$AY$3, 0)),SUM(VLOOKUP($A140, LS_previous!$B$4:$AY$138, LS_previous!N$149, FALSE), VLOOKUP('Staging Table'!$A140, LS_previous!$B$4:$AY$138,LS_previous!AL$149, FALSE))/2)</f>
        <v>14602.151236866455</v>
      </c>
      <c r="W140" s="192">
        <f t="array" ref="W140">IF($G140=0, INDEX(LS_previous!$D$4:$AY$138, MATCH('Staging Table'!$A140, LS_previous!$B$4:$B$138, 0), MATCH(W$4&amp;W$5, LS_previous!$D$2:$AY$2&amp;LS_previous!$D$3:$AY$3, 0)),SUM(VLOOKUP($A140, LS_previous!$B$4:$AY$138, LS_previous!O$149, FALSE), VLOOKUP('Staging Table'!$A140, LS_previous!$B$4:$AY$138,LS_previous!AM$149, FALSE))/2)</f>
        <v>17603.13492320088</v>
      </c>
      <c r="X140" s="192">
        <f t="array" ref="X140">IF($G140=0, INDEX(LS_previous!$D$4:$AY$138, MATCH('Staging Table'!$A140, LS_previous!$B$4:$B$138, 0), MATCH(X$4&amp;X$5, LS_previous!$D$2:$AY$2&amp;LS_previous!$D$3:$AY$3, 0)),SUM(VLOOKUP($A140, LS_previous!$B$4:$AY$138, LS_previous!P$149, FALSE), VLOOKUP('Staging Table'!$A140, LS_previous!$B$4:$AY$138,LS_previous!AN$149, FALSE))/2)</f>
        <v>27633.646248957608</v>
      </c>
      <c r="Y140" s="192">
        <f t="array" ref="Y140">IF($G140=0, INDEX(LS_previous!$D$4:$AY$138, MATCH('Staging Table'!$A140, LS_previous!$B$4:$B$138, 0), MATCH(Y$4&amp;Y$5, LS_previous!$D$2:$AY$2&amp;LS_previous!$D$3:$AY$3, 0)),SUM(VLOOKUP($A140, LS_previous!$B$4:$AY$138, LS_previous!Q$149, FALSE), VLOOKUP('Staging Table'!$A140, LS_previous!$B$4:$AY$138,LS_previous!AO$149, FALSE))/2)</f>
        <v>20485.76345263439</v>
      </c>
      <c r="Z140" s="192">
        <f t="array" ref="Z140">IF($G140=0, INDEX(LS_previous!$D$4:$AY$138, MATCH('Staging Table'!$A140, LS_previous!$B$4:$B$138, 0), MATCH(Z$4&amp;Z$5, LS_previous!$D$2:$AY$2&amp;LS_previous!$D$3:$AY$3, 0)),SUM(VLOOKUP($A140, LS_previous!$B$4:$AY$138, LS_previous!R$149, FALSE), VLOOKUP('Staging Table'!$A140, LS_previous!$B$4:$AY$138,LS_previous!AP$149, FALSE))/2)</f>
        <v>-44287.504292410013</v>
      </c>
      <c r="AA140" s="192">
        <f t="array" ref="AA140">IF($G140=0, INDEX(LS_previous!$D$4:$AY$138, MATCH('Staging Table'!$A140, LS_previous!$B$4:$B$138, 0), MATCH(AA$4&amp;AA$5, LS_previous!$D$2:$AY$2&amp;LS_previous!$D$3:$AY$3, 0)),SUM(VLOOKUP($A140, LS_previous!$B$4:$AY$138, LS_previous!S$149, FALSE), VLOOKUP('Staging Table'!$A140, LS_previous!$B$4:$AY$138,LS_previous!AQ$149, FALSE))/2)</f>
        <v>-73.052525471590343</v>
      </c>
      <c r="AB140" s="192">
        <f t="array" ref="AB140">IF($G140=0, INDEX(LS_previous!$D$4:$AY$138, MATCH('Staging Table'!$A140, LS_previous!$B$4:$B$138, 0), MATCH(AB$4&amp;AB$5, LS_previous!$D$2:$AY$2&amp;LS_previous!$D$3:$AY$3, 0)),SUM(VLOOKUP($A140, LS_previous!$B$4:$AY$138, LS_previous!T$149, FALSE), VLOOKUP('Staging Table'!$A140, LS_previous!$B$4:$AY$138,LS_previous!AR$149, FALSE))/2)</f>
        <v>-84999.318207892386</v>
      </c>
      <c r="AC140" s="192">
        <f t="array" ref="AC140">IF($G140=0, INDEX(LS_previous!$D$4:$AY$138, MATCH('Staging Table'!$A140, LS_previous!$B$4:$B$138, 0), MATCH(AC$4&amp;AC$5, LS_previous!$D$2:$AY$2&amp;LS_previous!$D$3:$AY$3, 0)),SUM(VLOOKUP($A140, LS_previous!$B$4:$AY$138, LS_previous!U$149, FALSE), VLOOKUP('Staging Table'!$A140, LS_previous!$B$4:$AY$138,LS_previous!AS$149, FALSE))/2)</f>
        <v>-35060.889817965595</v>
      </c>
      <c r="AD140" s="192">
        <f t="array" ref="AD140">IF($G140=0, INDEX(LS_previous!$D$4:$AY$138, MATCH('Staging Table'!$A140, LS_previous!$B$4:$B$138, 0), MATCH(AD$4&amp;AD$5, LS_previous!$D$2:$AY$2&amp;LS_previous!$D$3:$AY$3, 0)),SUM(VLOOKUP($A140, LS_previous!$B$4:$AY$138, LS_previous!V$149, FALSE), VLOOKUP('Staging Table'!$A140, LS_previous!$B$4:$AY$138,LS_previous!AT$149, FALSE))/2)</f>
        <v>-25465.655313392403</v>
      </c>
      <c r="AE140" s="192">
        <f t="array" ref="AE140">IF($G140=0, INDEX(LS_previous!$D$4:$AY$138, MATCH('Staging Table'!$A140, LS_previous!$B$4:$B$138, 0), MATCH(AE$4&amp;AE$5, LS_previous!$D$2:$AY$2&amp;LS_previous!$D$3:$AY$3, 0)),SUM(VLOOKUP($A140, LS_previous!$B$4:$AY$138, LS_previous!W$149, FALSE), VLOOKUP('Staging Table'!$A140, LS_previous!$B$4:$AY$138,LS_previous!AU$149, FALSE))/2)</f>
        <v>31646.069922660812</v>
      </c>
      <c r="AF140" s="192">
        <f t="array" ref="AF140">IF($G140=0, INDEX(LS_previous!$D$4:$AY$138, MATCH('Staging Table'!$A140, LS_previous!$B$4:$B$138, 0), MATCH(AF$4&amp;AF$5, LS_previous!$D$2:$AY$2&amp;LS_previous!$D$3:$AY$3, 0)),SUM(VLOOKUP($A140, LS_previous!$B$4:$AY$138, LS_previous!X$149, FALSE), VLOOKUP('Staging Table'!$A140, LS_previous!$B$4:$AY$138,LS_previous!AV$149, FALSE))/2)</f>
        <v>-18589.653734842403</v>
      </c>
      <c r="AG140" s="192">
        <f t="array" ref="AG140">IF($G140=0, INDEX(LS_previous!$D$4:$AY$138, MATCH('Staging Table'!$A140, LS_previous!$B$4:$B$138, 0), MATCH(AG$4&amp;AG$5, LS_previous!$D$2:$AY$2&amp;LS_previous!$D$3:$AY$3, 0)),SUM(VLOOKUP($A140, LS_previous!$B$4:$AY$138, LS_previous!Y$149, FALSE), VLOOKUP('Staging Table'!$A140, LS_previous!$B$4:$AY$138,LS_previous!AW$149, FALSE))/2)</f>
        <v>14597.138114660804</v>
      </c>
      <c r="AH140" s="192">
        <f t="array" ref="AH140">IF($G140=0, INDEX(LS_previous!$D$4:$AY$138, MATCH('Staging Table'!$A140, LS_previous!$B$4:$B$138, 0), MATCH(AH$4&amp;AH$5, LS_previous!$D$2:$AY$2&amp;LS_previous!$D$3:$AY$3, 0)),SUM(VLOOKUP($A140, LS_previous!$B$4:$AY$138, LS_previous!Z$149, FALSE), VLOOKUP('Staging Table'!$A140, LS_previous!$B$4:$AY$138,LS_previous!AX$149, FALSE))/2)</f>
        <v>-16655.793501759996</v>
      </c>
      <c r="AI140" s="192">
        <f t="array" ref="AI140">IF($G140=0, INDEX(LS_previous!$D$4:$AY$138, MATCH('Staging Table'!$A140, LS_previous!$B$4:$B$138, 0), MATCH(AI$4&amp;AI$5, LS_previous!$D$2:$AY$2&amp;LS_previous!$D$3:$AY$3, 0)),SUM(VLOOKUP($A140, LS_previous!$B$4:$AY$138, LS_previous!AA$149, FALSE), VLOOKUP('Staging Table'!$A140, LS_previous!$B$4:$AY$138,LS_previous!AY$149, FALSE))/2)</f>
        <v>5031.2492582520063</v>
      </c>
      <c r="AJ140" s="314">
        <f t="array" ref="AJ140">INDEX(Demand_previous!$D$4:$AY$138, MATCH('Staging Table'!$A140, Demand_previous!$B$4:$B$138, 0), MATCH(AJ$4&amp;AJ$5,Demand_previous!$D$2:$AY$2&amp;Demand_previous!$D$3:$AY$3, 0))/1000</f>
        <v>34.139090277777711</v>
      </c>
      <c r="AK140" s="314">
        <f t="array" ref="AK140">INDEX(Demand_previous!$D$4:$AY$138, MATCH('Staging Table'!$A140, Demand_previous!$B$4:$B$138, 0), MATCH(AK$4&amp;AK$5,Demand_previous!$D$2:$AY$2&amp;Demand_previous!$D$3:$AY$3, 0))/1000</f>
        <v>50.603319999999997</v>
      </c>
      <c r="AL140" s="314">
        <f t="array" ref="AL140">INDEX(Demand_previous!$D$4:$AY$138, MATCH('Staging Table'!$A140, Demand_previous!$B$4:$B$138, 0), MATCH(AL$4&amp;AL$5,Demand_previous!$D$2:$AY$2&amp;Demand_previous!$D$3:$AY$3, 0))/1000</f>
        <v>96.787422499999991</v>
      </c>
      <c r="AM140" s="314">
        <f t="array" ref="AM140">INDEX(Demand_previous!$D$4:$AY$138, MATCH('Staging Table'!$A140, Demand_previous!$B$4:$B$138, 0), MATCH(AM$4&amp;AM$5,Demand_previous!$D$2:$AY$2&amp;Demand_previous!$D$3:$AY$3, 0))/1000</f>
        <v>106.87716105769229</v>
      </c>
      <c r="AN140" s="314">
        <f t="array" ref="AN140">INDEX(Demand_previous!$D$4:$AY$138, MATCH('Staging Table'!$A140, Demand_previous!$B$4:$B$138, 0), MATCH(AN$4&amp;AN$5,Demand_previous!$D$2:$AY$2&amp;Demand_previous!$D$3:$AY$3, 0))/1000</f>
        <v>70.461132500000019</v>
      </c>
      <c r="AO140" s="314">
        <f t="array" ref="AO140">INDEX(Demand_previous!$D$4:$AY$138, MATCH('Staging Table'!$A140, Demand_previous!$B$4:$B$138, 0), MATCH(AO$4&amp;AO$5,Demand_previous!$D$2:$AY$2&amp;Demand_previous!$D$3:$AY$3, 0))/1000</f>
        <v>73.106120192307685</v>
      </c>
      <c r="AP140" s="314">
        <f t="array" ref="AP140">INDEX(Demand_previous!$D$4:$AY$138, MATCH('Staging Table'!$A140, Demand_previous!$B$4:$B$138, 0), MATCH(AP$4&amp;AP$5,Demand_previous!$D$2:$AY$2&amp;Demand_previous!$D$3:$AY$3, 0))/1000</f>
        <v>60.839007211538444</v>
      </c>
      <c r="AQ140" s="314">
        <f t="array" ref="AQ140">INDEX(Demand_previous!$D$4:$AY$138, MATCH('Staging Table'!$A140, Demand_previous!$B$4:$B$138, 0), MATCH(AQ$4&amp;AQ$5,Demand_previous!$D$2:$AY$2&amp;Demand_previous!$D$3:$AY$3, 0))/1000</f>
        <v>41.370132499999997</v>
      </c>
      <c r="AR140" s="314">
        <f t="array" ref="AR140">INDEX(Demand_previous!$D$4:$AY$138, MATCH('Staging Table'!$A140, Demand_previous!$B$4:$B$138, 0), MATCH(AR$4&amp;AR$5,Demand_previous!$D$2:$AY$2&amp;Demand_previous!$D$3:$AY$3, 0))/1000</f>
        <v>58.951543269230733</v>
      </c>
      <c r="AS140" s="314">
        <f t="array" ref="AS140">INDEX(Demand_previous!$D$4:$AY$138, MATCH('Staging Table'!$A140, Demand_previous!$B$4:$B$138, 0), MATCH(AS$4&amp;AS$5,Demand_previous!$D$2:$AY$2&amp;Demand_previous!$D$3:$AY$3, 0))/1000</f>
        <v>83.827778846153834</v>
      </c>
      <c r="AT140" s="314">
        <f t="array" ref="AT140">INDEX(Demand_previous!$D$4:$AY$138, MATCH('Staging Table'!$A140, Demand_previous!$B$4:$B$138, 0), MATCH(AT$4&amp;AT$5,Demand_previous!$D$2:$AY$2&amp;Demand_previous!$D$3:$AY$3, 0))/1000</f>
        <v>71.247050480769261</v>
      </c>
      <c r="AU140" s="314">
        <f t="array" ref="AU140">INDEX(Demand_previous!$D$4:$AY$138, MATCH('Staging Table'!$A140, Demand_previous!$B$4:$B$138, 0), MATCH(AU$4&amp;AU$5,Demand_previous!$D$2:$AY$2&amp;Demand_previous!$D$3:$AY$3, 0))/1000</f>
        <v>52.785054999999922</v>
      </c>
      <c r="AV140" s="192">
        <f>$F140*(VLOOKUP(AV$4, Rates_previous!$G$6:$Q$29, 10, FALSE)+VLOOKUP(AV$4, Rates_previous!$G$6:$Q$29, 11, FALSE))</f>
        <v>281412.09287633153</v>
      </c>
      <c r="AW140" s="192">
        <f>$F140*(VLOOKUP(AW$4, Rates_previous!$G$6:$Q$29, 10, FALSE)+VLOOKUP(AW$4, Rates_previous!$G$6:$Q$29, 11, FALSE))</f>
        <v>357481.14616065688</v>
      </c>
      <c r="AX140" s="192">
        <f>$F140*(VLOOKUP(AX$4, Rates_previous!$G$6:$Q$29, 10, FALSE)+VLOOKUP(AX$4, Rates_previous!$G$6:$Q$29, 11, FALSE))</f>
        <v>353164.07760563161</v>
      </c>
      <c r="AY140" s="192">
        <f>$F140*(VLOOKUP(AY$4, Rates_previous!$G$6:$Q$29, 10, FALSE)+VLOOKUP(AY$4, Rates_previous!$G$6:$Q$29, 11, FALSE))</f>
        <v>294383.76890483161</v>
      </c>
      <c r="AZ140" s="192">
        <f>$F140*(VLOOKUP(AZ$4, Rates_previous!$G$6:$Q$29, 10, FALSE)+VLOOKUP(AZ$4, Rates_previous!$G$6:$Q$29, 11, FALSE))</f>
        <v>266681.15467128</v>
      </c>
      <c r="BA140" s="192">
        <f>$F140*(VLOOKUP(BA$4, Rates_previous!$G$6:$Q$29, 10, FALSE)+VLOOKUP(BA$4, Rates_previous!$G$6:$Q$29, 11, FALSE))</f>
        <v>296634.16383993271</v>
      </c>
      <c r="BB140" s="192">
        <f>$F140*(VLOOKUP(BB$4, Rates_previous!$G$6:$Q$29, 10, FALSE)+VLOOKUP(BB$4, Rates_previous!$G$6:$Q$29, 11, FALSE))</f>
        <v>241519.85629840798</v>
      </c>
      <c r="BC140" s="192">
        <f>$F140*(VLOOKUP(BC$4, Rates_previous!$G$6:$Q$29, 10, FALSE)+VLOOKUP(BC$4, Rates_previous!$G$6:$Q$29, 11, FALSE))</f>
        <v>325725.54081788159</v>
      </c>
      <c r="BD140" s="192">
        <f>$F140*(VLOOKUP(BD$4, Rates_previous!$G$6:$Q$29, 10, FALSE)+VLOOKUP(BD$4, Rates_previous!$G$6:$Q$29, 11, FALSE))</f>
        <v>415603.63702585798</v>
      </c>
      <c r="BE140" s="192">
        <f>$F140*(VLOOKUP(BE$4, Rates_previous!$G$6:$Q$29, 10, FALSE)+VLOOKUP(BE$4, Rates_previous!$G$6:$Q$29, 11, FALSE))</f>
        <v>325846.42939073162</v>
      </c>
      <c r="BF140" s="192">
        <f>$F140*(VLOOKUP(BF$4, Rates_previous!$G$6:$Q$29, 10, FALSE)+VLOOKUP(BF$4, Rates_previous!$G$6:$Q$29, 11, FALSE))</f>
        <v>317309.53862018161</v>
      </c>
      <c r="BG140" s="192">
        <f>$F140*(VLOOKUP(BG$4, Rates_previous!$G$6:$Q$29, 10, FALSE)+VLOOKUP(BG$4, Rates_previous!$G$6:$Q$29, 11, FALSE))</f>
        <v>284876.46524350799</v>
      </c>
      <c r="BH140" s="314">
        <f>IF($D140=0,IF(C140=0, MAX(BJ140 - (VLOOKUP($A140,TOCA_previous!$A$2:$AI$137,MATCH("RHWM 2020",TOCA_previous!$A$2:$AI$2,0),FALSE)*$F$2*TOCA_previous!C137),0),0), 0)</f>
        <v>89752.548153483309</v>
      </c>
      <c r="BI140" s="204">
        <f>MIN(VLOOKUP($A140,TOCA_previous!$A$2:$AI$137,MATCH("TRL - NLSL - Existing Resource "&amp;$F$1,TOCA_previous!$A$2:$AI$2,0),FALSE)*$F$2,(VLOOKUP($A140,TOCA_previous!$A$2:$AI$137,MATCH("RHWM 2020",TOCA_previous!$A$2:$AI$2,0),FALSE)*$F$2))</f>
        <v>3804780.8160000001</v>
      </c>
      <c r="BJ140" s="418">
        <f>SUM(L140:AI140)+(F140*RT1SC!$C$3*$F$2)</f>
        <v>3894533.3641534834</v>
      </c>
      <c r="BK140" s="417">
        <f>VLOOKUP($A140,TOCA_previous!$A$2:$AI$137,MATCH("Above RHWM Not Served with LS "&amp;$F$1,TOCA_previous!$A$2:$AI$2,0),FALSE)*$F$2</f>
        <v>163716.19200000001</v>
      </c>
      <c r="BL140" s="418">
        <f t="shared" si="46"/>
        <v>89752.548153483309</v>
      </c>
      <c r="BM140" s="417">
        <f>(VLOOKUP($A140,TOCA_previous!$A$2:$AI$137,MATCH("RHWM 2020",TOCA_previous!$A$2:$AI$2,0),FALSE)*$F$2) - $BI140</f>
        <v>0</v>
      </c>
      <c r="BN140" s="418">
        <f t="shared" si="47"/>
        <v>0</v>
      </c>
      <c r="BO140" s="417">
        <f t="shared" si="48"/>
        <v>0</v>
      </c>
      <c r="BP140" s="418">
        <f t="shared" si="49"/>
        <v>0</v>
      </c>
      <c r="BQ140" s="417">
        <f t="shared" si="40"/>
        <v>0</v>
      </c>
      <c r="BR140" s="120">
        <f>VLOOKUP($A140,TOCA_current!$A$2:$AI$137,MATCH(BR$4,TOCA_current!$A$2:$AI$2,0),FALSE)</f>
        <v>6.1593500000000002E-2</v>
      </c>
      <c r="BS140" s="120">
        <f>VLOOKUP($A140,TOCA_current!$A$2:$AI$137,MATCH(BS$4,TOCA_current!$A$2:$AI$2,0),FALSE)</f>
        <v>6.1593500000000002E-2</v>
      </c>
      <c r="BT140" s="201">
        <f t="shared" si="50"/>
        <v>0</v>
      </c>
      <c r="BU140" s="120">
        <f>SUMPRODUCT(BV6:BV139,BW6:BW139)/SUM(BW6:BW139)</f>
        <v>7.2966472223930587E-2</v>
      </c>
      <c r="BV140" s="120">
        <f t="shared" si="41"/>
        <v>0</v>
      </c>
      <c r="BW140" s="120">
        <f t="shared" si="42"/>
        <v>0</v>
      </c>
      <c r="BX140" s="191">
        <f>VLOOKUP($A140,IRD!$A$4:$G$139, 7, FALSE)</f>
        <v>218482.31100000002</v>
      </c>
      <c r="BY140" s="192">
        <f t="array" ref="BY140">IF($BT140=0, INDEX(LS_current!$D$4:$AY$138, MATCH('Staging Table'!$A140, LS_current!$B$4:$B$138, 0), MATCH(BY$4&amp;BY$5, LS_current!$D$2:$AY$2&amp;LS_current!$D$3:$AY$3, 0)),SUM(VLOOKUP($A140, LS_current!$B$4:$AY$138, LS_current!D$148, FALSE), VLOOKUP($A140, LS_current!$B$4:$AY$138,LS_current!AB$148, FALSE))/2)</f>
        <v>-19309.350158667308</v>
      </c>
      <c r="BZ140" s="192">
        <f t="array" ref="BZ140">IF($BT140=0, INDEX(LS_current!$D$4:$AY$138, MATCH('Staging Table'!$A140, LS_current!$B$4:$B$138, 0), MATCH(BZ$4&amp;BZ$5, LS_current!$D$2:$AY$2&amp;LS_current!$D$3:$AY$3, 0)),SUM(VLOOKUP($A140, LS_current!$B$4:$AY$138, LS_current!E$148, FALSE), VLOOKUP($A140, LS_current!$B$4:$AY$138,LS_current!AC$148, FALSE))/2)</f>
        <v>-5120.9026515985315</v>
      </c>
      <c r="CA140" s="192">
        <f t="array" ref="CA140">IF($BT140=0, INDEX(LS_current!$D$4:$AY$138, MATCH('Staging Table'!$A140, LS_current!$B$4:$B$138, 0), MATCH(CA$4&amp;CA$5, LS_current!$D$2:$AY$2&amp;LS_current!$D$3:$AY$3, 0)),SUM(VLOOKUP($A140, LS_current!$B$4:$AY$138, LS_current!F$148, FALSE), VLOOKUP($A140, LS_current!$B$4:$AY$138,LS_current!AD$148, FALSE))/2)</f>
        <v>-32156.153862610226</v>
      </c>
      <c r="CB140" s="192">
        <f t="array" ref="CB140">IF($BT140=0, INDEX(LS_current!$D$4:$AY$138, MATCH('Staging Table'!$A140, LS_current!$B$4:$B$138, 0), MATCH(CB$4&amp;CB$5, LS_current!$D$2:$AY$2&amp;LS_current!$D$3:$AY$3, 0)),SUM(VLOOKUP($A140, LS_current!$B$4:$AY$138, LS_current!G$148, FALSE), VLOOKUP($A140, LS_current!$B$4:$AY$138,LS_current!AE$148, FALSE))/2)</f>
        <v>-13832.830961607338</v>
      </c>
      <c r="CC140" s="192">
        <f t="array" ref="CC140">IF($BT140=0, INDEX(LS_current!$D$4:$AY$138, MATCH('Staging Table'!$A140, LS_current!$B$4:$B$138, 0), MATCH(CC$4&amp;CC$5, LS_current!$D$2:$AY$2&amp;LS_current!$D$3:$AY$3, 0)),SUM(VLOOKUP($A140, LS_current!$B$4:$AY$138, LS_current!H$148, FALSE), VLOOKUP($A140, LS_current!$B$4:$AY$138,LS_current!AF$148, FALSE))/2)</f>
        <v>40815.129654986289</v>
      </c>
      <c r="CD140" s="192">
        <f t="array" ref="CD140">IF($BT140=0, INDEX(LS_current!$D$4:$AY$138, MATCH('Staging Table'!$A140, LS_current!$B$4:$B$138, 0), MATCH(CD$4&amp;CD$5, LS_current!$D$2:$AY$2&amp;LS_current!$D$3:$AY$3, 0)),SUM(VLOOKUP($A140, LS_current!$B$4:$AY$138, LS_current!I$148, FALSE), VLOOKUP($A140, LS_current!$B$4:$AY$138,LS_current!AG$148, FALSE))/2)</f>
        <v>10557.296094925492</v>
      </c>
      <c r="CE140" s="192">
        <f t="array" ref="CE140">IF($BT140=0, INDEX(LS_current!$D$4:$AY$138, MATCH('Staging Table'!$A140, LS_current!$B$4:$B$138, 0), MATCH(CE$4&amp;CE$5, LS_current!$D$2:$AY$2&amp;LS_current!$D$3:$AY$3, 0)),SUM(VLOOKUP($A140, LS_current!$B$4:$AY$138, LS_current!J$148, FALSE), VLOOKUP($A140, LS_current!$B$4:$AY$138,LS_current!AH$148, FALSE))/2)</f>
        <v>66844.321195739816</v>
      </c>
      <c r="CF140" s="192">
        <f t="array" ref="CF140">IF($BT140=0, INDEX(LS_current!$D$4:$AY$138, MATCH('Staging Table'!$A140, LS_current!$B$4:$B$138, 0), MATCH(CF$4&amp;CF$5, LS_current!$D$2:$AY$2&amp;LS_current!$D$3:$AY$3, 0)),SUM(VLOOKUP($A140, LS_current!$B$4:$AY$138, LS_current!K$148, FALSE), VLOOKUP($A140, LS_current!$B$4:$AY$138,LS_current!AI$148, FALSE))/2)</f>
        <v>37007.425931042293</v>
      </c>
      <c r="CG140" s="192">
        <f t="array" ref="CG140">IF($BT140=0, INDEX(LS_current!$D$4:$AY$138, MATCH('Staging Table'!$A140, LS_current!$B$4:$B$138, 0), MATCH(CG$4&amp;CG$5, LS_current!$D$2:$AY$2&amp;LS_current!$D$3:$AY$3, 0)),SUM(VLOOKUP($A140, LS_current!$B$4:$AY$138, LS_current!L$148, FALSE), VLOOKUP($A140, LS_current!$B$4:$AY$138,LS_current!AJ$148, FALSE))/2)</f>
        <v>54073.184991350048</v>
      </c>
      <c r="CH140" s="192">
        <f t="array" ref="CH140">IF($BT140=0, INDEX(LS_current!$D$4:$AY$138, MATCH('Staging Table'!$A140, LS_current!$B$4:$B$138, 0), MATCH(CH$4&amp;CH$5, LS_current!$D$2:$AY$2&amp;LS_current!$D$3:$AY$3, 0)),SUM(VLOOKUP($A140, LS_current!$B$4:$AY$138, LS_current!M$148, FALSE), VLOOKUP($A140, LS_current!$B$4:$AY$138,LS_current!AK$148, FALSE))/2)</f>
        <v>21808.602255390637</v>
      </c>
      <c r="CI140" s="192">
        <f t="array" ref="CI140">IF($BT140=0, INDEX(LS_current!$D$4:$AY$138, MATCH('Staging Table'!$A140, LS_current!$B$4:$B$138, 0), MATCH(CI$4&amp;CI$5, LS_current!$D$2:$AY$2&amp;LS_current!$D$3:$AY$3, 0)),SUM(VLOOKUP($A140, LS_current!$B$4:$AY$138, LS_current!N$148, FALSE), VLOOKUP($A140, LS_current!$B$4:$AY$138,LS_current!AL$148, FALSE))/2)</f>
        <v>8419.8400743451493</v>
      </c>
      <c r="CJ140" s="192">
        <f t="array" ref="CJ140">IF($BT140=0, INDEX(LS_current!$D$4:$AY$138, MATCH('Staging Table'!$A140, LS_current!$B$4:$B$138, 0), MATCH(CJ$4&amp;CJ$5, LS_current!$D$2:$AY$2&amp;LS_current!$D$3:$AY$3, 0)),SUM(VLOOKUP($A140, LS_current!$B$4:$AY$138, LS_current!O$148, FALSE), VLOOKUP($A140, LS_current!$B$4:$AY$138,LS_current!AM$148, FALSE))/2)</f>
        <v>2626.7456767841068</v>
      </c>
      <c r="CK140" s="192">
        <f t="array" ref="CK140">IF($BT140=0, INDEX(LS_current!$D$4:$AY$138, MATCH('Staging Table'!$A140, LS_current!$B$4:$B$138, 0), MATCH(CK$4&amp;CK$5, LS_current!$D$2:$AY$2&amp;LS_current!$D$3:$AY$3, 0)),SUM(VLOOKUP($A140, LS_current!$B$4:$AY$138, LS_current!P$148, FALSE), VLOOKUP($A140, LS_current!$B$4:$AY$138,LS_current!AN$148, FALSE))/2)</f>
        <v>25880.994775902916</v>
      </c>
      <c r="CL140" s="192">
        <f t="array" ref="CL140">IF($BT140=0, INDEX(LS_current!$D$4:$AY$138, MATCH('Staging Table'!$A140, LS_current!$B$4:$B$138, 0), MATCH(CL$4&amp;CL$5, LS_current!$D$2:$AY$2&amp;LS_current!$D$3:$AY$3, 0)),SUM(VLOOKUP($A140, LS_current!$B$4:$AY$138, LS_current!Q$148, FALSE), VLOOKUP($A140, LS_current!$B$4:$AY$138,LS_current!AO$148, FALSE))/2)</f>
        <v>13037.695007487215</v>
      </c>
      <c r="CM140" s="192">
        <f t="array" ref="CM140">IF($BT140=0, INDEX(LS_current!$D$4:$AY$138, MATCH('Staging Table'!$A140, LS_current!$B$4:$B$138, 0), MATCH(CM$4&amp;CM$5, LS_current!$D$2:$AY$2&amp;LS_current!$D$3:$AY$3, 0)),SUM(VLOOKUP($A140, LS_current!$B$4:$AY$138, LS_current!R$148, FALSE), VLOOKUP($A140, LS_current!$B$4:$AY$138,LS_current!AP$148, FALSE))/2)</f>
        <v>-59397.846813495387</v>
      </c>
      <c r="CN140" s="192">
        <f t="array" ref="CN140">IF($BT140=0, INDEX(LS_current!$D$4:$AY$138, MATCH('Staging Table'!$A140, LS_current!$B$4:$B$138, 0), MATCH(CN$4&amp;CN$5, LS_current!$D$2:$AY$2&amp;LS_current!$D$3:$AY$3, 0)),SUM(VLOOKUP($A140, LS_current!$B$4:$AY$138, LS_current!S$148, FALSE), VLOOKUP($A140, LS_current!$B$4:$AY$138,LS_current!AQ$148, FALSE))/2)</f>
        <v>466.66341928787006</v>
      </c>
      <c r="CO140" s="192">
        <f t="array" ref="CO140">IF($BT140=0, INDEX(LS_current!$D$4:$AY$138, MATCH('Staging Table'!$A140, LS_current!$B$4:$B$138, 0), MATCH(CO$4&amp;CO$5, LS_current!$D$2:$AY$2&amp;LS_current!$D$3:$AY$3, 0)),SUM(VLOOKUP($A140, LS_current!$B$4:$AY$138, LS_current!T$148, FALSE), VLOOKUP($A140, LS_current!$B$4:$AY$138,LS_current!AR$148, FALSE))/2)</f>
        <v>-70360.191371999623</v>
      </c>
      <c r="CP140" s="192">
        <f t="array" ref="CP140">IF($BT140=0, INDEX(LS_current!$D$4:$AY$138, MATCH('Staging Table'!$A140, LS_current!$B$4:$B$138, 0), MATCH(CP$4&amp;CP$5, LS_current!$D$2:$AY$2&amp;LS_current!$D$3:$AY$3, 0)),SUM(VLOOKUP($A140, LS_current!$B$4:$AY$138, LS_current!U$148, FALSE), VLOOKUP($A140, LS_current!$B$4:$AY$138,LS_current!AS$148, FALSE))/2)</f>
        <v>4383.3198773035983</v>
      </c>
      <c r="CQ140" s="192">
        <f t="array" ref="CQ140">IF($BT140=0, INDEX(LS_current!$D$4:$AY$138, MATCH('Staging Table'!$A140, LS_current!$B$4:$B$138, 0), MATCH(CQ$4&amp;CQ$5, LS_current!$D$2:$AY$2&amp;LS_current!$D$3:$AY$3, 0)),SUM(VLOOKUP($A140, LS_current!$B$4:$AY$138, LS_current!V$148, FALSE), VLOOKUP($A140, LS_current!$B$4:$AY$138,LS_current!AT$148, FALSE))/2)</f>
        <v>-27936.34479556646</v>
      </c>
      <c r="CR140" s="192">
        <f t="array" ref="CR140">IF($BT140=0, INDEX(LS_current!$D$4:$AY$138, MATCH('Staging Table'!$A140, LS_current!$B$4:$B$138, 0), MATCH(CR$4&amp;CR$5, LS_current!$D$2:$AY$2&amp;LS_current!$D$3:$AY$3, 0)),SUM(VLOOKUP($A140, LS_current!$B$4:$AY$138, LS_current!W$148, FALSE), VLOOKUP($A140, LS_current!$B$4:$AY$138,LS_current!AU$148, FALSE))/2)</f>
        <v>15029.993009427853</v>
      </c>
      <c r="CS140" s="192">
        <f t="array" ref="CS140">IF($BT140=0, INDEX(LS_current!$D$4:$AY$138, MATCH('Staging Table'!$A140, LS_current!$B$4:$B$138, 0), MATCH(CS$4&amp;CS$5, LS_current!$D$2:$AY$2&amp;LS_current!$D$3:$AY$3, 0)),SUM(VLOOKUP($A140, LS_current!$B$4:$AY$138, LS_current!X$148, FALSE), VLOOKUP($A140, LS_current!$B$4:$AY$138,LS_current!AV$148, FALSE))/2)</f>
        <v>-24477.344683082192</v>
      </c>
      <c r="CT140" s="192">
        <f t="array" ref="CT140">IF($BT140=0, INDEX(LS_current!$D$4:$AY$138, MATCH('Staging Table'!$A140, LS_current!$B$4:$B$138, 0), MATCH(CT$4&amp;CT$5, LS_current!$D$2:$AY$2&amp;LS_current!$D$3:$AY$3, 0)),SUM(VLOOKUP($A140, LS_current!$B$4:$AY$138, LS_current!Y$148, FALSE), VLOOKUP($A140, LS_current!$B$4:$AY$138,LS_current!AW$148, FALSE))/2)</f>
        <v>3745.6135366471281</v>
      </c>
      <c r="CU140" s="192">
        <f t="array" ref="CU140">IF($BT140=0, INDEX(LS_current!$D$4:$AY$138, MATCH('Staging Table'!$A140, LS_current!$B$4:$B$138, 0), MATCH(CU$4&amp;CU$5, LS_current!$D$2:$AY$2&amp;LS_current!$D$3:$AY$3, 0)),SUM(VLOOKUP($A140, LS_current!$B$4:$AY$138, LS_current!Z$148, FALSE), VLOOKUP($A140, LS_current!$B$4:$AY$138,LS_current!AX$148, FALSE))/2)</f>
        <v>-30145.919664419227</v>
      </c>
      <c r="CV140" s="192">
        <f t="array" ref="CV140">IF($BT140=0, INDEX(LS_current!$D$4:$AY$138, MATCH('Staging Table'!$A140, LS_current!$B$4:$B$138, 0), MATCH(CV$4&amp;CV$5, LS_current!$D$2:$AY$2&amp;LS_current!$D$3:$AY$3, 0)),SUM(VLOOKUP($A140, LS_current!$B$4:$AY$138, LS_current!AA$148, FALSE), VLOOKUP($A140, LS_current!$B$4:$AY$138,LS_current!AY$148, FALSE))/2)</f>
        <v>-6204.4294713573327</v>
      </c>
      <c r="CW140" s="194">
        <f t="array" ref="CW140">INDEX(Demand_current!$D$4:$AY$138, MATCH($A140, Demand_current!$B$4:$B$138, 0), MATCH(CW$4&amp;CW$5,Demand_current!$D$2:$AY$2&amp;Demand_current!$D$3:$AY$3, 0))/1000</f>
        <v>17.94236298076919</v>
      </c>
      <c r="CX140" s="194">
        <f t="array" ref="CX140">INDEX(Demand_current!$D$4:$AY$138, MATCH($A140, Demand_current!$B$4:$B$138, 0), MATCH(CX$4&amp;CX$5,Demand_current!$D$2:$AY$2&amp;Demand_current!$D$3:$AY$3, 0))/1000</f>
        <v>50.603319999999997</v>
      </c>
      <c r="CY140" s="194">
        <f t="array" ref="CY140">INDEX(Demand_current!$D$4:$AY$138, MATCH($A140, Demand_current!$B$4:$B$138, 0), MATCH(CY$4&amp;CY$5,Demand_current!$D$2:$AY$2&amp;Demand_current!$D$3:$AY$3, 0))/1000</f>
        <v>121.83290625000001</v>
      </c>
      <c r="CZ140" s="194">
        <f t="array" ref="CZ140">INDEX(Demand_current!$D$4:$AY$138, MATCH($A140, Demand_current!$B$4:$B$138, 0), MATCH(CZ$4&amp;CZ$5,Demand_current!$D$2:$AY$2&amp;Demand_current!$D$3:$AY$3, 0))/1000</f>
        <v>82.799007499999988</v>
      </c>
      <c r="DA140" s="194">
        <f t="array" ref="DA140">INDEX(Demand_current!$D$4:$AY$138, MATCH($A140, Demand_current!$B$4:$B$138, 0), MATCH(DA$4&amp;DA$5,Demand_current!$D$2:$AY$2&amp;Demand_current!$D$3:$AY$3, 0))/1000</f>
        <v>47.744929687500019</v>
      </c>
      <c r="DB140" s="194">
        <f t="array" ref="DB140">INDEX(Demand_current!$D$4:$AY$138, MATCH($A140, Demand_current!$B$4:$B$138, 0), MATCH(DB$4&amp;DB$5,Demand_current!$D$2:$AY$2&amp;Demand_current!$D$3:$AY$3, 0))/1000</f>
        <v>92.038819444444471</v>
      </c>
      <c r="DC140" s="194">
        <f t="array" ref="DC140">INDEX(Demand_current!$D$4:$AY$138, MATCH($A140, Demand_current!$B$4:$B$138, 0), MATCH(DC$4&amp;DC$5,Demand_current!$D$2:$AY$2&amp;Demand_current!$D$3:$AY$3, 0))/1000</f>
        <v>60.839007211538444</v>
      </c>
      <c r="DD140" s="194">
        <f t="array" ref="DD140">INDEX(Demand_current!$D$4:$AY$138, MATCH($A140, Demand_current!$B$4:$B$138, 0), MATCH(DD$4&amp;DD$5,Demand_current!$D$2:$AY$2&amp;Demand_current!$D$3:$AY$3, 0))/1000</f>
        <v>41.370132499999997</v>
      </c>
      <c r="DE140" s="194">
        <f t="array" ref="DE140">INDEX(Demand_current!$D$4:$AY$138, MATCH($A140, Demand_current!$B$4:$B$138, 0), MATCH(DE$4&amp;DE$5,Demand_current!$D$2:$AY$2&amp;Demand_current!$D$3:$AY$3, 0))/1000</f>
        <v>58.951543269230733</v>
      </c>
      <c r="DF140" s="194">
        <f t="array" ref="DF140">INDEX(Demand_current!$D$4:$AY$138, MATCH($A140, Demand_current!$B$4:$B$138, 0), MATCH(DF$4&amp;DF$5,Demand_current!$D$2:$AY$2&amp;Demand_current!$D$3:$AY$3, 0))/1000</f>
        <v>63.602570000000028</v>
      </c>
      <c r="DG140" s="194">
        <f t="array" ref="DG140">INDEX(Demand_current!$D$4:$AY$138, MATCH($A140, Demand_current!$B$4:$B$138, 0), MATCH(DG$4&amp;DG$5,Demand_current!$D$2:$AY$2&amp;Demand_current!$D$3:$AY$3, 0))/1000</f>
        <v>89.900678240740845</v>
      </c>
      <c r="DH140" s="194">
        <f t="array" ref="DH140">INDEX(Demand_current!$D$4:$AY$138, MATCH($A140, Demand_current!$B$4:$B$138, 0), MATCH(DH$4&amp;DH$5,Demand_current!$D$2:$AY$2&amp;Demand_current!$D$3:$AY$3, 0))/1000</f>
        <v>52.785054999999922</v>
      </c>
      <c r="DI140" s="192">
        <f>$BS140*(VLOOKUP(DI$4, Rates_current!$G$6:$Q$29, 10, FALSE)+VLOOKUP(DI$4, Rates_current!$G$6:$Q$29, 11, FALSE))</f>
        <v>280492.14381026587</v>
      </c>
      <c r="DJ140" s="192">
        <f>$BS140*(VLOOKUP(DJ$4, Rates_current!$G$6:$Q$29, 10, FALSE)+VLOOKUP(DJ$4, Rates_current!$G$6:$Q$29, 11, FALSE))</f>
        <v>355113.23382421763</v>
      </c>
      <c r="DK140" s="192">
        <f>$BS140*(VLOOKUP(DK$4, Rates_current!$G$6:$Q$29, 10, FALSE)+VLOOKUP(DK$4, Rates_current!$G$6:$Q$29, 11, FALSE))</f>
        <v>347584.91025008826</v>
      </c>
      <c r="DL140" s="192">
        <f>$BS140*(VLOOKUP(DL$4, Rates_current!$G$6:$Q$29, 10, FALSE)+VLOOKUP(DL$4, Rates_current!$G$6:$Q$29, 11, FALSE))</f>
        <v>287090.35487321793</v>
      </c>
      <c r="DM140" s="192">
        <f>$BS140*(VLOOKUP(DM$4, Rates_current!$G$6:$Q$29, 10, FALSE)+VLOOKUP(DM$4, Rates_current!$G$6:$Q$29, 11, FALSE))</f>
        <v>248827.50275325935</v>
      </c>
      <c r="DN140" s="192">
        <f>$BS140*(VLOOKUP(DN$4, Rates_current!$G$6:$Q$29, 10, FALSE)+VLOOKUP(DN$4, Rates_current!$G$6:$Q$29, 11, FALSE))</f>
        <v>297049.79024887079</v>
      </c>
      <c r="DO140" s="192">
        <f>$BS140*(VLOOKUP(DO$4, Rates_current!$G$6:$Q$29, 10, FALSE)+VLOOKUP(DO$4, Rates_current!$G$6:$Q$29, 11, FALSE))</f>
        <v>230619.61621660984</v>
      </c>
      <c r="DP140" s="192">
        <f>$BS140*(VLOOKUP(DP$4, Rates_current!$G$6:$Q$29, 10, FALSE)+VLOOKUP(DP$4, Rates_current!$G$6:$Q$29, 11, FALSE))</f>
        <v>319525.17539420747</v>
      </c>
      <c r="DQ140" s="192">
        <f>$BS140*(VLOOKUP(DQ$4, Rates_current!$G$6:$Q$29, 10, FALSE)+VLOOKUP(DQ$4, Rates_current!$G$6:$Q$29, 11, FALSE))</f>
        <v>341419.34049469599</v>
      </c>
      <c r="DR140" s="192">
        <f>$BS140*(VLOOKUP(DR$4, Rates_current!$G$6:$Q$29, 10, FALSE)+VLOOKUP(DR$4, Rates_current!$G$6:$Q$29, 11, FALSE))</f>
        <v>324162.20378613868</v>
      </c>
      <c r="DS140" s="192">
        <f>$BS140*(VLOOKUP(DS$4, Rates_current!$G$6:$Q$29, 10, FALSE)+VLOOKUP(DS$4, Rates_current!$G$6:$Q$29, 11, FALSE))</f>
        <v>313277.76214643504</v>
      </c>
      <c r="DT140" s="192">
        <f>$BS140*(VLOOKUP(DT$4, Rates_current!$G$6:$Q$29, 10, FALSE)+VLOOKUP(DT$4, Rates_current!$G$6:$Q$29, 11, FALSE))</f>
        <v>289501.31013577658</v>
      </c>
      <c r="DU140" s="418">
        <f>IF(D140=0,IF(C140=0,MAX(0,DW140 - (VLOOKUP($A140,TOCA_current!$A$2:$AI$137,MATCH("RHWM 2022",TOCA_current!$A$2:$AI$2,0),FALSE)*$BS$2)), 0),0)</f>
        <v>11681.480928757228</v>
      </c>
      <c r="DV140" s="419">
        <f>MIN(VLOOKUP($A140,TOCA_current!$A$2:$AI$137,MATCH("TRL - NLSL - Existing Resource "&amp;$BS$1,TOCA_current!$A$2:$AI$2,0),FALSE)*$BS$2, VLOOKUP($A140,TOCA_current!$A$2:$AI$137,MATCH("RHWM 2022",TOCA_current!$A$2:$AI$2,0),FALSE)*$BS$2)</f>
        <v>3638737.56</v>
      </c>
      <c r="DW140" s="419">
        <f>SUM(BY140:CV140)+(BS140*RT1SC!$C$4*$BS$2)</f>
        <v>3650419.0409287573</v>
      </c>
      <c r="DX140" s="419">
        <f>VLOOKUP($A140,TOCA_current!$A$2:$AI$137,MATCH("Above RHWM Not Served with LS "&amp;$BS$1,TOCA_current!$A$2:$AI$2,0),FALSE)*$BS$2</f>
        <v>407830.55999999994</v>
      </c>
      <c r="DY140" s="419">
        <f t="shared" si="51"/>
        <v>11681.480928757228</v>
      </c>
      <c r="DZ140" s="419">
        <f>(VLOOKUP($A140,TOCA_current!$A$2:$AI$137,MATCH("RHWM 2022",TOCA_current!$A$2:$AI$2,0),FALSE)*$BS$2) - $DV140</f>
        <v>0</v>
      </c>
      <c r="EA140" s="419">
        <f t="shared" si="52"/>
        <v>0</v>
      </c>
      <c r="EB140" s="419">
        <f t="shared" si="53"/>
        <v>0</v>
      </c>
      <c r="EC140" s="419">
        <f t="shared" si="54"/>
        <v>0</v>
      </c>
      <c r="ED140" s="419">
        <f t="shared" si="55"/>
        <v>0</v>
      </c>
    </row>
    <row r="141" spans="1:134"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</row>
    <row r="142" spans="1:134"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</row>
  </sheetData>
  <mergeCells count="2">
    <mergeCell ref="E3:F3"/>
    <mergeCell ref="BR3:BS3"/>
  </mergeCells>
  <printOptions headings="1" gridLines="1"/>
  <pageMargins left="0.25" right="0.25" top="0.75" bottom="0.75" header="0.3" footer="0.3"/>
  <pageSetup paperSize="5" scale="24" fitToWidth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AI170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1" sqref="B1"/>
    </sheetView>
  </sheetViews>
  <sheetFormatPr defaultRowHeight="14.4"/>
  <cols>
    <col min="1" max="1" width="9.5546875" style="2" customWidth="1"/>
    <col min="2" max="2" width="9.109375" style="22"/>
    <col min="3" max="3" width="28.44140625" style="22" bestFit="1" customWidth="1"/>
    <col min="4" max="8" width="12.6640625" customWidth="1"/>
    <col min="9" max="9" width="12.6640625" style="244" customWidth="1"/>
    <col min="10" max="10" width="12.6640625" style="203" customWidth="1"/>
    <col min="11" max="16" width="12.6640625" customWidth="1"/>
    <col min="17" max="17" width="12.6640625" style="82" customWidth="1"/>
    <col min="18" max="19" width="12.6640625" customWidth="1"/>
    <col min="20" max="20" width="13.5546875" style="244" customWidth="1"/>
    <col min="21" max="25" width="12.6640625" customWidth="1"/>
    <col min="26" max="26" width="15" bestFit="1" customWidth="1"/>
    <col min="27" max="27" width="8.44140625" style="53" bestFit="1" customWidth="1"/>
    <col min="28" max="28" width="24.44140625" customWidth="1"/>
    <col min="29" max="29" width="10.88671875" bestFit="1" customWidth="1"/>
    <col min="30" max="30" width="9.88671875" bestFit="1" customWidth="1"/>
    <col min="33" max="33" width="9.88671875" bestFit="1" customWidth="1"/>
  </cols>
  <sheetData>
    <row r="1" spans="1:35" ht="15.6">
      <c r="B1" s="47" t="s">
        <v>214</v>
      </c>
      <c r="C1" s="48"/>
    </row>
    <row r="2" spans="1:35">
      <c r="A2" s="49" t="s">
        <v>0</v>
      </c>
      <c r="B2" s="50"/>
      <c r="C2" s="48"/>
      <c r="D2" s="46" t="s">
        <v>149</v>
      </c>
      <c r="O2" s="46" t="s">
        <v>150</v>
      </c>
    </row>
    <row r="3" spans="1:35" s="57" customFormat="1">
      <c r="A3" s="55" t="s">
        <v>1</v>
      </c>
      <c r="B3" s="56" t="s">
        <v>2</v>
      </c>
      <c r="C3" s="51" t="s">
        <v>3</v>
      </c>
      <c r="D3" s="209" t="s">
        <v>159</v>
      </c>
      <c r="E3" s="209" t="s">
        <v>258</v>
      </c>
      <c r="F3" s="209" t="s">
        <v>208</v>
      </c>
      <c r="G3" s="209" t="s">
        <v>203</v>
      </c>
      <c r="H3" s="210" t="s">
        <v>239</v>
      </c>
      <c r="I3" s="209" t="s">
        <v>295</v>
      </c>
      <c r="J3" s="210" t="s">
        <v>259</v>
      </c>
      <c r="K3" s="209" t="s">
        <v>215</v>
      </c>
      <c r="L3" s="209" t="s">
        <v>179</v>
      </c>
      <c r="M3" s="209" t="s">
        <v>216</v>
      </c>
      <c r="N3" s="209" t="s">
        <v>221</v>
      </c>
      <c r="O3" s="214" t="s">
        <v>159</v>
      </c>
      <c r="P3" s="214" t="s">
        <v>258</v>
      </c>
      <c r="Q3" s="215" t="s">
        <v>208</v>
      </c>
      <c r="R3" s="215" t="s">
        <v>203</v>
      </c>
      <c r="S3" s="214" t="s">
        <v>239</v>
      </c>
      <c r="T3" s="215" t="s">
        <v>295</v>
      </c>
      <c r="U3" s="214" t="s">
        <v>259</v>
      </c>
      <c r="V3" s="215" t="s">
        <v>215</v>
      </c>
      <c r="W3" s="214" t="s">
        <v>179</v>
      </c>
      <c r="X3" s="215" t="s">
        <v>216</v>
      </c>
      <c r="Y3" s="215" t="s">
        <v>221</v>
      </c>
      <c r="Z3" s="217" t="s">
        <v>222</v>
      </c>
      <c r="AA3" s="218" t="s">
        <v>224</v>
      </c>
      <c r="AB3"/>
      <c r="AC3"/>
      <c r="AD3"/>
      <c r="AE3"/>
      <c r="AF3"/>
      <c r="AG3"/>
      <c r="AH3"/>
      <c r="AI3"/>
    </row>
    <row r="4" spans="1:35">
      <c r="B4" s="3">
        <v>10005</v>
      </c>
      <c r="C4" s="4" t="s">
        <v>7</v>
      </c>
      <c r="D4" s="211">
        <f>IF(Init!$R$9="Yes",'Staging Table'!E6,'Staging Table'!BR6)*Rates_previous!$E$76*100*12</f>
        <v>183953.76264</v>
      </c>
      <c r="E4" s="211">
        <f>IF(Init!$R$9="Yes",'Staging Table'!F6,'Staging Table'!BS6)*Rates_previous!$E$77*100*12</f>
        <v>-18609.9012</v>
      </c>
      <c r="F4" s="212">
        <f>IF(Init!$R$9="Yes",SUMPRODUCT('Staging Table'!L6:AI6,LS_Demand_Rates_Restatement!$C$4:$Z$4)-IF(Init!$R$12="No",('Staging Table'!BH6*Rates_previous!$H$34), 0),SUMPRODUCT('Staging Table'!BY6:CV6,LS_Demand_Rates_Restatement!$C$4:$Z$4)-IF(Init!$R$12="No", 'Staging Table'!DU6*Rates_previous!$H$34, 0))</f>
        <v>4216.6052223258994</v>
      </c>
      <c r="G4" s="212">
        <f>IF(Init!$R$9="Yes",SUMPRODUCT('Staging Table'!AJ6:AU6,LS_Demand_Rates_Restatement!$C$10:$N$10),SUMPRODUCT(LS_Demand_Rates_Restatement!$C$10:$N$10,'Staging Table'!CW6:DH6))*1000</f>
        <v>13614.782483689463</v>
      </c>
      <c r="H4" s="213">
        <f>IF(Init!$R$9="Yes",'Staging Table'!BQ6,'Staging Table'!ED6)*IF(Init!$R$3=2020,Rates_previous!$C$88,Rates_previous!$D$88)</f>
        <v>137.55744000000877</v>
      </c>
      <c r="I4" s="211">
        <f>IF(Init!$R$9="Yes",IF('Staging Table'!$F$1=2020,(SUM('Staging Table'!AX6:BD6)*Rates_previous!$C$87),(SUM('Staging Table'!AX6:BD6)*Rates_previous!$D$87)),IF('Staging Table'!$F$1=2020,(SUM('Staging Table'!DK6:DQ6)*Rates_previous!$C$87),(SUM('Staging Table'!DK6:DQ6)*Rates_previous!$D$87)))</f>
        <v>2256.5896099137904</v>
      </c>
      <c r="J4" s="213">
        <f>IF(Init!$R$9="Yes",IF('Staging Table'!D6=1,'Staging Table'!H6*-1,'Staging Table'!H6*SUM(D4:I4)*(-1)),IF('Staging Table'!D6=1,'Staging Table'!BU6*-1,'Staging Table'!BU6*SUM(D4:I4)*(-1)))</f>
        <v>-6494.9288668575209</v>
      </c>
      <c r="K4" s="211">
        <f>IF(Init!$R$9="Yes",'Staging Table'!K6,'Staging Table'!BX6)*(-1)*Rates_previous!$H$32</f>
        <v>0</v>
      </c>
      <c r="L4" s="211">
        <f>IF('Staging Table'!C6=1,"",SUM(D4:K4))</f>
        <v>179074.46732907163</v>
      </c>
      <c r="M4" s="211">
        <f>IF('Staging Table'!C6=1,"",IF(Init!$R$9="Yes",(RT1SC!$C$3*'Staging Table'!E6*'Staging Table'!$F$2)+SUM('Staging Table'!L6:AI6)-IF(Init!$R$12="No",'Staging Table'!BH6, 0),X4))</f>
        <v>4787.2800000000007</v>
      </c>
      <c r="N4" s="95">
        <f>IF('Staging Table'!C6=1,"",IF(M4=0, 0, L4/M4))</f>
        <v>37.406307408188283</v>
      </c>
      <c r="O4" s="211">
        <f>'Staging Table'!BR6*Rates_current!$E$76*100*12</f>
        <v>186092.62213285826</v>
      </c>
      <c r="P4" s="211">
        <f>'Staging Table'!BS6*Rates_current!$E$77*100*12</f>
        <v>-30724.338442292861</v>
      </c>
      <c r="Q4" s="212">
        <f>SUMPRODUCT('Staging Table'!BY6:CV6, LS_Demand_Rates_Restatement!$C$5:$Z$5)-IF(Init!$R$12="No",('Staging Table'!DU6*Rates_current!$H$34), 0)</f>
        <v>3790.7736317374984</v>
      </c>
      <c r="R4" s="212">
        <f>SUMPRODUCT('Staging Table'!CW6:DH6, LS_Demand_Rates_Restatement!$C$11:$N$11)*1000</f>
        <v>12498.881584357203</v>
      </c>
      <c r="S4" s="213">
        <f>'Staging Table'!ED6*IF(Init!$R$15="Yes",IF(Init!$R$6=2022,Rates_current!$C$88,Rates_current!$D$88),Rates_current!$H$33)</f>
        <v>0</v>
      </c>
      <c r="T4" s="213">
        <v>0</v>
      </c>
      <c r="U4" s="213">
        <f>IF('Staging Table'!D6=1, 'Staging Table'!BU6*-1,SUM(O4:T4)*'Staging Table'!BU6*-1)</f>
        <v>-5111.9931137117228</v>
      </c>
      <c r="V4" s="211">
        <f>'Staging Table'!BX6*Rates_current!$H$32*-1</f>
        <v>0</v>
      </c>
      <c r="W4" s="211">
        <f>IF('Staging Table'!C6=1,"",SUM(O4:V4))</f>
        <v>166545.94579294842</v>
      </c>
      <c r="X4" s="211">
        <f>IF('Staging Table'!C6=1,"",(RT1SC!$C$4*'Staging Table'!BR6*'Staging Table'!$BS$2)+SUM('Staging Table'!BY6:CV6)-IF(Init!$R$12="No",'Staging Table'!DU6, 0))</f>
        <v>4581.4800000000005</v>
      </c>
      <c r="Y4" s="95">
        <f>IF('Staging Table'!C6=1,"",IF(X4=0, 0, W4/X4))</f>
        <v>36.351996689486455</v>
      </c>
      <c r="Z4" s="87">
        <f ca="1">IF('Staging Table'!C6=1,"",(Y4/N4-1)+(RAND()/100000000000000))</f>
        <v>-2.8185372782102605E-2</v>
      </c>
      <c r="AA4" s="53">
        <f t="shared" ref="AA4:AA67" ca="1" si="0">IF(Z4="","",RANK(Z4,$Z$4:$Z$138))</f>
        <v>20</v>
      </c>
      <c r="AD4" s="216"/>
      <c r="AE4" s="216"/>
      <c r="AG4" s="216"/>
      <c r="AH4" s="216"/>
    </row>
    <row r="5" spans="1:35">
      <c r="B5" s="3">
        <v>10015</v>
      </c>
      <c r="C5" s="4" t="s">
        <v>8</v>
      </c>
      <c r="D5" s="211">
        <f>IF(Init!$R$9="Yes",'Staging Table'!E7,'Staging Table'!BR7)*Rates_previous!$E$76*100*12</f>
        <v>192747.41796000002</v>
      </c>
      <c r="E5" s="211">
        <f>IF(Init!$R$9="Yes",'Staging Table'!F7,'Staging Table'!BS7)*Rates_previous!$E$77*100*12</f>
        <v>-19499.521800000002</v>
      </c>
      <c r="F5" s="212">
        <f>IF(Init!$R$9="Yes",SUMPRODUCT('Staging Table'!L7:AI7,LS_Demand_Rates_Restatement!$C$4:$Z$4)-IF(Init!$R$12="No",('Staging Table'!BH7*Rates_previous!$H$34), 0),SUMPRODUCT('Staging Table'!BY7:CV7,LS_Demand_Rates_Restatement!$C$4:$Z$4)-IF(Init!$R$12="No", 'Staging Table'!DU7*Rates_previous!$H$34, 0))</f>
        <v>-8071.4695148655064</v>
      </c>
      <c r="G5" s="212">
        <f>IF(Init!$R$9="Yes",SUMPRODUCT('Staging Table'!AJ7:AU7,LS_Demand_Rates_Restatement!$C$10:$N$10),SUMPRODUCT(LS_Demand_Rates_Restatement!$C$10:$N$10,'Staging Table'!CW7:DH7))*1000</f>
        <v>31702.992399145296</v>
      </c>
      <c r="H5" s="213">
        <f>IF(Init!$R$9="Yes",'Staging Table'!BQ7,'Staging Table'!ED7)*IF(Init!$R$3=2020,Rates_previous!$C$88,Rates_previous!$D$88)</f>
        <v>0</v>
      </c>
      <c r="I5" s="211">
        <f>IF(Init!$R$9="Yes",IF('Staging Table'!$F$1=2020,(SUM('Staging Table'!AX7:BD7)*Rates_previous!$C$87),(SUM('Staging Table'!AX7:BD7)*Rates_previous!$D$87)),IF('Staging Table'!$F$1=2020,(SUM('Staging Table'!DK7:DQ7)*Rates_previous!$C$87),(SUM('Staging Table'!DK7:DQ7)*Rates_previous!$D$87)))</f>
        <v>2364.4627566409354</v>
      </c>
      <c r="J5" s="213">
        <f>IF(Init!$R$9="Yes",IF('Staging Table'!D7=1,'Staging Table'!H7*-1,'Staging Table'!H7*SUM(D5:I5)*(-1)),IF('Staging Table'!D7=1,'Staging Table'!BU7*-1,'Staging Table'!BU7*SUM(D5:I5)*(-1)))</f>
        <v>0</v>
      </c>
      <c r="K5" s="211">
        <f>IF(Init!$R$9="Yes",'Staging Table'!K7,'Staging Table'!BX7)*(-1)*Rates_previous!$H$32</f>
        <v>0</v>
      </c>
      <c r="L5" s="211">
        <f>IF('Staging Table'!C7=1,"",SUM(D5:K5))</f>
        <v>199243.88180092073</v>
      </c>
      <c r="M5" s="211">
        <f>IF('Staging Table'!C7=1,"",IF(Init!$R$9="Yes",(RT1SC!$C$3*'Staging Table'!E7*'Staging Table'!$F$2)+SUM('Staging Table'!L7:AI7)-IF(Init!$R$12="No",'Staging Table'!BH7, 0),X5))</f>
        <v>5006.8799999999992</v>
      </c>
      <c r="N5" s="95">
        <f>IF('Staging Table'!C7=1,"",IF(M5=0, 0, L5/M5))</f>
        <v>39.79401978895455</v>
      </c>
      <c r="O5" s="211">
        <f>'Staging Table'!BR7*Rates_current!$E$76*100*12</f>
        <v>194725.78501531042</v>
      </c>
      <c r="P5" s="211">
        <f>'Staging Table'!BS7*Rates_current!$E$77*100*12</f>
        <v>-32149.694349409532</v>
      </c>
      <c r="Q5" s="212">
        <f>SUMPRODUCT('Staging Table'!BY7:CV7, LS_Demand_Rates_Restatement!$C$5:$Z$5)-IF(Init!$R$12="No",('Staging Table'!DU7*Rates_current!$H$34), 0)</f>
        <v>-8017.4896684476034</v>
      </c>
      <c r="R5" s="212">
        <f>SUMPRODUCT('Staging Table'!CW7:DH7, LS_Demand_Rates_Restatement!$C$11:$N$11)*1000</f>
        <v>29890.395541835824</v>
      </c>
      <c r="S5" s="213">
        <f>'Staging Table'!ED7*IF(Init!$R$15="Yes",IF(Init!$R$6=2022,Rates_current!$C$88,Rates_current!$D$88),Rates_current!$H$33)</f>
        <v>0</v>
      </c>
      <c r="T5" s="213">
        <v>0</v>
      </c>
      <c r="U5" s="213">
        <f>IF('Staging Table'!D7=1, 'Staging Table'!BU7*-1,SUM(O5:T5)*'Staging Table'!BU7*-1)</f>
        <v>0</v>
      </c>
      <c r="V5" s="211">
        <f>'Staging Table'!BX7*Rates_current!$H$32*-1</f>
        <v>0</v>
      </c>
      <c r="W5" s="211">
        <f>IF('Staging Table'!C7=1,"",SUM(O5:V5))</f>
        <v>184448.99653928913</v>
      </c>
      <c r="X5" s="211">
        <f>IF('Staging Table'!C7=1,"",(RT1SC!$C$4*'Staging Table'!BR7*'Staging Table'!$BS$2)+SUM('Staging Table'!BY7:CV7)-IF(Init!$R$12="No",'Staging Table'!DU7, 0))</f>
        <v>4791.72</v>
      </c>
      <c r="Y5" s="95">
        <f>IF('Staging Table'!C7=1,"",IF(X5=0, 0, W5/X5))</f>
        <v>38.493275178701829</v>
      </c>
      <c r="Z5" s="87">
        <f ca="1">IF('Staging Table'!C7=1,"",(Y5/N5-1)+(RAND()/100000000000000))</f>
        <v>-3.2686936809880468E-2</v>
      </c>
      <c r="AA5" s="53">
        <f t="shared" ca="1" si="0"/>
        <v>32</v>
      </c>
      <c r="AD5" s="216"/>
      <c r="AE5" s="216"/>
      <c r="AF5" s="220"/>
      <c r="AG5" s="216"/>
      <c r="AH5" s="216"/>
    </row>
    <row r="6" spans="1:35">
      <c r="B6" s="3">
        <v>10024</v>
      </c>
      <c r="C6" s="4" t="s">
        <v>9</v>
      </c>
      <c r="D6" s="211">
        <f>IF(Init!$R$9="Yes",'Staging Table'!E8,'Staging Table'!BR8)*Rates_previous!$E$76*100*12</f>
        <v>67740141.259920001</v>
      </c>
      <c r="E6" s="211">
        <f>IF(Init!$R$9="Yes",'Staging Table'!F8,'Staging Table'!BS8)*Rates_previous!$E$77*100*12</f>
        <v>-3564012.4739999995</v>
      </c>
      <c r="F6" s="212">
        <f>IF(Init!$R$9="Yes",SUMPRODUCT('Staging Table'!L8:AI8,LS_Demand_Rates_Restatement!$C$4:$Z$4)-IF(Init!$R$12="No",('Staging Table'!BH8*Rates_previous!$H$34), 0),SUMPRODUCT('Staging Table'!BY8:CV8,LS_Demand_Rates_Restatement!$C$4:$Z$4)-IF(Init!$R$12="No", 'Staging Table'!DU8*Rates_previous!$H$34, 0))</f>
        <v>-464808.14274307759</v>
      </c>
      <c r="G6" s="212">
        <f>IF(Init!$R$9="Yes",SUMPRODUCT('Staging Table'!AJ8:AU8,LS_Demand_Rates_Restatement!$C$10:$N$10),SUMPRODUCT(LS_Demand_Rates_Restatement!$C$10:$N$10,'Staging Table'!CW8:DH8))*1000</f>
        <v>0</v>
      </c>
      <c r="H6" s="213">
        <f>IF(Init!$R$9="Yes",'Staging Table'!BQ8,'Staging Table'!ED8)*IF(Init!$R$3=2020,Rates_previous!$C$88,Rates_previous!$D$88)</f>
        <v>0</v>
      </c>
      <c r="I6" s="211">
        <f>IF(Init!$R$9="Yes",IF('Staging Table'!$F$1=2020,(SUM('Staging Table'!AX8:BD8)*Rates_previous!$C$87),(SUM('Staging Table'!AX8:BD8)*Rates_previous!$D$87)),IF('Staging Table'!$F$1=2020,(SUM('Staging Table'!DK8:DQ8)*Rates_previous!$C$87),(SUM('Staging Table'!DK8:DQ8)*Rates_previous!$D$87)))</f>
        <v>432163.14971255948</v>
      </c>
      <c r="J6" s="213">
        <f>IF(Init!$R$9="Yes",IF('Staging Table'!D8=1,'Staging Table'!H8*-1,'Staging Table'!H8*SUM(D6:I6)*(-1)),IF('Staging Table'!D8=1,'Staging Table'!BU8*-1,'Staging Table'!BU8*SUM(D6:I6)*(-1)))</f>
        <v>0</v>
      </c>
      <c r="K6" s="211">
        <f>IF(Init!$R$9="Yes",'Staging Table'!K8,'Staging Table'!BX8)*(-1)*Rates_previous!$H$32</f>
        <v>-3468977.5120000001</v>
      </c>
      <c r="L6" s="211">
        <f>IF('Staging Table'!C8=1,"",SUM(D6:K6))</f>
        <v>60674506.280889481</v>
      </c>
      <c r="M6" s="211">
        <f>IF('Staging Table'!C8=1,"",IF(Init!$R$9="Yes",(RT1SC!$C$3*'Staging Table'!E8*'Staging Table'!$F$2)+SUM('Staging Table'!L8:AI8)-IF(Init!$R$12="No",'Staging Table'!BH8, 0),X6))</f>
        <v>1758679.8425622117</v>
      </c>
      <c r="N6" s="95">
        <f>IF('Staging Table'!C8=1,"",IF(M6=0, 0, L6/M6))</f>
        <v>34.500029404154141</v>
      </c>
      <c r="O6" s="211">
        <f>'Staging Table'!BR8*Rates_current!$E$76*100*12</f>
        <v>68351148.641174644</v>
      </c>
      <c r="P6" s="211">
        <f>'Staging Table'!BS8*Rates_current!$E$77*100*12</f>
        <v>-5868902.947552925</v>
      </c>
      <c r="Q6" s="212">
        <f>SUMPRODUCT('Staging Table'!BY8:CV8, LS_Demand_Rates_Restatement!$C$5:$Z$5)-IF(Init!$R$12="No",('Staging Table'!DU8*Rates_current!$H$34), 0)</f>
        <v>-497982.05146501027</v>
      </c>
      <c r="R6" s="212">
        <f>SUMPRODUCT('Staging Table'!CW8:DH8, LS_Demand_Rates_Restatement!$C$11:$N$11)*1000</f>
        <v>0</v>
      </c>
      <c r="S6" s="213">
        <f>'Staging Table'!ED8*IF(Init!$R$15="Yes",IF(Init!$R$6=2022,Rates_current!$C$88,Rates_current!$D$88),Rates_current!$H$33)</f>
        <v>0</v>
      </c>
      <c r="T6" s="213">
        <v>0</v>
      </c>
      <c r="U6" s="213">
        <f>IF('Staging Table'!D8=1, 'Staging Table'!BU8*-1,SUM(O6:T6)*'Staging Table'!BU8*-1)</f>
        <v>0</v>
      </c>
      <c r="V6" s="211">
        <f>'Staging Table'!BX8*Rates_current!$H$32*-1</f>
        <v>-3403407.2800000003</v>
      </c>
      <c r="W6" s="211">
        <f>IF('Staging Table'!C8=1,"",SUM(O6:V6))</f>
        <v>58580856.362156704</v>
      </c>
      <c r="X6" s="211">
        <f>IF('Staging Table'!C8=1,"",(RT1SC!$C$4*'Staging Table'!BR8*'Staging Table'!$BS$2)+SUM('Staging Table'!BY8:CV8)-IF(Init!$R$12="No",'Staging Table'!DU8, 0))</f>
        <v>1681928.8460379518</v>
      </c>
      <c r="Y6" s="95">
        <f>IF('Staging Table'!C8=1,"",IF(X6=0, 0, W6/X6))</f>
        <v>34.829568741955484</v>
      </c>
      <c r="Z6" s="87">
        <f ca="1">IF('Staging Table'!C8=1,"",(Y6/N6-1)+(RAND()/100000000000000))</f>
        <v>9.5518567228202039E-3</v>
      </c>
      <c r="AA6" s="53">
        <f t="shared" ca="1" si="0"/>
        <v>12</v>
      </c>
      <c r="AD6" s="216"/>
      <c r="AE6" s="216"/>
      <c r="AF6" s="220"/>
      <c r="AG6" s="216"/>
      <c r="AH6" s="216"/>
    </row>
    <row r="7" spans="1:35">
      <c r="B7" s="3">
        <v>10025</v>
      </c>
      <c r="C7" s="4" t="s">
        <v>10</v>
      </c>
      <c r="D7" s="211">
        <f>IF(Init!$R$9="Yes",'Staging Table'!E9,'Staging Table'!BR9)*Rates_previous!$E$76*100*12</f>
        <v>20078054.092799999</v>
      </c>
      <c r="E7" s="211">
        <f>IF(Init!$R$9="Yes",'Staging Table'!F9,'Staging Table'!BS9)*Rates_previous!$E$77*100*12</f>
        <v>-2031220.2240000002</v>
      </c>
      <c r="F7" s="212">
        <f>IF(Init!$R$9="Yes",SUMPRODUCT('Staging Table'!L9:AI9,LS_Demand_Rates_Restatement!$C$4:$Z$4)-IF(Init!$R$12="No",('Staging Table'!BH9*Rates_previous!$H$34), 0),SUMPRODUCT('Staging Table'!BY9:CV9,LS_Demand_Rates_Restatement!$C$4:$Z$4)-IF(Init!$R$12="No", 'Staging Table'!DU9*Rates_previous!$H$34, 0))</f>
        <v>-115564.82315999763</v>
      </c>
      <c r="G7" s="212">
        <f>IF(Init!$R$9="Yes",SUMPRODUCT('Staging Table'!AJ9:AU9,LS_Demand_Rates_Restatement!$C$10:$N$10),SUMPRODUCT(LS_Demand_Rates_Restatement!$C$10:$N$10,'Staging Table'!CW9:DH9))*1000</f>
        <v>1058751.3598123931</v>
      </c>
      <c r="H7" s="213">
        <f>IF(Init!$R$9="Yes",'Staging Table'!BQ9,'Staging Table'!ED9)*IF(Init!$R$3=2020,Rates_previous!$C$88,Rates_previous!$D$88)</f>
        <v>0</v>
      </c>
      <c r="I7" s="211">
        <f>IF(Init!$R$9="Yes",IF('Staging Table'!$F$1=2020,(SUM('Staging Table'!AX9:BD9)*Rates_previous!$C$87),(SUM('Staging Table'!AX9:BD9)*Rates_previous!$D$87)),IF('Staging Table'!$F$1=2020,(SUM('Staging Table'!DK9:DQ9)*Rates_previous!$C$87),(SUM('Staging Table'!DK9:DQ9)*Rates_previous!$D$87)))</f>
        <v>246300.63339214082</v>
      </c>
      <c r="J7" s="213">
        <f>IF(Init!$R$9="Yes",IF('Staging Table'!D9=1,'Staging Table'!H9*-1,'Staging Table'!H9*SUM(D7:I7)*(-1)),IF('Staging Table'!D9=1,'Staging Table'!BU9*-1,'Staging Table'!BU9*SUM(D7:I7)*(-1)))</f>
        <v>-1293533.4307178326</v>
      </c>
      <c r="K7" s="211">
        <f>IF(Init!$R$9="Yes",'Staging Table'!K9,'Staging Table'!BX9)*(-1)*Rates_previous!$H$32</f>
        <v>-921028.52127000003</v>
      </c>
      <c r="L7" s="211">
        <f>IF('Staging Table'!C9=1,"",SUM(D7:K7))</f>
        <v>17021759.086856704</v>
      </c>
      <c r="M7" s="211">
        <f>IF('Staging Table'!C9=1,"",IF(Init!$R$9="Yes",(RT1SC!$C$3*'Staging Table'!E9*'Staging Table'!$F$2)+SUM('Staging Table'!L9:AI9)-IF(Init!$R$12="No",'Staging Table'!BH9, 0),X7))</f>
        <v>521268.91200000001</v>
      </c>
      <c r="N7" s="95">
        <f>IF('Staging Table'!C9=1,"",IF(M7=0, 0, L7/M7))</f>
        <v>32.654468154541902</v>
      </c>
      <c r="O7" s="211">
        <f>'Staging Table'!BR9*Rates_current!$E$76*100*12</f>
        <v>20259155.564154468</v>
      </c>
      <c r="P7" s="211">
        <f>'Staging Table'!BS9*Rates_current!$E$77*100*12</f>
        <v>-3344835.1953671398</v>
      </c>
      <c r="Q7" s="212">
        <f>SUMPRODUCT('Staging Table'!BY9:CV9, LS_Demand_Rates_Restatement!$C$5:$Z$5)-IF(Init!$R$12="No",('Staging Table'!DU9*Rates_current!$H$34), 0)</f>
        <v>-144144.31125511834</v>
      </c>
      <c r="R7" s="212">
        <f>SUMPRODUCT('Staging Table'!CW9:DH9, LS_Demand_Rates_Restatement!$C$11:$N$11)*1000</f>
        <v>1011488.4145275818</v>
      </c>
      <c r="S7" s="213">
        <f>'Staging Table'!ED9*IF(Init!$R$15="Yes",IF(Init!$R$6=2022,Rates_current!$C$88,Rates_current!$D$88),Rates_current!$H$33)</f>
        <v>0</v>
      </c>
      <c r="T7" s="213">
        <v>0</v>
      </c>
      <c r="U7" s="213">
        <f>IF('Staging Table'!D9=1, 'Staging Table'!BU9*-1,SUM(O7:T7)*'Staging Table'!BU9*-1)</f>
        <v>-1249818.9499316504</v>
      </c>
      <c r="V7" s="211">
        <f>'Staging Table'!BX9*Rates_current!$H$32*-1</f>
        <v>-903619.34130000009</v>
      </c>
      <c r="W7" s="211">
        <f>IF('Staging Table'!C9=1,"",SUM(O7:V7))</f>
        <v>15628226.180828143</v>
      </c>
      <c r="X7" s="211">
        <f>IF('Staging Table'!C9=1,"",(RT1SC!$C$4*'Staging Table'!BR9*'Staging Table'!$BS$2)+SUM('Staging Table'!BY9:CV9)-IF(Init!$R$12="No",'Staging Table'!DU9, 0))</f>
        <v>498522.83999999997</v>
      </c>
      <c r="Y7" s="95">
        <f>IF('Staging Table'!C9=1,"",IF(X7=0, 0, W7/X7))</f>
        <v>31.349067538867715</v>
      </c>
      <c r="Z7" s="87">
        <f ca="1">IF('Staging Table'!C9=1,"",(Y7/N7-1)+(RAND()/100000000000000))</f>
        <v>-3.9976171392415868E-2</v>
      </c>
      <c r="AA7" s="53">
        <f t="shared" ca="1" si="0"/>
        <v>88</v>
      </c>
      <c r="AD7" s="216"/>
      <c r="AE7" s="216"/>
      <c r="AF7" s="220"/>
      <c r="AG7" s="216"/>
      <c r="AH7" s="216"/>
    </row>
    <row r="8" spans="1:35">
      <c r="B8" s="3">
        <v>10027</v>
      </c>
      <c r="C8" s="4" t="s">
        <v>11</v>
      </c>
      <c r="D8" s="211">
        <f>IF(Init!$R$9="Yes",'Staging Table'!E10,'Staging Table'!BR10)*Rates_previous!$E$76*100*12</f>
        <v>20594740.759440001</v>
      </c>
      <c r="E8" s="211">
        <f>IF(Init!$R$9="Yes",'Staging Table'!F10,'Staging Table'!BS10)*Rates_previous!$E$77*100*12</f>
        <v>-2083491.4452000002</v>
      </c>
      <c r="F8" s="212">
        <f>IF(Init!$R$9="Yes",SUMPRODUCT('Staging Table'!L10:AI10,LS_Demand_Rates_Restatement!$C$4:$Z$4)-IF(Init!$R$12="No",('Staging Table'!BH10*Rates_previous!$H$34), 0),SUMPRODUCT('Staging Table'!BY10:CV10,LS_Demand_Rates_Restatement!$C$4:$Z$4)-IF(Init!$R$12="No", 'Staging Table'!DU10*Rates_previous!$H$34, 0))</f>
        <v>-789836.60532272211</v>
      </c>
      <c r="G8" s="212">
        <f>IF(Init!$R$9="Yes",SUMPRODUCT('Staging Table'!AJ10:AU10,LS_Demand_Rates_Restatement!$C$10:$N$10),SUMPRODUCT(LS_Demand_Rates_Restatement!$C$10:$N$10,'Staging Table'!CW10:DH10))*1000</f>
        <v>1414923.6628561609</v>
      </c>
      <c r="H8" s="213">
        <f>IF(Init!$R$9="Yes",'Staging Table'!BQ10,'Staging Table'!ED10)*IF(Init!$R$3=2020,Rates_previous!$C$88,Rates_previous!$D$88)</f>
        <v>0</v>
      </c>
      <c r="I8" s="211">
        <f>IF(Init!$R$9="Yes",IF('Staging Table'!$F$1=2020,(SUM('Staging Table'!AX10:BD10)*Rates_previous!$C$87),(SUM('Staging Table'!AX10:BD10)*Rates_previous!$D$87)),IF('Staging Table'!$F$1=2020,(SUM('Staging Table'!DK10:DQ10)*Rates_previous!$C$87),(SUM('Staging Table'!DK10:DQ10)*Rates_previous!$D$87)))</f>
        <v>252638.90963497359</v>
      </c>
      <c r="J8" s="213">
        <f>IF(Init!$R$9="Yes",IF('Staging Table'!D10=1,'Staging Table'!H10*-1,'Staging Table'!H10*SUM(D8:I8)*(-1)),IF('Staging Table'!D10=1,'Staging Table'!BU10*-1,'Staging Table'!BU10*SUM(D8:I8)*(-1)))</f>
        <v>-1453752.6853306771</v>
      </c>
      <c r="K8" s="211">
        <f>IF(Init!$R$9="Yes",'Staging Table'!K10,'Staging Table'!BX10)*(-1)*Rates_previous!$H$32</f>
        <v>-2329428.5893999999</v>
      </c>
      <c r="L8" s="211">
        <f>IF('Staging Table'!C10=1,"",SUM(D8:K8))</f>
        <v>15605794.006677736</v>
      </c>
      <c r="M8" s="211">
        <f>IF('Staging Table'!C10=1,"",IF(Init!$R$9="Yes",(RT1SC!$C$3*'Staging Table'!E10*'Staging Table'!$F$2)+SUM('Staging Table'!L10:AI10)-IF(Init!$R$12="No",'Staging Table'!BH10, 0),X8))</f>
        <v>534682.07999999996</v>
      </c>
      <c r="N8" s="95">
        <f>IF('Staging Table'!C10=1,"",IF(M8=0, 0, L8/M8))</f>
        <v>29.187052625137049</v>
      </c>
      <c r="O8" s="211">
        <f>'Staging Table'!BR10*Rates_current!$E$76*100*12</f>
        <v>20780502.678222552</v>
      </c>
      <c r="P8" s="211">
        <f>'Staging Table'!BS10*Rates_current!$E$77*100*12</f>
        <v>-3430910.8548691305</v>
      </c>
      <c r="Q8" s="212">
        <f>SUMPRODUCT('Staging Table'!BY10:CV10, LS_Demand_Rates_Restatement!$C$5:$Z$5)-IF(Init!$R$12="No",('Staging Table'!DU10*Rates_current!$H$34), 0)</f>
        <v>-851793.32514577755</v>
      </c>
      <c r="R8" s="212">
        <f>SUMPRODUCT('Staging Table'!CW10:DH10, LS_Demand_Rates_Restatement!$C$11:$N$11)*1000</f>
        <v>1276589.6536403403</v>
      </c>
      <c r="S8" s="213">
        <f>'Staging Table'!ED10*IF(Init!$R$15="Yes",IF(Init!$R$6=2022,Rates_current!$C$88,Rates_current!$D$88),Rates_current!$H$33)</f>
        <v>0</v>
      </c>
      <c r="T8" s="213">
        <v>0</v>
      </c>
      <c r="U8" s="213">
        <f>IF('Staging Table'!D10=1, 'Staging Table'!BU10*-1,SUM(O8:T8)*'Staging Table'!BU10*-1)</f>
        <v>-1412529.9230398922</v>
      </c>
      <c r="V8" s="211">
        <f>'Staging Table'!BX10*Rates_current!$H$32*-1</f>
        <v>-2285397.986</v>
      </c>
      <c r="W8" s="211">
        <f>IF('Staging Table'!C10=1,"",SUM(O8:V8))</f>
        <v>14076460.242808092</v>
      </c>
      <c r="X8" s="211">
        <f>IF('Staging Table'!C10=1,"",(RT1SC!$C$4*'Staging Table'!BR10*'Staging Table'!$BS$2)+SUM('Staging Table'!BY10:CV10)-IF(Init!$R$12="No",'Staging Table'!DU10, 0))</f>
        <v>511347.48</v>
      </c>
      <c r="Y8" s="95">
        <f>IF('Staging Table'!C10=1,"",IF(X8=0, 0, W8/X8))</f>
        <v>27.528169773728216</v>
      </c>
      <c r="Z8" s="87">
        <f ca="1">IF('Staging Table'!C10=1,"",(Y8/N8-1)+(RAND()/100000000000000))</f>
        <v>-5.6836257936506158E-2</v>
      </c>
      <c r="AA8" s="53">
        <f t="shared" ca="1" si="0"/>
        <v>109</v>
      </c>
      <c r="AD8" s="216"/>
      <c r="AE8" s="216"/>
      <c r="AF8" s="220"/>
      <c r="AG8" s="216"/>
      <c r="AH8" s="216"/>
    </row>
    <row r="9" spans="1:35">
      <c r="B9" s="3">
        <v>10029</v>
      </c>
      <c r="C9" s="4" t="s">
        <v>12</v>
      </c>
      <c r="D9" s="211">
        <f>IF(Init!$R$9="Yes",'Staging Table'!E11,'Staging Table'!BR11)*Rates_previous!$E$76*100*12</f>
        <v>5928587.3502000002</v>
      </c>
      <c r="E9" s="211">
        <f>IF(Init!$R$9="Yes",'Staging Table'!F11,'Staging Table'!BS11)*Rates_previous!$E$77*100*12</f>
        <v>-599772.59100000001</v>
      </c>
      <c r="F9" s="212">
        <f>IF(Init!$R$9="Yes",SUMPRODUCT('Staging Table'!L11:AI11,LS_Demand_Rates_Restatement!$C$4:$Z$4)-IF(Init!$R$12="No",('Staging Table'!BH11*Rates_previous!$H$34), 0),SUMPRODUCT('Staging Table'!BY11:CV11,LS_Demand_Rates_Restatement!$C$4:$Z$4)-IF(Init!$R$12="No", 'Staging Table'!DU11*Rates_previous!$H$34, 0))</f>
        <v>0</v>
      </c>
      <c r="G9" s="212">
        <f>IF(Init!$R$9="Yes",SUMPRODUCT('Staging Table'!AJ11:AU11,LS_Demand_Rates_Restatement!$C$10:$N$10),SUMPRODUCT(LS_Demand_Rates_Restatement!$C$10:$N$10,'Staging Table'!CW11:DH11))*1000</f>
        <v>0</v>
      </c>
      <c r="H9" s="213">
        <f>IF(Init!$R$9="Yes",'Staging Table'!BQ11,'Staging Table'!ED11)*IF(Init!$R$3=2020,Rates_previous!$C$88,Rates_previous!$D$88)</f>
        <v>0</v>
      </c>
      <c r="I9" s="211">
        <f>IF(Init!$R$9="Yes",IF('Staging Table'!$F$1=2020,(SUM('Staging Table'!AX11:BD11)*Rates_previous!$C$87),(SUM('Staging Table'!AX11:BD11)*Rates_previous!$D$87)),IF('Staging Table'!$F$1=2020,(SUM('Staging Table'!DK11:DQ11)*Rates_previous!$C$87),(SUM('Staging Table'!DK11:DQ11)*Rates_previous!$D$87)))</f>
        <v>72726.909327260335</v>
      </c>
      <c r="J9" s="213">
        <f>IF(Init!$R$9="Yes",IF('Staging Table'!D11=1,'Staging Table'!H11*-1,'Staging Table'!H11*SUM(D9:I9)*(-1)),IF('Staging Table'!D11=1,'Staging Table'!BU11*-1,'Staging Table'!BU11*SUM(D9:I9)*(-1)))</f>
        <v>-391470.74458499567</v>
      </c>
      <c r="K9" s="211">
        <f>IF(Init!$R$9="Yes",'Staging Table'!K11,'Staging Table'!BX11)*(-1)*Rates_previous!$H$32</f>
        <v>0</v>
      </c>
      <c r="L9" s="211" t="str">
        <f>IF('Staging Table'!C11=1,"",SUM(D9:K9))</f>
        <v/>
      </c>
      <c r="M9" s="211" t="str">
        <f>IF('Staging Table'!C11=1,"",IF(Init!$R$9="Yes",(RT1SC!$C$3*'Staging Table'!E11*'Staging Table'!$F$2)+SUM('Staging Table'!L11:AI11)-IF(Init!$R$12="No",'Staging Table'!BH11, 0),X9))</f>
        <v/>
      </c>
      <c r="N9" s="95" t="str">
        <f>IF('Staging Table'!C11=1,"",IF(M9=0, 0, L9/M9))</f>
        <v/>
      </c>
      <c r="O9" s="211">
        <f>'Staging Table'!BR11*Rates_current!$E$76*100*12</f>
        <v>5982062.4472991619</v>
      </c>
      <c r="P9" s="211">
        <f>'Staging Table'!BS11*Rates_current!$E$77*100*12</f>
        <v>-987652.8639729321</v>
      </c>
      <c r="Q9" s="212">
        <f>SUMPRODUCT('Staging Table'!BY11:CV11, LS_Demand_Rates_Restatement!$C$5:$Z$5)-IF(Init!$R$12="No",('Staging Table'!DU11*Rates_current!$H$34), 0)</f>
        <v>0</v>
      </c>
      <c r="R9" s="212">
        <f>SUMPRODUCT('Staging Table'!CW11:DH11, LS_Demand_Rates_Restatement!$C$11:$N$11)*1000</f>
        <v>0</v>
      </c>
      <c r="S9" s="213">
        <f>'Staging Table'!ED11*IF(Init!$R$15="Yes",IF(Init!$R$6=2022,Rates_current!$C$88,Rates_current!$D$88),Rates_current!$H$33)</f>
        <v>0</v>
      </c>
      <c r="T9" s="213">
        <v>0</v>
      </c>
      <c r="U9" s="213">
        <f>IF('Staging Table'!D11=1, 'Staging Table'!BU11*-1,SUM(O9:T9)*'Staging Table'!BU11*-1)</f>
        <v>-423356.75759258011</v>
      </c>
      <c r="V9" s="211">
        <f>'Staging Table'!BX11*Rates_current!$H$32*-1</f>
        <v>0</v>
      </c>
      <c r="W9" s="211" t="str">
        <f>IF('Staging Table'!C11=1,"",SUM(O9:V9))</f>
        <v/>
      </c>
      <c r="X9" s="211" t="str">
        <f>IF('Staging Table'!C11=1,"",(RT1SC!$C$4*'Staging Table'!BR11*'Staging Table'!$BS$2)+SUM('Staging Table'!BY11:CV11)-IF(Init!$R$12="No",'Staging Table'!DU11, 0))</f>
        <v/>
      </c>
      <c r="Y9" s="95" t="str">
        <f>IF('Staging Table'!C11=1,"",IF(X9=0, 0, W9/X9))</f>
        <v/>
      </c>
      <c r="Z9" s="87" t="str">
        <f ca="1">IF('Staging Table'!C11=1,"",(Y9/N9-1)+(RAND()/100000000000000))</f>
        <v/>
      </c>
      <c r="AA9" s="53" t="str">
        <f t="shared" ca="1" si="0"/>
        <v/>
      </c>
      <c r="AD9" s="216"/>
      <c r="AE9" s="216"/>
      <c r="AF9" s="220"/>
      <c r="AG9" s="216"/>
      <c r="AH9" s="216"/>
    </row>
    <row r="10" spans="1:35">
      <c r="B10" s="3">
        <v>10044</v>
      </c>
      <c r="C10" s="4" t="s">
        <v>13</v>
      </c>
      <c r="D10" s="211">
        <f>IF(Init!$R$9="Yes",'Staging Table'!E12,'Staging Table'!BR12)*Rates_previous!$E$76*100*12</f>
        <v>6835046.8472399991</v>
      </c>
      <c r="E10" s="211">
        <f>IF(Init!$R$9="Yes",'Staging Table'!F12,'Staging Table'!BS12)*Rates_previous!$E$77*100*12</f>
        <v>-691475.64419999986</v>
      </c>
      <c r="F10" s="212">
        <f>IF(Init!$R$9="Yes",SUMPRODUCT('Staging Table'!L12:AI12,LS_Demand_Rates_Restatement!$C$4:$Z$4)-IF(Init!$R$12="No",('Staging Table'!BH12*Rates_previous!$H$34), 0),SUMPRODUCT('Staging Table'!BY12:CV12,LS_Demand_Rates_Restatement!$C$4:$Z$4)-IF(Init!$R$12="No", 'Staging Table'!DU12*Rates_previous!$H$34, 0))</f>
        <v>110685.62284695194</v>
      </c>
      <c r="G10" s="212">
        <f>IF(Init!$R$9="Yes",SUMPRODUCT('Staging Table'!AJ12:AU12,LS_Demand_Rates_Restatement!$C$10:$N$10),SUMPRODUCT(LS_Demand_Rates_Restatement!$C$10:$N$10,'Staging Table'!CW12:DH12))*1000</f>
        <v>355147.22493928077</v>
      </c>
      <c r="H10" s="213">
        <f>IF(Init!$R$9="Yes",'Staging Table'!BQ12,'Staging Table'!ED12)*IF(Init!$R$3=2020,Rates_previous!$C$88,Rates_previous!$D$88)</f>
        <v>0</v>
      </c>
      <c r="I10" s="211">
        <f>IF(Init!$R$9="Yes",IF('Staging Table'!$F$1=2020,(SUM('Staging Table'!AX12:BD12)*Rates_previous!$C$87),(SUM('Staging Table'!AX12:BD12)*Rates_previous!$D$87)),IF('Staging Table'!$F$1=2020,(SUM('Staging Table'!DK12:DQ12)*Rates_previous!$C$87),(SUM('Staging Table'!DK12:DQ12)*Rates_previous!$D$87)))</f>
        <v>83846.589911512507</v>
      </c>
      <c r="J10" s="213">
        <f>IF(Init!$R$9="Yes",IF('Staging Table'!D12=1,'Staging Table'!H12*-1,'Staging Table'!H12*SUM(D10:I10)*(-1)),IF('Staging Table'!D12=1,'Staging Table'!BU12*-1,'Staging Table'!BU12*SUM(D10:I10)*(-1)))</f>
        <v>0</v>
      </c>
      <c r="K10" s="211">
        <f>IF(Init!$R$9="Yes",'Staging Table'!K12,'Staging Table'!BX12)*(-1)*Rates_previous!$H$32</f>
        <v>0</v>
      </c>
      <c r="L10" s="211">
        <f>IF('Staging Table'!C12=1,"",SUM(D10:K10))</f>
        <v>6693250.640737744</v>
      </c>
      <c r="M10" s="211">
        <f>IF('Staging Table'!C12=1,"",IF(Init!$R$9="Yes",(RT1SC!$C$3*'Staging Table'!E12*'Staging Table'!$F$2)+SUM('Staging Table'!L12:AI12)-IF(Init!$R$12="No",'Staging Table'!BH12, 0),X10))</f>
        <v>177454.36800000002</v>
      </c>
      <c r="N10" s="95">
        <f>IF('Staging Table'!C12=1,"",IF(M10=0, 0, L10/M10))</f>
        <v>37.71815096001324</v>
      </c>
      <c r="O10" s="211">
        <f>'Staging Table'!BR12*Rates_current!$E$76*100*12</f>
        <v>6896698.0926789567</v>
      </c>
      <c r="P10" s="211">
        <f>'Staging Table'!BS12*Rates_current!$E$77*100*12</f>
        <v>-1138661.4036880156</v>
      </c>
      <c r="Q10" s="212">
        <f>SUMPRODUCT('Staging Table'!BY12:CV12, LS_Demand_Rates_Restatement!$C$5:$Z$5)-IF(Init!$R$12="No",('Staging Table'!DU12*Rates_current!$H$34), 0)</f>
        <v>52564.328203373472</v>
      </c>
      <c r="R10" s="212">
        <f>SUMPRODUCT('Staging Table'!CW12:DH12, LS_Demand_Rates_Restatement!$C$11:$N$11)*1000</f>
        <v>333275.32090185198</v>
      </c>
      <c r="S10" s="213">
        <f>'Staging Table'!ED12*IF(Init!$R$15="Yes",IF(Init!$R$6=2022,Rates_current!$C$88,Rates_current!$D$88),Rates_current!$H$33)</f>
        <v>0</v>
      </c>
      <c r="T10" s="213">
        <v>0</v>
      </c>
      <c r="U10" s="213">
        <f>IF('Staging Table'!D12=1, 'Staging Table'!BU12*-1,SUM(O10:T10)*'Staging Table'!BU12*-1)</f>
        <v>0</v>
      </c>
      <c r="V10" s="211">
        <f>'Staging Table'!BX12*Rates_current!$H$32*-1</f>
        <v>0</v>
      </c>
      <c r="W10" s="211">
        <f>IF('Staging Table'!C12=1,"",SUM(O10:V10))</f>
        <v>6143876.338096167</v>
      </c>
      <c r="X10" s="211">
        <f>IF('Staging Table'!C12=1,"",(RT1SC!$C$4*'Staging Table'!BR12*'Staging Table'!$BS$2)+SUM('Staging Table'!BY12:CV12)-IF(Init!$R$12="No",'Staging Table'!DU12, 0))</f>
        <v>168476.67768131397</v>
      </c>
      <c r="Y10" s="95">
        <f>IF('Staging Table'!C12=1,"",IF(X10=0, 0, W10/X10))</f>
        <v>36.467221592045881</v>
      </c>
      <c r="Z10" s="87">
        <f ca="1">IF('Staging Table'!C12=1,"",(Y10/N10-1)+(RAND()/100000000000000))</f>
        <v>-3.3165182707217633E-2</v>
      </c>
      <c r="AA10" s="53">
        <f t="shared" ca="1" si="0"/>
        <v>35</v>
      </c>
      <c r="AD10" s="216"/>
      <c r="AE10" s="216"/>
      <c r="AF10" s="220"/>
      <c r="AG10" s="216"/>
      <c r="AH10" s="216"/>
    </row>
    <row r="11" spans="1:35">
      <c r="B11" s="3">
        <v>10046</v>
      </c>
      <c r="C11" s="4" t="s">
        <v>14</v>
      </c>
      <c r="D11" s="211">
        <f>IF(Init!$R$9="Yes",'Staging Table'!E13,'Staging Table'!BR13)*Rates_previous!$E$76*100*12</f>
        <v>27546957.122160003</v>
      </c>
      <c r="E11" s="211">
        <f>IF(Init!$R$9="Yes",'Staging Table'!F13,'Staging Table'!BS13)*Rates_previous!$E$77*100*12</f>
        <v>-2786820.6827999996</v>
      </c>
      <c r="F11" s="212">
        <f>IF(Init!$R$9="Yes",SUMPRODUCT('Staging Table'!L13:AI13,LS_Demand_Rates_Restatement!$C$4:$Z$4)-IF(Init!$R$12="No",('Staging Table'!BH13*Rates_previous!$H$34), 0),SUMPRODUCT('Staging Table'!BY13:CV13,LS_Demand_Rates_Restatement!$C$4:$Z$4)-IF(Init!$R$12="No", 'Staging Table'!DU13*Rates_previous!$H$34, 0))</f>
        <v>0</v>
      </c>
      <c r="G11" s="212">
        <f>IF(Init!$R$9="Yes",SUMPRODUCT('Staging Table'!AJ13:AU13,LS_Demand_Rates_Restatement!$C$10:$N$10),SUMPRODUCT(LS_Demand_Rates_Restatement!$C$10:$N$10,'Staging Table'!CW13:DH13))*1000</f>
        <v>0</v>
      </c>
      <c r="H11" s="213">
        <f>IF(Init!$R$9="Yes",'Staging Table'!BQ13,'Staging Table'!ED13)*IF(Init!$R$3=2020,Rates_previous!$C$88,Rates_previous!$D$88)</f>
        <v>0</v>
      </c>
      <c r="I11" s="211">
        <f>IF(Init!$R$9="Yes",IF('Staging Table'!$F$1=2020,(SUM('Staging Table'!AX13:BD13)*Rates_previous!$C$87),(SUM('Staging Table'!AX13:BD13)*Rates_previous!$D$87)),IF('Staging Table'!$F$1=2020,(SUM('Staging Table'!DK13:DQ13)*Rates_previous!$C$87),(SUM('Staging Table'!DK13:DQ13)*Rates_previous!$D$87)))</f>
        <v>337922.83633936406</v>
      </c>
      <c r="J11" s="213">
        <f>IF(Init!$R$9="Yes",IF('Staging Table'!D13=1,'Staging Table'!H13*-1,'Staging Table'!H13*SUM(D11:I11)*(-1)),IF('Staging Table'!D13=1,'Staging Table'!BU13*-1,'Staging Table'!BU13*SUM(D11:I11)*(-1)))</f>
        <v>-1815233.521229655</v>
      </c>
      <c r="K11" s="211">
        <f>IF(Init!$R$9="Yes",'Staging Table'!K13,'Staging Table'!BX13)*(-1)*Rates_previous!$H$32</f>
        <v>-456459.42726999999</v>
      </c>
      <c r="L11" s="211" t="str">
        <f>IF('Staging Table'!C13=1,"",SUM(D11:K11))</f>
        <v/>
      </c>
      <c r="M11" s="211" t="str">
        <f>IF('Staging Table'!C13=1,"",IF(Init!$R$9="Yes",(RT1SC!$C$3*'Staging Table'!E13*'Staging Table'!$F$2)+SUM('Staging Table'!L13:AI13)-IF(Init!$R$12="No",'Staging Table'!BH13, 0),X11))</f>
        <v/>
      </c>
      <c r="N11" s="95" t="str">
        <f>IF('Staging Table'!C13=1,"",IF(M11=0, 0, L11/M11))</f>
        <v/>
      </c>
      <c r="O11" s="211">
        <f>'Staging Table'!BR13*Rates_current!$E$76*100*12</f>
        <v>27795187.330295019</v>
      </c>
      <c r="P11" s="211">
        <f>'Staging Table'!BS13*Rates_current!$E$77*100*12</f>
        <v>-4589052.1226210743</v>
      </c>
      <c r="Q11" s="212">
        <f>SUMPRODUCT('Staging Table'!BY13:CV13, LS_Demand_Rates_Restatement!$C$5:$Z$5)-IF(Init!$R$12="No",('Staging Table'!DU13*Rates_current!$H$34), 0)</f>
        <v>0</v>
      </c>
      <c r="R11" s="212">
        <f>SUMPRODUCT('Staging Table'!CW13:DH13, LS_Demand_Rates_Restatement!$C$11:$N$11)*1000</f>
        <v>0</v>
      </c>
      <c r="S11" s="213">
        <f>'Staging Table'!ED13*IF(Init!$R$15="Yes",IF(Init!$R$6=2022,Rates_current!$C$88,Rates_current!$D$88),Rates_current!$H$33)</f>
        <v>0</v>
      </c>
      <c r="T11" s="213">
        <v>0</v>
      </c>
      <c r="U11" s="213">
        <f>IF('Staging Table'!D13=1, 'Staging Table'!BU13*-1,SUM(O11:T11)*'Staging Table'!BU13*-1)</f>
        <v>-1851390.5671177234</v>
      </c>
      <c r="V11" s="211">
        <f>'Staging Table'!BX13*Rates_current!$H$32*-1</f>
        <v>-447831.48130000004</v>
      </c>
      <c r="W11" s="211" t="str">
        <f>IF('Staging Table'!C13=1,"",SUM(O11:V11))</f>
        <v/>
      </c>
      <c r="X11" s="211" t="str">
        <f>IF('Staging Table'!C13=1,"",(RT1SC!$C$4*'Staging Table'!BR13*'Staging Table'!$BS$2)+SUM('Staging Table'!BY13:CV13)-IF(Init!$R$12="No",'Staging Table'!DU13, 0))</f>
        <v/>
      </c>
      <c r="Y11" s="95" t="str">
        <f>IF('Staging Table'!C13=1,"",IF(X11=0, 0, W11/X11))</f>
        <v/>
      </c>
      <c r="Z11" s="87" t="str">
        <f ca="1">IF('Staging Table'!C13=1,"",(Y11/N11-1)+(RAND()/100000000000000))</f>
        <v/>
      </c>
      <c r="AA11" s="53" t="str">
        <f t="shared" ca="1" si="0"/>
        <v/>
      </c>
      <c r="AD11" s="216"/>
      <c r="AE11" s="216"/>
      <c r="AF11" s="220"/>
      <c r="AG11" s="216"/>
      <c r="AH11" s="216"/>
    </row>
    <row r="12" spans="1:35">
      <c r="B12" s="3">
        <v>10047</v>
      </c>
      <c r="C12" s="4" t="s">
        <v>15</v>
      </c>
      <c r="D12" s="211">
        <f>IF(Init!$R$9="Yes",'Staging Table'!E14,'Staging Table'!BR14)*Rates_previous!$E$76*100*12</f>
        <v>52172044.014480002</v>
      </c>
      <c r="E12" s="211">
        <f>IF(Init!$R$9="Yes",'Staging Table'!F14,'Staging Table'!BS14)*Rates_previous!$E$77*100*12</f>
        <v>-5278046.8883999996</v>
      </c>
      <c r="F12" s="212">
        <f>IF(Init!$R$9="Yes",SUMPRODUCT('Staging Table'!L14:AI14,LS_Demand_Rates_Restatement!$C$4:$Z$4)-IF(Init!$R$12="No",('Staging Table'!BH14*Rates_previous!$H$34), 0),SUMPRODUCT('Staging Table'!BY14:CV14,LS_Demand_Rates_Restatement!$C$4:$Z$4)-IF(Init!$R$12="No", 'Staging Table'!DU14*Rates_previous!$H$34, 0))</f>
        <v>-321050.55084482906</v>
      </c>
      <c r="G12" s="212">
        <f>IF(Init!$R$9="Yes",SUMPRODUCT('Staging Table'!AJ14:AU14,LS_Demand_Rates_Restatement!$C$10:$N$10),SUMPRODUCT(LS_Demand_Rates_Restatement!$C$10:$N$10,'Staging Table'!CW14:DH14))*1000</f>
        <v>1170014.0882148857</v>
      </c>
      <c r="H12" s="213">
        <f>IF(Init!$R$9="Yes",'Staging Table'!BQ14,'Staging Table'!ED14)*IF(Init!$R$3=2020,Rates_previous!$C$88,Rates_previous!$D$88)</f>
        <v>-633902.80245982762</v>
      </c>
      <c r="I12" s="211">
        <f>IF(Init!$R$9="Yes",IF('Staging Table'!$F$1=2020,(SUM('Staging Table'!AX14:BD14)*Rates_previous!$C$87),(SUM('Staging Table'!AX14:BD14)*Rates_previous!$D$87)),IF('Staging Table'!$F$1=2020,(SUM('Staging Table'!DK14:DQ14)*Rates_previous!$C$87),(SUM('Staging Table'!DK14:DQ14)*Rates_previous!$D$87)))</f>
        <v>640002.63306079502</v>
      </c>
      <c r="J12" s="213">
        <f>IF(Init!$R$9="Yes",IF('Staging Table'!D14=1,'Staging Table'!H14*-1,'Staging Table'!H14*SUM(D12:I12)*(-1)),IF('Staging Table'!D14=1,'Staging Table'!BU14*-1,'Staging Table'!BU14*SUM(D12:I12)*(-1)))</f>
        <v>0</v>
      </c>
      <c r="K12" s="211">
        <f>IF(Init!$R$9="Yes",'Staging Table'!K14,'Staging Table'!BX14)*(-1)*Rates_previous!$H$32</f>
        <v>0</v>
      </c>
      <c r="L12" s="211">
        <f>IF('Staging Table'!C14=1,"",SUM(D12:K12))</f>
        <v>47749060.494051039</v>
      </c>
      <c r="M12" s="211">
        <f>IF('Staging Table'!C14=1,"",IF(Init!$R$9="Yes",(RT1SC!$C$3*'Staging Table'!E14*'Staging Table'!$F$2)+SUM('Staging Table'!L14:AI14)-IF(Init!$R$12="No",'Staging Table'!BH14, 0),X12))</f>
        <v>1314022.4778403686</v>
      </c>
      <c r="N12" s="95">
        <f>IF('Staging Table'!C14=1,"",IF(M12=0, 0, L12/M12))</f>
        <v>36.338085001809034</v>
      </c>
      <c r="O12" s="211">
        <f>'Staging Table'!BR14*Rates_current!$E$76*100*12</f>
        <v>53203305.123592012</v>
      </c>
      <c r="P12" s="211">
        <f>'Staging Table'!BS14*Rates_current!$E$77*100*12</f>
        <v>-8783993.3369243853</v>
      </c>
      <c r="Q12" s="212">
        <f>SUMPRODUCT('Staging Table'!BY14:CV14, LS_Demand_Rates_Restatement!$C$5:$Z$5)-IF(Init!$R$12="No",('Staging Table'!DU14*Rates_current!$H$34), 0)</f>
        <v>-614126.97333525517</v>
      </c>
      <c r="R12" s="212">
        <f>SUMPRODUCT('Staging Table'!CW14:DH14, LS_Demand_Rates_Restatement!$C$11:$N$11)*1000</f>
        <v>1115645.3994901709</v>
      </c>
      <c r="S12" s="213">
        <f>'Staging Table'!ED14*IF(Init!$R$15="Yes",IF(Init!$R$6=2022,Rates_current!$C$88,Rates_current!$D$88),Rates_current!$H$33)</f>
        <v>0</v>
      </c>
      <c r="T12" s="213">
        <v>0</v>
      </c>
      <c r="U12" s="213">
        <f>IF('Staging Table'!D14=1, 'Staging Table'!BU14*-1,SUM(O12:T12)*'Staging Table'!BU14*-1)</f>
        <v>0</v>
      </c>
      <c r="V12" s="211">
        <f>'Staging Table'!BX14*Rates_current!$H$32*-1</f>
        <v>0</v>
      </c>
      <c r="W12" s="211">
        <f>IF('Staging Table'!C14=1,"",SUM(O12:V12))</f>
        <v>44920830.212822542</v>
      </c>
      <c r="X12" s="211">
        <f>IF('Staging Table'!C14=1,"",(RT1SC!$C$4*'Staging Table'!BR14*'Staging Table'!$BS$2)+SUM('Staging Table'!BY14:CV14)-IF(Init!$R$12="No",'Staging Table'!DU14, 0))</f>
        <v>1277177.933970395</v>
      </c>
      <c r="Y12" s="95">
        <f>IF('Staging Table'!C14=1,"",IF(X12=0, 0, W12/X12))</f>
        <v>35.171943562457294</v>
      </c>
      <c r="Z12" s="87">
        <f ca="1">IF('Staging Table'!C14=1,"",(Y12/N12-1)+(RAND()/100000000000000))</f>
        <v>-3.2091439031354335E-2</v>
      </c>
      <c r="AA12" s="53">
        <f t="shared" ca="1" si="0"/>
        <v>29</v>
      </c>
      <c r="AD12" s="216"/>
      <c r="AE12" s="216"/>
      <c r="AF12" s="220"/>
      <c r="AG12" s="216"/>
      <c r="AH12" s="216"/>
    </row>
    <row r="13" spans="1:35">
      <c r="B13" s="3">
        <v>10055</v>
      </c>
      <c r="C13" s="4" t="s">
        <v>16</v>
      </c>
      <c r="D13" s="211">
        <f>IF(Init!$R$9="Yes",'Staging Table'!E15,'Staging Table'!BR15)*Rates_previous!$E$76*100*12</f>
        <v>130241.16528</v>
      </c>
      <c r="E13" s="211">
        <f>IF(Init!$R$9="Yes",'Staging Table'!F15,'Staging Table'!BS15)*Rates_previous!$E$77*100*12</f>
        <v>-13176.002399999999</v>
      </c>
      <c r="F13" s="212">
        <f>IF(Init!$R$9="Yes",SUMPRODUCT('Staging Table'!L15:AI15,LS_Demand_Rates_Restatement!$C$4:$Z$4)-IF(Init!$R$12="No",('Staging Table'!BH15*Rates_previous!$H$34), 0),SUMPRODUCT('Staging Table'!BY15:CV15,LS_Demand_Rates_Restatement!$C$4:$Z$4)-IF(Init!$R$12="No", 'Staging Table'!DU15*Rates_previous!$H$34, 0))</f>
        <v>2678.1987947168554</v>
      </c>
      <c r="G13" s="212">
        <f>IF(Init!$R$9="Yes",SUMPRODUCT('Staging Table'!AJ15:AU15,LS_Demand_Rates_Restatement!$C$10:$N$10),SUMPRODUCT(LS_Demand_Rates_Restatement!$C$10:$N$10,'Staging Table'!CW15:DH15))*1000</f>
        <v>11425.880156374644</v>
      </c>
      <c r="H13" s="213">
        <f>IF(Init!$R$9="Yes",'Staging Table'!BQ15,'Staging Table'!ED15)*IF(Init!$R$3=2020,Rates_previous!$C$88,Rates_previous!$D$88)</f>
        <v>-255.83543248290985</v>
      </c>
      <c r="I13" s="211">
        <f>IF(Init!$R$9="Yes",IF('Staging Table'!$F$1=2020,(SUM('Staging Table'!AX15:BD15)*Rates_previous!$C$87),(SUM('Staging Table'!AX15:BD15)*Rates_previous!$D$87)),IF('Staging Table'!$F$1=2020,(SUM('Staging Table'!DK15:DQ15)*Rates_previous!$C$87),(SUM('Staging Table'!DK15:DQ15)*Rates_previous!$D$87)))</f>
        <v>1597.68876774258</v>
      </c>
      <c r="J13" s="213">
        <f>IF(Init!$R$9="Yes",IF('Staging Table'!D15=1,'Staging Table'!H15*-1,'Staging Table'!H15*SUM(D13:I13)*(-1)),IF('Staging Table'!D15=1,'Staging Table'!BU15*-1,'Staging Table'!BU15*SUM(D13:I13)*(-1)))</f>
        <v>0</v>
      </c>
      <c r="K13" s="211">
        <f>IF(Init!$R$9="Yes",'Staging Table'!K15,'Staging Table'!BX15)*(-1)*Rates_previous!$H$32</f>
        <v>0</v>
      </c>
      <c r="L13" s="211">
        <f>IF('Staging Table'!C15=1,"",SUM(D13:K13))</f>
        <v>132511.09516635115</v>
      </c>
      <c r="M13" s="211">
        <f>IF('Staging Table'!C15=1,"",IF(Init!$R$9="Yes",(RT1SC!$C$3*'Staging Table'!E15*'Staging Table'!$F$2)+SUM('Staging Table'!L15:AI15)-IF(Init!$R$12="No",'Staging Table'!BH15, 0),X13))</f>
        <v>3365.5031269168003</v>
      </c>
      <c r="N13" s="95">
        <f>IF('Staging Table'!C15=1,"",IF(M13=0, 0, L13/M13))</f>
        <v>39.373338894427654</v>
      </c>
      <c r="O13" s="211">
        <f>'Staging Table'!BR15*Rates_current!$E$76*100*12</f>
        <v>135252.8851584176</v>
      </c>
      <c r="P13" s="211">
        <f>'Staging Table'!BS15*Rates_current!$E$77*100*12</f>
        <v>-22330.575878161304</v>
      </c>
      <c r="Q13" s="212">
        <f>SUMPRODUCT('Staging Table'!BY15:CV15, LS_Demand_Rates_Restatement!$C$5:$Z$5)-IF(Init!$R$12="No",('Staging Table'!DU15*Rates_current!$H$34), 0)</f>
        <v>2984.7578212358758</v>
      </c>
      <c r="R13" s="212">
        <f>SUMPRODUCT('Staging Table'!CW15:DH15, LS_Demand_Rates_Restatement!$C$11:$N$11)*1000</f>
        <v>10777.684237224001</v>
      </c>
      <c r="S13" s="213">
        <f>'Staging Table'!ED15*IF(Init!$R$15="Yes",IF(Init!$R$6=2022,Rates_current!$C$88,Rates_current!$D$88),Rates_current!$H$33)</f>
        <v>0</v>
      </c>
      <c r="T13" s="213">
        <v>0</v>
      </c>
      <c r="U13" s="213">
        <f>IF('Staging Table'!D15=1, 'Staging Table'!BU15*-1,SUM(O13:T13)*'Staging Table'!BU15*-1)</f>
        <v>0</v>
      </c>
      <c r="V13" s="211">
        <f>'Staging Table'!BX15*Rates_current!$H$32*-1</f>
        <v>0</v>
      </c>
      <c r="W13" s="211">
        <f>IF('Staging Table'!C15=1,"",SUM(O13:V13))</f>
        <v>126684.75133871619</v>
      </c>
      <c r="X13" s="211">
        <f>IF('Staging Table'!C15=1,"",(RT1SC!$C$4*'Staging Table'!BR15*'Staging Table'!$BS$2)+SUM('Staging Table'!BY15:CV15)-IF(Init!$R$12="No",'Staging Table'!DU15, 0))</f>
        <v>3328.8</v>
      </c>
      <c r="Y13" s="95">
        <f>IF('Staging Table'!C15=1,"",IF(X13=0, 0, W13/X13))</f>
        <v>38.057183170727043</v>
      </c>
      <c r="Z13" s="87">
        <f ca="1">IF('Staging Table'!C15=1,"",(Y13/N13-1)+(RAND()/100000000000000))</f>
        <v>-3.3427587313061141E-2</v>
      </c>
      <c r="AA13" s="53">
        <f t="shared" ca="1" si="0"/>
        <v>38</v>
      </c>
      <c r="AD13" s="216"/>
      <c r="AE13" s="216"/>
      <c r="AF13" s="220"/>
      <c r="AG13" s="216"/>
      <c r="AH13" s="216"/>
    </row>
    <row r="14" spans="1:35">
      <c r="B14" s="3">
        <v>10057</v>
      </c>
      <c r="C14" s="4" t="s">
        <v>17</v>
      </c>
      <c r="D14" s="211">
        <f>IF(Init!$R$9="Yes",'Staging Table'!E16,'Staging Table'!BR16)*Rates_previous!$E$76*100*12</f>
        <v>6763746.9392400011</v>
      </c>
      <c r="E14" s="211">
        <f>IF(Init!$R$9="Yes",'Staging Table'!F16,'Staging Table'!BS16)*Rates_previous!$E$77*100*12</f>
        <v>-684262.50420000008</v>
      </c>
      <c r="F14" s="212">
        <f>IF(Init!$R$9="Yes",SUMPRODUCT('Staging Table'!L16:AI16,LS_Demand_Rates_Restatement!$C$4:$Z$4)-IF(Init!$R$12="No",('Staging Table'!BH16*Rates_previous!$H$34), 0),SUMPRODUCT('Staging Table'!BY16:CV16,LS_Demand_Rates_Restatement!$C$4:$Z$4)-IF(Init!$R$12="No", 'Staging Table'!DU16*Rates_previous!$H$34, 0))</f>
        <v>110663.84370835172</v>
      </c>
      <c r="G14" s="212">
        <f>IF(Init!$R$9="Yes",SUMPRODUCT('Staging Table'!AJ16:AU16,LS_Demand_Rates_Restatement!$C$10:$N$10),SUMPRODUCT(LS_Demand_Rates_Restatement!$C$10:$N$10,'Staging Table'!CW16:DH16))*1000</f>
        <v>339209.65271193022</v>
      </c>
      <c r="H14" s="213">
        <f>IF(Init!$R$9="Yes",'Staging Table'!BQ16,'Staging Table'!ED16)*IF(Init!$R$3=2020,Rates_previous!$C$88,Rates_previous!$D$88)</f>
        <v>-9595.4051833052872</v>
      </c>
      <c r="I14" s="211">
        <f>IF(Init!$R$9="Yes",IF('Staging Table'!$F$1=2020,(SUM('Staging Table'!AX16:BD16)*Rates_previous!$C$87),(SUM('Staging Table'!AX16:BD16)*Rates_previous!$D$87)),IF('Staging Table'!$F$1=2020,(SUM('Staging Table'!DK16:DQ16)*Rates_previous!$C$87),(SUM('Staging Table'!DK16:DQ16)*Rates_previous!$D$87)))</f>
        <v>82971.94277588703</v>
      </c>
      <c r="J14" s="213">
        <f>IF(Init!$R$9="Yes",IF('Staging Table'!D16=1,'Staging Table'!H16*-1,'Staging Table'!H16*SUM(D14:I14)*(-1)),IF('Staging Table'!D16=1,'Staging Table'!BU16*-1,'Staging Table'!BU16*SUM(D14:I14)*(-1)))</f>
        <v>0</v>
      </c>
      <c r="K14" s="211">
        <f>IF(Init!$R$9="Yes",'Staging Table'!K16,'Staging Table'!BX16)*(-1)*Rates_previous!$H$32</f>
        <v>0</v>
      </c>
      <c r="L14" s="211">
        <f>IF('Staging Table'!C16=1,"",SUM(D14:K14))</f>
        <v>6602734.4690528642</v>
      </c>
      <c r="M14" s="211">
        <f>IF('Staging Table'!C16=1,"",IF(Init!$R$9="Yes",(RT1SC!$C$3*'Staging Table'!E16*'Staging Table'!$F$2)+SUM('Staging Table'!L16:AI16)-IF(Init!$R$12="No",'Staging Table'!BH16, 0),X14))</f>
        <v>174988.21059110438</v>
      </c>
      <c r="N14" s="95">
        <f>IF('Staging Table'!C16=1,"",IF(M14=0, 0, L14/M14))</f>
        <v>37.732453213556767</v>
      </c>
      <c r="O14" s="211">
        <f>'Staging Table'!BR16*Rates_current!$E$76*100*12</f>
        <v>7111328.1143399216</v>
      </c>
      <c r="P14" s="211">
        <f>'Staging Table'!BS16*Rates_current!$E$77*100*12</f>
        <v>-1174097.3352677221</v>
      </c>
      <c r="Q14" s="212">
        <f>SUMPRODUCT('Staging Table'!BY16:CV16, LS_Demand_Rates_Restatement!$C$5:$Z$5)-IF(Init!$R$12="No",('Staging Table'!DU16*Rates_current!$H$34), 0)</f>
        <v>103045.24461678574</v>
      </c>
      <c r="R14" s="212">
        <f>SUMPRODUCT('Staging Table'!CW16:DH16, LS_Demand_Rates_Restatement!$C$11:$N$11)*1000</f>
        <v>315579.93583209586</v>
      </c>
      <c r="S14" s="213">
        <f>'Staging Table'!ED16*IF(Init!$R$15="Yes",IF(Init!$R$6=2022,Rates_current!$C$88,Rates_current!$D$88),Rates_current!$H$33)</f>
        <v>-9.4524664419423789</v>
      </c>
      <c r="T14" s="213">
        <v>0</v>
      </c>
      <c r="U14" s="213">
        <f>IF('Staging Table'!D16=1, 'Staging Table'!BU16*-1,SUM(O14:T14)*'Staging Table'!BU16*-1)</f>
        <v>0</v>
      </c>
      <c r="V14" s="211">
        <f>'Staging Table'!BX16*Rates_current!$H$32*-1</f>
        <v>0</v>
      </c>
      <c r="W14" s="211">
        <f>IF('Staging Table'!C16=1,"",SUM(O14:V14))</f>
        <v>6355846.507054639</v>
      </c>
      <c r="X14" s="211">
        <f>IF('Staging Table'!C16=1,"",(RT1SC!$C$4*'Staging Table'!BR16*'Staging Table'!$BS$2)+SUM('Staging Table'!BY16:CV16)-IF(Init!$R$12="No",'Staging Table'!DU16, 0))</f>
        <v>174988.21295148248</v>
      </c>
      <c r="Y14" s="95">
        <f>IF('Staging Table'!C16=1,"",IF(X14=0, 0, W14/X14))</f>
        <v>36.32156932088261</v>
      </c>
      <c r="Z14" s="87">
        <f ca="1">IF('Staging Table'!C16=1,"",(Y14/N14-1)+(RAND()/100000000000000))</f>
        <v>-3.7391788036906105E-2</v>
      </c>
      <c r="AA14" s="53">
        <f t="shared" ca="1" si="0"/>
        <v>73</v>
      </c>
      <c r="AD14" s="216"/>
      <c r="AE14" s="216"/>
      <c r="AF14" s="220"/>
      <c r="AG14" s="216"/>
      <c r="AH14" s="216"/>
    </row>
    <row r="15" spans="1:35">
      <c r="B15" s="3">
        <v>10059</v>
      </c>
      <c r="C15" s="4" t="s">
        <v>18</v>
      </c>
      <c r="D15" s="211">
        <f>IF(Init!$R$9="Yes",'Staging Table'!E17,'Staging Table'!BR17)*Rates_previous!$E$76*100*12</f>
        <v>2525442.7413599994</v>
      </c>
      <c r="E15" s="211">
        <f>IF(Init!$R$9="Yes",'Staging Table'!F17,'Staging Table'!BS17)*Rates_previous!$E$77*100*12</f>
        <v>-255489.41879999998</v>
      </c>
      <c r="F15" s="212">
        <f>IF(Init!$R$9="Yes",SUMPRODUCT('Staging Table'!L17:AI17,LS_Demand_Rates_Restatement!$C$4:$Z$4)-IF(Init!$R$12="No",('Staging Table'!BH17*Rates_previous!$H$34), 0),SUMPRODUCT('Staging Table'!BY17:CV17,LS_Demand_Rates_Restatement!$C$4:$Z$4)-IF(Init!$R$12="No", 'Staging Table'!DU17*Rates_previous!$H$34, 0))</f>
        <v>59383.093226425714</v>
      </c>
      <c r="G15" s="212">
        <f>IF(Init!$R$9="Yes",SUMPRODUCT('Staging Table'!AJ17:AU17,LS_Demand_Rates_Restatement!$C$10:$N$10),SUMPRODUCT(LS_Demand_Rates_Restatement!$C$10:$N$10,'Staging Table'!CW17:DH17))*1000</f>
        <v>127996.08892186609</v>
      </c>
      <c r="H15" s="213">
        <f>IF(Init!$R$9="Yes",'Staging Table'!BQ17,'Staging Table'!ED17)*IF(Init!$R$3=2020,Rates_previous!$C$88,Rates_previous!$D$88)</f>
        <v>15654.839418971753</v>
      </c>
      <c r="I15" s="211">
        <f>IF(Init!$R$9="Yes",IF('Staging Table'!$F$1=2020,(SUM('Staging Table'!AX17:BD17)*Rates_previous!$C$87),(SUM('Staging Table'!AX17:BD17)*Rates_previous!$D$87)),IF('Staging Table'!$F$1=2020,(SUM('Staging Table'!DK17:DQ17)*Rates_previous!$C$87),(SUM('Staging Table'!DK17:DQ17)*Rates_previous!$D$87)))</f>
        <v>30980.001543855207</v>
      </c>
      <c r="J15" s="213">
        <f>IF(Init!$R$9="Yes",IF('Staging Table'!D17=1,'Staging Table'!H17*-1,'Staging Table'!H17*SUM(D15:I15)*(-1)),IF('Staging Table'!D17=1,'Staging Table'!BU17*-1,'Staging Table'!BU17*SUM(D15:I15)*(-1)))</f>
        <v>0</v>
      </c>
      <c r="K15" s="211">
        <f>IF(Init!$R$9="Yes",'Staging Table'!K17,'Staging Table'!BX17)*(-1)*Rates_previous!$H$32</f>
        <v>0</v>
      </c>
      <c r="L15" s="211">
        <f>IF('Staging Table'!C17=1,"",SUM(D15:K15))</f>
        <v>2503967.3456711182</v>
      </c>
      <c r="M15" s="211">
        <f>IF('Staging Table'!C17=1,"",IF(Init!$R$9="Yes",(RT1SC!$C$3*'Staging Table'!E17*'Staging Table'!$F$2)+SUM('Staging Table'!L17:AI17)-IF(Init!$R$12="No",'Staging Table'!BH17, 0),X15))</f>
        <v>66563.446460981591</v>
      </c>
      <c r="N15" s="95">
        <f>IF('Staging Table'!C17=1,"",IF(M15=0, 0, L15/M15))</f>
        <v>37.617753869443995</v>
      </c>
      <c r="O15" s="211">
        <f>'Staging Table'!BR17*Rates_current!$E$76*100*12</f>
        <v>2594025.6360968137</v>
      </c>
      <c r="P15" s="211">
        <f>'Staging Table'!BS17*Rates_current!$E$77*100*12</f>
        <v>-428279.8568689198</v>
      </c>
      <c r="Q15" s="212">
        <f>SUMPRODUCT('Staging Table'!BY17:CV17, LS_Demand_Rates_Restatement!$C$5:$Z$5)-IF(Init!$R$12="No",('Staging Table'!DU17*Rates_current!$H$34), 0)</f>
        <v>30470.790543547642</v>
      </c>
      <c r="R15" s="212">
        <f>SUMPRODUCT('Staging Table'!CW17:DH17, LS_Demand_Rates_Restatement!$C$11:$N$11)*1000</f>
        <v>117839.2549646546</v>
      </c>
      <c r="S15" s="213">
        <f>'Staging Table'!ED17*IF(Init!$R$15="Yes",IF(Init!$R$6=2022,Rates_current!$C$88,Rates_current!$D$88),Rates_current!$H$33)</f>
        <v>0</v>
      </c>
      <c r="T15" s="213">
        <v>0</v>
      </c>
      <c r="U15" s="213">
        <f>IF('Staging Table'!D17=1, 'Staging Table'!BU17*-1,SUM(O15:T15)*'Staging Table'!BU17*-1)</f>
        <v>0</v>
      </c>
      <c r="V15" s="211">
        <f>'Staging Table'!BX17*Rates_current!$H$32*-1</f>
        <v>0</v>
      </c>
      <c r="W15" s="211">
        <f>IF('Staging Table'!C17=1,"",SUM(O15:V15))</f>
        <v>2314055.8247360964</v>
      </c>
      <c r="X15" s="211">
        <f>IF('Staging Table'!C17=1,"",(RT1SC!$C$4*'Staging Table'!BR17*'Staging Table'!$BS$2)+SUM('Staging Table'!BY17:CV17)-IF(Init!$R$12="No",'Staging Table'!DU17, 0))</f>
        <v>63834.12</v>
      </c>
      <c r="Y15" s="95">
        <f>IF('Staging Table'!C17=1,"",IF(X15=0, 0, W15/X15))</f>
        <v>36.251080530852406</v>
      </c>
      <c r="Z15" s="87">
        <f ca="1">IF('Staging Table'!C17=1,"",(Y15/N15-1)+(RAND()/100000000000000))</f>
        <v>-3.6330540715817143E-2</v>
      </c>
      <c r="AA15" s="53">
        <f t="shared" ca="1" si="0"/>
        <v>61</v>
      </c>
      <c r="AD15" s="216"/>
      <c r="AE15" s="216"/>
      <c r="AF15" s="220"/>
      <c r="AG15" s="216"/>
      <c r="AH15" s="216"/>
    </row>
    <row r="16" spans="1:35">
      <c r="B16" s="3">
        <v>10061</v>
      </c>
      <c r="C16" s="4" t="s">
        <v>19</v>
      </c>
      <c r="D16" s="211">
        <f>IF(Init!$R$9="Yes",'Staging Table'!E18,'Staging Table'!BR18)*Rates_previous!$E$76*100*12</f>
        <v>2943497.8686000006</v>
      </c>
      <c r="E16" s="211">
        <f>IF(Init!$R$9="Yes",'Staging Table'!F18,'Staging Table'!BS18)*Rates_previous!$E$77*100*12</f>
        <v>-297782.46299999999</v>
      </c>
      <c r="F16" s="212">
        <f>IF(Init!$R$9="Yes",SUMPRODUCT('Staging Table'!L18:AI18,LS_Demand_Rates_Restatement!$C$4:$Z$4)-IF(Init!$R$12="No",('Staging Table'!BH18*Rates_previous!$H$34), 0),SUMPRODUCT('Staging Table'!BY18:CV18,LS_Demand_Rates_Restatement!$C$4:$Z$4)-IF(Init!$R$12="No", 'Staging Table'!DU18*Rates_previous!$H$34, 0))</f>
        <v>38656.820315211604</v>
      </c>
      <c r="G16" s="212">
        <f>IF(Init!$R$9="Yes",SUMPRODUCT('Staging Table'!AJ18:AU18,LS_Demand_Rates_Restatement!$C$10:$N$10),SUMPRODUCT(LS_Demand_Rates_Restatement!$C$10:$N$10,'Staging Table'!CW18:DH18))*1000</f>
        <v>174341.62926171653</v>
      </c>
      <c r="H16" s="213">
        <f>IF(Init!$R$9="Yes",'Staging Table'!BQ18,'Staging Table'!ED18)*IF(Init!$R$3=2020,Rates_previous!$C$88,Rates_previous!$D$88)</f>
        <v>0</v>
      </c>
      <c r="I16" s="211">
        <f>IF(Init!$R$9="Yes",IF('Staging Table'!$F$1=2020,(SUM('Staging Table'!AX18:BD18)*Rates_previous!$C$87),(SUM('Staging Table'!AX18:BD18)*Rates_previous!$D$87)),IF('Staging Table'!$F$1=2020,(SUM('Staging Table'!DK18:DQ18)*Rates_previous!$C$87),(SUM('Staging Table'!DK18:DQ18)*Rates_previous!$D$87)))</f>
        <v>36108.349249072729</v>
      </c>
      <c r="J16" s="213">
        <f>IF(Init!$R$9="Yes",IF('Staging Table'!D18=1,'Staging Table'!H18*-1,'Staging Table'!H18*SUM(D16:I16)*(-1)),IF('Staging Table'!D18=1,'Staging Table'!BU18*-1,'Staging Table'!BU18*SUM(D16:I16)*(-1)))</f>
        <v>0</v>
      </c>
      <c r="K16" s="211">
        <f>IF(Init!$R$9="Yes",'Staging Table'!K18,'Staging Table'!BX18)*(-1)*Rates_previous!$H$32</f>
        <v>0</v>
      </c>
      <c r="L16" s="211">
        <f>IF('Staging Table'!C18=1,"",SUM(D16:K16))</f>
        <v>2894822.2044260018</v>
      </c>
      <c r="M16" s="211">
        <f>IF('Staging Table'!C18=1,"",IF(Init!$R$9="Yes",(RT1SC!$C$3*'Staging Table'!E18*'Staging Table'!$F$2)+SUM('Staging Table'!L18:AI18)-IF(Init!$R$12="No",'Staging Table'!BH18, 0),X16))</f>
        <v>76420.799999999988</v>
      </c>
      <c r="N16" s="95">
        <f>IF('Staging Table'!C18=1,"",IF(M16=0, 0, L16/M16))</f>
        <v>37.880030102092654</v>
      </c>
      <c r="O16" s="211">
        <f>'Staging Table'!BR18*Rates_current!$E$76*100*12</f>
        <v>2970047.8416436207</v>
      </c>
      <c r="P16" s="211">
        <f>'Staging Table'!BS18*Rates_current!$E$77*100*12</f>
        <v>-490362.02526777971</v>
      </c>
      <c r="Q16" s="212">
        <f>SUMPRODUCT('Staging Table'!BY18:CV18, LS_Demand_Rates_Restatement!$C$5:$Z$5)-IF(Init!$R$12="No",('Staging Table'!DU18*Rates_current!$H$34), 0)</f>
        <v>-5844.2394142867379</v>
      </c>
      <c r="R16" s="212">
        <f>SUMPRODUCT('Staging Table'!CW18:DH18, LS_Demand_Rates_Restatement!$C$11:$N$11)*1000</f>
        <v>160610.00305070332</v>
      </c>
      <c r="S16" s="213">
        <f>'Staging Table'!ED18*IF(Init!$R$15="Yes",IF(Init!$R$6=2022,Rates_current!$C$88,Rates_current!$D$88),Rates_current!$H$33)</f>
        <v>0</v>
      </c>
      <c r="T16" s="213">
        <v>0</v>
      </c>
      <c r="U16" s="213">
        <f>IF('Staging Table'!D18=1, 'Staging Table'!BU18*-1,SUM(O16:T16)*'Staging Table'!BU18*-1)</f>
        <v>0</v>
      </c>
      <c r="V16" s="211">
        <f>'Staging Table'!BX18*Rates_current!$H$32*-1</f>
        <v>0</v>
      </c>
      <c r="W16" s="211">
        <f>IF('Staging Table'!C18=1,"",SUM(O16:V16))</f>
        <v>2634451.5800122572</v>
      </c>
      <c r="X16" s="211">
        <f>IF('Staging Table'!C18=1,"",(RT1SC!$C$4*'Staging Table'!BR18*'Staging Table'!$BS$2)+SUM('Staging Table'!BY18:CV18)-IF(Init!$R$12="No",'Staging Table'!DU18, 0))</f>
        <v>71873.107738588747</v>
      </c>
      <c r="Y16" s="95">
        <f>IF('Staging Table'!C18=1,"",IF(X16=0, 0, W16/X16))</f>
        <v>36.654204373547877</v>
      </c>
      <c r="Z16" s="87">
        <f ca="1">IF('Staging Table'!C18=1,"",(Y16/N16-1)+(RAND()/100000000000000))</f>
        <v>-3.2360737973041474E-2</v>
      </c>
      <c r="AA16" s="53">
        <f t="shared" ca="1" si="0"/>
        <v>30</v>
      </c>
      <c r="AD16" s="216"/>
      <c r="AE16" s="216"/>
      <c r="AF16" s="220"/>
      <c r="AG16" s="216"/>
      <c r="AH16" s="216"/>
    </row>
    <row r="17" spans="2:34">
      <c r="B17" s="3">
        <v>10062</v>
      </c>
      <c r="C17" s="4" t="s">
        <v>20</v>
      </c>
      <c r="D17" s="211">
        <f>IF(Init!$R$9="Yes",'Staging Table'!E19,'Staging Table'!BR19)*Rates_previous!$E$76*100*12</f>
        <v>1790103.0235199998</v>
      </c>
      <c r="E17" s="211">
        <f>IF(Init!$R$9="Yes",'Staging Table'!F19,'Staging Table'!BS19)*Rates_previous!$E$77*100*12</f>
        <v>-181097.90159999998</v>
      </c>
      <c r="F17" s="212">
        <f>IF(Init!$R$9="Yes",SUMPRODUCT('Staging Table'!L19:AI19,LS_Demand_Rates_Restatement!$C$4:$Z$4)-IF(Init!$R$12="No",('Staging Table'!BH19*Rates_previous!$H$34), 0),SUMPRODUCT('Staging Table'!BY19:CV19,LS_Demand_Rates_Restatement!$C$4:$Z$4)-IF(Init!$R$12="No", 'Staging Table'!DU19*Rates_previous!$H$34, 0))</f>
        <v>120519.79196108857</v>
      </c>
      <c r="G17" s="212">
        <f>IF(Init!$R$9="Yes",SUMPRODUCT('Staging Table'!AJ19:AU19,LS_Demand_Rates_Restatement!$C$10:$N$10),SUMPRODUCT(LS_Demand_Rates_Restatement!$C$10:$N$10,'Staging Table'!CW19:DH19))*1000</f>
        <v>91360.225321367558</v>
      </c>
      <c r="H17" s="213">
        <f>IF(Init!$R$9="Yes",'Staging Table'!BQ19,'Staging Table'!ED19)*IF(Init!$R$3=2020,Rates_previous!$C$88,Rates_previous!$D$88)</f>
        <v>0</v>
      </c>
      <c r="I17" s="211">
        <f>IF(Init!$R$9="Yes",IF('Staging Table'!$F$1=2020,(SUM('Staging Table'!AX19:BD19)*Rates_previous!$C$87),(SUM('Staging Table'!AX19:BD19)*Rates_previous!$D$87)),IF('Staging Table'!$F$1=2020,(SUM('Staging Table'!DK19:DQ19)*Rates_previous!$C$87),(SUM('Staging Table'!DK19:DQ19)*Rates_previous!$D$87)))</f>
        <v>21959.474085104222</v>
      </c>
      <c r="J17" s="213">
        <f>IF(Init!$R$9="Yes",IF('Staging Table'!D19=1,'Staging Table'!H19*-1,'Staging Table'!H19*SUM(D17:I17)*(-1)),IF('Staging Table'!D19=1,'Staging Table'!BU19*-1,'Staging Table'!BU19*SUM(D17:I17)*(-1)))</f>
        <v>0</v>
      </c>
      <c r="K17" s="211">
        <f>IF(Init!$R$9="Yes",'Staging Table'!K19,'Staging Table'!BX19)*(-1)*Rates_previous!$H$32</f>
        <v>0</v>
      </c>
      <c r="L17" s="211">
        <f>IF('Staging Table'!C19=1,"",SUM(D17:K17))</f>
        <v>1842844.6132875602</v>
      </c>
      <c r="M17" s="211">
        <f>IF('Staging Table'!C19=1,"",IF(Init!$R$9="Yes",(RT1SC!$C$3*'Staging Table'!E19*'Staging Table'!$F$2)+SUM('Staging Table'!L19:AI19)-IF(Init!$R$12="No",'Staging Table'!BH19, 0),X17))</f>
        <v>46476.144</v>
      </c>
      <c r="N17" s="95">
        <f>IF('Staging Table'!C19=1,"",IF(M17=0, 0, L17/M17))</f>
        <v>39.651409404522894</v>
      </c>
      <c r="O17" s="211">
        <f>'Staging Table'!BR19*Rates_current!$E$76*100*12</f>
        <v>1806249.5230730523</v>
      </c>
      <c r="P17" s="211">
        <f>'Staging Table'!BS19*Rates_current!$E$77*100*12</f>
        <v>-298216.13034452294</v>
      </c>
      <c r="Q17" s="212">
        <f>SUMPRODUCT('Staging Table'!BY19:CV19, LS_Demand_Rates_Restatement!$C$5:$Z$5)-IF(Init!$R$12="No",('Staging Table'!DU19*Rates_current!$H$34), 0)</f>
        <v>118518.8135200582</v>
      </c>
      <c r="R17" s="212">
        <f>SUMPRODUCT('Staging Table'!CW19:DH19, LS_Demand_Rates_Restatement!$C$11:$N$11)*1000</f>
        <v>81596.960503988681</v>
      </c>
      <c r="S17" s="213">
        <f>'Staging Table'!ED19*IF(Init!$R$15="Yes",IF(Init!$R$6=2022,Rates_current!$C$88,Rates_current!$D$88),Rates_current!$H$33)</f>
        <v>0</v>
      </c>
      <c r="T17" s="213">
        <v>0</v>
      </c>
      <c r="U17" s="213">
        <f>IF('Staging Table'!D19=1, 'Staging Table'!BU19*-1,SUM(O17:T17)*'Staging Table'!BU19*-1)</f>
        <v>0</v>
      </c>
      <c r="V17" s="211">
        <f>'Staging Table'!BX19*Rates_current!$H$32*-1</f>
        <v>0</v>
      </c>
      <c r="W17" s="211">
        <f>IF('Staging Table'!C19=1,"",SUM(O17:V17))</f>
        <v>1708149.1667525764</v>
      </c>
      <c r="X17" s="211">
        <f>IF('Staging Table'!C19=1,"",(RT1SC!$C$4*'Staging Table'!BR19*'Staging Table'!$BS$2)+SUM('Staging Table'!BY19:CV19)-IF(Init!$R$12="No",'Staging Table'!DU19, 0))</f>
        <v>44448.24</v>
      </c>
      <c r="Y17" s="95">
        <f>IF('Staging Table'!C19=1,"",IF(X17=0, 0, W17/X17))</f>
        <v>38.430074323585735</v>
      </c>
      <c r="Z17" s="87">
        <f ca="1">IF('Staging Table'!C19=1,"",(Y17/N17-1)+(RAND()/100000000000000))</f>
        <v>-3.0801807534175156E-2</v>
      </c>
      <c r="AA17" s="53">
        <f t="shared" ca="1" si="0"/>
        <v>24</v>
      </c>
      <c r="AD17" s="216"/>
      <c r="AE17" s="216"/>
      <c r="AF17" s="220"/>
      <c r="AG17" s="216"/>
      <c r="AH17" s="216"/>
    </row>
    <row r="18" spans="2:34">
      <c r="B18" s="3">
        <v>10064</v>
      </c>
      <c r="C18" s="4" t="s">
        <v>21</v>
      </c>
      <c r="D18" s="211">
        <f>IF(Init!$R$9="Yes",'Staging Table'!E20,'Staging Table'!BR20)*Rates_previous!$E$76*100*12</f>
        <v>4703892.59712</v>
      </c>
      <c r="E18" s="211">
        <f>IF(Init!$R$9="Yes",'Staging Table'!F20,'Staging Table'!BS20)*Rates_previous!$E$77*100*12</f>
        <v>-475874.88959999999</v>
      </c>
      <c r="F18" s="212">
        <f>IF(Init!$R$9="Yes",SUMPRODUCT('Staging Table'!L20:AI20,LS_Demand_Rates_Restatement!$C$4:$Z$4)-IF(Init!$R$12="No",('Staging Table'!BH20*Rates_previous!$H$34), 0),SUMPRODUCT('Staging Table'!BY20:CV20,LS_Demand_Rates_Restatement!$C$4:$Z$4)-IF(Init!$R$12="No", 'Staging Table'!DU20*Rates_previous!$H$34, 0))</f>
        <v>36589.294037729844</v>
      </c>
      <c r="G18" s="212">
        <f>IF(Init!$R$9="Yes",SUMPRODUCT('Staging Table'!AJ20:AU20,LS_Demand_Rates_Restatement!$C$10:$N$10),SUMPRODUCT(LS_Demand_Rates_Restatement!$C$10:$N$10,'Staging Table'!CW20:DH20))*1000</f>
        <v>172511.56886207263</v>
      </c>
      <c r="H18" s="213">
        <f>IF(Init!$R$9="Yes",'Staging Table'!BQ20,'Staging Table'!ED20)*IF(Init!$R$3=2020,Rates_previous!$C$88,Rates_previous!$D$88)</f>
        <v>-26710.970977266217</v>
      </c>
      <c r="I18" s="211">
        <f>IF(Init!$R$9="Yes",IF('Staging Table'!$F$1=2020,(SUM('Staging Table'!AX20:BD20)*Rates_previous!$C$87),(SUM('Staging Table'!AX20:BD20)*Rates_previous!$D$87)),IF('Staging Table'!$F$1=2020,(SUM('Staging Table'!DK20:DQ20)*Rates_previous!$C$87),(SUM('Staging Table'!DK20:DQ20)*Rates_previous!$D$87)))</f>
        <v>57703.387027666322</v>
      </c>
      <c r="J18" s="213">
        <f>IF(Init!$R$9="Yes",IF('Staging Table'!D20=1,'Staging Table'!H20*-1,'Staging Table'!H20*SUM(D18:I18)*(-1)),IF('Staging Table'!D20=1,'Staging Table'!BU20*-1,'Staging Table'!BU20*SUM(D18:I18)*(-1)))</f>
        <v>0</v>
      </c>
      <c r="K18" s="211">
        <f>IF(Init!$R$9="Yes",'Staging Table'!K20,'Staging Table'!BX20)*(-1)*Rates_previous!$H$32</f>
        <v>0</v>
      </c>
      <c r="L18" s="211">
        <f>IF('Staging Table'!C20=1,"",SUM(D18:K18))</f>
        <v>4468110.9864702011</v>
      </c>
      <c r="M18" s="211">
        <f>IF('Staging Table'!C20=1,"",IF(Init!$R$9="Yes",(RT1SC!$C$3*'Staging Table'!E20*'Staging Table'!$F$2)+SUM('Staging Table'!L20:AI20)-IF(Init!$R$12="No",'Staging Table'!BH20, 0),X18))</f>
        <v>120418.27058382719</v>
      </c>
      <c r="N18" s="95">
        <f>IF('Staging Table'!C20=1,"",IF(M18=0, 0, L18/M18))</f>
        <v>37.104925729354328</v>
      </c>
      <c r="O18" s="211">
        <f>'Staging Table'!BR20*Rates_current!$E$76*100*12</f>
        <v>4776057.5546366042</v>
      </c>
      <c r="P18" s="211">
        <f>'Staging Table'!BS20*Rates_current!$E$77*100*12</f>
        <v>-788538.56239266042</v>
      </c>
      <c r="Q18" s="212">
        <f>SUMPRODUCT('Staging Table'!BY20:CV20, LS_Demand_Rates_Restatement!$C$5:$Z$5)-IF(Init!$R$12="No",('Staging Table'!DU20*Rates_current!$H$34), 0)</f>
        <v>60133.693755288987</v>
      </c>
      <c r="R18" s="212">
        <f>SUMPRODUCT('Staging Table'!CW20:DH20, LS_Demand_Rates_Restatement!$C$11:$N$11)*1000</f>
        <v>161404.11457191061</v>
      </c>
      <c r="S18" s="213">
        <f>'Staging Table'!ED20*IF(Init!$R$15="Yes",IF(Init!$R$6=2022,Rates_current!$C$88,Rates_current!$D$88),Rates_current!$H$33)</f>
        <v>0</v>
      </c>
      <c r="T18" s="213">
        <v>0</v>
      </c>
      <c r="U18" s="213">
        <f>IF('Staging Table'!D20=1, 'Staging Table'!BU20*-1,SUM(O18:T18)*'Staging Table'!BU20*-1)</f>
        <v>0</v>
      </c>
      <c r="V18" s="211">
        <f>'Staging Table'!BX20*Rates_current!$H$32*-1</f>
        <v>0</v>
      </c>
      <c r="W18" s="211">
        <f>IF('Staging Table'!C20=1,"",SUM(O18:V18))</f>
        <v>4209056.8005711436</v>
      </c>
      <c r="X18" s="211">
        <f>IF('Staging Table'!C20=1,"",(RT1SC!$C$4*'Staging Table'!BR20*'Staging Table'!$BS$2)+SUM('Staging Table'!BY20:CV20)-IF(Init!$R$12="No",'Staging Table'!DU20, 0))</f>
        <v>117524.16</v>
      </c>
      <c r="Y18" s="95">
        <f>IF('Staging Table'!C20=1,"",IF(X18=0, 0, W18/X18))</f>
        <v>35.814395955445619</v>
      </c>
      <c r="Z18" s="87">
        <f ca="1">IF('Staging Table'!C20=1,"",(Y18/N18-1)+(RAND()/100000000000000))</f>
        <v>-3.4780551329534157E-2</v>
      </c>
      <c r="AA18" s="53">
        <f t="shared" ca="1" si="0"/>
        <v>47</v>
      </c>
      <c r="AD18" s="216"/>
      <c r="AE18" s="216"/>
      <c r="AF18" s="220"/>
      <c r="AG18" s="216"/>
      <c r="AH18" s="216"/>
    </row>
    <row r="19" spans="2:34">
      <c r="B19" s="3">
        <v>10065</v>
      </c>
      <c r="C19" s="4" t="s">
        <v>22</v>
      </c>
      <c r="D19" s="211">
        <f>IF(Init!$R$9="Yes",'Staging Table'!E21,'Staging Table'!BR21)*Rates_previous!$E$76*100*12</f>
        <v>800222.63411999994</v>
      </c>
      <c r="E19" s="211">
        <f>IF(Init!$R$9="Yes",'Staging Table'!F21,'Staging Table'!BS21)*Rates_previous!$E$77*100*12</f>
        <v>-80955.474600000001</v>
      </c>
      <c r="F19" s="212">
        <f>IF(Init!$R$9="Yes",SUMPRODUCT('Staging Table'!L21:AI21,LS_Demand_Rates_Restatement!$C$4:$Z$4)-IF(Init!$R$12="No",('Staging Table'!BH21*Rates_previous!$H$34), 0),SUMPRODUCT('Staging Table'!BY21:CV21,LS_Demand_Rates_Restatement!$C$4:$Z$4)-IF(Init!$R$12="No", 'Staging Table'!DU21*Rates_previous!$H$34, 0))</f>
        <v>12789.535496634489</v>
      </c>
      <c r="G19" s="212">
        <f>IF(Init!$R$9="Yes",SUMPRODUCT('Staging Table'!AJ21:AU21,LS_Demand_Rates_Restatement!$C$10:$N$10),SUMPRODUCT(LS_Demand_Rates_Restatement!$C$10:$N$10,'Staging Table'!CW21:DH21))*1000</f>
        <v>0</v>
      </c>
      <c r="H19" s="213">
        <f>IF(Init!$R$9="Yes",'Staging Table'!BQ21,'Staging Table'!ED21)*IF(Init!$R$3=2020,Rates_previous!$C$88,Rates_previous!$D$88)</f>
        <v>0</v>
      </c>
      <c r="I19" s="211">
        <f>IF(Init!$R$9="Yes",IF('Staging Table'!$F$1=2020,(SUM('Staging Table'!AX21:BD21)*Rates_previous!$C$87),(SUM('Staging Table'!AX21:BD21)*Rates_previous!$D$87)),IF('Staging Table'!$F$1=2020,(SUM('Staging Table'!DK21:DQ21)*Rates_previous!$C$87),(SUM('Staging Table'!DK21:DQ21)*Rates_previous!$D$87)))</f>
        <v>9816.4563521701948</v>
      </c>
      <c r="J19" s="213">
        <f>IF(Init!$R$9="Yes",IF('Staging Table'!D21=1,'Staging Table'!H21*-1,'Staging Table'!H21*SUM(D19:I19)*(-1)),IF('Staging Table'!D21=1,'Staging Table'!BU21*-1,'Staging Table'!BU21*SUM(D19:I19)*(-1)))</f>
        <v>-42545.562587801687</v>
      </c>
      <c r="K19" s="211">
        <f>IF(Init!$R$9="Yes",'Staging Table'!K21,'Staging Table'!BX21)*(-1)*Rates_previous!$H$32</f>
        <v>0</v>
      </c>
      <c r="L19" s="211">
        <f>IF('Staging Table'!C21=1,"",SUM(D19:K19))</f>
        <v>699327.58878100291</v>
      </c>
      <c r="M19" s="211">
        <f>IF('Staging Table'!C21=1,"",IF(Init!$R$9="Yes",(RT1SC!$C$3*'Staging Table'!E21*'Staging Table'!$F$2)+SUM('Staging Table'!L21:AI21)-IF(Init!$R$12="No",'Staging Table'!BH21, 0),X19))</f>
        <v>20774.160000000003</v>
      </c>
      <c r="N19" s="95">
        <f>IF('Staging Table'!C21=1,"",IF(M19=0, 0, L19/M19))</f>
        <v>33.663338916278818</v>
      </c>
      <c r="O19" s="211">
        <f>'Staging Table'!BR21*Rates_current!$E$76*100*12</f>
        <v>807440.53958934755</v>
      </c>
      <c r="P19" s="211">
        <f>'Staging Table'!BS21*Rates_current!$E$77*100*12</f>
        <v>-133310.37053505162</v>
      </c>
      <c r="Q19" s="212">
        <f>SUMPRODUCT('Staging Table'!BY21:CV21, LS_Demand_Rates_Restatement!$C$5:$Z$5)-IF(Init!$R$12="No",('Staging Table'!DU21*Rates_current!$H$34), 0)</f>
        <v>13995.755974093641</v>
      </c>
      <c r="R19" s="212">
        <f>SUMPRODUCT('Staging Table'!CW21:DH21, LS_Demand_Rates_Restatement!$C$11:$N$11)*1000</f>
        <v>0</v>
      </c>
      <c r="S19" s="213">
        <f>'Staging Table'!ED21*IF(Init!$R$15="Yes",IF(Init!$R$6=2022,Rates_current!$C$88,Rates_current!$D$88),Rates_current!$H$33)</f>
        <v>0</v>
      </c>
      <c r="T19" s="213">
        <v>0</v>
      </c>
      <c r="U19" s="213">
        <f>IF('Staging Table'!D21=1, 'Staging Table'!BU21*-1,SUM(O19:T19)*'Staging Table'!BU21*-1)</f>
        <v>-59582.967000474055</v>
      </c>
      <c r="V19" s="211">
        <f>'Staging Table'!BX21*Rates_current!$H$32*-1</f>
        <v>0</v>
      </c>
      <c r="W19" s="211">
        <f>IF('Staging Table'!C21=1,"",SUM(O19:V19))</f>
        <v>628542.95802791545</v>
      </c>
      <c r="X19" s="211">
        <f>IF('Staging Table'!C21=1,"",(RT1SC!$C$4*'Staging Table'!BR21*'Staging Table'!$BS$2)+SUM('Staging Table'!BY21:CV21)-IF(Init!$R$12="No",'Staging Table'!DU21, 0))</f>
        <v>19867.679999999997</v>
      </c>
      <c r="Y19" s="95">
        <f>IF('Staging Table'!C21=1,"",IF(X19=0, 0, W19/X19))</f>
        <v>31.63645468559568</v>
      </c>
      <c r="Z19" s="87">
        <f ca="1">IF('Staging Table'!C21=1,"",(Y19/N19-1)+(RAND()/100000000000000))</f>
        <v>-6.0210433543859354E-2</v>
      </c>
      <c r="AA19" s="53">
        <f t="shared" ca="1" si="0"/>
        <v>112</v>
      </c>
      <c r="AD19" s="216"/>
      <c r="AE19" s="216"/>
      <c r="AF19" s="220"/>
      <c r="AG19" s="216"/>
      <c r="AH19" s="216"/>
    </row>
    <row r="20" spans="2:34">
      <c r="B20" s="3">
        <v>10066</v>
      </c>
      <c r="C20" s="4" t="s">
        <v>23</v>
      </c>
      <c r="D20" s="211">
        <f>IF(Init!$R$9="Yes",'Staging Table'!E22,'Staging Table'!BR22)*Rates_previous!$E$76*100*12</f>
        <v>8202103.7499600006</v>
      </c>
      <c r="E20" s="211">
        <f>IF(Init!$R$9="Yes",'Staging Table'!F22,'Staging Table'!BS22)*Rates_previous!$E$77*100*12</f>
        <v>-829775.58179999981</v>
      </c>
      <c r="F20" s="212">
        <f>IF(Init!$R$9="Yes",SUMPRODUCT('Staging Table'!L22:AI22,LS_Demand_Rates_Restatement!$C$4:$Z$4)-IF(Init!$R$12="No",('Staging Table'!BH22*Rates_previous!$H$34), 0),SUMPRODUCT('Staging Table'!BY22:CV22,LS_Demand_Rates_Restatement!$C$4:$Z$4)-IF(Init!$R$12="No", 'Staging Table'!DU22*Rates_previous!$H$34, 0))</f>
        <v>-539418.2732155415</v>
      </c>
      <c r="G20" s="212">
        <f>IF(Init!$R$9="Yes",SUMPRODUCT('Staging Table'!AJ22:AU22,LS_Demand_Rates_Restatement!$C$10:$N$10),SUMPRODUCT(LS_Demand_Rates_Restatement!$C$10:$N$10,'Staging Table'!CW22:DH22))*1000</f>
        <v>163078.12479326932</v>
      </c>
      <c r="H20" s="213">
        <f>IF(Init!$R$9="Yes",'Staging Table'!BQ22,'Staging Table'!ED22)*IF(Init!$R$3=2020,Rates_previous!$C$88,Rates_previous!$D$88)</f>
        <v>0</v>
      </c>
      <c r="I20" s="211">
        <f>IF(Init!$R$9="Yes",IF('Staging Table'!$F$1=2020,(SUM('Staging Table'!AX22:BD22)*Rates_previous!$C$87),(SUM('Staging Table'!AX22:BD22)*Rates_previous!$D$87)),IF('Staging Table'!$F$1=2020,(SUM('Staging Table'!DK22:DQ22)*Rates_previous!$C$87),(SUM('Staging Table'!DK22:DQ22)*Rates_previous!$D$87)))</f>
        <v>100616.49099190545</v>
      </c>
      <c r="J20" s="213">
        <f>IF(Init!$R$9="Yes",IF('Staging Table'!D22=1,'Staging Table'!H22*-1,'Staging Table'!H22*SUM(D20:I20)*(-1)),IF('Staging Table'!D22=1,'Staging Table'!BU22*-1,'Staging Table'!BU22*SUM(D20:I20)*(-1)))</f>
        <v>0</v>
      </c>
      <c r="K20" s="211">
        <f>IF(Init!$R$9="Yes",'Staging Table'!K22,'Staging Table'!BX22)*(-1)*Rates_previous!$H$32</f>
        <v>0</v>
      </c>
      <c r="L20" s="211">
        <f>IF('Staging Table'!C22=1,"",SUM(D20:K20))</f>
        <v>7096604.5107296342</v>
      </c>
      <c r="M20" s="211">
        <f>IF('Staging Table'!C22=1,"",IF(Init!$R$9="Yes",(RT1SC!$C$3*'Staging Table'!E22*'Staging Table'!$F$2)+SUM('Staging Table'!L22:AI22)-IF(Init!$R$12="No",'Staging Table'!BH22, 0),X20))</f>
        <v>174732.99999274759</v>
      </c>
      <c r="N20" s="95">
        <f>IF('Staging Table'!C22=1,"",IF(M20=0, 0, L20/M20))</f>
        <v>40.613991123738408</v>
      </c>
      <c r="O20" s="211">
        <f>'Staging Table'!BR22*Rates_current!$E$76*100*12</f>
        <v>8276085.6732307617</v>
      </c>
      <c r="P20" s="211">
        <f>'Staging Table'!BS22*Rates_current!$E$77*100*12</f>
        <v>-1366401.6030695476</v>
      </c>
      <c r="Q20" s="212">
        <f>SUMPRODUCT('Staging Table'!BY22:CV22, LS_Demand_Rates_Restatement!$C$5:$Z$5)-IF(Init!$R$12="No",('Staging Table'!DU22*Rates_current!$H$34), 0)</f>
        <v>-51622.866672583303</v>
      </c>
      <c r="R20" s="212">
        <f>SUMPRODUCT('Staging Table'!CW22:DH22, LS_Demand_Rates_Restatement!$C$11:$N$11)*1000</f>
        <v>149565.85901995181</v>
      </c>
      <c r="S20" s="213">
        <f>'Staging Table'!ED22*IF(Init!$R$15="Yes",IF(Init!$R$6=2022,Rates_current!$C$88,Rates_current!$D$88),Rates_current!$H$33)</f>
        <v>0</v>
      </c>
      <c r="T20" s="213">
        <v>0</v>
      </c>
      <c r="U20" s="213">
        <f>IF('Staging Table'!D22=1, 'Staging Table'!BU22*-1,SUM(O20:T20)*'Staging Table'!BU22*-1)</f>
        <v>0</v>
      </c>
      <c r="V20" s="211">
        <f>'Staging Table'!BX22*Rates_current!$H$32*-1</f>
        <v>0</v>
      </c>
      <c r="W20" s="211">
        <f>IF('Staging Table'!C22=1,"",SUM(O20:V20))</f>
        <v>7007627.0625085831</v>
      </c>
      <c r="X20" s="211">
        <f>IF('Staging Table'!C22=1,"",(RT1SC!$C$4*'Staging Table'!BR22*'Staging Table'!$BS$2)+SUM('Staging Table'!BY22:CV22)-IF(Init!$R$12="No",'Staging Table'!DU22, 0))</f>
        <v>195327.04241763716</v>
      </c>
      <c r="Y20" s="95">
        <f>IF('Staging Table'!C22=1,"",IF(X20=0, 0, W20/X20))</f>
        <v>35.876379306073112</v>
      </c>
      <c r="Z20" s="87">
        <f ca="1">IF('Staging Table'!C22=1,"",(Y20/N20-1)+(RAND()/100000000000000))</f>
        <v>-0.11664974769978143</v>
      </c>
      <c r="AA20" s="53">
        <f t="shared" ca="1" si="0"/>
        <v>116</v>
      </c>
      <c r="AD20" s="216"/>
      <c r="AE20" s="216"/>
      <c r="AF20" s="220"/>
      <c r="AG20" s="216"/>
      <c r="AH20" s="216"/>
    </row>
    <row r="21" spans="2:34">
      <c r="B21" s="3">
        <v>10067</v>
      </c>
      <c r="C21" s="4" t="s">
        <v>24</v>
      </c>
      <c r="D21" s="211">
        <f>IF(Init!$R$9="Yes",'Staging Table'!E23,'Staging Table'!BR23)*Rates_previous!$E$76*100*12</f>
        <v>5323013.4649200002</v>
      </c>
      <c r="E21" s="211">
        <f>IF(Init!$R$9="Yes",'Staging Table'!F23,'Staging Table'!BS23)*Rates_previous!$E$77*100*12</f>
        <v>-538508.98860000004</v>
      </c>
      <c r="F21" s="212">
        <f>IF(Init!$R$9="Yes",SUMPRODUCT('Staging Table'!L23:AI23,LS_Demand_Rates_Restatement!$C$4:$Z$4)-IF(Init!$R$12="No",('Staging Table'!BH23*Rates_previous!$H$34), 0),SUMPRODUCT('Staging Table'!BY23:CV23,LS_Demand_Rates_Restatement!$C$4:$Z$4)-IF(Init!$R$12="No", 'Staging Table'!DU23*Rates_previous!$H$34, 0))</f>
        <v>-23959.904253679899</v>
      </c>
      <c r="G21" s="212">
        <f>IF(Init!$R$9="Yes",SUMPRODUCT('Staging Table'!AJ23:AU23,LS_Demand_Rates_Restatement!$C$10:$N$10),SUMPRODUCT(LS_Demand_Rates_Restatement!$C$10:$N$10,'Staging Table'!CW23:DH23))*1000</f>
        <v>609092.8257963676</v>
      </c>
      <c r="H21" s="213">
        <f>IF(Init!$R$9="Yes",'Staging Table'!BQ23,'Staging Table'!ED23)*IF(Init!$R$3=2020,Rates_previous!$C$88,Rates_previous!$D$88)</f>
        <v>0</v>
      </c>
      <c r="I21" s="211">
        <f>IF(Init!$R$9="Yes",IF('Staging Table'!$F$1=2020,(SUM('Staging Table'!AX23:BD23)*Rates_previous!$C$87),(SUM('Staging Table'!AX23:BD23)*Rates_previous!$D$87)),IF('Staging Table'!$F$1=2020,(SUM('Staging Table'!DK23:DQ23)*Rates_previous!$C$87),(SUM('Staging Table'!DK23:DQ23)*Rates_previous!$D$87)))</f>
        <v>65298.239655347745</v>
      </c>
      <c r="J21" s="213">
        <f>IF(Init!$R$9="Yes",IF('Staging Table'!D23=1,'Staging Table'!H23*-1,'Staging Table'!H23*SUM(D21:I21)*(-1)),IF('Staging Table'!D23=1,'Staging Table'!BU23*-1,'Staging Table'!BU23*SUM(D21:I21)*(-1)))</f>
        <v>0</v>
      </c>
      <c r="K21" s="211">
        <f>IF(Init!$R$9="Yes",'Staging Table'!K23,'Staging Table'!BX23)*(-1)*Rates_previous!$H$32</f>
        <v>0</v>
      </c>
      <c r="L21" s="211">
        <f>IF('Staging Table'!C23=1,"",SUM(D21:K21))</f>
        <v>5434935.6375180352</v>
      </c>
      <c r="M21" s="211">
        <f>IF('Staging Table'!C23=1,"",IF(Init!$R$9="Yes",(RT1SC!$C$3*'Staging Table'!E23*'Staging Table'!$F$2)+SUM('Staging Table'!L23:AI23)-IF(Init!$R$12="No",'Staging Table'!BH23, 0),X21))</f>
        <v>132968.95818714521</v>
      </c>
      <c r="N21" s="95">
        <f>IF('Staging Table'!C23=1,"",IF(M21=0, 0, L21/M21))</f>
        <v>40.873717532393648</v>
      </c>
      <c r="O21" s="211">
        <f>'Staging Table'!BR23*Rates_current!$E$76*100*12</f>
        <v>5371266.1733656693</v>
      </c>
      <c r="P21" s="211">
        <f>'Staging Table'!BS23*Rates_current!$E$77*100*12</f>
        <v>-886808.93354442716</v>
      </c>
      <c r="Q21" s="212">
        <f>SUMPRODUCT('Staging Table'!BY23:CV23, LS_Demand_Rates_Restatement!$C$5:$Z$5)-IF(Init!$R$12="No",('Staging Table'!DU23*Rates_current!$H$34), 0)</f>
        <v>-141923.85119732711</v>
      </c>
      <c r="R21" s="212">
        <f>SUMPRODUCT('Staging Table'!CW23:DH23, LS_Demand_Rates_Restatement!$C$11:$N$11)*1000</f>
        <v>562669.01032548957</v>
      </c>
      <c r="S21" s="213">
        <f>'Staging Table'!ED23*IF(Init!$R$15="Yes",IF(Init!$R$6=2022,Rates_current!$C$88,Rates_current!$D$88),Rates_current!$H$33)</f>
        <v>0</v>
      </c>
      <c r="T21" s="213">
        <v>0</v>
      </c>
      <c r="U21" s="213">
        <f>IF('Staging Table'!D23=1, 'Staging Table'!BU23*-1,SUM(O21:T21)*'Staging Table'!BU23*-1)</f>
        <v>0</v>
      </c>
      <c r="V21" s="211">
        <f>'Staging Table'!BX23*Rates_current!$H$32*-1</f>
        <v>0</v>
      </c>
      <c r="W21" s="211">
        <f>IF('Staging Table'!C23=1,"",SUM(O21:V21))</f>
        <v>4905202.3989494042</v>
      </c>
      <c r="X21" s="211">
        <f>IF('Staging Table'!C23=1,"",(RT1SC!$C$4*'Staging Table'!BR23*'Staging Table'!$BS$2)+SUM('Staging Table'!BY23:CV23)-IF(Init!$R$12="No",'Staging Table'!DU23, 0))</f>
        <v>124801.97576115548</v>
      </c>
      <c r="Y21" s="95">
        <f>IF('Staging Table'!C23=1,"",IF(X21=0, 0, W21/X21))</f>
        <v>39.303884165559381</v>
      </c>
      <c r="Z21" s="87">
        <f ca="1">IF('Staging Table'!C23=1,"",(Y21/N21-1)+(RAND()/100000000000000))</f>
        <v>-3.8406914310885866E-2</v>
      </c>
      <c r="AA21" s="53">
        <f t="shared" ca="1" si="0"/>
        <v>81</v>
      </c>
      <c r="AD21" s="216"/>
      <c r="AE21" s="216"/>
      <c r="AF21" s="220"/>
      <c r="AG21" s="216"/>
      <c r="AH21" s="216"/>
    </row>
    <row r="22" spans="2:34">
      <c r="B22" s="3">
        <v>10068</v>
      </c>
      <c r="C22" s="4" t="s">
        <v>25</v>
      </c>
      <c r="D22" s="211">
        <f>IF(Init!$R$9="Yes",'Staging Table'!E24,'Staging Table'!BR24)*Rates_previous!$E$76*100*12</f>
        <v>864392.55132000009</v>
      </c>
      <c r="E22" s="211">
        <f>IF(Init!$R$9="Yes",'Staging Table'!F24,'Staging Table'!BS24)*Rates_previous!$E$77*100*12</f>
        <v>-87447.300599999988</v>
      </c>
      <c r="F22" s="212">
        <f>IF(Init!$R$9="Yes",SUMPRODUCT('Staging Table'!L24:AI24,LS_Demand_Rates_Restatement!$C$4:$Z$4)-IF(Init!$R$12="No",('Staging Table'!BH24*Rates_previous!$H$34), 0),SUMPRODUCT('Staging Table'!BY24:CV24,LS_Demand_Rates_Restatement!$C$4:$Z$4)-IF(Init!$R$12="No", 'Staging Table'!DU24*Rates_previous!$H$34, 0))</f>
        <v>6902.8954501007165</v>
      </c>
      <c r="G22" s="212">
        <f>IF(Init!$R$9="Yes",SUMPRODUCT('Staging Table'!AJ24:AU24,LS_Demand_Rates_Restatement!$C$10:$N$10),SUMPRODUCT(LS_Demand_Rates_Restatement!$C$10:$N$10,'Staging Table'!CW24:DH24))*1000</f>
        <v>37111.673373076919</v>
      </c>
      <c r="H22" s="213">
        <f>IF(Init!$R$9="Yes",'Staging Table'!BQ24,'Staging Table'!ED24)*IF(Init!$R$3=2020,Rates_previous!$C$88,Rates_previous!$D$88)</f>
        <v>-7450.8582091248245</v>
      </c>
      <c r="I22" s="211">
        <f>IF(Init!$R$9="Yes",IF('Staging Table'!$F$1=2020,(SUM('Staging Table'!AX24:BD24)*Rates_previous!$C$87),(SUM('Staging Table'!AX24:BD24)*Rates_previous!$D$87)),IF('Staging Table'!$F$1=2020,(SUM('Staging Table'!DK24:DQ24)*Rates_previous!$C$87),(SUM('Staging Table'!DK24:DQ24)*Rates_previous!$D$87)))</f>
        <v>10603.638774233146</v>
      </c>
      <c r="J22" s="213">
        <f>IF(Init!$R$9="Yes",IF('Staging Table'!D24=1,'Staging Table'!H24*-1,'Staging Table'!H24*SUM(D22:I22)*(-1)),IF('Staging Table'!D24=1,'Staging Table'!BU24*-1,'Staging Table'!BU24*SUM(D22:I22)*(-1)))</f>
        <v>0</v>
      </c>
      <c r="K22" s="211">
        <f>IF(Init!$R$9="Yes",'Staging Table'!K24,'Staging Table'!BX24)*(-1)*Rates_previous!$H$32</f>
        <v>0</v>
      </c>
      <c r="L22" s="211">
        <f>IF('Staging Table'!C24=1,"",SUM(D22:K22))</f>
        <v>824112.60010828613</v>
      </c>
      <c r="M22" s="211">
        <f>IF('Staging Table'!C24=1,"",IF(Init!$R$9="Yes",(RT1SC!$C$3*'Staging Table'!E24*'Staging Table'!$F$2)+SUM('Staging Table'!L24:AI24)-IF(Init!$R$12="No",'Staging Table'!BH24, 0),X22))</f>
        <v>21967.330842329196</v>
      </c>
      <c r="N22" s="95">
        <f>IF('Staging Table'!C24=1,"",IF(M22=0, 0, L22/M22))</f>
        <v>37.515372533120434</v>
      </c>
      <c r="O22" s="211">
        <f>'Staging Table'!BR24*Rates_current!$E$76*100*12</f>
        <v>921590.13770177099</v>
      </c>
      <c r="P22" s="211">
        <f>'Staging Table'!BS24*Rates_current!$E$77*100*12</f>
        <v>-152156.74308470549</v>
      </c>
      <c r="Q22" s="212">
        <f>SUMPRODUCT('Staging Table'!BY24:CV24, LS_Demand_Rates_Restatement!$C$5:$Z$5)-IF(Init!$R$12="No",('Staging Table'!DU24*Rates_current!$H$34), 0)</f>
        <v>-5301.8590069563252</v>
      </c>
      <c r="R22" s="212">
        <f>SUMPRODUCT('Staging Table'!CW24:DH24, LS_Demand_Rates_Restatement!$C$11:$N$11)*1000</f>
        <v>35761.837758404559</v>
      </c>
      <c r="S22" s="213">
        <f>'Staging Table'!ED24*IF(Init!$R$15="Yes",IF(Init!$R$6=2022,Rates_current!$C$88,Rates_current!$D$88),Rates_current!$H$33)</f>
        <v>-4352.2070120070393</v>
      </c>
      <c r="T22" s="213">
        <v>0</v>
      </c>
      <c r="U22" s="213">
        <f>IF('Staging Table'!D24=1, 'Staging Table'!BU24*-1,SUM(O22:T22)*'Staging Table'!BU24*-1)</f>
        <v>0</v>
      </c>
      <c r="V22" s="211">
        <f>'Staging Table'!BX24*Rates_current!$H$32*-1</f>
        <v>0</v>
      </c>
      <c r="W22" s="211">
        <f>IF('Staging Table'!C24=1,"",SUM(O22:V22))</f>
        <v>795541.16635650676</v>
      </c>
      <c r="X22" s="211">
        <f>IF('Staging Table'!C24=1,"",(RT1SC!$C$4*'Staging Table'!BR24*'Staging Table'!$BS$2)+SUM('Staging Table'!BY24:CV24)-IF(Init!$R$12="No",'Staging Table'!DU24, 0))</f>
        <v>21967.331160064314</v>
      </c>
      <c r="Y22" s="95">
        <f>IF('Staging Table'!C24=1,"",IF(X22=0, 0, W22/X22))</f>
        <v>36.21473908504494</v>
      </c>
      <c r="Z22" s="87">
        <f ca="1">IF('Staging Table'!C24=1,"",(Y22/N22-1)+(RAND()/100000000000000))</f>
        <v>-3.4669346463961345E-2</v>
      </c>
      <c r="AA22" s="53">
        <f t="shared" ca="1" si="0"/>
        <v>46</v>
      </c>
      <c r="AD22" s="216"/>
      <c r="AE22" s="216"/>
      <c r="AF22" s="220"/>
      <c r="AG22" s="216"/>
      <c r="AH22" s="216"/>
    </row>
    <row r="23" spans="2:34">
      <c r="B23" s="3">
        <v>10070</v>
      </c>
      <c r="C23" s="4" t="s">
        <v>26</v>
      </c>
      <c r="D23" s="211">
        <f>IF(Init!$R$9="Yes",'Staging Table'!E25,'Staging Table'!BR25)*Rates_previous!$E$76*100*12</f>
        <v>120734.51088</v>
      </c>
      <c r="E23" s="211">
        <f>IF(Init!$R$9="Yes",'Staging Table'!F25,'Staging Table'!BS25)*Rates_previous!$E$77*100*12</f>
        <v>-12214.250400000001</v>
      </c>
      <c r="F23" s="212">
        <f>IF(Init!$R$9="Yes",SUMPRODUCT('Staging Table'!L25:AI25,LS_Demand_Rates_Restatement!$C$4:$Z$4)-IF(Init!$R$12="No",('Staging Table'!BH25*Rates_previous!$H$34), 0),SUMPRODUCT('Staging Table'!BY25:CV25,LS_Demand_Rates_Restatement!$C$4:$Z$4)-IF(Init!$R$12="No", 'Staging Table'!DU25*Rates_previous!$H$34, 0))</f>
        <v>2131.2600443890356</v>
      </c>
      <c r="G23" s="212">
        <f>IF(Init!$R$9="Yes",SUMPRODUCT('Staging Table'!AJ25:AU25,LS_Demand_Rates_Restatement!$C$10:$N$10),SUMPRODUCT(LS_Demand_Rates_Restatement!$C$10:$N$10,'Staging Table'!CW25:DH25))*1000</f>
        <v>7966.2733528490025</v>
      </c>
      <c r="H23" s="213">
        <f>IF(Init!$R$9="Yes",'Staging Table'!BQ25,'Staging Table'!ED25)*IF(Init!$R$3=2020,Rates_previous!$C$88,Rates_previous!$D$88)</f>
        <v>0</v>
      </c>
      <c r="I23" s="211">
        <f>IF(Init!$R$9="Yes",IF('Staging Table'!$F$1=2020,(SUM('Staging Table'!AX25:BD25)*Rates_previous!$C$87),(SUM('Staging Table'!AX25:BD25)*Rates_previous!$D$87)),IF('Staging Table'!$F$1=2020,(SUM('Staging Table'!DK25:DQ25)*Rates_previous!$C$87),(SUM('Staging Table'!DK25:DQ25)*Rates_previous!$D$87)))</f>
        <v>1481.0691496591801</v>
      </c>
      <c r="J23" s="213">
        <f>IF(Init!$R$9="Yes",IF('Staging Table'!D25=1,'Staging Table'!H25*-1,'Staging Table'!H25*SUM(D23:I23)*(-1)),IF('Staging Table'!D25=1,'Staging Table'!BU25*-1,'Staging Table'!BU25*SUM(D23:I23)*(-1)))</f>
        <v>0</v>
      </c>
      <c r="K23" s="211">
        <f>IF(Init!$R$9="Yes",'Staging Table'!K25,'Staging Table'!BX25)*(-1)*Rates_previous!$H$32</f>
        <v>0</v>
      </c>
      <c r="L23" s="211">
        <f>IF('Staging Table'!C25=1,"",SUM(D23:K23))</f>
        <v>120098.86302689722</v>
      </c>
      <c r="M23" s="211">
        <f>IF('Staging Table'!C25=1,"",IF(Init!$R$9="Yes",(RT1SC!$C$3*'Staging Table'!E25*'Staging Table'!$F$2)+SUM('Staging Table'!L25:AI25)-IF(Init!$R$12="No",'Staging Table'!BH25, 0),X23))</f>
        <v>3135.8879999999999</v>
      </c>
      <c r="N23" s="95">
        <f>IF('Staging Table'!C25=1,"",IF(M23=0, 0, L23/M23))</f>
        <v>38.298199115177972</v>
      </c>
      <c r="O23" s="211">
        <f>'Staging Table'!BR25*Rates_current!$E$76*100*12</f>
        <v>121823.5206746031</v>
      </c>
      <c r="P23" s="211">
        <f>'Staging Table'!BS25*Rates_current!$E$77*100*12</f>
        <v>-20113.355578202027</v>
      </c>
      <c r="Q23" s="212">
        <f>SUMPRODUCT('Staging Table'!BY25:CV25, LS_Demand_Rates_Restatement!$C$5:$Z$5)-IF(Init!$R$12="No",('Staging Table'!DU25*Rates_current!$H$34), 0)</f>
        <v>1754.1343113437415</v>
      </c>
      <c r="R23" s="212">
        <f>SUMPRODUCT('Staging Table'!CW25:DH25, LS_Demand_Rates_Restatement!$C$11:$N$11)*1000</f>
        <v>7387.8607246705824</v>
      </c>
      <c r="S23" s="213">
        <f>'Staging Table'!ED25*IF(Init!$R$15="Yes",IF(Init!$R$6=2022,Rates_current!$C$88,Rates_current!$D$88),Rates_current!$H$33)</f>
        <v>0</v>
      </c>
      <c r="T23" s="213">
        <v>0</v>
      </c>
      <c r="U23" s="213">
        <f>IF('Staging Table'!D25=1, 'Staging Table'!BU25*-1,SUM(O23:T23)*'Staging Table'!BU25*-1)</f>
        <v>0</v>
      </c>
      <c r="V23" s="211">
        <f>'Staging Table'!BX25*Rates_current!$H$32*-1</f>
        <v>0</v>
      </c>
      <c r="W23" s="211">
        <f>IF('Staging Table'!C25=1,"",SUM(O23:V23))</f>
        <v>110852.1601324154</v>
      </c>
      <c r="X23" s="211">
        <f>IF('Staging Table'!C25=1,"",(RT1SC!$C$4*'Staging Table'!BR25*'Staging Table'!$BS$2)+SUM('Staging Table'!BY25:CV25)-IF(Init!$R$12="No",'Staging Table'!DU25, 0))</f>
        <v>2995.92</v>
      </c>
      <c r="Y23" s="95">
        <f>IF('Staging Table'!C25=1,"",IF(X23=0, 0, W23/X23))</f>
        <v>37.001041460524782</v>
      </c>
      <c r="Z23" s="87">
        <f ca="1">IF('Staging Table'!C25=1,"",(Y23/N23-1)+(RAND()/100000000000000))</f>
        <v>-3.3869938655647358E-2</v>
      </c>
      <c r="AA23" s="53">
        <f t="shared" ca="1" si="0"/>
        <v>44</v>
      </c>
      <c r="AD23" s="216"/>
      <c r="AE23" s="216"/>
      <c r="AF23" s="220"/>
      <c r="AG23" s="216"/>
      <c r="AH23" s="216"/>
    </row>
    <row r="24" spans="2:34">
      <c r="B24" s="3">
        <v>10071</v>
      </c>
      <c r="C24" s="4" t="s">
        <v>27</v>
      </c>
      <c r="D24" s="211">
        <f>IF(Init!$R$9="Yes",'Staging Table'!E26,'Staging Table'!BR26)*Rates_previous!$E$76*100*12</f>
        <v>630053.52035999997</v>
      </c>
      <c r="E24" s="211">
        <f>IF(Init!$R$9="Yes",'Staging Table'!F26,'Staging Table'!BS26)*Rates_previous!$E$77*100*12</f>
        <v>-63740.113799999992</v>
      </c>
      <c r="F24" s="212">
        <f>IF(Init!$R$9="Yes",SUMPRODUCT('Staging Table'!L26:AI26,LS_Demand_Rates_Restatement!$C$4:$Z$4)-IF(Init!$R$12="No",('Staging Table'!BH26*Rates_previous!$H$34), 0),SUMPRODUCT('Staging Table'!BY26:CV26,LS_Demand_Rates_Restatement!$C$4:$Z$4)-IF(Init!$R$12="No", 'Staging Table'!DU26*Rates_previous!$H$34, 0))</f>
        <v>10772.501295847411</v>
      </c>
      <c r="G24" s="212">
        <f>IF(Init!$R$9="Yes",SUMPRODUCT('Staging Table'!AJ26:AU26,LS_Demand_Rates_Restatement!$C$10:$N$10),SUMPRODUCT(LS_Demand_Rates_Restatement!$C$10:$N$10,'Staging Table'!CW26:DH26))*1000</f>
        <v>21798.339839102558</v>
      </c>
      <c r="H24" s="213">
        <f>IF(Init!$R$9="Yes",'Staging Table'!BQ26,'Staging Table'!ED26)*IF(Init!$R$3=2020,Rates_previous!$C$88,Rates_previous!$D$88)</f>
        <v>-648.17344520475694</v>
      </c>
      <c r="I24" s="211">
        <f>IF(Init!$R$9="Yes",IF('Staging Table'!$F$1=2020,(SUM('Staging Table'!AX26:BD26)*Rates_previous!$C$87),(SUM('Staging Table'!AX26:BD26)*Rates_previous!$D$87)),IF('Staging Table'!$F$1=2020,(SUM('Staging Table'!DK26:DQ26)*Rates_previous!$C$87),(SUM('Staging Table'!DK26:DQ26)*Rates_previous!$D$87)))</f>
        <v>7728.9651884773348</v>
      </c>
      <c r="J24" s="213">
        <f>IF(Init!$R$9="Yes",IF('Staging Table'!D26=1,'Staging Table'!H26*-1,'Staging Table'!H26*SUM(D24:I24)*(-1)),IF('Staging Table'!D26=1,'Staging Table'!BU26*-1,'Staging Table'!BU26*SUM(D24:I24)*(-1)))</f>
        <v>0</v>
      </c>
      <c r="K24" s="211">
        <f>IF(Init!$R$9="Yes",'Staging Table'!K26,'Staging Table'!BX26)*(-1)*Rates_previous!$H$32</f>
        <v>0</v>
      </c>
      <c r="L24" s="211">
        <f>IF('Staging Table'!C26=1,"",SUM(D24:K24))</f>
        <v>605965.03943822253</v>
      </c>
      <c r="M24" s="211">
        <f>IF('Staging Table'!C26=1,"",IF(Init!$R$9="Yes",(RT1SC!$C$3*'Staging Table'!E26*'Staging Table'!$F$2)+SUM('Staging Table'!L26:AI26)-IF(Init!$R$12="No",'Staging Table'!BH26, 0),X24))</f>
        <v>16314.4176139716</v>
      </c>
      <c r="N24" s="95">
        <f>IF('Staging Table'!C26=1,"",IF(M24=0, 0, L24/M24))</f>
        <v>37.142915780167144</v>
      </c>
      <c r="O24" s="211">
        <f>'Staging Table'!BR26*Rates_current!$E$76*100*12</f>
        <v>650125.12706466322</v>
      </c>
      <c r="P24" s="211">
        <f>'Staging Table'!BS26*Rates_current!$E$77*100*12</f>
        <v>-107337.21844981436</v>
      </c>
      <c r="Q24" s="212">
        <f>SUMPRODUCT('Staging Table'!BY26:CV26, LS_Demand_Rates_Restatement!$C$5:$Z$5)-IF(Init!$R$12="No",('Staging Table'!DU26*Rates_current!$H$34), 0)</f>
        <v>9509.2684726600983</v>
      </c>
      <c r="R24" s="212">
        <f>SUMPRODUCT('Staging Table'!CW26:DH26, LS_Demand_Rates_Restatement!$C$11:$N$11)*1000</f>
        <v>19851.546640509267</v>
      </c>
      <c r="S24" s="213">
        <f>'Staging Table'!ED26*IF(Init!$R$15="Yes",IF(Init!$R$6=2022,Rates_current!$C$88,Rates_current!$D$88),Rates_current!$H$33)</f>
        <v>0</v>
      </c>
      <c r="T24" s="213">
        <v>0</v>
      </c>
      <c r="U24" s="213">
        <f>IF('Staging Table'!D26=1, 'Staging Table'!BU26*-1,SUM(O24:T24)*'Staging Table'!BU26*-1)</f>
        <v>0</v>
      </c>
      <c r="V24" s="211">
        <f>'Staging Table'!BX26*Rates_current!$H$32*-1</f>
        <v>0</v>
      </c>
      <c r="W24" s="211">
        <f>IF('Staging Table'!C26=1,"",SUM(O24:V24))</f>
        <v>572148.72372801823</v>
      </c>
      <c r="X24" s="211">
        <f>IF('Staging Table'!C26=1,"",(RT1SC!$C$4*'Staging Table'!BR26*'Staging Table'!$BS$2)+SUM('Staging Table'!BY26:CV26)-IF(Init!$R$12="No",'Staging Table'!DU26, 0))</f>
        <v>15995.76</v>
      </c>
      <c r="Y24" s="95">
        <f>IF('Staging Table'!C26=1,"",IF(X24=0, 0, W24/X24))</f>
        <v>35.768773958100034</v>
      </c>
      <c r="Z24" s="87">
        <f ca="1">IF('Staging Table'!C26=1,"",(Y24/N24-1)+(RAND()/100000000000000))</f>
        <v>-3.6996067573148272E-2</v>
      </c>
      <c r="AA24" s="53">
        <f t="shared" ca="1" si="0"/>
        <v>70</v>
      </c>
      <c r="AD24" s="216"/>
      <c r="AE24" s="216"/>
      <c r="AF24" s="220"/>
      <c r="AG24" s="216"/>
      <c r="AH24" s="216"/>
    </row>
    <row r="25" spans="2:34">
      <c r="B25" s="3">
        <v>10072</v>
      </c>
      <c r="C25" s="4" t="s">
        <v>28</v>
      </c>
      <c r="D25" s="211">
        <f>IF(Init!$R$9="Yes",'Staging Table'!E27,'Staging Table'!BR27)*Rates_previous!$E$76*100*12</f>
        <v>8071149.5855999999</v>
      </c>
      <c r="E25" s="211">
        <f>IF(Init!$R$9="Yes",'Staging Table'!F27,'Staging Table'!BS27)*Rates_previous!$E$77*100*12</f>
        <v>-816527.44800000009</v>
      </c>
      <c r="F25" s="212">
        <f>IF(Init!$R$9="Yes",SUMPRODUCT('Staging Table'!L27:AI27,LS_Demand_Rates_Restatement!$C$4:$Z$4)-IF(Init!$R$12="No",('Staging Table'!BH27*Rates_previous!$H$34), 0),SUMPRODUCT('Staging Table'!BY27:CV27,LS_Demand_Rates_Restatement!$C$4:$Z$4)-IF(Init!$R$12="No", 'Staging Table'!DU27*Rates_previous!$H$34, 0))</f>
        <v>123021.37437317753</v>
      </c>
      <c r="G25" s="212">
        <f>IF(Init!$R$9="Yes",SUMPRODUCT('Staging Table'!AJ27:AU27,LS_Demand_Rates_Restatement!$C$10:$N$10),SUMPRODUCT(LS_Demand_Rates_Restatement!$C$10:$N$10,'Staging Table'!CW27:DH27))*1000</f>
        <v>435481.87075808411</v>
      </c>
      <c r="H25" s="213">
        <f>IF(Init!$R$9="Yes",'Staging Table'!BQ27,'Staging Table'!ED27)*IF(Init!$R$3=2020,Rates_previous!$C$88,Rates_previous!$D$88)</f>
        <v>0</v>
      </c>
      <c r="I25" s="211">
        <f>IF(Init!$R$9="Yes",IF('Staging Table'!$F$1=2020,(SUM('Staging Table'!AX27:BD27)*Rates_previous!$C$87),(SUM('Staging Table'!AX27:BD27)*Rates_previous!$D$87)),IF('Staging Table'!$F$1=2020,(SUM('Staging Table'!DK27:DQ27)*Rates_previous!$C$87),(SUM('Staging Table'!DK27:DQ27)*Rates_previous!$D$87)))</f>
        <v>99010.055752806627</v>
      </c>
      <c r="J25" s="213">
        <f>IF(Init!$R$9="Yes",IF('Staging Table'!D27=1,'Staging Table'!H27*-1,'Staging Table'!H27*SUM(D25:I25)*(-1)),IF('Staging Table'!D27=1,'Staging Table'!BU27*-1,'Staging Table'!BU27*SUM(D25:I25)*(-1)))</f>
        <v>0</v>
      </c>
      <c r="K25" s="211">
        <f>IF(Init!$R$9="Yes",'Staging Table'!K27,'Staging Table'!BX27)*(-1)*Rates_previous!$H$32</f>
        <v>0</v>
      </c>
      <c r="L25" s="211">
        <f>IF('Staging Table'!C27=1,"",SUM(D25:K25))</f>
        <v>7912135.438484069</v>
      </c>
      <c r="M25" s="211">
        <f>IF('Staging Table'!C27=1,"",IF(Init!$R$9="Yes",(RT1SC!$C$3*'Staging Table'!E27*'Staging Table'!$F$2)+SUM('Staging Table'!L27:AI27)-IF(Init!$R$12="No",'Staging Table'!BH27, 0),X25))</f>
        <v>209542.32</v>
      </c>
      <c r="N25" s="95">
        <f>IF('Staging Table'!C27=1,"",IF(M25=0, 0, L25/M25))</f>
        <v>37.759128745372621</v>
      </c>
      <c r="O25" s="211">
        <f>'Staging Table'!BR27*Rates_current!$E$76*100*12</f>
        <v>8143950.3191132303</v>
      </c>
      <c r="P25" s="211">
        <f>'Staging Table'!BS27*Rates_current!$E$77*100*12</f>
        <v>-1344585.7390467338</v>
      </c>
      <c r="Q25" s="212">
        <f>SUMPRODUCT('Staging Table'!BY27:CV27, LS_Demand_Rates_Restatement!$C$5:$Z$5)-IF(Init!$R$12="No",('Staging Table'!DU27*Rates_current!$H$34), 0)</f>
        <v>-35296.896362416825</v>
      </c>
      <c r="R25" s="212">
        <f>SUMPRODUCT('Staging Table'!CW27:DH27, LS_Demand_Rates_Restatement!$C$11:$N$11)*1000</f>
        <v>394834.42129694641</v>
      </c>
      <c r="S25" s="213">
        <f>'Staging Table'!ED27*IF(Init!$R$15="Yes",IF(Init!$R$6=2022,Rates_current!$C$88,Rates_current!$D$88),Rates_current!$H$33)</f>
        <v>0</v>
      </c>
      <c r="T25" s="213">
        <v>0</v>
      </c>
      <c r="U25" s="213">
        <f>IF('Staging Table'!D27=1, 'Staging Table'!BU27*-1,SUM(O25:T25)*'Staging Table'!BU27*-1)</f>
        <v>0</v>
      </c>
      <c r="V25" s="211">
        <f>'Staging Table'!BX27*Rates_current!$H$32*-1</f>
        <v>0</v>
      </c>
      <c r="W25" s="211">
        <f>IF('Staging Table'!C27=1,"",SUM(O25:V25))</f>
        <v>7158902.1050010268</v>
      </c>
      <c r="X25" s="211">
        <f>IF('Staging Table'!C27=1,"",(RT1SC!$C$4*'Staging Table'!BR27*'Staging Table'!$BS$2)+SUM('Staging Table'!BY27:CV27)-IF(Init!$R$12="No",'Staging Table'!DU27, 0))</f>
        <v>195384.15625130993</v>
      </c>
      <c r="Y25" s="95">
        <f>IF('Staging Table'!C27=1,"",IF(X25=0, 0, W25/X25))</f>
        <v>36.640136244174251</v>
      </c>
      <c r="Z25" s="87">
        <f ca="1">IF('Staging Table'!C27=1,"",(Y25/N25-1)+(RAND()/100000000000000))</f>
        <v>-2.9635019090196016E-2</v>
      </c>
      <c r="AA25" s="53">
        <f t="shared" ca="1" si="0"/>
        <v>22</v>
      </c>
      <c r="AD25" s="216"/>
      <c r="AE25" s="216"/>
      <c r="AF25" s="220"/>
      <c r="AG25" s="216"/>
      <c r="AH25" s="216"/>
    </row>
    <row r="26" spans="2:34">
      <c r="B26" s="3">
        <v>10074</v>
      </c>
      <c r="C26" s="4" t="s">
        <v>29</v>
      </c>
      <c r="D26" s="211">
        <f>IF(Init!$R$9="Yes",'Staging Table'!E28,'Staging Table'!BR28)*Rates_previous!$E$76*100*12</f>
        <v>8979748.0798799992</v>
      </c>
      <c r="E26" s="211">
        <f>IF(Init!$R$9="Yes",'Staging Table'!F28,'Staging Table'!BS28)*Rates_previous!$E$77*100*12</f>
        <v>-908446.89539999992</v>
      </c>
      <c r="F26" s="212">
        <f>IF(Init!$R$9="Yes",SUMPRODUCT('Staging Table'!L28:AI28,LS_Demand_Rates_Restatement!$C$4:$Z$4)-IF(Init!$R$12="No",('Staging Table'!BH28*Rates_previous!$H$34), 0),SUMPRODUCT('Staging Table'!BY28:CV28,LS_Demand_Rates_Restatement!$C$4:$Z$4)-IF(Init!$R$12="No", 'Staging Table'!DU28*Rates_previous!$H$34, 0))</f>
        <v>-37706.741766721279</v>
      </c>
      <c r="G26" s="212">
        <f>IF(Init!$R$9="Yes",SUMPRODUCT('Staging Table'!AJ28:AU28,LS_Demand_Rates_Restatement!$C$10:$N$10),SUMPRODUCT(LS_Demand_Rates_Restatement!$C$10:$N$10,'Staging Table'!CW28:DH28))*1000</f>
        <v>506719.40336153843</v>
      </c>
      <c r="H26" s="213">
        <f>IF(Init!$R$9="Yes",'Staging Table'!BQ28,'Staging Table'!ED28)*IF(Init!$R$3=2020,Rates_previous!$C$88,Rates_previous!$D$88)</f>
        <v>0</v>
      </c>
      <c r="I26" s="211">
        <f>IF(Init!$R$9="Yes",IF('Staging Table'!$F$1=2020,(SUM('Staging Table'!AX28:BD28)*Rates_previous!$C$87),(SUM('Staging Table'!AX28:BD28)*Rates_previous!$D$87)),IF('Staging Table'!$F$1=2020,(SUM('Staging Table'!DK28:DQ28)*Rates_previous!$C$87),(SUM('Staging Table'!DK28:DQ28)*Rates_previous!$D$87)))</f>
        <v>110155.97575112757</v>
      </c>
      <c r="J26" s="213">
        <f>IF(Init!$R$9="Yes",IF('Staging Table'!D28=1,'Staging Table'!H28*-1,'Staging Table'!H28*SUM(D26:I26)*(-1)),IF('Staging Table'!D28=1,'Staging Table'!BU28*-1,'Staging Table'!BU28*SUM(D26:I26)*(-1)))</f>
        <v>0</v>
      </c>
      <c r="K26" s="211">
        <f>IF(Init!$R$9="Yes",'Staging Table'!K28,'Staging Table'!BX28)*(-1)*Rates_previous!$H$32</f>
        <v>0</v>
      </c>
      <c r="L26" s="211">
        <f>IF('Staging Table'!C28=1,"",SUM(D26:K26))</f>
        <v>8650469.8218259439</v>
      </c>
      <c r="M26" s="211">
        <f>IF('Staging Table'!C28=1,"",IF(Init!$R$9="Yes",(RT1SC!$C$3*'Staging Table'!E28*'Staging Table'!$F$2)+SUM('Staging Table'!L28:AI28)-IF(Init!$R$12="No",'Staging Table'!BH28, 0),X26))</f>
        <v>222579.9807505428</v>
      </c>
      <c r="N26" s="95">
        <f>IF('Staging Table'!C28=1,"",IF(M26=0, 0, L26/M26))</f>
        <v>38.864545646272582</v>
      </c>
      <c r="O26" s="211">
        <f>'Staging Table'!BR28*Rates_current!$E$76*100*12</f>
        <v>9060744.2552136388</v>
      </c>
      <c r="P26" s="211">
        <f>'Staging Table'!BS28*Rates_current!$E$77*100*12</f>
        <v>-1495950.6177385966</v>
      </c>
      <c r="Q26" s="212">
        <f>SUMPRODUCT('Staging Table'!BY28:CV28, LS_Demand_Rates_Restatement!$C$5:$Z$5)-IF(Init!$R$12="No",('Staging Table'!DU28*Rates_current!$H$34), 0)</f>
        <v>135489.75348780691</v>
      </c>
      <c r="R26" s="212">
        <f>SUMPRODUCT('Staging Table'!CW28:DH28, LS_Demand_Rates_Restatement!$C$11:$N$11)*1000</f>
        <v>489805.32260905462</v>
      </c>
      <c r="S26" s="213">
        <f>'Staging Table'!ED28*IF(Init!$R$15="Yes",IF(Init!$R$6=2022,Rates_current!$C$88,Rates_current!$D$88),Rates_current!$H$33)</f>
        <v>0</v>
      </c>
      <c r="T26" s="213">
        <v>0</v>
      </c>
      <c r="U26" s="213">
        <f>IF('Staging Table'!D28=1, 'Staging Table'!BU28*-1,SUM(O26:T26)*'Staging Table'!BU28*-1)</f>
        <v>0</v>
      </c>
      <c r="V26" s="211">
        <f>'Staging Table'!BX28*Rates_current!$H$32*-1</f>
        <v>0</v>
      </c>
      <c r="W26" s="211">
        <f>IF('Staging Table'!C28=1,"",SUM(O26:V26))</f>
        <v>8190088.7135719033</v>
      </c>
      <c r="X26" s="211">
        <f>IF('Staging Table'!C28=1,"",(RT1SC!$C$4*'Staging Table'!BR28*'Staging Table'!$BS$2)+SUM('Staging Table'!BY28:CV28)-IF(Init!$R$12="No",'Staging Table'!DU28, 0))</f>
        <v>222959.52000000002</v>
      </c>
      <c r="Y26" s="95">
        <f>IF('Staging Table'!C28=1,"",IF(X26=0, 0, W26/X26))</f>
        <v>36.733523258266352</v>
      </c>
      <c r="Z26" s="87">
        <f ca="1">IF('Staging Table'!C28=1,"",(Y26/N26-1)+(RAND()/100000000000000))</f>
        <v>-5.4832041712298107E-2</v>
      </c>
      <c r="AA26" s="53">
        <f t="shared" ca="1" si="0"/>
        <v>108</v>
      </c>
      <c r="AD26" s="216"/>
      <c r="AE26" s="216"/>
      <c r="AF26" s="220"/>
      <c r="AG26" s="216"/>
      <c r="AH26" s="216"/>
    </row>
    <row r="27" spans="2:34">
      <c r="B27" s="3">
        <v>10076</v>
      </c>
      <c r="C27" s="4" t="s">
        <v>30</v>
      </c>
      <c r="D27" s="211">
        <f>IF(Init!$R$9="Yes",'Staging Table'!E29,'Staging Table'!BR29)*Rates_previous!$E$76*100*12</f>
        <v>1621359.9079200001</v>
      </c>
      <c r="E27" s="211">
        <f>IF(Init!$R$9="Yes",'Staging Table'!F29,'Staging Table'!BS29)*Rates_previous!$E$77*100*12</f>
        <v>-164026.80359999998</v>
      </c>
      <c r="F27" s="212">
        <f>IF(Init!$R$9="Yes",SUMPRODUCT('Staging Table'!L29:AI29,LS_Demand_Rates_Restatement!$C$4:$Z$4)-IF(Init!$R$12="No",('Staging Table'!BH29*Rates_previous!$H$34), 0),SUMPRODUCT('Staging Table'!BY29:CV29,LS_Demand_Rates_Restatement!$C$4:$Z$4)-IF(Init!$R$12="No", 'Staging Table'!DU29*Rates_previous!$H$34, 0))</f>
        <v>16688.608960166122</v>
      </c>
      <c r="G27" s="212">
        <f>IF(Init!$R$9="Yes",SUMPRODUCT('Staging Table'!AJ29:AU29,LS_Demand_Rates_Restatement!$C$10:$N$10),SUMPRODUCT(LS_Demand_Rates_Restatement!$C$10:$N$10,'Staging Table'!CW29:DH29))*1000</f>
        <v>49471.313257478592</v>
      </c>
      <c r="H27" s="213">
        <f>IF(Init!$R$9="Yes",'Staging Table'!BQ29,'Staging Table'!ED29)*IF(Init!$R$3=2020,Rates_previous!$C$88,Rates_previous!$D$88)</f>
        <v>0</v>
      </c>
      <c r="I27" s="211">
        <f>IF(Init!$R$9="Yes",IF('Staging Table'!$F$1=2020,(SUM('Staging Table'!AX29:BD29)*Rates_previous!$C$87),(SUM('Staging Table'!AX29:BD29)*Rates_previous!$D$87)),IF('Staging Table'!$F$1=2020,(SUM('Staging Table'!DK29:DQ29)*Rates_previous!$C$87),(SUM('Staging Table'!DK29:DQ29)*Rates_previous!$D$87)))</f>
        <v>19889.47586412387</v>
      </c>
      <c r="J27" s="213">
        <f>IF(Init!$R$9="Yes",IF('Staging Table'!D29=1,'Staging Table'!H29*-1,'Staging Table'!H29*SUM(D27:I27)*(-1)),IF('Staging Table'!D29=1,'Staging Table'!BU29*-1,'Staging Table'!BU29*SUM(D27:I27)*(-1)))</f>
        <v>0</v>
      </c>
      <c r="K27" s="211">
        <f>IF(Init!$R$9="Yes",'Staging Table'!K29,'Staging Table'!BX29)*(-1)*Rates_previous!$H$32</f>
        <v>0</v>
      </c>
      <c r="L27" s="211">
        <f>IF('Staging Table'!C29=1,"",SUM(D27:K27))</f>
        <v>1543382.5024017687</v>
      </c>
      <c r="M27" s="211">
        <f>IF('Staging Table'!C29=1,"",IF(Init!$R$9="Yes",(RT1SC!$C$3*'Staging Table'!E29*'Staging Table'!$F$2)+SUM('Staging Table'!L29:AI29)-IF(Init!$R$12="No",'Staging Table'!BH29, 0),X27))</f>
        <v>42092.928</v>
      </c>
      <c r="N27" s="95">
        <f>IF('Staging Table'!C29=1,"",IF(M27=0, 0, L27/M27))</f>
        <v>36.666076125703796</v>
      </c>
      <c r="O27" s="211">
        <f>'Staging Table'!BR29*Rates_current!$E$76*100*12</f>
        <v>1635744.5561446212</v>
      </c>
      <c r="P27" s="211">
        <f>'Staging Table'!BS29*Rates_current!$E$77*100*12</f>
        <v>-270065.35117896856</v>
      </c>
      <c r="Q27" s="212">
        <f>SUMPRODUCT('Staging Table'!BY29:CV29, LS_Demand_Rates_Restatement!$C$5:$Z$5)-IF(Init!$R$12="No",('Staging Table'!DU29*Rates_current!$H$34), 0)</f>
        <v>10881.835657928888</v>
      </c>
      <c r="R27" s="212">
        <f>SUMPRODUCT('Staging Table'!CW29:DH29, LS_Demand_Rates_Restatement!$C$11:$N$11)*1000</f>
        <v>47175.412745405934</v>
      </c>
      <c r="S27" s="213">
        <f>'Staging Table'!ED29*IF(Init!$R$15="Yes",IF(Init!$R$6=2022,Rates_current!$C$88,Rates_current!$D$88),Rates_current!$H$33)</f>
        <v>0</v>
      </c>
      <c r="T27" s="213">
        <v>0</v>
      </c>
      <c r="U27" s="213">
        <f>IF('Staging Table'!D29=1, 'Staging Table'!BU29*-1,SUM(O27:T27)*'Staging Table'!BU29*-1)</f>
        <v>0</v>
      </c>
      <c r="V27" s="211">
        <f>'Staging Table'!BX29*Rates_current!$H$32*-1</f>
        <v>0</v>
      </c>
      <c r="W27" s="211">
        <f>IF('Staging Table'!C29=1,"",SUM(O27:V27))</f>
        <v>1423736.4533689874</v>
      </c>
      <c r="X27" s="211">
        <f>IF('Staging Table'!C29=1,"",(RT1SC!$C$4*'Staging Table'!BR29*'Staging Table'!$BS$2)+SUM('Staging Table'!BY29:CV29)-IF(Init!$R$12="No",'Staging Table'!DU29, 0))</f>
        <v>40114.05705901605</v>
      </c>
      <c r="Y27" s="95">
        <f>IF('Staging Table'!C29=1,"",IF(X27=0, 0, W27/X27))</f>
        <v>35.492207912911361</v>
      </c>
      <c r="Z27" s="87">
        <f ca="1">IF('Staging Table'!C29=1,"",(Y27/N27-1)+(RAND()/100000000000000))</f>
        <v>-3.2015103246061556E-2</v>
      </c>
      <c r="AA27" s="53">
        <f t="shared" ca="1" si="0"/>
        <v>28</v>
      </c>
      <c r="AD27" s="216"/>
      <c r="AE27" s="216"/>
      <c r="AF27" s="220"/>
      <c r="AG27" s="216"/>
      <c r="AH27" s="216"/>
    </row>
    <row r="28" spans="2:34">
      <c r="B28" s="3">
        <v>10078</v>
      </c>
      <c r="C28" s="4" t="s">
        <v>31</v>
      </c>
      <c r="D28" s="211">
        <f>IF(Init!$R$9="Yes",'Staging Table'!E30,'Staging Table'!BR30)*Rates_previous!$E$76*100*12</f>
        <v>1251075.7190399999</v>
      </c>
      <c r="E28" s="211">
        <f>IF(Init!$R$9="Yes",'Staging Table'!F30,'Staging Table'!BS30)*Rates_previous!$E$77*100*12</f>
        <v>-126566.5632</v>
      </c>
      <c r="F28" s="212">
        <f>IF(Init!$R$9="Yes",SUMPRODUCT('Staging Table'!L30:AI30,LS_Demand_Rates_Restatement!$C$4:$Z$4)-IF(Init!$R$12="No",('Staging Table'!BH30*Rates_previous!$H$34), 0),SUMPRODUCT('Staging Table'!BY30:CV30,LS_Demand_Rates_Restatement!$C$4:$Z$4)-IF(Init!$R$12="No", 'Staging Table'!DU30*Rates_previous!$H$34, 0))</f>
        <v>24109.767339177932</v>
      </c>
      <c r="G28" s="212">
        <f>IF(Init!$R$9="Yes",SUMPRODUCT('Staging Table'!AJ30:AU30,LS_Demand_Rates_Restatement!$C$10:$N$10),SUMPRODUCT(LS_Demand_Rates_Restatement!$C$10:$N$10,'Staging Table'!CW30:DH30))*1000</f>
        <v>121879.28779419517</v>
      </c>
      <c r="H28" s="213">
        <f>IF(Init!$R$9="Yes",'Staging Table'!BQ30,'Staging Table'!ED30)*IF(Init!$R$3=2020,Rates_previous!$C$88,Rates_previous!$D$88)</f>
        <v>-6110.4032882300153</v>
      </c>
      <c r="I28" s="211">
        <f>IF(Init!$R$9="Yes",IF('Staging Table'!$F$1=2020,(SUM('Staging Table'!AX30:BD30)*Rates_previous!$C$87),(SUM('Staging Table'!AX30:BD30)*Rates_previous!$D$87)),IF('Staging Table'!$F$1=2020,(SUM('Staging Table'!DK30:DQ30)*Rates_previous!$C$87),(SUM('Staging Table'!DK30:DQ30)*Rates_previous!$D$87)))</f>
        <v>15347.141739775443</v>
      </c>
      <c r="J28" s="213">
        <f>IF(Init!$R$9="Yes",IF('Staging Table'!D30=1,'Staging Table'!H30*-1,'Staging Table'!H30*SUM(D28:I28)*(-1)),IF('Staging Table'!D30=1,'Staging Table'!BU30*-1,'Staging Table'!BU30*SUM(D28:I28)*(-1)))</f>
        <v>0</v>
      </c>
      <c r="K28" s="211">
        <f>IF(Init!$R$9="Yes",'Staging Table'!K30,'Staging Table'!BX30)*(-1)*Rates_previous!$H$32</f>
        <v>0</v>
      </c>
      <c r="L28" s="211">
        <f>IF('Staging Table'!C30=1,"",SUM(D28:K28))</f>
        <v>1279734.9494249183</v>
      </c>
      <c r="M28" s="211">
        <f>IF('Staging Table'!C30=1,"",IF(Init!$R$9="Yes",(RT1SC!$C$3*'Staging Table'!E30*'Staging Table'!$F$2)+SUM('Staging Table'!L30:AI30)-IF(Init!$R$12="No",'Staging Table'!BH30, 0),X28))</f>
        <v>32093.0402191424</v>
      </c>
      <c r="N28" s="95">
        <f>IF('Staging Table'!C30=1,"",IF(M28=0, 0, L28/M28))</f>
        <v>39.875778071707899</v>
      </c>
      <c r="O28" s="211">
        <f>'Staging Table'!BR30*Rates_current!$E$76*100*12</f>
        <v>1262360.2614785642</v>
      </c>
      <c r="P28" s="211">
        <f>'Staging Table'!BS30*Rates_current!$E$77*100*12</f>
        <v>-208418.7081961722</v>
      </c>
      <c r="Q28" s="212">
        <f>SUMPRODUCT('Staging Table'!BY30:CV30, LS_Demand_Rates_Restatement!$C$5:$Z$5)-IF(Init!$R$12="No",('Staging Table'!DU30*Rates_current!$H$34), 0)</f>
        <v>25726.256295739364</v>
      </c>
      <c r="R28" s="212">
        <f>SUMPRODUCT('Staging Table'!CW30:DH30, LS_Demand_Rates_Restatement!$C$11:$N$11)*1000</f>
        <v>109794.26040843128</v>
      </c>
      <c r="S28" s="213">
        <f>'Staging Table'!ED30*IF(Init!$R$15="Yes",IF(Init!$R$6=2022,Rates_current!$C$88,Rates_current!$D$88),Rates_current!$H$33)</f>
        <v>0</v>
      </c>
      <c r="T28" s="213">
        <v>0</v>
      </c>
      <c r="U28" s="213">
        <f>IF('Staging Table'!D30=1, 'Staging Table'!BU30*-1,SUM(O28:T28)*'Staging Table'!BU30*-1)</f>
        <v>0</v>
      </c>
      <c r="V28" s="211">
        <f>'Staging Table'!BX30*Rates_current!$H$32*-1</f>
        <v>0</v>
      </c>
      <c r="W28" s="211">
        <f>IF('Staging Table'!C30=1,"",SUM(O28:V28))</f>
        <v>1189462.0699865627</v>
      </c>
      <c r="X28" s="211">
        <f>IF('Staging Table'!C30=1,"",(RT1SC!$C$4*'Staging Table'!BR30*'Staging Table'!$BS$2)+SUM('Staging Table'!BY30:CV30)-IF(Init!$R$12="No",'Staging Table'!DU30, 0))</f>
        <v>31062.959999999999</v>
      </c>
      <c r="Y28" s="95">
        <f>IF('Staging Table'!C30=1,"",IF(X28=0, 0, W28/X28))</f>
        <v>38.291974428276077</v>
      </c>
      <c r="Z28" s="87">
        <f ca="1">IF('Staging Table'!C30=1,"",(Y28/N28-1)+(RAND()/100000000000000))</f>
        <v>-3.971843861162095E-2</v>
      </c>
      <c r="AA28" s="53">
        <f t="shared" ca="1" si="0"/>
        <v>87</v>
      </c>
      <c r="AD28" s="216"/>
      <c r="AE28" s="216"/>
      <c r="AF28" s="220"/>
      <c r="AG28" s="216"/>
      <c r="AH28" s="216"/>
    </row>
    <row r="29" spans="2:34">
      <c r="B29" s="3">
        <v>10079</v>
      </c>
      <c r="C29" s="4" t="s">
        <v>32</v>
      </c>
      <c r="D29" s="211">
        <f>IF(Init!$R$9="Yes",'Staging Table'!E31,'Staging Table'!BR31)*Rates_previous!$E$76*100*12</f>
        <v>29303549.188919999</v>
      </c>
      <c r="E29" s="211">
        <f>IF(Init!$R$9="Yes",'Staging Table'!F31,'Staging Table'!BS31)*Rates_previous!$E$77*100*12</f>
        <v>-2964528.4086000002</v>
      </c>
      <c r="F29" s="212">
        <f>IF(Init!$R$9="Yes",SUMPRODUCT('Staging Table'!L31:AI31,LS_Demand_Rates_Restatement!$C$4:$Z$4)-IF(Init!$R$12="No",('Staging Table'!BH31*Rates_previous!$H$34), 0),SUMPRODUCT('Staging Table'!BY31:CV31,LS_Demand_Rates_Restatement!$C$4:$Z$4)-IF(Init!$R$12="No", 'Staging Table'!DU31*Rates_previous!$H$34, 0))</f>
        <v>-644427.4893554867</v>
      </c>
      <c r="G29" s="212">
        <f>IF(Init!$R$9="Yes",SUMPRODUCT('Staging Table'!AJ31:AU31,LS_Demand_Rates_Restatement!$C$10:$N$10),SUMPRODUCT(LS_Demand_Rates_Restatement!$C$10:$N$10,'Staging Table'!CW31:DH31))*1000</f>
        <v>2620044.582893305</v>
      </c>
      <c r="H29" s="213">
        <f>IF(Init!$R$9="Yes",'Staging Table'!BQ31,'Staging Table'!ED31)*IF(Init!$R$3=2020,Rates_previous!$C$88,Rates_previous!$D$88)</f>
        <v>-774123.68405953655</v>
      </c>
      <c r="I29" s="211">
        <f>IF(Init!$R$9="Yes",IF('Staging Table'!$F$1=2020,(SUM('Staging Table'!AX31:BD31)*Rates_previous!$C$87),(SUM('Staging Table'!AX31:BD31)*Rates_previous!$D$87)),IF('Staging Table'!$F$1=2020,(SUM('Staging Table'!DK31:DQ31)*Rates_previous!$C$87),(SUM('Staging Table'!DK31:DQ31)*Rates_previous!$D$87)))</f>
        <v>359471.22627072426</v>
      </c>
      <c r="J29" s="213">
        <f>IF(Init!$R$9="Yes",IF('Staging Table'!D31=1,'Staging Table'!H31*-1,'Staging Table'!H31*SUM(D29:I29)*(-1)),IF('Staging Table'!D31=1,'Staging Table'!BU31*-1,'Staging Table'!BU31*SUM(D29:I29)*(-1)))</f>
        <v>0</v>
      </c>
      <c r="K29" s="211">
        <f>IF(Init!$R$9="Yes",'Staging Table'!K31,'Staging Table'!BX31)*(-1)*Rates_previous!$H$32</f>
        <v>0</v>
      </c>
      <c r="L29" s="211">
        <f>IF('Staging Table'!C31=1,"",SUM(D29:K29))</f>
        <v>27899985.416069005</v>
      </c>
      <c r="M29" s="211">
        <f>IF('Staging Table'!C31=1,"",IF(Init!$R$9="Yes",(RT1SC!$C$3*'Staging Table'!E31*'Staging Table'!$F$2)+SUM('Staging Table'!L31:AI31)-IF(Init!$R$12="No",'Staging Table'!BH31, 0),X29))</f>
        <v>711349.05455558514</v>
      </c>
      <c r="N29" s="95">
        <f>IF('Staging Table'!C31=1,"",IF(M29=0, 0, L29/M29))</f>
        <v>39.2212307549906</v>
      </c>
      <c r="O29" s="211">
        <f>'Staging Table'!BR31*Rates_current!$E$76*100*12</f>
        <v>28908145.911891147</v>
      </c>
      <c r="P29" s="211">
        <f>'Staging Table'!BS31*Rates_current!$E$77*100*12</f>
        <v>-4772804.254980199</v>
      </c>
      <c r="Q29" s="212">
        <f>SUMPRODUCT('Staging Table'!BY31:CV31, LS_Demand_Rates_Restatement!$C$5:$Z$5)-IF(Init!$R$12="No",('Staging Table'!DU31*Rates_current!$H$34), 0)</f>
        <v>183050.10158181947</v>
      </c>
      <c r="R29" s="212">
        <f>SUMPRODUCT('Staging Table'!CW31:DH31, LS_Demand_Rates_Restatement!$C$11:$N$11)*1000</f>
        <v>2435759.4481922719</v>
      </c>
      <c r="S29" s="213">
        <f>'Staging Table'!ED31*IF(Init!$R$15="Yes",IF(Init!$R$6=2022,Rates_current!$C$88,Rates_current!$D$88),Rates_current!$H$33)</f>
        <v>12.356793905986706</v>
      </c>
      <c r="T29" s="213">
        <v>0</v>
      </c>
      <c r="U29" s="213">
        <f>IF('Staging Table'!D31=1, 'Staging Table'!BU31*-1,SUM(O29:T29)*'Staging Table'!BU31*-1)</f>
        <v>0</v>
      </c>
      <c r="V29" s="211">
        <f>'Staging Table'!BX31*Rates_current!$H$32*-1</f>
        <v>0</v>
      </c>
      <c r="W29" s="211">
        <f>IF('Staging Table'!C31=1,"",SUM(O29:V29))</f>
        <v>26754163.563478947</v>
      </c>
      <c r="X29" s="211">
        <f>IF('Staging Table'!C31=1,"",(RT1SC!$C$4*'Staging Table'!BR31*'Staging Table'!$BS$2)+SUM('Staging Table'!BY31:CV31)-IF(Init!$R$12="No",'Staging Table'!DU31, 0))</f>
        <v>711349.06238852791</v>
      </c>
      <c r="Y29" s="95">
        <f>IF('Staging Table'!C31=1,"",IF(X29=0, 0, W29/X29))</f>
        <v>37.610457338124995</v>
      </c>
      <c r="Z29" s="87">
        <f ca="1">IF('Staging Table'!C31=1,"",(Y29/N29-1)+(RAND()/100000000000000))</f>
        <v>-4.1068915632137805E-2</v>
      </c>
      <c r="AA29" s="53">
        <f t="shared" ca="1" si="0"/>
        <v>93</v>
      </c>
      <c r="AD29" s="216"/>
      <c r="AE29" s="216"/>
      <c r="AF29" s="220"/>
      <c r="AG29" s="216"/>
      <c r="AH29" s="216"/>
    </row>
    <row r="30" spans="2:34">
      <c r="B30" s="3">
        <v>10080</v>
      </c>
      <c r="C30" s="4" t="s">
        <v>33</v>
      </c>
      <c r="D30" s="211">
        <f>IF(Init!$R$9="Yes",'Staging Table'!E32,'Staging Table'!BR32)*Rates_previous!$E$76*100*12</f>
        <v>2330793.9925199999</v>
      </c>
      <c r="E30" s="211">
        <f>IF(Init!$R$9="Yes",'Staging Table'!F32,'Staging Table'!BS32)*Rates_previous!$E$77*100*12</f>
        <v>-235797.5466</v>
      </c>
      <c r="F30" s="212">
        <f>IF(Init!$R$9="Yes",SUMPRODUCT('Staging Table'!L32:AI32,LS_Demand_Rates_Restatement!$C$4:$Z$4)-IF(Init!$R$12="No",('Staging Table'!BH32*Rates_previous!$H$34), 0),SUMPRODUCT('Staging Table'!BY32:CV32,LS_Demand_Rates_Restatement!$C$4:$Z$4)-IF(Init!$R$12="No", 'Staging Table'!DU32*Rates_previous!$H$34, 0))</f>
        <v>-10104.202503871855</v>
      </c>
      <c r="G30" s="212">
        <f>IF(Init!$R$9="Yes",SUMPRODUCT('Staging Table'!AJ32:AU32,LS_Demand_Rates_Restatement!$C$10:$N$10),SUMPRODUCT(LS_Demand_Rates_Restatement!$C$10:$N$10,'Staging Table'!CW32:DH32))*1000</f>
        <v>120720.28836923077</v>
      </c>
      <c r="H30" s="213">
        <f>IF(Init!$R$9="Yes",'Staging Table'!BQ32,'Staging Table'!ED32)*IF(Init!$R$3=2020,Rates_previous!$C$88,Rates_previous!$D$88)</f>
        <v>-42172.861211423253</v>
      </c>
      <c r="I30" s="211">
        <f>IF(Init!$R$9="Yes",IF('Staging Table'!$F$1=2020,(SUM('Staging Table'!AX32:BD32)*Rates_previous!$C$87),(SUM('Staging Table'!AX32:BD32)*Rates_previous!$D$87)),IF('Staging Table'!$F$1=2020,(SUM('Staging Table'!DK32:DQ32)*Rates_previous!$C$87),(SUM('Staging Table'!DK32:DQ32)*Rates_previous!$D$87)))</f>
        <v>28592.214863597594</v>
      </c>
      <c r="J30" s="213">
        <f>IF(Init!$R$9="Yes",IF('Staging Table'!D32=1,'Staging Table'!H32*-1,'Staging Table'!H32*SUM(D30:I30)*(-1)),IF('Staging Table'!D32=1,'Staging Table'!BU32*-1,'Staging Table'!BU32*SUM(D30:I30)*(-1)))</f>
        <v>0</v>
      </c>
      <c r="K30" s="211">
        <f>IF(Init!$R$9="Yes",'Staging Table'!K32,'Staging Table'!BX32)*(-1)*Rates_previous!$H$32</f>
        <v>0</v>
      </c>
      <c r="L30" s="211">
        <f>IF('Staging Table'!C32=1,"",SUM(D30:K30))</f>
        <v>2192031.8854375328</v>
      </c>
      <c r="M30" s="211">
        <f>IF('Staging Table'!C32=1,"",IF(Init!$R$9="Yes",(RT1SC!$C$3*'Staging Table'!E32*'Staging Table'!$F$2)+SUM('Staging Table'!L32:AI32)-IF(Init!$R$12="No",'Staging Table'!BH32, 0),X30))</f>
        <v>57819.9452713012</v>
      </c>
      <c r="N30" s="95">
        <f>IF('Staging Table'!C32=1,"",IF(M30=0, 0, L30/M30))</f>
        <v>37.911344868144369</v>
      </c>
      <c r="O30" s="211">
        <f>'Staging Table'!BR32*Rates_current!$E$76*100*12</f>
        <v>2442225.8554136967</v>
      </c>
      <c r="P30" s="211">
        <f>'Staging Table'!BS32*Rates_current!$E$77*100*12</f>
        <v>-403217.3488354517</v>
      </c>
      <c r="Q30" s="212">
        <f>SUMPRODUCT('Staging Table'!BY32:CV32, LS_Demand_Rates_Restatement!$C$5:$Z$5)-IF(Init!$R$12="No",('Staging Table'!DU32*Rates_current!$H$34), 0)</f>
        <v>-29377.610813092168</v>
      </c>
      <c r="R30" s="212">
        <f>SUMPRODUCT('Staging Table'!CW32:DH32, LS_Demand_Rates_Restatement!$C$11:$N$11)*1000</f>
        <v>116424.17900875176</v>
      </c>
      <c r="S30" s="213">
        <f>'Staging Table'!ED32*IF(Init!$R$15="Yes",IF(Init!$R$6=2022,Rates_current!$C$88,Rates_current!$D$88),Rates_current!$H$33)</f>
        <v>-13892.025486726454</v>
      </c>
      <c r="T30" s="213">
        <v>0</v>
      </c>
      <c r="U30" s="213">
        <f>IF('Staging Table'!D32=1, 'Staging Table'!BU32*-1,SUM(O30:T30)*'Staging Table'!BU32*-1)</f>
        <v>0</v>
      </c>
      <c r="V30" s="211">
        <f>'Staging Table'!BX32*Rates_current!$H$32*-1</f>
        <v>0</v>
      </c>
      <c r="W30" s="211">
        <f>IF('Staging Table'!C32=1,"",SUM(O30:V30))</f>
        <v>2112163.0492871781</v>
      </c>
      <c r="X30" s="211">
        <f>IF('Staging Table'!C32=1,"",(RT1SC!$C$4*'Staging Table'!BR32*'Staging Table'!$BS$2)+SUM('Staging Table'!BY32:CV32)-IF(Init!$R$12="No",'Staging Table'!DU32, 0))</f>
        <v>57819.946074185529</v>
      </c>
      <c r="Y30" s="95">
        <f>IF('Staging Table'!C32=1,"",IF(X30=0, 0, W30/X30))</f>
        <v>36.530007250044477</v>
      </c>
      <c r="Z30" s="87">
        <f ca="1">IF('Staging Table'!C32=1,"",(Y30/N30-1)+(RAND()/100000000000000))</f>
        <v>-3.6435996214433684E-2</v>
      </c>
      <c r="AA30" s="53">
        <f t="shared" ca="1" si="0"/>
        <v>64</v>
      </c>
      <c r="AD30" s="216"/>
      <c r="AE30" s="216"/>
      <c r="AF30" s="220"/>
      <c r="AG30" s="216"/>
      <c r="AH30" s="216"/>
    </row>
    <row r="31" spans="2:34">
      <c r="B31" s="3">
        <v>10081</v>
      </c>
      <c r="C31" s="4" t="s">
        <v>34</v>
      </c>
      <c r="D31" s="211">
        <f>IF(Init!$R$9="Yes",'Staging Table'!E33,'Staging Table'!BR33)*Rates_previous!$E$76*100*12</f>
        <v>3518650.4598000003</v>
      </c>
      <c r="E31" s="211">
        <f>IF(Init!$R$9="Yes",'Staging Table'!F33,'Staging Table'!BS33)*Rates_previous!$E$77*100*12</f>
        <v>-355968.45899999997</v>
      </c>
      <c r="F31" s="212">
        <f>IF(Init!$R$9="Yes",SUMPRODUCT('Staging Table'!L33:AI33,LS_Demand_Rates_Restatement!$C$4:$Z$4)-IF(Init!$R$12="No",('Staging Table'!BH33*Rates_previous!$H$34), 0),SUMPRODUCT('Staging Table'!BY33:CV33,LS_Demand_Rates_Restatement!$C$4:$Z$4)-IF(Init!$R$12="No", 'Staging Table'!DU33*Rates_previous!$H$34, 0))</f>
        <v>-136573.09422231207</v>
      </c>
      <c r="G31" s="212">
        <f>IF(Init!$R$9="Yes",SUMPRODUCT('Staging Table'!AJ33:AU33,LS_Demand_Rates_Restatement!$C$10:$N$10),SUMPRODUCT(LS_Demand_Rates_Restatement!$C$10:$N$10,'Staging Table'!CW33:DH33))*1000</f>
        <v>169942.1736408119</v>
      </c>
      <c r="H31" s="213">
        <f>IF(Init!$R$9="Yes",'Staging Table'!BQ33,'Staging Table'!ED33)*IF(Init!$R$3=2020,Rates_previous!$C$88,Rates_previous!$D$88)</f>
        <v>-180900.93072439689</v>
      </c>
      <c r="I31" s="211">
        <f>IF(Init!$R$9="Yes",IF('Staging Table'!$F$1=2020,(SUM('Staging Table'!AX33:BD33)*Rates_previous!$C$87),(SUM('Staging Table'!AX33:BD33)*Rates_previous!$D$87)),IF('Staging Table'!$F$1=2020,(SUM('Staging Table'!DK33:DQ33)*Rates_previous!$C$87),(SUM('Staging Table'!DK33:DQ33)*Rates_previous!$D$87)))</f>
        <v>43163.836143118431</v>
      </c>
      <c r="J31" s="213">
        <f>IF(Init!$R$9="Yes",IF('Staging Table'!D33=1,'Staging Table'!H33*-1,'Staging Table'!H33*SUM(D31:I31)*(-1)),IF('Staging Table'!D33=1,'Staging Table'!BU33*-1,'Staging Table'!BU33*SUM(D31:I31)*(-1)))</f>
        <v>0</v>
      </c>
      <c r="K31" s="211">
        <f>IF(Init!$R$9="Yes",'Staging Table'!K33,'Staging Table'!BX33)*(-1)*Rates_previous!$H$32</f>
        <v>0</v>
      </c>
      <c r="L31" s="211">
        <f>IF('Staging Table'!C33=1,"",SUM(D31:K31))</f>
        <v>3058313.985637222</v>
      </c>
      <c r="M31" s="211">
        <f>IF('Staging Table'!C33=1,"",IF(Init!$R$9="Yes",(RT1SC!$C$3*'Staging Table'!E33*'Staging Table'!$F$2)+SUM('Staging Table'!L33:AI33)-IF(Init!$R$12="No",'Staging Table'!BH33, 0),X31))</f>
        <v>79801.816428838007</v>
      </c>
      <c r="N31" s="95">
        <f>IF('Staging Table'!C33=1,"",IF(M31=0, 0, L31/M31))</f>
        <v>38.323864324121303</v>
      </c>
      <c r="O31" s="211">
        <f>'Staging Table'!BR33*Rates_current!$E$76*100*12</f>
        <v>3283239.8062125808</v>
      </c>
      <c r="P31" s="211">
        <f>'Staging Table'!BS33*Rates_current!$E$77*100*12</f>
        <v>-542070.7701204014</v>
      </c>
      <c r="Q31" s="212">
        <f>SUMPRODUCT('Staging Table'!BY33:CV33, LS_Demand_Rates_Restatement!$C$5:$Z$5)-IF(Init!$R$12="No",('Staging Table'!DU33*Rates_current!$H$34), 0)</f>
        <v>56342.721011106158</v>
      </c>
      <c r="R31" s="212">
        <f>SUMPRODUCT('Staging Table'!CW33:DH33, LS_Demand_Rates_Restatement!$C$11:$N$11)*1000</f>
        <v>166183.44602279202</v>
      </c>
      <c r="S31" s="213">
        <f>'Staging Table'!ED33*IF(Init!$R$15="Yes",IF(Init!$R$6=2022,Rates_current!$C$88,Rates_current!$D$88),Rates_current!$H$33)</f>
        <v>-6059.0601184488114</v>
      </c>
      <c r="T31" s="213">
        <v>0</v>
      </c>
      <c r="U31" s="213">
        <f>IF('Staging Table'!D33=1, 'Staging Table'!BU33*-1,SUM(O31:T31)*'Staging Table'!BU33*-1)</f>
        <v>0</v>
      </c>
      <c r="V31" s="211">
        <f>'Staging Table'!BX33*Rates_current!$H$32*-1</f>
        <v>0</v>
      </c>
      <c r="W31" s="211">
        <f>IF('Staging Table'!C33=1,"",SUM(O31:V31))</f>
        <v>2957636.1430076286</v>
      </c>
      <c r="X31" s="211">
        <f>IF('Staging Table'!C33=1,"",(RT1SC!$C$4*'Staging Table'!BR33*'Staging Table'!$BS$2)+SUM('Staging Table'!BY33:CV33)-IF(Init!$R$12="No",'Staging Table'!DU33, 0))</f>
        <v>79801.817132823446</v>
      </c>
      <c r="Y31" s="95">
        <f>IF('Staging Table'!C33=1,"",IF(X31=0, 0, W31/X31))</f>
        <v>37.062265613386856</v>
      </c>
      <c r="Z31" s="87">
        <f ca="1">IF('Staging Table'!C33=1,"",(Y31/N31-1)+(RAND()/100000000000000))</f>
        <v>-3.2919402387621054E-2</v>
      </c>
      <c r="AA31" s="53">
        <f t="shared" ca="1" si="0"/>
        <v>34</v>
      </c>
      <c r="AD31" s="216"/>
      <c r="AE31" s="216"/>
      <c r="AF31" s="220"/>
      <c r="AG31" s="216"/>
      <c r="AH31" s="216"/>
    </row>
    <row r="32" spans="2:34">
      <c r="B32" s="3">
        <v>10082</v>
      </c>
      <c r="C32" s="4" t="s">
        <v>35</v>
      </c>
      <c r="D32" s="211">
        <f>IF(Init!$R$9="Yes",'Staging Table'!E34,'Staging Table'!BR34)*Rates_previous!$E$76*100*12</f>
        <v>31847.292240000002</v>
      </c>
      <c r="E32" s="211">
        <f>IF(Init!$R$9="Yes",'Staging Table'!F34,'Staging Table'!BS34)*Rates_previous!$E$77*100*12</f>
        <v>-3221.8692000000001</v>
      </c>
      <c r="F32" s="212">
        <f>IF(Init!$R$9="Yes",SUMPRODUCT('Staging Table'!L34:AI34,LS_Demand_Rates_Restatement!$C$4:$Z$4)-IF(Init!$R$12="No",('Staging Table'!BH34*Rates_previous!$H$34), 0),SUMPRODUCT('Staging Table'!BY34:CV34,LS_Demand_Rates_Restatement!$C$4:$Z$4)-IF(Init!$R$12="No", 'Staging Table'!DU34*Rates_previous!$H$34, 0))</f>
        <v>856.61746940156547</v>
      </c>
      <c r="G32" s="212">
        <f>IF(Init!$R$9="Yes",SUMPRODUCT('Staging Table'!AJ34:AU34,LS_Demand_Rates_Restatement!$C$10:$N$10),SUMPRODUCT(LS_Demand_Rates_Restatement!$C$10:$N$10,'Staging Table'!CW34:DH34))*1000</f>
        <v>1240.9089314458686</v>
      </c>
      <c r="H32" s="213">
        <f>IF(Init!$R$9="Yes",'Staging Table'!BQ34,'Staging Table'!ED34)*IF(Init!$R$3=2020,Rates_previous!$C$88,Rates_previous!$D$88)</f>
        <v>104.04552599870179</v>
      </c>
      <c r="I32" s="211">
        <f>IF(Init!$R$9="Yes",IF('Staging Table'!$F$1=2020,(SUM('Staging Table'!AX34:BD34)*Rates_previous!$C$87),(SUM('Staging Table'!AX34:BD34)*Rates_previous!$D$87)),IF('Staging Table'!$F$1=2020,(SUM('Staging Table'!DK34:DQ34)*Rates_previous!$C$87),(SUM('Staging Table'!DK34:DQ34)*Rates_previous!$D$87)))</f>
        <v>390.67572057939009</v>
      </c>
      <c r="J32" s="213">
        <f>IF(Init!$R$9="Yes",IF('Staging Table'!D34=1,'Staging Table'!H34*-1,'Staging Table'!H34*SUM(D32:I32)*(-1)),IF('Staging Table'!D34=1,'Staging Table'!BU34*-1,'Staging Table'!BU34*SUM(D32:I32)*(-1)))</f>
        <v>0</v>
      </c>
      <c r="K32" s="211">
        <f>IF(Init!$R$9="Yes",'Staging Table'!K34,'Staging Table'!BX34)*(-1)*Rates_previous!$H$32</f>
        <v>0</v>
      </c>
      <c r="L32" s="211">
        <f>IF('Staging Table'!C34=1,"",SUM(D32:K32))</f>
        <v>31217.670687425529</v>
      </c>
      <c r="M32" s="211">
        <f>IF('Staging Table'!C34=1,"",IF(Init!$R$9="Yes",(RT1SC!$C$3*'Staging Table'!E34*'Staging Table'!$F$2)+SUM('Staging Table'!L34:AI34)-IF(Init!$R$12="No",'Staging Table'!BH34, 0),X32))</f>
        <v>832.34003103439989</v>
      </c>
      <c r="N32" s="95">
        <f>IF('Staging Table'!C34=1,"",IF(M32=0, 0, L32/M32))</f>
        <v>37.505910473426852</v>
      </c>
      <c r="O32" s="211">
        <f>'Staging Table'!BR34*Rates_current!$E$76*100*12</f>
        <v>33813.2212896044</v>
      </c>
      <c r="P32" s="211">
        <f>'Staging Table'!BS34*Rates_current!$E$77*100*12</f>
        <v>-5582.643969540326</v>
      </c>
      <c r="Q32" s="212">
        <f>SUMPRODUCT('Staging Table'!BY34:CV34, LS_Demand_Rates_Restatement!$C$5:$Z$5)-IF(Init!$R$12="No",('Staging Table'!DU34*Rates_current!$H$34), 0)</f>
        <v>747.75918469403064</v>
      </c>
      <c r="R32" s="212">
        <f>SUMPRODUCT('Staging Table'!CW34:DH34, LS_Demand_Rates_Restatement!$C$11:$N$11)*1000</f>
        <v>1105.9940660167381</v>
      </c>
      <c r="S32" s="213">
        <f>'Staging Table'!ED34*IF(Init!$R$15="Yes",IF(Init!$R$6=2022,Rates_current!$C$88,Rates_current!$D$88),Rates_current!$H$33)</f>
        <v>0.85566005906975762</v>
      </c>
      <c r="T32" s="213">
        <v>0</v>
      </c>
      <c r="U32" s="213">
        <f>IF('Staging Table'!D34=1, 'Staging Table'!BU34*-1,SUM(O32:T32)*'Staging Table'!BU34*-1)</f>
        <v>0</v>
      </c>
      <c r="V32" s="211">
        <f>'Staging Table'!BX34*Rates_current!$H$32*-1</f>
        <v>0</v>
      </c>
      <c r="W32" s="211">
        <f>IF('Staging Table'!C34=1,"",SUM(O32:V32))</f>
        <v>30085.186230833915</v>
      </c>
      <c r="X32" s="211">
        <f>IF('Staging Table'!C34=1,"",(RT1SC!$C$4*'Staging Table'!BR34*'Staging Table'!$BS$2)+SUM('Staging Table'!BY34:CV34)-IF(Init!$R$12="No",'Staging Table'!DU34, 0))</f>
        <v>832.34004256285925</v>
      </c>
      <c r="Y32" s="95">
        <f>IF('Staging Table'!C34=1,"",IF(X32=0, 0, W32/X32))</f>
        <v>36.145306836612811</v>
      </c>
      <c r="Z32" s="87">
        <f ca="1">IF('Staging Table'!C34=1,"",(Y32/N32-1)+(RAND()/100000000000000))</f>
        <v>-3.6277045927944167E-2</v>
      </c>
      <c r="AA32" s="53">
        <f t="shared" ca="1" si="0"/>
        <v>60</v>
      </c>
      <c r="AD32" s="216"/>
      <c r="AE32" s="216"/>
      <c r="AF32" s="220"/>
      <c r="AG32" s="216"/>
      <c r="AH32" s="216"/>
    </row>
    <row r="33" spans="2:34">
      <c r="B33" s="3">
        <v>10083</v>
      </c>
      <c r="C33" s="4" t="s">
        <v>36</v>
      </c>
      <c r="D33" s="211">
        <f>IF(Init!$R$9="Yes",'Staging Table'!E35,'Staging Table'!BR35)*Rates_previous!$E$76*100*12</f>
        <v>2814682.7014799993</v>
      </c>
      <c r="E33" s="211">
        <f>IF(Init!$R$9="Yes",'Staging Table'!F35,'Staging Table'!BS35)*Rates_previous!$E$77*100*12</f>
        <v>-284750.72339999996</v>
      </c>
      <c r="F33" s="212">
        <f>IF(Init!$R$9="Yes",SUMPRODUCT('Staging Table'!L35:AI35,LS_Demand_Rates_Restatement!$C$4:$Z$4)-IF(Init!$R$12="No",('Staging Table'!BH35*Rates_previous!$H$34), 0),SUMPRODUCT('Staging Table'!BY35:CV35,LS_Demand_Rates_Restatement!$C$4:$Z$4)-IF(Init!$R$12="No", 'Staging Table'!DU35*Rates_previous!$H$34, 0))</f>
        <v>52190.901000885096</v>
      </c>
      <c r="G33" s="212">
        <f>IF(Init!$R$9="Yes",SUMPRODUCT('Staging Table'!AJ35:AU35,LS_Demand_Rates_Restatement!$C$10:$N$10),SUMPRODUCT(LS_Demand_Rates_Restatement!$C$10:$N$10,'Staging Table'!CW35:DH35))*1000</f>
        <v>170354.08419583333</v>
      </c>
      <c r="H33" s="213">
        <f>IF(Init!$R$9="Yes",'Staging Table'!BQ35,'Staging Table'!ED35)*IF(Init!$R$3=2020,Rates_previous!$C$88,Rates_previous!$D$88)</f>
        <v>0</v>
      </c>
      <c r="I33" s="211">
        <f>IF(Init!$R$9="Yes",IF('Staging Table'!$F$1=2020,(SUM('Staging Table'!AX35:BD35)*Rates_previous!$C$87),(SUM('Staging Table'!AX35:BD35)*Rates_previous!$D$87)),IF('Staging Table'!$F$1=2020,(SUM('Staging Table'!DK35:DQ35)*Rates_previous!$C$87),(SUM('Staging Table'!DK35:DQ35)*Rates_previous!$D$87)))</f>
        <v>34528.153424042655</v>
      </c>
      <c r="J33" s="213">
        <f>IF(Init!$R$9="Yes",IF('Staging Table'!D35=1,'Staging Table'!H35*-1,'Staging Table'!H35*SUM(D33:I33)*(-1)),IF('Staging Table'!D35=1,'Staging Table'!BU35*-1,'Staging Table'!BU35*SUM(D33:I33)*(-1)))</f>
        <v>0</v>
      </c>
      <c r="K33" s="211">
        <f>IF(Init!$R$9="Yes",'Staging Table'!K35,'Staging Table'!BX35)*(-1)*Rates_previous!$H$32</f>
        <v>0</v>
      </c>
      <c r="L33" s="211">
        <f>IF('Staging Table'!C35=1,"",SUM(D33:K33))</f>
        <v>2787005.1167007606</v>
      </c>
      <c r="M33" s="211">
        <f>IF('Staging Table'!C35=1,"",IF(Init!$R$9="Yes",(RT1SC!$C$3*'Staging Table'!E35*'Staging Table'!$F$2)+SUM('Staging Table'!L35:AI35)-IF(Init!$R$12="No",'Staging Table'!BH35, 0),X33))</f>
        <v>73074.096000000005</v>
      </c>
      <c r="N33" s="95">
        <f>IF('Staging Table'!C35=1,"",IF(M33=0, 0, L33/M33))</f>
        <v>38.139440229281256</v>
      </c>
      <c r="O33" s="211">
        <f>'Staging Table'!BR35*Rates_current!$E$76*100*12</f>
        <v>2840070.7782467012</v>
      </c>
      <c r="P33" s="211">
        <f>'Staging Table'!BS35*Rates_current!$E$77*100*12</f>
        <v>-468902.50022174523</v>
      </c>
      <c r="Q33" s="212">
        <f>SUMPRODUCT('Staging Table'!BY35:CV35, LS_Demand_Rates_Restatement!$C$5:$Z$5)-IF(Init!$R$12="No",('Staging Table'!DU35*Rates_current!$H$34), 0)</f>
        <v>42904.673805771657</v>
      </c>
      <c r="R33" s="212">
        <f>SUMPRODUCT('Staging Table'!CW35:DH35, LS_Demand_Rates_Restatement!$C$11:$N$11)*1000</f>
        <v>162206.74575780804</v>
      </c>
      <c r="S33" s="213">
        <f>'Staging Table'!ED35*IF(Init!$R$15="Yes",IF(Init!$R$6=2022,Rates_current!$C$88,Rates_current!$D$88),Rates_current!$H$33)</f>
        <v>0</v>
      </c>
      <c r="T33" s="213">
        <v>0</v>
      </c>
      <c r="U33" s="213">
        <f>IF('Staging Table'!D35=1, 'Staging Table'!BU35*-1,SUM(O33:T33)*'Staging Table'!BU35*-1)</f>
        <v>0</v>
      </c>
      <c r="V33" s="211">
        <f>'Staging Table'!BX35*Rates_current!$H$32*-1</f>
        <v>0</v>
      </c>
      <c r="W33" s="211">
        <f>IF('Staging Table'!C35=1,"",SUM(O33:V33))</f>
        <v>2576279.697588536</v>
      </c>
      <c r="X33" s="211">
        <f>IF('Staging Table'!C35=1,"",(RT1SC!$C$4*'Staging Table'!BR35*'Staging Table'!$BS$2)+SUM('Staging Table'!BY35:CV35)-IF(Init!$R$12="No",'Staging Table'!DU35, 0))</f>
        <v>69887.28</v>
      </c>
      <c r="Y33" s="95">
        <f>IF('Staging Table'!C35=1,"",IF(X33=0, 0, W33/X33))</f>
        <v>36.863356215731045</v>
      </c>
      <c r="Z33" s="87">
        <f ca="1">IF('Staging Table'!C35=1,"",(Y33/N33-1)+(RAND()/100000000000000))</f>
        <v>-3.3458383392062786E-2</v>
      </c>
      <c r="AA33" s="53">
        <f t="shared" ca="1" si="0"/>
        <v>39</v>
      </c>
      <c r="AD33" s="216"/>
      <c r="AE33" s="216"/>
      <c r="AF33" s="220"/>
      <c r="AG33" s="216"/>
      <c r="AH33" s="216"/>
    </row>
    <row r="34" spans="2:34">
      <c r="B34" s="3">
        <v>10086</v>
      </c>
      <c r="C34" s="4" t="s">
        <v>37</v>
      </c>
      <c r="D34" s="211">
        <f>IF(Init!$R$9="Yes",'Staging Table'!E36,'Staging Table'!BR36)*Rates_previous!$E$76*100*12</f>
        <v>1310492.30904</v>
      </c>
      <c r="E34" s="211">
        <f>IF(Init!$R$9="Yes",'Staging Table'!F36,'Staging Table'!BS36)*Rates_previous!$E$77*100*12</f>
        <v>-132577.51319999999</v>
      </c>
      <c r="F34" s="212">
        <f>IF(Init!$R$9="Yes",SUMPRODUCT('Staging Table'!L36:AI36,LS_Demand_Rates_Restatement!$C$4:$Z$4)-IF(Init!$R$12="No",('Staging Table'!BH36*Rates_previous!$H$34), 0),SUMPRODUCT('Staging Table'!BY36:CV36,LS_Demand_Rates_Restatement!$C$4:$Z$4)-IF(Init!$R$12="No", 'Staging Table'!DU36*Rates_previous!$H$34, 0))</f>
        <v>13159.068407315224</v>
      </c>
      <c r="G34" s="212">
        <f>IF(Init!$R$9="Yes",SUMPRODUCT('Staging Table'!AJ36:AU36,LS_Demand_Rates_Restatement!$C$10:$N$10),SUMPRODUCT(LS_Demand_Rates_Restatement!$C$10:$N$10,'Staging Table'!CW36:DH36))*1000</f>
        <v>80753.392624038461</v>
      </c>
      <c r="H34" s="213">
        <f>IF(Init!$R$9="Yes",'Staging Table'!BQ36,'Staging Table'!ED36)*IF(Init!$R$3=2020,Rates_previous!$C$88,Rates_previous!$D$88)</f>
        <v>-6017.4759415161016</v>
      </c>
      <c r="I34" s="211">
        <f>IF(Init!$R$9="Yes",IF('Staging Table'!$F$1=2020,(SUM('Staging Table'!AX36:BD36)*Rates_previous!$C$87),(SUM('Staging Table'!AX36:BD36)*Rates_previous!$D$87)),IF('Staging Table'!$F$1=2020,(SUM('Staging Table'!DK36:DQ36)*Rates_previous!$C$87),(SUM('Staging Table'!DK36:DQ36)*Rates_previous!$D$87)))</f>
        <v>16076.01435279669</v>
      </c>
      <c r="J34" s="213">
        <f>IF(Init!$R$9="Yes",IF('Staging Table'!D36=1,'Staging Table'!H36*-1,'Staging Table'!H36*SUM(D34:I34)*(-1)),IF('Staging Table'!D36=1,'Staging Table'!BU36*-1,'Staging Table'!BU36*SUM(D34:I34)*(-1)))</f>
        <v>0</v>
      </c>
      <c r="K34" s="211">
        <f>IF(Init!$R$9="Yes",'Staging Table'!K36,'Staging Table'!BX36)*(-1)*Rates_previous!$H$32</f>
        <v>0</v>
      </c>
      <c r="L34" s="211">
        <f>IF('Staging Table'!C36=1,"",SUM(D34:K34))</f>
        <v>1281885.7952826344</v>
      </c>
      <c r="M34" s="211">
        <f>IF('Staging Table'!C36=1,"",IF(Init!$R$9="Yes",(RT1SC!$C$3*'Staging Table'!E36*'Staging Table'!$F$2)+SUM('Staging Table'!L36:AI36)-IF(Init!$R$12="No",'Staging Table'!BH36, 0),X34))</f>
        <v>33636.174277042395</v>
      </c>
      <c r="N34" s="95">
        <f>IF('Staging Table'!C36=1,"",IF(M34=0, 0, L34/M34))</f>
        <v>38.110332784116785</v>
      </c>
      <c r="O34" s="211">
        <f>'Staging Table'!BR36*Rates_current!$E$76*100*12</f>
        <v>1339579.1072604978</v>
      </c>
      <c r="P34" s="211">
        <f>'Staging Table'!BS36*Rates_current!$E$77*100*12</f>
        <v>-221167.72492093802</v>
      </c>
      <c r="Q34" s="212">
        <f>SUMPRODUCT('Staging Table'!BY36:CV36, LS_Demand_Rates_Restatement!$C$5:$Z$5)-IF(Init!$R$12="No",('Staging Table'!DU36*Rates_current!$H$34), 0)</f>
        <v>16616.832080672848</v>
      </c>
      <c r="R34" s="212">
        <f>SUMPRODUCT('Staging Table'!CW36:DH36, LS_Demand_Rates_Restatement!$C$11:$N$11)*1000</f>
        <v>73404.587627519606</v>
      </c>
      <c r="S34" s="213">
        <f>'Staging Table'!ED36*IF(Init!$R$15="Yes",IF(Init!$R$6=2022,Rates_current!$C$88,Rates_current!$D$88),Rates_current!$H$33)</f>
        <v>0</v>
      </c>
      <c r="T34" s="213">
        <v>0</v>
      </c>
      <c r="U34" s="213">
        <f>IF('Staging Table'!D36=1, 'Staging Table'!BU36*-1,SUM(O34:T34)*'Staging Table'!BU36*-1)</f>
        <v>0</v>
      </c>
      <c r="V34" s="211">
        <f>'Staging Table'!BX36*Rates_current!$H$32*-1</f>
        <v>0</v>
      </c>
      <c r="W34" s="211">
        <f>IF('Staging Table'!C36=1,"",SUM(O34:V34))</f>
        <v>1208432.8020477523</v>
      </c>
      <c r="X34" s="211">
        <f>IF('Staging Table'!C36=1,"",(RT1SC!$C$4*'Staging Table'!BR36*'Staging Table'!$BS$2)+SUM('Staging Table'!BY36:CV36)-IF(Init!$R$12="No",'Staging Table'!DU36, 0))</f>
        <v>32963.879999999997</v>
      </c>
      <c r="Y34" s="95">
        <f>IF('Staging Table'!C36=1,"",IF(X34=0, 0, W34/X34))</f>
        <v>36.659301091004835</v>
      </c>
      <c r="Z34" s="87">
        <f ca="1">IF('Staging Table'!C36=1,"",(Y34/N34-1)+(RAND()/100000000000000))</f>
        <v>-3.8074495474268409E-2</v>
      </c>
      <c r="AA34" s="53">
        <f t="shared" ca="1" si="0"/>
        <v>80</v>
      </c>
      <c r="AD34" s="216"/>
      <c r="AE34" s="216"/>
      <c r="AF34" s="220"/>
      <c r="AG34" s="216"/>
      <c r="AH34" s="216"/>
    </row>
    <row r="35" spans="2:34">
      <c r="B35" s="3">
        <v>10087</v>
      </c>
      <c r="C35" s="4" t="s">
        <v>38</v>
      </c>
      <c r="D35" s="211">
        <f>IF(Init!$R$9="Yes",'Staging Table'!E37,'Staging Table'!BR37)*Rates_previous!$E$76*100*12</f>
        <v>10376513.2776</v>
      </c>
      <c r="E35" s="211">
        <f>IF(Init!$R$9="Yes",'Staging Table'!F37,'Staging Table'!BS37)*Rates_previous!$E$77*100*12</f>
        <v>-1049752.308</v>
      </c>
      <c r="F35" s="212">
        <f>IF(Init!$R$9="Yes",SUMPRODUCT('Staging Table'!L37:AI37,LS_Demand_Rates_Restatement!$C$4:$Z$4)-IF(Init!$R$12="No",('Staging Table'!BH37*Rates_previous!$H$34), 0),SUMPRODUCT('Staging Table'!BY37:CV37,LS_Demand_Rates_Restatement!$C$4:$Z$4)-IF(Init!$R$12="No", 'Staging Table'!DU37*Rates_previous!$H$34, 0))</f>
        <v>2337352.7740606898</v>
      </c>
      <c r="G35" s="212">
        <f>IF(Init!$R$9="Yes",SUMPRODUCT('Staging Table'!AJ37:AU37,LS_Demand_Rates_Restatement!$C$10:$N$10),SUMPRODUCT(LS_Demand_Rates_Restatement!$C$10:$N$10,'Staging Table'!CW37:DH37))*1000</f>
        <v>0</v>
      </c>
      <c r="H35" s="213">
        <f>IF(Init!$R$9="Yes",'Staging Table'!BQ37,'Staging Table'!ED37)*IF(Init!$R$3=2020,Rates_previous!$C$88,Rates_previous!$D$88)</f>
        <v>1736416.7727685329</v>
      </c>
      <c r="I35" s="211">
        <f>IF(Init!$R$9="Yes",IF('Staging Table'!$F$1=2020,(SUM('Staging Table'!AX37:BD37)*Rates_previous!$C$87),(SUM('Staging Table'!AX37:BD37)*Rates_previous!$D$87)),IF('Staging Table'!$F$1=2020,(SUM('Staging Table'!DK37:DQ37)*Rates_previous!$C$87),(SUM('Staging Table'!DK37:DQ37)*Rates_previous!$D$87)))</f>
        <v>127290.31313803114</v>
      </c>
      <c r="J35" s="213">
        <f>IF(Init!$R$9="Yes",IF('Staging Table'!D37=1,'Staging Table'!H37*-1,'Staging Table'!H37*SUM(D35:I35)*(-1)),IF('Staging Table'!D37=1,'Staging Table'!BU37*-1,'Staging Table'!BU37*SUM(D35:I35)*(-1)))</f>
        <v>0</v>
      </c>
      <c r="K35" s="211">
        <f>IF(Init!$R$9="Yes",'Staging Table'!K37,'Staging Table'!BX37)*(-1)*Rates_previous!$H$32</f>
        <v>0</v>
      </c>
      <c r="L35" s="211">
        <f>IF('Staging Table'!C37=1,"",SUM(D35:K35))</f>
        <v>13527820.829567252</v>
      </c>
      <c r="M35" s="211">
        <f>IF('Staging Table'!C37=1,"",IF(Init!$R$9="Yes",(RT1SC!$C$3*'Staging Table'!E37*'Staging Table'!$F$2)+SUM('Staging Table'!L37:AI37)-IF(Init!$R$12="No",'Staging Table'!BH37, 0),X35))</f>
        <v>380278.79311165598</v>
      </c>
      <c r="N35" s="95">
        <f>IF('Staging Table'!C37=1,"",IF(M35=0, 0, L35/M35))</f>
        <v>35.573429480184728</v>
      </c>
      <c r="O35" s="211">
        <f>'Staging Table'!BR37*Rates_current!$E$76*100*12</f>
        <v>20030616.557849549</v>
      </c>
      <c r="P35" s="211">
        <f>'Staging Table'!BS37*Rates_current!$E$77*100*12</f>
        <v>-3307102.8570481902</v>
      </c>
      <c r="Q35" s="212">
        <f>SUMPRODUCT('Staging Table'!BY37:CV37, LS_Demand_Rates_Restatement!$C$5:$Z$5)-IF(Init!$R$12="No",('Staging Table'!DU37*Rates_current!$H$34), 0)</f>
        <v>-2991458.3604948339</v>
      </c>
      <c r="R35" s="212">
        <f>SUMPRODUCT('Staging Table'!CW37:DH37, LS_Demand_Rates_Restatement!$C$11:$N$11)*1000</f>
        <v>1720.5996634615576</v>
      </c>
      <c r="S35" s="213">
        <f>'Staging Table'!ED37*IF(Init!$R$15="Yes",IF(Init!$R$6=2022,Rates_current!$C$88,Rates_current!$D$88),Rates_current!$H$33)</f>
        <v>-688108.88301358931</v>
      </c>
      <c r="T35" s="213">
        <v>0</v>
      </c>
      <c r="U35" s="213">
        <f>IF('Staging Table'!D37=1, 'Staging Table'!BU37*-1,SUM(O35:T35)*'Staging Table'!BU37*-1)</f>
        <v>0</v>
      </c>
      <c r="V35" s="211">
        <f>'Staging Table'!BX37*Rates_current!$H$32*-1</f>
        <v>0</v>
      </c>
      <c r="W35" s="211">
        <f>IF('Staging Table'!C37=1,"",SUM(O35:V35))</f>
        <v>13045667.056956396</v>
      </c>
      <c r="X35" s="211">
        <f>IF('Staging Table'!C37=1,"",(RT1SC!$C$4*'Staging Table'!BR37*'Staging Table'!$BS$2)+SUM('Staging Table'!BY37:CV37)-IF(Init!$R$12="No",'Staging Table'!DU37, 0))</f>
        <v>380278.80821381521</v>
      </c>
      <c r="Y35" s="95">
        <f>IF('Staging Table'!C37=1,"",IF(X35=0, 0, W35/X35))</f>
        <v>34.305532612328349</v>
      </c>
      <c r="Z35" s="87">
        <f ca="1">IF('Staging Table'!C37=1,"",(Y35/N35-1)+(RAND()/100000000000000))</f>
        <v>-3.5641682187609804E-2</v>
      </c>
      <c r="AA35" s="53">
        <f t="shared" ca="1" si="0"/>
        <v>54</v>
      </c>
      <c r="AD35" s="216"/>
      <c r="AE35" s="216"/>
      <c r="AF35" s="220"/>
      <c r="AG35" s="216"/>
      <c r="AH35" s="216"/>
    </row>
    <row r="36" spans="2:34">
      <c r="B36" s="3">
        <v>10089</v>
      </c>
      <c r="C36" s="4" t="s">
        <v>39</v>
      </c>
      <c r="D36" s="211">
        <f>IF(Init!$R$9="Yes",'Staging Table'!E38,'Staging Table'!BR38)*Rates_previous!$E$76*100*12</f>
        <v>34952640.89976</v>
      </c>
      <c r="E36" s="211">
        <f>IF(Init!$R$9="Yes",'Staging Table'!F38,'Staging Table'!BS38)*Rates_previous!$E$77*100*12</f>
        <v>-3536025.4908000003</v>
      </c>
      <c r="F36" s="212">
        <f>IF(Init!$R$9="Yes",SUMPRODUCT('Staging Table'!L38:AI38,LS_Demand_Rates_Restatement!$C$4:$Z$4)-IF(Init!$R$12="No",('Staging Table'!BH38*Rates_previous!$H$34), 0),SUMPRODUCT('Staging Table'!BY38:CV38,LS_Demand_Rates_Restatement!$C$4:$Z$4)-IF(Init!$R$12="No", 'Staging Table'!DU38*Rates_previous!$H$34, 0))</f>
        <v>-460114.80557618837</v>
      </c>
      <c r="G36" s="212">
        <f>IF(Init!$R$9="Yes",SUMPRODUCT('Staging Table'!AJ38:AU38,LS_Demand_Rates_Restatement!$C$10:$N$10),SUMPRODUCT(LS_Demand_Rates_Restatement!$C$10:$N$10,'Staging Table'!CW38:DH38))*1000</f>
        <v>1774559.2855835822</v>
      </c>
      <c r="H36" s="213">
        <f>IF(Init!$R$9="Yes",'Staging Table'!BQ38,'Staging Table'!ED38)*IF(Init!$R$3=2020,Rates_previous!$C$88,Rates_previous!$D$88)</f>
        <v>0</v>
      </c>
      <c r="I36" s="211">
        <f>IF(Init!$R$9="Yes",IF('Staging Table'!$F$1=2020,(SUM('Staging Table'!AX38:BD38)*Rates_previous!$C$87),(SUM('Staging Table'!AX38:BD38)*Rates_previous!$D$87)),IF('Staging Table'!$F$1=2020,(SUM('Staging Table'!DK38:DQ38)*Rates_previous!$C$87),(SUM('Staging Table'!DK38:DQ38)*Rates_previous!$D$87)))</f>
        <v>428769.51882633276</v>
      </c>
      <c r="J36" s="213">
        <f>IF(Init!$R$9="Yes",IF('Staging Table'!D38=1,'Staging Table'!H38*-1,'Staging Table'!H38*SUM(D36:I36)*(-1)),IF('Staging Table'!D38=1,'Staging Table'!BU38*-1,'Staging Table'!BU38*SUM(D36:I36)*(-1)))</f>
        <v>0</v>
      </c>
      <c r="K36" s="211">
        <f>IF(Init!$R$9="Yes",'Staging Table'!K38,'Staging Table'!BX38)*(-1)*Rates_previous!$H$32</f>
        <v>0</v>
      </c>
      <c r="L36" s="211">
        <f>IF('Staging Table'!C38=1,"",SUM(D36:K36))</f>
        <v>33159829.407793727</v>
      </c>
      <c r="M36" s="211">
        <f>IF('Staging Table'!C38=1,"",IF(Init!$R$9="Yes",(RT1SC!$C$3*'Staging Table'!E38*'Staging Table'!$F$2)+SUM('Staging Table'!L38:AI38)-IF(Init!$R$12="No",'Staging Table'!BH38, 0),X36))</f>
        <v>863912.53606048564</v>
      </c>
      <c r="N36" s="95">
        <f>IF('Staging Table'!C38=1,"",IF(M36=0, 0, L36/M36))</f>
        <v>38.383317782382647</v>
      </c>
      <c r="O36" s="211">
        <f>'Staging Table'!BR38*Rates_current!$E$76*100*12</f>
        <v>35267909.23529759</v>
      </c>
      <c r="P36" s="211">
        <f>'Staging Table'!BS38*Rates_current!$E$77*100*12</f>
        <v>-5822816.4398894869</v>
      </c>
      <c r="Q36" s="212">
        <f>SUMPRODUCT('Staging Table'!BY38:CV38, LS_Demand_Rates_Restatement!$C$5:$Z$5)-IF(Init!$R$12="No",('Staging Table'!DU38*Rates_current!$H$34), 0)</f>
        <v>101623.3283263979</v>
      </c>
      <c r="R36" s="212">
        <f>SUMPRODUCT('Staging Table'!CW38:DH38, LS_Demand_Rates_Restatement!$C$11:$N$11)*1000</f>
        <v>1678680.3775312856</v>
      </c>
      <c r="S36" s="213">
        <f>'Staging Table'!ED38*IF(Init!$R$15="Yes",IF(Init!$R$6=2022,Rates_current!$C$88,Rates_current!$D$88),Rates_current!$H$33)</f>
        <v>0</v>
      </c>
      <c r="T36" s="213">
        <v>0</v>
      </c>
      <c r="U36" s="213">
        <f>IF('Staging Table'!D38=1, 'Staging Table'!BU38*-1,SUM(O36:T36)*'Staging Table'!BU38*-1)</f>
        <v>0</v>
      </c>
      <c r="V36" s="211">
        <f>'Staging Table'!BX38*Rates_current!$H$32*-1</f>
        <v>0</v>
      </c>
      <c r="W36" s="211">
        <f>IF('Staging Table'!C38=1,"",SUM(O36:V36))</f>
        <v>31225396.501265787</v>
      </c>
      <c r="X36" s="211">
        <f>IF('Staging Table'!C38=1,"",(RT1SC!$C$4*'Staging Table'!BR38*'Staging Table'!$BS$2)+SUM('Staging Table'!BY38:CV38)-IF(Init!$R$12="No",'Staging Table'!DU38, 0))</f>
        <v>859366.1783939678</v>
      </c>
      <c r="Y36" s="95">
        <f>IF('Staging Table'!C38=1,"",IF(X36=0, 0, W36/X36))</f>
        <v>36.335379825654272</v>
      </c>
      <c r="Z36" s="87">
        <f ca="1">IF('Staging Table'!C38=1,"",(Y36/N36-1)+(RAND()/100000000000000))</f>
        <v>-5.3354896737674462E-2</v>
      </c>
      <c r="AA36" s="53">
        <f t="shared" ca="1" si="0"/>
        <v>107</v>
      </c>
      <c r="AD36" s="216"/>
      <c r="AE36" s="216"/>
      <c r="AF36" s="220"/>
      <c r="AG36" s="216"/>
      <c r="AH36" s="216"/>
    </row>
    <row r="37" spans="2:34">
      <c r="B37" s="3">
        <v>10091</v>
      </c>
      <c r="C37" s="4" t="s">
        <v>40</v>
      </c>
      <c r="D37" s="211">
        <f>IF(Init!$R$9="Yes",'Staging Table'!E39,'Staging Table'!BR39)*Rates_previous!$E$76*100*12</f>
        <v>3171182.2414800003</v>
      </c>
      <c r="E37" s="211">
        <f>IF(Init!$R$9="Yes",'Staging Table'!F39,'Staging Table'!BS39)*Rates_previous!$E$77*100*12</f>
        <v>-320816.42339999997</v>
      </c>
      <c r="F37" s="212">
        <f>IF(Init!$R$9="Yes",SUMPRODUCT('Staging Table'!L39:AI39,LS_Demand_Rates_Restatement!$C$4:$Z$4)-IF(Init!$R$12="No",('Staging Table'!BH39*Rates_previous!$H$34), 0),SUMPRODUCT('Staging Table'!BY39:CV39,LS_Demand_Rates_Restatement!$C$4:$Z$4)-IF(Init!$R$12="No", 'Staging Table'!DU39*Rates_previous!$H$34, 0))</f>
        <v>34633.022501381165</v>
      </c>
      <c r="G37" s="212">
        <f>IF(Init!$R$9="Yes",SUMPRODUCT('Staging Table'!AJ39:AU39,LS_Demand_Rates_Restatement!$C$10:$N$10),SUMPRODUCT(LS_Demand_Rates_Restatement!$C$10:$N$10,'Staging Table'!CW39:DH39))*1000</f>
        <v>194839.33722471516</v>
      </c>
      <c r="H37" s="213">
        <f>IF(Init!$R$9="Yes",'Staging Table'!BQ39,'Staging Table'!ED39)*IF(Init!$R$3=2020,Rates_previous!$C$88,Rates_previous!$D$88)</f>
        <v>-13085.666846860488</v>
      </c>
      <c r="I37" s="211">
        <f>IF(Init!$R$9="Yes",IF('Staging Table'!$F$1=2020,(SUM('Staging Table'!AX39:BD39)*Rates_previous!$C$87),(SUM('Staging Table'!AX39:BD39)*Rates_previous!$D$87)),IF('Staging Table'!$F$1=2020,(SUM('Staging Table'!DK39:DQ39)*Rates_previous!$C$87),(SUM('Staging Table'!DK39:DQ39)*Rates_previous!$D$87)))</f>
        <v>38901.389102170164</v>
      </c>
      <c r="J37" s="213">
        <f>IF(Init!$R$9="Yes",IF('Staging Table'!D39=1,'Staging Table'!H39*-1,'Staging Table'!H39*SUM(D37:I37)*(-1)),IF('Staging Table'!D39=1,'Staging Table'!BU39*-1,'Staging Table'!BU39*SUM(D37:I37)*(-1)))</f>
        <v>0</v>
      </c>
      <c r="K37" s="211">
        <f>IF(Init!$R$9="Yes",'Staging Table'!K39,'Staging Table'!BX39)*(-1)*Rates_previous!$H$32</f>
        <v>0</v>
      </c>
      <c r="L37" s="211">
        <f>IF('Staging Table'!C39=1,"",SUM(D37:K37))</f>
        <v>3105653.9000614067</v>
      </c>
      <c r="M37" s="211">
        <f>IF('Staging Table'!C39=1,"",IF(Init!$R$9="Yes",(RT1SC!$C$3*'Staging Table'!E39*'Staging Table'!$F$2)+SUM('Staging Table'!L39:AI39)-IF(Init!$R$12="No",'Staging Table'!BH39, 0),X37))</f>
        <v>81496.821090238795</v>
      </c>
      <c r="N37" s="95">
        <f>IF('Staging Table'!C39=1,"",IF(M37=0, 0, L37/M37))</f>
        <v>38.107669213534308</v>
      </c>
      <c r="O37" s="211">
        <f>'Staging Table'!BR39*Rates_current!$E$76*100*12</f>
        <v>3199785.8983488763</v>
      </c>
      <c r="P37" s="211">
        <f>'Staging Table'!BS39*Rates_current!$E$77*100*12</f>
        <v>-528292.32968494017</v>
      </c>
      <c r="Q37" s="212">
        <f>SUMPRODUCT('Staging Table'!BY39:CV39, LS_Demand_Rates_Restatement!$C$5:$Z$5)-IF(Init!$R$12="No",('Staging Table'!DU39*Rates_current!$H$34), 0)</f>
        <v>46604.455685835099</v>
      </c>
      <c r="R37" s="212">
        <f>SUMPRODUCT('Staging Table'!CW39:DH39, LS_Demand_Rates_Restatement!$C$11:$N$11)*1000</f>
        <v>182205.22775932169</v>
      </c>
      <c r="S37" s="213">
        <f>'Staging Table'!ED39*IF(Init!$R$15="Yes",IF(Init!$R$6=2022,Rates_current!$C$88,Rates_current!$D$88),Rates_current!$H$33)</f>
        <v>0</v>
      </c>
      <c r="T37" s="213">
        <v>0</v>
      </c>
      <c r="U37" s="213">
        <f>IF('Staging Table'!D39=1, 'Staging Table'!BU39*-1,SUM(O37:T37)*'Staging Table'!BU39*-1)</f>
        <v>0</v>
      </c>
      <c r="V37" s="211">
        <f>'Staging Table'!BX39*Rates_current!$H$32*-1</f>
        <v>0</v>
      </c>
      <c r="W37" s="211">
        <f>IF('Staging Table'!C39=1,"",SUM(O37:V37))</f>
        <v>2900303.2521090931</v>
      </c>
      <c r="X37" s="211">
        <f>IF('Staging Table'!C39=1,"",(RT1SC!$C$4*'Staging Table'!BR39*'Staging Table'!$BS$2)+SUM('Staging Table'!BY39:CV39)-IF(Init!$R$12="No",'Staging Table'!DU39, 0))</f>
        <v>78734.87999999999</v>
      </c>
      <c r="Y37" s="95">
        <f>IF('Staging Table'!C39=1,"",IF(X37=0, 0, W37/X37))</f>
        <v>36.836320219311865</v>
      </c>
      <c r="Z37" s="87">
        <f ca="1">IF('Staging Table'!C39=1,"",(Y37/N37-1)+(RAND()/100000000000000))</f>
        <v>-3.3362024507410999E-2</v>
      </c>
      <c r="AA37" s="53">
        <f t="shared" ca="1" si="0"/>
        <v>37</v>
      </c>
      <c r="AD37" s="216"/>
      <c r="AE37" s="216"/>
      <c r="AF37" s="220"/>
      <c r="AG37" s="216"/>
      <c r="AH37" s="216"/>
    </row>
    <row r="38" spans="2:34">
      <c r="B38" s="3">
        <v>10094</v>
      </c>
      <c r="C38" s="4" t="s">
        <v>41</v>
      </c>
      <c r="D38" s="211">
        <f>IF(Init!$R$9="Yes",'Staging Table'!E40,'Staging Table'!BR40)*Rates_previous!$E$76*100*12</f>
        <v>1022203.0143599999</v>
      </c>
      <c r="E38" s="211">
        <f>IF(Init!$R$9="Yes",'Staging Table'!F40,'Staging Table'!BS40)*Rates_previous!$E$77*100*12</f>
        <v>-103412.38380000001</v>
      </c>
      <c r="F38" s="212">
        <f>IF(Init!$R$9="Yes",SUMPRODUCT('Staging Table'!L40:AI40,LS_Demand_Rates_Restatement!$C$4:$Z$4)-IF(Init!$R$12="No",('Staging Table'!BH40*Rates_previous!$H$34), 0),SUMPRODUCT('Staging Table'!BY40:CV40,LS_Demand_Rates_Restatement!$C$4:$Z$4)-IF(Init!$R$12="No", 'Staging Table'!DU40*Rates_previous!$H$34, 0))</f>
        <v>16158.104446390727</v>
      </c>
      <c r="G38" s="212">
        <f>IF(Init!$R$9="Yes",SUMPRODUCT('Staging Table'!AJ40:AU40,LS_Demand_Rates_Restatement!$C$10:$N$10),SUMPRODUCT(LS_Demand_Rates_Restatement!$C$10:$N$10,'Staging Table'!CW40:DH40))*1000</f>
        <v>59244.351594195148</v>
      </c>
      <c r="H38" s="213">
        <f>IF(Init!$R$9="Yes",'Staging Table'!BQ40,'Staging Table'!ED40)*IF(Init!$R$3=2020,Rates_previous!$C$88,Rates_previous!$D$88)</f>
        <v>0</v>
      </c>
      <c r="I38" s="211">
        <f>IF(Init!$R$9="Yes",IF('Staging Table'!$F$1=2020,(SUM('Staging Table'!AX40:BD40)*Rates_previous!$C$87),(SUM('Staging Table'!AX40:BD40)*Rates_previous!$D$87)),IF('Staging Table'!$F$1=2020,(SUM('Staging Table'!DK40:DQ40)*Rates_previous!$C$87),(SUM('Staging Table'!DK40:DQ40)*Rates_previous!$D$87)))</f>
        <v>12539.524434417584</v>
      </c>
      <c r="J38" s="213">
        <f>IF(Init!$R$9="Yes",IF('Staging Table'!D40=1,'Staging Table'!H40*-1,'Staging Table'!H40*SUM(D38:I38)*(-1)),IF('Staging Table'!D40=1,'Staging Table'!BU40*-1,'Staging Table'!BU40*SUM(D38:I38)*(-1)))</f>
        <v>0</v>
      </c>
      <c r="K38" s="211">
        <f>IF(Init!$R$9="Yes",'Staging Table'!K40,'Staging Table'!BX40)*(-1)*Rates_previous!$H$32</f>
        <v>0</v>
      </c>
      <c r="L38" s="211">
        <f>IF('Staging Table'!C40=1,"",SUM(D38:K38))</f>
        <v>1006732.6110350034</v>
      </c>
      <c r="M38" s="211">
        <f>IF('Staging Table'!C40=1,"",IF(Init!$R$9="Yes",(RT1SC!$C$3*'Staging Table'!E40*'Staging Table'!$F$2)+SUM('Staging Table'!L40:AI40)-IF(Init!$R$12="No",'Staging Table'!BH40, 0),X38))</f>
        <v>26536.464</v>
      </c>
      <c r="N38" s="95">
        <f>IF('Staging Table'!C40=1,"",IF(M38=0, 0, L38/M38))</f>
        <v>37.937707564768367</v>
      </c>
      <c r="O38" s="211">
        <f>'Staging Table'!BR40*Rates_current!$E$76*100*12</f>
        <v>1031423.1543729682</v>
      </c>
      <c r="P38" s="211">
        <f>'Staging Table'!BS40*Rates_current!$E$77*100*12</f>
        <v>-170290.437680801</v>
      </c>
      <c r="Q38" s="212">
        <f>SUMPRODUCT('Staging Table'!BY40:CV40, LS_Demand_Rates_Restatement!$C$5:$Z$5)-IF(Init!$R$12="No",('Staging Table'!DU40*Rates_current!$H$34), 0)</f>
        <v>12481.25580629085</v>
      </c>
      <c r="R38" s="212">
        <f>SUMPRODUCT('Staging Table'!CW40:DH40, LS_Demand_Rates_Restatement!$C$11:$N$11)*1000</f>
        <v>54463.338917298781</v>
      </c>
      <c r="S38" s="213">
        <f>'Staging Table'!ED40*IF(Init!$R$15="Yes",IF(Init!$R$6=2022,Rates_current!$C$88,Rates_current!$D$88),Rates_current!$H$33)</f>
        <v>0</v>
      </c>
      <c r="T38" s="213">
        <v>0</v>
      </c>
      <c r="U38" s="213">
        <f>IF('Staging Table'!D40=1, 'Staging Table'!BU40*-1,SUM(O38:T38)*'Staging Table'!BU40*-1)</f>
        <v>0</v>
      </c>
      <c r="V38" s="211">
        <f>'Staging Table'!BX40*Rates_current!$H$32*-1</f>
        <v>0</v>
      </c>
      <c r="W38" s="211">
        <f>IF('Staging Table'!C40=1,"",SUM(O38:V38))</f>
        <v>928077.31141575694</v>
      </c>
      <c r="X38" s="211">
        <f>IF('Staging Table'!C40=1,"",(RT1SC!$C$4*'Staging Table'!BR40*'Staging Table'!$BS$2)+SUM('Staging Table'!BY40:CV40)-IF(Init!$R$12="No",'Staging Table'!DU40, 0))</f>
        <v>25377.719999999998</v>
      </c>
      <c r="Y38" s="95">
        <f>IF('Staging Table'!C40=1,"",IF(X38=0, 0, W38/X38))</f>
        <v>36.570555251447217</v>
      </c>
      <c r="Z38" s="87">
        <f ca="1">IF('Staging Table'!C40=1,"",(Y38/N38-1)+(RAND()/100000000000000))</f>
        <v>-3.6036766612401364E-2</v>
      </c>
      <c r="AA38" s="53">
        <f t="shared" ca="1" si="0"/>
        <v>58</v>
      </c>
      <c r="AD38" s="216"/>
      <c r="AE38" s="216"/>
      <c r="AF38" s="220"/>
      <c r="AG38" s="216"/>
      <c r="AH38" s="216"/>
    </row>
    <row r="39" spans="2:34">
      <c r="B39" s="3">
        <v>10095</v>
      </c>
      <c r="C39" s="4" t="s">
        <v>42</v>
      </c>
      <c r="D39" s="211">
        <f>IF(Init!$R$9="Yes",'Staging Table'!E41,'Staging Table'!BR41)*Rates_previous!$E$76*100*12</f>
        <v>1225883.0848799997</v>
      </c>
      <c r="E39" s="211">
        <f>IF(Init!$R$9="Yes",'Staging Table'!F41,'Staging Table'!BS41)*Rates_previous!$E$77*100*12</f>
        <v>-124017.9204</v>
      </c>
      <c r="F39" s="212">
        <f>IF(Init!$R$9="Yes",SUMPRODUCT('Staging Table'!L41:AI41,LS_Demand_Rates_Restatement!$C$4:$Z$4)-IF(Init!$R$12="No",('Staging Table'!BH41*Rates_previous!$H$34), 0),SUMPRODUCT('Staging Table'!BY41:CV41,LS_Demand_Rates_Restatement!$C$4:$Z$4)-IF(Init!$R$12="No", 'Staging Table'!DU41*Rates_previous!$H$34, 0))</f>
        <v>8176.1599593110768</v>
      </c>
      <c r="G39" s="212">
        <f>IF(Init!$R$9="Yes",SUMPRODUCT('Staging Table'!AJ41:AU41,LS_Demand_Rates_Restatement!$C$10:$N$10),SUMPRODUCT(LS_Demand_Rates_Restatement!$C$10:$N$10,'Staging Table'!CW41:DH41))*1000</f>
        <v>38428.029075997183</v>
      </c>
      <c r="H39" s="213">
        <f>IF(Init!$R$9="Yes",'Staging Table'!BQ41,'Staging Table'!ED41)*IF(Init!$R$3=2020,Rates_previous!$C$88,Rates_previous!$D$88)</f>
        <v>0</v>
      </c>
      <c r="I39" s="211">
        <f>IF(Init!$R$9="Yes",IF('Staging Table'!$F$1=2020,(SUM('Staging Table'!AX41:BD41)*Rates_previous!$C$87),(SUM('Staging Table'!AX41:BD41)*Rates_previous!$D$87)),IF('Staging Table'!$F$1=2020,(SUM('Staging Table'!DK41:DQ41)*Rates_previous!$C$87),(SUM('Staging Table'!DK41:DQ41)*Rates_previous!$D$87)))</f>
        <v>15038.099751854432</v>
      </c>
      <c r="J39" s="213">
        <f>IF(Init!$R$9="Yes",IF('Staging Table'!D41=1,'Staging Table'!H41*-1,'Staging Table'!H41*SUM(D39:I39)*(-1)),IF('Staging Table'!D41=1,'Staging Table'!BU41*-1,'Staging Table'!BU41*SUM(D39:I39)*(-1)))</f>
        <v>0</v>
      </c>
      <c r="K39" s="211">
        <f>IF(Init!$R$9="Yes",'Staging Table'!K41,'Staging Table'!BX41)*(-1)*Rates_previous!$H$32</f>
        <v>0</v>
      </c>
      <c r="L39" s="211">
        <f>IF('Staging Table'!C41=1,"",SUM(D39:K39))</f>
        <v>1163507.4532671627</v>
      </c>
      <c r="M39" s="211">
        <f>IF('Staging Table'!C41=1,"",IF(Init!$R$9="Yes",(RT1SC!$C$3*'Staging Table'!E41*'Staging Table'!$F$2)+SUM('Staging Table'!L41:AI41)-IF(Init!$R$12="No",'Staging Table'!BH41, 0),X39))</f>
        <v>31824.432000000001</v>
      </c>
      <c r="N39" s="95">
        <f>IF('Staging Table'!C41=1,"",IF(M39=0, 0, L39/M39))</f>
        <v>36.560195426808015</v>
      </c>
      <c r="O39" s="211">
        <f>'Staging Table'!BR41*Rates_current!$E$76*100*12</f>
        <v>1237180.2030714122</v>
      </c>
      <c r="P39" s="211">
        <f>'Staging Table'!BS41*Rates_current!$E$77*100*12</f>
        <v>-204261.4201337485</v>
      </c>
      <c r="Q39" s="212">
        <f>SUMPRODUCT('Staging Table'!BY41:CV41, LS_Demand_Rates_Restatement!$C$5:$Z$5)-IF(Init!$R$12="No",('Staging Table'!DU41*Rates_current!$H$34), 0)</f>
        <v>2037.7821480620478</v>
      </c>
      <c r="R39" s="212">
        <f>SUMPRODUCT('Staging Table'!CW41:DH41, LS_Demand_Rates_Restatement!$C$11:$N$11)*1000</f>
        <v>33124.155512873956</v>
      </c>
      <c r="S39" s="213">
        <f>'Staging Table'!ED41*IF(Init!$R$15="Yes",IF(Init!$R$6=2022,Rates_current!$C$88,Rates_current!$D$88),Rates_current!$H$33)</f>
        <v>0</v>
      </c>
      <c r="T39" s="213">
        <v>0</v>
      </c>
      <c r="U39" s="213">
        <f>IF('Staging Table'!D41=1, 'Staging Table'!BU41*-1,SUM(O39:T39)*'Staging Table'!BU41*-1)</f>
        <v>0</v>
      </c>
      <c r="V39" s="211">
        <f>'Staging Table'!BX41*Rates_current!$H$32*-1</f>
        <v>0</v>
      </c>
      <c r="W39" s="211">
        <f>IF('Staging Table'!C41=1,"",SUM(O39:V39))</f>
        <v>1068080.7205985996</v>
      </c>
      <c r="X39" s="211">
        <f>IF('Staging Table'!C41=1,"",(RT1SC!$C$4*'Staging Table'!BR41*'Staging Table'!$BS$2)+SUM('Staging Table'!BY41:CV41)-IF(Init!$R$12="No",'Staging Table'!DU41, 0))</f>
        <v>30441</v>
      </c>
      <c r="Y39" s="95">
        <f>IF('Staging Table'!C41=1,"",IF(X39=0, 0, W39/X39))</f>
        <v>35.086913064570794</v>
      </c>
      <c r="Z39" s="87">
        <f ca="1">IF('Staging Table'!C41=1,"",(Y39/N39-1)+(RAND()/100000000000000))</f>
        <v>-4.0297442205596154E-2</v>
      </c>
      <c r="AA39" s="53">
        <f t="shared" ca="1" si="0"/>
        <v>90</v>
      </c>
      <c r="AD39" s="216"/>
      <c r="AE39" s="216"/>
      <c r="AF39" s="220"/>
      <c r="AG39" s="216"/>
      <c r="AH39" s="216"/>
    </row>
    <row r="40" spans="2:34">
      <c r="B40" s="3">
        <v>10097</v>
      </c>
      <c r="C40" s="4" t="s">
        <v>43</v>
      </c>
      <c r="D40" s="211">
        <f>IF(Init!$R$9="Yes",'Staging Table'!E42,'Staging Table'!BR42)*Rates_previous!$E$76*100*12</f>
        <v>680438.78868</v>
      </c>
      <c r="E40" s="211">
        <f>IF(Init!$R$9="Yes",'Staging Table'!F42,'Staging Table'!BS42)*Rates_previous!$E$77*100*12</f>
        <v>-68837.399399999995</v>
      </c>
      <c r="F40" s="212">
        <f>IF(Init!$R$9="Yes",SUMPRODUCT('Staging Table'!L42:AI42,LS_Demand_Rates_Restatement!$C$4:$Z$4)-IF(Init!$R$12="No",('Staging Table'!BH42*Rates_previous!$H$34), 0),SUMPRODUCT('Staging Table'!BY42:CV42,LS_Demand_Rates_Restatement!$C$4:$Z$4)-IF(Init!$R$12="No", 'Staging Table'!DU42*Rates_previous!$H$34, 0))</f>
        <v>10793.867621467762</v>
      </c>
      <c r="G40" s="212">
        <f>IF(Init!$R$9="Yes",SUMPRODUCT('Staging Table'!AJ42:AU42,LS_Demand_Rates_Restatement!$C$10:$N$10),SUMPRODUCT(LS_Demand_Rates_Restatement!$C$10:$N$10,'Staging Table'!CW42:DH42))*1000</f>
        <v>47949.462349928777</v>
      </c>
      <c r="H40" s="213">
        <f>IF(Init!$R$9="Yes",'Staging Table'!BQ42,'Staging Table'!ED42)*IF(Init!$R$3=2020,Rates_previous!$C$88,Rates_previous!$D$88)</f>
        <v>-4259.8228163112599</v>
      </c>
      <c r="I40" s="211">
        <f>IF(Init!$R$9="Yes",IF('Staging Table'!$F$1=2020,(SUM('Staging Table'!AX42:BD42)*Rates_previous!$C$87),(SUM('Staging Table'!AX42:BD42)*Rates_previous!$D$87)),IF('Staging Table'!$F$1=2020,(SUM('Staging Table'!DK42:DQ42)*Rates_previous!$C$87),(SUM('Staging Table'!DK42:DQ42)*Rates_previous!$D$87)))</f>
        <v>8347.0491643193564</v>
      </c>
      <c r="J40" s="213">
        <f>IF(Init!$R$9="Yes",IF('Staging Table'!D42=1,'Staging Table'!H42*-1,'Staging Table'!H42*SUM(D40:I40)*(-1)),IF('Staging Table'!D42=1,'Staging Table'!BU42*-1,'Staging Table'!BU42*SUM(D40:I40)*(-1)))</f>
        <v>0</v>
      </c>
      <c r="K40" s="211">
        <f>IF(Init!$R$9="Yes",'Staging Table'!K42,'Staging Table'!BX42)*(-1)*Rates_previous!$H$32</f>
        <v>0</v>
      </c>
      <c r="L40" s="211">
        <f>IF('Staging Table'!C42=1,"",SUM(D40:K40))</f>
        <v>674431.94559940475</v>
      </c>
      <c r="M40" s="211">
        <f>IF('Staging Table'!C42=1,"",IF(Init!$R$9="Yes",(RT1SC!$C$3*'Staging Table'!E42*'Staging Table'!$F$2)+SUM('Staging Table'!L42:AI42)-IF(Init!$R$12="No",'Staging Table'!BH42, 0),X40))</f>
        <v>17392.604663070801</v>
      </c>
      <c r="N40" s="95">
        <f>IF('Staging Table'!C42=1,"",IF(M40=0, 0, L40/M40))</f>
        <v>38.776937592987785</v>
      </c>
      <c r="O40" s="211">
        <f>'Staging Table'!BR42*Rates_current!$E$76*100*12</f>
        <v>692091.89107658365</v>
      </c>
      <c r="P40" s="211">
        <f>'Staging Table'!BS42*Rates_current!$E$77*100*12</f>
        <v>-114266.03188718711</v>
      </c>
      <c r="Q40" s="212">
        <f>SUMPRODUCT('Staging Table'!BY42:CV42, LS_Demand_Rates_Restatement!$C$5:$Z$5)-IF(Init!$R$12="No",('Staging Table'!DU42*Rates_current!$H$34), 0)</f>
        <v>15007.949145482224</v>
      </c>
      <c r="R40" s="212">
        <f>SUMPRODUCT('Staging Table'!CW42:DH42, LS_Demand_Rates_Restatement!$C$11:$N$11)*1000</f>
        <v>43472.897563230057</v>
      </c>
      <c r="S40" s="213">
        <f>'Staging Table'!ED42*IF(Init!$R$15="Yes",IF(Init!$R$6=2022,Rates_current!$C$88,Rates_current!$D$88),Rates_current!$H$33)</f>
        <v>0</v>
      </c>
      <c r="T40" s="213">
        <v>0</v>
      </c>
      <c r="U40" s="213">
        <f>IF('Staging Table'!D42=1, 'Staging Table'!BU42*-1,SUM(O40:T40)*'Staging Table'!BU42*-1)</f>
        <v>0</v>
      </c>
      <c r="V40" s="211">
        <f>'Staging Table'!BX42*Rates_current!$H$32*-1</f>
        <v>0</v>
      </c>
      <c r="W40" s="211">
        <f>IF('Staging Table'!C42=1,"",SUM(O40:V40))</f>
        <v>636306.70589810878</v>
      </c>
      <c r="X40" s="211">
        <f>IF('Staging Table'!C42=1,"",(RT1SC!$C$4*'Staging Table'!BR42*'Staging Table'!$BS$2)+SUM('Staging Table'!BY42:CV42)-IF(Init!$R$12="No",'Staging Table'!DU42, 0))</f>
        <v>17029.439999999999</v>
      </c>
      <c r="Y40" s="95">
        <f>IF('Staging Table'!C42=1,"",IF(X40=0, 0, W40/X40))</f>
        <v>37.365098670191671</v>
      </c>
      <c r="Z40" s="87">
        <f ca="1">IF('Staging Table'!C42=1,"",(Y40/N40-1)+(RAND()/100000000000000))</f>
        <v>-3.6409242463008695E-2</v>
      </c>
      <c r="AA40" s="53">
        <f t="shared" ca="1" si="0"/>
        <v>63</v>
      </c>
      <c r="AD40" s="216"/>
      <c r="AE40" s="216"/>
      <c r="AF40" s="220"/>
      <c r="AG40" s="216"/>
      <c r="AH40" s="216"/>
    </row>
    <row r="41" spans="2:34">
      <c r="B41" s="3">
        <v>10101</v>
      </c>
      <c r="C41" s="4" t="s">
        <v>44</v>
      </c>
      <c r="D41" s="211">
        <f>IF(Init!$R$9="Yes",'Staging Table'!E43,'Staging Table'!BR43)*Rates_previous!$E$76*100*12</f>
        <v>25586922.651240002</v>
      </c>
      <c r="E41" s="211">
        <f>IF(Init!$R$9="Yes",'Staging Table'!F43,'Staging Table'!BS43)*Rates_previous!$E$77*100*12</f>
        <v>-2588531.4642000003</v>
      </c>
      <c r="F41" s="212">
        <f>IF(Init!$R$9="Yes",SUMPRODUCT('Staging Table'!L43:AI43,LS_Demand_Rates_Restatement!$C$4:$Z$4)-IF(Init!$R$12="No",('Staging Table'!BH43*Rates_previous!$H$34), 0),SUMPRODUCT('Staging Table'!BY43:CV43,LS_Demand_Rates_Restatement!$C$4:$Z$4)-IF(Init!$R$12="No", 'Staging Table'!DU43*Rates_previous!$H$34, 0))</f>
        <v>468870.15844823321</v>
      </c>
      <c r="G41" s="212">
        <f>IF(Init!$R$9="Yes",SUMPRODUCT('Staging Table'!AJ43:AU43,LS_Demand_Rates_Restatement!$C$10:$N$10),SUMPRODUCT(LS_Demand_Rates_Restatement!$C$10:$N$10,'Staging Table'!CW43:DH43))*1000</f>
        <v>1544209.8139653837</v>
      </c>
      <c r="H41" s="213">
        <f>IF(Init!$R$9="Yes",'Staging Table'!BQ43,'Staging Table'!ED43)*IF(Init!$R$3=2020,Rates_previous!$C$88,Rates_previous!$D$88)</f>
        <v>0</v>
      </c>
      <c r="I41" s="211">
        <f>IF(Init!$R$9="Yes",IF('Staging Table'!$F$1=2020,(SUM('Staging Table'!AX43:BD43)*Rates_previous!$C$87),(SUM('Staging Table'!AX43:BD43)*Rates_previous!$D$87)),IF('Staging Table'!$F$1=2020,(SUM('Staging Table'!DK43:DQ43)*Rates_previous!$C$87),(SUM('Staging Table'!DK43:DQ43)*Rates_previous!$D$87)))</f>
        <v>313878.78658101911</v>
      </c>
      <c r="J41" s="213">
        <f>IF(Init!$R$9="Yes",IF('Staging Table'!D43=1,'Staging Table'!H43*-1,'Staging Table'!H43*SUM(D41:I41)*(-1)),IF('Staging Table'!D43=1,'Staging Table'!BU43*-1,'Staging Table'!BU43*SUM(D41:I41)*(-1)))</f>
        <v>-1295485.8349254217</v>
      </c>
      <c r="K41" s="211">
        <f>IF(Init!$R$9="Yes",'Staging Table'!K43,'Staging Table'!BX43)*(-1)*Rates_previous!$H$32</f>
        <v>0</v>
      </c>
      <c r="L41" s="211">
        <f>IF('Staging Table'!C43=1,"",SUM(D41:K41))</f>
        <v>24029864.111109219</v>
      </c>
      <c r="M41" s="211">
        <f>IF('Staging Table'!C43=1,"",IF(Init!$R$9="Yes",(RT1SC!$C$3*'Staging Table'!E43*'Staging Table'!$F$2)+SUM('Staging Table'!L43:AI43)-IF(Init!$R$12="No",'Staging Table'!BH43, 0),X41))</f>
        <v>657175.58293382439</v>
      </c>
      <c r="N41" s="95">
        <f>IF('Staging Table'!C43=1,"",IF(M41=0, 0, L41/M41))</f>
        <v>36.565363557533381</v>
      </c>
      <c r="O41" s="211">
        <f>'Staging Table'!BR43*Rates_current!$E$76*100*12</f>
        <v>25817713.410053335</v>
      </c>
      <c r="P41" s="211">
        <f>'Staging Table'!BS43*Rates_current!$E$77*100*12</f>
        <v>-4262566.4334520716</v>
      </c>
      <c r="Q41" s="212">
        <f>SUMPRODUCT('Staging Table'!BY43:CV43, LS_Demand_Rates_Restatement!$C$5:$Z$5)-IF(Init!$R$12="No",('Staging Table'!DU43*Rates_current!$H$34), 0)</f>
        <v>531785.15645152354</v>
      </c>
      <c r="R41" s="212">
        <f>SUMPRODUCT('Staging Table'!CW43:DH43, LS_Demand_Rates_Restatement!$C$11:$N$11)*1000</f>
        <v>1445711.6904143242</v>
      </c>
      <c r="S41" s="213">
        <f>'Staging Table'!ED43*IF(Init!$R$15="Yes",IF(Init!$R$6=2022,Rates_current!$C$88,Rates_current!$D$88),Rates_current!$H$33)</f>
        <v>0</v>
      </c>
      <c r="T41" s="213">
        <v>0</v>
      </c>
      <c r="U41" s="213">
        <f>IF('Staging Table'!D43=1, 'Staging Table'!BU43*-1,SUM(O41:T41)*'Staging Table'!BU43*-1)</f>
        <v>-1245617.7554339231</v>
      </c>
      <c r="V41" s="211">
        <f>'Staging Table'!BX43*Rates_current!$H$32*-1</f>
        <v>0</v>
      </c>
      <c r="W41" s="211">
        <f>IF('Staging Table'!C43=1,"",SUM(O41:V41))</f>
        <v>22287026.068033189</v>
      </c>
      <c r="X41" s="211">
        <f>IF('Staging Table'!C43=1,"",(RT1SC!$C$4*'Staging Table'!BR43*'Staging Table'!$BS$2)+SUM('Staging Table'!BY43:CV43)-IF(Init!$R$12="No",'Staging Table'!DU43, 0))</f>
        <v>635256.15049840335</v>
      </c>
      <c r="Y41" s="95">
        <f>IF('Staging Table'!C43=1,"",IF(X41=0, 0, W41/X41))</f>
        <v>35.083526622367124</v>
      </c>
      <c r="Z41" s="87">
        <f ca="1">IF('Staging Table'!C43=1,"",(Y41/N41-1)+(RAND()/100000000000000))</f>
        <v>-4.0525699487017487E-2</v>
      </c>
      <c r="AA41" s="53">
        <f t="shared" ca="1" si="0"/>
        <v>91</v>
      </c>
      <c r="AD41" s="216"/>
      <c r="AE41" s="216"/>
      <c r="AF41" s="220"/>
      <c r="AG41" s="216"/>
      <c r="AH41" s="216"/>
    </row>
    <row r="42" spans="2:34">
      <c r="B42" s="3">
        <v>10103</v>
      </c>
      <c r="C42" s="4" t="s">
        <v>45</v>
      </c>
      <c r="D42" s="211">
        <f>IF(Init!$R$9="Yes",'Staging Table'!E44,'Staging Table'!BR44)*Rates_previous!$E$76*100*12</f>
        <v>103341848.98884</v>
      </c>
      <c r="E42" s="211">
        <f>IF(Init!$R$9="Yes",'Staging Table'!F44,'Staging Table'!BS44)*Rates_previous!$E$77*100*12</f>
        <v>-5207983.2551999986</v>
      </c>
      <c r="F42" s="212">
        <f>IF(Init!$R$9="Yes",SUMPRODUCT('Staging Table'!L44:AI44,LS_Demand_Rates_Restatement!$C$4:$Z$4)-IF(Init!$R$12="No",('Staging Table'!BH44*Rates_previous!$H$34), 0),SUMPRODUCT('Staging Table'!BY44:CV44,LS_Demand_Rates_Restatement!$C$4:$Z$4)-IF(Init!$R$12="No", 'Staging Table'!DU44*Rates_previous!$H$34, 0))</f>
        <v>384878.11406075116</v>
      </c>
      <c r="G42" s="212">
        <f>IF(Init!$R$9="Yes",SUMPRODUCT('Staging Table'!AJ44:AU44,LS_Demand_Rates_Restatement!$C$10:$N$10),SUMPRODUCT(LS_Demand_Rates_Restatement!$C$10:$N$10,'Staging Table'!CW44:DH44))*1000</f>
        <v>0</v>
      </c>
      <c r="H42" s="213">
        <f>IF(Init!$R$9="Yes",'Staging Table'!BQ44,'Staging Table'!ED44)*IF(Init!$R$3=2020,Rates_previous!$C$88,Rates_previous!$D$88)</f>
        <v>0</v>
      </c>
      <c r="I42" s="211">
        <f>IF(Init!$R$9="Yes",IF('Staging Table'!$F$1=2020,(SUM('Staging Table'!AX44:BD44)*Rates_previous!$C$87),(SUM('Staging Table'!AX44:BD44)*Rates_previous!$D$87)),IF('Staging Table'!$F$1=2020,(SUM('Staging Table'!DK44:DQ44)*Rates_previous!$C$87),(SUM('Staging Table'!DK44:DQ44)*Rates_previous!$D$87)))</f>
        <v>631506.89388341922</v>
      </c>
      <c r="J42" s="213">
        <f>IF(Init!$R$9="Yes",IF('Staging Table'!D44=1,'Staging Table'!H44*-1,'Staging Table'!H44*SUM(D42:I42)*(-1)),IF('Staging Table'!D44=1,'Staging Table'!BU44*-1,'Staging Table'!BU44*SUM(D42:I42)*(-1)))</f>
        <v>0</v>
      </c>
      <c r="K42" s="211">
        <f>IF(Init!$R$9="Yes",'Staging Table'!K44,'Staging Table'!BX44)*(-1)*Rates_previous!$H$32</f>
        <v>0</v>
      </c>
      <c r="L42" s="211">
        <f>IF('Staging Table'!C44=1,"",SUM(D42:K42))</f>
        <v>99150250.741584167</v>
      </c>
      <c r="M42" s="211">
        <f>IF('Staging Table'!C44=1,"",IF(Init!$R$9="Yes",(RT1SC!$C$3*'Staging Table'!E44*'Staging Table'!$F$2)+SUM('Staging Table'!L44:AI44)-IF(Init!$R$12="No",'Staging Table'!BH44, 0),X42))</f>
        <v>2682976.2489562803</v>
      </c>
      <c r="N42" s="95">
        <f>IF('Staging Table'!C44=1,"",IF(M42=0, 0, L42/M42))</f>
        <v>36.955321829686405</v>
      </c>
      <c r="O42" s="211">
        <f>'Staging Table'!BR44*Rates_current!$E$76*100*12</f>
        <v>108155065.54096067</v>
      </c>
      <c r="P42" s="211">
        <f>'Staging Table'!BS44*Rates_current!$E$77*100*12</f>
        <v>-9216826.414052153</v>
      </c>
      <c r="Q42" s="212">
        <f>SUMPRODUCT('Staging Table'!BY44:CV44, LS_Demand_Rates_Restatement!$C$5:$Z$5)-IF(Init!$R$12="No",('Staging Table'!DU44*Rates_current!$H$34), 0)</f>
        <v>234438.99249824689</v>
      </c>
      <c r="R42" s="212">
        <f>SUMPRODUCT('Staging Table'!CW44:DH44, LS_Demand_Rates_Restatement!$C$11:$N$11)*1000</f>
        <v>0</v>
      </c>
      <c r="S42" s="213">
        <f>'Staging Table'!ED44*IF(Init!$R$15="Yes",IF(Init!$R$6=2022,Rates_current!$C$88,Rates_current!$D$88),Rates_current!$H$33)</f>
        <v>0</v>
      </c>
      <c r="T42" s="213">
        <v>0</v>
      </c>
      <c r="U42" s="213">
        <f>IF('Staging Table'!D44=1, 'Staging Table'!BU44*-1,SUM(O42:T42)*'Staging Table'!BU44*-1)</f>
        <v>0</v>
      </c>
      <c r="V42" s="211">
        <f>'Staging Table'!BX44*Rates_current!$H$32*-1</f>
        <v>0</v>
      </c>
      <c r="W42" s="211">
        <f>IF('Staging Table'!C44=1,"",SUM(O42:V42))</f>
        <v>99172678.11940676</v>
      </c>
      <c r="X42" s="211">
        <f>IF('Staging Table'!C44=1,"",(RT1SC!$C$4*'Staging Table'!BR44*'Staging Table'!$BS$2)+SUM('Staging Table'!BY44:CV44)-IF(Init!$R$12="No",'Staging Table'!DU44, 0))</f>
        <v>2661393.2561416831</v>
      </c>
      <c r="Y42" s="95">
        <f>IF('Staging Table'!C44=1,"",IF(X42=0, 0, W42/X42))</f>
        <v>37.263443833618538</v>
      </c>
      <c r="Z42" s="87">
        <f ca="1">IF('Staging Table'!C44=1,"",(Y42/N42-1)+(RAND()/100000000000000))</f>
        <v>8.3376896391877606E-3</v>
      </c>
      <c r="AA42" s="53">
        <f t="shared" ca="1" si="0"/>
        <v>13</v>
      </c>
      <c r="AD42" s="216"/>
      <c r="AE42" s="216"/>
      <c r="AF42" s="220"/>
      <c r="AG42" s="216"/>
      <c r="AH42" s="216"/>
    </row>
    <row r="43" spans="2:34">
      <c r="B43" s="3">
        <v>10105</v>
      </c>
      <c r="C43" s="4" t="s">
        <v>46</v>
      </c>
      <c r="D43" s="211">
        <f>IF(Init!$R$9="Yes",'Staging Table'!E45,'Staging Table'!BR45)*Rates_previous!$E$76*100*12</f>
        <v>27965962.914840002</v>
      </c>
      <c r="E43" s="211">
        <f>IF(Init!$R$9="Yes",'Staging Table'!F45,'Staging Table'!BS45)*Rates_previous!$E$77*100*12</f>
        <v>-1085216.9130000002</v>
      </c>
      <c r="F43" s="212">
        <f>IF(Init!$R$9="Yes",SUMPRODUCT('Staging Table'!L45:AI45,LS_Demand_Rates_Restatement!$C$4:$Z$4)-IF(Init!$R$12="No",('Staging Table'!BH45*Rates_previous!$H$34), 0),SUMPRODUCT('Staging Table'!BY45:CV45,LS_Demand_Rates_Restatement!$C$4:$Z$4)-IF(Init!$R$12="No", 'Staging Table'!DU45*Rates_previous!$H$34, 0))</f>
        <v>12011.158646358082</v>
      </c>
      <c r="G43" s="212">
        <f>IF(Init!$R$9="Yes",SUMPRODUCT('Staging Table'!AJ45:AU45,LS_Demand_Rates_Restatement!$C$10:$N$10),SUMPRODUCT(LS_Demand_Rates_Restatement!$C$10:$N$10,'Staging Table'!CW45:DH45))*1000</f>
        <v>0</v>
      </c>
      <c r="H43" s="213">
        <f>IF(Init!$R$9="Yes",'Staging Table'!BQ45,'Staging Table'!ED45)*IF(Init!$R$3=2020,Rates_previous!$C$88,Rates_previous!$D$88)</f>
        <v>0</v>
      </c>
      <c r="I43" s="211">
        <f>IF(Init!$R$9="Yes",IF('Staging Table'!$F$1=2020,(SUM('Staging Table'!AX45:BD45)*Rates_previous!$C$87),(SUM('Staging Table'!AX45:BD45)*Rates_previous!$D$87)),IF('Staging Table'!$F$1=2020,(SUM('Staging Table'!DK45:DQ45)*Rates_previous!$C$87),(SUM('Staging Table'!DK45:DQ45)*Rates_previous!$D$87)))</f>
        <v>131590.66155485649</v>
      </c>
      <c r="J43" s="213">
        <f>IF(Init!$R$9="Yes",IF('Staging Table'!D45=1,'Staging Table'!H45*-1,'Staging Table'!H45*SUM(D43:I43)*(-1)),IF('Staging Table'!D45=1,'Staging Table'!BU45*-1,'Staging Table'!BU45*SUM(D43:I43)*(-1)))</f>
        <v>0</v>
      </c>
      <c r="K43" s="211">
        <f>IF(Init!$R$9="Yes",'Staging Table'!K45,'Staging Table'!BX45)*(-1)*Rates_previous!$H$32</f>
        <v>0</v>
      </c>
      <c r="L43" s="211">
        <f>IF('Staging Table'!C45=1,"",SUM(D43:K43))</f>
        <v>27024347.822041217</v>
      </c>
      <c r="M43" s="211">
        <f>IF('Staging Table'!C45=1,"",IF(Init!$R$9="Yes",(RT1SC!$C$3*'Staging Table'!E45*'Staging Table'!$F$2)+SUM('Staging Table'!L45:AI45)-IF(Init!$R$12="No",'Staging Table'!BH45, 0),X43))</f>
        <v>726059.43122722849</v>
      </c>
      <c r="N43" s="95">
        <f>IF('Staging Table'!C45=1,"",IF(M43=0, 0, L43/M43))</f>
        <v>37.220572669048693</v>
      </c>
      <c r="O43" s="211">
        <f>'Staging Table'!BR45*Rates_current!$E$76*100*12</f>
        <v>29505752.631420895</v>
      </c>
      <c r="P43" s="211">
        <f>'Staging Table'!BS45*Rates_current!$E$77*100*12</f>
        <v>-1999615.964806132</v>
      </c>
      <c r="Q43" s="212">
        <f>SUMPRODUCT('Staging Table'!BY45:CV45, LS_Demand_Rates_Restatement!$C$5:$Z$5)-IF(Init!$R$12="No",('Staging Table'!DU45*Rates_current!$H$34), 0)</f>
        <v>-34269.433033539113</v>
      </c>
      <c r="R43" s="212">
        <f>SUMPRODUCT('Staging Table'!CW45:DH45, LS_Demand_Rates_Restatement!$C$11:$N$11)*1000</f>
        <v>0</v>
      </c>
      <c r="S43" s="213">
        <f>'Staging Table'!ED45*IF(Init!$R$15="Yes",IF(Init!$R$6=2022,Rates_current!$C$88,Rates_current!$D$88),Rates_current!$H$33)</f>
        <v>0</v>
      </c>
      <c r="T43" s="213">
        <v>0</v>
      </c>
      <c r="U43" s="213">
        <f>IF('Staging Table'!D45=1, 'Staging Table'!BU45*-1,SUM(O43:T43)*'Staging Table'!BU45*-1)</f>
        <v>0</v>
      </c>
      <c r="V43" s="211">
        <f>'Staging Table'!BX45*Rates_current!$H$32*-1</f>
        <v>0</v>
      </c>
      <c r="W43" s="211">
        <f>IF('Staging Table'!C45=1,"",SUM(O43:V43))</f>
        <v>27471867.233581223</v>
      </c>
      <c r="X43" s="211">
        <f>IF('Staging Table'!C45=1,"",(RT1SC!$C$4*'Staging Table'!BR45*'Staging Table'!$BS$2)+SUM('Staging Table'!BY45:CV45)-IF(Init!$R$12="No",'Staging Table'!DU45, 0))</f>
        <v>726055.0904177808</v>
      </c>
      <c r="Y43" s="95">
        <f>IF('Staging Table'!C45=1,"",IF(X43=0, 0, W43/X43))</f>
        <v>37.83716634749242</v>
      </c>
      <c r="Z43" s="87">
        <f ca="1">IF('Staging Table'!C45=1,"",(Y43/N43-1)+(RAND()/100000000000000))</f>
        <v>1.6565937443429483E-2</v>
      </c>
      <c r="AA43" s="53">
        <f t="shared" ca="1" si="0"/>
        <v>3</v>
      </c>
      <c r="AD43" s="216"/>
      <c r="AE43" s="216"/>
      <c r="AF43" s="220"/>
      <c r="AG43" s="216"/>
      <c r="AH43" s="216"/>
    </row>
    <row r="44" spans="2:34">
      <c r="B44" s="3">
        <v>10106</v>
      </c>
      <c r="C44" s="4" t="s">
        <v>47</v>
      </c>
      <c r="D44" s="211">
        <f>IF(Init!$R$9="Yes",'Staging Table'!E46,'Staging Table'!BR46)*Rates_previous!$E$76*100*12</f>
        <v>8011970.6619600002</v>
      </c>
      <c r="E44" s="211">
        <f>IF(Init!$R$9="Yes",'Staging Table'!F46,'Staging Table'!BS46)*Rates_previous!$E$77*100*12</f>
        <v>-810540.54180000001</v>
      </c>
      <c r="F44" s="212">
        <f>IF(Init!$R$9="Yes",SUMPRODUCT('Staging Table'!L46:AI46,LS_Demand_Rates_Restatement!$C$4:$Z$4)-IF(Init!$R$12="No",('Staging Table'!BH46*Rates_previous!$H$34), 0),SUMPRODUCT('Staging Table'!BY46:CV46,LS_Demand_Rates_Restatement!$C$4:$Z$4)-IF(Init!$R$12="No", 'Staging Table'!DU46*Rates_previous!$H$34, 0))</f>
        <v>0</v>
      </c>
      <c r="G44" s="212">
        <f>IF(Init!$R$9="Yes",SUMPRODUCT('Staging Table'!AJ46:AU46,LS_Demand_Rates_Restatement!$C$10:$N$10),SUMPRODUCT(LS_Demand_Rates_Restatement!$C$10:$N$10,'Staging Table'!CW46:DH46))*1000</f>
        <v>0</v>
      </c>
      <c r="H44" s="213">
        <f>IF(Init!$R$9="Yes",'Staging Table'!BQ46,'Staging Table'!ED46)*IF(Init!$R$3=2020,Rates_previous!$C$88,Rates_previous!$D$88)</f>
        <v>45.724533240044259</v>
      </c>
      <c r="I44" s="211">
        <f>IF(Init!$R$9="Yes",IF('Staging Table'!$F$1=2020,(SUM('Staging Table'!AX46:BD46)*Rates_previous!$C$87),(SUM('Staging Table'!AX46:BD46)*Rates_previous!$D$87)),IF('Staging Table'!$F$1=2020,(SUM('Staging Table'!DK46:DQ46)*Rates_previous!$C$87),(SUM('Staging Table'!DK46:DQ46)*Rates_previous!$D$87)))</f>
        <v>98284.098630237451</v>
      </c>
      <c r="J44" s="213">
        <f>IF(Init!$R$9="Yes",IF('Staging Table'!D46=1,'Staging Table'!H46*-1,'Staging Table'!H46*SUM(D44:I44)*(-1)),IF('Staging Table'!D46=1,'Staging Table'!BU46*-1,'Staging Table'!BU46*SUM(D44:I44)*(-1)))</f>
        <v>-510983.19603264349</v>
      </c>
      <c r="K44" s="211">
        <f>IF(Init!$R$9="Yes",'Staging Table'!K46,'Staging Table'!BX46)*(-1)*Rates_previous!$H$32</f>
        <v>0</v>
      </c>
      <c r="L44" s="211" t="str">
        <f>IF('Staging Table'!C46=1,"",SUM(D44:K44))</f>
        <v/>
      </c>
      <c r="M44" s="211" t="str">
        <f>IF('Staging Table'!C46=1,"",IF(Init!$R$9="Yes",(RT1SC!$C$3*'Staging Table'!E46*'Staging Table'!$F$2)+SUM('Staging Table'!L46:AI46)-IF(Init!$R$12="No",'Staging Table'!BH46, 0),X44))</f>
        <v/>
      </c>
      <c r="N44" s="95" t="str">
        <f>IF('Staging Table'!C46=1,"",IF(M44=0, 0, L44/M44))</f>
        <v/>
      </c>
      <c r="O44" s="211">
        <f>'Staging Table'!BR46*Rates_current!$E$76*100*12</f>
        <v>8108938.0474232845</v>
      </c>
      <c r="P44" s="211">
        <f>'Staging Table'!BS46*Rates_current!$E$77*100*12</f>
        <v>-1338805.1289789828</v>
      </c>
      <c r="Q44" s="212">
        <f>SUMPRODUCT('Staging Table'!BY46:CV46, LS_Demand_Rates_Restatement!$C$5:$Z$5)-IF(Init!$R$12="No",('Staging Table'!DU46*Rates_current!$H$34), 0)</f>
        <v>0</v>
      </c>
      <c r="R44" s="212">
        <f>SUMPRODUCT('Staging Table'!CW46:DH46, LS_Demand_Rates_Restatement!$C$11:$N$11)*1000</f>
        <v>0</v>
      </c>
      <c r="S44" s="213">
        <f>'Staging Table'!ED46*IF(Init!$R$15="Yes",IF(Init!$R$6=2022,Rates_current!$C$88,Rates_current!$D$88),Rates_current!$H$33)</f>
        <v>0</v>
      </c>
      <c r="T44" s="213">
        <v>0</v>
      </c>
      <c r="U44" s="213">
        <f>IF('Staging Table'!D46=1, 'Staging Table'!BU46*-1,SUM(O44:T44)*'Staging Table'!BU46*-1)</f>
        <v>-492821.56865147583</v>
      </c>
      <c r="V44" s="211">
        <f>'Staging Table'!BX46*Rates_current!$H$32*-1</f>
        <v>0</v>
      </c>
      <c r="W44" s="211" t="str">
        <f>IF('Staging Table'!C46=1,"",SUM(O44:V44))</f>
        <v/>
      </c>
      <c r="X44" s="211" t="str">
        <f>IF('Staging Table'!C46=1,"",(RT1SC!$C$4*'Staging Table'!BR46*'Staging Table'!$BS$2)+SUM('Staging Table'!BY46:CV46)-IF(Init!$R$12="No",'Staging Table'!DU46, 0))</f>
        <v/>
      </c>
      <c r="Y44" s="95" t="str">
        <f>IF('Staging Table'!C46=1,"",IF(X44=0, 0, W44/X44))</f>
        <v/>
      </c>
      <c r="Z44" s="87" t="str">
        <f ca="1">IF('Staging Table'!C46=1,"",(Y44/N44-1)+(RAND()/100000000000000))</f>
        <v/>
      </c>
      <c r="AA44" s="53" t="str">
        <f t="shared" ca="1" si="0"/>
        <v/>
      </c>
      <c r="AD44" s="216"/>
      <c r="AE44" s="216"/>
      <c r="AF44" s="220"/>
      <c r="AG44" s="216"/>
      <c r="AH44" s="216"/>
    </row>
    <row r="45" spans="2:34">
      <c r="B45" s="3">
        <v>10109</v>
      </c>
      <c r="C45" s="4" t="s">
        <v>48</v>
      </c>
      <c r="D45" s="211">
        <f>IF(Init!$R$9="Yes",'Staging Table'!E47,'Staging Table'!BR47)*Rates_previous!$E$76*100*12</f>
        <v>4078354.7376000001</v>
      </c>
      <c r="E45" s="211">
        <f>IF(Init!$R$9="Yes",'Staging Table'!F47,'Staging Table'!BS47)*Rates_previous!$E$77*100*12</f>
        <v>-412591.60800000001</v>
      </c>
      <c r="F45" s="212">
        <f>IF(Init!$R$9="Yes",SUMPRODUCT('Staging Table'!L47:AI47,LS_Demand_Rates_Restatement!$C$4:$Z$4)-IF(Init!$R$12="No",('Staging Table'!BH47*Rates_previous!$H$34), 0),SUMPRODUCT('Staging Table'!BY47:CV47,LS_Demand_Rates_Restatement!$C$4:$Z$4)-IF(Init!$R$12="No", 'Staging Table'!DU47*Rates_previous!$H$34, 0))</f>
        <v>-61803.708034189949</v>
      </c>
      <c r="G45" s="212">
        <f>IF(Init!$R$9="Yes",SUMPRODUCT('Staging Table'!AJ47:AU47,LS_Demand_Rates_Restatement!$C$10:$N$10),SUMPRODUCT(LS_Demand_Rates_Restatement!$C$10:$N$10,'Staging Table'!CW47:DH47))*1000</f>
        <v>590250.00475402421</v>
      </c>
      <c r="H45" s="213">
        <f>IF(Init!$R$9="Yes",'Staging Table'!BQ47,'Staging Table'!ED47)*IF(Init!$R$3=2020,Rates_previous!$C$88,Rates_previous!$D$88)</f>
        <v>0</v>
      </c>
      <c r="I45" s="211">
        <f>IF(Init!$R$9="Yes",IF('Staging Table'!$F$1=2020,(SUM('Staging Table'!AX47:BD47)*Rates_previous!$C$87),(SUM('Staging Table'!AX47:BD47)*Rates_previous!$D$87)),IF('Staging Table'!$F$1=2020,(SUM('Staging Table'!DK47:DQ47)*Rates_previous!$C$87),(SUM('Staging Table'!DK47:DQ47)*Rates_previous!$D$87)))</f>
        <v>50029.816157778609</v>
      </c>
      <c r="J45" s="213">
        <f>IF(Init!$R$9="Yes",IF('Staging Table'!D47=1,'Staging Table'!H47*-1,'Staging Table'!H47*SUM(D45:I45)*(-1)),IF('Staging Table'!D47=1,'Staging Table'!BU47*-1,'Staging Table'!BU47*SUM(D45:I45)*(-1)))</f>
        <v>-336384.30418893415</v>
      </c>
      <c r="K45" s="211">
        <f>IF(Init!$R$9="Yes",'Staging Table'!K47,'Staging Table'!BX47)*(-1)*Rates_previous!$H$32</f>
        <v>-234424.72185000003</v>
      </c>
      <c r="L45" s="211">
        <f>IF('Staging Table'!C47=1,"",SUM(D45:K45))</f>
        <v>3673430.2164386786</v>
      </c>
      <c r="M45" s="211">
        <f>IF('Staging Table'!C47=1,"",IF(Init!$R$9="Yes",(RT1SC!$C$3*'Staging Table'!E47*'Staging Table'!$F$2)+SUM('Staging Table'!L47:AI47)-IF(Init!$R$12="No",'Staging Table'!BH47, 0),X45))</f>
        <v>105882.336</v>
      </c>
      <c r="N45" s="95">
        <f>IF('Staging Table'!C47=1,"",IF(M45=0, 0, L45/M45))</f>
        <v>34.693513150660735</v>
      </c>
      <c r="O45" s="211">
        <f>'Staging Table'!BR47*Rates_current!$E$76*100*12</f>
        <v>4115380.7840489438</v>
      </c>
      <c r="P45" s="211">
        <f>'Staging Table'!BS47*Rates_current!$E$77*100*12</f>
        <v>-679459.24227859243</v>
      </c>
      <c r="Q45" s="212">
        <f>SUMPRODUCT('Staging Table'!BY47:CV47, LS_Demand_Rates_Restatement!$C$5:$Z$5)-IF(Init!$R$12="No",('Staging Table'!DU47*Rates_current!$H$34), 0)</f>
        <v>-77978.491668504124</v>
      </c>
      <c r="R45" s="212">
        <f>SUMPRODUCT('Staging Table'!CW47:DH47, LS_Demand_Rates_Restatement!$C$11:$N$11)*1000</f>
        <v>549775.50097915775</v>
      </c>
      <c r="S45" s="213">
        <f>'Staging Table'!ED47*IF(Init!$R$15="Yes",IF(Init!$R$6=2022,Rates_current!$C$88,Rates_current!$D$88),Rates_current!$H$33)</f>
        <v>0</v>
      </c>
      <c r="T45" s="213">
        <v>0</v>
      </c>
      <c r="U45" s="213">
        <f>IF('Staging Table'!D47=1, 'Staging Table'!BU47*-1,SUM(O45:T45)*'Staging Table'!BU47*-1)</f>
        <v>-322474.67032778851</v>
      </c>
      <c r="V45" s="211">
        <f>'Staging Table'!BX47*Rates_current!$H$32*-1</f>
        <v>-229993.65150000004</v>
      </c>
      <c r="W45" s="211">
        <f>IF('Staging Table'!C47=1,"",SUM(O45:V45))</f>
        <v>3355250.2292532157</v>
      </c>
      <c r="X45" s="211">
        <f>IF('Staging Table'!C47=1,"",(RT1SC!$C$4*'Staging Table'!BR47*'Staging Table'!$BS$2)+SUM('Staging Table'!BY47:CV47)-IF(Init!$R$12="No",'Staging Table'!DU47, 0))</f>
        <v>101265.60000000001</v>
      </c>
      <c r="Y45" s="95">
        <f>IF('Staging Table'!C47=1,"",IF(X45=0, 0, W45/X45))</f>
        <v>33.133168906847096</v>
      </c>
      <c r="Z45" s="87">
        <f ca="1">IF('Staging Table'!C47=1,"",(Y45/N45-1)+(RAND()/100000000000000))</f>
        <v>-4.4975100591209044E-2</v>
      </c>
      <c r="AA45" s="53">
        <f t="shared" ca="1" si="0"/>
        <v>103</v>
      </c>
      <c r="AD45" s="216"/>
      <c r="AE45" s="216"/>
      <c r="AF45" s="220"/>
      <c r="AG45" s="216"/>
      <c r="AH45" s="216"/>
    </row>
    <row r="46" spans="2:34">
      <c r="B46" s="3">
        <v>10111</v>
      </c>
      <c r="C46" s="4" t="s">
        <v>49</v>
      </c>
      <c r="D46" s="211">
        <f>IF(Init!$R$9="Yes",'Staging Table'!E48,'Staging Table'!BR48)*Rates_previous!$E$76*100*12</f>
        <v>1030521.33696</v>
      </c>
      <c r="E46" s="211">
        <f>IF(Init!$R$9="Yes",'Staging Table'!F48,'Staging Table'!BS48)*Rates_previous!$E$77*100*12</f>
        <v>-104253.91680000001</v>
      </c>
      <c r="F46" s="212">
        <f>IF(Init!$R$9="Yes",SUMPRODUCT('Staging Table'!L48:AI48,LS_Demand_Rates_Restatement!$C$4:$Z$4)-IF(Init!$R$12="No",('Staging Table'!BH48*Rates_previous!$H$34), 0),SUMPRODUCT('Staging Table'!BY48:CV48,LS_Demand_Rates_Restatement!$C$4:$Z$4)-IF(Init!$R$12="No", 'Staging Table'!DU48*Rates_previous!$H$34, 0))</f>
        <v>-1.5139707075641127</v>
      </c>
      <c r="G46" s="212">
        <f>IF(Init!$R$9="Yes",SUMPRODUCT('Staging Table'!AJ48:AU48,LS_Demand_Rates_Restatement!$C$10:$N$10),SUMPRODUCT(LS_Demand_Rates_Restatement!$C$10:$N$10,'Staging Table'!CW48:DH48))*1000</f>
        <v>62009.067817628194</v>
      </c>
      <c r="H46" s="213">
        <f>IF(Init!$R$9="Yes",'Staging Table'!BQ48,'Staging Table'!ED48)*IF(Init!$R$3=2020,Rates_previous!$C$88,Rates_previous!$D$88)</f>
        <v>-2606.9201339523488</v>
      </c>
      <c r="I46" s="211">
        <f>IF(Init!$R$9="Yes",IF('Staging Table'!$F$1=2020,(SUM('Staging Table'!AX48:BD48)*Rates_previous!$C$87),(SUM('Staging Table'!AX48:BD48)*Rates_previous!$D$87)),IF('Staging Table'!$F$1=2020,(SUM('Staging Table'!DK48:DQ48)*Rates_previous!$C$87),(SUM('Staging Table'!DK48:DQ48)*Rates_previous!$D$87)))</f>
        <v>12641.566600240561</v>
      </c>
      <c r="J46" s="213">
        <f>IF(Init!$R$9="Yes",IF('Staging Table'!D48=1,'Staging Table'!H48*-1,'Staging Table'!H48*SUM(D46:I46)*(-1)),IF('Staging Table'!D48=1,'Staging Table'!BU48*-1,'Staging Table'!BU48*SUM(D46:I46)*(-1)))</f>
        <v>-69881.673433124612</v>
      </c>
      <c r="K46" s="211">
        <f>IF(Init!$R$9="Yes",'Staging Table'!K48,'Staging Table'!BX48)*(-1)*Rates_previous!$H$32</f>
        <v>-58079.180389999994</v>
      </c>
      <c r="L46" s="211">
        <f>IF('Staging Table'!C48=1,"",SUM(D46:K46))</f>
        <v>870348.76665008406</v>
      </c>
      <c r="M46" s="211">
        <f>IF('Staging Table'!C48=1,"",IF(Init!$R$9="Yes",(RT1SC!$C$3*'Staging Table'!E48*'Staging Table'!$F$2)+SUM('Staging Table'!L48:AI48)-IF(Init!$R$12="No",'Staging Table'!BH48, 0),X46))</f>
        <v>26589.594004217601</v>
      </c>
      <c r="N46" s="95">
        <f>IF('Staging Table'!C48=1,"",IF(M46=0, 0, L46/M46))</f>
        <v>32.732683564556517</v>
      </c>
      <c r="O46" s="211">
        <f>'Staging Table'!BR48*Rates_current!$E$76*100*12</f>
        <v>1085860.0425484306</v>
      </c>
      <c r="P46" s="211">
        <f>'Staging Table'!BS48*Rates_current!$E$77*100*12</f>
        <v>-179278.09853956453</v>
      </c>
      <c r="Q46" s="212">
        <f>SUMPRODUCT('Staging Table'!BY48:CV48, LS_Demand_Rates_Restatement!$C$5:$Z$5)-IF(Init!$R$12="No",('Staging Table'!DU48*Rates_current!$H$34), 0)</f>
        <v>-2058.673650322165</v>
      </c>
      <c r="R46" s="212">
        <f>SUMPRODUCT('Staging Table'!CW48:DH48, LS_Demand_Rates_Restatement!$C$11:$N$11)*1000</f>
        <v>58376.782111369277</v>
      </c>
      <c r="S46" s="213">
        <f>'Staging Table'!ED48*IF(Init!$R$15="Yes",IF(Init!$R$6=2022,Rates_current!$C$88,Rates_current!$D$88),Rates_current!$H$33)</f>
        <v>-784.5584185995117</v>
      </c>
      <c r="T46" s="213">
        <v>0</v>
      </c>
      <c r="U46" s="213">
        <f>IF('Staging Table'!D48=1, 'Staging Table'!BU48*-1,SUM(O46:T46)*'Staging Table'!BU48*-1)</f>
        <v>-67348.084583591961</v>
      </c>
      <c r="V46" s="211">
        <f>'Staging Table'!BX48*Rates_current!$H$32*-1</f>
        <v>-56981.374099999994</v>
      </c>
      <c r="W46" s="211">
        <f>IF('Staging Table'!C48=1,"",SUM(O46:V46))</f>
        <v>837786.03536772181</v>
      </c>
      <c r="X46" s="211">
        <f>IF('Staging Table'!C48=1,"",(RT1SC!$C$4*'Staging Table'!BR48*'Staging Table'!$BS$2)+SUM('Staging Table'!BY48:CV48)-IF(Init!$R$12="No",'Staging Table'!DU48, 0))</f>
        <v>26589.594366841324</v>
      </c>
      <c r="Y46" s="95">
        <f>IF('Staging Table'!C48=1,"",IF(X46=0, 0, W46/X46))</f>
        <v>31.508041221286426</v>
      </c>
      <c r="Z46" s="87">
        <f ca="1">IF('Staging Table'!C48=1,"",(Y46/N46-1)+(RAND()/100000000000000))</f>
        <v>-3.7413441548558621E-2</v>
      </c>
      <c r="AA46" s="53">
        <f t="shared" ca="1" si="0"/>
        <v>74</v>
      </c>
      <c r="AD46" s="216"/>
      <c r="AE46" s="216"/>
      <c r="AF46" s="220"/>
      <c r="AG46" s="216"/>
      <c r="AH46" s="216"/>
    </row>
    <row r="47" spans="2:34">
      <c r="B47" s="3">
        <v>10112</v>
      </c>
      <c r="C47" s="4" t="s">
        <v>50</v>
      </c>
      <c r="D47" s="211">
        <f>IF(Init!$R$9="Yes",'Staging Table'!E49,'Staging Table'!BR49)*Rates_previous!$E$76*100*12</f>
        <v>18432452.216159999</v>
      </c>
      <c r="E47" s="211">
        <f>IF(Init!$R$9="Yes",'Staging Table'!F49,'Staging Table'!BS49)*Rates_previous!$E$77*100*12</f>
        <v>-1864740.9527999999</v>
      </c>
      <c r="F47" s="212">
        <f>IF(Init!$R$9="Yes",SUMPRODUCT('Staging Table'!L49:AI49,LS_Demand_Rates_Restatement!$C$4:$Z$4)-IF(Init!$R$12="No",('Staging Table'!BH49*Rates_previous!$H$34), 0),SUMPRODUCT('Staging Table'!BY49:CV49,LS_Demand_Rates_Restatement!$C$4:$Z$4)-IF(Init!$R$12="No", 'Staging Table'!DU49*Rates_previous!$H$34, 0))</f>
        <v>823361.04661754635</v>
      </c>
      <c r="G47" s="212">
        <f>IF(Init!$R$9="Yes",SUMPRODUCT('Staging Table'!AJ49:AU49,LS_Demand_Rates_Restatement!$C$10:$N$10),SUMPRODUCT(LS_Demand_Rates_Restatement!$C$10:$N$10,'Staging Table'!CW49:DH49))*1000</f>
        <v>944785.3734074427</v>
      </c>
      <c r="H47" s="213">
        <f>IF(Init!$R$9="Yes",'Staging Table'!BQ49,'Staging Table'!ED49)*IF(Init!$R$3=2020,Rates_previous!$C$88,Rates_previous!$D$88)</f>
        <v>476361.41471999954</v>
      </c>
      <c r="I47" s="211">
        <f>IF(Init!$R$9="Yes",IF('Staging Table'!$F$1=2020,(SUM('Staging Table'!AX49:BD49)*Rates_previous!$C$87),(SUM('Staging Table'!AX49:BD49)*Rates_previous!$D$87)),IF('Staging Table'!$F$1=2020,(SUM('Staging Table'!DK49:DQ49)*Rates_previous!$C$87),(SUM('Staging Table'!DK49:DQ49)*Rates_previous!$D$87)))</f>
        <v>226113.77750190429</v>
      </c>
      <c r="J47" s="213">
        <f>IF(Init!$R$9="Yes",IF('Staging Table'!D49=1,'Staging Table'!H49*-1,'Staging Table'!H49*SUM(D47:I47)*(-1)),IF('Staging Table'!D49=1,'Staging Table'!BU49*-1,'Staging Table'!BU49*SUM(D47:I47)*(-1)))</f>
        <v>0</v>
      </c>
      <c r="K47" s="211">
        <f>IF(Init!$R$9="Yes",'Staging Table'!K49,'Staging Table'!BX49)*(-1)*Rates_previous!$H$32</f>
        <v>0</v>
      </c>
      <c r="L47" s="211">
        <f>IF('Staging Table'!C49=1,"",SUM(D47:K47))</f>
        <v>19038332.875606891</v>
      </c>
      <c r="M47" s="211">
        <f>IF('Staging Table'!C49=1,"",IF(Init!$R$9="Yes",(RT1SC!$C$3*'Staging Table'!E49*'Staging Table'!$F$2)+SUM('Staging Table'!L49:AI49)-IF(Init!$R$12="No",'Staging Table'!BH49, 0),X47))</f>
        <v>508962.52799999999</v>
      </c>
      <c r="N47" s="95">
        <f>IF('Staging Table'!C49=1,"",IF(M47=0, 0, L47/M47))</f>
        <v>37.406158269488344</v>
      </c>
      <c r="O47" s="211">
        <f>'Staging Table'!BR49*Rates_current!$E$76*100*12</f>
        <v>19607111.956449255</v>
      </c>
      <c r="P47" s="211">
        <f>'Staging Table'!BS49*Rates_current!$E$77*100*12</f>
        <v>-3237181.2311601886</v>
      </c>
      <c r="Q47" s="212">
        <f>SUMPRODUCT('Staging Table'!BY49:CV49, LS_Demand_Rates_Restatement!$C$5:$Z$5)-IF(Init!$R$12="No",('Staging Table'!DU49*Rates_current!$H$34), 0)</f>
        <v>286247.92895927012</v>
      </c>
      <c r="R47" s="212">
        <f>SUMPRODUCT('Staging Table'!CW49:DH49, LS_Demand_Rates_Restatement!$C$11:$N$11)*1000</f>
        <v>868678.03595068539</v>
      </c>
      <c r="S47" s="213">
        <f>'Staging Table'!ED49*IF(Init!$R$15="Yes",IF(Init!$R$6=2022,Rates_current!$C$88,Rates_current!$D$88),Rates_current!$H$33)</f>
        <v>26119.51680000003</v>
      </c>
      <c r="T47" s="213">
        <v>0</v>
      </c>
      <c r="U47" s="213">
        <f>IF('Staging Table'!D49=1, 'Staging Table'!BU49*-1,SUM(O47:T47)*'Staging Table'!BU49*-1)</f>
        <v>0</v>
      </c>
      <c r="V47" s="211">
        <f>'Staging Table'!BX49*Rates_current!$H$32*-1</f>
        <v>0</v>
      </c>
      <c r="W47" s="211">
        <f>IF('Staging Table'!C49=1,"",SUM(O47:V47))</f>
        <v>17550976.206999026</v>
      </c>
      <c r="X47" s="211">
        <f>IF('Staging Table'!C49=1,"",(RT1SC!$C$4*'Staging Table'!BR49*'Staging Table'!$BS$2)+SUM('Staging Table'!BY49:CV49)-IF(Init!$R$12="No",'Staging Table'!DU49, 0))</f>
        <v>486749.39999999997</v>
      </c>
      <c r="Y47" s="95">
        <f>IF('Staging Table'!C49=1,"",IF(X47=0, 0, W47/X47))</f>
        <v>36.057519962015419</v>
      </c>
      <c r="Z47" s="87">
        <f ca="1">IF('Staging Table'!C49=1,"",(Y47/N47-1)+(RAND()/100000000000000))</f>
        <v>-3.6053911170368561E-2</v>
      </c>
      <c r="AA47" s="53">
        <f t="shared" ca="1" si="0"/>
        <v>59</v>
      </c>
      <c r="AD47" s="216"/>
      <c r="AE47" s="216"/>
      <c r="AF47" s="220"/>
      <c r="AG47" s="216"/>
      <c r="AH47" s="216"/>
    </row>
    <row r="48" spans="2:34">
      <c r="B48" s="3">
        <v>10113</v>
      </c>
      <c r="C48" s="4" t="s">
        <v>51</v>
      </c>
      <c r="D48" s="211">
        <f>IF(Init!$R$9="Yes",'Staging Table'!E50,'Staging Table'!BR50)*Rates_previous!$E$76*100*12</f>
        <v>12685441.965</v>
      </c>
      <c r="E48" s="211">
        <f>IF(Init!$R$9="Yes",'Staging Table'!F50,'Staging Table'!BS50)*Rates_previous!$E$77*100*12</f>
        <v>-1283337.8250000002</v>
      </c>
      <c r="F48" s="212">
        <f>IF(Init!$R$9="Yes",SUMPRODUCT('Staging Table'!L50:AI50,LS_Demand_Rates_Restatement!$C$4:$Z$4)-IF(Init!$R$12="No",('Staging Table'!BH50*Rates_previous!$H$34), 0),SUMPRODUCT('Staging Table'!BY50:CV50,LS_Demand_Rates_Restatement!$C$4:$Z$4)-IF(Init!$R$12="No", 'Staging Table'!DU50*Rates_previous!$H$34, 0))</f>
        <v>-681489.68557769712</v>
      </c>
      <c r="G48" s="212">
        <f>IF(Init!$R$9="Yes",SUMPRODUCT('Staging Table'!AJ50:AU50,LS_Demand_Rates_Restatement!$C$10:$N$10),SUMPRODUCT(LS_Demand_Rates_Restatement!$C$10:$N$10,'Staging Table'!CW50:DH50))*1000</f>
        <v>220324.54769230771</v>
      </c>
      <c r="H48" s="213">
        <f>IF(Init!$R$9="Yes",'Staging Table'!BQ50,'Staging Table'!ED50)*IF(Init!$R$3=2020,Rates_previous!$C$88,Rates_previous!$D$88)</f>
        <v>0</v>
      </c>
      <c r="I48" s="211">
        <f>IF(Init!$R$9="Yes",IF('Staging Table'!$F$1=2020,(SUM('Staging Table'!AX50:BD50)*Rates_previous!$C$87),(SUM('Staging Table'!AX50:BD50)*Rates_previous!$D$87)),IF('Staging Table'!$F$1=2020,(SUM('Staging Table'!DK50:DQ50)*Rates_previous!$C$87),(SUM('Staging Table'!DK50:DQ50)*Rates_previous!$D$87)))</f>
        <v>155614.30288003691</v>
      </c>
      <c r="J48" s="213">
        <f>IF(Init!$R$9="Yes",IF('Staging Table'!D50=1,'Staging Table'!H50*-1,'Staging Table'!H50*SUM(D48:I48)*(-1)),IF('Staging Table'!D50=1,'Staging Table'!BU50*-1,'Staging Table'!BU50*SUM(D48:I48)*(-1)))</f>
        <v>-906698.47378220886</v>
      </c>
      <c r="K48" s="211">
        <f>IF(Init!$R$9="Yes",'Staging Table'!K50,'Staging Table'!BX50)*(-1)*Rates_previous!$H$32</f>
        <v>-1496027.7378199999</v>
      </c>
      <c r="L48" s="211">
        <f>IF('Staging Table'!C50=1,"",SUM(D48:K48))</f>
        <v>8693827.0933924392</v>
      </c>
      <c r="M48" s="211">
        <f>IF('Staging Table'!C50=1,"",IF(Init!$R$9="Yes",(RT1SC!$C$3*'Staging Table'!E50*'Staging Table'!$F$2)+SUM('Staging Table'!L50:AI50)-IF(Init!$R$12="No",'Staging Table'!BH50, 0),X48))</f>
        <v>314640.30736164993</v>
      </c>
      <c r="N48" s="95">
        <f>IF('Staging Table'!C50=1,"",IF(M48=0, 0, L48/M48))</f>
        <v>27.631002417626323</v>
      </c>
      <c r="O48" s="211">
        <f>'Staging Table'!BR50*Rates_current!$E$76*100*12</f>
        <v>12799863.02363571</v>
      </c>
      <c r="P48" s="211">
        <f>'Staging Table'!BS50*Rates_current!$E$77*100*12</f>
        <v>-2113288.0983986873</v>
      </c>
      <c r="Q48" s="212">
        <f>SUMPRODUCT('Staging Table'!BY50:CV50, LS_Demand_Rates_Restatement!$C$5:$Z$5)-IF(Init!$R$12="No",('Staging Table'!DU50*Rates_current!$H$34), 0)</f>
        <v>-480382.19370883837</v>
      </c>
      <c r="R48" s="212">
        <f>SUMPRODUCT('Staging Table'!CW50:DH50, LS_Demand_Rates_Restatement!$C$11:$N$11)*1000</f>
        <v>233687.60500697998</v>
      </c>
      <c r="S48" s="213">
        <f>'Staging Table'!ED50*IF(Init!$R$15="Yes",IF(Init!$R$6=2022,Rates_current!$C$88,Rates_current!$D$88),Rates_current!$H$33)</f>
        <v>0</v>
      </c>
      <c r="T48" s="213">
        <v>0</v>
      </c>
      <c r="U48" s="213">
        <f>IF('Staging Table'!D50=1, 'Staging Table'!BU50*-1,SUM(O48:T48)*'Staging Table'!BU50*-1)</f>
        <v>-863169.48044050275</v>
      </c>
      <c r="V48" s="211">
        <f>'Staging Table'!BX50*Rates_current!$H$32*-1</f>
        <v>-1467749.9858000001</v>
      </c>
      <c r="W48" s="211">
        <f>IF('Staging Table'!C50=1,"",SUM(O48:V48))</f>
        <v>8108960.8702946603</v>
      </c>
      <c r="X48" s="211">
        <f>IF('Staging Table'!C50=1,"",(RT1SC!$C$4*'Staging Table'!BR50*'Staging Table'!$BS$2)+SUM('Staging Table'!BY50:CV50)-IF(Init!$R$12="No",'Staging Table'!DU50, 0))</f>
        <v>312679.67911200435</v>
      </c>
      <c r="Y48" s="313">
        <f>IF('Staging Table'!C50=1,"",IF(X48=0, 0, W48/X48))</f>
        <v>25.933763566995239</v>
      </c>
      <c r="Z48" s="310">
        <f ca="1">IF('Staging Table'!C50=1,"",(Y48/N48-1)+(RAND()/100000000000000))</f>
        <v>-6.1425163842349091E-2</v>
      </c>
      <c r="AA48" s="311">
        <f t="shared" ca="1" si="0"/>
        <v>113</v>
      </c>
      <c r="AD48" s="216"/>
      <c r="AE48" s="216"/>
      <c r="AF48" s="220"/>
      <c r="AG48" s="216"/>
      <c r="AH48" s="216"/>
    </row>
    <row r="49" spans="2:34">
      <c r="B49" s="3">
        <v>10116</v>
      </c>
      <c r="C49" s="4" t="s">
        <v>52</v>
      </c>
      <c r="D49" s="211">
        <f>IF(Init!$R$9="Yes",'Staging Table'!E51,'Staging Table'!BR51)*Rates_previous!$E$76*100*12</f>
        <v>76528.567919999987</v>
      </c>
      <c r="E49" s="211">
        <f>IF(Init!$R$9="Yes",'Staging Table'!F51,'Staging Table'!BS51)*Rates_previous!$E$77*100*12</f>
        <v>-7742.1035999999986</v>
      </c>
      <c r="F49" s="212">
        <f>IF(Init!$R$9="Yes",SUMPRODUCT('Staging Table'!L51:AI51,LS_Demand_Rates_Restatement!$C$4:$Z$4)-IF(Init!$R$12="No",('Staging Table'!BH51*Rates_previous!$H$34), 0),SUMPRODUCT('Staging Table'!BY51:CV51,LS_Demand_Rates_Restatement!$C$4:$Z$4)-IF(Init!$R$12="No", 'Staging Table'!DU51*Rates_previous!$H$34, 0))</f>
        <v>-347.29997396881754</v>
      </c>
      <c r="G49" s="212">
        <f>IF(Init!$R$9="Yes",SUMPRODUCT('Staging Table'!AJ51:AU51,LS_Demand_Rates_Restatement!$C$10:$N$10),SUMPRODUCT(LS_Demand_Rates_Restatement!$C$10:$N$10,'Staging Table'!CW51:DH51))*1000</f>
        <v>0</v>
      </c>
      <c r="H49" s="213">
        <f>IF(Init!$R$9="Yes",'Staging Table'!BQ51,'Staging Table'!ED51)*IF(Init!$R$3=2020,Rates_previous!$C$88,Rates_previous!$D$88)</f>
        <v>0</v>
      </c>
      <c r="I49" s="211">
        <f>IF(Init!$R$9="Yes",IF('Staging Table'!$F$1=2020,(SUM('Staging Table'!AX51:BD51)*Rates_previous!$C$87),(SUM('Staging Table'!AX51:BD51)*Rates_previous!$D$87)),IF('Staging Table'!$F$1=2020,(SUM('Staging Table'!DK51:DQ51)*Rates_previous!$C$87),(SUM('Staging Table'!DK51:DQ51)*Rates_previous!$D$87)))</f>
        <v>938.78792557137001</v>
      </c>
      <c r="J49" s="213">
        <f>IF(Init!$R$9="Yes",IF('Staging Table'!D51=1,'Staging Table'!H51*-1,'Staging Table'!H51*SUM(D49:I49)*(-1)),IF('Staging Table'!D51=1,'Staging Table'!BU51*-1,'Staging Table'!BU51*SUM(D49:I49)*(-1)))</f>
        <v>0</v>
      </c>
      <c r="K49" s="211">
        <f>IF(Init!$R$9="Yes",'Staging Table'!K51,'Staging Table'!BX51)*(-1)*Rates_previous!$H$32</f>
        <v>0</v>
      </c>
      <c r="L49" s="211">
        <f>IF('Staging Table'!C51=1,"",SUM(D49:K49))</f>
        <v>69377.952271602524</v>
      </c>
      <c r="M49" s="211">
        <f>IF('Staging Table'!C51=1,"",IF(Init!$R$9="Yes",(RT1SC!$C$3*'Staging Table'!E51*'Staging Table'!$F$2)+SUM('Staging Table'!L51:AI51)-IF(Init!$R$12="No",'Staging Table'!BH51, 0),X49))</f>
        <v>1985.184</v>
      </c>
      <c r="N49" s="95">
        <f>IF('Staging Table'!C51=1,"",IF(M49=0, 0, L49/M49))</f>
        <v>34.947869956438559</v>
      </c>
      <c r="O49" s="211">
        <f>'Staging Table'!BR51*Rates_current!$E$76*100*12</f>
        <v>77218.845781933429</v>
      </c>
      <c r="P49" s="211">
        <f>'Staging Table'!BS51*Rates_current!$E$77*100*12</f>
        <v>-12749.016724765848</v>
      </c>
      <c r="Q49" s="212">
        <f>SUMPRODUCT('Staging Table'!BY51:CV51, LS_Demand_Rates_Restatement!$C$5:$Z$5)-IF(Init!$R$12="No",('Staging Table'!DU51*Rates_current!$H$34), 0)</f>
        <v>-560.2731776075434</v>
      </c>
      <c r="R49" s="212">
        <f>SUMPRODUCT('Staging Table'!CW51:DH51, LS_Demand_Rates_Restatement!$C$11:$N$11)*1000</f>
        <v>0</v>
      </c>
      <c r="S49" s="213">
        <f>'Staging Table'!ED51*IF(Init!$R$15="Yes",IF(Init!$R$6=2022,Rates_current!$C$88,Rates_current!$D$88),Rates_current!$H$33)</f>
        <v>0</v>
      </c>
      <c r="T49" s="213">
        <v>0</v>
      </c>
      <c r="U49" s="213">
        <f>IF('Staging Table'!D51=1, 'Staging Table'!BU51*-1,SUM(O49:T49)*'Staging Table'!BU51*-1)</f>
        <v>0</v>
      </c>
      <c r="V49" s="211">
        <f>'Staging Table'!BX51*Rates_current!$H$32*-1</f>
        <v>0</v>
      </c>
      <c r="W49" s="211">
        <f>IF('Staging Table'!C51=1,"",SUM(O49:V49))</f>
        <v>63909.555879560037</v>
      </c>
      <c r="X49" s="211">
        <f>IF('Staging Table'!C51=1,"",(RT1SC!$C$4*'Staging Table'!BR51*'Staging Table'!$BS$2)+SUM('Staging Table'!BY51:CV51)-IF(Init!$R$12="No",'Staging Table'!DU51, 0))</f>
        <v>1900.92</v>
      </c>
      <c r="Y49" s="313">
        <f>IF('Staging Table'!C51=1,"",IF(X49=0, 0, W49/X49))</f>
        <v>33.620329040443593</v>
      </c>
      <c r="Z49" s="310">
        <f ca="1">IF('Staging Table'!C51=1,"",(Y49/N49-1)+(RAND()/100000000000000))</f>
        <v>-3.7986318412235508E-2</v>
      </c>
      <c r="AA49" s="311">
        <f t="shared" ca="1" si="0"/>
        <v>78</v>
      </c>
      <c r="AD49" s="216"/>
      <c r="AE49" s="216"/>
      <c r="AF49" s="220"/>
      <c r="AG49" s="216"/>
      <c r="AH49" s="216"/>
    </row>
    <row r="50" spans="2:34">
      <c r="B50" s="3">
        <v>10118</v>
      </c>
      <c r="C50" s="4" t="s">
        <v>53</v>
      </c>
      <c r="D50" s="211">
        <f>IF(Init!$R$9="Yes",'Staging Table'!E52,'Staging Table'!BR52)*Rates_previous!$E$76*100*12</f>
        <v>15371309.499360003</v>
      </c>
      <c r="E50" s="211">
        <f>IF(Init!$R$9="Yes",'Staging Table'!F52,'Staging Table'!BS52)*Rates_previous!$E$77*100*12</f>
        <v>-1555056.8088</v>
      </c>
      <c r="F50" s="212">
        <f>IF(Init!$R$9="Yes",SUMPRODUCT('Staging Table'!L52:AI52,LS_Demand_Rates_Restatement!$C$4:$Z$4)-IF(Init!$R$12="No",('Staging Table'!BH52*Rates_previous!$H$34), 0),SUMPRODUCT('Staging Table'!BY52:CV52,LS_Demand_Rates_Restatement!$C$4:$Z$4)-IF(Init!$R$12="No", 'Staging Table'!DU52*Rates_previous!$H$34, 0))</f>
        <v>0</v>
      </c>
      <c r="G50" s="212">
        <f>IF(Init!$R$9="Yes",SUMPRODUCT('Staging Table'!AJ52:AU52,LS_Demand_Rates_Restatement!$C$10:$N$10),SUMPRODUCT(LS_Demand_Rates_Restatement!$C$10:$N$10,'Staging Table'!CW52:DH52))*1000</f>
        <v>0</v>
      </c>
      <c r="H50" s="213">
        <f>IF(Init!$R$9="Yes",'Staging Table'!BQ52,'Staging Table'!ED52)*IF(Init!$R$3=2020,Rates_previous!$C$88,Rates_previous!$D$88)</f>
        <v>0</v>
      </c>
      <c r="I50" s="211">
        <f>IF(Init!$R$9="Yes",IF('Staging Table'!$F$1=2020,(SUM('Staging Table'!AX52:BD52)*Rates_previous!$C$87),(SUM('Staging Table'!AX52:BD52)*Rates_previous!$D$87)),IF('Staging Table'!$F$1=2020,(SUM('Staging Table'!DK52:DQ52)*Rates_previous!$C$87),(SUM('Staging Table'!DK52:DQ52)*Rates_previous!$D$87)))</f>
        <v>188562.2604790495</v>
      </c>
      <c r="J50" s="213">
        <f>IF(Init!$R$9="Yes",IF('Staging Table'!D52=1,'Staging Table'!H52*-1,'Staging Table'!H52*SUM(D50:I50)*(-1)),IF('Staging Table'!D52=1,'Staging Table'!BU52*-1,'Staging Table'!BU52*SUM(D50:I50)*(-1)))</f>
        <v>-941891.0058812917</v>
      </c>
      <c r="K50" s="211">
        <f>IF(Init!$R$9="Yes",'Staging Table'!K52,'Staging Table'!BX52)*(-1)*Rates_previous!$H$32</f>
        <v>0</v>
      </c>
      <c r="L50" s="211" t="str">
        <f>IF('Staging Table'!C52=1,"",SUM(D50:K50))</f>
        <v/>
      </c>
      <c r="M50" s="211" t="str">
        <f>IF('Staging Table'!C52=1,"",IF(Init!$R$9="Yes",(RT1SC!$C$3*'Staging Table'!E52*'Staging Table'!$F$2)+SUM('Staging Table'!L52:AI52)-IF(Init!$R$12="No",'Staging Table'!BH52, 0),X50))</f>
        <v/>
      </c>
      <c r="N50" s="95" t="str">
        <f>IF('Staging Table'!C52=1,"",IF(M50=0, 0, L50/M50))</f>
        <v/>
      </c>
      <c r="O50" s="211">
        <f>'Staging Table'!BR52*Rates_current!$E$76*100*12</f>
        <v>15509956.738485491</v>
      </c>
      <c r="P50" s="211">
        <f>'Staging Table'!BS52*Rates_current!$E$77*100*12</f>
        <v>-2560731.0735743977</v>
      </c>
      <c r="Q50" s="212">
        <f>SUMPRODUCT('Staging Table'!BY52:CV52, LS_Demand_Rates_Restatement!$C$5:$Z$5)-IF(Init!$R$12="No",('Staging Table'!DU52*Rates_current!$H$34), 0)</f>
        <v>0</v>
      </c>
      <c r="R50" s="212">
        <f>SUMPRODUCT('Staging Table'!CW52:DH52, LS_Demand_Rates_Restatement!$C$11:$N$11)*1000</f>
        <v>0</v>
      </c>
      <c r="S50" s="213">
        <f>'Staging Table'!ED52*IF(Init!$R$15="Yes",IF(Init!$R$6=2022,Rates_current!$C$88,Rates_current!$D$88),Rates_current!$H$33)</f>
        <v>0</v>
      </c>
      <c r="T50" s="213">
        <v>0</v>
      </c>
      <c r="U50" s="213">
        <f>IF('Staging Table'!D52=1, 'Staging Table'!BU52*-1,SUM(O50:T50)*'Staging Table'!BU52*-1)</f>
        <v>-959952.59856190044</v>
      </c>
      <c r="V50" s="211">
        <f>'Staging Table'!BX52*Rates_current!$H$32*-1</f>
        <v>0</v>
      </c>
      <c r="W50" s="211" t="str">
        <f>IF('Staging Table'!C52=1,"",SUM(O50:V50))</f>
        <v/>
      </c>
      <c r="X50" s="211" t="str">
        <f>IF('Staging Table'!C52=1,"",(RT1SC!$C$4*'Staging Table'!BR52*'Staging Table'!$BS$2)+SUM('Staging Table'!BY52:CV52)-IF(Init!$R$12="No",'Staging Table'!DU52, 0))</f>
        <v/>
      </c>
      <c r="Y50" s="95" t="str">
        <f>IF('Staging Table'!C52=1,"",IF(X50=0, 0, W50/X50))</f>
        <v/>
      </c>
      <c r="Z50" s="87" t="str">
        <f ca="1">IF('Staging Table'!C52=1,"",(Y50/N50-1)+(RAND()/100000000000000))</f>
        <v/>
      </c>
      <c r="AA50" s="53" t="str">
        <f t="shared" ca="1" si="0"/>
        <v/>
      </c>
      <c r="AD50" s="216"/>
      <c r="AE50" s="216"/>
      <c r="AF50" s="220"/>
      <c r="AG50" s="216"/>
      <c r="AH50" s="216"/>
    </row>
    <row r="51" spans="2:34">
      <c r="B51" s="3">
        <v>10121</v>
      </c>
      <c r="C51" s="4" t="s">
        <v>54</v>
      </c>
      <c r="D51" s="211">
        <f>IF(Init!$R$9="Yes",'Staging Table'!E53,'Staging Table'!BR53)*Rates_previous!$E$76*100*12</f>
        <v>13170281.339400001</v>
      </c>
      <c r="E51" s="211">
        <f>IF(Init!$R$9="Yes",'Staging Table'!F53,'Staging Table'!BS53)*Rates_previous!$E$77*100*12</f>
        <v>-1332387.1770000001</v>
      </c>
      <c r="F51" s="212">
        <f>IF(Init!$R$9="Yes",SUMPRODUCT('Staging Table'!L53:AI53,LS_Demand_Rates_Restatement!$C$4:$Z$4)-IF(Init!$R$12="No",('Staging Table'!BH53*Rates_previous!$H$34), 0),SUMPRODUCT('Staging Table'!BY53:CV53,LS_Demand_Rates_Restatement!$C$4:$Z$4)-IF(Init!$R$12="No", 'Staging Table'!DU53*Rates_previous!$H$34, 0))</f>
        <v>0</v>
      </c>
      <c r="G51" s="212">
        <f>IF(Init!$R$9="Yes",SUMPRODUCT('Staging Table'!AJ53:AU53,LS_Demand_Rates_Restatement!$C$10:$N$10),SUMPRODUCT(LS_Demand_Rates_Restatement!$C$10:$N$10,'Staging Table'!CW53:DH53))*1000</f>
        <v>0</v>
      </c>
      <c r="H51" s="213">
        <f>IF(Init!$R$9="Yes",'Staging Table'!BQ53,'Staging Table'!ED53)*IF(Init!$R$3=2020,Rates_previous!$C$88,Rates_previous!$D$88)</f>
        <v>45.840741764602718</v>
      </c>
      <c r="I51" s="211">
        <f>IF(Init!$R$9="Yes",IF('Staging Table'!$F$1=2020,(SUM('Staging Table'!AX53:BD53)*Rates_previous!$C$87),(SUM('Staging Table'!AX53:BD53)*Rates_previous!$D$87)),IF('Staging Table'!$F$1=2020,(SUM('Staging Table'!DK53:DQ53)*Rates_previous!$C$87),(SUM('Staging Table'!DK53:DQ53)*Rates_previous!$D$87)))</f>
        <v>161561.90340229031</v>
      </c>
      <c r="J51" s="213">
        <f>IF(Init!$R$9="Yes",IF('Staging Table'!D53=1,'Staging Table'!H53*-1,'Staging Table'!H53*SUM(D51:I51)*(-1)),IF('Staging Table'!D53=1,'Staging Table'!BU53*-1,'Staging Table'!BU53*SUM(D51:I51)*(-1)))</f>
        <v>-719970.11439264333</v>
      </c>
      <c r="K51" s="211">
        <f>IF(Init!$R$9="Yes",'Staging Table'!K53,'Staging Table'!BX53)*(-1)*Rates_previous!$H$32</f>
        <v>0</v>
      </c>
      <c r="L51" s="211" t="str">
        <f>IF('Staging Table'!C53=1,"",SUM(D51:K51))</f>
        <v/>
      </c>
      <c r="M51" s="211" t="str">
        <f>IF('Staging Table'!C53=1,"",IF(Init!$R$9="Yes",(RT1SC!$C$3*'Staging Table'!E53*'Staging Table'!$F$2)+SUM('Staging Table'!L53:AI53)-IF(Init!$R$12="No",'Staging Table'!BH53, 0),X51))</f>
        <v/>
      </c>
      <c r="N51" s="95" t="str">
        <f>IF('Staging Table'!C53=1,"",IF(M51=0, 0, L51/M51))</f>
        <v/>
      </c>
      <c r="O51" s="211">
        <f>'Staging Table'!BR53*Rates_current!$E$76*100*12</f>
        <v>13850950.604574263</v>
      </c>
      <c r="P51" s="211">
        <f>'Staging Table'!BS53*Rates_current!$E$77*100*12</f>
        <v>-2286825.1800901429</v>
      </c>
      <c r="Q51" s="212">
        <f>SUMPRODUCT('Staging Table'!BY53:CV53, LS_Demand_Rates_Restatement!$C$5:$Z$5)-IF(Init!$R$12="No",('Staging Table'!DU53*Rates_current!$H$34), 0)</f>
        <v>0</v>
      </c>
      <c r="R51" s="212">
        <f>SUMPRODUCT('Staging Table'!CW53:DH53, LS_Demand_Rates_Restatement!$C$11:$N$11)*1000</f>
        <v>0</v>
      </c>
      <c r="S51" s="213">
        <f>'Staging Table'!ED53*IF(Init!$R$15="Yes",IF(Init!$R$6=2022,Rates_current!$C$88,Rates_current!$D$88),Rates_current!$H$33)</f>
        <v>-7.3695467320946051</v>
      </c>
      <c r="T51" s="213">
        <v>0</v>
      </c>
      <c r="U51" s="213">
        <f>IF('Staging Table'!D53=1, 'Staging Table'!BU53*-1,SUM(O51:T51)*'Staging Table'!BU53*-1)</f>
        <v>-693847.08329624333</v>
      </c>
      <c r="V51" s="211">
        <f>'Staging Table'!BX53*Rates_current!$H$32*-1</f>
        <v>0</v>
      </c>
      <c r="W51" s="211" t="str">
        <f>IF('Staging Table'!C53=1,"",SUM(O51:V51))</f>
        <v/>
      </c>
      <c r="X51" s="211" t="str">
        <f>IF('Staging Table'!C53=1,"",(RT1SC!$C$4*'Staging Table'!BR53*'Staging Table'!$BS$2)+SUM('Staging Table'!BY53:CV53)-IF(Init!$R$12="No",'Staging Table'!DU53, 0))</f>
        <v/>
      </c>
      <c r="Y51" s="95" t="str">
        <f>IF('Staging Table'!C53=1,"",IF(X51=0, 0, W51/X51))</f>
        <v/>
      </c>
      <c r="Z51" s="87" t="str">
        <f ca="1">IF('Staging Table'!C53=1,"",(Y51/N51-1)+(RAND()/100000000000000))</f>
        <v/>
      </c>
      <c r="AA51" s="53" t="str">
        <f t="shared" ca="1" si="0"/>
        <v/>
      </c>
      <c r="AD51" s="216"/>
      <c r="AE51" s="216"/>
      <c r="AF51" s="220"/>
      <c r="AG51" s="216"/>
      <c r="AH51" s="216"/>
    </row>
    <row r="52" spans="2:34">
      <c r="B52" s="3">
        <v>10123</v>
      </c>
      <c r="C52" s="4" t="s">
        <v>55</v>
      </c>
      <c r="D52" s="211">
        <f>IF(Init!$R$9="Yes",'Staging Table'!E54,'Staging Table'!BR54)*Rates_previous!$E$76*100*12</f>
        <v>153078763.47876</v>
      </c>
      <c r="E52" s="211">
        <f>IF(Init!$R$9="Yes",'Staging Table'!F54,'Staging Table'!BS54)*Rates_previous!$E$77*100*12</f>
        <v>-5896765.9937999984</v>
      </c>
      <c r="F52" s="212">
        <f>IF(Init!$R$9="Yes",SUMPRODUCT('Staging Table'!L54:AI54,LS_Demand_Rates_Restatement!$C$4:$Z$4)-IF(Init!$R$12="No",('Staging Table'!BH54*Rates_previous!$H$34), 0),SUMPRODUCT('Staging Table'!BY54:CV54,LS_Demand_Rates_Restatement!$C$4:$Z$4)-IF(Init!$R$12="No", 'Staging Table'!DU54*Rates_previous!$H$34, 0))</f>
        <v>11090.676030730479</v>
      </c>
      <c r="G52" s="212">
        <f>IF(Init!$R$9="Yes",SUMPRODUCT('Staging Table'!AJ54:AU54,LS_Demand_Rates_Restatement!$C$10:$N$10),SUMPRODUCT(LS_Demand_Rates_Restatement!$C$10:$N$10,'Staging Table'!CW54:DH54))*1000</f>
        <v>0</v>
      </c>
      <c r="H52" s="213">
        <f>IF(Init!$R$9="Yes",'Staging Table'!BQ54,'Staging Table'!ED54)*IF(Init!$R$3=2020,Rates_previous!$C$88,Rates_previous!$D$88)</f>
        <v>0</v>
      </c>
      <c r="I52" s="211">
        <f>IF(Init!$R$9="Yes",IF('Staging Table'!$F$1=2020,(SUM('Staging Table'!AX54:BD54)*Rates_previous!$C$87),(SUM('Staging Table'!AX54:BD54)*Rates_previous!$D$87)),IF('Staging Table'!$F$1=2020,(SUM('Staging Table'!DK54:DQ54)*Rates_previous!$C$87),(SUM('Staging Table'!DK54:DQ54)*Rates_previous!$D$87)))</f>
        <v>715026.94886429829</v>
      </c>
      <c r="J52" s="213">
        <f>IF(Init!$R$9="Yes",IF('Staging Table'!D54=1,'Staging Table'!H54*-1,'Staging Table'!H54*SUM(D52:I52)*(-1)),IF('Staging Table'!D54=1,'Staging Table'!BU54*-1,'Staging Table'!BU54*SUM(D52:I52)*(-1)))</f>
        <v>0</v>
      </c>
      <c r="K52" s="211">
        <f>IF(Init!$R$9="Yes",'Staging Table'!K54,'Staging Table'!BX54)*(-1)*Rates_previous!$H$32</f>
        <v>0</v>
      </c>
      <c r="L52" s="211">
        <f>IF('Staging Table'!C54=1,"",SUM(D52:K52))</f>
        <v>147908115.10985506</v>
      </c>
      <c r="M52" s="211">
        <f>IF('Staging Table'!C54=1,"",IF(Init!$R$9="Yes",(RT1SC!$C$3*'Staging Table'!E54*'Staging Table'!$F$2)+SUM('Staging Table'!L54:AI54)-IF(Init!$R$12="No",'Staging Table'!BH54, 0),X52))</f>
        <v>3974256.9564674031</v>
      </c>
      <c r="N52" s="95">
        <f>IF('Staging Table'!C54=1,"",IF(M52=0, 0, L52/M52))</f>
        <v>37.216545565620926</v>
      </c>
      <c r="O52" s="211">
        <f>'Staging Table'!BR54*Rates_current!$E$76*100*12</f>
        <v>161507772.3444351</v>
      </c>
      <c r="P52" s="211">
        <f>'Staging Table'!BS54*Rates_current!$E$77*100*12</f>
        <v>-10873961.028953858</v>
      </c>
      <c r="Q52" s="212">
        <f>SUMPRODUCT('Staging Table'!BY54:CV54, LS_Demand_Rates_Restatement!$C$5:$Z$5)-IF(Init!$R$12="No",('Staging Table'!DU54*Rates_current!$H$34), 0)</f>
        <v>-299753.58612271515</v>
      </c>
      <c r="R52" s="212">
        <f>SUMPRODUCT('Staging Table'!CW54:DH54, LS_Demand_Rates_Restatement!$C$11:$N$11)*1000</f>
        <v>0</v>
      </c>
      <c r="S52" s="213">
        <f>'Staging Table'!ED54*IF(Init!$R$15="Yes",IF(Init!$R$6=2022,Rates_current!$C$88,Rates_current!$D$88),Rates_current!$H$33)</f>
        <v>0</v>
      </c>
      <c r="T52" s="213">
        <v>0</v>
      </c>
      <c r="U52" s="213">
        <f>IF('Staging Table'!D54=1, 'Staging Table'!BU54*-1,SUM(O52:T52)*'Staging Table'!BU54*-1)</f>
        <v>0</v>
      </c>
      <c r="V52" s="211">
        <f>'Staging Table'!BX54*Rates_current!$H$32*-1</f>
        <v>0</v>
      </c>
      <c r="W52" s="211">
        <f>IF('Staging Table'!C54=1,"",SUM(O52:V52))</f>
        <v>150334057.72935852</v>
      </c>
      <c r="X52" s="211">
        <f>IF('Staging Table'!C54=1,"",(RT1SC!$C$4*'Staging Table'!BR54*'Staging Table'!$BS$2)+SUM('Staging Table'!BY54:CV54)-IF(Init!$R$12="No",'Staging Table'!DU54, 0))</f>
        <v>3974255.0645775599</v>
      </c>
      <c r="Y52" s="95">
        <f>IF('Staging Table'!C54=1,"",IF(X52=0, 0, W52/X52))</f>
        <v>37.826977706912267</v>
      </c>
      <c r="Z52" s="87">
        <f ca="1">IF('Staging Table'!C54=1,"",(Y52/N52-1)+(RAND()/100000000000000))</f>
        <v>1.640217091656505E-2</v>
      </c>
      <c r="AA52" s="53">
        <f t="shared" ca="1" si="0"/>
        <v>4</v>
      </c>
      <c r="AD52" s="216"/>
      <c r="AE52" s="216"/>
      <c r="AF52" s="220"/>
      <c r="AG52" s="216"/>
      <c r="AH52" s="216"/>
    </row>
    <row r="53" spans="2:34">
      <c r="B53" s="3">
        <v>10136</v>
      </c>
      <c r="C53" s="4" t="s">
        <v>56</v>
      </c>
      <c r="D53" s="211">
        <f>IF(Init!$R$9="Yes",'Staging Table'!E55,'Staging Table'!BR55)*Rates_previous!$E$76*100*12</f>
        <v>6129653.0907599991</v>
      </c>
      <c r="E53" s="211">
        <f>IF(Init!$R$9="Yes",'Staging Table'!F55,'Staging Table'!BS55)*Rates_previous!$E$77*100*12</f>
        <v>-620113.64580000006</v>
      </c>
      <c r="F53" s="212">
        <f>IF(Init!$R$9="Yes",SUMPRODUCT('Staging Table'!L55:AI55,LS_Demand_Rates_Restatement!$C$4:$Z$4)-IF(Init!$R$12="No",('Staging Table'!BH55*Rates_previous!$H$34), 0),SUMPRODUCT('Staging Table'!BY55:CV55,LS_Demand_Rates_Restatement!$C$4:$Z$4)-IF(Init!$R$12="No", 'Staging Table'!DU55*Rates_previous!$H$34, 0))</f>
        <v>0</v>
      </c>
      <c r="G53" s="212">
        <f>IF(Init!$R$9="Yes",SUMPRODUCT('Staging Table'!AJ55:AU55,LS_Demand_Rates_Restatement!$C$10:$N$10),SUMPRODUCT(LS_Demand_Rates_Restatement!$C$10:$N$10,'Staging Table'!CW55:DH55))*1000</f>
        <v>0</v>
      </c>
      <c r="H53" s="213">
        <f>IF(Init!$R$9="Yes",'Staging Table'!BQ55,'Staging Table'!ED55)*IF(Init!$R$3=2020,Rates_previous!$C$88,Rates_previous!$D$88)</f>
        <v>-11.156018430078984</v>
      </c>
      <c r="I53" s="211">
        <f>IF(Init!$R$9="Yes",IF('Staging Table'!$F$1=2020,(SUM('Staging Table'!AX55:BD55)*Rates_previous!$C$87),(SUM('Staging Table'!AX55:BD55)*Rates_previous!$D$87)),IF('Staging Table'!$F$1=2020,(SUM('Staging Table'!DK55:DQ55)*Rates_previous!$C$87),(SUM('Staging Table'!DK55:DQ55)*Rates_previous!$D$87)))</f>
        <v>75193.414249724243</v>
      </c>
      <c r="J53" s="213">
        <f>IF(Init!$R$9="Yes",IF('Staging Table'!D55=1,'Staging Table'!H55*-1,'Staging Table'!H55*SUM(D53:I53)*(-1)),IF('Staging Table'!D55=1,'Staging Table'!BU55*-1,'Staging Table'!BU55*SUM(D53:I53)*(-1)))</f>
        <v>-390930.51922339055</v>
      </c>
      <c r="K53" s="211">
        <f>IF(Init!$R$9="Yes",'Staging Table'!K55,'Staging Table'!BX55)*(-1)*Rates_previous!$H$32</f>
        <v>0</v>
      </c>
      <c r="L53" s="211" t="str">
        <f>IF('Staging Table'!C55=1,"",SUM(D53:K53))</f>
        <v/>
      </c>
      <c r="M53" s="211" t="str">
        <f>IF('Staging Table'!C55=1,"",IF(Init!$R$9="Yes",(RT1SC!$C$3*'Staging Table'!E55*'Staging Table'!$F$2)+SUM('Staging Table'!L55:AI55)-IF(Init!$R$12="No",'Staging Table'!BH55, 0),X53))</f>
        <v/>
      </c>
      <c r="N53" s="95" t="str">
        <f>IF('Staging Table'!C55=1,"",IF(M53=0, 0, L53/M53))</f>
        <v/>
      </c>
      <c r="O53" s="211">
        <f>'Staging Table'!BR55*Rates_current!$E$76*100*12</f>
        <v>6295014.6017880533</v>
      </c>
      <c r="P53" s="211">
        <f>'Staging Table'!BS55*Rates_current!$E$77*100*12</f>
        <v>-1039322.0156059118</v>
      </c>
      <c r="Q53" s="212">
        <f>SUMPRODUCT('Staging Table'!BY55:CV55, LS_Demand_Rates_Restatement!$C$5:$Z$5)-IF(Init!$R$12="No",('Staging Table'!DU55*Rates_current!$H$34), 0)</f>
        <v>0</v>
      </c>
      <c r="R53" s="212">
        <f>SUMPRODUCT('Staging Table'!CW55:DH55, LS_Demand_Rates_Restatement!$C$11:$N$11)*1000</f>
        <v>0</v>
      </c>
      <c r="S53" s="213">
        <f>'Staging Table'!ED55*IF(Init!$R$15="Yes",IF(Init!$R$6=2022,Rates_current!$C$88,Rates_current!$D$88),Rates_current!$H$33)</f>
        <v>0</v>
      </c>
      <c r="T53" s="213">
        <v>0</v>
      </c>
      <c r="U53" s="213">
        <f>IF('Staging Table'!D55=1, 'Staging Table'!BU55*-1,SUM(O53:T53)*'Staging Table'!BU55*-1)</f>
        <v>-379840.67003420898</v>
      </c>
      <c r="V53" s="211">
        <f>'Staging Table'!BX55*Rates_current!$H$32*-1</f>
        <v>0</v>
      </c>
      <c r="W53" s="211" t="str">
        <f>IF('Staging Table'!C55=1,"",SUM(O53:V53))</f>
        <v/>
      </c>
      <c r="X53" s="211" t="str">
        <f>IF('Staging Table'!C55=1,"",(RT1SC!$C$4*'Staging Table'!BR55*'Staging Table'!$BS$2)+SUM('Staging Table'!BY55:CV55)-IF(Init!$R$12="No",'Staging Table'!DU55, 0))</f>
        <v/>
      </c>
      <c r="Y53" s="95" t="str">
        <f>IF('Staging Table'!C55=1,"",IF(X53=0, 0, W53/X53))</f>
        <v/>
      </c>
      <c r="Z53" s="87" t="str">
        <f ca="1">IF('Staging Table'!C55=1,"",(Y53/N53-1)+(RAND()/100000000000000))</f>
        <v/>
      </c>
      <c r="AA53" s="53" t="str">
        <f t="shared" ca="1" si="0"/>
        <v/>
      </c>
      <c r="AD53" s="216"/>
      <c r="AE53" s="216"/>
      <c r="AF53" s="220"/>
      <c r="AG53" s="216"/>
      <c r="AH53" s="216"/>
    </row>
    <row r="54" spans="2:34">
      <c r="B54" s="3">
        <v>10142</v>
      </c>
      <c r="C54" s="4" t="s">
        <v>57</v>
      </c>
      <c r="D54" s="211">
        <f>IF(Init!$R$9="Yes",'Staging Table'!E56,'Staging Table'!BR56)*Rates_previous!$E$76*100*12</f>
        <v>904320.49979999999</v>
      </c>
      <c r="E54" s="211">
        <f>IF(Init!$R$9="Yes",'Staging Table'!F56,'Staging Table'!BS56)*Rates_previous!$E$77*100*12</f>
        <v>-91486.659</v>
      </c>
      <c r="F54" s="212">
        <f>IF(Init!$R$9="Yes",SUMPRODUCT('Staging Table'!L56:AI56,LS_Demand_Rates_Restatement!$C$4:$Z$4)-IF(Init!$R$12="No",('Staging Table'!BH56*Rates_previous!$H$34), 0),SUMPRODUCT('Staging Table'!BY56:CV56,LS_Demand_Rates_Restatement!$C$4:$Z$4)-IF(Init!$R$12="No", 'Staging Table'!DU56*Rates_previous!$H$34, 0))</f>
        <v>-15876.967825043379</v>
      </c>
      <c r="G54" s="212">
        <f>IF(Init!$R$9="Yes",SUMPRODUCT('Staging Table'!AJ56:AU56,LS_Demand_Rates_Restatement!$C$10:$N$10),SUMPRODUCT(LS_Demand_Rates_Restatement!$C$10:$N$10,'Staging Table'!CW56:DH56))*1000</f>
        <v>54076.077308618253</v>
      </c>
      <c r="H54" s="213">
        <f>IF(Init!$R$9="Yes",'Staging Table'!BQ56,'Staging Table'!ED56)*IF(Init!$R$3=2020,Rates_previous!$C$88,Rates_previous!$D$88)</f>
        <v>0</v>
      </c>
      <c r="I54" s="211">
        <f>IF(Init!$R$9="Yes",IF('Staging Table'!$F$1=2020,(SUM('Staging Table'!AX56:BD56)*Rates_previous!$C$87),(SUM('Staging Table'!AX56:BD56)*Rates_previous!$D$87)),IF('Staging Table'!$F$1=2020,(SUM('Staging Table'!DK56:DQ56)*Rates_previous!$C$87),(SUM('Staging Table'!DK56:DQ56)*Rates_previous!$D$87)))</f>
        <v>11093.441170183425</v>
      </c>
      <c r="J54" s="213">
        <f>IF(Init!$R$9="Yes",IF('Staging Table'!D56=1,'Staging Table'!H56*-1,'Staging Table'!H56*SUM(D54:I54)*(-1)),IF('Staging Table'!D56=1,'Staging Table'!BU56*-1,'Staging Table'!BU56*SUM(D54:I54)*(-1)))</f>
        <v>-28418.240310883146</v>
      </c>
      <c r="K54" s="211">
        <f>IF(Init!$R$9="Yes",'Staging Table'!K56,'Staging Table'!BX56)*(-1)*Rates_previous!$H$32</f>
        <v>-64098.967239999998</v>
      </c>
      <c r="L54" s="211">
        <f>IF('Staging Table'!C56=1,"",SUM(D54:K54))</f>
        <v>769609.18390287517</v>
      </c>
      <c r="M54" s="211">
        <f>IF('Staging Table'!C56=1,"",IF(Init!$R$9="Yes",(RT1SC!$C$3*'Staging Table'!E56*'Staging Table'!$F$2)+SUM('Staging Table'!L56:AI56)-IF(Init!$R$12="No",'Staging Table'!BH56, 0),X54))</f>
        <v>23479.632000000001</v>
      </c>
      <c r="N54" s="95">
        <f>IF('Staging Table'!C56=1,"",IF(M54=0, 0, L54/M54))</f>
        <v>32.777736205698417</v>
      </c>
      <c r="O54" s="211">
        <f>'Staging Table'!BR56*Rates_current!$E$76*100*12</f>
        <v>912477.35465918249</v>
      </c>
      <c r="P54" s="211">
        <f>'Staging Table'!BS56*Rates_current!$E$77*100*12</f>
        <v>-150652.20073830453</v>
      </c>
      <c r="Q54" s="212">
        <f>SUMPRODUCT('Staging Table'!BY56:CV56, LS_Demand_Rates_Restatement!$C$5:$Z$5)-IF(Init!$R$12="No",('Staging Table'!DU56*Rates_current!$H$34), 0)</f>
        <v>-16281.964608314476</v>
      </c>
      <c r="R54" s="212">
        <f>SUMPRODUCT('Staging Table'!CW56:DH56, LS_Demand_Rates_Restatement!$C$11:$N$11)*1000</f>
        <v>50999.805818402798</v>
      </c>
      <c r="S54" s="213">
        <f>'Staging Table'!ED56*IF(Init!$R$15="Yes",IF(Init!$R$6=2022,Rates_current!$C$88,Rates_current!$D$88),Rates_current!$H$33)</f>
        <v>0</v>
      </c>
      <c r="T54" s="213">
        <v>0</v>
      </c>
      <c r="U54" s="213">
        <f>IF('Staging Table'!D56=1, 'Staging Table'!BU56*-1,SUM(O54:T54)*'Staging Table'!BU56*-1)</f>
        <v>-27970.686524302368</v>
      </c>
      <c r="V54" s="211">
        <f>'Staging Table'!BX56*Rates_current!$H$32*-1</f>
        <v>-62887.375600000007</v>
      </c>
      <c r="W54" s="211">
        <f>IF('Staging Table'!C56=1,"",SUM(O54:V54))</f>
        <v>705684.93300666392</v>
      </c>
      <c r="X54" s="211">
        <f>IF('Staging Table'!C56=1,"",(RT1SC!$C$4*'Staging Table'!BR56*'Staging Table'!$BS$2)+SUM('Staging Table'!BY56:CV56)-IF(Init!$R$12="No",'Staging Table'!DU56, 0))</f>
        <v>22451.88</v>
      </c>
      <c r="Y54" s="95">
        <f>IF('Staging Table'!C56=1,"",IF(X54=0, 0, W54/X54))</f>
        <v>31.43099522207779</v>
      </c>
      <c r="Z54" s="87">
        <f ca="1">IF('Staging Table'!C56=1,"",(Y54/N54-1)+(RAND()/100000000000000))</f>
        <v>-4.1087065170358435E-2</v>
      </c>
      <c r="AA54" s="53">
        <f t="shared" ca="1" si="0"/>
        <v>95</v>
      </c>
      <c r="AD54" s="216"/>
      <c r="AE54" s="216"/>
      <c r="AF54" s="220"/>
      <c r="AG54" s="216"/>
      <c r="AH54" s="216"/>
    </row>
    <row r="55" spans="2:34">
      <c r="B55" s="3">
        <v>10144</v>
      </c>
      <c r="C55" s="4" t="s">
        <v>58</v>
      </c>
      <c r="D55" s="211">
        <f>IF(Init!$R$9="Yes",'Staging Table'!E57,'Staging Table'!BR57)*Rates_previous!$E$76*100*12</f>
        <v>1133430.87084</v>
      </c>
      <c r="E55" s="211">
        <f>IF(Init!$R$9="Yes",'Staging Table'!F57,'Staging Table'!BS57)*Rates_previous!$E$77*100*12</f>
        <v>-114664.88219999999</v>
      </c>
      <c r="F55" s="212">
        <f>IF(Init!$R$9="Yes",SUMPRODUCT('Staging Table'!L57:AI57,LS_Demand_Rates_Restatement!$C$4:$Z$4)-IF(Init!$R$12="No",('Staging Table'!BH57*Rates_previous!$H$34), 0),SUMPRODUCT('Staging Table'!BY57:CV57,LS_Demand_Rates_Restatement!$C$4:$Z$4)-IF(Init!$R$12="No", 'Staging Table'!DU57*Rates_previous!$H$34, 0))</f>
        <v>13817.537040866209</v>
      </c>
      <c r="G55" s="212">
        <f>IF(Init!$R$9="Yes",SUMPRODUCT('Staging Table'!AJ57:AU57,LS_Demand_Rates_Restatement!$C$10:$N$10),SUMPRODUCT(LS_Demand_Rates_Restatement!$C$10:$N$10,'Staging Table'!CW57:DH57))*1000</f>
        <v>109037.01236221507</v>
      </c>
      <c r="H55" s="213">
        <f>IF(Init!$R$9="Yes",'Staging Table'!BQ57,'Staging Table'!ED57)*IF(Init!$R$3=2020,Rates_previous!$C$88,Rates_previous!$D$88)</f>
        <v>-8844.9073035238234</v>
      </c>
      <c r="I55" s="211">
        <f>IF(Init!$R$9="Yes",IF('Staging Table'!$F$1=2020,(SUM('Staging Table'!AX57:BD57)*Rates_previous!$C$87),(SUM('Staging Table'!AX57:BD57)*Rates_previous!$D$87)),IF('Staging Table'!$F$1=2020,(SUM('Staging Table'!DK57:DQ57)*Rates_previous!$C$87),(SUM('Staging Table'!DK57:DQ57)*Rates_previous!$D$87)))</f>
        <v>13903.973965993366</v>
      </c>
      <c r="J55" s="213">
        <f>IF(Init!$R$9="Yes",IF('Staging Table'!D57=1,'Staging Table'!H57*-1,'Staging Table'!H57*SUM(D55:I55)*(-1)),IF('Staging Table'!D57=1,'Staging Table'!BU57*-1,'Staging Table'!BU57*SUM(D55:I55)*(-1)))</f>
        <v>0</v>
      </c>
      <c r="K55" s="211">
        <f>IF(Init!$R$9="Yes",'Staging Table'!K57,'Staging Table'!BX57)*(-1)*Rates_previous!$H$32</f>
        <v>0</v>
      </c>
      <c r="L55" s="211">
        <f>IF('Staging Table'!C57=1,"",SUM(D55:K55))</f>
        <v>1146679.6047055509</v>
      </c>
      <c r="M55" s="211">
        <f>IF('Staging Table'!C57=1,"",IF(Init!$R$9="Yes",(RT1SC!$C$3*'Staging Table'!E57*'Staging Table'!$F$2)+SUM('Staging Table'!L57:AI57)-IF(Init!$R$12="No",'Staging Table'!BH57, 0),X55))</f>
        <v>28861.591104500396</v>
      </c>
      <c r="N55" s="95">
        <f>IF('Staging Table'!C57=1,"",IF(M55=0, 0, L55/M55))</f>
        <v>39.730297631676613</v>
      </c>
      <c r="O55" s="211">
        <f>'Staging Table'!BR57*Rates_current!$E$76*100*12</f>
        <v>1143894.0819249148</v>
      </c>
      <c r="P55" s="211">
        <f>'Staging Table'!BS57*Rates_current!$E$77*100*12</f>
        <v>-188859.65769295997</v>
      </c>
      <c r="Q55" s="212">
        <f>SUMPRODUCT('Staging Table'!BY57:CV57, LS_Demand_Rates_Restatement!$C$5:$Z$5)-IF(Init!$R$12="No",('Staging Table'!DU57*Rates_current!$H$34), 0)</f>
        <v>20641.313437331224</v>
      </c>
      <c r="R55" s="212">
        <f>SUMPRODUCT('Staging Table'!CW57:DH57, LS_Demand_Rates_Restatement!$C$11:$N$11)*1000</f>
        <v>101316.63289644763</v>
      </c>
      <c r="S55" s="213">
        <f>'Staging Table'!ED57*IF(Init!$R$15="Yes",IF(Init!$R$6=2022,Rates_current!$C$88,Rates_current!$D$88),Rates_current!$H$33)</f>
        <v>0</v>
      </c>
      <c r="T55" s="213">
        <v>0</v>
      </c>
      <c r="U55" s="213">
        <f>IF('Staging Table'!D57=1, 'Staging Table'!BU57*-1,SUM(O55:T55)*'Staging Table'!BU57*-1)</f>
        <v>0</v>
      </c>
      <c r="V55" s="211">
        <f>'Staging Table'!BX57*Rates_current!$H$32*-1</f>
        <v>0</v>
      </c>
      <c r="W55" s="211">
        <f>IF('Staging Table'!C57=1,"",SUM(O55:V55))</f>
        <v>1076992.3705657336</v>
      </c>
      <c r="X55" s="211">
        <f>IF('Staging Table'!C57=1,"",(RT1SC!$C$4*'Staging Table'!BR57*'Staging Table'!$BS$2)+SUM('Staging Table'!BY57:CV57)-IF(Init!$R$12="No",'Staging Table'!DU57, 0))</f>
        <v>28145.88</v>
      </c>
      <c r="Y55" s="95">
        <f>IF('Staging Table'!C57=1,"",IF(X55=0, 0, W55/X55))</f>
        <v>38.264654385143885</v>
      </c>
      <c r="Z55" s="87">
        <f ca="1">IF('Staging Table'!C57=1,"",(Y55/N55-1)+(RAND()/100000000000000))</f>
        <v>-3.6889812911042208E-2</v>
      </c>
      <c r="AA55" s="53">
        <f t="shared" ca="1" si="0"/>
        <v>69</v>
      </c>
      <c r="AD55" s="216"/>
      <c r="AE55" s="216"/>
      <c r="AF55" s="220"/>
      <c r="AG55" s="216"/>
      <c r="AH55" s="216"/>
    </row>
    <row r="56" spans="2:34">
      <c r="B56" s="3">
        <v>10156</v>
      </c>
      <c r="C56" s="4" t="s">
        <v>59</v>
      </c>
      <c r="D56" s="211">
        <f>IF(Init!$R$9="Yes",'Staging Table'!E58,'Staging Table'!BR58)*Rates_previous!$E$76*100*12</f>
        <v>10849469.333999999</v>
      </c>
      <c r="E56" s="211">
        <f>IF(Init!$R$9="Yes",'Staging Table'!F58,'Staging Table'!BS58)*Rates_previous!$E$77*100*12</f>
        <v>-1097599.47</v>
      </c>
      <c r="F56" s="212">
        <f>IF(Init!$R$9="Yes",SUMPRODUCT('Staging Table'!L58:AI58,LS_Demand_Rates_Restatement!$C$4:$Z$4)-IF(Init!$R$12="No",('Staging Table'!BH58*Rates_previous!$H$34), 0),SUMPRODUCT('Staging Table'!BY58:CV58,LS_Demand_Rates_Restatement!$C$4:$Z$4)-IF(Init!$R$12="No", 'Staging Table'!DU58*Rates_previous!$H$34, 0))</f>
        <v>230178.39810274815</v>
      </c>
      <c r="G56" s="212">
        <f>IF(Init!$R$9="Yes",SUMPRODUCT('Staging Table'!AJ58:AU58,LS_Demand_Rates_Restatement!$C$10:$N$10),SUMPRODUCT(LS_Demand_Rates_Restatement!$C$10:$N$10,'Staging Table'!CW58:DH58))*1000</f>
        <v>588621.14286246418</v>
      </c>
      <c r="H56" s="213">
        <f>IF(Init!$R$9="Yes",'Staging Table'!BQ58,'Staging Table'!ED58)*IF(Init!$R$3=2020,Rates_previous!$C$88,Rates_previous!$D$88)</f>
        <v>0</v>
      </c>
      <c r="I56" s="211">
        <f>IF(Init!$R$9="Yes",IF('Staging Table'!$F$1=2020,(SUM('Staging Table'!AX58:BD58)*Rates_previous!$C$87),(SUM('Staging Table'!AX58:BD58)*Rates_previous!$D$87)),IF('Staging Table'!$F$1=2020,(SUM('Staging Table'!DK58:DQ58)*Rates_previous!$C$87),(SUM('Staging Table'!DK58:DQ58)*Rates_previous!$D$87)))</f>
        <v>133092.13913768023</v>
      </c>
      <c r="J56" s="213">
        <f>IF(Init!$R$9="Yes",IF('Staging Table'!D58=1,'Staging Table'!H58*-1,'Staging Table'!H58*SUM(D56:I56)*(-1)),IF('Staging Table'!D58=1,'Staging Table'!BU58*-1,'Staging Table'!BU58*SUM(D56:I56)*(-1)))</f>
        <v>0</v>
      </c>
      <c r="K56" s="211">
        <f>IF(Init!$R$9="Yes",'Staging Table'!K58,'Staging Table'!BX58)*(-1)*Rates_previous!$H$32</f>
        <v>0</v>
      </c>
      <c r="L56" s="211">
        <f>IF('Staging Table'!C58=1,"",SUM(D56:K56))</f>
        <v>10703761.544102889</v>
      </c>
      <c r="M56" s="211">
        <f>IF('Staging Table'!C58=1,"",IF(Init!$R$9="Yes",(RT1SC!$C$3*'Staging Table'!E58*'Staging Table'!$F$2)+SUM('Staging Table'!L58:AI58)-IF(Init!$R$12="No",'Staging Table'!BH58, 0),X56))</f>
        <v>281676.52799999999</v>
      </c>
      <c r="N56" s="95">
        <f>IF('Staging Table'!C58=1,"",IF(M56=0, 0, L56/M56))</f>
        <v>38.000189863540527</v>
      </c>
      <c r="O56" s="211">
        <f>'Staging Table'!BR58*Rates_current!$E$76*100*12</f>
        <v>10947569.965189576</v>
      </c>
      <c r="P56" s="211">
        <f>'Staging Table'!BS58*Rates_current!$E$77*100*12</f>
        <v>-1807470.0698828753</v>
      </c>
      <c r="Q56" s="212">
        <f>SUMPRODUCT('Staging Table'!BY58:CV58, LS_Demand_Rates_Restatement!$C$5:$Z$5)-IF(Init!$R$12="No",('Staging Table'!DU58*Rates_current!$H$34), 0)</f>
        <v>208779.7726033713</v>
      </c>
      <c r="R56" s="212">
        <f>SUMPRODUCT('Staging Table'!CW58:DH58, LS_Demand_Rates_Restatement!$C$11:$N$11)*1000</f>
        <v>556570.0859764599</v>
      </c>
      <c r="S56" s="213">
        <f>'Staging Table'!ED58*IF(Init!$R$15="Yes",IF(Init!$R$6=2022,Rates_current!$C$88,Rates_current!$D$88),Rates_current!$H$33)</f>
        <v>0</v>
      </c>
      <c r="T56" s="213">
        <v>0</v>
      </c>
      <c r="U56" s="213">
        <f>IF('Staging Table'!D58=1, 'Staging Table'!BU58*-1,SUM(O56:T56)*'Staging Table'!BU58*-1)</f>
        <v>0</v>
      </c>
      <c r="V56" s="211">
        <f>'Staging Table'!BX58*Rates_current!$H$32*-1</f>
        <v>0</v>
      </c>
      <c r="W56" s="211">
        <f>IF('Staging Table'!C58=1,"",SUM(O56:V56))</f>
        <v>9905449.753886532</v>
      </c>
      <c r="X56" s="211">
        <f>IF('Staging Table'!C58=1,"",(RT1SC!$C$4*'Staging Table'!BR58*'Staging Table'!$BS$2)+SUM('Staging Table'!BY58:CV58)-IF(Init!$R$12="No",'Staging Table'!DU58, 0))</f>
        <v>269387.52000000002</v>
      </c>
      <c r="Y56" s="95">
        <f>IF('Staging Table'!C58=1,"",IF(X56=0, 0, W56/X56))</f>
        <v>36.770262237413711</v>
      </c>
      <c r="Z56" s="87">
        <f ca="1">IF('Staging Table'!C58=1,"",(Y56/N56-1)+(RAND()/100000000000000))</f>
        <v>-3.2366354761475549E-2</v>
      </c>
      <c r="AA56" s="53">
        <f t="shared" ca="1" si="0"/>
        <v>31</v>
      </c>
      <c r="AD56" s="216"/>
      <c r="AE56" s="216"/>
      <c r="AF56" s="220"/>
      <c r="AG56" s="216"/>
      <c r="AH56" s="216"/>
    </row>
    <row r="57" spans="2:34">
      <c r="B57" s="3">
        <v>10157</v>
      </c>
      <c r="C57" s="4" t="s">
        <v>60</v>
      </c>
      <c r="D57" s="211">
        <f>IF(Init!$R$9="Yes",'Staging Table'!E59,'Staging Table'!BR59)*Rates_previous!$E$76*100*12</f>
        <v>16812993.639119998</v>
      </c>
      <c r="E57" s="211">
        <f>IF(Init!$R$9="Yes",'Staging Table'!F59,'Staging Table'!BS59)*Rates_previous!$E$77*100*12</f>
        <v>-811766.77560000005</v>
      </c>
      <c r="F57" s="212">
        <f>IF(Init!$R$9="Yes",SUMPRODUCT('Staging Table'!L59:AI59,LS_Demand_Rates_Restatement!$C$4:$Z$4)-IF(Init!$R$12="No",('Staging Table'!BH59*Rates_previous!$H$34), 0),SUMPRODUCT('Staging Table'!BY59:CV59,LS_Demand_Rates_Restatement!$C$4:$Z$4)-IF(Init!$R$12="No", 'Staging Table'!DU59*Rates_previous!$H$34, 0))</f>
        <v>90617.758596519037</v>
      </c>
      <c r="G57" s="212">
        <f>IF(Init!$R$9="Yes",SUMPRODUCT('Staging Table'!AJ59:AU59,LS_Demand_Rates_Restatement!$C$10:$N$10),SUMPRODUCT(LS_Demand_Rates_Restatement!$C$10:$N$10,'Staging Table'!CW59:DH59))*1000</f>
        <v>0</v>
      </c>
      <c r="H57" s="213">
        <f>IF(Init!$R$9="Yes",'Staging Table'!BQ59,'Staging Table'!ED59)*IF(Init!$R$3=2020,Rates_previous!$C$88,Rates_previous!$D$88)</f>
        <v>0</v>
      </c>
      <c r="I57" s="211">
        <f>IF(Init!$R$9="Yes",IF('Staging Table'!$F$1=2020,(SUM('Staging Table'!AX59:BD59)*Rates_previous!$C$87),(SUM('Staging Table'!AX59:BD59)*Rates_previous!$D$87)),IF('Staging Table'!$F$1=2020,(SUM('Staging Table'!DK59:DQ59)*Rates_previous!$C$87),(SUM('Staging Table'!DK59:DQ59)*Rates_previous!$D$87)))</f>
        <v>98432.788643293781</v>
      </c>
      <c r="J57" s="213">
        <f>IF(Init!$R$9="Yes",IF('Staging Table'!D59=1,'Staging Table'!H59*-1,'Staging Table'!H59*SUM(D57:I57)*(-1)),IF('Staging Table'!D59=1,'Staging Table'!BU59*-1,'Staging Table'!BU59*SUM(D57:I57)*(-1)))</f>
        <v>-900000</v>
      </c>
      <c r="K57" s="211">
        <f>IF(Init!$R$9="Yes",'Staging Table'!K59,'Staging Table'!BX59)*(-1)*Rates_previous!$H$32</f>
        <v>0</v>
      </c>
      <c r="L57" s="211">
        <f>IF('Staging Table'!C59=1,"",SUM(D57:K57))</f>
        <v>15290277.41075981</v>
      </c>
      <c r="M57" s="211">
        <f>IF('Staging Table'!C59=1,"",IF(Init!$R$9="Yes",(RT1SC!$C$3*'Staging Table'!E59*'Staging Table'!$F$2)+SUM('Staging Table'!L59:AI59)-IF(Init!$R$12="No",'Staging Table'!BH59, 0),X57))</f>
        <v>436503.32601733191</v>
      </c>
      <c r="N57" s="95">
        <f>IF('Staging Table'!C59=1,"",IF(M57=0, 0, L57/M57))</f>
        <v>35.029005506713347</v>
      </c>
      <c r="O57" s="211">
        <f>'Staging Table'!BR59*Rates_current!$E$76*100*12</f>
        <v>16964884.494258754</v>
      </c>
      <c r="P57" s="211">
        <f>'Staging Table'!BS59*Rates_current!$E$77*100*12</f>
        <v>-1336785.8747772344</v>
      </c>
      <c r="Q57" s="212">
        <f>SUMPRODUCT('Staging Table'!BY59:CV59, LS_Demand_Rates_Restatement!$C$5:$Z$5)-IF(Init!$R$12="No",('Staging Table'!DU59*Rates_current!$H$34), 0)</f>
        <v>67489.956694142486</v>
      </c>
      <c r="R57" s="212">
        <f>SUMPRODUCT('Staging Table'!CW59:DH59, LS_Demand_Rates_Restatement!$C$11:$N$11)*1000</f>
        <v>0</v>
      </c>
      <c r="S57" s="213">
        <f>'Staging Table'!ED59*IF(Init!$R$15="Yes",IF(Init!$R$6=2022,Rates_current!$C$88,Rates_current!$D$88),Rates_current!$H$33)</f>
        <v>0</v>
      </c>
      <c r="T57" s="213">
        <v>0</v>
      </c>
      <c r="U57" s="213">
        <f>IF('Staging Table'!D59=1, 'Staging Table'!BU59*-1,SUM(O57:T57)*'Staging Table'!BU59*-1)</f>
        <v>-900000</v>
      </c>
      <c r="V57" s="211">
        <f>'Staging Table'!BX59*Rates_current!$H$32*-1</f>
        <v>0</v>
      </c>
      <c r="W57" s="211">
        <f>IF('Staging Table'!C59=1,"",SUM(O57:V57))</f>
        <v>14795588.576175662</v>
      </c>
      <c r="X57" s="211">
        <f>IF('Staging Table'!C59=1,"",(RT1SC!$C$4*'Staging Table'!BR59*'Staging Table'!$BS$2)+SUM('Staging Table'!BY59:CV59)-IF(Init!$R$12="No",'Staging Table'!DU59, 0))</f>
        <v>417457.82135478262</v>
      </c>
      <c r="Y57" s="95">
        <f>IF('Staging Table'!C59=1,"",IF(X57=0, 0, W57/X57))</f>
        <v>35.442116111657221</v>
      </c>
      <c r="Z57" s="87">
        <f ca="1">IF('Staging Table'!C59=1,"",(Y57/N57-1)+(RAND()/100000000000000))</f>
        <v>1.1793386622551137E-2</v>
      </c>
      <c r="AA57" s="53">
        <f t="shared" ca="1" si="0"/>
        <v>10</v>
      </c>
      <c r="AD57" s="216"/>
      <c r="AE57" s="216"/>
      <c r="AF57" s="220"/>
      <c r="AG57" s="216"/>
      <c r="AH57" s="216"/>
    </row>
    <row r="58" spans="2:34">
      <c r="B58" s="3">
        <v>10158</v>
      </c>
      <c r="C58" s="4" t="s">
        <v>61</v>
      </c>
      <c r="D58" s="211">
        <f>IF(Init!$R$9="Yes",'Staging Table'!E60,'Staging Table'!BR60)*Rates_previous!$E$76*100*12</f>
        <v>817334.61204000015</v>
      </c>
      <c r="E58" s="211">
        <f>IF(Init!$R$9="Yes",'Staging Table'!F60,'Staging Table'!BS60)*Rates_previous!$E$77*100*12</f>
        <v>-82686.628200000006</v>
      </c>
      <c r="F58" s="212">
        <f>IF(Init!$R$9="Yes",SUMPRODUCT('Staging Table'!L60:AI60,LS_Demand_Rates_Restatement!$C$4:$Z$4)-IF(Init!$R$12="No",('Staging Table'!BH60*Rates_previous!$H$34), 0),SUMPRODUCT('Staging Table'!BY60:CV60,LS_Demand_Rates_Restatement!$C$4:$Z$4)-IF(Init!$R$12="No", 'Staging Table'!DU60*Rates_previous!$H$34, 0))</f>
        <v>-16759.424377223993</v>
      </c>
      <c r="G58" s="212">
        <f>IF(Init!$R$9="Yes",SUMPRODUCT('Staging Table'!AJ60:AU60,LS_Demand_Rates_Restatement!$C$10:$N$10),SUMPRODUCT(LS_Demand_Rates_Restatement!$C$10:$N$10,'Staging Table'!CW60:DH60))*1000</f>
        <v>42787.472443945866</v>
      </c>
      <c r="H58" s="213">
        <f>IF(Init!$R$9="Yes",'Staging Table'!BQ60,'Staging Table'!ED60)*IF(Init!$R$3=2020,Rates_previous!$C$88,Rates_previous!$D$88)</f>
        <v>-21228.69918724227</v>
      </c>
      <c r="I58" s="211">
        <f>IF(Init!$R$9="Yes",IF('Staging Table'!$F$1=2020,(SUM('Staging Table'!AX60:BD60)*Rates_previous!$C$87),(SUM('Staging Table'!AX60:BD60)*Rates_previous!$D$87)),IF('Staging Table'!$F$1=2020,(SUM('Staging Table'!DK60:DQ60)*Rates_previous!$C$87),(SUM('Staging Table'!DK60:DQ60)*Rates_previous!$D$87)))</f>
        <v>10026.371664720316</v>
      </c>
      <c r="J58" s="213">
        <f>IF(Init!$R$9="Yes",IF('Staging Table'!D60=1,'Staging Table'!H60*-1,'Staging Table'!H60*SUM(D58:I58)*(-1)),IF('Staging Table'!D60=1,'Staging Table'!BU60*-1,'Staging Table'!BU60*SUM(D58:I58)*(-1)))</f>
        <v>0</v>
      </c>
      <c r="K58" s="211">
        <f>IF(Init!$R$9="Yes",'Staging Table'!K60,'Staging Table'!BX60)*(-1)*Rates_previous!$H$32</f>
        <v>0</v>
      </c>
      <c r="L58" s="211">
        <f>IF('Staging Table'!C60=1,"",SUM(D58:K58))</f>
        <v>749473.70438420004</v>
      </c>
      <c r="M58" s="211">
        <f>IF('Staging Table'!C60=1,"",IF(Init!$R$9="Yes",(RT1SC!$C$3*'Staging Table'!E60*'Staging Table'!$F$2)+SUM('Staging Table'!L60:AI60)-IF(Init!$R$12="No",'Staging Table'!BH60, 0),X58))</f>
        <v>19866.543796472397</v>
      </c>
      <c r="N58" s="95">
        <f>IF('Staging Table'!C60=1,"",IF(M58=0, 0, L58/M58))</f>
        <v>37.725419784254591</v>
      </c>
      <c r="O58" s="211">
        <f>'Staging Table'!BR60*Rates_current!$E$76*100*12</f>
        <v>844850.91207997373</v>
      </c>
      <c r="P58" s="211">
        <f>'Staging Table'!BS60*Rates_current!$E$77*100*12</f>
        <v>-139486.91279922391</v>
      </c>
      <c r="Q58" s="212">
        <f>SUMPRODUCT('Staging Table'!BY60:CV60, LS_Demand_Rates_Restatement!$C$5:$Z$5)-IF(Init!$R$12="No",('Staging Table'!DU60*Rates_current!$H$34), 0)</f>
        <v>-16829.173116332837</v>
      </c>
      <c r="R58" s="212">
        <f>SUMPRODUCT('Staging Table'!CW60:DH60, LS_Demand_Rates_Restatement!$C$11:$N$11)*1000</f>
        <v>40203.194445877853</v>
      </c>
      <c r="S58" s="213">
        <f>'Staging Table'!ED60*IF(Init!$R$15="Yes",IF(Init!$R$6=2022,Rates_current!$C$88,Rates_current!$D$88),Rates_current!$H$33)</f>
        <v>-5626.918572212041</v>
      </c>
      <c r="T58" s="213">
        <v>0</v>
      </c>
      <c r="U58" s="213">
        <f>IF('Staging Table'!D60=1, 'Staging Table'!BU60*-1,SUM(O58:T58)*'Staging Table'!BU60*-1)</f>
        <v>0</v>
      </c>
      <c r="V58" s="211">
        <f>'Staging Table'!BX60*Rates_current!$H$32*-1</f>
        <v>0</v>
      </c>
      <c r="W58" s="211">
        <f>IF('Staging Table'!C60=1,"",SUM(O58:V58))</f>
        <v>723111.10203808278</v>
      </c>
      <c r="X58" s="211">
        <f>IF('Staging Table'!C60=1,"",(RT1SC!$C$4*'Staging Table'!BR60*'Staging Table'!$BS$2)+SUM('Staging Table'!BY60:CV60)-IF(Init!$R$12="No",'Staging Table'!DU60, 0))</f>
        <v>19866.544063467754</v>
      </c>
      <c r="Y58" s="95">
        <f>IF('Staging Table'!C60=1,"",IF(X58=0, 0, W58/X58))</f>
        <v>36.398434459861562</v>
      </c>
      <c r="Z58" s="87">
        <f ca="1">IF('Staging Table'!C60=1,"",(Y58/N58-1)+(RAND()/100000000000000))</f>
        <v>-3.5174832565988898E-2</v>
      </c>
      <c r="AA58" s="53">
        <f t="shared" ca="1" si="0"/>
        <v>50</v>
      </c>
      <c r="AD58" s="216"/>
      <c r="AE58" s="216"/>
      <c r="AF58" s="220"/>
      <c r="AG58" s="216"/>
      <c r="AH58" s="216"/>
    </row>
    <row r="59" spans="2:34">
      <c r="B59" s="3">
        <v>10170</v>
      </c>
      <c r="C59" s="4" t="s">
        <v>62</v>
      </c>
      <c r="D59" s="211">
        <f>IF(Init!$R$9="Yes",'Staging Table'!E61,'Staging Table'!BR61)*Rates_previous!$E$76*100*12</f>
        <v>76586558.511840001</v>
      </c>
      <c r="E59" s="211">
        <f>IF(Init!$R$9="Yes",'Staging Table'!F61,'Staging Table'!BS61)*Rates_previous!$E$77*100*12</f>
        <v>-3436051.3704000004</v>
      </c>
      <c r="F59" s="212">
        <f>IF(Init!$R$9="Yes",SUMPRODUCT('Staging Table'!L61:AI61,LS_Demand_Rates_Restatement!$C$4:$Z$4)-IF(Init!$R$12="No",('Staging Table'!BH61*Rates_previous!$H$34), 0),SUMPRODUCT('Staging Table'!BY61:CV61,LS_Demand_Rates_Restatement!$C$4:$Z$4)-IF(Init!$R$12="No", 'Staging Table'!DU61*Rates_previous!$H$34, 0))</f>
        <v>334961.75038046215</v>
      </c>
      <c r="G59" s="212">
        <f>IF(Init!$R$9="Yes",SUMPRODUCT('Staging Table'!AJ61:AU61,LS_Demand_Rates_Restatement!$C$10:$N$10),SUMPRODUCT(LS_Demand_Rates_Restatement!$C$10:$N$10,'Staging Table'!CW61:DH61))*1000</f>
        <v>0</v>
      </c>
      <c r="H59" s="213">
        <f>IF(Init!$R$9="Yes",'Staging Table'!BQ61,'Staging Table'!ED61)*IF(Init!$R$3=2020,Rates_previous!$C$88,Rates_previous!$D$88)</f>
        <v>0</v>
      </c>
      <c r="I59" s="211">
        <f>IF(Init!$R$9="Yes",IF('Staging Table'!$F$1=2020,(SUM('Staging Table'!AX61:BD61)*Rates_previous!$C$87),(SUM('Staging Table'!AX61:BD61)*Rates_previous!$D$87)),IF('Staging Table'!$F$1=2020,(SUM('Staging Table'!DK61:DQ61)*Rates_previous!$C$87),(SUM('Staging Table'!DK61:DQ61)*Rates_previous!$D$87)))</f>
        <v>416646.90952656325</v>
      </c>
      <c r="J59" s="213">
        <f>IF(Init!$R$9="Yes",IF('Staging Table'!D61=1,'Staging Table'!H61*-1,'Staging Table'!H61*SUM(D59:I59)*(-1)),IF('Staging Table'!D61=1,'Staging Table'!BU61*-1,'Staging Table'!BU61*SUM(D59:I59)*(-1)))</f>
        <v>0</v>
      </c>
      <c r="K59" s="211">
        <f>IF(Init!$R$9="Yes",'Staging Table'!K61,'Staging Table'!BX61)*(-1)*Rates_previous!$H$32</f>
        <v>0</v>
      </c>
      <c r="L59" s="211">
        <f>IF('Staging Table'!C61=1,"",SUM(D59:K59))</f>
        <v>73902115.801347017</v>
      </c>
      <c r="M59" s="211">
        <f>IF('Staging Table'!C61=1,"",IF(Init!$R$9="Yes",(RT1SC!$C$3*'Staging Table'!E61*'Staging Table'!$F$2)+SUM('Staging Table'!L61:AI61)-IF(Init!$R$12="No",'Staging Table'!BH61, 0),X59))</f>
        <v>1988352.8276214323</v>
      </c>
      <c r="N59" s="95">
        <f>IF('Staging Table'!C61=1,"",IF(M59=0, 0, L59/M59))</f>
        <v>37.167506075746353</v>
      </c>
      <c r="O59" s="211">
        <f>'Staging Table'!BR61*Rates_current!$E$76*100*12</f>
        <v>80803766.668871716</v>
      </c>
      <c r="P59" s="211">
        <f>'Staging Table'!BS61*Rates_current!$E$77*100*12</f>
        <v>-6240406.1274550306</v>
      </c>
      <c r="Q59" s="212">
        <f>SUMPRODUCT('Staging Table'!BY61:CV61, LS_Demand_Rates_Restatement!$C$5:$Z$5)-IF(Init!$R$12="No",('Staging Table'!DU61*Rates_current!$H$34), 0)</f>
        <v>269502.79065337154</v>
      </c>
      <c r="R59" s="212">
        <f>SUMPRODUCT('Staging Table'!CW61:DH61, LS_Demand_Rates_Restatement!$C$11:$N$11)*1000</f>
        <v>0</v>
      </c>
      <c r="S59" s="213">
        <f>'Staging Table'!ED61*IF(Init!$R$15="Yes",IF(Init!$R$6=2022,Rates_current!$C$88,Rates_current!$D$88),Rates_current!$H$33)</f>
        <v>0</v>
      </c>
      <c r="T59" s="213">
        <v>0</v>
      </c>
      <c r="U59" s="213">
        <f>IF('Staging Table'!D61=1, 'Staging Table'!BU61*-1,SUM(O59:T59)*'Staging Table'!BU61*-1)</f>
        <v>0</v>
      </c>
      <c r="V59" s="211">
        <f>'Staging Table'!BX61*Rates_current!$H$32*-1</f>
        <v>0</v>
      </c>
      <c r="W59" s="211">
        <f>IF('Staging Table'!C61=1,"",SUM(O59:V59))</f>
        <v>74832863.332070068</v>
      </c>
      <c r="X59" s="211">
        <f>IF('Staging Table'!C61=1,"",(RT1SC!$C$4*'Staging Table'!BR61*'Staging Table'!$BS$2)+SUM('Staging Table'!BY61:CV61)-IF(Init!$R$12="No",'Staging Table'!DU61, 0))</f>
        <v>1988353.271088596</v>
      </c>
      <c r="Y59" s="95">
        <f>IF('Staging Table'!C61=1,"",IF(X59=0, 0, W59/X59))</f>
        <v>37.635597466591086</v>
      </c>
      <c r="Z59" s="87">
        <f ca="1">IF('Staging Table'!C61=1,"",(Y59/N59-1)+(RAND()/100000000000000))</f>
        <v>1.2594102759841975E-2</v>
      </c>
      <c r="AA59" s="53">
        <f t="shared" ca="1" si="0"/>
        <v>7</v>
      </c>
      <c r="AD59" s="216"/>
      <c r="AE59" s="216"/>
      <c r="AF59" s="220"/>
      <c r="AG59" s="216"/>
      <c r="AH59" s="216"/>
    </row>
    <row r="60" spans="2:34">
      <c r="B60" s="3">
        <v>10172</v>
      </c>
      <c r="C60" s="4" t="s">
        <v>63</v>
      </c>
      <c r="D60" s="211">
        <f>IF(Init!$R$9="Yes",'Staging Table'!E62,'Staging Table'!BR62)*Rates_previous!$E$76*100*12</f>
        <v>1826941.30932</v>
      </c>
      <c r="E60" s="211">
        <f>IF(Init!$R$9="Yes",'Staging Table'!F62,'Staging Table'!BS62)*Rates_previous!$E$77*100*12</f>
        <v>-184824.69060000003</v>
      </c>
      <c r="F60" s="212">
        <f>IF(Init!$R$9="Yes",SUMPRODUCT('Staging Table'!L62:AI62,LS_Demand_Rates_Restatement!$C$4:$Z$4)-IF(Init!$R$12="No",('Staging Table'!BH62*Rates_previous!$H$34), 0),SUMPRODUCT('Staging Table'!BY62:CV62,LS_Demand_Rates_Restatement!$C$4:$Z$4)-IF(Init!$R$12="No", 'Staging Table'!DU62*Rates_previous!$H$34, 0))</f>
        <v>-12477.737230075811</v>
      </c>
      <c r="G60" s="212">
        <f>IF(Init!$R$9="Yes",SUMPRODUCT('Staging Table'!AJ62:AU62,LS_Demand_Rates_Restatement!$C$10:$N$10),SUMPRODUCT(LS_Demand_Rates_Restatement!$C$10:$N$10,'Staging Table'!CW62:DH62))*1000</f>
        <v>151813.67349159543</v>
      </c>
      <c r="H60" s="213">
        <f>IF(Init!$R$9="Yes",'Staging Table'!BQ62,'Staging Table'!ED62)*IF(Init!$R$3=2020,Rates_previous!$C$88,Rates_previous!$D$88)</f>
        <v>-20867.73644035813</v>
      </c>
      <c r="I60" s="211">
        <f>IF(Init!$R$9="Yes",IF('Staging Table'!$F$1=2020,(SUM('Staging Table'!AX62:BD62)*Rates_previous!$C$87),(SUM('Staging Table'!AX62:BD62)*Rates_previous!$D$87)),IF('Staging Table'!$F$1=2020,(SUM('Staging Table'!DK62:DQ62)*Rates_previous!$C$87),(SUM('Staging Table'!DK62:DQ62)*Rates_previous!$D$87)))</f>
        <v>22411.375105177398</v>
      </c>
      <c r="J60" s="213">
        <f>IF(Init!$R$9="Yes",IF('Staging Table'!D62=1,'Staging Table'!H62*-1,'Staging Table'!H62*SUM(D60:I60)*(-1)),IF('Staging Table'!D62=1,'Staging Table'!BU62*-1,'Staging Table'!BU62*SUM(D60:I60)*(-1)))</f>
        <v>0</v>
      </c>
      <c r="K60" s="211">
        <f>IF(Init!$R$9="Yes",'Staging Table'!K62,'Staging Table'!BX62)*(-1)*Rates_previous!$H$32</f>
        <v>0</v>
      </c>
      <c r="L60" s="211">
        <f>IF('Staging Table'!C62=1,"",SUM(D60:K60))</f>
        <v>1782996.1936463385</v>
      </c>
      <c r="M60" s="211">
        <f>IF('Staging Table'!C62=1,"",IF(Init!$R$9="Yes",(RT1SC!$C$3*'Staging Table'!E62*'Staging Table'!$F$2)+SUM('Staging Table'!L62:AI62)-IF(Init!$R$12="No",'Staging Table'!BH62, 0),X60))</f>
        <v>46101.049780309193</v>
      </c>
      <c r="N60" s="95">
        <f>IF('Staging Table'!C62=1,"",IF(M60=0, 0, L60/M60))</f>
        <v>38.675826302070391</v>
      </c>
      <c r="O60" s="211">
        <f>'Staging Table'!BR62*Rates_current!$E$76*100*12</f>
        <v>1947257.8501531044</v>
      </c>
      <c r="P60" s="211">
        <f>'Staging Table'!BS62*Rates_current!$E$77*100*12</f>
        <v>-321496.94349409535</v>
      </c>
      <c r="Q60" s="212">
        <f>SUMPRODUCT('Staging Table'!BY62:CV62, LS_Demand_Rates_Restatement!$C$5:$Z$5)-IF(Init!$R$12="No",('Staging Table'!DU62*Rates_current!$H$34), 0)</f>
        <v>-43173.004214570719</v>
      </c>
      <c r="R60" s="212">
        <f>SUMPRODUCT('Staging Table'!CW62:DH62, LS_Demand_Rates_Restatement!$C$11:$N$11)*1000</f>
        <v>140839.75294556623</v>
      </c>
      <c r="S60" s="213">
        <f>'Staging Table'!ED62*IF(Init!$R$15="Yes",IF(Init!$R$6=2022,Rates_current!$C$88,Rates_current!$D$88),Rates_current!$H$33)</f>
        <v>-11096.67374354859</v>
      </c>
      <c r="T60" s="213">
        <v>0</v>
      </c>
      <c r="U60" s="213">
        <f>IF('Staging Table'!D62=1, 'Staging Table'!BU62*-1,SUM(O60:T60)*'Staging Table'!BU62*-1)</f>
        <v>0</v>
      </c>
      <c r="V60" s="211">
        <f>'Staging Table'!BX62*Rates_current!$H$32*-1</f>
        <v>0</v>
      </c>
      <c r="W60" s="211">
        <f>IF('Staging Table'!C62=1,"",SUM(O60:V60))</f>
        <v>1712330.9816464561</v>
      </c>
      <c r="X60" s="211">
        <f>IF('Staging Table'!C62=1,"",(RT1SC!$C$4*'Staging Table'!BR62*'Staging Table'!$BS$2)+SUM('Staging Table'!BY62:CV62)-IF(Init!$R$12="No",'Staging Table'!DU62, 0))</f>
        <v>46101.050451137708</v>
      </c>
      <c r="Y60" s="95">
        <f>IF('Staging Table'!C62=1,"",IF(X60=0, 0, W60/X60))</f>
        <v>37.142992727711224</v>
      </c>
      <c r="Z60" s="87">
        <f ca="1">IF('Staging Table'!C62=1,"",(Y60/N60-1)+(RAND()/100000000000000))</f>
        <v>-3.963285909878058E-2</v>
      </c>
      <c r="AA60" s="53">
        <f t="shared" ca="1" si="0"/>
        <v>86</v>
      </c>
      <c r="AD60" s="216"/>
      <c r="AE60" s="216"/>
      <c r="AF60" s="220"/>
      <c r="AG60" s="216"/>
      <c r="AH60" s="216"/>
    </row>
    <row r="61" spans="2:34">
      <c r="B61" s="3">
        <v>10173</v>
      </c>
      <c r="C61" s="4" t="s">
        <v>64</v>
      </c>
      <c r="D61" s="211">
        <f>IF(Init!$R$9="Yes",'Staging Table'!E63,'Staging Table'!BR63)*Rates_previous!$E$76*100*12</f>
        <v>11149641.946679998</v>
      </c>
      <c r="E61" s="211">
        <f>IF(Init!$R$9="Yes",'Staging Table'!F63,'Staging Table'!BS63)*Rates_previous!$E$77*100*12</f>
        <v>-1127966.7893999999</v>
      </c>
      <c r="F61" s="212">
        <f>IF(Init!$R$9="Yes",SUMPRODUCT('Staging Table'!L63:AI63,LS_Demand_Rates_Restatement!$C$4:$Z$4)-IF(Init!$R$12="No",('Staging Table'!BH63*Rates_previous!$H$34), 0),SUMPRODUCT('Staging Table'!BY63:CV63,LS_Demand_Rates_Restatement!$C$4:$Z$4)-IF(Init!$R$12="No", 'Staging Table'!DU63*Rates_previous!$H$34, 0))</f>
        <v>0</v>
      </c>
      <c r="G61" s="212">
        <f>IF(Init!$R$9="Yes",SUMPRODUCT('Staging Table'!AJ63:AU63,LS_Demand_Rates_Restatement!$C$10:$N$10),SUMPRODUCT(LS_Demand_Rates_Restatement!$C$10:$N$10,'Staging Table'!CW63:DH63))*1000</f>
        <v>0</v>
      </c>
      <c r="H61" s="213">
        <f>IF(Init!$R$9="Yes",'Staging Table'!BQ63,'Staging Table'!ED63)*IF(Init!$R$3=2020,Rates_previous!$C$88,Rates_previous!$D$88)</f>
        <v>0</v>
      </c>
      <c r="I61" s="211">
        <f>IF(Init!$R$9="Yes",IF('Staging Table'!$F$1=2020,(SUM('Staging Table'!AX63:BD63)*Rates_previous!$C$87),(SUM('Staging Table'!AX63:BD63)*Rates_previous!$D$87)),IF('Staging Table'!$F$1=2020,(SUM('Staging Table'!DK63:DQ63)*Rates_previous!$C$87),(SUM('Staging Table'!DK63:DQ63)*Rates_previous!$D$87)))</f>
        <v>136774.40357866362</v>
      </c>
      <c r="J61" s="213">
        <f>IF(Init!$R$9="Yes",IF('Staging Table'!D63=1,'Staging Table'!H63*-1,'Staging Table'!H63*SUM(D61:I61)*(-1)),IF('Staging Table'!D63=1,'Staging Table'!BU63*-1,'Staging Table'!BU63*SUM(D61:I61)*(-1)))</f>
        <v>-792355.36660894298</v>
      </c>
      <c r="K61" s="211">
        <f>IF(Init!$R$9="Yes",'Staging Table'!K63,'Staging Table'!BX63)*(-1)*Rates_previous!$H$32</f>
        <v>-492284.05555999995</v>
      </c>
      <c r="L61" s="211" t="str">
        <f>IF('Staging Table'!C63=1,"",SUM(D61:K61))</f>
        <v/>
      </c>
      <c r="M61" s="211" t="str">
        <f>IF('Staging Table'!C63=1,"",IF(Init!$R$9="Yes",(RT1SC!$C$3*'Staging Table'!E63*'Staging Table'!$F$2)+SUM('Staging Table'!L63:AI63)-IF(Init!$R$12="No",'Staging Table'!BH63, 0),X61))</f>
        <v/>
      </c>
      <c r="N61" s="95" t="str">
        <f>IF('Staging Table'!C63=1,"",IF(M61=0, 0, L61/M61))</f>
        <v/>
      </c>
      <c r="O61" s="211">
        <f>'Staging Table'!BR63*Rates_current!$E$76*100*12</f>
        <v>11250450.096315607</v>
      </c>
      <c r="P61" s="211">
        <f>'Staging Table'!BS63*Rates_current!$E$77*100*12</f>
        <v>-1857476.3062908857</v>
      </c>
      <c r="Q61" s="212">
        <f>SUMPRODUCT('Staging Table'!BY63:CV63, LS_Demand_Rates_Restatement!$C$5:$Z$5)-IF(Init!$R$12="No",('Staging Table'!DU63*Rates_current!$H$34), 0)</f>
        <v>0</v>
      </c>
      <c r="R61" s="212">
        <f>SUMPRODUCT('Staging Table'!CW63:DH63, LS_Demand_Rates_Restatement!$C$11:$N$11)*1000</f>
        <v>0</v>
      </c>
      <c r="S61" s="213">
        <f>'Staging Table'!ED63*IF(Init!$R$15="Yes",IF(Init!$R$6=2022,Rates_current!$C$88,Rates_current!$D$88),Rates_current!$H$33)</f>
        <v>0</v>
      </c>
      <c r="T61" s="213">
        <v>0</v>
      </c>
      <c r="U61" s="213">
        <f>IF('Staging Table'!D63=1, 'Staging Table'!BU63*-1,SUM(O61:T61)*'Staging Table'!BU63*-1)</f>
        <v>-796799.28217971965</v>
      </c>
      <c r="V61" s="211">
        <f>'Staging Table'!BX63*Rates_current!$H$32*-1</f>
        <v>-482978.95640000002</v>
      </c>
      <c r="W61" s="211" t="str">
        <f>IF('Staging Table'!C63=1,"",SUM(O61:V61))</f>
        <v/>
      </c>
      <c r="X61" s="211" t="str">
        <f>IF('Staging Table'!C63=1,"",(RT1SC!$C$4*'Staging Table'!BR63*'Staging Table'!$BS$2)+SUM('Staging Table'!BY63:CV63)-IF(Init!$R$12="No",'Staging Table'!DU63, 0))</f>
        <v/>
      </c>
      <c r="Y61" s="95" t="str">
        <f>IF('Staging Table'!C63=1,"",IF(X61=0, 0, W61/X61))</f>
        <v/>
      </c>
      <c r="Z61" s="87" t="str">
        <f ca="1">IF('Staging Table'!C63=1,"",(Y61/N61-1)+(RAND()/100000000000000))</f>
        <v/>
      </c>
      <c r="AA61" s="53" t="str">
        <f t="shared" ca="1" si="0"/>
        <v/>
      </c>
      <c r="AD61" s="216"/>
      <c r="AE61" s="216"/>
      <c r="AF61" s="220"/>
      <c r="AG61" s="216"/>
      <c r="AH61" s="216"/>
    </row>
    <row r="62" spans="2:34">
      <c r="B62" s="3">
        <v>10174</v>
      </c>
      <c r="C62" s="4" t="s">
        <v>65</v>
      </c>
      <c r="D62" s="211">
        <f>IF(Init!$R$9="Yes",'Staging Table'!E64,'Staging Table'!BR64)*Rates_previous!$E$76*100*12</f>
        <v>168267.78288000001</v>
      </c>
      <c r="E62" s="211">
        <f>IF(Init!$R$9="Yes",'Staging Table'!F64,'Staging Table'!BS64)*Rates_previous!$E$77*100*12</f>
        <v>-17023.010399999999</v>
      </c>
      <c r="F62" s="212">
        <f>IF(Init!$R$9="Yes",SUMPRODUCT('Staging Table'!L64:AI64,LS_Demand_Rates_Restatement!$C$4:$Z$4)-IF(Init!$R$12="No",('Staging Table'!BH64*Rates_previous!$H$34), 0),SUMPRODUCT('Staging Table'!BY64:CV64,LS_Demand_Rates_Restatement!$C$4:$Z$4)-IF(Init!$R$12="No", 'Staging Table'!DU64*Rates_previous!$H$34, 0))</f>
        <v>1435.6032595246907</v>
      </c>
      <c r="G62" s="212">
        <f>IF(Init!$R$9="Yes",SUMPRODUCT('Staging Table'!AJ64:AU64,LS_Demand_Rates_Restatement!$C$10:$N$10),SUMPRODUCT(LS_Demand_Rates_Restatement!$C$10:$N$10,'Staging Table'!CW64:DH64))*1000</f>
        <v>9702.6188298433044</v>
      </c>
      <c r="H62" s="213">
        <f>IF(Init!$R$9="Yes",'Staging Table'!BQ64,'Staging Table'!ED64)*IF(Init!$R$3=2020,Rates_previous!$C$88,Rates_previous!$D$88)</f>
        <v>-786.86545218594586</v>
      </c>
      <c r="I62" s="211">
        <f>IF(Init!$R$9="Yes",IF('Staging Table'!$F$1=2020,(SUM('Staging Table'!AX64:BD64)*Rates_previous!$C$87),(SUM('Staging Table'!AX64:BD64)*Rates_previous!$D$87)),IF('Staging Table'!$F$1=2020,(SUM('Staging Table'!DK64:DQ64)*Rates_previous!$C$87),(SUM('Staging Table'!DK64:DQ64)*Rates_previous!$D$87)))</f>
        <v>2064.1672400761804</v>
      </c>
      <c r="J62" s="213">
        <f>IF(Init!$R$9="Yes",IF('Staging Table'!D64=1,'Staging Table'!H64*-1,'Staging Table'!H64*SUM(D62:I62)*(-1)),IF('Staging Table'!D64=1,'Staging Table'!BU64*-1,'Staging Table'!BU64*SUM(D62:I62)*(-1)))</f>
        <v>0</v>
      </c>
      <c r="K62" s="211">
        <f>IF(Init!$R$9="Yes",'Staging Table'!K64,'Staging Table'!BX64)*(-1)*Rates_previous!$H$32</f>
        <v>0</v>
      </c>
      <c r="L62" s="211">
        <f>IF('Staging Table'!C64=1,"",SUM(D62:K62))</f>
        <v>163660.29635725822</v>
      </c>
      <c r="M62" s="211">
        <f>IF('Staging Table'!C64=1,"",IF(Init!$R$9="Yes",(RT1SC!$C$3*'Staging Table'!E64*'Staging Table'!$F$2)+SUM('Staging Table'!L64:AI64)-IF(Init!$R$12="No",'Staging Table'!BH64, 0),X62))</f>
        <v>4315.4011639728005</v>
      </c>
      <c r="N62" s="95">
        <f>IF('Staging Table'!C64=1,"",IF(M62=0, 0, L62/M62))</f>
        <v>37.924700424975313</v>
      </c>
      <c r="O62" s="211">
        <f>'Staging Table'!BR64*Rates_current!$E$76*100*12</f>
        <v>172183.63748890749</v>
      </c>
      <c r="P62" s="211">
        <f>'Staging Table'!BS64*Rates_current!$E$77*100*12</f>
        <v>-28427.931703049318</v>
      </c>
      <c r="Q62" s="212">
        <f>SUMPRODUCT('Staging Table'!BY64:CV64, LS_Demand_Rates_Restatement!$C$5:$Z$5)-IF(Init!$R$12="No",('Staging Table'!DU64*Rates_current!$H$34), 0)</f>
        <v>2537.788389757739</v>
      </c>
      <c r="R62" s="212">
        <f>SUMPRODUCT('Staging Table'!CW64:DH64, LS_Demand_Rates_Restatement!$C$11:$N$11)*1000</f>
        <v>9112.917106775285</v>
      </c>
      <c r="S62" s="213">
        <f>'Staging Table'!ED64*IF(Init!$R$15="Yes",IF(Init!$R$6=2022,Rates_current!$C$88,Rates_current!$D$88),Rates_current!$H$33)</f>
        <v>0</v>
      </c>
      <c r="T62" s="213">
        <v>0</v>
      </c>
      <c r="U62" s="213">
        <f>IF('Staging Table'!D64=1, 'Staging Table'!BU64*-1,SUM(O62:T62)*'Staging Table'!BU64*-1)</f>
        <v>0</v>
      </c>
      <c r="V62" s="211">
        <f>'Staging Table'!BX64*Rates_current!$H$32*-1</f>
        <v>0</v>
      </c>
      <c r="W62" s="211">
        <f>IF('Staging Table'!C64=1,"",SUM(O62:V62))</f>
        <v>155406.4112823912</v>
      </c>
      <c r="X62" s="211">
        <f>IF('Staging Table'!C64=1,"",(RT1SC!$C$4*'Staging Table'!BR64*'Staging Table'!$BS$2)+SUM('Staging Table'!BY64:CV64)-IF(Init!$R$12="No",'Staging Table'!DU64, 0))</f>
        <v>4239.84</v>
      </c>
      <c r="Y62" s="95">
        <f>IF('Staging Table'!C64=1,"",IF(X62=0, 0, W62/X62))</f>
        <v>36.653838654852827</v>
      </c>
      <c r="Z62" s="87">
        <f ca="1">IF('Staging Table'!C64=1,"",(Y62/N62-1)+(RAND()/100000000000000))</f>
        <v>-3.3510133392783532E-2</v>
      </c>
      <c r="AA62" s="53">
        <f t="shared" ca="1" si="0"/>
        <v>40</v>
      </c>
      <c r="AD62" s="216"/>
      <c r="AE62" s="216"/>
      <c r="AF62" s="220"/>
      <c r="AG62" s="216"/>
      <c r="AH62" s="216"/>
    </row>
    <row r="63" spans="2:34">
      <c r="B63" s="3">
        <v>10177</v>
      </c>
      <c r="C63" s="4" t="s">
        <v>66</v>
      </c>
      <c r="D63" s="211">
        <f>IF(Init!$R$9="Yes",'Staging Table'!E65,'Staging Table'!BR65)*Rates_previous!$E$76*100*12</f>
        <v>3111052.6524</v>
      </c>
      <c r="E63" s="211">
        <f>IF(Init!$R$9="Yes",'Staging Table'!F65,'Staging Table'!BS65)*Rates_previous!$E$77*100*12</f>
        <v>-314733.342</v>
      </c>
      <c r="F63" s="212">
        <f>IF(Init!$R$9="Yes",SUMPRODUCT('Staging Table'!L65:AI65,LS_Demand_Rates_Restatement!$C$4:$Z$4)-IF(Init!$R$12="No",('Staging Table'!BH65*Rates_previous!$H$34), 0),SUMPRODUCT('Staging Table'!BY65:CV65,LS_Demand_Rates_Restatement!$C$4:$Z$4)-IF(Init!$R$12="No", 'Staging Table'!DU65*Rates_previous!$H$34, 0))</f>
        <v>-111195.86326353368</v>
      </c>
      <c r="G63" s="212">
        <f>IF(Init!$R$9="Yes",SUMPRODUCT('Staging Table'!AJ65:AU65,LS_Demand_Rates_Restatement!$C$10:$N$10),SUMPRODUCT(LS_Demand_Rates_Restatement!$C$10:$N$10,'Staging Table'!CW65:DH65))*1000</f>
        <v>66439.040459615469</v>
      </c>
      <c r="H63" s="213">
        <f>IF(Init!$R$9="Yes",'Staging Table'!BQ65,'Staging Table'!ED65)*IF(Init!$R$3=2020,Rates_previous!$C$88,Rates_previous!$D$88)</f>
        <v>-133402.05850445511</v>
      </c>
      <c r="I63" s="211">
        <f>IF(Init!$R$9="Yes",IF('Staging Table'!$F$1=2020,(SUM('Staging Table'!AX65:BD65)*Rates_previous!$C$87),(SUM('Staging Table'!AX65:BD65)*Rates_previous!$D$87)),IF('Staging Table'!$F$1=2020,(SUM('Staging Table'!DK65:DQ65)*Rates_previous!$C$87),(SUM('Staging Table'!DK65:DQ65)*Rates_previous!$D$87)))</f>
        <v>38163.770017792653</v>
      </c>
      <c r="J63" s="213">
        <f>IF(Init!$R$9="Yes",IF('Staging Table'!D65=1,'Staging Table'!H65*-1,'Staging Table'!H65*SUM(D63:I63)*(-1)),IF('Staging Table'!D65=1,'Staging Table'!BU65*-1,'Staging Table'!BU65*SUM(D63:I63)*(-1)))</f>
        <v>-185942.69393765935</v>
      </c>
      <c r="K63" s="211">
        <f>IF(Init!$R$9="Yes",'Staging Table'!K65,'Staging Table'!BX65)*(-1)*Rates_previous!$H$32</f>
        <v>0</v>
      </c>
      <c r="L63" s="211">
        <f>IF('Staging Table'!C65=1,"",SUM(D63:K63))</f>
        <v>2470381.50517176</v>
      </c>
      <c r="M63" s="211">
        <f>IF('Staging Table'!C65=1,"",IF(Init!$R$9="Yes",(RT1SC!$C$3*'Staging Table'!E65*'Staging Table'!$F$2)+SUM('Staging Table'!L65:AI65)-IF(Init!$R$12="No",'Staging Table'!BH65, 0),X63))</f>
        <v>72250.230031643994</v>
      </c>
      <c r="N63" s="95">
        <f>IF('Staging Table'!C65=1,"",IF(M63=0, 0, L63/M63))</f>
        <v>34.192022697917885</v>
      </c>
      <c r="O63" s="211">
        <f>'Staging Table'!BR65*Rates_current!$E$76*100*12</f>
        <v>3170768.8786606342</v>
      </c>
      <c r="P63" s="211">
        <f>'Staging Table'!BS65*Rates_current!$E$77*100*12</f>
        <v>-523501.55010824249</v>
      </c>
      <c r="Q63" s="212">
        <f>SUMPRODUCT('Staging Table'!BY65:CV65, LS_Demand_Rates_Restatement!$C$5:$Z$5)-IF(Init!$R$12="No",('Staging Table'!DU65*Rates_current!$H$34), 0)</f>
        <v>-109776.3660976986</v>
      </c>
      <c r="R63" s="212">
        <f>SUMPRODUCT('Staging Table'!CW65:DH65, LS_Demand_Rates_Restatement!$C$11:$N$11)*1000</f>
        <v>61440.986680493283</v>
      </c>
      <c r="S63" s="213">
        <f>'Staging Table'!ED65*IF(Init!$R$15="Yes",IF(Init!$R$6=2022,Rates_current!$C$88,Rates_current!$D$88),Rates_current!$H$33)</f>
        <v>-35285.793843467844</v>
      </c>
      <c r="T63" s="213">
        <v>0</v>
      </c>
      <c r="U63" s="213">
        <f>IF('Staging Table'!D65=1, 'Staging Table'!BU65*-1,SUM(O63:T63)*'Staging Table'!BU65*-1)</f>
        <v>-179455.23087042035</v>
      </c>
      <c r="V63" s="211">
        <f>'Staging Table'!BX65*Rates_current!$H$32*-1</f>
        <v>0</v>
      </c>
      <c r="W63" s="211">
        <f>IF('Staging Table'!C65=1,"",SUM(O63:V63))</f>
        <v>2384190.9244212983</v>
      </c>
      <c r="X63" s="211">
        <f>IF('Staging Table'!C65=1,"",(RT1SC!$C$4*'Staging Table'!BR65*'Staging Table'!$BS$2)+SUM('Staging Table'!BY65:CV65)-IF(Init!$R$12="No",'Staging Table'!DU65, 0))</f>
        <v>72250.230991249133</v>
      </c>
      <c r="Y63" s="95">
        <f>IF('Staging Table'!C65=1,"",IF(X63=0, 0, W63/X63))</f>
        <v>32.999076843229318</v>
      </c>
      <c r="Z63" s="87">
        <f ca="1">IF('Staging Table'!C65=1,"",(Y63/N63-1)+(RAND()/100000000000000))</f>
        <v>-3.4889595892820396E-2</v>
      </c>
      <c r="AA63" s="53">
        <f t="shared" ca="1" si="0"/>
        <v>49</v>
      </c>
      <c r="AD63" s="216"/>
      <c r="AE63" s="216"/>
      <c r="AF63" s="220"/>
      <c r="AG63" s="216"/>
      <c r="AH63" s="216"/>
    </row>
    <row r="64" spans="2:34">
      <c r="B64" s="3">
        <v>10179</v>
      </c>
      <c r="C64" s="4" t="s">
        <v>67</v>
      </c>
      <c r="D64" s="211">
        <f>IF(Init!$R$9="Yes",'Staging Table'!E66,'Staging Table'!BR66)*Rates_previous!$E$76*100*12</f>
        <v>56143448.890080005</v>
      </c>
      <c r="E64" s="211">
        <f>IF(Init!$R$9="Yes",'Staging Table'!F66,'Staging Table'!BS66)*Rates_previous!$E$77*100*12</f>
        <v>-5679818.7863999996</v>
      </c>
      <c r="F64" s="212">
        <f>IF(Init!$R$9="Yes",SUMPRODUCT('Staging Table'!L66:AI66,LS_Demand_Rates_Restatement!$C$4:$Z$4)-IF(Init!$R$12="No",('Staging Table'!BH66*Rates_previous!$H$34), 0),SUMPRODUCT('Staging Table'!BY66:CV66,LS_Demand_Rates_Restatement!$C$4:$Z$4)-IF(Init!$R$12="No", 'Staging Table'!DU66*Rates_previous!$H$34, 0))</f>
        <v>1038613.6602813771</v>
      </c>
      <c r="G64" s="212">
        <f>IF(Init!$R$9="Yes",SUMPRODUCT('Staging Table'!AJ66:AU66,LS_Demand_Rates_Restatement!$C$10:$N$10),SUMPRODUCT(LS_Demand_Rates_Restatement!$C$10:$N$10,'Staging Table'!CW66:DH66))*1000</f>
        <v>5266292.4666347224</v>
      </c>
      <c r="H64" s="213">
        <f>IF(Init!$R$9="Yes",'Staging Table'!BQ66,'Staging Table'!ED66)*IF(Init!$R$3=2020,Rates_previous!$C$88,Rates_previous!$D$88)</f>
        <v>0</v>
      </c>
      <c r="I64" s="211">
        <f>IF(Init!$R$9="Yes",IF('Staging Table'!$F$1=2020,(SUM('Staging Table'!AX66:BD66)*Rates_previous!$C$87),(SUM('Staging Table'!AX66:BD66)*Rates_previous!$D$87)),IF('Staging Table'!$F$1=2020,(SUM('Staging Table'!DK66:DQ66)*Rates_previous!$C$87),(SUM('Staging Table'!DK66:DQ66)*Rates_previous!$D$87)))</f>
        <v>688720.47851513547</v>
      </c>
      <c r="J64" s="213">
        <f>IF(Init!$R$9="Yes",IF('Staging Table'!D66=1,'Staging Table'!H66*-1,'Staging Table'!H66*SUM(D64:I64)*(-1)),IF('Staging Table'!D66=1,'Staging Table'!BU66*-1,'Staging Table'!BU66*SUM(D64:I64)*(-1)))</f>
        <v>0</v>
      </c>
      <c r="K64" s="211">
        <f>IF(Init!$R$9="Yes",'Staging Table'!K66,'Staging Table'!BX66)*(-1)*Rates_previous!$H$32</f>
        <v>0</v>
      </c>
      <c r="L64" s="211">
        <f>IF('Staging Table'!C66=1,"",SUM(D64:K64))</f>
        <v>57457256.709111236</v>
      </c>
      <c r="M64" s="211">
        <f>IF('Staging Table'!C66=1,"",IF(Init!$R$9="Yes",(RT1SC!$C$3*'Staging Table'!E66*'Staging Table'!$F$2)+SUM('Staging Table'!L66:AI66)-IF(Init!$R$12="No",'Staging Table'!BH66, 0),X64))</f>
        <v>1457608.176</v>
      </c>
      <c r="N64" s="95">
        <f>IF('Staging Table'!C66=1,"",IF(M64=0, 0, L64/M64))</f>
        <v>39.418862802201538</v>
      </c>
      <c r="O64" s="211">
        <f>'Staging Table'!BR66*Rates_current!$E$76*100*12</f>
        <v>56649855.594330966</v>
      </c>
      <c r="P64" s="211">
        <f>'Staging Table'!BS66*Rates_current!$E$77*100*12</f>
        <v>-9353027.0896210782</v>
      </c>
      <c r="Q64" s="212">
        <f>SUMPRODUCT('Staging Table'!BY66:CV66, LS_Demand_Rates_Restatement!$C$5:$Z$5)-IF(Init!$R$12="No",('Staging Table'!DU66*Rates_current!$H$34), 0)</f>
        <v>53771.000235118874</v>
      </c>
      <c r="R64" s="212">
        <f>SUMPRODUCT('Staging Table'!CW66:DH66, LS_Demand_Rates_Restatement!$C$11:$N$11)*1000</f>
        <v>4832783.6024852823</v>
      </c>
      <c r="S64" s="213">
        <f>'Staging Table'!ED66*IF(Init!$R$15="Yes",IF(Init!$R$6=2022,Rates_current!$C$88,Rates_current!$D$88),Rates_current!$H$33)</f>
        <v>0</v>
      </c>
      <c r="T64" s="213">
        <v>0</v>
      </c>
      <c r="U64" s="213">
        <f>IF('Staging Table'!D66=1, 'Staging Table'!BU66*-1,SUM(O64:T64)*'Staging Table'!BU66*-1)</f>
        <v>0</v>
      </c>
      <c r="V64" s="211">
        <f>'Staging Table'!BX66*Rates_current!$H$32*-1</f>
        <v>0</v>
      </c>
      <c r="W64" s="211">
        <f>IF('Staging Table'!C66=1,"",SUM(O64:V64))</f>
        <v>52183383.107430287</v>
      </c>
      <c r="X64" s="211">
        <f>IF('Staging Table'!C66=1,"",(RT1SC!$C$4*'Staging Table'!BR66*'Staging Table'!$BS$2)+SUM('Staging Table'!BY66:CV66)-IF(Init!$R$12="No",'Staging Table'!DU66, 0))</f>
        <v>1361274.2643087881</v>
      </c>
      <c r="Y64" s="95">
        <f>IF('Staging Table'!C66=1,"",IF(X64=0, 0, W64/X64))</f>
        <v>38.334217046208067</v>
      </c>
      <c r="Z64" s="87">
        <f ca="1">IF('Staging Table'!C66=1,"",(Y64/N64-1)+(RAND()/100000000000000))</f>
        <v>-2.7515906824506452E-2</v>
      </c>
      <c r="AA64" s="53">
        <f t="shared" ca="1" si="0"/>
        <v>18</v>
      </c>
      <c r="AD64" s="216"/>
      <c r="AE64" s="216"/>
      <c r="AF64" s="220"/>
      <c r="AG64" s="216"/>
      <c r="AH64" s="216"/>
    </row>
    <row r="65" spans="2:34">
      <c r="B65" s="3">
        <v>10183</v>
      </c>
      <c r="C65" s="4" t="s">
        <v>68</v>
      </c>
      <c r="D65" s="211">
        <f>IF(Init!$R$9="Yes",'Staging Table'!E67,'Staging Table'!BR67)*Rates_previous!$E$76*100*12</f>
        <v>39494207.372999996</v>
      </c>
      <c r="E65" s="211">
        <f>IF(Init!$R$9="Yes",'Staging Table'!F67,'Staging Table'!BS67)*Rates_previous!$E$77*100*12</f>
        <v>-2122586.6639999999</v>
      </c>
      <c r="F65" s="212">
        <f>IF(Init!$R$9="Yes",SUMPRODUCT('Staging Table'!L67:AI67,LS_Demand_Rates_Restatement!$C$4:$Z$4)-IF(Init!$R$12="No",('Staging Table'!BH67*Rates_previous!$H$34), 0),SUMPRODUCT('Staging Table'!BY67:CV67,LS_Demand_Rates_Restatement!$C$4:$Z$4)-IF(Init!$R$12="No", 'Staging Table'!DU67*Rates_previous!$H$34, 0))</f>
        <v>-88449.257282197519</v>
      </c>
      <c r="G65" s="212">
        <f>IF(Init!$R$9="Yes",SUMPRODUCT('Staging Table'!AJ67:AU67,LS_Demand_Rates_Restatement!$C$10:$N$10),SUMPRODUCT(LS_Demand_Rates_Restatement!$C$10:$N$10,'Staging Table'!CW67:DH67))*1000</f>
        <v>0</v>
      </c>
      <c r="H65" s="213">
        <f>IF(Init!$R$9="Yes",'Staging Table'!BQ67,'Staging Table'!ED67)*IF(Init!$R$3=2020,Rates_previous!$C$88,Rates_previous!$D$88)</f>
        <v>0</v>
      </c>
      <c r="I65" s="211">
        <f>IF(Init!$R$9="Yes",IF('Staging Table'!$F$1=2020,(SUM('Staging Table'!AX67:BD67)*Rates_previous!$C$87),(SUM('Staging Table'!AX67:BD67)*Rates_previous!$D$87)),IF('Staging Table'!$F$1=2020,(SUM('Staging Table'!DK67:DQ67)*Rates_previous!$C$87),(SUM('Staging Table'!DK67:DQ67)*Rates_previous!$D$87)))</f>
        <v>257379.49711006379</v>
      </c>
      <c r="J65" s="213">
        <f>IF(Init!$R$9="Yes",IF('Staging Table'!D67=1,'Staging Table'!H67*-1,'Staging Table'!H67*SUM(D65:I65)*(-1)),IF('Staging Table'!D67=1,'Staging Table'!BU67*-1,'Staging Table'!BU67*SUM(D65:I65)*(-1)))</f>
        <v>0</v>
      </c>
      <c r="K65" s="211">
        <f>IF(Init!$R$9="Yes",'Staging Table'!K67,'Staging Table'!BX67)*(-1)*Rates_previous!$H$32</f>
        <v>-1048864.5141699999</v>
      </c>
      <c r="L65" s="211">
        <f>IF('Staging Table'!C67=1,"",SUM(D65:K65))</f>
        <v>36491686.434657864</v>
      </c>
      <c r="M65" s="211">
        <f>IF('Staging Table'!C67=1,"",IF(Init!$R$9="Yes",(RT1SC!$C$3*'Staging Table'!E67*'Staging Table'!$F$2)+SUM('Staging Table'!L67:AI67)-IF(Init!$R$12="No",'Staging Table'!BH67, 0),X65))</f>
        <v>1025356.3564240498</v>
      </c>
      <c r="N65" s="95">
        <f>IF('Staging Table'!C67=1,"",IF(M65=0, 0, L65/M65))</f>
        <v>35.589272164775309</v>
      </c>
      <c r="O65" s="211">
        <f>'Staging Table'!BR67*Rates_current!$E$76*100*12</f>
        <v>39850679.865399301</v>
      </c>
      <c r="P65" s="211">
        <f>'Staging Table'!BS67*Rates_current!$E$77*100*12</f>
        <v>-3495329.0232268749</v>
      </c>
      <c r="Q65" s="212">
        <f>SUMPRODUCT('Staging Table'!BY67:CV67, LS_Demand_Rates_Restatement!$C$5:$Z$5)-IF(Init!$R$12="No",('Staging Table'!DU67*Rates_current!$H$34), 0)</f>
        <v>-137551.7344772483</v>
      </c>
      <c r="R65" s="212">
        <f>SUMPRODUCT('Staging Table'!CW67:DH67, LS_Demand_Rates_Restatement!$C$11:$N$11)*1000</f>
        <v>0</v>
      </c>
      <c r="S65" s="213">
        <f>'Staging Table'!ED67*IF(Init!$R$15="Yes",IF(Init!$R$6=2022,Rates_current!$C$88,Rates_current!$D$88),Rates_current!$H$33)</f>
        <v>0</v>
      </c>
      <c r="T65" s="213">
        <v>0</v>
      </c>
      <c r="U65" s="213">
        <f>IF('Staging Table'!D67=1, 'Staging Table'!BU67*-1,SUM(O65:T65)*'Staging Table'!BU67*-1)</f>
        <v>0</v>
      </c>
      <c r="V65" s="211">
        <f>'Staging Table'!BX67*Rates_current!$H$32*-1</f>
        <v>-1029038.9923</v>
      </c>
      <c r="W65" s="211">
        <f>IF('Staging Table'!C67=1,"",SUM(O65:V65))</f>
        <v>35188760.115395173</v>
      </c>
      <c r="X65" s="211">
        <f>IF('Staging Table'!C67=1,"",(RT1SC!$C$4*'Staging Table'!BR67*'Staging Table'!$BS$2)+SUM('Staging Table'!BY67:CV67)-IF(Init!$R$12="No",'Staging Table'!DU67, 0))</f>
        <v>980611.97016259353</v>
      </c>
      <c r="Y65" s="95">
        <f>IF('Staging Table'!C67=1,"",IF(X65=0, 0, W65/X65))</f>
        <v>35.884489671853167</v>
      </c>
      <c r="Z65" s="87">
        <f ca="1">IF('Staging Table'!C67=1,"",(Y65/N65-1)+(RAND()/100000000000000))</f>
        <v>8.29512628724508E-3</v>
      </c>
      <c r="AA65" s="53">
        <f t="shared" ca="1" si="0"/>
        <v>14</v>
      </c>
      <c r="AD65" s="216"/>
      <c r="AE65" s="216"/>
      <c r="AF65" s="220"/>
      <c r="AG65" s="216"/>
      <c r="AH65" s="216"/>
    </row>
    <row r="66" spans="2:34">
      <c r="B66" s="3">
        <v>10186</v>
      </c>
      <c r="C66" s="4" t="s">
        <v>69</v>
      </c>
      <c r="D66" s="211">
        <f>IF(Init!$R$9="Yes",'Staging Table'!E68,'Staging Table'!BR68)*Rates_previous!$E$76*100*12</f>
        <v>6025079.8923599999</v>
      </c>
      <c r="E66" s="211">
        <f>IF(Init!$R$9="Yes",'Staging Table'!F68,'Staging Table'!BS68)*Rates_previous!$E$77*100*12</f>
        <v>-609534.37380000006</v>
      </c>
      <c r="F66" s="212">
        <f>IF(Init!$R$9="Yes",SUMPRODUCT('Staging Table'!L68:AI68,LS_Demand_Rates_Restatement!$C$4:$Z$4)-IF(Init!$R$12="No",('Staging Table'!BH68*Rates_previous!$H$34), 0),SUMPRODUCT('Staging Table'!BY68:CV68,LS_Demand_Rates_Restatement!$C$4:$Z$4)-IF(Init!$R$12="No", 'Staging Table'!DU68*Rates_previous!$H$34, 0))</f>
        <v>-15797.469183290608</v>
      </c>
      <c r="G66" s="212">
        <f>IF(Init!$R$9="Yes",SUMPRODUCT('Staging Table'!AJ68:AU68,LS_Demand_Rates_Restatement!$C$10:$N$10),SUMPRODUCT(LS_Demand_Rates_Restatement!$C$10:$N$10,'Staging Table'!CW68:DH68))*1000</f>
        <v>360493.90152660257</v>
      </c>
      <c r="H66" s="213">
        <f>IF(Init!$R$9="Yes",'Staging Table'!BQ68,'Staging Table'!ED68)*IF(Init!$R$3=2020,Rates_previous!$C$88,Rates_previous!$D$88)</f>
        <v>-57954.091535573527</v>
      </c>
      <c r="I66" s="211">
        <f>IF(Init!$R$9="Yes",IF('Staging Table'!$F$1=2020,(SUM('Staging Table'!AX68:BD68)*Rates_previous!$C$87),(SUM('Staging Table'!AX68:BD68)*Rates_previous!$D$87)),IF('Staging Table'!$F$1=2020,(SUM('Staging Table'!DK68:DQ68)*Rates_previous!$C$87),(SUM('Staging Table'!DK68:DQ68)*Rates_previous!$D$87)))</f>
        <v>73910.59845080685</v>
      </c>
      <c r="J66" s="213">
        <f>IF(Init!$R$9="Yes",IF('Staging Table'!D68=1,'Staging Table'!H68*-1,'Staging Table'!H68*SUM(D66:I66)*(-1)),IF('Staging Table'!D68=1,'Staging Table'!BU68*-1,'Staging Table'!BU68*SUM(D66:I66)*(-1)))</f>
        <v>-404333.8920472982</v>
      </c>
      <c r="K66" s="211">
        <f>IF(Init!$R$9="Yes",'Staging Table'!K68,'Staging Table'!BX68)*(-1)*Rates_previous!$H$32</f>
        <v>0</v>
      </c>
      <c r="L66" s="211">
        <f>IF('Staging Table'!C68=1,"",SUM(D66:K66))</f>
        <v>5371864.5657712473</v>
      </c>
      <c r="M66" s="211">
        <f>IF('Staging Table'!C68=1,"",IF(Init!$R$9="Yes",(RT1SC!$C$3*'Staging Table'!E68*'Staging Table'!$F$2)+SUM('Staging Table'!L68:AI68)-IF(Init!$R$12="No",'Staging Table'!BH68, 0),X66))</f>
        <v>152724.69987129161</v>
      </c>
      <c r="N66" s="95">
        <f>IF('Staging Table'!C68=1,"",IF(M66=0, 0, L66/M66))</f>
        <v>35.173515287955212</v>
      </c>
      <c r="O66" s="211">
        <f>'Staging Table'!BR68*Rates_current!$E$76*100*12</f>
        <v>6461922.4175154632</v>
      </c>
      <c r="P66" s="211">
        <f>'Staging Table'!BS68*Rates_current!$E$77*100*12</f>
        <v>-1066878.8964768343</v>
      </c>
      <c r="Q66" s="212">
        <f>SUMPRODUCT('Staging Table'!BY68:CV68, LS_Demand_Rates_Restatement!$C$5:$Z$5)-IF(Init!$R$12="No",('Staging Table'!DU68*Rates_current!$H$34), 0)</f>
        <v>-134090.78181081338</v>
      </c>
      <c r="R66" s="212">
        <f>SUMPRODUCT('Staging Table'!CW68:DH68, LS_Demand_Rates_Restatement!$C$11:$N$11)*1000</f>
        <v>337914.27682721691</v>
      </c>
      <c r="S66" s="213">
        <f>'Staging Table'!ED68*IF(Init!$R$15="Yes",IF(Init!$R$6=2022,Rates_current!$C$88,Rates_current!$D$88),Rates_current!$H$33)</f>
        <v>-38412.457161051752</v>
      </c>
      <c r="T66" s="213">
        <v>0</v>
      </c>
      <c r="U66" s="213">
        <f>IF('Staging Table'!D68=1, 'Staging Table'!BU68*-1,SUM(O66:T66)*'Staging Table'!BU68*-1)</f>
        <v>-389231.81912257866</v>
      </c>
      <c r="V66" s="211">
        <f>'Staging Table'!BX68*Rates_current!$H$32*-1</f>
        <v>0</v>
      </c>
      <c r="W66" s="211">
        <f>IF('Staging Table'!C68=1,"",SUM(O66:V66))</f>
        <v>5171222.7397714015</v>
      </c>
      <c r="X66" s="211">
        <f>IF('Staging Table'!C68=1,"",(RT1SC!$C$4*'Staging Table'!BR68*'Staging Table'!$BS$2)+SUM('Staging Table'!BY68:CV68)-IF(Init!$R$12="No",'Staging Table'!DU68, 0))</f>
        <v>152724.7021340341</v>
      </c>
      <c r="Y66" s="95">
        <f>IF('Staging Table'!C68=1,"",IF(X66=0, 0, W66/X66))</f>
        <v>33.859766413117889</v>
      </c>
      <c r="Z66" s="87">
        <f ca="1">IF('Staging Table'!C68=1,"",(Y66/N66-1)+(RAND()/100000000000000))</f>
        <v>-3.7350513989907269E-2</v>
      </c>
      <c r="AA66" s="53">
        <f t="shared" ca="1" si="0"/>
        <v>72</v>
      </c>
      <c r="AD66" s="216"/>
      <c r="AE66" s="216"/>
      <c r="AF66" s="220"/>
      <c r="AG66" s="216"/>
      <c r="AH66" s="216"/>
    </row>
    <row r="67" spans="2:34">
      <c r="B67" s="3">
        <v>10190</v>
      </c>
      <c r="C67" s="4" t="s">
        <v>70</v>
      </c>
      <c r="D67" s="211">
        <f>IF(Init!$R$9="Yes",'Staging Table'!E69,'Staging Table'!BR69)*Rates_previous!$E$76*100*12</f>
        <v>1747085.41236</v>
      </c>
      <c r="E67" s="211">
        <f>IF(Init!$R$9="Yes",'Staging Table'!F69,'Staging Table'!BS69)*Rates_previous!$E$77*100*12</f>
        <v>-176745.97380000004</v>
      </c>
      <c r="F67" s="212">
        <f>IF(Init!$R$9="Yes",SUMPRODUCT('Staging Table'!L69:AI69,LS_Demand_Rates_Restatement!$C$4:$Z$4)-IF(Init!$R$12="No",('Staging Table'!BH69*Rates_previous!$H$34), 0),SUMPRODUCT('Staging Table'!BY69:CV69,LS_Demand_Rates_Restatement!$C$4:$Z$4)-IF(Init!$R$12="No", 'Staging Table'!DU69*Rates_previous!$H$34, 0))</f>
        <v>43653.577078185044</v>
      </c>
      <c r="G67" s="212">
        <f>IF(Init!$R$9="Yes",SUMPRODUCT('Staging Table'!AJ69:AU69,LS_Demand_Rates_Restatement!$C$10:$N$10),SUMPRODUCT(LS_Demand_Rates_Restatement!$C$10:$N$10,'Staging Table'!CW69:DH69))*1000</f>
        <v>182191.46226193022</v>
      </c>
      <c r="H67" s="213">
        <f>IF(Init!$R$9="Yes",'Staging Table'!BQ69,'Staging Table'!ED69)*IF(Init!$R$3=2020,Rates_previous!$C$88,Rates_previous!$D$88)</f>
        <v>0</v>
      </c>
      <c r="I67" s="211">
        <f>IF(Init!$R$9="Yes",IF('Staging Table'!$F$1=2020,(SUM('Staging Table'!AX69:BD69)*Rates_previous!$C$87),(SUM('Staging Table'!AX69:BD69)*Rates_previous!$D$87)),IF('Staging Table'!$F$1=2020,(SUM('Staging Table'!DK69:DQ69)*Rates_previous!$C$87),(SUM('Staging Table'!DK69:DQ69)*Rates_previous!$D$87)))</f>
        <v>21431.770313276837</v>
      </c>
      <c r="J67" s="213">
        <f>IF(Init!$R$9="Yes",IF('Staging Table'!D69=1,'Staging Table'!H69*-1,'Staging Table'!H69*SUM(D67:I67)*(-1)),IF('Staging Table'!D69=1,'Staging Table'!BU69*-1,'Staging Table'!BU69*SUM(D67:I67)*(-1)))</f>
        <v>0</v>
      </c>
      <c r="K67" s="211">
        <f>IF(Init!$R$9="Yes",'Staging Table'!K69,'Staging Table'!BX69)*(-1)*Rates_previous!$H$32</f>
        <v>0</v>
      </c>
      <c r="L67" s="211">
        <f>IF('Staging Table'!C69=1,"",SUM(D67:K67))</f>
        <v>1817616.2482133922</v>
      </c>
      <c r="M67" s="211">
        <f>IF('Staging Table'!C69=1,"",IF(Init!$R$9="Yes",(RT1SC!$C$3*'Staging Table'!E69*'Staging Table'!$F$2)+SUM('Staging Table'!L69:AI69)-IF(Init!$R$12="No",'Staging Table'!BH69, 0),X67))</f>
        <v>45360.576000000001</v>
      </c>
      <c r="N67" s="95">
        <f>IF('Staging Table'!C69=1,"",IF(M67=0, 0, L67/M67))</f>
        <v>40.07039611254919</v>
      </c>
      <c r="O67" s="211">
        <f>'Staging Table'!BR69*Rates_current!$E$76*100*12</f>
        <v>1762843.898580723</v>
      </c>
      <c r="P67" s="211">
        <f>'Staging Table'!BS69*Rates_current!$E$77*100*12</f>
        <v>-291049.75758929743</v>
      </c>
      <c r="Q67" s="212">
        <f>SUMPRODUCT('Staging Table'!BY69:CV69, LS_Demand_Rates_Restatement!$C$5:$Z$5)-IF(Init!$R$12="No",('Staging Table'!DU69*Rates_current!$H$34), 0)</f>
        <v>46972.345895687467</v>
      </c>
      <c r="R67" s="212">
        <f>SUMPRODUCT('Staging Table'!CW69:DH69, LS_Demand_Rates_Restatement!$C$11:$N$11)*1000</f>
        <v>168359.64744088319</v>
      </c>
      <c r="S67" s="213">
        <f>'Staging Table'!ED69*IF(Init!$R$15="Yes",IF(Init!$R$6=2022,Rates_current!$C$88,Rates_current!$D$88),Rates_current!$H$33)</f>
        <v>0</v>
      </c>
      <c r="T67" s="213">
        <v>0</v>
      </c>
      <c r="U67" s="213">
        <f>IF('Staging Table'!D69=1, 'Staging Table'!BU69*-1,SUM(O67:T67)*'Staging Table'!BU69*-1)</f>
        <v>0</v>
      </c>
      <c r="V67" s="211">
        <f>'Staging Table'!BX69*Rates_current!$H$32*-1</f>
        <v>0</v>
      </c>
      <c r="W67" s="211">
        <f>IF('Staging Table'!C69=1,"",SUM(O67:V67))</f>
        <v>1687126.1343279963</v>
      </c>
      <c r="X67" s="211">
        <f>IF('Staging Table'!C69=1,"",(RT1SC!$C$4*'Staging Table'!BR69*'Staging Table'!$BS$2)+SUM('Staging Table'!BY69:CV69)-IF(Init!$R$12="No",'Staging Table'!DU69, 0))</f>
        <v>43379.519999999997</v>
      </c>
      <c r="Y67" s="95">
        <f>IF('Staging Table'!C69=1,"",IF(X67=0, 0, W67/X67))</f>
        <v>38.892226892505875</v>
      </c>
      <c r="Z67" s="87"/>
      <c r="AA67" s="53" t="str">
        <f t="shared" si="0"/>
        <v/>
      </c>
      <c r="AD67" s="216"/>
      <c r="AE67" s="216"/>
      <c r="AF67" s="220"/>
      <c r="AG67" s="216"/>
      <c r="AH67" s="216"/>
    </row>
    <row r="68" spans="2:34">
      <c r="B68" s="3">
        <v>10191</v>
      </c>
      <c r="C68" s="4" t="s">
        <v>71</v>
      </c>
      <c r="D68" s="211">
        <f>IF(Init!$R$9="Yes",'Staging Table'!E70,'Staging Table'!BR70)*Rates_previous!$E$76*100*12</f>
        <v>43593952.082999997</v>
      </c>
      <c r="E68" s="211">
        <f>IF(Init!$R$9="Yes",'Staging Table'!F70,'Staging Table'!BS70)*Rates_previous!$E$77*100*12</f>
        <v>-2082144.9924000003</v>
      </c>
      <c r="F68" s="212">
        <f>IF(Init!$R$9="Yes",SUMPRODUCT('Staging Table'!L70:AI70,LS_Demand_Rates_Restatement!$C$4:$Z$4)-IF(Init!$R$12="No",('Staging Table'!BH70*Rates_previous!$H$34), 0),SUMPRODUCT('Staging Table'!BY70:CV70,LS_Demand_Rates_Restatement!$C$4:$Z$4)-IF(Init!$R$12="No", 'Staging Table'!DU70*Rates_previous!$H$34, 0))</f>
        <v>153756.75671442569</v>
      </c>
      <c r="G68" s="212">
        <f>IF(Init!$R$9="Yes",SUMPRODUCT('Staging Table'!AJ70:AU70,LS_Demand_Rates_Restatement!$C$10:$N$10),SUMPRODUCT(LS_Demand_Rates_Restatement!$C$10:$N$10,'Staging Table'!CW70:DH70))*1000</f>
        <v>0</v>
      </c>
      <c r="H68" s="213">
        <f>IF(Init!$R$9="Yes",'Staging Table'!BQ70,'Staging Table'!ED70)*IF(Init!$R$3=2020,Rates_previous!$C$88,Rates_previous!$D$88)</f>
        <v>0</v>
      </c>
      <c r="I68" s="211">
        <f>IF(Init!$R$9="Yes",IF('Staging Table'!$F$1=2020,(SUM('Staging Table'!AX70:BD70)*Rates_previous!$C$87),(SUM('Staging Table'!AX70:BD70)*Rates_previous!$D$87)),IF('Staging Table'!$F$1=2020,(SUM('Staging Table'!DK70:DQ70)*Rates_previous!$C$87),(SUM('Staging Table'!DK70:DQ70)*Rates_previous!$D$87)))</f>
        <v>252475.6421696569</v>
      </c>
      <c r="J68" s="213">
        <f>IF(Init!$R$9="Yes",IF('Staging Table'!D70=1,'Staging Table'!H70*-1,'Staging Table'!H70*SUM(D68:I68)*(-1)),IF('Staging Table'!D70=1,'Staging Table'!BU70*-1,'Staging Table'!BU70*SUM(D68:I68)*(-1)))</f>
        <v>0</v>
      </c>
      <c r="K68" s="211">
        <f>IF(Init!$R$9="Yes",'Staging Table'!K70,'Staging Table'!BX70)*(-1)*Rates_previous!$H$32</f>
        <v>0</v>
      </c>
      <c r="L68" s="211">
        <f>IF('Staging Table'!C70=1,"",SUM(D68:K68))</f>
        <v>41918039.489484079</v>
      </c>
      <c r="M68" s="211">
        <f>IF('Staging Table'!C70=1,"",IF(Init!$R$9="Yes",(RT1SC!$C$3*'Staging Table'!E70*'Staging Table'!$F$2)+SUM('Staging Table'!L70:AI70)-IF(Init!$R$12="No",'Staging Table'!BH70, 0),X68))</f>
        <v>1131791.5331930581</v>
      </c>
      <c r="N68" s="95">
        <f>IF('Staging Table'!C70=1,"",IF(M68=0, 0, L68/M68))</f>
        <v>37.036890858533937</v>
      </c>
      <c r="O68" s="211">
        <f>'Staging Table'!BR70*Rates_current!$E$76*100*12</f>
        <v>44559110.977456689</v>
      </c>
      <c r="P68" s="211">
        <f>'Staging Table'!BS70*Rates_current!$E$77*100*12</f>
        <v>-3523123.4634156511</v>
      </c>
      <c r="Q68" s="212">
        <f>SUMPRODUCT('Staging Table'!BY70:CV70, LS_Demand_Rates_Restatement!$C$5:$Z$5)-IF(Init!$R$12="No",('Staging Table'!DU70*Rates_current!$H$34), 0)</f>
        <v>76585.047836356913</v>
      </c>
      <c r="R68" s="212">
        <f>SUMPRODUCT('Staging Table'!CW70:DH70, LS_Demand_Rates_Restatement!$C$11:$N$11)*1000</f>
        <v>0</v>
      </c>
      <c r="S68" s="213">
        <f>'Staging Table'!ED70*IF(Init!$R$15="Yes",IF(Init!$R$6=2022,Rates_current!$C$88,Rates_current!$D$88),Rates_current!$H$33)</f>
        <v>0</v>
      </c>
      <c r="T68" s="213">
        <v>0</v>
      </c>
      <c r="U68" s="213">
        <f>IF('Staging Table'!D70=1, 'Staging Table'!BU70*-1,SUM(O68:T68)*'Staging Table'!BU70*-1)</f>
        <v>0</v>
      </c>
      <c r="V68" s="211">
        <f>'Staging Table'!BX70*Rates_current!$H$32*-1</f>
        <v>0</v>
      </c>
      <c r="W68" s="211">
        <f>IF('Staging Table'!C70=1,"",SUM(O68:V68))</f>
        <v>41112572.561877392</v>
      </c>
      <c r="X68" s="211">
        <f>IF('Staging Table'!C70=1,"",(RT1SC!$C$4*'Staging Table'!BR70*'Staging Table'!$BS$2)+SUM('Staging Table'!BY70:CV70)-IF(Init!$R$12="No",'Staging Table'!DU70, 0))</f>
        <v>1096471.7360893963</v>
      </c>
      <c r="Y68" s="95">
        <f>IF('Staging Table'!C70=1,"",IF(X68=0, 0, W68/X68))</f>
        <v>37.49533271920604</v>
      </c>
      <c r="Z68" s="87">
        <f ca="1">IF('Staging Table'!C70=1,"",(Y68/N68-1)+(RAND()/100000000000000))</f>
        <v>1.237797909180249E-2</v>
      </c>
      <c r="AA68" s="53">
        <f t="shared" ref="AA68:AA131" ca="1" si="1">IF(Z68="","",RANK(Z68,$Z$4:$Z$138))</f>
        <v>8</v>
      </c>
      <c r="AD68" s="216"/>
      <c r="AE68" s="216"/>
      <c r="AF68" s="220"/>
      <c r="AG68" s="216"/>
      <c r="AH68" s="216"/>
    </row>
    <row r="69" spans="2:34">
      <c r="B69" s="3">
        <v>10197</v>
      </c>
      <c r="C69" s="4" t="s">
        <v>72</v>
      </c>
      <c r="D69" s="211">
        <f>IF(Init!$R$9="Yes",'Staging Table'!E71,'Staging Table'!BR71)*Rates_previous!$E$76*100*12</f>
        <v>7657372.4528400004</v>
      </c>
      <c r="E69" s="211">
        <f>IF(Init!$R$9="Yes",'Staging Table'!F71,'Staging Table'!BS71)*Rates_previous!$E$77*100*12</f>
        <v>-774667.19219999993</v>
      </c>
      <c r="F69" s="212">
        <f>IF(Init!$R$9="Yes",SUMPRODUCT('Staging Table'!L71:AI71,LS_Demand_Rates_Restatement!$C$4:$Z$4)-IF(Init!$R$12="No",('Staging Table'!BH71*Rates_previous!$H$34), 0),SUMPRODUCT('Staging Table'!BY71:CV71,LS_Demand_Rates_Restatement!$C$4:$Z$4)-IF(Init!$R$12="No", 'Staging Table'!DU71*Rates_previous!$H$34, 0))</f>
        <v>-416872.24759992573</v>
      </c>
      <c r="G69" s="212">
        <f>IF(Init!$R$9="Yes",SUMPRODUCT('Staging Table'!AJ71:AU71,LS_Demand_Rates_Restatement!$C$10:$N$10),SUMPRODUCT(LS_Demand_Rates_Restatement!$C$10:$N$10,'Staging Table'!CW71:DH71))*1000</f>
        <v>469584.80047044152</v>
      </c>
      <c r="H69" s="213">
        <f>IF(Init!$R$9="Yes",'Staging Table'!BQ71,'Staging Table'!ED71)*IF(Init!$R$3=2020,Rates_previous!$C$88,Rates_previous!$D$88)</f>
        <v>0</v>
      </c>
      <c r="I69" s="211">
        <f>IF(Init!$R$9="Yes",IF('Staging Table'!$F$1=2020,(SUM('Staging Table'!AX71:BD71)*Rates_previous!$C$87),(SUM('Staging Table'!AX71:BD71)*Rates_previous!$D$87)),IF('Staging Table'!$F$1=2020,(SUM('Staging Table'!DK71:DQ71)*Rates_previous!$C$87),(SUM('Staging Table'!DK71:DQ71)*Rates_previous!$D$87)))</f>
        <v>93934.186875726635</v>
      </c>
      <c r="J69" s="213">
        <f>IF(Init!$R$9="Yes",IF('Staging Table'!D71=1,'Staging Table'!H71*-1,'Staging Table'!H71*SUM(D69:I69)*(-1)),IF('Staging Table'!D71=1,'Staging Table'!BU71*-1,'Staging Table'!BU71*SUM(D69:I69)*(-1)))</f>
        <v>-546778.10807882447</v>
      </c>
      <c r="K69" s="211">
        <f>IF(Init!$R$9="Yes",'Staging Table'!K71,'Staging Table'!BX71)*(-1)*Rates_previous!$H$32</f>
        <v>-1109880.1675499999</v>
      </c>
      <c r="L69" s="211">
        <f>IF('Staging Table'!C71=1,"",SUM(D69:K69))</f>
        <v>5372693.7247574199</v>
      </c>
      <c r="M69" s="211">
        <f>IF('Staging Table'!C71=1,"",IF(Init!$R$9="Yes",(RT1SC!$C$3*'Staging Table'!E71*'Staging Table'!$F$2)+SUM('Staging Table'!L71:AI71)-IF(Init!$R$12="No",'Staging Table'!BH71, 0),X69))</f>
        <v>198799.48800000001</v>
      </c>
      <c r="N69" s="95">
        <f>IF('Staging Table'!C71=1,"",IF(M69=0, 0, L69/M69))</f>
        <v>27.025691961326476</v>
      </c>
      <c r="O69" s="211">
        <f>'Staging Table'!BR71*Rates_current!$E$76*100*12</f>
        <v>7726440.9697146397</v>
      </c>
      <c r="P69" s="211">
        <f>'Staging Table'!BS71*Rates_current!$E$77*100*12</f>
        <v>-1275653.9436497856</v>
      </c>
      <c r="Q69" s="212">
        <f>SUMPRODUCT('Staging Table'!BY71:CV71, LS_Demand_Rates_Restatement!$C$5:$Z$5)-IF(Init!$R$12="No",('Staging Table'!DU71*Rates_current!$H$34), 0)</f>
        <v>-444963.41833399318</v>
      </c>
      <c r="R69" s="212">
        <f>SUMPRODUCT('Staging Table'!CW71:DH71, LS_Demand_Rates_Restatement!$C$11:$N$11)*1000</f>
        <v>463446.00113591517</v>
      </c>
      <c r="S69" s="213">
        <f>'Staging Table'!ED71*IF(Init!$R$15="Yes",IF(Init!$R$6=2022,Rates_current!$C$88,Rates_current!$D$88),Rates_current!$H$33)</f>
        <v>0</v>
      </c>
      <c r="T69" s="213">
        <v>0</v>
      </c>
      <c r="U69" s="213">
        <f>IF('Staging Table'!D71=1, 'Staging Table'!BU71*-1,SUM(O69:T69)*'Staging Table'!BU71*-1)</f>
        <v>-556505.02813023527</v>
      </c>
      <c r="V69" s="211">
        <f>'Staging Table'!BX71*Rates_current!$H$32*-1</f>
        <v>-1088901.3344999999</v>
      </c>
      <c r="W69" s="211">
        <f>IF('Staging Table'!C71=1,"",SUM(O69:V69))</f>
        <v>4823863.2462365413</v>
      </c>
      <c r="X69" s="211">
        <f>IF('Staging Table'!C71=1,"",(RT1SC!$C$4*'Staging Table'!BR71*'Staging Table'!$BS$2)+SUM('Staging Table'!BY71:CV71)-IF(Init!$R$12="No",'Staging Table'!DU71, 0))</f>
        <v>189313.33772576432</v>
      </c>
      <c r="Y69" s="95">
        <f>IF('Staging Table'!C71=1,"",IF(X69=0, 0, W69/X69))</f>
        <v>25.480841995529641</v>
      </c>
      <c r="Z69" s="87">
        <f ca="1">IF('Staging Table'!C71=1,"",(Y69/N69-1)+(RAND()/100000000000000))</f>
        <v>-5.7162272403878833E-2</v>
      </c>
      <c r="AA69" s="53">
        <f t="shared" ca="1" si="1"/>
        <v>110</v>
      </c>
      <c r="AD69" s="216"/>
      <c r="AE69" s="216"/>
      <c r="AF69" s="220"/>
      <c r="AG69" s="216"/>
      <c r="AH69" s="216"/>
    </row>
    <row r="70" spans="2:34">
      <c r="B70" s="3">
        <v>10202</v>
      </c>
      <c r="C70" s="4" t="s">
        <v>73</v>
      </c>
      <c r="D70" s="211">
        <f>IF(Init!$R$9="Yes",'Staging Table'!E72,'Staging Table'!BR72)*Rates_previous!$E$76*100*12</f>
        <v>4408235.6452799998</v>
      </c>
      <c r="E70" s="211">
        <f>IF(Init!$R$9="Yes",'Staging Table'!F72,'Staging Table'!BS72)*Rates_previous!$E$77*100*12</f>
        <v>-445964.40240000002</v>
      </c>
      <c r="F70" s="212">
        <f>IF(Init!$R$9="Yes",SUMPRODUCT('Staging Table'!L72:AI72,LS_Demand_Rates_Restatement!$C$4:$Z$4)-IF(Init!$R$12="No",('Staging Table'!BH72*Rates_previous!$H$34), 0),SUMPRODUCT('Staging Table'!BY72:CV72,LS_Demand_Rates_Restatement!$C$4:$Z$4)-IF(Init!$R$12="No", 'Staging Table'!DU72*Rates_previous!$H$34, 0))</f>
        <v>136413.48674271442</v>
      </c>
      <c r="G70" s="212">
        <f>IF(Init!$R$9="Yes",SUMPRODUCT('Staging Table'!AJ72:AU72,LS_Demand_Rates_Restatement!$C$10:$N$10),SUMPRODUCT(LS_Demand_Rates_Restatement!$C$10:$N$10,'Staging Table'!CW72:DH72))*1000</f>
        <v>219537.48193301281</v>
      </c>
      <c r="H70" s="213">
        <f>IF(Init!$R$9="Yes",'Staging Table'!BQ72,'Staging Table'!ED72)*IF(Init!$R$3=2020,Rates_previous!$C$88,Rates_previous!$D$88)</f>
        <v>0</v>
      </c>
      <c r="I70" s="211">
        <f>IF(Init!$R$9="Yes",IF('Staging Table'!$F$1=2020,(SUM('Staging Table'!AX72:BD72)*Rates_previous!$C$87),(SUM('Staging Table'!AX72:BD72)*Rates_previous!$D$87)),IF('Staging Table'!$F$1=2020,(SUM('Staging Table'!DK72:DQ72)*Rates_previous!$C$87),(SUM('Staging Table'!DK72:DQ72)*Rates_previous!$D$87)))</f>
        <v>54076.516905272591</v>
      </c>
      <c r="J70" s="213">
        <f>IF(Init!$R$9="Yes",IF('Staging Table'!D72=1,'Staging Table'!H72*-1,'Staging Table'!H72*SUM(D70:I70)*(-1)),IF('Staging Table'!D72=1,'Staging Table'!BU72*-1,'Staging Table'!BU72*SUM(D70:I70)*(-1)))</f>
        <v>0</v>
      </c>
      <c r="K70" s="211">
        <f>IF(Init!$R$9="Yes",'Staging Table'!K72,'Staging Table'!BX72)*(-1)*Rates_previous!$H$32</f>
        <v>0</v>
      </c>
      <c r="L70" s="211">
        <f>IF('Staging Table'!C72=1,"",SUM(D70:K70))</f>
        <v>4372298.7284609992</v>
      </c>
      <c r="M70" s="211">
        <f>IF('Staging Table'!C72=1,"",IF(Init!$R$9="Yes",(RT1SC!$C$3*'Staging Table'!E72*'Staging Table'!$F$2)+SUM('Staging Table'!L72:AI72)-IF(Init!$R$12="No",'Staging Table'!BH72, 0),X70))</f>
        <v>114446.736</v>
      </c>
      <c r="N70" s="95">
        <f>IF('Staging Table'!C72=1,"",IF(M70=0, 0, L70/M70))</f>
        <v>38.203787030335221</v>
      </c>
      <c r="O70" s="211">
        <f>'Staging Table'!BR72*Rates_current!$E$76*100*12</f>
        <v>4448237.175183489</v>
      </c>
      <c r="P70" s="211">
        <f>'Staging Table'!BS72*Rates_current!$E$77*100*12</f>
        <v>-734414.63114186889</v>
      </c>
      <c r="Q70" s="212">
        <f>SUMPRODUCT('Staging Table'!BY72:CV72, LS_Demand_Rates_Restatement!$C$5:$Z$5)-IF(Init!$R$12="No",('Staging Table'!DU72*Rates_current!$H$34), 0)</f>
        <v>113834.69288830509</v>
      </c>
      <c r="R70" s="212">
        <f>SUMPRODUCT('Staging Table'!CW72:DH72, LS_Demand_Rates_Restatement!$C$11:$N$11)*1000</f>
        <v>201606.45127552538</v>
      </c>
      <c r="S70" s="213">
        <f>'Staging Table'!ED72*IF(Init!$R$15="Yes",IF(Init!$R$6=2022,Rates_current!$C$88,Rates_current!$D$88),Rates_current!$H$33)</f>
        <v>0</v>
      </c>
      <c r="T70" s="213">
        <v>0</v>
      </c>
      <c r="U70" s="213">
        <f>IF('Staging Table'!D72=1, 'Staging Table'!BU72*-1,SUM(O70:T70)*'Staging Table'!BU72*-1)</f>
        <v>0</v>
      </c>
      <c r="V70" s="211">
        <f>'Staging Table'!BX72*Rates_current!$H$32*-1</f>
        <v>0</v>
      </c>
      <c r="W70" s="211">
        <f>IF('Staging Table'!C72=1,"",SUM(O70:V70))</f>
        <v>4029263.6882054508</v>
      </c>
      <c r="X70" s="211">
        <f>IF('Staging Table'!C72=1,"",(RT1SC!$C$4*'Staging Table'!BR72*'Staging Table'!$BS$2)+SUM('Staging Table'!BY72:CV72)-IF(Init!$R$12="No",'Staging Table'!DU72, 0))</f>
        <v>109456.2</v>
      </c>
      <c r="Y70" s="95">
        <f>IF('Staging Table'!C72=1,"",IF(X70=0, 0, W70/X70))</f>
        <v>36.811653320738806</v>
      </c>
      <c r="Z70" s="87">
        <f ca="1">IF('Staging Table'!C72=1,"",(Y70/N70-1)+(RAND()/100000000000000))</f>
        <v>-3.6439678309663756E-2</v>
      </c>
      <c r="AA70" s="53">
        <f t="shared" ca="1" si="1"/>
        <v>65</v>
      </c>
      <c r="AD70" s="216"/>
      <c r="AE70" s="216"/>
      <c r="AF70" s="220"/>
      <c r="AG70" s="216"/>
      <c r="AH70" s="216"/>
    </row>
    <row r="71" spans="2:34">
      <c r="B71" s="3">
        <v>10203</v>
      </c>
      <c r="C71" s="4" t="s">
        <v>74</v>
      </c>
      <c r="D71" s="211">
        <f>IF(Init!$R$9="Yes",'Staging Table'!E73,'Staging Table'!BR73)*Rates_previous!$E$76*100*12</f>
        <v>2090988.63528</v>
      </c>
      <c r="E71" s="211">
        <f>IF(Init!$R$9="Yes",'Staging Table'!F73,'Staging Table'!BS73)*Rates_previous!$E$77*100*12</f>
        <v>-211537.35240000003</v>
      </c>
      <c r="F71" s="212">
        <f>IF(Init!$R$9="Yes",SUMPRODUCT('Staging Table'!L73:AI73,LS_Demand_Rates_Restatement!$C$4:$Z$4)-IF(Init!$R$12="No",('Staging Table'!BH73*Rates_previous!$H$34), 0),SUMPRODUCT('Staging Table'!BY73:CV73,LS_Demand_Rates_Restatement!$C$4:$Z$4)-IF(Init!$R$12="No", 'Staging Table'!DU73*Rates_previous!$H$34, 0))</f>
        <v>46035.819097117128</v>
      </c>
      <c r="G71" s="212">
        <f>IF(Init!$R$9="Yes",SUMPRODUCT('Staging Table'!AJ73:AU73,LS_Demand_Rates_Restatement!$C$10:$N$10),SUMPRODUCT(LS_Demand_Rates_Restatement!$C$10:$N$10,'Staging Table'!CW73:DH73))*1000</f>
        <v>149368.18784871793</v>
      </c>
      <c r="H71" s="213">
        <f>IF(Init!$R$9="Yes",'Staging Table'!BQ73,'Staging Table'!ED73)*IF(Init!$R$3=2020,Rates_previous!$C$88,Rates_previous!$D$88)</f>
        <v>0</v>
      </c>
      <c r="I71" s="211">
        <f>IF(Init!$R$9="Yes",IF('Staging Table'!$F$1=2020,(SUM('Staging Table'!AX73:BD73)*Rates_previous!$C$87),(SUM('Staging Table'!AX73:BD73)*Rates_previous!$D$87)),IF('Staging Table'!$F$1=2020,(SUM('Staging Table'!DK73:DQ73)*Rates_previous!$C$87),(SUM('Staging Table'!DK73:DQ73)*Rates_previous!$D$87)))</f>
        <v>25650.484997443837</v>
      </c>
      <c r="J71" s="213">
        <f>IF(Init!$R$9="Yes",IF('Staging Table'!D73=1,'Staging Table'!H73*-1,'Staging Table'!H73*SUM(D71:I71)*(-1)),IF('Staging Table'!D73=1,'Staging Table'!BU73*-1,'Staging Table'!BU73*SUM(D71:I71)*(-1)))</f>
        <v>-152317.25856461233</v>
      </c>
      <c r="K71" s="211">
        <f>IF(Init!$R$9="Yes",'Staging Table'!K73,'Staging Table'!BX73)*(-1)*Rates_previous!$H$32</f>
        <v>0</v>
      </c>
      <c r="L71" s="211">
        <f>IF('Staging Table'!C73=1,"",SUM(D71:K71))</f>
        <v>1948188.5162586663</v>
      </c>
      <c r="M71" s="211">
        <f>IF('Staging Table'!C73=1,"",IF(Init!$R$9="Yes",(RT1SC!$C$3*'Staging Table'!E73*'Staging Table'!$F$2)+SUM('Staging Table'!L73:AI73)-IF(Init!$R$12="No",'Staging Table'!BH73, 0),X71))</f>
        <v>54285.119999999995</v>
      </c>
      <c r="N71" s="95">
        <f>IF('Staging Table'!C73=1,"",IF(M71=0, 0, L71/M71))</f>
        <v>35.888076074229303</v>
      </c>
      <c r="O71" s="211">
        <f>'Staging Table'!BR73*Rates_current!$E$76*100*12</f>
        <v>2110088.8945193551</v>
      </c>
      <c r="P71" s="211">
        <f>'Staging Table'!BS73*Rates_current!$E$77*100*12</f>
        <v>-348380.73963110161</v>
      </c>
      <c r="Q71" s="212">
        <f>SUMPRODUCT('Staging Table'!BY73:CV73, LS_Demand_Rates_Restatement!$C$5:$Z$5)-IF(Init!$R$12="No",('Staging Table'!DU73*Rates_current!$H$34), 0)</f>
        <v>44351.077000742807</v>
      </c>
      <c r="R71" s="212">
        <f>SUMPRODUCT('Staging Table'!CW73:DH73, LS_Demand_Rates_Restatement!$C$11:$N$11)*1000</f>
        <v>138068.77627656693</v>
      </c>
      <c r="S71" s="213">
        <f>'Staging Table'!ED73*IF(Init!$R$15="Yes",IF(Init!$R$6=2022,Rates_current!$C$88,Rates_current!$D$88),Rates_current!$H$33)</f>
        <v>0</v>
      </c>
      <c r="T71" s="213">
        <v>0</v>
      </c>
      <c r="U71" s="213">
        <f>IF('Staging Table'!D73=1, 'Staging Table'!BU73*-1,SUM(O71:T71)*'Staging Table'!BU73*-1)</f>
        <v>-148625.5849130924</v>
      </c>
      <c r="V71" s="211">
        <f>'Staging Table'!BX73*Rates_current!$H$32*-1</f>
        <v>0</v>
      </c>
      <c r="W71" s="211">
        <f>IF('Staging Table'!C73=1,"",SUM(O71:V71))</f>
        <v>1795502.423252471</v>
      </c>
      <c r="X71" s="211">
        <f>IF('Staging Table'!C73=1,"",(RT1SC!$C$4*'Staging Table'!BR73*'Staging Table'!$BS$2)+SUM('Staging Table'!BY73:CV73)-IF(Init!$R$12="No",'Staging Table'!DU73, 0))</f>
        <v>51920.52</v>
      </c>
      <c r="Y71" s="95">
        <f>IF('Staging Table'!C73=1,"",IF(X71=0, 0, W71/X71))</f>
        <v>34.581749629095995</v>
      </c>
      <c r="Z71" s="87">
        <f ca="1">IF('Staging Table'!C73=1,"",(Y71/N71-1)+(RAND()/100000000000000))</f>
        <v>-3.6400013264331954E-2</v>
      </c>
      <c r="AA71" s="53">
        <f t="shared" ca="1" si="1"/>
        <v>62</v>
      </c>
      <c r="AD71" s="216"/>
      <c r="AE71" s="216"/>
      <c r="AF71" s="220"/>
      <c r="AG71" s="216"/>
      <c r="AH71" s="216"/>
    </row>
    <row r="72" spans="2:34">
      <c r="B72" s="3">
        <v>10204</v>
      </c>
      <c r="C72" s="4" t="s">
        <v>75</v>
      </c>
      <c r="D72" s="211">
        <f>IF(Init!$R$9="Yes",'Staging Table'!E74,'Staging Table'!BR74)*Rates_previous!$E$76*100*12</f>
        <v>21262820.897399999</v>
      </c>
      <c r="E72" s="211">
        <f>IF(Init!$R$9="Yes",'Staging Table'!F74,'Staging Table'!BS74)*Rates_previous!$E$77*100*12</f>
        <v>-831242.25359999994</v>
      </c>
      <c r="F72" s="212">
        <f>IF(Init!$R$9="Yes",SUMPRODUCT('Staging Table'!L74:AI74,LS_Demand_Rates_Restatement!$C$4:$Z$4)-IF(Init!$R$12="No",('Staging Table'!BH74*Rates_previous!$H$34), 0),SUMPRODUCT('Staging Table'!BY74:CV74,LS_Demand_Rates_Restatement!$C$4:$Z$4)-IF(Init!$R$12="No", 'Staging Table'!DU74*Rates_previous!$H$34, 0))</f>
        <v>43437.343056182486</v>
      </c>
      <c r="G72" s="212">
        <f>IF(Init!$R$9="Yes",SUMPRODUCT('Staging Table'!AJ74:AU74,LS_Demand_Rates_Restatement!$C$10:$N$10),SUMPRODUCT(LS_Demand_Rates_Restatement!$C$10:$N$10,'Staging Table'!CW74:DH74))*1000</f>
        <v>0</v>
      </c>
      <c r="H72" s="213">
        <f>IF(Init!$R$9="Yes",'Staging Table'!BQ74,'Staging Table'!ED74)*IF(Init!$R$3=2020,Rates_previous!$C$88,Rates_previous!$D$88)</f>
        <v>0</v>
      </c>
      <c r="I72" s="211">
        <f>IF(Init!$R$9="Yes",IF('Staging Table'!$F$1=2020,(SUM('Staging Table'!AX74:BD74)*Rates_previous!$C$87),(SUM('Staging Table'!AX74:BD74)*Rates_previous!$D$87)),IF('Staging Table'!$F$1=2020,(SUM('Staging Table'!DK74:DQ74)*Rates_previous!$C$87),(SUM('Staging Table'!DK74:DQ74)*Rates_previous!$D$87)))</f>
        <v>100794.33590948263</v>
      </c>
      <c r="J72" s="213">
        <f>IF(Init!$R$9="Yes",IF('Staging Table'!D74=1,'Staging Table'!H74*-1,'Staging Table'!H74*SUM(D72:I72)*(-1)),IF('Staging Table'!D74=1,'Staging Table'!BU74*-1,'Staging Table'!BU74*SUM(D72:I72)*(-1)))</f>
        <v>0</v>
      </c>
      <c r="K72" s="211">
        <f>IF(Init!$R$9="Yes",'Staging Table'!K74,'Staging Table'!BX74)*(-1)*Rates_previous!$H$32</f>
        <v>0</v>
      </c>
      <c r="L72" s="211">
        <f>IF('Staging Table'!C74=1,"",SUM(D72:K72))</f>
        <v>20575810.322765663</v>
      </c>
      <c r="M72" s="211">
        <f>IF('Staging Table'!C74=1,"",IF(Init!$R$9="Yes",(RT1SC!$C$3*'Staging Table'!E74*'Staging Table'!$F$2)+SUM('Staging Table'!L74:AI74)-IF(Init!$R$12="No",'Staging Table'!BH74, 0),X72))</f>
        <v>552030.24681206816</v>
      </c>
      <c r="N72" s="95">
        <f>IF('Staging Table'!C74=1,"",IF(M72=0, 0, L72/M72))</f>
        <v>37.272976329810497</v>
      </c>
      <c r="O72" s="211">
        <f>'Staging Table'!BR74*Rates_current!$E$76*100*12</f>
        <v>22433993.180292211</v>
      </c>
      <c r="P72" s="211">
        <f>'Staging Table'!BS74*Rates_current!$E$77*100*12</f>
        <v>-1530515.4984861759</v>
      </c>
      <c r="Q72" s="212">
        <f>SUMPRODUCT('Staging Table'!BY74:CV74, LS_Demand_Rates_Restatement!$C$5:$Z$5)-IF(Init!$R$12="No",('Staging Table'!DU74*Rates_current!$H$34), 0)</f>
        <v>26246.026508440587</v>
      </c>
      <c r="R72" s="212">
        <f>SUMPRODUCT('Staging Table'!CW74:DH74, LS_Demand_Rates_Restatement!$C$11:$N$11)*1000</f>
        <v>0</v>
      </c>
      <c r="S72" s="213">
        <f>'Staging Table'!ED74*IF(Init!$R$15="Yes",IF(Init!$R$6=2022,Rates_current!$C$88,Rates_current!$D$88),Rates_current!$H$33)</f>
        <v>0</v>
      </c>
      <c r="T72" s="213">
        <v>0</v>
      </c>
      <c r="U72" s="213">
        <f>IF('Staging Table'!D74=1, 'Staging Table'!BU74*-1,SUM(O72:T72)*'Staging Table'!BU74*-1)</f>
        <v>0</v>
      </c>
      <c r="V72" s="211">
        <f>'Staging Table'!BX74*Rates_current!$H$32*-1</f>
        <v>0</v>
      </c>
      <c r="W72" s="211">
        <f>IF('Staging Table'!C74=1,"",SUM(O72:V72))</f>
        <v>20929723.708314475</v>
      </c>
      <c r="X72" s="211">
        <f>IF('Staging Table'!C74=1,"",(RT1SC!$C$4*'Staging Table'!BR74*'Staging Table'!$BS$2)+SUM('Staging Table'!BY74:CV74)-IF(Init!$R$12="No",'Staging Table'!DU74, 0))</f>
        <v>552038.64410817926</v>
      </c>
      <c r="Y72" s="95">
        <f>IF('Staging Table'!C74=1,"",IF(X72=0, 0, W72/X72))</f>
        <v>37.913511910251373</v>
      </c>
      <c r="Z72" s="87">
        <f ca="1">IF('Staging Table'!C74=1,"",(Y72/N72-1)+(RAND()/100000000000000))</f>
        <v>1.7184986108256538E-2</v>
      </c>
      <c r="AA72" s="53">
        <f t="shared" ca="1" si="1"/>
        <v>2</v>
      </c>
      <c r="AD72" s="216"/>
      <c r="AE72" s="216"/>
      <c r="AF72" s="220"/>
      <c r="AG72" s="216"/>
      <c r="AH72" s="216"/>
    </row>
    <row r="73" spans="2:34">
      <c r="B73" s="3">
        <v>10209</v>
      </c>
      <c r="C73" s="4" t="s">
        <v>76</v>
      </c>
      <c r="D73" s="211">
        <f>IF(Init!$R$9="Yes",'Staging Table'!E75,'Staging Table'!BR75)*Rates_previous!$E$76*100*12</f>
        <v>35300584.450800002</v>
      </c>
      <c r="E73" s="211">
        <f>IF(Init!$R$9="Yes",'Staging Table'!F75,'Staging Table'!BS75)*Rates_previous!$E$77*100*12</f>
        <v>-3571225.6140000001</v>
      </c>
      <c r="F73" s="212">
        <f>IF(Init!$R$9="Yes",SUMPRODUCT('Staging Table'!L75:AI75,LS_Demand_Rates_Restatement!$C$4:$Z$4)-IF(Init!$R$12="No",('Staging Table'!BH75*Rates_previous!$H$34), 0),SUMPRODUCT('Staging Table'!BY75:CV75,LS_Demand_Rates_Restatement!$C$4:$Z$4)-IF(Init!$R$12="No", 'Staging Table'!DU75*Rates_previous!$H$34, 0))</f>
        <v>564690.78936900571</v>
      </c>
      <c r="G73" s="212">
        <f>IF(Init!$R$9="Yes",SUMPRODUCT('Staging Table'!AJ75:AU75,LS_Demand_Rates_Restatement!$C$10:$N$10),SUMPRODUCT(LS_Demand_Rates_Restatement!$C$10:$N$10,'Staging Table'!CW75:DH75))*1000</f>
        <v>4290769.7695188029</v>
      </c>
      <c r="H73" s="213">
        <f>IF(Init!$R$9="Yes",'Staging Table'!BQ75,'Staging Table'!ED75)*IF(Init!$R$3=2020,Rates_previous!$C$88,Rates_previous!$D$88)</f>
        <v>0</v>
      </c>
      <c r="I73" s="211">
        <f>IF(Init!$R$9="Yes",IF('Staging Table'!$F$1=2020,(SUM('Staging Table'!AX75:BD75)*Rates_previous!$C$87),(SUM('Staging Table'!AX75:BD75)*Rates_previous!$D$87)),IF('Staging Table'!$F$1=2020,(SUM('Staging Table'!DK75:DQ75)*Rates_previous!$C$87),(SUM('Staging Table'!DK75:DQ75)*Rates_previous!$D$87)))</f>
        <v>433037.79684818507</v>
      </c>
      <c r="J73" s="213">
        <f>IF(Init!$R$9="Yes",IF('Staging Table'!D75=1,'Staging Table'!H75*-1,'Staging Table'!H75*SUM(D73:I73)*(-1)),IF('Staging Table'!D75=1,'Staging Table'!BU75*-1,'Staging Table'!BU75*SUM(D73:I73)*(-1)))</f>
        <v>-2737657.4292742326</v>
      </c>
      <c r="K73" s="211">
        <f>IF(Init!$R$9="Yes",'Staging Table'!K75,'Staging Table'!BX75)*(-1)*Rates_previous!$H$32</f>
        <v>-667852.10811000003</v>
      </c>
      <c r="L73" s="211">
        <f>IF('Staging Table'!C75=1,"",SUM(D73:K73))</f>
        <v>33612347.655151762</v>
      </c>
      <c r="M73" s="211">
        <f>IF('Staging Table'!C75=1,"",IF(Init!$R$9="Yes",(RT1SC!$C$3*'Staging Table'!E75*'Staging Table'!$F$2)+SUM('Staging Table'!L75:AI75)-IF(Init!$R$12="No",'Staging Table'!BH75, 0),X73))</f>
        <v>916478.6399999999</v>
      </c>
      <c r="N73" s="95">
        <f>IF('Staging Table'!C75=1,"",IF(M73=0, 0, L73/M73))</f>
        <v>36.675538510261148</v>
      </c>
      <c r="O73" s="211">
        <f>'Staging Table'!BR75*Rates_current!$E$76*100*12</f>
        <v>35618991.192517318</v>
      </c>
      <c r="P73" s="211">
        <f>'Staging Table'!BS75*Rates_current!$E$77*100*12</f>
        <v>-5880780.9134455649</v>
      </c>
      <c r="Q73" s="212">
        <f>SUMPRODUCT('Staging Table'!BY75:CV75, LS_Demand_Rates_Restatement!$C$5:$Z$5)-IF(Init!$R$12="No",('Staging Table'!DU75*Rates_current!$H$34), 0)</f>
        <v>539940.59392115078</v>
      </c>
      <c r="R73" s="212">
        <f>SUMPRODUCT('Staging Table'!CW75:DH75, LS_Demand_Rates_Restatement!$C$11:$N$11)*1000</f>
        <v>4000999.2528873216</v>
      </c>
      <c r="S73" s="213">
        <f>'Staging Table'!ED75*IF(Init!$R$15="Yes",IF(Init!$R$6=2022,Rates_current!$C$88,Rates_current!$D$88),Rates_current!$H$33)</f>
        <v>0</v>
      </c>
      <c r="T73" s="213">
        <v>0</v>
      </c>
      <c r="U73" s="213">
        <f>IF('Staging Table'!D75=1, 'Staging Table'!BU75*-1,SUM(O73:T73)*'Staging Table'!BU75*-1)</f>
        <v>-2823953.765364903</v>
      </c>
      <c r="V73" s="211">
        <f>'Staging Table'!BX75*Rates_current!$H$32*-1</f>
        <v>-655228.44090000005</v>
      </c>
      <c r="W73" s="211">
        <f>IF('Staging Table'!C75=1,"",SUM(O73:V73))</f>
        <v>30799967.919615321</v>
      </c>
      <c r="X73" s="211">
        <f>IF('Staging Table'!C75=1,"",(RT1SC!$C$4*'Staging Table'!BR75*'Staging Table'!$BS$2)+SUM('Staging Table'!BY75:CV75)-IF(Init!$R$12="No",'Staging Table'!DU75, 0))</f>
        <v>876481.8</v>
      </c>
      <c r="Y73" s="95">
        <f>IF('Staging Table'!C75=1,"",IF(X73=0, 0, W73/X73))</f>
        <v>35.140453480740064</v>
      </c>
      <c r="Z73" s="87">
        <f ca="1">IF('Staging Table'!C75=1,"",(Y73/N73-1)+(RAND()/100000000000000))</f>
        <v>-4.1855827940777295E-2</v>
      </c>
      <c r="AA73" s="53">
        <f t="shared" ca="1" si="1"/>
        <v>97</v>
      </c>
      <c r="AD73" s="216"/>
      <c r="AE73" s="216"/>
      <c r="AF73" s="220"/>
      <c r="AG73" s="216"/>
      <c r="AH73" s="216"/>
    </row>
    <row r="74" spans="2:34">
      <c r="B74" s="3">
        <v>10230</v>
      </c>
      <c r="C74" s="4" t="s">
        <v>77</v>
      </c>
      <c r="D74" s="211">
        <f>IF(Init!$R$9="Yes",'Staging Table'!E76,'Staging Table'!BR76)*Rates_previous!$E$76*100*12</f>
        <v>3265298.1200400004</v>
      </c>
      <c r="E74" s="211">
        <f>IF(Init!$R$9="Yes",'Staging Table'!F76,'Staging Table'!BS76)*Rates_previous!$E$77*100*12</f>
        <v>-330337.76819999999</v>
      </c>
      <c r="F74" s="212">
        <f>IF(Init!$R$9="Yes",SUMPRODUCT('Staging Table'!L76:AI76,LS_Demand_Rates_Restatement!$C$4:$Z$4)-IF(Init!$R$12="No",('Staging Table'!BH76*Rates_previous!$H$34), 0),SUMPRODUCT('Staging Table'!BY76:CV76,LS_Demand_Rates_Restatement!$C$4:$Z$4)-IF(Init!$R$12="No", 'Staging Table'!DU76*Rates_previous!$H$34, 0))</f>
        <v>18126.70399603073</v>
      </c>
      <c r="G74" s="212">
        <f>IF(Init!$R$9="Yes",SUMPRODUCT('Staging Table'!AJ76:AU76,LS_Demand_Rates_Restatement!$C$10:$N$10),SUMPRODUCT(LS_Demand_Rates_Restatement!$C$10:$N$10,'Staging Table'!CW76:DH76))*1000</f>
        <v>429577.59650552005</v>
      </c>
      <c r="H74" s="213">
        <f>IF(Init!$R$9="Yes",'Staging Table'!BQ76,'Staging Table'!ED76)*IF(Init!$R$3=2020,Rates_previous!$C$88,Rates_previous!$D$88)</f>
        <v>0</v>
      </c>
      <c r="I74" s="211">
        <f>IF(Init!$R$9="Yes",IF('Staging Table'!$F$1=2020,(SUM('Staging Table'!AX76:BD76)*Rates_previous!$C$87),(SUM('Staging Table'!AX76:BD76)*Rates_previous!$D$87)),IF('Staging Table'!$F$1=2020,(SUM('Staging Table'!DK76:DQ76)*Rates_previous!$C$87),(SUM('Staging Table'!DK76:DQ76)*Rates_previous!$D$87)))</f>
        <v>40055.92332119582</v>
      </c>
      <c r="J74" s="213">
        <f>IF(Init!$R$9="Yes",IF('Staging Table'!D76=1,'Staging Table'!H76*-1,'Staging Table'!H76*SUM(D74:I74)*(-1)),IF('Staging Table'!D76=1,'Staging Table'!BU76*-1,'Staging Table'!BU76*SUM(D74:I74)*(-1)))</f>
        <v>-299668.03489977738</v>
      </c>
      <c r="K74" s="211">
        <f>IF(Init!$R$9="Yes",'Staging Table'!K76,'Staging Table'!BX76)*(-1)*Rates_previous!$H$32</f>
        <v>0</v>
      </c>
      <c r="L74" s="211">
        <f>IF('Staging Table'!C76=1,"",SUM(D74:K74))</f>
        <v>3123052.5407629698</v>
      </c>
      <c r="M74" s="211">
        <f>IF('Staging Table'!C76=1,"",IF(Init!$R$9="Yes",(RT1SC!$C$3*'Staging Table'!E76*'Staging Table'!$F$2)+SUM('Staging Table'!L76:AI76)-IF(Init!$R$12="No",'Staging Table'!BH76, 0),X74))</f>
        <v>81743.43718195238</v>
      </c>
      <c r="N74" s="95">
        <f>IF('Staging Table'!C76=1,"",IF(M74=0, 0, L74/M74))</f>
        <v>38.205544670349255</v>
      </c>
      <c r="O74" s="211">
        <f>'Staging Table'!BR76*Rates_current!$E$76*100*12</f>
        <v>3294750.69005585</v>
      </c>
      <c r="P74" s="211">
        <f>'Staging Table'!BS76*Rates_current!$E$77*100*12</f>
        <v>-543971.24466322362</v>
      </c>
      <c r="Q74" s="212">
        <f>SUMPRODUCT('Staging Table'!BY76:CV76, LS_Demand_Rates_Restatement!$C$5:$Z$5)-IF(Init!$R$12="No",('Staging Table'!DU76*Rates_current!$H$34), 0)</f>
        <v>-53380.501430487202</v>
      </c>
      <c r="R74" s="212">
        <f>SUMPRODUCT('Staging Table'!CW76:DH76, LS_Demand_Rates_Restatement!$C$11:$N$11)*1000</f>
        <v>399806.69039730227</v>
      </c>
      <c r="S74" s="213">
        <f>'Staging Table'!ED76*IF(Init!$R$15="Yes",IF(Init!$R$6=2022,Rates_current!$C$88,Rates_current!$D$88),Rates_current!$H$33)</f>
        <v>0</v>
      </c>
      <c r="T74" s="213">
        <v>0</v>
      </c>
      <c r="U74" s="213">
        <f>IF('Staging Table'!D76=1, 'Staging Table'!BU76*-1,SUM(O74:T74)*'Staging Table'!BU76*-1)</f>
        <v>-287901.24335380091</v>
      </c>
      <c r="V74" s="211">
        <f>'Staging Table'!BX76*Rates_current!$H$32*-1</f>
        <v>0</v>
      </c>
      <c r="W74" s="211">
        <f>IF('Staging Table'!C76=1,"",SUM(O74:V74))</f>
        <v>2809304.3910056404</v>
      </c>
      <c r="X74" s="211">
        <f>IF('Staging Table'!C76=1,"",(RT1SC!$C$4*'Staging Table'!BR76*'Staging Table'!$BS$2)+SUM('Staging Table'!BY76:CV76)-IF(Init!$R$12="No",'Staging Table'!DU76, 0))</f>
        <v>76414.118147312925</v>
      </c>
      <c r="Y74" s="95">
        <f>IF('Staging Table'!C76=1,"",IF(X74=0, 0, W74/X74))</f>
        <v>36.764206132560446</v>
      </c>
      <c r="Z74" s="87">
        <f ca="1">IF('Staging Table'!C76=1,"",(Y74/N74-1)+(RAND()/100000000000000))</f>
        <v>-3.7725899479386399E-2</v>
      </c>
      <c r="AA74" s="53">
        <f t="shared" ca="1" si="1"/>
        <v>77</v>
      </c>
      <c r="AD74" s="216"/>
      <c r="AE74" s="216"/>
      <c r="AF74" s="220"/>
      <c r="AG74" s="216"/>
      <c r="AH74" s="216"/>
    </row>
    <row r="75" spans="2:34">
      <c r="B75" s="3">
        <v>10231</v>
      </c>
      <c r="C75" s="4" t="s">
        <v>78</v>
      </c>
      <c r="D75" s="211">
        <f>IF(Init!$R$9="Yes",'Staging Table'!E77,'Staging Table'!BR77)*Rates_previous!$E$76*100*12</f>
        <v>12337498.413959999</v>
      </c>
      <c r="E75" s="211">
        <f>IF(Init!$R$9="Yes",'Staging Table'!F77,'Staging Table'!BS77)*Rates_previous!$E$77*100*12</f>
        <v>-1248137.7017999999</v>
      </c>
      <c r="F75" s="212">
        <f>IF(Init!$R$9="Yes",SUMPRODUCT('Staging Table'!L77:AI77,LS_Demand_Rates_Restatement!$C$4:$Z$4)-IF(Init!$R$12="No",('Staging Table'!BH77*Rates_previous!$H$34), 0),SUMPRODUCT('Staging Table'!BY77:CV77,LS_Demand_Rates_Restatement!$C$4:$Z$4)-IF(Init!$R$12="No", 'Staging Table'!DU77*Rates_previous!$H$34, 0))</f>
        <v>265540.24756346364</v>
      </c>
      <c r="G75" s="212">
        <f>IF(Init!$R$9="Yes",SUMPRODUCT('Staging Table'!AJ77:AU77,LS_Demand_Rates_Restatement!$C$10:$N$10),SUMPRODUCT(LS_Demand_Rates_Restatement!$C$10:$N$10,'Staging Table'!CW77:DH77))*1000</f>
        <v>896777.0413330486</v>
      </c>
      <c r="H75" s="213">
        <f>IF(Init!$R$9="Yes",'Staging Table'!BQ77,'Staging Table'!ED77)*IF(Init!$R$3=2020,Rates_previous!$C$88,Rates_previous!$D$88)</f>
        <v>0</v>
      </c>
      <c r="I75" s="211">
        <f>IF(Init!$R$9="Yes",IF('Staging Table'!$F$1=2020,(SUM('Staging Table'!AX77:BD77)*Rates_previous!$C$87),(SUM('Staging Table'!AX77:BD77)*Rates_previous!$D$87)),IF('Staging Table'!$F$1=2020,(SUM('Staging Table'!DK77:DQ77)*Rates_previous!$C$87),(SUM('Staging Table'!DK77:DQ77)*Rates_previous!$D$87)))</f>
        <v>151346.02485818442</v>
      </c>
      <c r="J75" s="213">
        <f>IF(Init!$R$9="Yes",IF('Staging Table'!D77=1,'Staging Table'!H77*-1,'Staging Table'!H77*SUM(D75:I75)*(-1)),IF('Staging Table'!D77=1,'Staging Table'!BU77*-1,'Staging Table'!BU77*SUM(D75:I75)*(-1)))</f>
        <v>-1053306.3647818679</v>
      </c>
      <c r="K75" s="211">
        <f>IF(Init!$R$9="Yes",'Staging Table'!K77,'Staging Table'!BX77)*(-1)*Rates_previous!$H$32</f>
        <v>-240339.61918999997</v>
      </c>
      <c r="L75" s="211">
        <f>IF('Staging Table'!C77=1,"",SUM(D75:K75))</f>
        <v>11109378.041942827</v>
      </c>
      <c r="M75" s="211">
        <f>IF('Staging Table'!C77=1,"",IF(Init!$R$9="Yes",(RT1SC!$C$3*'Staging Table'!E77*'Staging Table'!$F$2)+SUM('Staging Table'!L77:AI77)-IF(Init!$R$12="No",'Staging Table'!BH77, 0),X75))</f>
        <v>320308.56000000006</v>
      </c>
      <c r="N75" s="95">
        <f>IF('Staging Table'!C77=1,"",IF(M75=0, 0, L75/M75))</f>
        <v>34.683362948348382</v>
      </c>
      <c r="O75" s="211">
        <f>'Staging Table'!BR77*Rates_current!$E$76*100*12</f>
        <v>12448781.066415986</v>
      </c>
      <c r="P75" s="211">
        <f>'Staging Table'!BS77*Rates_current!$E$77*100*12</f>
        <v>-2055323.6248426088</v>
      </c>
      <c r="Q75" s="212">
        <f>SUMPRODUCT('Staging Table'!BY77:CV77, LS_Demand_Rates_Restatement!$C$5:$Z$5)-IF(Init!$R$12="No",('Staging Table'!DU77*Rates_current!$H$34), 0)</f>
        <v>241846.67507015658</v>
      </c>
      <c r="R75" s="212">
        <f>SUMPRODUCT('Staging Table'!CW77:DH77, LS_Demand_Rates_Restatement!$C$11:$N$11)*1000</f>
        <v>123891.74447849917</v>
      </c>
      <c r="S75" s="213">
        <f>'Staging Table'!ED77*IF(Init!$R$15="Yes",IF(Init!$R$6=2022,Rates_current!$C$88,Rates_current!$D$88),Rates_current!$H$33)</f>
        <v>0</v>
      </c>
      <c r="T75" s="213">
        <v>0</v>
      </c>
      <c r="U75" s="213">
        <f>IF('Staging Table'!D77=1, 'Staging Table'!BU77*-1,SUM(O75:T75)*'Staging Table'!BU77*-1)</f>
        <v>-970219.84788320458</v>
      </c>
      <c r="V75" s="211">
        <f>'Staging Table'!BX77*Rates_current!$H$32*-1</f>
        <v>-235796.74609999999</v>
      </c>
      <c r="W75" s="211">
        <f>IF('Staging Table'!C77=1,"",SUM(O75:V75))</f>
        <v>9553179.2671388313</v>
      </c>
      <c r="X75" s="211">
        <f>IF('Staging Table'!C77=1,"",(RT1SC!$C$4*'Staging Table'!BR77*'Staging Table'!$BS$2)+SUM('Staging Table'!BY77:CV77)-IF(Init!$R$12="No",'Staging Table'!DU77, 0))</f>
        <v>306328.44</v>
      </c>
      <c r="Y75" s="95">
        <f>IF('Staging Table'!C77=1,"",IF(X75=0, 0, W75/X75))</f>
        <v>31.186067043395745</v>
      </c>
      <c r="Z75" s="87">
        <f ca="1">IF('Staging Table'!C77=1,"",(Y75/N75-1)+(RAND()/100000000000000))</f>
        <v>-0.10083497122700083</v>
      </c>
      <c r="AA75" s="53">
        <f t="shared" ca="1" si="1"/>
        <v>115</v>
      </c>
      <c r="AD75" s="216"/>
      <c r="AE75" s="216"/>
      <c r="AF75" s="220"/>
      <c r="AG75" s="216"/>
      <c r="AH75" s="216"/>
    </row>
    <row r="76" spans="2:34">
      <c r="B76" s="3">
        <v>10234</v>
      </c>
      <c r="C76" s="4" t="s">
        <v>79</v>
      </c>
      <c r="D76" s="211">
        <f>IF(Init!$R$9="Yes",'Staging Table'!E78,'Staging Table'!BR78)*Rates_previous!$E$76*100*12</f>
        <v>17163551.520120002</v>
      </c>
      <c r="E76" s="211">
        <f>IF(Init!$R$9="Yes",'Staging Table'!F78,'Staging Table'!BS78)*Rates_previous!$E$77*100*12</f>
        <v>-1736371.1046000002</v>
      </c>
      <c r="F76" s="212">
        <f>IF(Init!$R$9="Yes",SUMPRODUCT('Staging Table'!L78:AI78,LS_Demand_Rates_Restatement!$C$4:$Z$4)-IF(Init!$R$12="No",('Staging Table'!BH78*Rates_previous!$H$34), 0),SUMPRODUCT('Staging Table'!BY78:CV78,LS_Demand_Rates_Restatement!$C$4:$Z$4)-IF(Init!$R$12="No", 'Staging Table'!DU78*Rates_previous!$H$34, 0))</f>
        <v>346558.60344203352</v>
      </c>
      <c r="G76" s="212">
        <f>IF(Init!$R$9="Yes",SUMPRODUCT('Staging Table'!AJ78:AU78,LS_Demand_Rates_Restatement!$C$10:$N$10),SUMPRODUCT(LS_Demand_Rates_Restatement!$C$10:$N$10,'Staging Table'!CW78:DH78))*1000</f>
        <v>1351749.309472614</v>
      </c>
      <c r="H76" s="213">
        <f>IF(Init!$R$9="Yes",'Staging Table'!BQ78,'Staging Table'!ED78)*IF(Init!$R$3=2020,Rates_previous!$C$88,Rates_previous!$D$88)</f>
        <v>0</v>
      </c>
      <c r="I76" s="211">
        <f>IF(Init!$R$9="Yes",IF('Staging Table'!$F$1=2020,(SUM('Staging Table'!AX78:BD78)*Rates_previous!$C$87),(SUM('Staging Table'!AX78:BD78)*Rates_previous!$D$87)),IF('Staging Table'!$F$1=2020,(SUM('Staging Table'!DK78:DQ78)*Rates_previous!$C$87),(SUM('Staging Table'!DK78:DQ78)*Rates_previous!$D$87)))</f>
        <v>210547.97397822249</v>
      </c>
      <c r="J76" s="213">
        <f>IF(Init!$R$9="Yes",IF('Staging Table'!D78=1,'Staging Table'!H78*-1,'Staging Table'!H78*SUM(D76:I76)*(-1)),IF('Staging Table'!D78=1,'Staging Table'!BU78*-1,'Staging Table'!BU78*SUM(D76:I76)*(-1)))</f>
        <v>-939181.96235104522</v>
      </c>
      <c r="K76" s="211">
        <f>IF(Init!$R$9="Yes",'Staging Table'!K78,'Staging Table'!BX78)*(-1)*Rates_previous!$H$32</f>
        <v>0</v>
      </c>
      <c r="L76" s="211">
        <f>IF('Staging Table'!C78=1,"",SUM(D76:K76))</f>
        <v>16396854.340061827</v>
      </c>
      <c r="M76" s="211">
        <f>IF('Staging Table'!C78=1,"",IF(Init!$R$9="Yes",(RT1SC!$C$3*'Staging Table'!E78*'Staging Table'!$F$2)+SUM('Staging Table'!L78:AI78)-IF(Init!$R$12="No",'Staging Table'!BH78, 0),X76))</f>
        <v>445603.53600000002</v>
      </c>
      <c r="N76" s="95">
        <f>IF('Staging Table'!C78=1,"",IF(M76=0, 0, L76/M76))</f>
        <v>36.796957419255818</v>
      </c>
      <c r="O76" s="211">
        <f>'Staging Table'!BR78*Rates_current!$E$76*100*12</f>
        <v>17318364.552279156</v>
      </c>
      <c r="P76" s="211">
        <f>'Staging Table'!BS78*Rates_current!$E$77*100*12</f>
        <v>-2859303.5428957003</v>
      </c>
      <c r="Q76" s="212">
        <f>SUMPRODUCT('Staging Table'!BY78:CV78, LS_Demand_Rates_Restatement!$C$5:$Z$5)-IF(Init!$R$12="No",('Staging Table'!DU78*Rates_current!$H$34), 0)</f>
        <v>344360.26468319702</v>
      </c>
      <c r="R76" s="212">
        <f>SUMPRODUCT('Staging Table'!CW78:DH78, LS_Demand_Rates_Restatement!$C$11:$N$11)*1000</f>
        <v>1273445.6579748576</v>
      </c>
      <c r="S76" s="213">
        <f>'Staging Table'!ED78*IF(Init!$R$15="Yes",IF(Init!$R$6=2022,Rates_current!$C$88,Rates_current!$D$88),Rates_current!$H$33)</f>
        <v>0</v>
      </c>
      <c r="T76" s="213">
        <v>0</v>
      </c>
      <c r="U76" s="213">
        <f>IF('Staging Table'!D78=1, 'Staging Table'!BU78*-1,SUM(O76:T76)*'Staging Table'!BU78*-1)</f>
        <v>-1068314.5492902473</v>
      </c>
      <c r="V76" s="211">
        <f>'Staging Table'!BX78*Rates_current!$H$32*-1</f>
        <v>0</v>
      </c>
      <c r="W76" s="211">
        <f>IF('Staging Table'!C78=1,"",SUM(O76:V76))</f>
        <v>15008552.382751262</v>
      </c>
      <c r="X76" s="211">
        <f>IF('Staging Table'!C78=1,"",(RT1SC!$C$4*'Staging Table'!BR78*'Staging Table'!$BS$2)+SUM('Staging Table'!BY78:CV78)-IF(Init!$R$12="No",'Staging Table'!DU78, 0))</f>
        <v>426156.48000000004</v>
      </c>
      <c r="Y76" s="95">
        <f>IF('Staging Table'!C78=1,"",IF(X76=0, 0, W76/X76))</f>
        <v>35.218407057312049</v>
      </c>
      <c r="Z76" s="87">
        <f ca="1">IF('Staging Table'!C78=1,"",(Y76/N76-1)+(RAND()/100000000000000))</f>
        <v>-4.2898937103897264E-2</v>
      </c>
      <c r="AA76" s="53">
        <f t="shared" ca="1" si="1"/>
        <v>100</v>
      </c>
      <c r="AD76" s="216"/>
      <c r="AE76" s="216"/>
      <c r="AF76" s="220"/>
      <c r="AG76" s="216"/>
      <c r="AH76" s="216"/>
    </row>
    <row r="77" spans="2:34">
      <c r="B77" s="3">
        <v>10235</v>
      </c>
      <c r="C77" s="4" t="s">
        <v>80</v>
      </c>
      <c r="D77" s="211">
        <f>IF(Init!$R$9="Yes",'Staging Table'!E79,'Staging Table'!BR79)*Rates_previous!$E$76*100*12</f>
        <v>10634381.278200001</v>
      </c>
      <c r="E77" s="211">
        <f>IF(Init!$R$9="Yes",'Staging Table'!F79,'Staging Table'!BS79)*Rates_previous!$E$77*100*12</f>
        <v>-1075839.831</v>
      </c>
      <c r="F77" s="212">
        <f>IF(Init!$R$9="Yes",SUMPRODUCT('Staging Table'!L79:AI79,LS_Demand_Rates_Restatement!$C$4:$Z$4)-IF(Init!$R$12="No",('Staging Table'!BH79*Rates_previous!$H$34), 0),SUMPRODUCT('Staging Table'!BY79:CV79,LS_Demand_Rates_Restatement!$C$4:$Z$4)-IF(Init!$R$12="No", 'Staging Table'!DU79*Rates_previous!$H$34, 0))</f>
        <v>-68620.471861395257</v>
      </c>
      <c r="G77" s="212">
        <f>IF(Init!$R$9="Yes",SUMPRODUCT('Staging Table'!AJ79:AU79,LS_Demand_Rates_Restatement!$C$10:$N$10),SUMPRODUCT(LS_Demand_Rates_Restatement!$C$10:$N$10,'Staging Table'!CW79:DH79))*1000</f>
        <v>536284.30148664524</v>
      </c>
      <c r="H77" s="213">
        <f>IF(Init!$R$9="Yes",'Staging Table'!BQ79,'Staging Table'!ED79)*IF(Init!$R$3=2020,Rates_previous!$C$88,Rates_previous!$D$88)</f>
        <v>-195169.66603632807</v>
      </c>
      <c r="I77" s="211">
        <f>IF(Init!$R$9="Yes",IF('Staging Table'!$F$1=2020,(SUM('Staging Table'!AX79:BD79)*Rates_previous!$C$87),(SUM('Staging Table'!AX79:BD79)*Rates_previous!$D$87)),IF('Staging Table'!$F$1=2020,(SUM('Staging Table'!DK79:DQ79)*Rates_previous!$C$87),(SUM('Staging Table'!DK79:DQ79)*Rates_previous!$D$87)))</f>
        <v>130453.62027854336</v>
      </c>
      <c r="J77" s="213">
        <f>IF(Init!$R$9="Yes",IF('Staging Table'!D79=1,'Staging Table'!H79*-1,'Staging Table'!H79*SUM(D77:I77)*(-1)),IF('Staging Table'!D79=1,'Staging Table'!BU79*-1,'Staging Table'!BU79*SUM(D77:I77)*(-1)))</f>
        <v>0</v>
      </c>
      <c r="K77" s="211">
        <f>IF(Init!$R$9="Yes",'Staging Table'!K79,'Staging Table'!BX79)*(-1)*Rates_previous!$H$32</f>
        <v>0</v>
      </c>
      <c r="L77" s="211">
        <f>IF('Staging Table'!C79=1,"",SUM(D77:K77))</f>
        <v>9961489.2310674638</v>
      </c>
      <c r="M77" s="211">
        <f>IF('Staging Table'!C79=1,"",IF(Init!$R$9="Yes",(RT1SC!$C$3*'Staging Table'!E79*'Staging Table'!$F$2)+SUM('Staging Table'!L79:AI79)-IF(Init!$R$12="No",'Staging Table'!BH79, 0),X77))</f>
        <v>263626.96236294199</v>
      </c>
      <c r="N77" s="95">
        <f>IF('Staging Table'!C79=1,"",IF(M77=0, 0, L77/M77))</f>
        <v>37.786306612118175</v>
      </c>
      <c r="O77" s="211">
        <f>'Staging Table'!BR79*Rates_current!$E$76*100*12</f>
        <v>10920471.426141882</v>
      </c>
      <c r="P77" s="211">
        <f>'Staging Table'!BS79*Rates_current!$E$77*100*12</f>
        <v>-1802996.0360633146</v>
      </c>
      <c r="Q77" s="212">
        <f>SUMPRODUCT('Staging Table'!BY79:CV79, LS_Demand_Rates_Restatement!$C$5:$Z$5)-IF(Init!$R$12="No",('Staging Table'!DU79*Rates_current!$H$34), 0)</f>
        <v>-6652.6944180373212</v>
      </c>
      <c r="R77" s="212">
        <f>SUMPRODUCT('Staging Table'!CW79:DH79, LS_Demand_Rates_Restatement!$C$11:$N$11)*1000</f>
        <v>490324.52277326386</v>
      </c>
      <c r="S77" s="213">
        <f>'Staging Table'!ED79*IF(Init!$R$15="Yes",IF(Init!$R$6=2022,Rates_current!$C$88,Rates_current!$D$88),Rates_current!$H$33)</f>
        <v>-31129.192890142243</v>
      </c>
      <c r="T77" s="213">
        <v>0</v>
      </c>
      <c r="U77" s="213">
        <f>IF('Staging Table'!D79=1, 'Staging Table'!BU79*-1,SUM(O77:T77)*'Staging Table'!BU79*-1)</f>
        <v>0</v>
      </c>
      <c r="V77" s="211">
        <f>'Staging Table'!BX79*Rates_current!$H$32*-1</f>
        <v>0</v>
      </c>
      <c r="W77" s="211">
        <f>IF('Staging Table'!C79=1,"",SUM(O77:V77))</f>
        <v>9570018.0255436506</v>
      </c>
      <c r="X77" s="211">
        <f>IF('Staging Table'!C79=1,"",(RT1SC!$C$4*'Staging Table'!BR79*'Staging Table'!$BS$2)+SUM('Staging Table'!BY79:CV79)-IF(Init!$R$12="No",'Staging Table'!DU79, 0))</f>
        <v>263626.96574629424</v>
      </c>
      <c r="Y77" s="95">
        <f>IF('Staging Table'!C79=1,"",IF(X77=0, 0, W77/X77))</f>
        <v>36.301362413560966</v>
      </c>
      <c r="Z77" s="87">
        <f ca="1">IF('Staging Table'!C79=1,"",(Y77/N77-1)+(RAND()/100000000000000))</f>
        <v>-3.9298474280648067E-2</v>
      </c>
      <c r="AA77" s="53">
        <f t="shared" ca="1" si="1"/>
        <v>85</v>
      </c>
      <c r="AD77" s="216"/>
      <c r="AE77" s="216"/>
      <c r="AF77" s="220"/>
      <c r="AG77" s="216"/>
      <c r="AH77" s="216"/>
    </row>
    <row r="78" spans="2:34">
      <c r="B78" s="3">
        <v>10236</v>
      </c>
      <c r="C78" s="4" t="s">
        <v>81</v>
      </c>
      <c r="D78" s="211">
        <f>IF(Init!$R$9="Yes",'Staging Table'!E80,'Staging Table'!BR80)*Rates_previous!$E$76*100*12</f>
        <v>9283248.0216000006</v>
      </c>
      <c r="E78" s="211">
        <f>IF(Init!$R$9="Yes",'Staging Table'!F80,'Staging Table'!BS80)*Rates_previous!$E$77*100*12</f>
        <v>-939150.82799999998</v>
      </c>
      <c r="F78" s="212">
        <f>IF(Init!$R$9="Yes",SUMPRODUCT('Staging Table'!L80:AI80,LS_Demand_Rates_Restatement!$C$4:$Z$4)-IF(Init!$R$12="No",('Staging Table'!BH80*Rates_previous!$H$34), 0),SUMPRODUCT('Staging Table'!BY80:CV80,LS_Demand_Rates_Restatement!$C$4:$Z$4)-IF(Init!$R$12="No", 'Staging Table'!DU80*Rates_previous!$H$34, 0))</f>
        <v>0</v>
      </c>
      <c r="G78" s="212">
        <f>IF(Init!$R$9="Yes",SUMPRODUCT('Staging Table'!AJ80:AU80,LS_Demand_Rates_Restatement!$C$10:$N$10),SUMPRODUCT(LS_Demand_Rates_Restatement!$C$10:$N$10,'Staging Table'!CW80:DH80))*1000</f>
        <v>0</v>
      </c>
      <c r="H78" s="213">
        <f>IF(Init!$R$9="Yes",'Staging Table'!BQ80,'Staging Table'!ED80)*IF(Init!$R$3=2020,Rates_previous!$C$88,Rates_previous!$D$88)</f>
        <v>-35.232311992489265</v>
      </c>
      <c r="I78" s="211">
        <f>IF(Init!$R$9="Yes",IF('Staging Table'!$F$1=2020,(SUM('Staging Table'!AX80:BD80)*Rates_previous!$C$87),(SUM('Staging Table'!AX80:BD80)*Rates_previous!$D$87)),IF('Staging Table'!$F$1=2020,(SUM('Staging Table'!DK80:DQ80)*Rates_previous!$C$87),(SUM('Staging Table'!DK80:DQ80)*Rates_previous!$D$87)))</f>
        <v>113879.05705844011</v>
      </c>
      <c r="J78" s="213">
        <f>IF(Init!$R$9="Yes",IF('Staging Table'!D80=1,'Staging Table'!H80*-1,'Staging Table'!H80*SUM(D78:I78)*(-1)),IF('Staging Table'!D80=1,'Staging Table'!BU80*-1,'Staging Table'!BU80*SUM(D78:I78)*(-1)))</f>
        <v>-549766.16619251913</v>
      </c>
      <c r="K78" s="211">
        <f>IF(Init!$R$9="Yes",'Staging Table'!K80,'Staging Table'!BX80)*(-1)*Rates_previous!$H$32</f>
        <v>0</v>
      </c>
      <c r="L78" s="211" t="str">
        <f>IF('Staging Table'!C80=1,"",SUM(D78:K78))</f>
        <v/>
      </c>
      <c r="M78" s="211" t="str">
        <f>IF('Staging Table'!C80=1,"",IF(Init!$R$9="Yes",(RT1SC!$C$3*'Staging Table'!E80*'Staging Table'!$F$2)+SUM('Staging Table'!L80:AI80)-IF(Init!$R$12="No",'Staging Table'!BH80, 0),X78))</f>
        <v/>
      </c>
      <c r="N78" s="95" t="str">
        <f>IF('Staging Table'!C80=1,"",IF(M78=0, 0, L78/M78))</f>
        <v/>
      </c>
      <c r="O78" s="211">
        <f>'Staging Table'!BR80*Rates_current!$E$76*100*12</f>
        <v>9747080.7043685876</v>
      </c>
      <c r="P78" s="211">
        <f>'Staging Table'!BS80*Rates_current!$E$77*100*12</f>
        <v>-1609266.4123543729</v>
      </c>
      <c r="Q78" s="212">
        <f>SUMPRODUCT('Staging Table'!BY80:CV80, LS_Demand_Rates_Restatement!$C$5:$Z$5)-IF(Init!$R$12="No",('Staging Table'!DU80*Rates_current!$H$34), 0)</f>
        <v>0</v>
      </c>
      <c r="R78" s="212">
        <f>SUMPRODUCT('Staging Table'!CW80:DH80, LS_Demand_Rates_Restatement!$C$11:$N$11)*1000</f>
        <v>0</v>
      </c>
      <c r="S78" s="213">
        <f>'Staging Table'!ED80*IF(Init!$R$15="Yes",IF(Init!$R$6=2022,Rates_current!$C$88,Rates_current!$D$88),Rates_current!$H$33)</f>
        <v>-3.6848054798899104</v>
      </c>
      <c r="T78" s="213">
        <v>0</v>
      </c>
      <c r="U78" s="213">
        <f>IF('Staging Table'!D80=1, 'Staging Table'!BU80*-1,SUM(O78:T78)*'Staging Table'!BU80*-1)</f>
        <v>-528957.68946856784</v>
      </c>
      <c r="V78" s="211">
        <f>'Staging Table'!BX80*Rates_current!$H$32*-1</f>
        <v>0</v>
      </c>
      <c r="W78" s="211" t="str">
        <f>IF('Staging Table'!C80=1,"",SUM(O78:V78))</f>
        <v/>
      </c>
      <c r="X78" s="211" t="str">
        <f>IF('Staging Table'!C80=1,"",(RT1SC!$C$4*'Staging Table'!BR80*'Staging Table'!$BS$2)+SUM('Staging Table'!BY80:CV80)-IF(Init!$R$12="No",'Staging Table'!DU80, 0))</f>
        <v/>
      </c>
      <c r="Y78" s="95" t="str">
        <f>IF('Staging Table'!C80=1,"",IF(X78=0, 0, W78/X78))</f>
        <v/>
      </c>
      <c r="Z78" s="87" t="str">
        <f ca="1">IF('Staging Table'!C80=1,"",(Y78/N78-1)+(RAND()/100000000000000))</f>
        <v/>
      </c>
      <c r="AA78" s="53" t="str">
        <f t="shared" ca="1" si="1"/>
        <v/>
      </c>
      <c r="AD78" s="216"/>
      <c r="AE78" s="216"/>
      <c r="AF78" s="220"/>
      <c r="AG78" s="216"/>
      <c r="AH78" s="216"/>
    </row>
    <row r="79" spans="2:34">
      <c r="B79" s="3">
        <v>10237</v>
      </c>
      <c r="C79" s="4" t="s">
        <v>82</v>
      </c>
      <c r="D79" s="211">
        <f>IF(Init!$R$9="Yes",'Staging Table'!E81,'Staging Table'!BR81)*Rates_previous!$E$76*100*12</f>
        <v>35403969.317400001</v>
      </c>
      <c r="E79" s="211">
        <f>IF(Init!$R$9="Yes",'Staging Table'!F81,'Staging Table'!BS81)*Rates_previous!$E$77*100*12</f>
        <v>-1272325.7646000001</v>
      </c>
      <c r="F79" s="212">
        <f>IF(Init!$R$9="Yes",SUMPRODUCT('Staging Table'!L81:AI81,LS_Demand_Rates_Restatement!$C$4:$Z$4)-IF(Init!$R$12="No",('Staging Table'!BH81*Rates_previous!$H$34), 0),SUMPRODUCT('Staging Table'!BY81:CV81,LS_Demand_Rates_Restatement!$C$4:$Z$4)-IF(Init!$R$12="No", 'Staging Table'!DU81*Rates_previous!$H$34, 0))</f>
        <v>113219.83421503429</v>
      </c>
      <c r="G79" s="212">
        <f>IF(Init!$R$9="Yes",SUMPRODUCT('Staging Table'!AJ81:AU81,LS_Demand_Rates_Restatement!$C$10:$N$10),SUMPRODUCT(LS_Demand_Rates_Restatement!$C$10:$N$10,'Staging Table'!CW81:DH81))*1000</f>
        <v>0</v>
      </c>
      <c r="H79" s="213">
        <f>IF(Init!$R$9="Yes",'Staging Table'!BQ81,'Staging Table'!ED81)*IF(Init!$R$3=2020,Rates_previous!$C$88,Rates_previous!$D$88)</f>
        <v>0</v>
      </c>
      <c r="I79" s="211">
        <f>IF(Init!$R$9="Yes",IF('Staging Table'!$F$1=2020,(SUM('Staging Table'!AX81:BD81)*Rates_previous!$C$87),(SUM('Staging Table'!AX81:BD81)*Rates_previous!$D$87)),IF('Staging Table'!$F$1=2020,(SUM('Staging Table'!DK81:DQ81)*Rates_previous!$C$87),(SUM('Staging Table'!DK81:DQ81)*Rates_previous!$D$87)))</f>
        <v>154279.00825298196</v>
      </c>
      <c r="J79" s="213">
        <f>IF(Init!$R$9="Yes",IF('Staging Table'!D81=1,'Staging Table'!H81*-1,'Staging Table'!H81*SUM(D79:I79)*(-1)),IF('Staging Table'!D81=1,'Staging Table'!BU81*-1,'Staging Table'!BU81*SUM(D79:I79)*(-1)))</f>
        <v>-1800000</v>
      </c>
      <c r="K79" s="211">
        <f>IF(Init!$R$9="Yes",'Staging Table'!K81,'Staging Table'!BX81)*(-1)*Rates_previous!$H$32</f>
        <v>0</v>
      </c>
      <c r="L79" s="211">
        <f>IF('Staging Table'!C81=1,"",SUM(D79:K79))</f>
        <v>32599142.395268016</v>
      </c>
      <c r="M79" s="211">
        <f>IF('Staging Table'!C81=1,"",IF(Init!$R$9="Yes",(RT1SC!$C$3*'Staging Table'!E81*'Staging Table'!$F$2)+SUM('Staging Table'!L81:AI81)-IF(Init!$R$12="No",'Staging Table'!BH81, 0),X79))</f>
        <v>919163.94587118831</v>
      </c>
      <c r="N79" s="95">
        <f>IF('Staging Table'!C81=1,"",IF(M79=0, 0, L79/M79))</f>
        <v>35.466080389359028</v>
      </c>
      <c r="O79" s="211">
        <f>'Staging Table'!BR81*Rates_current!$E$76*100*12</f>
        <v>37353297.691569932</v>
      </c>
      <c r="P79" s="211">
        <f>'Staging Table'!BS81*Rates_current!$E$77*100*12</f>
        <v>-2364269.5177101493</v>
      </c>
      <c r="Q79" s="212">
        <f>SUMPRODUCT('Staging Table'!BY81:CV81, LS_Demand_Rates_Restatement!$C$5:$Z$5)-IF(Init!$R$12="No",('Staging Table'!DU81*Rates_current!$H$34), 0)</f>
        <v>69213.604964154802</v>
      </c>
      <c r="R79" s="212">
        <f>SUMPRODUCT('Staging Table'!CW81:DH81, LS_Demand_Rates_Restatement!$C$11:$N$11)*1000</f>
        <v>0</v>
      </c>
      <c r="S79" s="213">
        <f>'Staging Table'!ED81*IF(Init!$R$15="Yes",IF(Init!$R$6=2022,Rates_current!$C$88,Rates_current!$D$88),Rates_current!$H$33)</f>
        <v>0</v>
      </c>
      <c r="T79" s="213">
        <v>0</v>
      </c>
      <c r="U79" s="213">
        <f>IF('Staging Table'!D81=1, 'Staging Table'!BU81*-1,SUM(O79:T79)*'Staging Table'!BU81*-1)</f>
        <v>-1800000</v>
      </c>
      <c r="V79" s="211">
        <f>'Staging Table'!BX81*Rates_current!$H$32*-1</f>
        <v>0</v>
      </c>
      <c r="W79" s="211">
        <f>IF('Staging Table'!C81=1,"",SUM(O79:V79))</f>
        <v>33258241.778823934</v>
      </c>
      <c r="X79" s="211">
        <f>IF('Staging Table'!C81=1,"",(RT1SC!$C$4*'Staging Table'!BR81*'Staging Table'!$BS$2)+SUM('Staging Table'!BY81:CV81)-IF(Init!$R$12="No",'Staging Table'!DU81, 0))</f>
        <v>919160.56701897935</v>
      </c>
      <c r="Y79" s="95">
        <f>IF('Staging Table'!C81=1,"",IF(X79=0, 0, W79/X79))</f>
        <v>36.183277407871216</v>
      </c>
      <c r="Z79" s="87">
        <f ca="1">IF('Staging Table'!C81=1,"",(Y79/N79-1)+(RAND()/100000000000000))</f>
        <v>2.0222054724925512E-2</v>
      </c>
      <c r="AA79" s="53">
        <f t="shared" ca="1" si="1"/>
        <v>1</v>
      </c>
      <c r="AD79" s="216"/>
      <c r="AE79" s="216"/>
      <c r="AF79" s="220"/>
      <c r="AG79" s="216"/>
      <c r="AH79" s="216"/>
    </row>
    <row r="80" spans="2:34">
      <c r="B80" s="3">
        <v>10239</v>
      </c>
      <c r="C80" s="4" t="s">
        <v>83</v>
      </c>
      <c r="D80" s="211">
        <f>IF(Init!$R$9="Yes",'Staging Table'!E82,'Staging Table'!BR82)*Rates_previous!$E$76*100*12</f>
        <v>4711735.5870000003</v>
      </c>
      <c r="E80" s="211">
        <f>IF(Init!$R$9="Yes",'Staging Table'!F82,'Staging Table'!BS82)*Rates_previous!$E$77*100*12</f>
        <v>-476668.33500000002</v>
      </c>
      <c r="F80" s="212">
        <f>IF(Init!$R$9="Yes",SUMPRODUCT('Staging Table'!L82:AI82,LS_Demand_Rates_Restatement!$C$4:$Z$4)-IF(Init!$R$12="No",('Staging Table'!BH82*Rates_previous!$H$34), 0),SUMPRODUCT('Staging Table'!BY82:CV82,LS_Demand_Rates_Restatement!$C$4:$Z$4)-IF(Init!$R$12="No", 'Staging Table'!DU82*Rates_previous!$H$34, 0))</f>
        <v>0</v>
      </c>
      <c r="G80" s="212">
        <f>IF(Init!$R$9="Yes",SUMPRODUCT('Staging Table'!AJ82:AU82,LS_Demand_Rates_Restatement!$C$10:$N$10),SUMPRODUCT(LS_Demand_Rates_Restatement!$C$10:$N$10,'Staging Table'!CW82:DH82))*1000</f>
        <v>0</v>
      </c>
      <c r="H80" s="213">
        <f>IF(Init!$R$9="Yes",'Staging Table'!BQ82,'Staging Table'!ED82)*IF(Init!$R$3=2020,Rates_previous!$C$88,Rates_previous!$D$88)</f>
        <v>0</v>
      </c>
      <c r="I80" s="211">
        <f>IF(Init!$R$9="Yes",IF('Staging Table'!$F$1=2020,(SUM('Staging Table'!AX82:BD82)*Rates_previous!$C$87),(SUM('Staging Table'!AX82:BD82)*Rates_previous!$D$87)),IF('Staging Table'!$F$1=2020,(SUM('Staging Table'!DK82:DQ82)*Rates_previous!$C$87),(SUM('Staging Table'!DK82:DQ82)*Rates_previous!$D$87)))</f>
        <v>57799.598212585137</v>
      </c>
      <c r="J80" s="213">
        <f>IF(Init!$R$9="Yes",IF('Staging Table'!D82=1,'Staging Table'!H82*-1,'Staging Table'!H82*SUM(D80:I80)*(-1)),IF('Staging Table'!D82=1,'Staging Table'!BU82*-1,'Staging Table'!BU82*SUM(D80:I80)*(-1)))</f>
        <v>-300716.46342951182</v>
      </c>
      <c r="K80" s="211">
        <f>IF(Init!$R$9="Yes",'Staging Table'!K82,'Staging Table'!BX82)*(-1)*Rates_previous!$H$32</f>
        <v>0</v>
      </c>
      <c r="L80" s="211" t="str">
        <f>IF('Staging Table'!C82=1,"",SUM(D80:K80))</f>
        <v/>
      </c>
      <c r="M80" s="211" t="str">
        <f>IF('Staging Table'!C82=1,"",IF(Init!$R$9="Yes",(RT1SC!$C$3*'Staging Table'!E82*'Staging Table'!$F$2)+SUM('Staging Table'!L82:AI82)-IF(Init!$R$12="No",'Staging Table'!BH82, 0),X80))</f>
        <v/>
      </c>
      <c r="N80" s="95" t="str">
        <f>IF('Staging Table'!C82=1,"",IF(M80=0, 0, L80/M80))</f>
        <v/>
      </c>
      <c r="O80" s="211">
        <f>'Staging Table'!BR82*Rates_current!$E$76*100*12</f>
        <v>4754234.8373504058</v>
      </c>
      <c r="P80" s="211">
        <f>'Staging Table'!BS82*Rates_current!$E$77*100*12</f>
        <v>-784935.57940522663</v>
      </c>
      <c r="Q80" s="212">
        <f>SUMPRODUCT('Staging Table'!BY82:CV82, LS_Demand_Rates_Restatement!$C$5:$Z$5)-IF(Init!$R$12="No",('Staging Table'!DU82*Rates_current!$H$34), 0)</f>
        <v>0</v>
      </c>
      <c r="R80" s="212">
        <f>SUMPRODUCT('Staging Table'!CW82:DH82, LS_Demand_Rates_Restatement!$C$11:$N$11)*1000</f>
        <v>0</v>
      </c>
      <c r="S80" s="213">
        <f>'Staging Table'!ED82*IF(Init!$R$15="Yes",IF(Init!$R$6=2022,Rates_current!$C$88,Rates_current!$D$88),Rates_current!$H$33)</f>
        <v>0</v>
      </c>
      <c r="T80" s="213">
        <v>0</v>
      </c>
      <c r="U80" s="213">
        <f>IF('Staging Table'!D82=1, 'Staging Table'!BU82*-1,SUM(O80:T80)*'Staging Table'!BU82*-1)</f>
        <v>-304939.0749276806</v>
      </c>
      <c r="V80" s="211">
        <f>'Staging Table'!BX82*Rates_current!$H$32*-1</f>
        <v>0</v>
      </c>
      <c r="W80" s="211" t="str">
        <f>IF('Staging Table'!C82=1,"",SUM(O80:V80))</f>
        <v/>
      </c>
      <c r="X80" s="211" t="str">
        <f>IF('Staging Table'!C82=1,"",(RT1SC!$C$4*'Staging Table'!BR82*'Staging Table'!$BS$2)+SUM('Staging Table'!BY82:CV82)-IF(Init!$R$12="No",'Staging Table'!DU82, 0))</f>
        <v/>
      </c>
      <c r="Y80" s="95" t="str">
        <f>IF('Staging Table'!C82=1,"",IF(X80=0, 0, W80/X80))</f>
        <v/>
      </c>
      <c r="Z80" s="87" t="str">
        <f ca="1">IF('Staging Table'!C82=1,"",(Y80/N80-1)+(RAND()/100000000000000))</f>
        <v/>
      </c>
      <c r="AA80" s="53" t="str">
        <f t="shared" ca="1" si="1"/>
        <v/>
      </c>
      <c r="AD80" s="216"/>
      <c r="AE80" s="216"/>
      <c r="AF80" s="220"/>
      <c r="AG80" s="216"/>
      <c r="AH80" s="216"/>
    </row>
    <row r="81" spans="2:34">
      <c r="B81" s="3">
        <v>10242</v>
      </c>
      <c r="C81" s="4" t="s">
        <v>84</v>
      </c>
      <c r="D81" s="211">
        <f>IF(Init!$R$9="Yes",'Staging Table'!E83,'Staging Table'!BR83)*Rates_previous!$E$76*100*12</f>
        <v>3205643.8636800004</v>
      </c>
      <c r="E81" s="211">
        <f>IF(Init!$R$9="Yes",'Staging Table'!F83,'Staging Table'!BS83)*Rates_previous!$E$77*100*12</f>
        <v>-324302.77439999999</v>
      </c>
      <c r="F81" s="212">
        <f>IF(Init!$R$9="Yes",SUMPRODUCT('Staging Table'!L83:AI83,LS_Demand_Rates_Restatement!$C$4:$Z$4)-IF(Init!$R$12="No",('Staging Table'!BH83*Rates_previous!$H$34), 0),SUMPRODUCT('Staging Table'!BY83:CV83,LS_Demand_Rates_Restatement!$C$4:$Z$4)-IF(Init!$R$12="No", 'Staging Table'!DU83*Rates_previous!$H$34, 0))</f>
        <v>-113678.94245700375</v>
      </c>
      <c r="G81" s="212">
        <f>IF(Init!$R$9="Yes",SUMPRODUCT('Staging Table'!AJ83:AU83,LS_Demand_Rates_Restatement!$C$10:$N$10),SUMPRODUCT(LS_Demand_Rates_Restatement!$C$10:$N$10,'Staging Table'!CW83:DH83))*1000</f>
        <v>175495.64823985039</v>
      </c>
      <c r="H81" s="213">
        <f>IF(Init!$R$9="Yes",'Staging Table'!BQ83,'Staging Table'!ED83)*IF(Init!$R$3=2020,Rates_previous!$C$88,Rates_previous!$D$88)</f>
        <v>0</v>
      </c>
      <c r="I81" s="211">
        <f>IF(Init!$R$9="Yes",IF('Staging Table'!$F$1=2020,(SUM('Staging Table'!AX83:BD83)*Rates_previous!$C$87),(SUM('Staging Table'!AX83:BD83)*Rates_previous!$D$87)),IF('Staging Table'!$F$1=2020,(SUM('Staging Table'!DK83:DQ83)*Rates_previous!$C$87),(SUM('Staging Table'!DK83:DQ83)*Rates_previous!$D$87)))</f>
        <v>39324.135217722491</v>
      </c>
      <c r="J81" s="213">
        <f>IF(Init!$R$9="Yes",IF('Staging Table'!D83=1,'Staging Table'!H83*-1,'Staging Table'!H83*SUM(D81:I81)*(-1)),IF('Staging Table'!D83=1,'Staging Table'!BU83*-1,'Staging Table'!BU83*SUM(D81:I81)*(-1)))</f>
        <v>-218512.83706400724</v>
      </c>
      <c r="K81" s="211">
        <f>IF(Init!$R$9="Yes",'Staging Table'!K83,'Staging Table'!BX83)*(-1)*Rates_previous!$H$32</f>
        <v>-417279.31234</v>
      </c>
      <c r="L81" s="211">
        <f>IF('Staging Table'!C83=1,"",SUM(D81:K81))</f>
        <v>2346689.780876562</v>
      </c>
      <c r="M81" s="211">
        <f>IF('Staging Table'!C83=1,"",IF(Init!$R$9="Yes",(RT1SC!$C$3*'Staging Table'!E83*'Staging Table'!$F$2)+SUM('Staging Table'!L83:AI83)-IF(Init!$R$12="No",'Staging Table'!BH83, 0),X81))</f>
        <v>83228.399999999994</v>
      </c>
      <c r="N81" s="95">
        <f>IF('Staging Table'!C83=1,"",IF(M81=0, 0, L81/M81))</f>
        <v>28.195781498581759</v>
      </c>
      <c r="O81" s="211">
        <f>'Staging Table'!BR83*Rates_current!$E$76*100*12</f>
        <v>3234798.1700388212</v>
      </c>
      <c r="P81" s="211">
        <f>'Staging Table'!BS83*Rates_current!$E$77*100*12</f>
        <v>-534072.93975269119</v>
      </c>
      <c r="Q81" s="212">
        <f>SUMPRODUCT('Staging Table'!BY83:CV83, LS_Demand_Rates_Restatement!$C$5:$Z$5)-IF(Init!$R$12="No",('Staging Table'!DU83*Rates_current!$H$34), 0)</f>
        <v>-103458.50184078583</v>
      </c>
      <c r="R81" s="212">
        <f>SUMPRODUCT('Staging Table'!CW83:DH83, LS_Demand_Rates_Restatement!$C$11:$N$11)*1000</f>
        <v>166406.47377817842</v>
      </c>
      <c r="S81" s="213">
        <f>'Staging Table'!ED83*IF(Init!$R$15="Yes",IF(Init!$R$6=2022,Rates_current!$C$88,Rates_current!$D$88),Rates_current!$H$33)</f>
        <v>0</v>
      </c>
      <c r="T81" s="213">
        <v>0</v>
      </c>
      <c r="U81" s="213">
        <f>IF('Staging Table'!D83=1, 'Staging Table'!BU83*-1,SUM(O81:T81)*'Staging Table'!BU83*-1)</f>
        <v>-205187.60455729306</v>
      </c>
      <c r="V81" s="211">
        <f>'Staging Table'!BX83*Rates_current!$H$32*-1</f>
        <v>-409391.94459999999</v>
      </c>
      <c r="W81" s="211">
        <f>IF('Staging Table'!C83=1,"",SUM(O81:V81))</f>
        <v>2149093.6530662295</v>
      </c>
      <c r="X81" s="211">
        <f>IF('Staging Table'!C83=1,"",(RT1SC!$C$4*'Staging Table'!BR83*'Staging Table'!$BS$2)+SUM('Staging Table'!BY83:CV83)-IF(Init!$R$12="No",'Staging Table'!DU83, 0))</f>
        <v>79602.12</v>
      </c>
      <c r="Y81" s="95">
        <f>IF('Staging Table'!C83=1,"",IF(X81=0, 0, W81/X81))</f>
        <v>26.997944942499391</v>
      </c>
      <c r="Z81" s="87">
        <f ca="1">IF('Staging Table'!C83=1,"",(Y81/N81-1)+(RAND()/100000000000000))</f>
        <v>-4.2482828721823171E-2</v>
      </c>
      <c r="AA81" s="53">
        <f t="shared" ca="1" si="1"/>
        <v>99</v>
      </c>
      <c r="AD81" s="216"/>
      <c r="AE81" s="216"/>
      <c r="AF81" s="220"/>
      <c r="AG81" s="216"/>
      <c r="AH81" s="216"/>
    </row>
    <row r="82" spans="2:34">
      <c r="B82" s="3">
        <v>10244</v>
      </c>
      <c r="C82" s="4" t="s">
        <v>85</v>
      </c>
      <c r="D82" s="211">
        <f>IF(Init!$R$9="Yes",'Staging Table'!E84,'Staging Table'!BR84)*Rates_previous!$E$76*100*12</f>
        <v>28955605.637879997</v>
      </c>
      <c r="E82" s="211">
        <f>IF(Init!$R$9="Yes",'Staging Table'!F84,'Staging Table'!BS84)*Rates_previous!$E$77*100*12</f>
        <v>-2929328.2853999999</v>
      </c>
      <c r="F82" s="212">
        <f>IF(Init!$R$9="Yes",SUMPRODUCT('Staging Table'!L84:AI84,LS_Demand_Rates_Restatement!$C$4:$Z$4)-IF(Init!$R$12="No",('Staging Table'!BH84*Rates_previous!$H$34), 0),SUMPRODUCT('Staging Table'!BY84:CV84,LS_Demand_Rates_Restatement!$C$4:$Z$4)-IF(Init!$R$12="No", 'Staging Table'!DU84*Rates_previous!$H$34, 0))</f>
        <v>794560.34582526074</v>
      </c>
      <c r="G82" s="212">
        <f>IF(Init!$R$9="Yes",SUMPRODUCT('Staging Table'!AJ84:AU84,LS_Demand_Rates_Restatement!$C$10:$N$10),SUMPRODUCT(LS_Demand_Rates_Restatement!$C$10:$N$10,'Staging Table'!CW84:DH84))*1000</f>
        <v>2251964.0692417389</v>
      </c>
      <c r="H82" s="213">
        <f>IF(Init!$R$9="Yes",'Staging Table'!BQ84,'Staging Table'!ED84)*IF(Init!$R$3=2020,Rates_previous!$C$88,Rates_previous!$D$88)</f>
        <v>0</v>
      </c>
      <c r="I82" s="211">
        <f>IF(Init!$R$9="Yes",IF('Staging Table'!$F$1=2020,(SUM('Staging Table'!AX84:BD84)*Rates_previous!$C$87),(SUM('Staging Table'!AX84:BD84)*Rates_previous!$D$87)),IF('Staging Table'!$F$1=2020,(SUM('Staging Table'!DK84:DQ84)*Rates_previous!$C$87),(SUM('Staging Table'!DK84:DQ84)*Rates_previous!$D$87)))</f>
        <v>355202.94824887183</v>
      </c>
      <c r="J82" s="213">
        <f>IF(Init!$R$9="Yes",IF('Staging Table'!D84=1,'Staging Table'!H84*-1,'Staging Table'!H84*SUM(D82:I82)*(-1)),IF('Staging Table'!D84=1,'Staging Table'!BU84*-1,'Staging Table'!BU84*SUM(D82:I82)*(-1)))</f>
        <v>-1826895.4980575836</v>
      </c>
      <c r="K82" s="211">
        <f>IF(Init!$R$9="Yes",'Staging Table'!K84,'Staging Table'!BX84)*(-1)*Rates_previous!$H$32</f>
        <v>0</v>
      </c>
      <c r="L82" s="211">
        <f>IF('Staging Table'!C84=1,"",SUM(D82:K82))</f>
        <v>27601109.217738286</v>
      </c>
      <c r="M82" s="211">
        <f>IF('Staging Table'!C84=1,"",IF(Init!$R$9="Yes",(RT1SC!$C$3*'Staging Table'!E84*'Staging Table'!$F$2)+SUM('Staging Table'!L84:AI84)-IF(Init!$R$12="No",'Staging Table'!BH84, 0),X82))</f>
        <v>751752.28799999994</v>
      </c>
      <c r="N82" s="95">
        <f>IF('Staging Table'!C84=1,"",IF(M82=0, 0, L82/M82))</f>
        <v>36.715696989988125</v>
      </c>
      <c r="O82" s="211">
        <f>'Staging Table'!BR84*Rates_current!$E$76*100*12</f>
        <v>29216781.484938815</v>
      </c>
      <c r="P82" s="211">
        <f>'Staging Table'!BS84*Rates_current!$E$77*100*12</f>
        <v>-4823760.7286596205</v>
      </c>
      <c r="Q82" s="212">
        <f>SUMPRODUCT('Staging Table'!BY84:CV84, LS_Demand_Rates_Restatement!$C$5:$Z$5)-IF(Init!$R$12="No",('Staging Table'!DU84*Rates_current!$H$34), 0)</f>
        <v>804491.96738736401</v>
      </c>
      <c r="R82" s="212">
        <f>SUMPRODUCT('Staging Table'!CW84:DH84, LS_Demand_Rates_Restatement!$C$11:$N$11)*1000</f>
        <v>2046589.4547575235</v>
      </c>
      <c r="S82" s="213">
        <f>'Staging Table'!ED84*IF(Init!$R$15="Yes",IF(Init!$R$6=2022,Rates_current!$C$88,Rates_current!$D$88),Rates_current!$H$33)</f>
        <v>0</v>
      </c>
      <c r="T82" s="213">
        <v>0</v>
      </c>
      <c r="U82" s="213">
        <f>IF('Staging Table'!D84=1, 'Staging Table'!BU84*-1,SUM(O82:T82)*'Staging Table'!BU84*-1)</f>
        <v>-1954660.0135878811</v>
      </c>
      <c r="V82" s="211">
        <f>'Staging Table'!BX84*Rates_current!$H$32*-1</f>
        <v>0</v>
      </c>
      <c r="W82" s="211">
        <f>IF('Staging Table'!C84=1,"",SUM(O82:V82))</f>
        <v>25289442.164836198</v>
      </c>
      <c r="X82" s="211">
        <f>IF('Staging Table'!C84=1,"",(RT1SC!$C$4*'Staging Table'!BR84*'Staging Table'!$BS$2)+SUM('Staging Table'!BY84:CV84)-IF(Init!$R$12="No",'Staging Table'!DU84, 0))</f>
        <v>718941.96</v>
      </c>
      <c r="Y82" s="95">
        <f>IF('Staging Table'!C84=1,"",IF(X82=0, 0, W82/X82))</f>
        <v>35.175916237850686</v>
      </c>
      <c r="Z82" s="87">
        <f ca="1">IF('Staging Table'!C84=1,"",(Y82/N82-1)+(RAND()/100000000000000))</f>
        <v>-4.1937941490174727E-2</v>
      </c>
      <c r="AA82" s="53">
        <f t="shared" ca="1" si="1"/>
        <v>98</v>
      </c>
      <c r="AD82" s="216"/>
      <c r="AE82" s="216"/>
      <c r="AF82" s="220"/>
      <c r="AG82" s="216"/>
      <c r="AH82" s="216"/>
    </row>
    <row r="83" spans="2:34">
      <c r="B83" s="3">
        <v>10246</v>
      </c>
      <c r="C83" s="4" t="s">
        <v>86</v>
      </c>
      <c r="D83" s="211">
        <f>IF(Init!$R$9="Yes",'Staging Table'!E85,'Staging Table'!BR85)*Rates_previous!$E$76*100*12</f>
        <v>2972255.49816</v>
      </c>
      <c r="E83" s="211">
        <f>IF(Init!$R$9="Yes",'Staging Table'!F85,'Staging Table'!BS85)*Rates_previous!$E$77*100*12</f>
        <v>-300691.76279999997</v>
      </c>
      <c r="F83" s="212">
        <f>IF(Init!$R$9="Yes",SUMPRODUCT('Staging Table'!L85:AI85,LS_Demand_Rates_Restatement!$C$4:$Z$4)-IF(Init!$R$12="No",('Staging Table'!BH85*Rates_previous!$H$34), 0),SUMPRODUCT('Staging Table'!BY85:CV85,LS_Demand_Rates_Restatement!$C$4:$Z$4)-IF(Init!$R$12="No", 'Staging Table'!DU85*Rates_previous!$H$34, 0))</f>
        <v>66809.66312041787</v>
      </c>
      <c r="G83" s="212">
        <f>IF(Init!$R$9="Yes",SUMPRODUCT('Staging Table'!AJ85:AU85,LS_Demand_Rates_Restatement!$C$10:$N$10),SUMPRODUCT(LS_Demand_Rates_Restatement!$C$10:$N$10,'Staging Table'!CW85:DH85))*1000</f>
        <v>232621.21651759263</v>
      </c>
      <c r="H83" s="213">
        <f>IF(Init!$R$9="Yes",'Staging Table'!BQ85,'Staging Table'!ED85)*IF(Init!$R$3=2020,Rates_previous!$C$88,Rates_previous!$D$88)</f>
        <v>-345.02274253885844</v>
      </c>
      <c r="I83" s="211">
        <f>IF(Init!$R$9="Yes",IF('Staging Table'!$F$1=2020,(SUM('Staging Table'!AX85:BD85)*Rates_previous!$C$87),(SUM('Staging Table'!AX85:BD85)*Rates_previous!$D$87)),IF('Staging Table'!$F$1=2020,(SUM('Staging Table'!DK85:DQ85)*Rates_previous!$C$87),(SUM('Staging Table'!DK85:DQ85)*Rates_previous!$D$87)))</f>
        <v>36461.12359377501</v>
      </c>
      <c r="J83" s="213">
        <f>IF(Init!$R$9="Yes",IF('Staging Table'!D85=1,'Staging Table'!H85*-1,'Staging Table'!H85*SUM(D83:I83)*(-1)),IF('Staging Table'!D85=1,'Staging Table'!BU85*-1,'Staging Table'!BU85*SUM(D83:I83)*(-1)))</f>
        <v>-165391.0893717086</v>
      </c>
      <c r="K83" s="211">
        <f>IF(Init!$R$9="Yes",'Staging Table'!K85,'Staging Table'!BX85)*(-1)*Rates_previous!$H$32</f>
        <v>0</v>
      </c>
      <c r="L83" s="211">
        <f>IF('Staging Table'!C85=1,"",SUM(D83:K83))</f>
        <v>2841719.6264775381</v>
      </c>
      <c r="M83" s="211">
        <f>IF('Staging Table'!C85=1,"",IF(Init!$R$9="Yes",(RT1SC!$C$3*'Staging Table'!E85*'Staging Table'!$F$2)+SUM('Staging Table'!L85:AI85)-IF(Init!$R$12="No",'Staging Table'!BH85, 0),X83))</f>
        <v>77145.407896389603</v>
      </c>
      <c r="N83" s="95">
        <f>IF('Staging Table'!C85=1,"",IF(M83=0, 0, L83/M83))</f>
        <v>36.835888278588392</v>
      </c>
      <c r="O83" s="211">
        <f>'Staging Table'!BR85*Rates_current!$E$76*100*12</f>
        <v>3051823.0789468479</v>
      </c>
      <c r="P83" s="211">
        <f>'Staging Table'!BS85*Rates_current!$E$77*100*12</f>
        <v>-503863.31316574605</v>
      </c>
      <c r="Q83" s="212">
        <f>SUMPRODUCT('Staging Table'!BY85:CV85, LS_Demand_Rates_Restatement!$C$5:$Z$5)-IF(Init!$R$12="No",('Staging Table'!DU85*Rates_current!$H$34), 0)</f>
        <v>-144764.93564123232</v>
      </c>
      <c r="R83" s="212">
        <f>SUMPRODUCT('Staging Table'!CW85:DH85, LS_Demand_Rates_Restatement!$C$11:$N$11)*1000</f>
        <v>217408.61504458691</v>
      </c>
      <c r="S83" s="213">
        <f>'Staging Table'!ED85*IF(Init!$R$15="Yes",IF(Init!$R$6=2022,Rates_current!$C$88,Rates_current!$D$88),Rates_current!$H$33)</f>
        <v>0</v>
      </c>
      <c r="T83" s="213">
        <v>0</v>
      </c>
      <c r="U83" s="213">
        <f>IF('Staging Table'!D85=1, 'Staging Table'!BU85*-1,SUM(O83:T83)*'Staging Table'!BU85*-1)</f>
        <v>-162341.07986335718</v>
      </c>
      <c r="V83" s="211">
        <f>'Staging Table'!BX85*Rates_current!$H$32*-1</f>
        <v>0</v>
      </c>
      <c r="W83" s="211">
        <f>IF('Staging Table'!C85=1,"",SUM(O83:V83))</f>
        <v>2458262.3653210988</v>
      </c>
      <c r="X83" s="211">
        <f>IF('Staging Table'!C85=1,"",(RT1SC!$C$4*'Staging Table'!BR85*'Staging Table'!$BS$2)+SUM('Staging Table'!BY85:CV85)-IF(Init!$R$12="No",'Staging Table'!DU85, 0))</f>
        <v>67658.328841524461</v>
      </c>
      <c r="Y83" s="95">
        <f>IF('Staging Table'!C85=1,"",IF(X83=0, 0, W83/X83))</f>
        <v>36.33347745078165</v>
      </c>
      <c r="Z83" s="87">
        <f ca="1">IF('Staging Table'!C85=1,"",(Y83/N83-1)+(RAND()/100000000000000))</f>
        <v>-1.3639166890907896E-2</v>
      </c>
      <c r="AA83" s="53">
        <f t="shared" ca="1" si="1"/>
        <v>15</v>
      </c>
      <c r="AD83" s="216"/>
      <c r="AE83" s="216"/>
      <c r="AF83" s="220"/>
      <c r="AG83" s="216"/>
      <c r="AH83" s="216"/>
    </row>
    <row r="84" spans="2:34">
      <c r="B84" s="3">
        <v>10247</v>
      </c>
      <c r="C84" s="4" t="s">
        <v>87</v>
      </c>
      <c r="D84" s="211">
        <f>IF(Init!$R$9="Yes",'Staging Table'!E86,'Staging Table'!BR86)*Rates_previous!$E$76*100*12</f>
        <v>26804249.747160003</v>
      </c>
      <c r="E84" s="211">
        <f>IF(Init!$R$9="Yes",'Staging Table'!F86,'Staging Table'!BS86)*Rates_previous!$E$77*100*12</f>
        <v>-2711683.8078000001</v>
      </c>
      <c r="F84" s="212">
        <f>IF(Init!$R$9="Yes",SUMPRODUCT('Staging Table'!L86:AI86,LS_Demand_Rates_Restatement!$C$4:$Z$4)-IF(Init!$R$12="No",('Staging Table'!BH86*Rates_previous!$H$34), 0),SUMPRODUCT('Staging Table'!BY86:CV86,LS_Demand_Rates_Restatement!$C$4:$Z$4)-IF(Init!$R$12="No", 'Staging Table'!DU86*Rates_previous!$H$34, 0))</f>
        <v>515846.10331327002</v>
      </c>
      <c r="G84" s="212">
        <f>IF(Init!$R$9="Yes",SUMPRODUCT('Staging Table'!AJ86:AU86,LS_Demand_Rates_Restatement!$C$10:$N$10),SUMPRODUCT(LS_Demand_Rates_Restatement!$C$10:$N$10,'Staging Table'!CW86:DH86))*1000</f>
        <v>1343676.6143567304</v>
      </c>
      <c r="H84" s="213">
        <f>IF(Init!$R$9="Yes",'Staging Table'!BQ86,'Staging Table'!ED86)*IF(Init!$R$3=2020,Rates_previous!$C$88,Rates_previous!$D$88)</f>
        <v>-31646.13327955149</v>
      </c>
      <c r="I84" s="211">
        <f>IF(Init!$R$9="Yes",IF('Staging Table'!$F$1=2020,(SUM('Staging Table'!AX86:BD86)*Rates_previous!$C$87),(SUM('Staging Table'!AX86:BD86)*Rates_previous!$D$87)),IF('Staging Table'!$F$1=2020,(SUM('Staging Table'!DK86:DQ86)*Rates_previous!$C$87),(SUM('Staging Table'!DK86:DQ86)*Rates_previous!$D$87)))</f>
        <v>328811.92867659847</v>
      </c>
      <c r="J84" s="213">
        <f>IF(Init!$R$9="Yes",IF('Staging Table'!D86=1,'Staging Table'!H86*-1,'Staging Table'!H86*SUM(D84:I84)*(-1)),IF('Staging Table'!D86=1,'Staging Table'!BU86*-1,'Staging Table'!BU86*SUM(D84:I84)*(-1)))</f>
        <v>-1312462.7226213526</v>
      </c>
      <c r="K84" s="211">
        <f>IF(Init!$R$9="Yes",'Staging Table'!K86,'Staging Table'!BX86)*(-1)*Rates_previous!$H$32</f>
        <v>0</v>
      </c>
      <c r="L84" s="211">
        <f>IF('Staging Table'!C86=1,"",SUM(D84:K84))</f>
        <v>24936791.7298057</v>
      </c>
      <c r="M84" s="211">
        <f>IF('Staging Table'!C86=1,"",IF(Init!$R$9="Yes",(RT1SC!$C$3*'Staging Table'!E86*'Staging Table'!$F$2)+SUM('Staging Table'!L86:AI86)-IF(Init!$R$12="No",'Staging Table'!BH86, 0),X84))</f>
        <v>693874.00612007966</v>
      </c>
      <c r="N84" s="95">
        <f>IF('Staging Table'!C86=1,"",IF(M84=0, 0, L84/M84))</f>
        <v>35.938501096538005</v>
      </c>
      <c r="O84" s="211">
        <f>'Staging Table'!BR86*Rates_current!$E$76*100*12</f>
        <v>27142424.29234961</v>
      </c>
      <c r="P84" s="211">
        <f>'Staging Table'!BS86*Rates_current!$E$77*100*12</f>
        <v>-4481279.378755196</v>
      </c>
      <c r="Q84" s="212">
        <f>SUMPRODUCT('Staging Table'!BY86:CV86, LS_Demand_Rates_Restatement!$C$5:$Z$5)-IF(Init!$R$12="No",('Staging Table'!DU86*Rates_current!$H$34), 0)</f>
        <v>488968.06326985994</v>
      </c>
      <c r="R84" s="212">
        <f>SUMPRODUCT('Staging Table'!CW86:DH86, LS_Demand_Rates_Restatement!$C$11:$N$11)*1000</f>
        <v>1297115.3365778488</v>
      </c>
      <c r="S84" s="213">
        <f>'Staging Table'!ED86*IF(Init!$R$15="Yes",IF(Init!$R$6=2022,Rates_current!$C$88,Rates_current!$D$88),Rates_current!$H$33)</f>
        <v>0</v>
      </c>
      <c r="T84" s="213">
        <v>0</v>
      </c>
      <c r="U84" s="213">
        <f>IF('Staging Table'!D86=1, 'Staging Table'!BU86*-1,SUM(O84:T84)*'Staging Table'!BU86*-1)</f>
        <v>-1248814.5967205688</v>
      </c>
      <c r="V84" s="211">
        <f>'Staging Table'!BX86*Rates_current!$H$32*-1</f>
        <v>0</v>
      </c>
      <c r="W84" s="211">
        <f>IF('Staging Table'!C86=1,"",SUM(O84:V84))</f>
        <v>23198413.716721553</v>
      </c>
      <c r="X84" s="211">
        <f>IF('Staging Table'!C86=1,"",(RT1SC!$C$4*'Staging Table'!BR86*'Staging Table'!$BS$2)+SUM('Staging Table'!BY86:CV86)-IF(Init!$R$12="No",'Staging Table'!DU86, 0))</f>
        <v>667897.43999999994</v>
      </c>
      <c r="Y84" s="95">
        <f>IF('Staging Table'!C86=1,"",IF(X84=0, 0, W84/X84))</f>
        <v>34.733496982293502</v>
      </c>
      <c r="Z84" s="87">
        <f ca="1">IF('Staging Table'!C86=1,"",(Y84/N84-1)+(RAND()/100000000000000))</f>
        <v>-3.3529615244874383E-2</v>
      </c>
      <c r="AA84" s="53">
        <f t="shared" ca="1" si="1"/>
        <v>41</v>
      </c>
      <c r="AD84" s="216"/>
      <c r="AE84" s="216"/>
      <c r="AF84" s="220"/>
      <c r="AG84" s="216"/>
      <c r="AH84" s="216"/>
    </row>
    <row r="85" spans="2:34">
      <c r="B85" s="3">
        <v>10256</v>
      </c>
      <c r="C85" s="4" t="s">
        <v>88</v>
      </c>
      <c r="D85" s="211">
        <f>IF(Init!$R$9="Yes",'Staging Table'!E87,'Staging Table'!BR87)*Rates_previous!$E$76*100*12</f>
        <v>15674809.44108</v>
      </c>
      <c r="E85" s="211">
        <f>IF(Init!$R$9="Yes",'Staging Table'!F87,'Staging Table'!BS87)*Rates_previous!$E$77*100*12</f>
        <v>-1585760.7413999999</v>
      </c>
      <c r="F85" s="212">
        <f>IF(Init!$R$9="Yes",SUMPRODUCT('Staging Table'!L87:AI87,LS_Demand_Rates_Restatement!$C$4:$Z$4)-IF(Init!$R$12="No",('Staging Table'!BH87*Rates_previous!$H$34), 0),SUMPRODUCT('Staging Table'!BY87:CV87,LS_Demand_Rates_Restatement!$C$4:$Z$4)-IF(Init!$R$12="No", 'Staging Table'!DU87*Rates_previous!$H$34, 0))</f>
        <v>145178.98574337387</v>
      </c>
      <c r="G85" s="212">
        <f>IF(Init!$R$9="Yes",SUMPRODUCT('Staging Table'!AJ87:AU87,LS_Demand_Rates_Restatement!$C$10:$N$10),SUMPRODUCT(LS_Demand_Rates_Restatement!$C$10:$N$10,'Staging Table'!CW87:DH87))*1000</f>
        <v>1365653.2459650284</v>
      </c>
      <c r="H85" s="213">
        <f>IF(Init!$R$9="Yes",'Staging Table'!BQ87,'Staging Table'!ED87)*IF(Init!$R$3=2020,Rates_previous!$C$88,Rates_previous!$D$88)</f>
        <v>23247.20735999976</v>
      </c>
      <c r="I85" s="211">
        <f>IF(Init!$R$9="Yes",IF('Staging Table'!$F$1=2020,(SUM('Staging Table'!AX87:BD87)*Rates_previous!$C$87),(SUM('Staging Table'!AX87:BD87)*Rates_previous!$D$87)),IF('Staging Table'!$F$1=2020,(SUM('Staging Table'!DK87:DQ87)*Rates_previous!$C$87),(SUM('Staging Table'!DK87:DQ87)*Rates_previous!$D$87)))</f>
        <v>192285.341786362</v>
      </c>
      <c r="J85" s="213">
        <f>IF(Init!$R$9="Yes",IF('Staging Table'!D87=1,'Staging Table'!H87*-1,'Staging Table'!H87*SUM(D85:I85)*(-1)),IF('Staging Table'!D87=1,'Staging Table'!BU87*-1,'Staging Table'!BU87*SUM(D85:I85)*(-1)))</f>
        <v>-1028001.8762347597</v>
      </c>
      <c r="K85" s="211">
        <f>IF(Init!$R$9="Yes",'Staging Table'!K87,'Staging Table'!BX87)*(-1)*Rates_previous!$H$32</f>
        <v>-460946.27854000003</v>
      </c>
      <c r="L85" s="211">
        <f>IF('Staging Table'!C87=1,"",SUM(D85:K85))</f>
        <v>14326465.325760003</v>
      </c>
      <c r="M85" s="211">
        <f>IF('Staging Table'!C87=1,"",IF(Init!$R$9="Yes",(RT1SC!$C$3*'Staging Table'!E87*'Staging Table'!$F$2)+SUM('Staging Table'!L87:AI87)-IF(Init!$R$12="No",'Staging Table'!BH87, 0),X85))</f>
        <v>408438.43199999997</v>
      </c>
      <c r="N85" s="95">
        <f>IF('Staging Table'!C87=1,"",IF(M85=0, 0, L85/M85))</f>
        <v>35.076193137868096</v>
      </c>
      <c r="O85" s="211">
        <f>'Staging Table'!BR87*Rates_current!$E$76*100*12</f>
        <v>15873988.440028891</v>
      </c>
      <c r="P85" s="211">
        <f>'Staging Table'!BS87*Rates_current!$E$77*100*12</f>
        <v>-2620833.5809911513</v>
      </c>
      <c r="Q85" s="212">
        <f>SUMPRODUCT('Staging Table'!BY87:CV87, LS_Demand_Rates_Restatement!$C$5:$Z$5)-IF(Init!$R$12="No",('Staging Table'!DU87*Rates_current!$H$34), 0)</f>
        <v>86828.92771349354</v>
      </c>
      <c r="R85" s="212">
        <f>SUMPRODUCT('Staging Table'!CW87:DH87, LS_Demand_Rates_Restatement!$C$11:$N$11)*1000</f>
        <v>1267125.8029766651</v>
      </c>
      <c r="S85" s="213">
        <f>'Staging Table'!ED87*IF(Init!$R$15="Yes",IF(Init!$R$6=2022,Rates_current!$C$88,Rates_current!$D$88),Rates_current!$H$33)</f>
        <v>0</v>
      </c>
      <c r="T85" s="213">
        <v>0</v>
      </c>
      <c r="U85" s="213">
        <f>IF('Staging Table'!D87=1, 'Staging Table'!BU87*-1,SUM(O85:T85)*'Staging Table'!BU87*-1)</f>
        <v>-1004359.5793345235</v>
      </c>
      <c r="V85" s="211">
        <f>'Staging Table'!BX87*Rates_current!$H$32*-1</f>
        <v>-452233.52260000008</v>
      </c>
      <c r="W85" s="211">
        <f>IF('Staging Table'!C87=1,"",SUM(O85:V85))</f>
        <v>13150516.487793373</v>
      </c>
      <c r="X85" s="211">
        <f>IF('Staging Table'!C87=1,"",(RT1SC!$C$4*'Staging Table'!BR87*'Staging Table'!$BS$2)+SUM('Staging Table'!BY87:CV87)-IF(Init!$R$12="No",'Staging Table'!DU87, 0))</f>
        <v>390617.16000000003</v>
      </c>
      <c r="Y85" s="95">
        <f>IF('Staging Table'!C87=1,"",IF(X85=0, 0, W85/X85))</f>
        <v>33.665997898795261</v>
      </c>
      <c r="Z85" s="87">
        <f ca="1">IF('Staging Table'!C87=1,"",(Y85/N85-1)+(RAND()/100000000000000))</f>
        <v>-4.0203771074298497E-2</v>
      </c>
      <c r="AA85" s="53">
        <f t="shared" ca="1" si="1"/>
        <v>89</v>
      </c>
      <c r="AD85" s="216"/>
      <c r="AE85" s="216"/>
      <c r="AF85" s="220"/>
      <c r="AG85" s="216"/>
      <c r="AH85" s="216"/>
    </row>
    <row r="86" spans="2:34">
      <c r="B86" s="3">
        <v>10258</v>
      </c>
      <c r="C86" s="4" t="s">
        <v>89</v>
      </c>
      <c r="D86" s="211">
        <f>IF(Init!$R$9="Yes",'Staging Table'!E88,'Staging Table'!BR88)*Rates_previous!$E$76*100*12</f>
        <v>12772665.51912</v>
      </c>
      <c r="E86" s="211">
        <f>IF(Init!$R$9="Yes",'Staging Table'!F88,'Staging Table'!BS88)*Rates_previous!$E$77*100*12</f>
        <v>-1292161.8995999999</v>
      </c>
      <c r="F86" s="212">
        <f>IF(Init!$R$9="Yes",SUMPRODUCT('Staging Table'!L88:AI88,LS_Demand_Rates_Restatement!$C$4:$Z$4)-IF(Init!$R$12="No",('Staging Table'!BH88*Rates_previous!$H$34), 0),SUMPRODUCT('Staging Table'!BY88:CV88,LS_Demand_Rates_Restatement!$C$4:$Z$4)-IF(Init!$R$12="No", 'Staging Table'!DU88*Rates_previous!$H$34, 0))</f>
        <v>384855.11415849382</v>
      </c>
      <c r="G86" s="212">
        <f>IF(Init!$R$9="Yes",SUMPRODUCT('Staging Table'!AJ88:AU88,LS_Demand_Rates_Restatement!$C$10:$N$10),SUMPRODUCT(LS_Demand_Rates_Restatement!$C$10:$N$10,'Staging Table'!CW88:DH88))*1000</f>
        <v>944353.9366862179</v>
      </c>
      <c r="H86" s="213">
        <f>IF(Init!$R$9="Yes",'Staging Table'!BQ88,'Staging Table'!ED88)*IF(Init!$R$3=2020,Rates_previous!$C$88,Rates_previous!$D$88)</f>
        <v>0</v>
      </c>
      <c r="I86" s="211">
        <f>IF(Init!$R$9="Yes",IF('Staging Table'!$F$1=2020,(SUM('Staging Table'!AX88:BD88)*Rates_previous!$C$87),(SUM('Staging Table'!AX88:BD88)*Rates_previous!$D$87)),IF('Staging Table'!$F$1=2020,(SUM('Staging Table'!DK88:DQ88)*Rates_previous!$C$87),(SUM('Staging Table'!DK88:DQ88)*Rates_previous!$D$87)))</f>
        <v>156684.28787595211</v>
      </c>
      <c r="J86" s="213">
        <f>IF(Init!$R$9="Yes",IF('Staging Table'!D88=1,'Staging Table'!H88*-1,'Staging Table'!H88*SUM(D86:I86)*(-1)),IF('Staging Table'!D88=1,'Staging Table'!BU88*-1,'Staging Table'!BU88*SUM(D86:I86)*(-1)))</f>
        <v>-781981.82709932246</v>
      </c>
      <c r="K86" s="211">
        <f>IF(Init!$R$9="Yes",'Staging Table'!K88,'Staging Table'!BX88)*(-1)*Rates_previous!$H$32</f>
        <v>-204279.81442000001</v>
      </c>
      <c r="L86" s="211">
        <f>IF('Staging Table'!C88=1,"",SUM(D86:K86))</f>
        <v>11980135.316721343</v>
      </c>
      <c r="M86" s="211">
        <f>IF('Staging Table'!C88=1,"",IF(Init!$R$9="Yes",(RT1SC!$C$3*'Staging Table'!E88*'Staging Table'!$F$2)+SUM('Staging Table'!L88:AI88)-IF(Init!$R$12="No",'Staging Table'!BH88, 0),X86))</f>
        <v>331604.78399999999</v>
      </c>
      <c r="N86" s="95">
        <f>IF('Staging Table'!C88=1,"",IF(M86=0, 0, L86/M86))</f>
        <v>36.127751753790569</v>
      </c>
      <c r="O86" s="211">
        <f>'Staging Table'!BR88*Rates_current!$E$76*100*12</f>
        <v>12887633.512940638</v>
      </c>
      <c r="P86" s="211">
        <f>'Staging Table'!BS88*Rates_current!$E$77*100*12</f>
        <v>-2127779.2167877071</v>
      </c>
      <c r="Q86" s="212">
        <f>SUMPRODUCT('Staging Table'!BY88:CV88, LS_Demand_Rates_Restatement!$C$5:$Z$5)-IF(Init!$R$12="No",('Staging Table'!DU88*Rates_current!$H$34), 0)</f>
        <v>331140.43980526272</v>
      </c>
      <c r="R86" s="212">
        <f>SUMPRODUCT('Staging Table'!CW88:DH88, LS_Demand_Rates_Restatement!$C$11:$N$11)*1000</f>
        <v>870440.07770648145</v>
      </c>
      <c r="S86" s="213">
        <f>'Staging Table'!ED88*IF(Init!$R$15="Yes",IF(Init!$R$6=2022,Rates_current!$C$88,Rates_current!$D$88),Rates_current!$H$33)</f>
        <v>0</v>
      </c>
      <c r="T86" s="213">
        <v>0</v>
      </c>
      <c r="U86" s="213">
        <f>IF('Staging Table'!D88=1, 'Staging Table'!BU88*-1,SUM(O86:T86)*'Staging Table'!BU88*-1)</f>
        <v>-705381.69037612411</v>
      </c>
      <c r="V86" s="211">
        <f>'Staging Table'!BX88*Rates_current!$H$32*-1</f>
        <v>-200418.53980000003</v>
      </c>
      <c r="W86" s="211">
        <f>IF('Staging Table'!C88=1,"",SUM(O86:V86))</f>
        <v>11055634.583488552</v>
      </c>
      <c r="X86" s="211">
        <f>IF('Staging Table'!C88=1,"",(RT1SC!$C$4*'Staging Table'!BR88*'Staging Table'!$BS$2)+SUM('Staging Table'!BY88:CV88)-IF(Init!$R$12="No",'Staging Table'!DU88, 0))</f>
        <v>314303.95122248668</v>
      </c>
      <c r="Y86" s="95">
        <f>IF('Staging Table'!C88=1,"",IF(X86=0, 0, W86/X86))</f>
        <v>35.174978044302691</v>
      </c>
      <c r="Z86" s="87">
        <f ca="1">IF('Staging Table'!C88=1,"",(Y86/N86-1)+(RAND()/100000000000000))</f>
        <v>-2.6372349876097198E-2</v>
      </c>
      <c r="AA86" s="53">
        <f t="shared" ca="1" si="1"/>
        <v>17</v>
      </c>
      <c r="AD86" s="216"/>
      <c r="AE86" s="216"/>
      <c r="AF86" s="220"/>
      <c r="AG86" s="216"/>
      <c r="AH86" s="216"/>
    </row>
    <row r="87" spans="2:34">
      <c r="B87" s="3">
        <v>10259</v>
      </c>
      <c r="C87" s="4" t="s">
        <v>90</v>
      </c>
      <c r="D87" s="211">
        <f>IF(Init!$R$9="Yes",'Staging Table'!E89,'Staging Table'!BR89)*Rates_previous!$E$76*100*12</f>
        <v>9081944.6146799996</v>
      </c>
      <c r="E87" s="211">
        <f>IF(Init!$R$9="Yes",'Staging Table'!F89,'Staging Table'!BS89)*Rates_previous!$E$77*100*12</f>
        <v>-918785.72940000007</v>
      </c>
      <c r="F87" s="212">
        <f>IF(Init!$R$9="Yes",SUMPRODUCT('Staging Table'!L89:AI89,LS_Demand_Rates_Restatement!$C$4:$Z$4)-IF(Init!$R$12="No",('Staging Table'!BH89*Rates_previous!$H$34), 0),SUMPRODUCT('Staging Table'!BY89:CV89,LS_Demand_Rates_Restatement!$C$4:$Z$4)-IF(Init!$R$12="No", 'Staging Table'!DU89*Rates_previous!$H$34, 0))</f>
        <v>146444.84051263338</v>
      </c>
      <c r="G87" s="212">
        <f>IF(Init!$R$9="Yes",SUMPRODUCT('Staging Table'!AJ89:AU89,LS_Demand_Rates_Restatement!$C$10:$N$10),SUMPRODUCT(LS_Demand_Rates_Restatement!$C$10:$N$10,'Staging Table'!CW89:DH89))*1000</f>
        <v>509489.77999700827</v>
      </c>
      <c r="H87" s="213">
        <f>IF(Init!$R$9="Yes",'Staging Table'!BQ89,'Staging Table'!ED89)*IF(Init!$R$3=2020,Rates_previous!$C$88,Rates_previous!$D$88)</f>
        <v>0</v>
      </c>
      <c r="I87" s="211">
        <f>IF(Init!$R$9="Yes",IF('Staging Table'!$F$1=2020,(SUM('Staging Table'!AX89:BD89)*Rates_previous!$C$87),(SUM('Staging Table'!AX89:BD89)*Rates_previous!$D$87)),IF('Staging Table'!$F$1=2020,(SUM('Staging Table'!DK89:DQ89)*Rates_previous!$C$87),(SUM('Staging Table'!DK89:DQ89)*Rates_previous!$D$87)))</f>
        <v>111409.63664552411</v>
      </c>
      <c r="J87" s="213">
        <f>IF(Init!$R$9="Yes",IF('Staging Table'!D89=1,'Staging Table'!H89*-1,'Staging Table'!H89*SUM(D87:I87)*(-1)),IF('Staging Table'!D89=1,'Staging Table'!BU89*-1,'Staging Table'!BU89*SUM(D87:I87)*(-1)))</f>
        <v>-582796.59053610999</v>
      </c>
      <c r="K87" s="211">
        <f>IF(Init!$R$9="Yes",'Staging Table'!K89,'Staging Table'!BX89)*(-1)*Rates_previous!$H$32</f>
        <v>0</v>
      </c>
      <c r="L87" s="211">
        <f>IF('Staging Table'!C89=1,"",SUM(D87:K87))</f>
        <v>8347706.551899055</v>
      </c>
      <c r="M87" s="211">
        <f>IF('Staging Table'!C89=1,"",IF(Init!$R$9="Yes",(RT1SC!$C$3*'Staging Table'!E89*'Staging Table'!$F$2)+SUM('Staging Table'!L89:AI89)-IF(Init!$R$12="No",'Staging Table'!BH89, 0),X87))</f>
        <v>235788.91200000001</v>
      </c>
      <c r="N87" s="95">
        <f>IF('Staging Table'!C89=1,"",IF(M87=0, 0, L87/M87))</f>
        <v>35.403304087085552</v>
      </c>
      <c r="O87" s="211">
        <f>'Staging Table'!BR89*Rates_current!$E$76*100*12</f>
        <v>9163622.7795628607</v>
      </c>
      <c r="P87" s="211">
        <f>'Staging Table'!BS89*Rates_current!$E$77*100*12</f>
        <v>-1512936.1089650705</v>
      </c>
      <c r="Q87" s="212">
        <f>SUMPRODUCT('Staging Table'!BY89:CV89, LS_Demand_Rates_Restatement!$C$5:$Z$5)-IF(Init!$R$12="No",('Staging Table'!DU89*Rates_current!$H$34), 0)</f>
        <v>134433.39948517739</v>
      </c>
      <c r="R87" s="212">
        <f>SUMPRODUCT('Staging Table'!CW89:DH89, LS_Demand_Rates_Restatement!$C$11:$N$11)*1000</f>
        <v>469889.39236656838</v>
      </c>
      <c r="S87" s="213">
        <f>'Staging Table'!ED89*IF(Init!$R$15="Yes",IF(Init!$R$6=2022,Rates_current!$C$88,Rates_current!$D$88),Rates_current!$H$33)</f>
        <v>0</v>
      </c>
      <c r="T87" s="213">
        <v>0</v>
      </c>
      <c r="U87" s="213">
        <f>IF('Staging Table'!D89=1, 'Staging Table'!BU89*-1,SUM(O87:T87)*'Staging Table'!BU89*-1)</f>
        <v>-604572.57152257313</v>
      </c>
      <c r="V87" s="211">
        <f>'Staging Table'!BX89*Rates_current!$H$32*-1</f>
        <v>0</v>
      </c>
      <c r="W87" s="211">
        <f>IF('Staging Table'!C89=1,"",SUM(O87:V87))</f>
        <v>7650436.8909269627</v>
      </c>
      <c r="X87" s="211">
        <f>IF('Staging Table'!C89=1,"",(RT1SC!$C$4*'Staging Table'!BR89*'Staging Table'!$BS$2)+SUM('Staging Table'!BY89:CV89)-IF(Init!$R$12="No",'Staging Table'!DU89, 0))</f>
        <v>225491.16</v>
      </c>
      <c r="Y87" s="95">
        <f>IF('Staging Table'!C89=1,"",IF(X87=0, 0, W87/X87))</f>
        <v>33.927879438497555</v>
      </c>
      <c r="Z87" s="87">
        <f ca="1">IF('Staging Table'!C89=1,"",(Y87/N87-1)+(RAND()/100000000000000))</f>
        <v>-4.1674772641515333E-2</v>
      </c>
      <c r="AA87" s="53">
        <f t="shared" ca="1" si="1"/>
        <v>96</v>
      </c>
      <c r="AD87" s="216"/>
      <c r="AE87" s="216"/>
      <c r="AF87" s="220"/>
      <c r="AG87" s="216"/>
      <c r="AH87" s="216"/>
    </row>
    <row r="88" spans="2:34">
      <c r="B88" s="3">
        <v>10260</v>
      </c>
      <c r="C88" s="4" t="s">
        <v>91</v>
      </c>
      <c r="D88" s="211">
        <f>IF(Init!$R$9="Yes",'Staging Table'!E90,'Staging Table'!BR90)*Rates_previous!$E$76*100*12</f>
        <v>8846179.5855599996</v>
      </c>
      <c r="E88" s="211">
        <f>IF(Init!$R$9="Yes",'Staging Table'!F90,'Staging Table'!BS90)*Rates_previous!$E$77*100*12</f>
        <v>-894934.27980000002</v>
      </c>
      <c r="F88" s="212">
        <f>IF(Init!$R$9="Yes",SUMPRODUCT('Staging Table'!L90:AI90,LS_Demand_Rates_Restatement!$C$4:$Z$4)-IF(Init!$R$12="No",('Staging Table'!BH90*Rates_previous!$H$34), 0),SUMPRODUCT('Staging Table'!BY90:CV90,LS_Demand_Rates_Restatement!$C$4:$Z$4)-IF(Init!$R$12="No", 'Staging Table'!DU90*Rates_previous!$H$34, 0))</f>
        <v>-75347.139529733482</v>
      </c>
      <c r="G88" s="212">
        <f>IF(Init!$R$9="Yes",SUMPRODUCT('Staging Table'!AJ90:AU90,LS_Demand_Rates_Restatement!$C$10:$N$10),SUMPRODUCT(LS_Demand_Rates_Restatement!$C$10:$N$10,'Staging Table'!CW90:DH90))*1000</f>
        <v>586553.09222699434</v>
      </c>
      <c r="H88" s="213">
        <f>IF(Init!$R$9="Yes",'Staging Table'!BQ90,'Staging Table'!ED90)*IF(Init!$R$3=2020,Rates_previous!$C$88,Rates_previous!$D$88)</f>
        <v>0</v>
      </c>
      <c r="I88" s="211">
        <f>IF(Init!$R$9="Yes",IF('Staging Table'!$F$1=2020,(SUM('Staging Table'!AX90:BD90)*Rates_previous!$C$87),(SUM('Staging Table'!AX90:BD90)*Rates_previous!$D$87)),IF('Staging Table'!$F$1=2020,(SUM('Staging Table'!DK90:DQ90)*Rates_previous!$C$87),(SUM('Staging Table'!DK90:DQ90)*Rates_previous!$D$87)))</f>
        <v>108517.47011705578</v>
      </c>
      <c r="J88" s="213">
        <f>IF(Init!$R$9="Yes",IF('Staging Table'!D90=1,'Staging Table'!H90*-1,'Staging Table'!H90*SUM(D88:I88)*(-1)),IF('Staging Table'!D90=1,'Staging Table'!BU90*-1,'Staging Table'!BU90*SUM(D88:I88)*(-1)))</f>
        <v>0</v>
      </c>
      <c r="K88" s="211">
        <f>IF(Init!$R$9="Yes",'Staging Table'!K90,'Staging Table'!BX90)*(-1)*Rates_previous!$H$32</f>
        <v>0</v>
      </c>
      <c r="L88" s="211">
        <f>IF('Staging Table'!C90=1,"",SUM(D88:K88))</f>
        <v>8570968.7285743151</v>
      </c>
      <c r="M88" s="211">
        <f>IF('Staging Table'!C90=1,"",IF(Init!$R$9="Yes",(RT1SC!$C$3*'Staging Table'!E90*'Staging Table'!$F$2)+SUM('Staging Table'!L90:AI90)-IF(Init!$R$12="No",'Staging Table'!BH90, 0),X88))</f>
        <v>219091.96662038361</v>
      </c>
      <c r="N88" s="95">
        <f>IF('Staging Table'!C90=1,"",IF(M88=0, 0, L88/M88))</f>
        <v>39.120415325063313</v>
      </c>
      <c r="O88" s="211">
        <f>'Staging Table'!BR90*Rates_current!$E$76*100*12</f>
        <v>8925731.1801352892</v>
      </c>
      <c r="P88" s="211">
        <f>'Staging Table'!BS90*Rates_current!$E$77*100*12</f>
        <v>-1473659.6350800775</v>
      </c>
      <c r="Q88" s="212">
        <f>SUMPRODUCT('Staging Table'!BY90:CV90, LS_Demand_Rates_Restatement!$C$5:$Z$5)-IF(Init!$R$12="No",('Staging Table'!DU90*Rates_current!$H$34), 0)</f>
        <v>-57536.743178143188</v>
      </c>
      <c r="R88" s="212">
        <f>SUMPRODUCT('Staging Table'!CW90:DH90, LS_Demand_Rates_Restatement!$C$11:$N$11)*1000</f>
        <v>537177.63324700855</v>
      </c>
      <c r="S88" s="213">
        <f>'Staging Table'!ED90*IF(Init!$R$15="Yes",IF(Init!$R$6=2022,Rates_current!$C$88,Rates_current!$D$88),Rates_current!$H$33)</f>
        <v>0</v>
      </c>
      <c r="T88" s="213">
        <v>0</v>
      </c>
      <c r="U88" s="213">
        <f>IF('Staging Table'!D90=1, 'Staging Table'!BU90*-1,SUM(O88:T88)*'Staging Table'!BU90*-1)</f>
        <v>0</v>
      </c>
      <c r="V88" s="211">
        <f>'Staging Table'!BX90*Rates_current!$H$32*-1</f>
        <v>0</v>
      </c>
      <c r="W88" s="211">
        <f>IF('Staging Table'!C90=1,"",SUM(O88:V88))</f>
        <v>7931712.4351240769</v>
      </c>
      <c r="X88" s="211">
        <f>IF('Staging Table'!C90=1,"",(RT1SC!$C$4*'Staging Table'!BR90*'Staging Table'!$BS$2)+SUM('Staging Table'!BY90:CV90)-IF(Init!$R$12="No",'Staging Table'!DU90, 0))</f>
        <v>213183.86523538738</v>
      </c>
      <c r="Y88" s="95">
        <f>IF('Staging Table'!C90=1,"",IF(X88=0, 0, W88/X88))</f>
        <v>37.205969721799825</v>
      </c>
      <c r="Z88" s="87">
        <f ca="1">IF('Staging Table'!C90=1,"",(Y88/N88-1)+(RAND()/100000000000000))</f>
        <v>-4.8937251492748052E-2</v>
      </c>
      <c r="AA88" s="53">
        <f t="shared" ca="1" si="1"/>
        <v>106</v>
      </c>
      <c r="AD88" s="216"/>
      <c r="AE88" s="216"/>
      <c r="AF88" s="220"/>
      <c r="AG88" s="216"/>
      <c r="AH88" s="216"/>
    </row>
    <row r="89" spans="2:34">
      <c r="B89" s="3">
        <v>10273</v>
      </c>
      <c r="C89" s="4" t="s">
        <v>92</v>
      </c>
      <c r="D89" s="211">
        <f>IF(Init!$R$9="Yes",'Staging Table'!E91,'Staging Table'!BR91)*Rates_previous!$E$76*100*12</f>
        <v>1979285.4460799997</v>
      </c>
      <c r="E89" s="211">
        <f>IF(Init!$R$9="Yes",'Staging Table'!F91,'Staging Table'!BS91)*Rates_previous!$E$77*100*12</f>
        <v>-200236.76639999999</v>
      </c>
      <c r="F89" s="212">
        <f>IF(Init!$R$9="Yes",SUMPRODUCT('Staging Table'!L91:AI91,LS_Demand_Rates_Restatement!$C$4:$Z$4)-IF(Init!$R$12="No",('Staging Table'!BH91*Rates_previous!$H$34), 0),SUMPRODUCT('Staging Table'!BY91:CV91,LS_Demand_Rates_Restatement!$C$4:$Z$4)-IF(Init!$R$12="No", 'Staging Table'!DU91*Rates_previous!$H$34, 0))</f>
        <v>-28913.870080217512</v>
      </c>
      <c r="G89" s="212">
        <f>IF(Init!$R$9="Yes",SUMPRODUCT('Staging Table'!AJ91:AU91,LS_Demand_Rates_Restatement!$C$10:$N$10),SUMPRODUCT(LS_Demand_Rates_Restatement!$C$10:$N$10,'Staging Table'!CW91:DH91))*1000</f>
        <v>250402.83263076923</v>
      </c>
      <c r="H89" s="213">
        <f>IF(Init!$R$9="Yes",'Staging Table'!BQ91,'Staging Table'!ED91)*IF(Init!$R$3=2020,Rates_previous!$C$88,Rates_previous!$D$88)</f>
        <v>0</v>
      </c>
      <c r="I89" s="211">
        <f>IF(Init!$R$9="Yes",IF('Staging Table'!$F$1=2020,(SUM('Staging Table'!AX91:BD91)*Rates_previous!$C$87),(SUM('Staging Table'!AX91:BD91)*Rates_previous!$D$87)),IF('Staging Table'!$F$1=2020,(SUM('Staging Table'!DK91:DQ91)*Rates_previous!$C$87),(SUM('Staging Table'!DK91:DQ91)*Rates_previous!$D$87)))</f>
        <v>24280.204484963881</v>
      </c>
      <c r="J89" s="213">
        <f>IF(Init!$R$9="Yes",IF('Staging Table'!D91=1,'Staging Table'!H91*-1,'Staging Table'!H91*SUM(D89:I89)*(-1)),IF('Staging Table'!D91=1,'Staging Table'!BU91*-1,'Staging Table'!BU91*SUM(D89:I89)*(-1)))</f>
        <v>-195355.11809653058</v>
      </c>
      <c r="K89" s="211">
        <f>IF(Init!$R$9="Yes",'Staging Table'!K91,'Staging Table'!BX91)*(-1)*Rates_previous!$H$32</f>
        <v>-105789.69774999999</v>
      </c>
      <c r="L89" s="211">
        <f>IF('Staging Table'!C91=1,"",SUM(D89:K89))</f>
        <v>1723673.0308689843</v>
      </c>
      <c r="M89" s="211">
        <f>IF('Staging Table'!C91=1,"",IF(Init!$R$9="Yes",(RT1SC!$C$3*'Staging Table'!E91*'Staging Table'!$F$2)+SUM('Staging Table'!L91:AI91)-IF(Init!$R$12="No",'Staging Table'!BH91, 0),X89))</f>
        <v>51386.399999999994</v>
      </c>
      <c r="N89" s="95">
        <f>IF('Staging Table'!C91=1,"",IF(M89=0, 0, L89/M89))</f>
        <v>33.543370052562246</v>
      </c>
      <c r="O89" s="211">
        <f>'Staging Table'!BR91*Rates_current!$E$76*100*12</f>
        <v>1997138.3468072722</v>
      </c>
      <c r="P89" s="211">
        <f>'Staging Table'!BS91*Rates_current!$E$77*100*12</f>
        <v>-329732.3331796584</v>
      </c>
      <c r="Q89" s="212">
        <f>SUMPRODUCT('Staging Table'!BY91:CV91, LS_Demand_Rates_Restatement!$C$5:$Z$5)-IF(Init!$R$12="No",('Staging Table'!DU91*Rates_current!$H$34), 0)</f>
        <v>-78952.770401475951</v>
      </c>
      <c r="R89" s="212">
        <f>SUMPRODUCT('Staging Table'!CW91:DH91, LS_Demand_Rates_Restatement!$C$11:$N$11)*1000</f>
        <v>229534.81454821941</v>
      </c>
      <c r="S89" s="213">
        <f>'Staging Table'!ED91*IF(Init!$R$15="Yes",IF(Init!$R$6=2022,Rates_current!$C$88,Rates_current!$D$88),Rates_current!$H$33)</f>
        <v>0</v>
      </c>
      <c r="T89" s="213">
        <v>0</v>
      </c>
      <c r="U89" s="213">
        <f>IF('Staging Table'!D91=1, 'Staging Table'!BU91*-1,SUM(O89:T89)*'Staging Table'!BU91*-1)</f>
        <v>-191886.85715685028</v>
      </c>
      <c r="V89" s="211">
        <f>'Staging Table'!BX91*Rates_current!$H$32*-1</f>
        <v>-103790.07249999999</v>
      </c>
      <c r="W89" s="211">
        <f>IF('Staging Table'!C91=1,"",SUM(O89:V89))</f>
        <v>1522311.1281175071</v>
      </c>
      <c r="X89" s="211">
        <f>IF('Staging Table'!C91=1,"",(RT1SC!$C$4*'Staging Table'!BR91*'Staging Table'!$BS$2)+SUM('Staging Table'!BY91:CV91)-IF(Init!$R$12="No",'Staging Table'!DU91, 0))</f>
        <v>47327.247513925475</v>
      </c>
      <c r="Y89" s="95">
        <f>IF('Staging Table'!C91=1,"",IF(X89=0, 0, W89/X89))</f>
        <v>32.165638360219141</v>
      </c>
      <c r="Z89" s="87">
        <f ca="1">IF('Staging Table'!C91=1,"",(Y89/N89-1)+(RAND()/100000000000000))</f>
        <v>-4.1073144713367017E-2</v>
      </c>
      <c r="AA89" s="53">
        <f t="shared" ca="1" si="1"/>
        <v>94</v>
      </c>
      <c r="AD89" s="216"/>
      <c r="AE89" s="216"/>
      <c r="AF89" s="220"/>
      <c r="AG89" s="216"/>
      <c r="AH89" s="216"/>
    </row>
    <row r="90" spans="2:34">
      <c r="B90" s="3">
        <v>10278</v>
      </c>
      <c r="C90" s="4" t="s">
        <v>93</v>
      </c>
      <c r="D90" s="211">
        <f>IF(Init!$R$9="Yes",'Staging Table'!E92,'Staging Table'!BR92)*Rates_previous!$E$76*100*12</f>
        <v>12062518.43544</v>
      </c>
      <c r="E90" s="211">
        <f>IF(Init!$R$9="Yes",'Staging Table'!F92,'Staging Table'!BS92)*Rates_previous!$E$77*100*12</f>
        <v>-1220319.0252</v>
      </c>
      <c r="F90" s="212">
        <f>IF(Init!$R$9="Yes",SUMPRODUCT('Staging Table'!L92:AI92,LS_Demand_Rates_Restatement!$C$4:$Z$4)-IF(Init!$R$12="No",('Staging Table'!BH92*Rates_previous!$H$34), 0),SUMPRODUCT('Staging Table'!BY92:CV92,LS_Demand_Rates_Restatement!$C$4:$Z$4)-IF(Init!$R$12="No", 'Staging Table'!DU92*Rates_previous!$H$34, 0))</f>
        <v>0</v>
      </c>
      <c r="G90" s="212">
        <f>IF(Init!$R$9="Yes",SUMPRODUCT('Staging Table'!AJ92:AU92,LS_Demand_Rates_Restatement!$C$10:$N$10),SUMPRODUCT(LS_Demand_Rates_Restatement!$C$10:$N$10,'Staging Table'!CW92:DH92))*1000</f>
        <v>0</v>
      </c>
      <c r="H90" s="213">
        <f>IF(Init!$R$9="Yes",'Staging Table'!BQ92,'Staging Table'!ED92)*IF(Init!$R$3=2020,Rates_previous!$C$88,Rates_previous!$D$88)</f>
        <v>28.640119283536915</v>
      </c>
      <c r="I90" s="211">
        <f>IF(Init!$R$9="Yes",IF('Staging Table'!$F$1=2020,(SUM('Staging Table'!AX92:BD92)*Rates_previous!$C$87),(SUM('Staging Table'!AX92:BD92)*Rates_previous!$D$87)),IF('Staging Table'!$F$1=2020,(SUM('Staging Table'!DK92:DQ92)*Rates_previous!$C$87),(SUM('Staging Table'!DK92:DQ92)*Rates_previous!$D$87)))</f>
        <v>147972.80240512209</v>
      </c>
      <c r="J90" s="213">
        <f>IF(Init!$R$9="Yes",IF('Staging Table'!D92=1,'Staging Table'!H92*-1,'Staging Table'!H92*SUM(D90:I90)*(-1)),IF('Staging Table'!D92=1,'Staging Table'!BU92*-1,'Staging Table'!BU92*SUM(D90:I90)*(-1)))</f>
        <v>-714363.05542968644</v>
      </c>
      <c r="K90" s="211">
        <f>IF(Init!$R$9="Yes",'Staging Table'!K92,'Staging Table'!BX92)*(-1)*Rates_previous!$H$32</f>
        <v>0</v>
      </c>
      <c r="L90" s="211" t="str">
        <f>IF('Staging Table'!C92=1,"",SUM(D90:K90))</f>
        <v/>
      </c>
      <c r="M90" s="211" t="str">
        <f>IF('Staging Table'!C92=1,"",IF(Init!$R$9="Yes",(RT1SC!$C$3*'Staging Table'!E92*'Staging Table'!$F$2)+SUM('Staging Table'!L92:AI92)-IF(Init!$R$12="No",'Staging Table'!BH92, 0),X90))</f>
        <v/>
      </c>
      <c r="N90" s="95" t="str">
        <f>IF('Staging Table'!C92=1,"",IF(M90=0, 0, L90/M90))</f>
        <v/>
      </c>
      <c r="O90" s="211">
        <f>'Staging Table'!BR92*Rates_current!$E$76*100*12</f>
        <v>12200577.633545486</v>
      </c>
      <c r="P90" s="211">
        <f>'Staging Table'!BS92*Rates_current!$E$77*100*12</f>
        <v>-2014344.6425130044</v>
      </c>
      <c r="Q90" s="212">
        <f>SUMPRODUCT('Staging Table'!BY92:CV92, LS_Demand_Rates_Restatement!$C$5:$Z$5)-IF(Init!$R$12="No",('Staging Table'!DU92*Rates_current!$H$34), 0)</f>
        <v>0</v>
      </c>
      <c r="R90" s="212">
        <f>SUMPRODUCT('Staging Table'!CW92:DH92, LS_Demand_Rates_Restatement!$C$11:$N$11)*1000</f>
        <v>0</v>
      </c>
      <c r="S90" s="213">
        <f>'Staging Table'!ED92*IF(Init!$R$15="Yes",IF(Init!$R$6=2022,Rates_current!$C$88,Rates_current!$D$88),Rates_current!$H$33)</f>
        <v>0</v>
      </c>
      <c r="T90" s="213">
        <v>0</v>
      </c>
      <c r="U90" s="213">
        <f>IF('Staging Table'!D92=1, 'Staging Table'!BU92*-1,SUM(O90:T90)*'Staging Table'!BU92*-1)</f>
        <v>-742994.33208268229</v>
      </c>
      <c r="V90" s="211">
        <f>'Staging Table'!BX92*Rates_current!$H$32*-1</f>
        <v>0</v>
      </c>
      <c r="W90" s="211" t="str">
        <f>IF('Staging Table'!C92=1,"",SUM(O90:V90))</f>
        <v/>
      </c>
      <c r="X90" s="211" t="str">
        <f>IF('Staging Table'!C92=1,"",(RT1SC!$C$4*'Staging Table'!BR92*'Staging Table'!$BS$2)+SUM('Staging Table'!BY92:CV92)-IF(Init!$R$12="No",'Staging Table'!DU92, 0))</f>
        <v/>
      </c>
      <c r="Y90" s="95" t="str">
        <f>IF('Staging Table'!C92=1,"",IF(X90=0, 0, W90/X90))</f>
        <v/>
      </c>
      <c r="Z90" s="87" t="str">
        <f ca="1">IF('Staging Table'!C92=1,"",(Y90/N90-1)+(RAND()/100000000000000))</f>
        <v/>
      </c>
      <c r="AA90" s="53" t="str">
        <f t="shared" ca="1" si="1"/>
        <v/>
      </c>
      <c r="AD90" s="216"/>
      <c r="AE90" s="216"/>
      <c r="AF90" s="220"/>
      <c r="AG90" s="216"/>
      <c r="AH90" s="216"/>
    </row>
    <row r="91" spans="2:34">
      <c r="B91" s="3">
        <v>10279</v>
      </c>
      <c r="C91" s="4" t="s">
        <v>94</v>
      </c>
      <c r="D91" s="211">
        <f>IF(Init!$R$9="Yes",'Staging Table'!E93,'Staging Table'!BR93)*Rates_previous!$E$76*100*12</f>
        <v>21796381.875599999</v>
      </c>
      <c r="E91" s="211">
        <f>IF(Init!$R$9="Yes",'Staging Table'!F93,'Staging Table'!BS93)*Rates_previous!$E$77*100*12</f>
        <v>-2205056.898</v>
      </c>
      <c r="F91" s="212">
        <f>IF(Init!$R$9="Yes",SUMPRODUCT('Staging Table'!L93:AI93,LS_Demand_Rates_Restatement!$C$4:$Z$4)-IF(Init!$R$12="No",('Staging Table'!BH93*Rates_previous!$H$34), 0),SUMPRODUCT('Staging Table'!BY93:CV93,LS_Demand_Rates_Restatement!$C$4:$Z$4)-IF(Init!$R$12="No", 'Staging Table'!DU93*Rates_previous!$H$34, 0))</f>
        <v>-2300420.8781673312</v>
      </c>
      <c r="G91" s="212">
        <f>IF(Init!$R$9="Yes",SUMPRODUCT('Staging Table'!AJ93:AU93,LS_Demand_Rates_Restatement!$C$10:$N$10),SUMPRODUCT(LS_Demand_Rates_Restatement!$C$10:$N$10,'Staging Table'!CW93:DH93))*1000</f>
        <v>0</v>
      </c>
      <c r="H91" s="213">
        <f>IF(Init!$R$9="Yes",'Staging Table'!BQ93,'Staging Table'!ED93)*IF(Init!$R$3=2020,Rates_previous!$C$88,Rates_previous!$D$88)</f>
        <v>0</v>
      </c>
      <c r="I91" s="211">
        <f>IF(Init!$R$9="Yes",IF('Staging Table'!$F$1=2020,(SUM('Staging Table'!AX93:BD93)*Rates_previous!$C$87),(SUM('Staging Table'!AX93:BD93)*Rates_previous!$D$87)),IF('Staging Table'!$F$1=2020,(SUM('Staging Table'!DK93:DQ93)*Rates_previous!$C$87),(SUM('Staging Table'!DK93:DQ93)*Rates_previous!$D$87)))</f>
        <v>267379.62936071533</v>
      </c>
      <c r="J91" s="213">
        <f>IF(Init!$R$9="Yes",IF('Staging Table'!D93=1,'Staging Table'!H93*-1,'Staging Table'!H93*SUM(D91:I91)*(-1)),IF('Staging Table'!D93=1,'Staging Table'!BU93*-1,'Staging Table'!BU93*SUM(D91:I91)*(-1)))</f>
        <v>0</v>
      </c>
      <c r="K91" s="211">
        <f>IF(Init!$R$9="Yes",'Staging Table'!K93,'Staging Table'!BX93)*(-1)*Rates_previous!$H$32</f>
        <v>0</v>
      </c>
      <c r="L91" s="211">
        <f>IF('Staging Table'!C93=1,"",SUM(D91:K91))</f>
        <v>17558283.728793386</v>
      </c>
      <c r="M91" s="211">
        <f>IF('Staging Table'!C93=1,"",IF(Init!$R$9="Yes",(RT1SC!$C$3*'Staging Table'!E93*'Staging Table'!$F$2)+SUM('Staging Table'!L93:AI93)-IF(Init!$R$12="No",'Staging Table'!BH93, 0),X91))</f>
        <v>439250.58924003597</v>
      </c>
      <c r="N91" s="95">
        <f>IF('Staging Table'!C93=1,"",IF(M91=0, 0, L91/M91))</f>
        <v>39.973273022061591</v>
      </c>
      <c r="O91" s="211">
        <f>'Staging Table'!BR93*Rates_current!$E$76*100*12</f>
        <v>21992982.44304695</v>
      </c>
      <c r="P91" s="211">
        <f>'Staging Table'!BS93*Rates_current!$E$77*100*12</f>
        <v>-3631094.1733797397</v>
      </c>
      <c r="Q91" s="212">
        <f>SUMPRODUCT('Staging Table'!BY93:CV93, LS_Demand_Rates_Restatement!$C$5:$Z$5)-IF(Init!$R$12="No",('Staging Table'!DU93*Rates_current!$H$34), 0)</f>
        <v>81737.273156133597</v>
      </c>
      <c r="R91" s="212">
        <f>SUMPRODUCT('Staging Table'!CW93:DH93, LS_Demand_Rates_Restatement!$C$11:$N$11)*1000</f>
        <v>0</v>
      </c>
      <c r="S91" s="213">
        <f>'Staging Table'!ED93*IF(Init!$R$15="Yes",IF(Init!$R$6=2022,Rates_current!$C$88,Rates_current!$D$88),Rates_current!$H$33)</f>
        <v>0</v>
      </c>
      <c r="T91" s="213">
        <v>0</v>
      </c>
      <c r="U91" s="213">
        <f>IF('Staging Table'!D93=1, 'Staging Table'!BU93*-1,SUM(O91:T91)*'Staging Table'!BU93*-1)</f>
        <v>0</v>
      </c>
      <c r="V91" s="211">
        <f>'Staging Table'!BX93*Rates_current!$H$32*-1</f>
        <v>0</v>
      </c>
      <c r="W91" s="211">
        <f>IF('Staging Table'!C93=1,"",SUM(O91:V91))</f>
        <v>18443625.542823341</v>
      </c>
      <c r="X91" s="211">
        <f>IF('Staging Table'!C93=1,"",(RT1SC!$C$4*'Staging Table'!BR93*'Staging Table'!$BS$2)+SUM('Staging Table'!BY93:CV93)-IF(Init!$R$12="No",'Staging Table'!DU93, 0))</f>
        <v>541184.04</v>
      </c>
      <c r="Y91" s="95">
        <f>IF('Staging Table'!C93=1,"",IF(X91=0, 0, W91/X91))</f>
        <v>34.080135738709771</v>
      </c>
      <c r="Z91" s="87">
        <f ca="1">IF('Staging Table'!C93=1,"",(Y91/N91-1)+(RAND()/100000000000000))</f>
        <v>-0.147426938997442</v>
      </c>
      <c r="AA91" s="53">
        <f t="shared" ca="1" si="1"/>
        <v>117</v>
      </c>
      <c r="AD91" s="216"/>
      <c r="AE91" s="216"/>
      <c r="AF91" s="220"/>
      <c r="AG91" s="216"/>
      <c r="AH91" s="216"/>
    </row>
    <row r="92" spans="2:34">
      <c r="B92" s="3">
        <v>10284</v>
      </c>
      <c r="C92" s="4" t="s">
        <v>95</v>
      </c>
      <c r="D92" s="211">
        <f>IF(Init!$R$9="Yes",'Staging Table'!E94,'Staging Table'!BR94)*Rates_previous!$E$76*100*12</f>
        <v>3324477.0436800001</v>
      </c>
      <c r="E92" s="211">
        <f>IF(Init!$R$9="Yes",'Staging Table'!F94,'Staging Table'!BS94)*Rates_previous!$E$77*100*12</f>
        <v>-336324.67440000002</v>
      </c>
      <c r="F92" s="212">
        <f>IF(Init!$R$9="Yes",SUMPRODUCT('Staging Table'!L94:AI94,LS_Demand_Rates_Restatement!$C$4:$Z$4)-IF(Init!$R$12="No",('Staging Table'!BH94*Rates_previous!$H$34), 0),SUMPRODUCT('Staging Table'!BY94:CV94,LS_Demand_Rates_Restatement!$C$4:$Z$4)-IF(Init!$R$12="No", 'Staging Table'!DU94*Rates_previous!$H$34, 0))</f>
        <v>130016.88758468354</v>
      </c>
      <c r="G92" s="212">
        <f>IF(Init!$R$9="Yes",SUMPRODUCT('Staging Table'!AJ94:AU94,LS_Demand_Rates_Restatement!$C$10:$N$10),SUMPRODUCT(LS_Demand_Rates_Restatement!$C$10:$N$10,'Staging Table'!CW94:DH94))*1000</f>
        <v>244546.22495566239</v>
      </c>
      <c r="H92" s="213">
        <f>IF(Init!$R$9="Yes",'Staging Table'!BQ94,'Staging Table'!ED94)*IF(Init!$R$3=2020,Rates_previous!$C$88,Rates_previous!$D$88)</f>
        <v>38378.52576000007</v>
      </c>
      <c r="I92" s="211">
        <f>IF(Init!$R$9="Yes",IF('Staging Table'!$F$1=2020,(SUM('Staging Table'!AX94:BD94)*Rates_previous!$C$87),(SUM('Staging Table'!AX94:BD94)*Rates_previous!$D$87)),IF('Staging Table'!$F$1=2020,(SUM('Staging Table'!DK94:DQ94)*Rates_previous!$C$87),(SUM('Staging Table'!DK94:DQ94)*Rates_previous!$D$87)))</f>
        <v>40781.880443764989</v>
      </c>
      <c r="J92" s="213">
        <f>IF(Init!$R$9="Yes",IF('Staging Table'!D94=1,'Staging Table'!H94*-1,'Staging Table'!H94*SUM(D92:I92)*(-1)),IF('Staging Table'!D94=1,'Staging Table'!BU94*-1,'Staging Table'!BU94*SUM(D92:I92)*(-1)))</f>
        <v>-172093.79440120555</v>
      </c>
      <c r="K92" s="211">
        <f>IF(Init!$R$9="Yes",'Staging Table'!K94,'Staging Table'!BX94)*(-1)*Rates_previous!$H$32</f>
        <v>0</v>
      </c>
      <c r="L92" s="211">
        <f>IF('Staging Table'!C94=1,"",SUM(D92:K92))</f>
        <v>3269782.0936229052</v>
      </c>
      <c r="M92" s="211">
        <f>IF('Staging Table'!C94=1,"",IF(Init!$R$9="Yes",(RT1SC!$C$3*'Staging Table'!E94*'Staging Table'!$F$2)+SUM('Staging Table'!L94:AI94)-IF(Init!$R$12="No",'Staging Table'!BH94, 0),X92))</f>
        <v>88762.32</v>
      </c>
      <c r="N92" s="95">
        <f>IF('Staging Table'!C94=1,"",IF(M92=0, 0, L92/M92))</f>
        <v>36.837501471603098</v>
      </c>
      <c r="O92" s="211">
        <f>'Staging Table'!BR94*Rates_current!$E$76*100*12</f>
        <v>3449668.0017798534</v>
      </c>
      <c r="P92" s="211">
        <f>'Staging Table'!BS94*Rates_current!$E$77*100*12</f>
        <v>-569548.46455203975</v>
      </c>
      <c r="Q92" s="212">
        <f>SUMPRODUCT('Staging Table'!BY94:CV94, LS_Demand_Rates_Restatement!$C$5:$Z$5)-IF(Init!$R$12="No",('Staging Table'!DU94*Rates_current!$H$34), 0)</f>
        <v>77152.107579748175</v>
      </c>
      <c r="R92" s="212">
        <f>SUMPRODUCT('Staging Table'!CW94:DH94, LS_Demand_Rates_Restatement!$C$11:$N$11)*1000</f>
        <v>227876.3266214121</v>
      </c>
      <c r="S92" s="213">
        <f>'Staging Table'!ED94*IF(Init!$R$15="Yes",IF(Init!$R$6=2022,Rates_current!$C$88,Rates_current!$D$88),Rates_current!$H$33)</f>
        <v>0</v>
      </c>
      <c r="T92" s="213">
        <v>0</v>
      </c>
      <c r="U92" s="213">
        <f>IF('Staging Table'!D94=1, 'Staging Table'!BU94*-1,SUM(O92:T92)*'Staging Table'!BU94*-1)</f>
        <v>-160785.87515216539</v>
      </c>
      <c r="V92" s="211">
        <f>'Staging Table'!BX94*Rates_current!$H$32*-1</f>
        <v>0</v>
      </c>
      <c r="W92" s="211">
        <f>IF('Staging Table'!C94=1,"",SUM(O92:V92))</f>
        <v>3024362.0962768085</v>
      </c>
      <c r="X92" s="211">
        <f>IF('Staging Table'!C94=1,"",(RT1SC!$C$4*'Staging Table'!BR94*'Staging Table'!$BS$2)+SUM('Staging Table'!BY94:CV94)-IF(Init!$R$12="No",'Staging Table'!DU94, 0))</f>
        <v>84884.4</v>
      </c>
      <c r="Y92" s="95">
        <f>IF('Staging Table'!C94=1,"",IF(X92=0, 0, W92/X92))</f>
        <v>35.62918623771634</v>
      </c>
      <c r="Z92" s="87">
        <f ca="1">IF('Staging Table'!C94=1,"",(Y92/N92-1)+(RAND()/100000000000000))</f>
        <v>-3.280122662005739E-2</v>
      </c>
      <c r="AA92" s="53">
        <f t="shared" ca="1" si="1"/>
        <v>33</v>
      </c>
      <c r="AD92" s="216"/>
      <c r="AE92" s="216"/>
      <c r="AF92" s="220"/>
      <c r="AG92" s="216"/>
      <c r="AH92" s="216"/>
    </row>
    <row r="93" spans="2:34">
      <c r="B93" s="3">
        <v>10285</v>
      </c>
      <c r="C93" s="4" t="s">
        <v>96</v>
      </c>
      <c r="D93" s="211">
        <f>IF(Init!$R$9="Yes",'Staging Table'!E95,'Staging Table'!BR95)*Rates_previous!$E$76*100*12</f>
        <v>2197225.4981999998</v>
      </c>
      <c r="E93" s="211">
        <f>IF(Init!$R$9="Yes",'Staging Table'!F95,'Staging Table'!BS95)*Rates_previous!$E$77*100*12</f>
        <v>-222284.93099999998</v>
      </c>
      <c r="F93" s="212">
        <f>IF(Init!$R$9="Yes",SUMPRODUCT('Staging Table'!L95:AI95,LS_Demand_Rates_Restatement!$C$4:$Z$4)-IF(Init!$R$12="No",('Staging Table'!BH95*Rates_previous!$H$34), 0),SUMPRODUCT('Staging Table'!BY95:CV95,LS_Demand_Rates_Restatement!$C$4:$Z$4)-IF(Init!$R$12="No", 'Staging Table'!DU95*Rates_previous!$H$34, 0))</f>
        <v>0</v>
      </c>
      <c r="G93" s="212">
        <f>IF(Init!$R$9="Yes",SUMPRODUCT('Staging Table'!AJ95:AU95,LS_Demand_Rates_Restatement!$C$10:$N$10),SUMPRODUCT(LS_Demand_Rates_Restatement!$C$10:$N$10,'Staging Table'!CW95:DH95))*1000</f>
        <v>0</v>
      </c>
      <c r="H93" s="213">
        <f>IF(Init!$R$9="Yes",'Staging Table'!BQ95,'Staging Table'!ED95)*IF(Init!$R$3=2020,Rates_previous!$C$88,Rates_previous!$D$88)</f>
        <v>0</v>
      </c>
      <c r="I93" s="211">
        <f>IF(Init!$R$9="Yes",IF('Staging Table'!$F$1=2020,(SUM('Staging Table'!AX95:BD95)*Rates_previous!$C$87),(SUM('Staging Table'!AX95:BD95)*Rates_previous!$D$87)),IF('Staging Table'!$F$1=2020,(SUM('Staging Table'!DK95:DQ95)*Rates_previous!$C$87),(SUM('Staging Table'!DK95:DQ95)*Rates_previous!$D$87)))</f>
        <v>26953.70922952583</v>
      </c>
      <c r="J93" s="213">
        <f>IF(Init!$R$9="Yes",IF('Staging Table'!D95=1,'Staging Table'!H95*-1,'Staging Table'!H95*SUM(D93:I93)*(-1)),IF('Staging Table'!D95=1,'Staging Table'!BU95*-1,'Staging Table'!BU95*SUM(D93:I93)*(-1)))</f>
        <v>-139480.61191633591</v>
      </c>
      <c r="K93" s="211">
        <f>IF(Init!$R$9="Yes",'Staging Table'!K95,'Staging Table'!BX95)*(-1)*Rates_previous!$H$32</f>
        <v>0</v>
      </c>
      <c r="L93" s="211" t="str">
        <f>IF('Staging Table'!C95=1,"",SUM(D93:K93))</f>
        <v/>
      </c>
      <c r="M93" s="211" t="str">
        <f>IF('Staging Table'!C95=1,"",IF(Init!$R$9="Yes",(RT1SC!$C$3*'Staging Table'!E95*'Staging Table'!$F$2)+SUM('Staging Table'!L95:AI95)-IF(Init!$R$12="No",'Staging Table'!BH95, 0),X93))</f>
        <v/>
      </c>
      <c r="N93" s="95" t="str">
        <f>IF('Staging Table'!C95=1,"",IF(M93=0, 0, L93/M93))</f>
        <v/>
      </c>
      <c r="O93" s="211">
        <f>'Staging Table'!BR95*Rates_current!$E$76*100*12</f>
        <v>2217044.1902297353</v>
      </c>
      <c r="P93" s="211">
        <f>'Staging Table'!BS95*Rates_current!$E$77*100*12</f>
        <v>-366039.31559149153</v>
      </c>
      <c r="Q93" s="212">
        <f>SUMPRODUCT('Staging Table'!BY95:CV95, LS_Demand_Rates_Restatement!$C$5:$Z$5)-IF(Init!$R$12="No",('Staging Table'!DU95*Rates_current!$H$34), 0)</f>
        <v>0</v>
      </c>
      <c r="R93" s="212">
        <f>SUMPRODUCT('Staging Table'!CW95:DH95, LS_Demand_Rates_Restatement!$C$11:$N$11)*1000</f>
        <v>0</v>
      </c>
      <c r="S93" s="213">
        <f>'Staging Table'!ED95*IF(Init!$R$15="Yes",IF(Init!$R$6=2022,Rates_current!$C$88,Rates_current!$D$88),Rates_current!$H$33)</f>
        <v>0</v>
      </c>
      <c r="T93" s="213">
        <v>0</v>
      </c>
      <c r="U93" s="213">
        <f>IF('Staging Table'!D95=1, 'Staging Table'!BU95*-1,SUM(O93:T93)*'Staging Table'!BU95*-1)</f>
        <v>-133876.86990700016</v>
      </c>
      <c r="V93" s="211">
        <f>'Staging Table'!BX95*Rates_current!$H$32*-1</f>
        <v>0</v>
      </c>
      <c r="W93" s="211" t="str">
        <f>IF('Staging Table'!C95=1,"",SUM(O93:V93))</f>
        <v/>
      </c>
      <c r="X93" s="211" t="str">
        <f>IF('Staging Table'!C95=1,"",(RT1SC!$C$4*'Staging Table'!BR95*'Staging Table'!$BS$2)+SUM('Staging Table'!BY95:CV95)-IF(Init!$R$12="No",'Staging Table'!DU95, 0))</f>
        <v/>
      </c>
      <c r="Y93" s="95" t="str">
        <f>IF('Staging Table'!C95=1,"",IF(X93=0, 0, W93/X93))</f>
        <v/>
      </c>
      <c r="Z93" s="87" t="str">
        <f ca="1">IF('Staging Table'!C95=1,"",(Y93/N93-1)+(RAND()/100000000000000))</f>
        <v/>
      </c>
      <c r="AA93" s="53" t="str">
        <f t="shared" ca="1" si="1"/>
        <v/>
      </c>
      <c r="AD93" s="216"/>
      <c r="AE93" s="216"/>
      <c r="AF93" s="220"/>
      <c r="AG93" s="216"/>
      <c r="AH93" s="216"/>
    </row>
    <row r="94" spans="2:34">
      <c r="B94" s="3">
        <v>10286</v>
      </c>
      <c r="C94" s="4" t="s">
        <v>97</v>
      </c>
      <c r="D94" s="211">
        <f>IF(Init!$R$9="Yes",'Staging Table'!E96,'Staging Table'!BR96)*Rates_previous!$E$76*100*12</f>
        <v>15451165.39632</v>
      </c>
      <c r="E94" s="211">
        <f>IF(Init!$R$9="Yes",'Staging Table'!F96,'Staging Table'!BS96)*Rates_previous!$E$77*100*12</f>
        <v>-1563135.5256000001</v>
      </c>
      <c r="F94" s="212">
        <f>IF(Init!$R$9="Yes",SUMPRODUCT('Staging Table'!L96:AI96,LS_Demand_Rates_Restatement!$C$4:$Z$4)-IF(Init!$R$12="No",('Staging Table'!BH96*Rates_previous!$H$34), 0),SUMPRODUCT('Staging Table'!BY96:CV96,LS_Demand_Rates_Restatement!$C$4:$Z$4)-IF(Init!$R$12="No", 'Staging Table'!DU96*Rates_previous!$H$34, 0))</f>
        <v>410127.74818795419</v>
      </c>
      <c r="G94" s="212">
        <f>IF(Init!$R$9="Yes",SUMPRODUCT('Staging Table'!AJ96:AU96,LS_Demand_Rates_Restatement!$C$10:$N$10),SUMPRODUCT(LS_Demand_Rates_Restatement!$C$10:$N$10,'Staging Table'!CW96:DH96))*1000</f>
        <v>0</v>
      </c>
      <c r="H94" s="213">
        <f>IF(Init!$R$9="Yes",'Staging Table'!BQ96,'Staging Table'!ED96)*IF(Init!$R$3=2020,Rates_previous!$C$88,Rates_previous!$D$88)</f>
        <v>0</v>
      </c>
      <c r="I94" s="211">
        <f>IF(Init!$R$9="Yes",IF('Staging Table'!$F$1=2020,(SUM('Staging Table'!AX96:BD96)*Rates_previous!$C$87),(SUM('Staging Table'!AX96:BD96)*Rates_previous!$D$87)),IF('Staging Table'!$F$1=2020,(SUM('Staging Table'!DK96:DQ96)*Rates_previous!$C$87),(SUM('Staging Table'!DK96:DQ96)*Rates_previous!$D$87)))</f>
        <v>189541.86527095005</v>
      </c>
      <c r="J94" s="213">
        <f>IF(Init!$R$9="Yes",IF('Staging Table'!D96=1,'Staging Table'!H96*-1,'Staging Table'!H96*SUM(D94:I94)*(-1)),IF('Staging Table'!D96=1,'Staging Table'!BU96*-1,'Staging Table'!BU96*SUM(D94:I94)*(-1)))</f>
        <v>0</v>
      </c>
      <c r="K94" s="211">
        <f>IF(Init!$R$9="Yes",'Staging Table'!K96,'Staging Table'!BX96)*(-1)*Rates_previous!$H$32</f>
        <v>-615584.55761000002</v>
      </c>
      <c r="L94" s="211">
        <f>IF('Staging Table'!C96=1,"",SUM(D94:K94))</f>
        <v>13872114.926568905</v>
      </c>
      <c r="M94" s="211">
        <f>IF('Staging Table'!C96=1,"",IF(Init!$R$9="Yes",(RT1SC!$C$3*'Staging Table'!E96*'Staging Table'!$F$2)+SUM('Staging Table'!L96:AI96)-IF(Init!$R$12="No",'Staging Table'!BH96, 0),X94))</f>
        <v>401147.72705677926</v>
      </c>
      <c r="N94" s="95">
        <f>IF('Staging Table'!C96=1,"",IF(M94=0, 0, L94/M94))</f>
        <v>34.581063261528634</v>
      </c>
      <c r="O94" s="211">
        <f>'Staging Table'!BR96*Rates_current!$E$76*100*12</f>
        <v>15590772.735468445</v>
      </c>
      <c r="P94" s="211">
        <f>'Staging Table'!BS96*Rates_current!$E$77*100*12</f>
        <v>-2574073.9885937958</v>
      </c>
      <c r="Q94" s="212">
        <f>SUMPRODUCT('Staging Table'!BY96:CV96, LS_Demand_Rates_Restatement!$C$5:$Z$5)-IF(Init!$R$12="No",('Staging Table'!DU96*Rates_current!$H$34), 0)</f>
        <v>484561.1023844516</v>
      </c>
      <c r="R94" s="212">
        <f>SUMPRODUCT('Staging Table'!CW96:DH96, LS_Demand_Rates_Restatement!$C$11:$N$11)*1000</f>
        <v>0</v>
      </c>
      <c r="S94" s="213">
        <f>'Staging Table'!ED96*IF(Init!$R$15="Yes",IF(Init!$R$6=2022,Rates_current!$C$88,Rates_current!$D$88),Rates_current!$H$33)</f>
        <v>0</v>
      </c>
      <c r="T94" s="213">
        <v>0</v>
      </c>
      <c r="U94" s="213">
        <f>IF('Staging Table'!D96=1, 'Staging Table'!BU96*-1,SUM(O94:T94)*'Staging Table'!BU96*-1)</f>
        <v>0</v>
      </c>
      <c r="V94" s="211">
        <f>'Staging Table'!BX96*Rates_current!$H$32*-1</f>
        <v>-603948.84590000007</v>
      </c>
      <c r="W94" s="211">
        <f>IF('Staging Table'!C96=1,"",SUM(O94:V94))</f>
        <v>12897311.003359102</v>
      </c>
      <c r="X94" s="211">
        <f>IF('Staging Table'!C96=1,"",(RT1SC!$C$4*'Staging Table'!BR96*'Staging Table'!$BS$2)+SUM('Staging Table'!BY96:CV96)-IF(Init!$R$12="No",'Staging Table'!DU96, 0))</f>
        <v>383644.21962510049</v>
      </c>
      <c r="Y94" s="95">
        <f>IF('Staging Table'!C96=1,"",IF(X94=0, 0, W94/X94))</f>
        <v>33.617894767090284</v>
      </c>
      <c r="Z94" s="87">
        <f ca="1">IF('Staging Table'!C96=1,"",(Y94/N94-1)+(RAND()/100000000000000))</f>
        <v>-2.7852483515440403E-2</v>
      </c>
      <c r="AA94" s="53">
        <f t="shared" ca="1" si="1"/>
        <v>19</v>
      </c>
      <c r="AD94" s="216"/>
      <c r="AE94" s="216"/>
      <c r="AF94" s="220"/>
      <c r="AG94" s="216"/>
      <c r="AH94" s="216"/>
    </row>
    <row r="95" spans="2:34">
      <c r="B95" s="3">
        <v>10288</v>
      </c>
      <c r="C95" s="4" t="s">
        <v>98</v>
      </c>
      <c r="D95" s="211">
        <f>IF(Init!$R$9="Yes",'Staging Table'!E97,'Staging Table'!BR97)*Rates_previous!$E$76*100*12</f>
        <v>8190933.4310400002</v>
      </c>
      <c r="E95" s="211">
        <f>IF(Init!$R$9="Yes",'Staging Table'!F97,'Staging Table'!BS97)*Rates_previous!$E$77*100*12</f>
        <v>-828645.52320000005</v>
      </c>
      <c r="F95" s="212">
        <f>IF(Init!$R$9="Yes",SUMPRODUCT('Staging Table'!L97:AI97,LS_Demand_Rates_Restatement!$C$4:$Z$4)-IF(Init!$R$12="No",('Staging Table'!BH97*Rates_previous!$H$34), 0),SUMPRODUCT('Staging Table'!BY97:CV97,LS_Demand_Rates_Restatement!$C$4:$Z$4)-IF(Init!$R$12="No", 'Staging Table'!DU97*Rates_previous!$H$34, 0))</f>
        <v>0</v>
      </c>
      <c r="G95" s="212">
        <f>IF(Init!$R$9="Yes",SUMPRODUCT('Staging Table'!AJ97:AU97,LS_Demand_Rates_Restatement!$C$10:$N$10),SUMPRODUCT(LS_Demand_Rates_Restatement!$C$10:$N$10,'Staging Table'!CW97:DH97))*1000</f>
        <v>0</v>
      </c>
      <c r="H95" s="213">
        <f>IF(Init!$R$9="Yes",'Staging Table'!BQ97,'Staging Table'!ED97)*IF(Init!$R$3=2020,Rates_previous!$C$88,Rates_previous!$D$88)</f>
        <v>38.262537326641031</v>
      </c>
      <c r="I95" s="211">
        <f>IF(Init!$R$9="Yes",IF('Staging Table'!$F$1=2020,(SUM('Staging Table'!AX97:BD97)*Rates_previous!$C$87),(SUM('Staging Table'!AX97:BD97)*Rates_previous!$D$87)),IF('Staging Table'!$F$1=2020,(SUM('Staging Table'!DK97:DQ97)*Rates_previous!$C$87),(SUM('Staging Table'!DK97:DQ97)*Rates_previous!$D$87)))</f>
        <v>100479.46294065747</v>
      </c>
      <c r="J95" s="213">
        <f>IF(Init!$R$9="Yes",IF('Staging Table'!D97=1,'Staging Table'!H97*-1,'Staging Table'!H97*SUM(D95:I95)*(-1)),IF('Staging Table'!D97=1,'Staging Table'!BU97*-1,'Staging Table'!BU97*SUM(D95:I95)*(-1)))</f>
        <v>-410454.30983248918</v>
      </c>
      <c r="K95" s="211">
        <f>IF(Init!$R$9="Yes",'Staging Table'!K97,'Staging Table'!BX97)*(-1)*Rates_previous!$H$32</f>
        <v>0</v>
      </c>
      <c r="L95" s="211" t="str">
        <f>IF('Staging Table'!C97=1,"",SUM(D95:K95))</f>
        <v/>
      </c>
      <c r="M95" s="211" t="str">
        <f>IF('Staging Table'!C97=1,"",IF(Init!$R$9="Yes",(RT1SC!$C$3*'Staging Table'!E97*'Staging Table'!$F$2)+SUM('Staging Table'!L97:AI97)-IF(Init!$R$12="No",'Staging Table'!BH97, 0),X95))</f>
        <v/>
      </c>
      <c r="N95" s="95" t="str">
        <f>IF('Staging Table'!C97=1,"",IF(M95=0, 0, L95/M95))</f>
        <v/>
      </c>
      <c r="O95" s="211">
        <f>'Staging Table'!BR97*Rates_current!$E$76*100*12</f>
        <v>8399348.0543857738</v>
      </c>
      <c r="P95" s="211">
        <f>'Staging Table'!BS97*Rates_current!$E$77*100*12</f>
        <v>-1386752.5179656022</v>
      </c>
      <c r="Q95" s="212">
        <f>SUMPRODUCT('Staging Table'!BY97:CV97, LS_Demand_Rates_Restatement!$C$5:$Z$5)-IF(Init!$R$12="No",('Staging Table'!DU97*Rates_current!$H$34), 0)</f>
        <v>0</v>
      </c>
      <c r="R95" s="212">
        <f>SUMPRODUCT('Staging Table'!CW97:DH97, LS_Demand_Rates_Restatement!$C$11:$N$11)*1000</f>
        <v>0</v>
      </c>
      <c r="S95" s="213">
        <f>'Staging Table'!ED97*IF(Init!$R$15="Yes",IF(Init!$R$6=2022,Rates_current!$C$88,Rates_current!$D$88),Rates_current!$H$33)</f>
        <v>0</v>
      </c>
      <c r="T95" s="213">
        <v>0</v>
      </c>
      <c r="U95" s="213">
        <f>IF('Staging Table'!D97=1, 'Staging Table'!BU97*-1,SUM(O95:T95)*'Staging Table'!BU97*-1)</f>
        <v>-446185.82772204641</v>
      </c>
      <c r="V95" s="211">
        <f>'Staging Table'!BX97*Rates_current!$H$32*-1</f>
        <v>0</v>
      </c>
      <c r="W95" s="211" t="str">
        <f>IF('Staging Table'!C97=1,"",SUM(O95:V95))</f>
        <v/>
      </c>
      <c r="X95" s="211" t="str">
        <f>IF('Staging Table'!C97=1,"",(RT1SC!$C$4*'Staging Table'!BR97*'Staging Table'!$BS$2)+SUM('Staging Table'!BY97:CV97)-IF(Init!$R$12="No",'Staging Table'!DU97, 0))</f>
        <v/>
      </c>
      <c r="Y95" s="95" t="str">
        <f>IF('Staging Table'!C97=1,"",IF(X95=0, 0, W95/X95))</f>
        <v/>
      </c>
      <c r="Z95" s="87" t="str">
        <f ca="1">IF('Staging Table'!C97=1,"",(Y95/N95-1)+(RAND()/100000000000000))</f>
        <v/>
      </c>
      <c r="AA95" s="53" t="str">
        <f t="shared" ca="1" si="1"/>
        <v/>
      </c>
      <c r="AD95" s="216"/>
      <c r="AE95" s="216"/>
      <c r="AF95" s="220"/>
      <c r="AG95" s="216"/>
      <c r="AH95" s="216"/>
    </row>
    <row r="96" spans="2:34">
      <c r="B96" s="3">
        <v>10291</v>
      </c>
      <c r="C96" s="4" t="s">
        <v>99</v>
      </c>
      <c r="D96" s="211">
        <f>IF(Init!$R$9="Yes",'Staging Table'!E98,'Staging Table'!BR98)*Rates_previous!$E$76*100*12</f>
        <v>26648578.28136</v>
      </c>
      <c r="E96" s="211">
        <f>IF(Init!$R$9="Yes",'Staging Table'!F98,'Staging Table'!BS98)*Rates_previous!$E$77*100*12</f>
        <v>-2695935.1188000003</v>
      </c>
      <c r="F96" s="212">
        <f>IF(Init!$R$9="Yes",SUMPRODUCT('Staging Table'!L98:AI98,LS_Demand_Rates_Restatement!$C$4:$Z$4)-IF(Init!$R$12="No",('Staging Table'!BH98*Rates_previous!$H$34), 0),SUMPRODUCT('Staging Table'!BY98:CV98,LS_Demand_Rates_Restatement!$C$4:$Z$4)-IF(Init!$R$12="No", 'Staging Table'!DU98*Rates_previous!$H$34, 0))</f>
        <v>-163158.06185985051</v>
      </c>
      <c r="G96" s="212">
        <f>IF(Init!$R$9="Yes",SUMPRODUCT('Staging Table'!AJ98:AU98,LS_Demand_Rates_Restatement!$C$10:$N$10),SUMPRODUCT(LS_Demand_Rates_Restatement!$C$10:$N$10,'Staging Table'!CW98:DH98))*1000</f>
        <v>1533466.767705698</v>
      </c>
      <c r="H96" s="213">
        <f>IF(Init!$R$9="Yes",'Staging Table'!BQ98,'Staging Table'!ED98)*IF(Init!$R$3=2020,Rates_previous!$C$88,Rates_previous!$D$88)</f>
        <v>-308226.5410951447</v>
      </c>
      <c r="I96" s="211">
        <f>IF(Init!$R$9="Yes",IF('Staging Table'!$F$1=2020,(SUM('Staging Table'!AX98:BD98)*Rates_previous!$C$87),(SUM('Staging Table'!AX98:BD98)*Rates_previous!$D$87)),IF('Staging Table'!$F$1=2020,(SUM('Staging Table'!DK98:DQ98)*Rates_previous!$C$87),(SUM('Staging Table'!DK98:DQ98)*Rates_previous!$D$87)))</f>
        <v>326902.2824304828</v>
      </c>
      <c r="J96" s="213">
        <f>IF(Init!$R$9="Yes",IF('Staging Table'!D98=1,'Staging Table'!H98*-1,'Staging Table'!H98*SUM(D96:I96)*(-1)),IF('Staging Table'!D98=1,'Staging Table'!BU98*-1,'Staging Table'!BU98*SUM(D96:I96)*(-1)))</f>
        <v>-1272776.272869173</v>
      </c>
      <c r="K96" s="211">
        <f>IF(Init!$R$9="Yes",'Staging Table'!K98,'Staging Table'!BX98)*(-1)*Rates_previous!$H$32</f>
        <v>-402855.27710999991</v>
      </c>
      <c r="L96" s="211">
        <f>IF('Staging Table'!C98=1,"",SUM(D96:K96))</f>
        <v>23665996.059762012</v>
      </c>
      <c r="M96" s="211">
        <f>IF('Staging Table'!C98=1,"",IF(Init!$R$9="Yes",(RT1SC!$C$3*'Staging Table'!E98*'Staging Table'!$F$2)+SUM('Staging Table'!L98:AI98)-IF(Init!$R$12="No",'Staging Table'!BH98, 0),X96))</f>
        <v>672171.78196838161</v>
      </c>
      <c r="N96" s="95">
        <f>IF('Staging Table'!C98=1,"",IF(M96=0, 0, L96/M96))</f>
        <v>35.208255827786651</v>
      </c>
      <c r="O96" s="211">
        <f>'Staging Table'!BR98*Rates_current!$E$76*100*12</f>
        <v>26888945.037717607</v>
      </c>
      <c r="P96" s="211">
        <f>'Staging Table'!BS98*Rates_current!$E$77*100*12</f>
        <v>-4439429.3455934646</v>
      </c>
      <c r="Q96" s="212">
        <f>SUMPRODUCT('Staging Table'!BY98:CV98, LS_Demand_Rates_Restatement!$C$5:$Z$5)-IF(Init!$R$12="No",('Staging Table'!DU98*Rates_current!$H$34), 0)</f>
        <v>-702731.6053061483</v>
      </c>
      <c r="R96" s="212">
        <f>SUMPRODUCT('Staging Table'!CW98:DH98, LS_Demand_Rates_Restatement!$C$11:$N$11)*1000</f>
        <v>1409190.6986677882</v>
      </c>
      <c r="S96" s="213">
        <f>'Staging Table'!ED98*IF(Init!$R$15="Yes",IF(Init!$R$6=2022,Rates_current!$C$88,Rates_current!$D$88),Rates_current!$H$33)</f>
        <v>0</v>
      </c>
      <c r="T96" s="213">
        <v>0</v>
      </c>
      <c r="U96" s="213">
        <f>IF('Staging Table'!D98=1, 'Staging Table'!BU98*-1,SUM(O96:T96)*'Staging Table'!BU98*-1)</f>
        <v>-1230992.7362561608</v>
      </c>
      <c r="V96" s="211">
        <f>'Staging Table'!BX98*Rates_current!$H$32*-1</f>
        <v>-395240.55089999997</v>
      </c>
      <c r="W96" s="211">
        <f>IF('Staging Table'!C98=1,"",SUM(O96:V96))</f>
        <v>21529741.498329621</v>
      </c>
      <c r="X96" s="211">
        <f>IF('Staging Table'!C98=1,"",(RT1SC!$C$4*'Staging Table'!BR98*'Staging Table'!$BS$2)+SUM('Staging Table'!BY98:CV98)-IF(Init!$R$12="No",'Staging Table'!DU98, 0))</f>
        <v>630342.78984683088</v>
      </c>
      <c r="Y96" s="95">
        <f>IF('Staging Table'!C98=1,"",IF(X96=0, 0, W96/X96))</f>
        <v>34.155608416749253</v>
      </c>
      <c r="Z96" s="87">
        <f ca="1">IF('Staging Table'!C98=1,"",(Y96/N96-1)+(RAND()/100000000000000))</f>
        <v>-2.9897743761749807E-2</v>
      </c>
      <c r="AA96" s="53">
        <f t="shared" ca="1" si="1"/>
        <v>23</v>
      </c>
      <c r="AD96" s="216"/>
      <c r="AE96" s="216"/>
      <c r="AF96" s="220"/>
      <c r="AG96" s="216"/>
      <c r="AH96" s="216"/>
    </row>
    <row r="97" spans="2:34">
      <c r="B97" s="3">
        <v>10294</v>
      </c>
      <c r="C97" s="4" t="s">
        <v>100</v>
      </c>
      <c r="D97" s="211">
        <f>IF(Init!$R$9="Yes",'Staging Table'!E99,'Staging Table'!BR99)*Rates_previous!$E$76*100*12</f>
        <v>12148078.325040001</v>
      </c>
      <c r="E97" s="211">
        <f>IF(Init!$R$9="Yes",'Staging Table'!F99,'Staging Table'!BS99)*Rates_previous!$E$77*100*12</f>
        <v>-551925.42900000012</v>
      </c>
      <c r="F97" s="212">
        <f>IF(Init!$R$9="Yes",SUMPRODUCT('Staging Table'!L99:AI99,LS_Demand_Rates_Restatement!$C$4:$Z$4)-IF(Init!$R$12="No",('Staging Table'!BH99*Rates_previous!$H$34), 0),SUMPRODUCT('Staging Table'!BY99:CV99,LS_Demand_Rates_Restatement!$C$4:$Z$4)-IF(Init!$R$12="No", 'Staging Table'!DU99*Rates_previous!$H$34, 0))</f>
        <v>70836.997805350766</v>
      </c>
      <c r="G97" s="212">
        <f>IF(Init!$R$9="Yes",SUMPRODUCT('Staging Table'!AJ99:AU99,LS_Demand_Rates_Restatement!$C$10:$N$10),SUMPRODUCT(LS_Demand_Rates_Restatement!$C$10:$N$10,'Staging Table'!CW99:DH99))*1000</f>
        <v>0</v>
      </c>
      <c r="H97" s="213">
        <f>IF(Init!$R$9="Yes",'Staging Table'!BQ99,'Staging Table'!ED99)*IF(Init!$R$3=2020,Rates_previous!$C$88,Rates_previous!$D$88)</f>
        <v>0</v>
      </c>
      <c r="I97" s="211">
        <f>IF(Init!$R$9="Yes",IF('Staging Table'!$F$1=2020,(SUM('Staging Table'!AX99:BD99)*Rates_previous!$C$87),(SUM('Staging Table'!AX99:BD99)*Rates_previous!$D$87)),IF('Staging Table'!$F$1=2020,(SUM('Staging Table'!DK99:DQ99)*Rates_previous!$C$87),(SUM('Staging Table'!DK99:DQ99)*Rates_previous!$D$87)))</f>
        <v>66925.083327611181</v>
      </c>
      <c r="J97" s="213">
        <f>IF(Init!$R$9="Yes",IF('Staging Table'!D99=1,'Staging Table'!H99*-1,'Staging Table'!H99*SUM(D97:I97)*(-1)),IF('Staging Table'!D99=1,'Staging Table'!BU99*-1,'Staging Table'!BU99*SUM(D97:I97)*(-1)))</f>
        <v>0</v>
      </c>
      <c r="K97" s="211">
        <f>IF(Init!$R$9="Yes",'Staging Table'!K99,'Staging Table'!BX99)*(-1)*Rates_previous!$H$32</f>
        <v>0</v>
      </c>
      <c r="L97" s="211">
        <f>IF('Staging Table'!C99=1,"",SUM(D97:K97))</f>
        <v>11733914.977172965</v>
      </c>
      <c r="M97" s="211">
        <f>IF('Staging Table'!C99=1,"",IF(Init!$R$9="Yes",(RT1SC!$C$3*'Staging Table'!E99*'Staging Table'!$F$2)+SUM('Staging Table'!L99:AI99)-IF(Init!$R$12="No",'Staging Table'!BH99, 0),X97))</f>
        <v>315389.62937830499</v>
      </c>
      <c r="N97" s="95">
        <f>IF('Staging Table'!C99=1,"",IF(M97=0, 0, L97/M97))</f>
        <v>37.204504790797401</v>
      </c>
      <c r="O97" s="211">
        <f>'Staging Table'!BR99*Rates_current!$E$76*100*12</f>
        <v>12335830.518703904</v>
      </c>
      <c r="P97" s="211">
        <f>'Staging Table'!BS99*Rates_current!$E$77*100*12</f>
        <v>-921769.74648842798</v>
      </c>
      <c r="Q97" s="212">
        <f>SUMPRODUCT('Staging Table'!BY99:CV99, LS_Demand_Rates_Restatement!$C$5:$Z$5)-IF(Init!$R$12="No",('Staging Table'!DU99*Rates_current!$H$34), 0)</f>
        <v>51533.876619710252</v>
      </c>
      <c r="R97" s="212">
        <f>SUMPRODUCT('Staging Table'!CW99:DH99, LS_Demand_Rates_Restatement!$C$11:$N$11)*1000</f>
        <v>0</v>
      </c>
      <c r="S97" s="213">
        <f>'Staging Table'!ED99*IF(Init!$R$15="Yes",IF(Init!$R$6=2022,Rates_current!$C$88,Rates_current!$D$88),Rates_current!$H$33)</f>
        <v>0</v>
      </c>
      <c r="T97" s="213">
        <v>0</v>
      </c>
      <c r="U97" s="213">
        <f>IF('Staging Table'!D99=1, 'Staging Table'!BU99*-1,SUM(O97:T97)*'Staging Table'!BU99*-1)</f>
        <v>0</v>
      </c>
      <c r="V97" s="211">
        <f>'Staging Table'!BX99*Rates_current!$H$32*-1</f>
        <v>0</v>
      </c>
      <c r="W97" s="211">
        <f>IF('Staging Table'!C99=1,"",SUM(O97:V97))</f>
        <v>11465594.648835186</v>
      </c>
      <c r="X97" s="211">
        <f>IF('Staging Table'!C99=1,"",(RT1SC!$C$4*'Staging Table'!BR99*'Staging Table'!$BS$2)+SUM('Staging Table'!BY99:CV99)-IF(Init!$R$12="No",'Staging Table'!DU99, 0))</f>
        <v>303551.53552789701</v>
      </c>
      <c r="Y97" s="95">
        <f>IF('Staging Table'!C99=1,"",IF(X97=0, 0, W97/X97))</f>
        <v>37.771492833649248</v>
      </c>
      <c r="Z97" s="87">
        <f ca="1">IF('Staging Table'!C99=1,"",(Y97/N97-1)+(RAND()/100000000000000))</f>
        <v>1.5239768572120411E-2</v>
      </c>
      <c r="AA97" s="53">
        <f t="shared" ca="1" si="1"/>
        <v>5</v>
      </c>
      <c r="AD97" s="216"/>
      <c r="AE97" s="216"/>
      <c r="AF97" s="220"/>
      <c r="AG97" s="216"/>
      <c r="AH97" s="216"/>
    </row>
    <row r="98" spans="2:34">
      <c r="B98" s="3">
        <v>10304</v>
      </c>
      <c r="C98" s="4" t="s">
        <v>101</v>
      </c>
      <c r="D98" s="211">
        <f>IF(Init!$R$9="Yes",'Staging Table'!E100,'Staging Table'!BR100)*Rates_previous!$E$76*100*12</f>
        <v>4625700.3646799996</v>
      </c>
      <c r="E98" s="211">
        <f>IF(Init!$R$9="Yes",'Staging Table'!F100,'Staging Table'!BS100)*Rates_previous!$E$77*100*12</f>
        <v>-467964.47939999995</v>
      </c>
      <c r="F98" s="212">
        <f>IF(Init!$R$9="Yes",SUMPRODUCT('Staging Table'!L100:AI100,LS_Demand_Rates_Restatement!$C$4:$Z$4)-IF(Init!$R$12="No",('Staging Table'!BH100*Rates_previous!$H$34), 0),SUMPRODUCT('Staging Table'!BY100:CV100,LS_Demand_Rates_Restatement!$C$4:$Z$4)-IF(Init!$R$12="No", 'Staging Table'!DU100*Rates_previous!$H$34, 0))</f>
        <v>25881.31150778116</v>
      </c>
      <c r="G98" s="212">
        <f>IF(Init!$R$9="Yes",SUMPRODUCT('Staging Table'!AJ100:AU100,LS_Demand_Rates_Restatement!$C$10:$N$10),SUMPRODUCT(LS_Demand_Rates_Restatement!$C$10:$N$10,'Staging Table'!CW100:DH100))*1000</f>
        <v>203029.74064038464</v>
      </c>
      <c r="H98" s="213">
        <f>IF(Init!$R$9="Yes",'Staging Table'!BQ100,'Staging Table'!ED100)*IF(Init!$R$3=2020,Rates_previous!$C$88,Rates_previous!$D$88)</f>
        <v>-49310.419290501864</v>
      </c>
      <c r="I98" s="211">
        <f>IF(Init!$R$9="Yes",IF('Staging Table'!$F$1=2020,(SUM('Staging Table'!AX100:BD100)*Rates_previous!$C$87),(SUM('Staging Table'!AX100:BD100)*Rates_previous!$D$87)),IF('Staging Table'!$F$1=2020,(SUM('Staging Table'!DK100:DQ100)*Rates_previous!$C$87),(SUM('Staging Table'!DK100:DQ100)*Rates_previous!$D$87)))</f>
        <v>56744.190668930351</v>
      </c>
      <c r="J98" s="213">
        <f>IF(Init!$R$9="Yes",IF('Staging Table'!D100=1,'Staging Table'!H100*-1,'Staging Table'!H100*SUM(D98:I98)*(-1)),IF('Staging Table'!D100=1,'Staging Table'!BU100*-1,'Staging Table'!BU100*SUM(D98:I98)*(-1)))</f>
        <v>0</v>
      </c>
      <c r="K98" s="211">
        <f>IF(Init!$R$9="Yes",'Staging Table'!K100,'Staging Table'!BX100)*(-1)*Rates_previous!$H$32</f>
        <v>0</v>
      </c>
      <c r="L98" s="211">
        <f>IF('Staging Table'!C100=1,"",SUM(D98:K98))</f>
        <v>4394080.7088065939</v>
      </c>
      <c r="M98" s="211">
        <f>IF('Staging Table'!C100=1,"",IF(Init!$R$9="Yes",(RT1SC!$C$3*'Staging Table'!E100*'Staging Table'!$F$2)+SUM('Staging Table'!L100:AI100)-IF(Init!$R$12="No",'Staging Table'!BH100, 0),X98))</f>
        <v>116946.03450763079</v>
      </c>
      <c r="N98" s="95">
        <f>IF('Staging Table'!C100=1,"",IF(M98=0, 0, L98/M98))</f>
        <v>37.57357594301223</v>
      </c>
      <c r="O98" s="211">
        <f>'Staging Table'!BR100*Rates_current!$E$76*100*12</f>
        <v>4765266.1010335386</v>
      </c>
      <c r="P98" s="211">
        <f>'Staging Table'!BS100*Rates_current!$E$77*100*12</f>
        <v>-786756.86750876473</v>
      </c>
      <c r="Q98" s="212">
        <f>SUMPRODUCT('Staging Table'!BY100:CV100, LS_Demand_Rates_Restatement!$C$5:$Z$5)-IF(Init!$R$12="No",('Staging Table'!DU100*Rates_current!$H$34), 0)</f>
        <v>62217.706853440526</v>
      </c>
      <c r="R98" s="212">
        <f>SUMPRODUCT('Staging Table'!CW100:DH100, LS_Demand_Rates_Restatement!$C$11:$N$11)*1000</f>
        <v>184512.6065065171</v>
      </c>
      <c r="S98" s="213">
        <f>'Staging Table'!ED100*IF(Init!$R$15="Yes",IF(Init!$R$6=2022,Rates_current!$C$88,Rates_current!$D$88),Rates_current!$H$33)</f>
        <v>-1926.6296501148777</v>
      </c>
      <c r="T98" s="213">
        <v>0</v>
      </c>
      <c r="U98" s="213">
        <f>IF('Staging Table'!D100=1, 'Staging Table'!BU100*-1,SUM(O98:T98)*'Staging Table'!BU100*-1)</f>
        <v>0</v>
      </c>
      <c r="V98" s="211">
        <f>'Staging Table'!BX100*Rates_current!$H$32*-1</f>
        <v>0</v>
      </c>
      <c r="W98" s="211">
        <f>IF('Staging Table'!C100=1,"",SUM(O98:V98))</f>
        <v>4223312.9172346164</v>
      </c>
      <c r="X98" s="211">
        <f>IF('Staging Table'!C100=1,"",(RT1SC!$C$4*'Staging Table'!BR100*'Staging Table'!$BS$2)+SUM('Staging Table'!BY100:CV100)-IF(Init!$R$12="No",'Staging Table'!DU100, 0))</f>
        <v>116946.03599834452</v>
      </c>
      <c r="Y98" s="95">
        <f>IF('Staging Table'!C100=1,"",IF(X98=0, 0, W98/X98))</f>
        <v>36.113348188171173</v>
      </c>
      <c r="Z98" s="87">
        <f ca="1">IF('Staging Table'!C100=1,"",(Y98/N98-1)+(RAND()/100000000000000))</f>
        <v>-3.8863156305794934E-2</v>
      </c>
      <c r="AA98" s="53">
        <f t="shared" ca="1" si="1"/>
        <v>83</v>
      </c>
      <c r="AD98" s="216"/>
      <c r="AE98" s="216"/>
      <c r="AF98" s="220"/>
      <c r="AG98" s="216"/>
      <c r="AH98" s="216"/>
    </row>
    <row r="99" spans="2:34">
      <c r="B99" s="3">
        <v>10306</v>
      </c>
      <c r="C99" s="4" t="s">
        <v>102</v>
      </c>
      <c r="D99" s="211">
        <f>IF(Init!$R$9="Yes",'Staging Table'!E101,'Staging Table'!BR101)*Rates_previous!$E$76*100*12</f>
        <v>0</v>
      </c>
      <c r="E99" s="211">
        <f>IF(Init!$R$9="Yes",'Staging Table'!F101,'Staging Table'!BS101)*Rates_previous!$E$77*100*12</f>
        <v>0</v>
      </c>
      <c r="F99" s="212">
        <f>IF(Init!$R$9="Yes",SUMPRODUCT('Staging Table'!L101:AI101,LS_Demand_Rates_Restatement!$C$4:$Z$4)-IF(Init!$R$12="No",('Staging Table'!BH101*Rates_previous!$H$34), 0),SUMPRODUCT('Staging Table'!BY101:CV101,LS_Demand_Rates_Restatement!$C$4:$Z$4)-IF(Init!$R$12="No", 'Staging Table'!DU101*Rates_previous!$H$34, 0))</f>
        <v>0</v>
      </c>
      <c r="G99" s="212">
        <f>IF(Init!$R$9="Yes",SUMPRODUCT('Staging Table'!AJ101:AU101,LS_Demand_Rates_Restatement!$C$10:$N$10),SUMPRODUCT(LS_Demand_Rates_Restatement!$C$10:$N$10,'Staging Table'!CW101:DH101))*1000</f>
        <v>0</v>
      </c>
      <c r="H99" s="213">
        <f>IF(Init!$R$9="Yes",'Staging Table'!BQ101,'Staging Table'!ED101)*IF(Init!$R$3=2020,Rates_previous!$C$88,Rates_previous!$D$88)</f>
        <v>0</v>
      </c>
      <c r="I99" s="211">
        <f>IF(Init!$R$9="Yes",IF('Staging Table'!$F$1=2020,(SUM('Staging Table'!AX101:BD101)*Rates_previous!$C$87),(SUM('Staging Table'!AX101:BD101)*Rates_previous!$D$87)),IF('Staging Table'!$F$1=2020,(SUM('Staging Table'!DK101:DQ101)*Rates_previous!$C$87),(SUM('Staging Table'!DK101:DQ101)*Rates_previous!$D$87)))</f>
        <v>0</v>
      </c>
      <c r="J99" s="213">
        <f>IF(Init!$R$9="Yes",IF('Staging Table'!D101=1,'Staging Table'!H101*-1,'Staging Table'!H101*SUM(D99:I99)*(-1)),IF('Staging Table'!D101=1,'Staging Table'!BU101*-1,'Staging Table'!BU101*SUM(D99:I99)*(-1)))</f>
        <v>0</v>
      </c>
      <c r="K99" s="211">
        <f>IF(Init!$R$9="Yes",'Staging Table'!K101,'Staging Table'!BX101)*(-1)*Rates_previous!$H$32</f>
        <v>0</v>
      </c>
      <c r="L99" s="211">
        <f>IF('Staging Table'!C101=1,"",SUM(D99:K99))</f>
        <v>0</v>
      </c>
      <c r="M99" s="211">
        <f>IF('Staging Table'!C101=1,"",IF(Init!$R$9="Yes",(RT1SC!$C$3*'Staging Table'!E101*'Staging Table'!$F$2)+SUM('Staging Table'!L101:AI101)-IF(Init!$R$12="No",'Staging Table'!BH101, 0),X99))</f>
        <v>0</v>
      </c>
      <c r="N99" s="95">
        <f>IF('Staging Table'!C101=1,"",IF(M99=0, 0, L99/M99))</f>
        <v>0</v>
      </c>
      <c r="O99" s="211">
        <f>'Staging Table'!BR101*Rates_current!$E$76*100*12</f>
        <v>0</v>
      </c>
      <c r="P99" s="211">
        <f>'Staging Table'!BS101*Rates_current!$E$77*100*12</f>
        <v>0</v>
      </c>
      <c r="Q99" s="212">
        <f>SUMPRODUCT('Staging Table'!BY101:CV101, LS_Demand_Rates_Restatement!$C$5:$Z$5)-IF(Init!$R$12="No",('Staging Table'!DU101*Rates_current!$H$34), 0)</f>
        <v>0</v>
      </c>
      <c r="R99" s="212">
        <f>SUMPRODUCT('Staging Table'!CW101:DH101, LS_Demand_Rates_Restatement!$C$11:$N$11)*1000</f>
        <v>0</v>
      </c>
      <c r="S99" s="213">
        <f>'Staging Table'!ED101*IF(Init!$R$15="Yes",IF(Init!$R$6=2022,Rates_current!$C$88,Rates_current!$D$88),Rates_current!$H$33)</f>
        <v>0</v>
      </c>
      <c r="T99" s="213">
        <v>0</v>
      </c>
      <c r="U99" s="213">
        <f>IF('Staging Table'!D101=1, 'Staging Table'!BU101*-1,SUM(O99:T99)*'Staging Table'!BU101*-1)</f>
        <v>0</v>
      </c>
      <c r="V99" s="211">
        <f>'Staging Table'!BX101*Rates_current!$H$32*-1</f>
        <v>0</v>
      </c>
      <c r="W99" s="211">
        <f>IF('Staging Table'!C101=1,"",SUM(O99:V99))</f>
        <v>0</v>
      </c>
      <c r="X99" s="211">
        <f>IF('Staging Table'!C101=1,"",(RT1SC!$C$4*'Staging Table'!BR101*'Staging Table'!$BS$2)+SUM('Staging Table'!BY101:CV101)-IF(Init!$R$12="No",'Staging Table'!DU101, 0))</f>
        <v>0</v>
      </c>
      <c r="Y99" s="95">
        <f>IF('Staging Table'!C101=1,"",IF(X99=0, 0, W99/X99))</f>
        <v>0</v>
      </c>
      <c r="Z99" s="87"/>
      <c r="AA99" s="53" t="str">
        <f t="shared" si="1"/>
        <v/>
      </c>
      <c r="AD99" s="216"/>
      <c r="AE99" s="216"/>
      <c r="AF99" s="220"/>
      <c r="AG99" s="216"/>
      <c r="AH99" s="216"/>
    </row>
    <row r="100" spans="2:34">
      <c r="B100" s="3">
        <v>10307</v>
      </c>
      <c r="C100" s="4" t="s">
        <v>103</v>
      </c>
      <c r="D100" s="211">
        <f>IF(Init!$R$9="Yes",'Staging Table'!E102,'Staging Table'!BR102)*Rates_previous!$E$76*100*12</f>
        <v>22820010.888119999</v>
      </c>
      <c r="E100" s="211">
        <f>IF(Init!$R$9="Yes",'Staging Table'!F102,'Staging Table'!BS102)*Rates_previous!$E$77*100*12</f>
        <v>-2308613.5445999997</v>
      </c>
      <c r="F100" s="212">
        <f>IF(Init!$R$9="Yes",SUMPRODUCT('Staging Table'!L102:AI102,LS_Demand_Rates_Restatement!$C$4:$Z$4)-IF(Init!$R$12="No",('Staging Table'!BH102*Rates_previous!$H$34), 0),SUMPRODUCT('Staging Table'!BY102:CV102,LS_Demand_Rates_Restatement!$C$4:$Z$4)-IF(Init!$R$12="No", 'Staging Table'!DU102*Rates_previous!$H$34, 0))</f>
        <v>608919.16724977782</v>
      </c>
      <c r="G100" s="212">
        <f>IF(Init!$R$9="Yes",SUMPRODUCT('Staging Table'!AJ102:AU102,LS_Demand_Rates_Restatement!$C$10:$N$10),SUMPRODUCT(LS_Demand_Rates_Restatement!$C$10:$N$10,'Staging Table'!CW102:DH102))*1000</f>
        <v>1437952.0998793798</v>
      </c>
      <c r="H100" s="213">
        <f>IF(Init!$R$9="Yes",'Staging Table'!BQ102,'Staging Table'!ED102)*IF(Init!$R$3=2020,Rates_previous!$C$88,Rates_previous!$D$88)</f>
        <v>79690.783979834145</v>
      </c>
      <c r="I100" s="211">
        <f>IF(Init!$R$9="Yes",IF('Staging Table'!$F$1=2020,(SUM('Staging Table'!AX102:BD102)*Rates_previous!$C$87),(SUM('Staging Table'!AX102:BD102)*Rates_previous!$D$87)),IF('Staging Table'!$F$1=2020,(SUM('Staging Table'!DK102:DQ102)*Rates_previous!$C$87),(SUM('Staging Table'!DK102:DQ102)*Rates_previous!$D$87)))</f>
        <v>279936.64673784544</v>
      </c>
      <c r="J100" s="213">
        <f>IF(Init!$R$9="Yes",IF('Staging Table'!D102=1,'Staging Table'!H102*-1,'Staging Table'!H102*SUM(D100:I100)*(-1)),IF('Staging Table'!D102=1,'Staging Table'!BU102*-1,'Staging Table'!BU102*SUM(D100:I100)*(-1)))</f>
        <v>0</v>
      </c>
      <c r="K100" s="211">
        <f>IF(Init!$R$9="Yes",'Staging Table'!K102,'Staging Table'!BX102)*(-1)*Rates_previous!$H$32</f>
        <v>0</v>
      </c>
      <c r="L100" s="211">
        <f>IF('Staging Table'!C102=1,"",SUM(D100:K100))</f>
        <v>22917896.041366834</v>
      </c>
      <c r="M100" s="211">
        <f>IF('Staging Table'!C102=1,"",IF(Init!$R$9="Yes",(RT1SC!$C$3*'Staging Table'!E102*'Staging Table'!$F$2)+SUM('Staging Table'!L102:AI102)-IF(Init!$R$12="No",'Staging Table'!BH102, 0),X100))</f>
        <v>597543.25923753728</v>
      </c>
      <c r="N100" s="95">
        <f>IF('Staging Table'!C102=1,"",IF(M100=0, 0, L100/M100))</f>
        <v>38.353534555155008</v>
      </c>
      <c r="O100" s="211">
        <f>'Staging Table'!BR102*Rates_current!$E$76*100*12</f>
        <v>24254151.688009217</v>
      </c>
      <c r="P100" s="211">
        <f>'Staging Table'!BS102*Rates_current!$E$77*100*12</f>
        <v>-4004418.6413853834</v>
      </c>
      <c r="Q100" s="212">
        <f>SUMPRODUCT('Staging Table'!BY102:CV102, LS_Demand_Rates_Restatement!$C$5:$Z$5)-IF(Init!$R$12="No",('Staging Table'!DU102*Rates_current!$H$34), 0)</f>
        <v>457012.47521297494</v>
      </c>
      <c r="R100" s="212">
        <f>SUMPRODUCT('Staging Table'!CW102:DH102, LS_Demand_Rates_Restatement!$C$11:$N$11)*1000</f>
        <v>1368245.7190946136</v>
      </c>
      <c r="S100" s="213">
        <f>'Staging Table'!ED102*IF(Init!$R$15="Yes",IF(Init!$R$6=2022,Rates_current!$C$88,Rates_current!$D$88),Rates_current!$H$33)</f>
        <v>4372.9730098172849</v>
      </c>
      <c r="T100" s="213">
        <v>0</v>
      </c>
      <c r="U100" s="213">
        <f>IF('Staging Table'!D102=1, 'Staging Table'!BU102*-1,SUM(O100:T100)*'Staging Table'!BU102*-1)</f>
        <v>0</v>
      </c>
      <c r="V100" s="211">
        <f>'Staging Table'!BX102*Rates_current!$H$32*-1</f>
        <v>0</v>
      </c>
      <c r="W100" s="211">
        <f>IF('Staging Table'!C102=1,"",SUM(O100:V100))</f>
        <v>22079364.213941239</v>
      </c>
      <c r="X100" s="211">
        <f>IF('Staging Table'!C102=1,"",(RT1SC!$C$4*'Staging Table'!BR102*'Staging Table'!$BS$2)+SUM('Staging Table'!BY102:CV102)-IF(Init!$R$12="No",'Staging Table'!DU102, 0))</f>
        <v>597543.26753024838</v>
      </c>
      <c r="Y100" s="95">
        <f>IF('Staging Table'!C102=1,"",IF(X100=0, 0, W100/X100))</f>
        <v>36.950235093768427</v>
      </c>
      <c r="Z100" s="87">
        <f>IF('Staging Table'!C102=1,"",Y100/N100-1)</f>
        <v>-3.6588530305297962E-2</v>
      </c>
      <c r="AA100" s="53">
        <f t="shared" ca="1" si="1"/>
        <v>67</v>
      </c>
      <c r="AD100" s="216"/>
      <c r="AE100" s="216"/>
      <c r="AF100" s="220"/>
      <c r="AG100" s="216"/>
      <c r="AH100" s="216"/>
    </row>
    <row r="101" spans="2:34">
      <c r="B101" s="3">
        <v>10326</v>
      </c>
      <c r="C101" s="4" t="s">
        <v>104</v>
      </c>
      <c r="D101" s="211">
        <f>IF(Init!$R$9="Yes",'Staging Table'!E103,'Staging Table'!BR103)*Rates_previous!$E$76*100*12</f>
        <v>9988166.4453599993</v>
      </c>
      <c r="E101" s="211">
        <f>IF(Init!$R$9="Yes",'Staging Table'!F103,'Staging Table'!BS103)*Rates_previous!$E$77*100*12</f>
        <v>-1010464.7387999999</v>
      </c>
      <c r="F101" s="212">
        <f>IF(Init!$R$9="Yes",SUMPRODUCT('Staging Table'!L103:AI103,LS_Demand_Rates_Restatement!$C$4:$Z$4)-IF(Init!$R$12="No",('Staging Table'!BH103*Rates_previous!$H$34), 0),SUMPRODUCT('Staging Table'!BY103:CV103,LS_Demand_Rates_Restatement!$C$4:$Z$4)-IF(Init!$R$12="No", 'Staging Table'!DU103*Rates_previous!$H$34, 0))</f>
        <v>-289634.27081753558</v>
      </c>
      <c r="G101" s="212">
        <f>IF(Init!$R$9="Yes",SUMPRODUCT('Staging Table'!AJ103:AU103,LS_Demand_Rates_Restatement!$C$10:$N$10),SUMPRODUCT(LS_Demand_Rates_Restatement!$C$10:$N$10,'Staging Table'!CW103:DH103))*1000</f>
        <v>367200.76135388168</v>
      </c>
      <c r="H101" s="213">
        <f>IF(Init!$R$9="Yes",'Staging Table'!BQ103,'Staging Table'!ED103)*IF(Init!$R$3=2020,Rates_previous!$C$88,Rates_previous!$D$88)</f>
        <v>-239705.11857775014</v>
      </c>
      <c r="I101" s="211">
        <f>IF(Init!$R$9="Yes",IF('Staging Table'!$F$1=2020,(SUM('Staging Table'!AX103:BD103)*Rates_previous!$C$87),(SUM('Staging Table'!AX103:BD103)*Rates_previous!$D$87)),IF('Staging Table'!$F$1=2020,(SUM('Staging Table'!DK103:DQ103)*Rates_previous!$C$87),(SUM('Staging Table'!DK103:DQ103)*Rates_previous!$D$87)))</f>
        <v>122526.40173932421</v>
      </c>
      <c r="J101" s="213">
        <f>IF(Init!$R$9="Yes",IF('Staging Table'!D103=1,'Staging Table'!H103*-1,'Staging Table'!H103*SUM(D101:I101)*(-1)),IF('Staging Table'!D103=1,'Staging Table'!BU103*-1,'Staging Table'!BU103*SUM(D101:I101)*(-1)))</f>
        <v>0</v>
      </c>
      <c r="K101" s="211">
        <f>IF(Init!$R$9="Yes",'Staging Table'!K103,'Staging Table'!BX103)*(-1)*Rates_previous!$H$32</f>
        <v>0</v>
      </c>
      <c r="L101" s="211">
        <f>IF('Staging Table'!C103=1,"",SUM(D101:K101))</f>
        <v>8938089.4802579191</v>
      </c>
      <c r="M101" s="211">
        <f>IF('Staging Table'!C103=1,"",IF(Init!$R$9="Yes",(RT1SC!$C$3*'Staging Table'!E103*'Staging Table'!$F$2)+SUM('Staging Table'!L103:AI103)-IF(Init!$R$12="No",'Staging Table'!BH103, 0),X101))</f>
        <v>244005.62373322158</v>
      </c>
      <c r="N101" s="95">
        <f>IF('Staging Table'!C103=1,"",IF(M101=0, 0, L101/M101))</f>
        <v>36.630669996484144</v>
      </c>
      <c r="O101" s="211">
        <f>'Staging Table'!BR103*Rates_current!$E$76*100*12</f>
        <v>10343488.373497993</v>
      </c>
      <c r="P101" s="211">
        <f>'Staging Table'!BS103*Rates_current!$E$77*100*12</f>
        <v>-1707734.74960435</v>
      </c>
      <c r="Q101" s="212">
        <f>SUMPRODUCT('Staging Table'!BY103:CV103, LS_Demand_Rates_Restatement!$C$5:$Z$5)-IF(Init!$R$12="No",('Staging Table'!DU103*Rates_current!$H$34), 0)</f>
        <v>-1067552.8623894108</v>
      </c>
      <c r="R101" s="212">
        <f>SUMPRODUCT('Staging Table'!CW103:DH103, LS_Demand_Rates_Restatement!$C$11:$N$11)*1000</f>
        <v>336576.96881241992</v>
      </c>
      <c r="S101" s="213">
        <f>'Staging Table'!ED103*IF(Init!$R$15="Yes",IF(Init!$R$6=2022,Rates_current!$C$88,Rates_current!$D$88),Rates_current!$H$33)</f>
        <v>-64253.816907745786</v>
      </c>
      <c r="T101" s="213">
        <v>0</v>
      </c>
      <c r="U101" s="213">
        <f>IF('Staging Table'!D103=1, 'Staging Table'!BU103*-1,SUM(O101:T101)*'Staging Table'!BU103*-1)</f>
        <v>0</v>
      </c>
      <c r="V101" s="211">
        <f>'Staging Table'!BX103*Rates_current!$H$32*-1</f>
        <v>0</v>
      </c>
      <c r="W101" s="211">
        <f>IF('Staging Table'!C103=1,"",SUM(O101:V101))</f>
        <v>7840523.9134089062</v>
      </c>
      <c r="X101" s="211">
        <f>IF('Staging Table'!C103=1,"",(RT1SC!$C$4*'Staging Table'!BR103*'Staging Table'!$BS$2)+SUM('Staging Table'!BY103:CV103)-IF(Init!$R$12="No",'Staging Table'!DU103, 0))</f>
        <v>217094.90702000886</v>
      </c>
      <c r="Y101" s="95">
        <f>IF('Staging Table'!C103=1,"",IF(X101=0, 0, W101/X101))</f>
        <v>36.115651081055866</v>
      </c>
      <c r="Z101" s="87">
        <f>IF('Staging Table'!C103=1,"",Y101/N101-1)</f>
        <v>-1.4059773285001631E-2</v>
      </c>
      <c r="AA101" s="53">
        <f t="shared" ca="1" si="1"/>
        <v>16</v>
      </c>
      <c r="AD101" s="216"/>
      <c r="AE101" s="216"/>
      <c r="AF101" s="220"/>
      <c r="AG101" s="216"/>
      <c r="AH101" s="216"/>
    </row>
    <row r="102" spans="2:34">
      <c r="B102" s="3">
        <v>10331</v>
      </c>
      <c r="C102" s="4" t="s">
        <v>105</v>
      </c>
      <c r="D102" s="211">
        <f>IF(Init!$R$9="Yes",'Staging Table'!E104,'Staging Table'!BR104)*Rates_previous!$E$76*100*12</f>
        <v>12158297.978519998</v>
      </c>
      <c r="E102" s="211">
        <f>IF(Init!$R$9="Yes",'Staging Table'!F104,'Staging Table'!BS104)*Rates_previous!$E$77*100*12</f>
        <v>-1230008.6765999999</v>
      </c>
      <c r="F102" s="212">
        <f>IF(Init!$R$9="Yes",SUMPRODUCT('Staging Table'!L104:AI104,LS_Demand_Rates_Restatement!$C$4:$Z$4)-IF(Init!$R$12="No",('Staging Table'!BH104*Rates_previous!$H$34), 0),SUMPRODUCT('Staging Table'!BY104:CV104,LS_Demand_Rates_Restatement!$C$4:$Z$4)-IF(Init!$R$12="No", 'Staging Table'!DU104*Rates_previous!$H$34, 0))</f>
        <v>0</v>
      </c>
      <c r="G102" s="212">
        <f>IF(Init!$R$9="Yes",SUMPRODUCT('Staging Table'!AJ104:AU104,LS_Demand_Rates_Restatement!$C$10:$N$10),SUMPRODUCT(LS_Demand_Rates_Restatement!$C$10:$N$10,'Staging Table'!CW104:DH104))*1000</f>
        <v>0</v>
      </c>
      <c r="H102" s="213">
        <f>IF(Init!$R$9="Yes",'Staging Table'!BQ104,'Staging Table'!ED104)*IF(Init!$R$3=2020,Rates_previous!$C$88,Rates_previous!$D$88)</f>
        <v>40.722284444683467</v>
      </c>
      <c r="I102" s="211">
        <f>IF(Init!$R$9="Yes",IF('Staging Table'!$F$1=2020,(SUM('Staging Table'!AX104:BD104)*Rates_previous!$C$87),(SUM('Staging Table'!AX104:BD104)*Rates_previous!$D$87)),IF('Staging Table'!$F$1=2020,(SUM('Staging Table'!DK104:DQ104)*Rates_previous!$C$87),(SUM('Staging Table'!DK104:DQ104)*Rates_previous!$D$87)))</f>
        <v>149147.74505731236</v>
      </c>
      <c r="J102" s="213">
        <f>IF(Init!$R$9="Yes",IF('Staging Table'!D104=1,'Staging Table'!H104*-1,'Staging Table'!H104*SUM(D102:I102)*(-1)),IF('Staging Table'!D104=1,'Staging Table'!BU104*-1,'Staging Table'!BU104*SUM(D102:I102)*(-1)))</f>
        <v>-775423.44384832308</v>
      </c>
      <c r="K102" s="211">
        <f>IF(Init!$R$9="Yes",'Staging Table'!K104,'Staging Table'!BX104)*(-1)*Rates_previous!$H$32</f>
        <v>-1478594.99238</v>
      </c>
      <c r="L102" s="211" t="str">
        <f>IF('Staging Table'!C104=1,"",SUM(D102:K102))</f>
        <v/>
      </c>
      <c r="M102" s="211" t="str">
        <f>IF('Staging Table'!C104=1,"",IF(Init!$R$9="Yes",(RT1SC!$C$3*'Staging Table'!E104*'Staging Table'!$F$2)+SUM('Staging Table'!L104:AI104)-IF(Init!$R$12="No",'Staging Table'!BH104, 0),X102))</f>
        <v/>
      </c>
      <c r="N102" s="95" t="str">
        <f>IF('Staging Table'!C104=1,"",IF(M102=0, 0, L102/M102))</f>
        <v/>
      </c>
      <c r="O102" s="211">
        <f>'Staging Table'!BR104*Rates_current!$E$76*100*12</f>
        <v>12429596.260010537</v>
      </c>
      <c r="P102" s="211">
        <f>'Staging Table'!BS104*Rates_current!$E$77*100*12</f>
        <v>-2052156.1672712388</v>
      </c>
      <c r="Q102" s="212">
        <f>SUMPRODUCT('Staging Table'!BY104:CV104, LS_Demand_Rates_Restatement!$C$5:$Z$5)-IF(Init!$R$12="No",('Staging Table'!DU104*Rates_current!$H$34), 0)</f>
        <v>0</v>
      </c>
      <c r="R102" s="212">
        <f>SUMPRODUCT('Staging Table'!CW104:DH104, LS_Demand_Rates_Restatement!$C$11:$N$11)*1000</f>
        <v>0</v>
      </c>
      <c r="S102" s="213">
        <f>'Staging Table'!ED104*IF(Init!$R$15="Yes",IF(Init!$R$6=2022,Rates_current!$C$88,Rates_current!$D$88),Rates_current!$H$33)</f>
        <v>0</v>
      </c>
      <c r="T102" s="213">
        <v>0</v>
      </c>
      <c r="U102" s="213">
        <f>IF('Staging Table'!D104=1, 'Staging Table'!BU104*-1,SUM(O102:T102)*'Staging Table'!BU104*-1)</f>
        <v>-736677.87244049611</v>
      </c>
      <c r="V102" s="211">
        <f>'Staging Table'!BX104*Rates_current!$H$32*-1</f>
        <v>-1450646.7522000002</v>
      </c>
      <c r="W102" s="211" t="str">
        <f>IF('Staging Table'!C104=1,"",SUM(O102:V102))</f>
        <v/>
      </c>
      <c r="X102" s="211" t="str">
        <f>IF('Staging Table'!C104=1,"",(RT1SC!$C$4*'Staging Table'!BR104*'Staging Table'!$BS$2)+SUM('Staging Table'!BY104:CV104)-IF(Init!$R$12="No",'Staging Table'!DU104, 0))</f>
        <v/>
      </c>
      <c r="Y102" s="95" t="str">
        <f>IF('Staging Table'!C104=1,"",IF(X102=0, 0, W102/X102))</f>
        <v/>
      </c>
      <c r="Z102" s="87" t="str">
        <f>IF('Staging Table'!C104=1,"",Y102/N102-1)</f>
        <v/>
      </c>
      <c r="AA102" s="53" t="str">
        <f t="shared" si="1"/>
        <v/>
      </c>
      <c r="AD102" s="216"/>
      <c r="AE102" s="216"/>
      <c r="AF102" s="220"/>
      <c r="AG102" s="216"/>
      <c r="AH102" s="216"/>
    </row>
    <row r="103" spans="2:34">
      <c r="B103" s="3">
        <v>10333</v>
      </c>
      <c r="C103" s="4" t="s">
        <v>106</v>
      </c>
      <c r="D103" s="211">
        <f>IF(Init!$R$9="Yes",'Staging Table'!E105,'Staging Table'!BR105)*Rates_previous!$E$76*100*12</f>
        <v>6185742.3517199997</v>
      </c>
      <c r="E103" s="211">
        <f>IF(Init!$R$9="Yes",'Staging Table'!F105,'Staging Table'!BS105)*Rates_previous!$E$77*100*12</f>
        <v>-625787.98259999999</v>
      </c>
      <c r="F103" s="212">
        <f>IF(Init!$R$9="Yes",SUMPRODUCT('Staging Table'!L105:AI105,LS_Demand_Rates_Restatement!$C$4:$Z$4)-IF(Init!$R$12="No",('Staging Table'!BH105*Rates_previous!$H$34), 0),SUMPRODUCT('Staging Table'!BY105:CV105,LS_Demand_Rates_Restatement!$C$4:$Z$4)-IF(Init!$R$12="No", 'Staging Table'!DU105*Rates_previous!$H$34, 0))</f>
        <v>0</v>
      </c>
      <c r="G103" s="212">
        <f>IF(Init!$R$9="Yes",SUMPRODUCT('Staging Table'!AJ105:AU105,LS_Demand_Rates_Restatement!$C$10:$N$10),SUMPRODUCT(LS_Demand_Rates_Restatement!$C$10:$N$10,'Staging Table'!CW105:DH105))*1000</f>
        <v>0</v>
      </c>
      <c r="H103" s="213">
        <f>IF(Init!$R$9="Yes",'Staging Table'!BQ105,'Staging Table'!ED105)*IF(Init!$R$3=2020,Rates_previous!$C$88,Rates_previous!$D$88)</f>
        <v>-41.627302355092837</v>
      </c>
      <c r="I103" s="211">
        <f>IF(Init!$R$9="Yes",IF('Staging Table'!$F$1=2020,(SUM('Staging Table'!AX105:BD105)*Rates_previous!$C$87),(SUM('Staging Table'!AX105:BD105)*Rates_previous!$D$87)),IF('Staging Table'!$F$1=2020,(SUM('Staging Table'!DK105:DQ105)*Rates_previous!$C$87),(SUM('Staging Table'!DK105:DQ105)*Rates_previous!$D$87)))</f>
        <v>75881.469996416301</v>
      </c>
      <c r="J103" s="213">
        <f>IF(Init!$R$9="Yes",IF('Staging Table'!D105=1,'Staging Table'!H105*-1,'Staging Table'!H105*SUM(D103:I103)*(-1)),IF('Staging Table'!D105=1,'Staging Table'!BU105*-1,'Staging Table'!BU105*SUM(D103:I103)*(-1)))</f>
        <v>-366326.62376791396</v>
      </c>
      <c r="K103" s="211">
        <f>IF(Init!$R$9="Yes",'Staging Table'!K105,'Staging Table'!BX105)*(-1)*Rates_previous!$H$32</f>
        <v>0</v>
      </c>
      <c r="L103" s="211" t="str">
        <f>IF('Staging Table'!C105=1,"",SUM(D103:K103))</f>
        <v/>
      </c>
      <c r="M103" s="211" t="str">
        <f>IF('Staging Table'!C105=1,"",IF(Init!$R$9="Yes",(RT1SC!$C$3*'Staging Table'!E105*'Staging Table'!$F$2)+SUM('Staging Table'!L105:AI105)-IF(Init!$R$12="No",'Staging Table'!BH105, 0),X103))</f>
        <v/>
      </c>
      <c r="N103" s="95" t="str">
        <f>IF('Staging Table'!C105=1,"",IF(M103=0, 0, L103/M103))</f>
        <v/>
      </c>
      <c r="O103" s="211">
        <f>'Staging Table'!BR105*Rates_current!$E$76*100*12</f>
        <v>6287100.869145805</v>
      </c>
      <c r="P103" s="211">
        <f>'Staging Table'!BS105*Rates_current!$E$77*100*12</f>
        <v>-1038015.4393577215</v>
      </c>
      <c r="Q103" s="212">
        <f>SUMPRODUCT('Staging Table'!BY105:CV105, LS_Demand_Rates_Restatement!$C$5:$Z$5)-IF(Init!$R$12="No",('Staging Table'!DU105*Rates_current!$H$34), 0)</f>
        <v>0</v>
      </c>
      <c r="R103" s="212">
        <f>SUMPRODUCT('Staging Table'!CW105:DH105, LS_Demand_Rates_Restatement!$C$11:$N$11)*1000</f>
        <v>0</v>
      </c>
      <c r="S103" s="213">
        <f>'Staging Table'!ED105*IF(Init!$R$15="Yes",IF(Init!$R$6=2022,Rates_current!$C$88,Rates_current!$D$88),Rates_current!$H$33)</f>
        <v>0</v>
      </c>
      <c r="T103" s="213">
        <v>0</v>
      </c>
      <c r="U103" s="213">
        <f>IF('Staging Table'!D105=1, 'Staging Table'!BU105*-1,SUM(O103:T103)*'Staging Table'!BU105*-1)</f>
        <v>-334864.36623258243</v>
      </c>
      <c r="V103" s="211">
        <f>'Staging Table'!BX105*Rates_current!$H$32*-1</f>
        <v>0</v>
      </c>
      <c r="W103" s="211" t="str">
        <f>IF('Staging Table'!C105=1,"",SUM(O103:V103))</f>
        <v/>
      </c>
      <c r="X103" s="211" t="str">
        <f>IF('Staging Table'!C105=1,"",(RT1SC!$C$4*'Staging Table'!BR105*'Staging Table'!$BS$2)+SUM('Staging Table'!BY105:CV105)-IF(Init!$R$12="No",'Staging Table'!DU105, 0))</f>
        <v/>
      </c>
      <c r="Y103" s="95" t="str">
        <f>IF('Staging Table'!C105=1,"",IF(X103=0, 0, W103/X103))</f>
        <v/>
      </c>
      <c r="Z103" s="87" t="str">
        <f>IF('Staging Table'!C105=1,"",Y103/N103-1)</f>
        <v/>
      </c>
      <c r="AA103" s="53" t="str">
        <f t="shared" si="1"/>
        <v/>
      </c>
      <c r="AD103" s="216"/>
      <c r="AE103" s="216"/>
      <c r="AF103" s="220"/>
      <c r="AG103" s="216"/>
      <c r="AH103" s="216"/>
    </row>
    <row r="104" spans="2:34">
      <c r="B104" s="3">
        <v>10338</v>
      </c>
      <c r="C104" s="4" t="s">
        <v>107</v>
      </c>
      <c r="D104" s="211">
        <f>IF(Init!$R$9="Yes",'Staging Table'!E106,'Staging Table'!BR106)*Rates_previous!$E$76*100*12</f>
        <v>798558.96959999995</v>
      </c>
      <c r="E104" s="211">
        <f>IF(Init!$R$9="Yes",'Staging Table'!F106,'Staging Table'!BS106)*Rates_previous!$E$77*100*12</f>
        <v>-80787.167999999991</v>
      </c>
      <c r="F104" s="212">
        <f>IF(Init!$R$9="Yes",SUMPRODUCT('Staging Table'!L106:AI106,LS_Demand_Rates_Restatement!$C$4:$Z$4)-IF(Init!$R$12="No",('Staging Table'!BH106*Rates_previous!$H$34), 0),SUMPRODUCT('Staging Table'!BY106:CV106,LS_Demand_Rates_Restatement!$C$4:$Z$4)-IF(Init!$R$12="No", 'Staging Table'!DU106*Rates_previous!$H$34, 0))</f>
        <v>-9767.9626128054369</v>
      </c>
      <c r="G104" s="212">
        <f>IF(Init!$R$9="Yes",SUMPRODUCT('Staging Table'!AJ106:AU106,LS_Demand_Rates_Restatement!$C$10:$N$10),SUMPRODUCT(LS_Demand_Rates_Restatement!$C$10:$N$10,'Staging Table'!CW106:DH106))*1000</f>
        <v>23163.096405769236</v>
      </c>
      <c r="H104" s="213">
        <f>IF(Init!$R$9="Yes",'Staging Table'!BQ106,'Staging Table'!ED106)*IF(Init!$R$3=2020,Rates_previous!$C$88,Rates_previous!$D$88)</f>
        <v>0</v>
      </c>
      <c r="I104" s="211">
        <f>IF(Init!$R$9="Yes",IF('Staging Table'!$F$1=2020,(SUM('Staging Table'!AX106:BD106)*Rates_previous!$C$87),(SUM('Staging Table'!AX106:BD106)*Rates_previous!$D$87)),IF('Staging Table'!$F$1=2020,(SUM('Staging Table'!DK106:DQ106)*Rates_previous!$C$87),(SUM('Staging Table'!DK106:DQ106)*Rates_previous!$D$87)))</f>
        <v>9796.0479190056012</v>
      </c>
      <c r="J104" s="213">
        <f>IF(Init!$R$9="Yes",IF('Staging Table'!D106=1,'Staging Table'!H106*-1,'Staging Table'!H106*SUM(D104:I104)*(-1)),IF('Staging Table'!D106=1,'Staging Table'!BU106*-1,'Staging Table'!BU106*SUM(D104:I104)*(-1)))</f>
        <v>-26735.891035563884</v>
      </c>
      <c r="K104" s="211">
        <f>IF(Init!$R$9="Yes",'Staging Table'!K106,'Staging Table'!BX106)*(-1)*Rates_previous!$H$32</f>
        <v>-46164.383099999999</v>
      </c>
      <c r="L104" s="211">
        <f>IF('Staging Table'!C106=1,"",SUM(D104:K104))</f>
        <v>668062.70917640557</v>
      </c>
      <c r="M104" s="211">
        <f>IF('Staging Table'!C106=1,"",IF(Init!$R$9="Yes",(RT1SC!$C$3*'Staging Table'!E106*'Staging Table'!$F$2)+SUM('Staging Table'!L106:AI106)-IF(Init!$R$12="No",'Staging Table'!BH106, 0),X104))</f>
        <v>20730.239999999998</v>
      </c>
      <c r="N104" s="95">
        <f>IF('Staging Table'!C106=1,"",IF(M104=0, 0, L104/M104))</f>
        <v>32.226482142821581</v>
      </c>
      <c r="O104" s="211">
        <f>'Staging Table'!BR106*Rates_current!$E$76*100*12</f>
        <v>805522.05894880265</v>
      </c>
      <c r="P104" s="211">
        <f>'Staging Table'!BS106*Rates_current!$E$77*100*12</f>
        <v>-132993.62477791455</v>
      </c>
      <c r="Q104" s="212">
        <f>SUMPRODUCT('Staging Table'!BY106:CV106, LS_Demand_Rates_Restatement!$C$5:$Z$5)-IF(Init!$R$12="No",('Staging Table'!DU106*Rates_current!$H$34), 0)</f>
        <v>-9513.2024993138475</v>
      </c>
      <c r="R104" s="212">
        <f>SUMPRODUCT('Staging Table'!CW106:DH106, LS_Demand_Rates_Restatement!$C$11:$N$11)*1000</f>
        <v>23116.27978180199</v>
      </c>
      <c r="S104" s="213">
        <f>'Staging Table'!ED106*IF(Init!$R$15="Yes",IF(Init!$R$6=2022,Rates_current!$C$88,Rates_current!$D$88),Rates_current!$H$33)</f>
        <v>0</v>
      </c>
      <c r="T104" s="213">
        <v>0</v>
      </c>
      <c r="U104" s="213">
        <f>IF('Staging Table'!D106=1, 'Staging Table'!BU106*-1,SUM(O104:T104)*'Staging Table'!BU106*-1)</f>
        <v>-26975.307368098489</v>
      </c>
      <c r="V104" s="211">
        <f>'Staging Table'!BX106*Rates_current!$H$32*-1</f>
        <v>-45291.789000000004</v>
      </c>
      <c r="W104" s="211">
        <f>IF('Staging Table'!C106=1,"",SUM(O104:V104))</f>
        <v>613864.41508527764</v>
      </c>
      <c r="X104" s="211">
        <f>IF('Staging Table'!C106=1,"",(RT1SC!$C$4*'Staging Table'!BR106*'Staging Table'!$BS$2)+SUM('Staging Table'!BY106:CV106)-IF(Init!$R$12="No",'Staging Table'!DU106, 0))</f>
        <v>19823.879999999997</v>
      </c>
      <c r="Y104" s="95">
        <f>IF('Staging Table'!C106=1,"",IF(X104=0, 0, W104/X104))</f>
        <v>30.965906527141897</v>
      </c>
      <c r="Z104" s="87">
        <f>IF('Staging Table'!C106=1,"",Y104/N104-1)</f>
        <v>-3.9116140883545869E-2</v>
      </c>
      <c r="AA104" s="53">
        <f t="shared" ca="1" si="1"/>
        <v>84</v>
      </c>
      <c r="AD104" s="216"/>
      <c r="AE104" s="216"/>
      <c r="AF104" s="220"/>
      <c r="AG104" s="216"/>
      <c r="AH104" s="216"/>
    </row>
    <row r="105" spans="2:34">
      <c r="B105" s="3">
        <v>10342</v>
      </c>
      <c r="C105" s="4" t="s">
        <v>108</v>
      </c>
      <c r="D105" s="211">
        <f>IF(Init!$R$9="Yes",'Staging Table'!E107,'Staging Table'!BR107)*Rates_previous!$E$76*100*12</f>
        <v>12837548.435399998</v>
      </c>
      <c r="E105" s="211">
        <f>IF(Init!$R$9="Yes",'Staging Table'!F107,'Staging Table'!BS107)*Rates_previous!$E$77*100*12</f>
        <v>-1298725.8570000001</v>
      </c>
      <c r="F105" s="212">
        <f>IF(Init!$R$9="Yes",SUMPRODUCT('Staging Table'!L107:AI107,LS_Demand_Rates_Restatement!$C$4:$Z$4)-IF(Init!$R$12="No",('Staging Table'!BH107*Rates_previous!$H$34), 0),SUMPRODUCT('Staging Table'!BY107:CV107,LS_Demand_Rates_Restatement!$C$4:$Z$4)-IF(Init!$R$12="No", 'Staging Table'!DU107*Rates_previous!$H$34, 0))</f>
        <v>173386.61108153436</v>
      </c>
      <c r="G105" s="212">
        <f>IF(Init!$R$9="Yes",SUMPRODUCT('Staging Table'!AJ107:AU107,LS_Demand_Rates_Restatement!$C$10:$N$10),SUMPRODUCT(LS_Demand_Rates_Restatement!$C$10:$N$10,'Staging Table'!CW107:DH107))*1000</f>
        <v>779571.82654928754</v>
      </c>
      <c r="H105" s="213">
        <f>IF(Init!$R$9="Yes",'Staging Table'!BQ107,'Staging Table'!ED107)*IF(Init!$R$3=2020,Rates_previous!$C$88,Rates_previous!$D$88)</f>
        <v>-29132.243035373136</v>
      </c>
      <c r="I105" s="211">
        <f>IF(Init!$R$9="Yes",IF('Staging Table'!$F$1=2020,(SUM('Staging Table'!AX107:BD107)*Rates_previous!$C$87),(SUM('Staging Table'!AX107:BD107)*Rates_previous!$D$87)),IF('Staging Table'!$F$1=2020,(SUM('Staging Table'!DK107:DQ107)*Rates_previous!$C$87),(SUM('Staging Table'!DK107:DQ107)*Rates_previous!$D$87)))</f>
        <v>157480.21676937133</v>
      </c>
      <c r="J105" s="213">
        <f>IF(Init!$R$9="Yes",IF('Staging Table'!D107=1,'Staging Table'!H107*-1,'Staging Table'!H107*SUM(D105:I105)*(-1)),IF('Staging Table'!D107=1,'Staging Table'!BU107*-1,'Staging Table'!BU107*SUM(D105:I105)*(-1)))</f>
        <v>0</v>
      </c>
      <c r="K105" s="211">
        <f>IF(Init!$R$9="Yes",'Staging Table'!K107,'Staging Table'!BX107)*(-1)*Rates_previous!$H$32</f>
        <v>0</v>
      </c>
      <c r="L105" s="211">
        <f>IF('Staging Table'!C107=1,"",SUM(D105:K105))</f>
        <v>12620128.989764819</v>
      </c>
      <c r="M105" s="211">
        <f>IF('Staging Table'!C107=1,"",IF(Init!$R$9="Yes",(RT1SC!$C$3*'Staging Table'!E107*'Staging Table'!$F$2)+SUM('Staging Table'!L107:AI107)-IF(Init!$R$12="No",'Staging Table'!BH107, 0),X105))</f>
        <v>331431.01550987398</v>
      </c>
      <c r="N105" s="95">
        <f>IF('Staging Table'!C107=1,"",IF(M105=0, 0, L105/M105))</f>
        <v>38.077694600639575</v>
      </c>
      <c r="O105" s="211">
        <f>'Staging Table'!BR107*Rates_current!$E$76*100*12</f>
        <v>13138714.666771956</v>
      </c>
      <c r="P105" s="211">
        <f>'Staging Table'!BS107*Rates_current!$E$77*100*12</f>
        <v>-2169233.3177530169</v>
      </c>
      <c r="Q105" s="212">
        <f>SUMPRODUCT('Staging Table'!BY107:CV107, LS_Demand_Rates_Restatement!$C$5:$Z$5)-IF(Init!$R$12="No",('Staging Table'!DU107*Rates_current!$H$34), 0)</f>
        <v>125528.04061862864</v>
      </c>
      <c r="R105" s="212">
        <f>SUMPRODUCT('Staging Table'!CW107:DH107, LS_Demand_Rates_Restatement!$C$11:$N$11)*1000</f>
        <v>735364.78760687285</v>
      </c>
      <c r="S105" s="213">
        <f>'Staging Table'!ED107*IF(Init!$R$15="Yes",IF(Init!$R$6=2022,Rates_current!$C$88,Rates_current!$D$88),Rates_current!$H$33)</f>
        <v>0</v>
      </c>
      <c r="T105" s="213">
        <v>0</v>
      </c>
      <c r="U105" s="213">
        <f>IF('Staging Table'!D107=1, 'Staging Table'!BU107*-1,SUM(O105:T105)*'Staging Table'!BU107*-1)</f>
        <v>0</v>
      </c>
      <c r="V105" s="211">
        <f>'Staging Table'!BX107*Rates_current!$H$32*-1</f>
        <v>0</v>
      </c>
      <c r="W105" s="211">
        <f>IF('Staging Table'!C107=1,"",SUM(O105:V105))</f>
        <v>11830374.17724444</v>
      </c>
      <c r="X105" s="211">
        <f>IF('Staging Table'!C107=1,"",(RT1SC!$C$4*'Staging Table'!BR107*'Staging Table'!$BS$2)+SUM('Staging Table'!BY107:CV107)-IF(Init!$R$12="No",'Staging Table'!DU107, 0))</f>
        <v>321707.41953853861</v>
      </c>
      <c r="Y105" s="95">
        <f>IF('Staging Table'!C107=1,"",IF(X105=0, 0, W105/X105))</f>
        <v>36.773706351610059</v>
      </c>
      <c r="Z105" s="87">
        <f>IF('Staging Table'!C107=1,"",Y105/N105-1)</f>
        <v>-3.4245462145379268E-2</v>
      </c>
      <c r="AA105" s="53">
        <f t="shared" ca="1" si="1"/>
        <v>45</v>
      </c>
      <c r="AD105" s="216"/>
      <c r="AE105" s="216"/>
      <c r="AF105" s="220"/>
      <c r="AG105" s="216"/>
      <c r="AH105" s="216"/>
    </row>
    <row r="106" spans="2:34">
      <c r="B106" s="3">
        <v>10343</v>
      </c>
      <c r="C106" s="4" t="s">
        <v>109</v>
      </c>
      <c r="D106" s="211">
        <f>IF(Init!$R$9="Yes",'Staging Table'!E108,'Staging Table'!BR108)*Rates_previous!$E$76*100*12</f>
        <v>4085722.3947600005</v>
      </c>
      <c r="E106" s="211">
        <f>IF(Init!$R$9="Yes",'Staging Table'!F108,'Staging Table'!BS108)*Rates_previous!$E$77*100*12</f>
        <v>-413336.96580000001</v>
      </c>
      <c r="F106" s="212">
        <f>IF(Init!$R$9="Yes",SUMPRODUCT('Staging Table'!L108:AI108,LS_Demand_Rates_Restatement!$C$4:$Z$4)-IF(Init!$R$12="No",('Staging Table'!BH108*Rates_previous!$H$34), 0),SUMPRODUCT('Staging Table'!BY108:CV108,LS_Demand_Rates_Restatement!$C$4:$Z$4)-IF(Init!$R$12="No", 'Staging Table'!DU108*Rates_previous!$H$34, 0))</f>
        <v>-37600.572608490307</v>
      </c>
      <c r="G106" s="212">
        <f>IF(Init!$R$9="Yes",SUMPRODUCT('Staging Table'!AJ108:AU108,LS_Demand_Rates_Restatement!$C$10:$N$10),SUMPRODUCT(LS_Demand_Rates_Restatement!$C$10:$N$10,'Staging Table'!CW108:DH108))*1000</f>
        <v>0</v>
      </c>
      <c r="H106" s="213">
        <f>IF(Init!$R$9="Yes",'Staging Table'!BQ108,'Staging Table'!ED108)*IF(Init!$R$3=2020,Rates_previous!$C$88,Rates_previous!$D$88)</f>
        <v>-21462.719330718679</v>
      </c>
      <c r="I106" s="211">
        <f>IF(Init!$R$9="Yes",IF('Staging Table'!$F$1=2020,(SUM('Staging Table'!AX108:BD108)*Rates_previous!$C$87),(SUM('Staging Table'!AX108:BD108)*Rates_previous!$D$87)),IF('Staging Table'!$F$1=2020,(SUM('Staging Table'!DK108:DQ108)*Rates_previous!$C$87),(SUM('Staging Table'!DK108:DQ108)*Rates_previous!$D$87)))</f>
        <v>50120.196361793242</v>
      </c>
      <c r="J106" s="213">
        <f>IF(Init!$R$9="Yes",IF('Staging Table'!D108=1,'Staging Table'!H108*-1,'Staging Table'!H108*SUM(D106:I106)*(-1)),IF('Staging Table'!D108=1,'Staging Table'!BU108*-1,'Staging Table'!BU108*SUM(D106:I106)*(-1)))</f>
        <v>-256440.96333678096</v>
      </c>
      <c r="K106" s="211">
        <f>IF(Init!$R$9="Yes",'Staging Table'!K108,'Staging Table'!BX108)*(-1)*Rates_previous!$H$32</f>
        <v>-116717.89370999999</v>
      </c>
      <c r="L106" s="211">
        <f>IF('Staging Table'!C108=1,"",SUM(D106:K106))</f>
        <v>3290283.4763358035</v>
      </c>
      <c r="M106" s="211">
        <f>IF('Staging Table'!C108=1,"",IF(Init!$R$9="Yes",(RT1SC!$C$3*'Staging Table'!E108*'Staging Table'!$F$2)+SUM('Staging Table'!L108:AI108)-IF(Init!$R$12="No",'Staging Table'!BH108, 0),X106))</f>
        <v>104705.03998143559</v>
      </c>
      <c r="N106" s="95">
        <f>IF('Staging Table'!C108=1,"",IF(M106=0, 0, L106/M106))</f>
        <v>31.424308485237933</v>
      </c>
      <c r="O106" s="211">
        <f>'Staging Table'!BR108*Rates_current!$E$76*100*12</f>
        <v>4277732.2082550591</v>
      </c>
      <c r="P106" s="211">
        <f>'Staging Table'!BS108*Rates_current!$E$77*100*12</f>
        <v>-706263.85197631444</v>
      </c>
      <c r="Q106" s="212">
        <f>SUMPRODUCT('Staging Table'!BY108:CV108, LS_Demand_Rates_Restatement!$C$5:$Z$5)-IF(Init!$R$12="No",('Staging Table'!DU108*Rates_current!$H$34), 0)</f>
        <v>-33168.091755942565</v>
      </c>
      <c r="R106" s="212">
        <f>SUMPRODUCT('Staging Table'!CW108:DH108, LS_Demand_Rates_Restatement!$C$11:$N$11)*1000</f>
        <v>0</v>
      </c>
      <c r="S106" s="213">
        <f>'Staging Table'!ED108*IF(Init!$R$15="Yes",IF(Init!$R$6=2022,Rates_current!$C$88,Rates_current!$D$88),Rates_current!$H$33)</f>
        <v>-3391.7747397609501</v>
      </c>
      <c r="T106" s="213">
        <v>0</v>
      </c>
      <c r="U106" s="213">
        <f>IF('Staging Table'!D108=1, 'Staging Table'!BU108*-1,SUM(O106:T106)*'Staging Table'!BU108*-1)</f>
        <v>-247443.59428481292</v>
      </c>
      <c r="V106" s="211">
        <f>'Staging Table'!BX108*Rates_current!$H$32*-1</f>
        <v>-114511.70490000001</v>
      </c>
      <c r="W106" s="211">
        <f>IF('Staging Table'!C108=1,"",SUM(O106:V106))</f>
        <v>3172953.190598228</v>
      </c>
      <c r="X106" s="211">
        <f>IF('Staging Table'!C108=1,"",(RT1SC!$C$4*'Staging Table'!BR108*'Staging Table'!$BS$2)+SUM('Staging Table'!BY108:CV108)-IF(Init!$R$12="No",'Staging Table'!DU108, 0))</f>
        <v>104705.04138465451</v>
      </c>
      <c r="Y106" s="95">
        <f>IF('Staging Table'!C108=1,"",IF(X106=0, 0, W106/X106))</f>
        <v>30.303728919238587</v>
      </c>
      <c r="Z106" s="87">
        <f>IF('Staging Table'!C108=1,"",Y106/N106-1)</f>
        <v>-3.5659641214563442E-2</v>
      </c>
      <c r="AA106" s="53">
        <f t="shared" ca="1" si="1"/>
        <v>55</v>
      </c>
      <c r="AD106" s="216"/>
      <c r="AE106" s="216"/>
      <c r="AF106" s="220"/>
      <c r="AG106" s="216"/>
      <c r="AH106" s="216"/>
    </row>
    <row r="107" spans="2:34">
      <c r="B107" s="3">
        <v>10349</v>
      </c>
      <c r="C107" s="4" t="s">
        <v>110</v>
      </c>
      <c r="D107" s="211">
        <f>IF(Init!$R$9="Yes",'Staging Table'!E109,'Staging Table'!BR109)*Rates_previous!$E$76*100*12</f>
        <v>145299468.18324</v>
      </c>
      <c r="E107" s="211">
        <f>IF(Init!$R$9="Yes",'Staging Table'!F109,'Staging Table'!BS109)*Rates_previous!$E$77*100*12</f>
        <v>-14699393.524199998</v>
      </c>
      <c r="F107" s="212">
        <f>IF(Init!$R$9="Yes",SUMPRODUCT('Staging Table'!L109:AI109,LS_Demand_Rates_Restatement!$C$4:$Z$4)-IF(Init!$R$12="No",('Staging Table'!BH109*Rates_previous!$H$34), 0),SUMPRODUCT('Staging Table'!BY109:CV109,LS_Demand_Rates_Restatement!$C$4:$Z$4)-IF(Init!$R$12="No", 'Staging Table'!DU109*Rates_previous!$H$34, 0))</f>
        <v>9198775.0851027556</v>
      </c>
      <c r="G107" s="212">
        <f>IF(Init!$R$9="Yes",SUMPRODUCT('Staging Table'!AJ109:AU109,LS_Demand_Rates_Restatement!$C$10:$N$10),SUMPRODUCT(LS_Demand_Rates_Restatement!$C$10:$N$10,'Staging Table'!CW109:DH109))*1000</f>
        <v>0</v>
      </c>
      <c r="H107" s="213">
        <f>IF(Init!$R$9="Yes",'Staging Table'!BQ109,'Staging Table'!ED109)*IF(Init!$R$3=2020,Rates_previous!$C$88,Rates_previous!$D$88)</f>
        <v>0</v>
      </c>
      <c r="I107" s="211">
        <f>IF(Init!$R$9="Yes",IF('Staging Table'!$F$1=2020,(SUM('Staging Table'!AX109:BD109)*Rates_previous!$C$87),(SUM('Staging Table'!AX109:BD109)*Rates_previous!$D$87)),IF('Staging Table'!$F$1=2020,(SUM('Staging Table'!DK109:DQ109)*Rates_previous!$C$87),(SUM('Staging Table'!DK109:DQ109)*Rates_previous!$D$87)))</f>
        <v>1782411.3272962335</v>
      </c>
      <c r="J107" s="213">
        <f>IF(Init!$R$9="Yes",IF('Staging Table'!D109=1,'Staging Table'!H109*-1,'Staging Table'!H109*SUM(D107:I107)*(-1)),IF('Staging Table'!D109=1,'Staging Table'!BU109*-1,'Staging Table'!BU109*SUM(D107:I107)*(-1)))</f>
        <v>0</v>
      </c>
      <c r="K107" s="211">
        <f>IF(Init!$R$9="Yes",'Staging Table'!K109,'Staging Table'!BX109)*(-1)*Rates_previous!$H$32</f>
        <v>0</v>
      </c>
      <c r="L107" s="211">
        <f>IF('Staging Table'!C109=1,"",SUM(D107:K107))</f>
        <v>141581261.071439</v>
      </c>
      <c r="M107" s="211">
        <f>IF('Staging Table'!C109=1,"",IF(Init!$R$9="Yes",(RT1SC!$C$3*'Staging Table'!E109*'Staging Table'!$F$2)+SUM('Staging Table'!L109:AI109)-IF(Init!$R$12="No",'Staging Table'!BH109, 0),X107))</f>
        <v>3772288.9415907436</v>
      </c>
      <c r="N107" s="95">
        <f>IF('Staging Table'!C109=1,"",IF(M107=0, 0, L107/M107))</f>
        <v>37.531923790475958</v>
      </c>
      <c r="O107" s="211">
        <f>'Staging Table'!BR109*Rates_current!$E$76*100*12</f>
        <v>153300512.16418391</v>
      </c>
      <c r="P107" s="211">
        <f>'Staging Table'!BS109*Rates_current!$E$77*100*12</f>
        <v>-25310282.401988722</v>
      </c>
      <c r="Q107" s="212">
        <f>SUMPRODUCT('Staging Table'!BY109:CV109, LS_Demand_Rates_Restatement!$C$5:$Z$5)-IF(Init!$R$12="No",('Staging Table'!DU109*Rates_current!$H$34), 0)</f>
        <v>9104657.7226067428</v>
      </c>
      <c r="R107" s="212">
        <f>SUMPRODUCT('Staging Table'!CW109:DH109, LS_Demand_Rates_Restatement!$C$11:$N$11)*1000</f>
        <v>0</v>
      </c>
      <c r="S107" s="213">
        <f>'Staging Table'!ED109*IF(Init!$R$15="Yes",IF(Init!$R$6=2022,Rates_current!$C$88,Rates_current!$D$88),Rates_current!$H$33)</f>
        <v>0</v>
      </c>
      <c r="T107" s="213">
        <v>0</v>
      </c>
      <c r="U107" s="213">
        <f>IF('Staging Table'!D109=1, 'Staging Table'!BU109*-1,SUM(O107:T107)*'Staging Table'!BU109*-1)</f>
        <v>0</v>
      </c>
      <c r="V107" s="211">
        <f>'Staging Table'!BX109*Rates_current!$H$32*-1</f>
        <v>0</v>
      </c>
      <c r="W107" s="211">
        <f>IF('Staging Table'!C109=1,"",SUM(O107:V107))</f>
        <v>137094887.48480195</v>
      </c>
      <c r="X107" s="211">
        <f>IF('Staging Table'!C109=1,"",(RT1SC!$C$4*'Staging Table'!BR109*'Staging Table'!$BS$2)+SUM('Staging Table'!BY109:CV109)-IF(Init!$R$12="No",'Staging Table'!DU109, 0))</f>
        <v>3772292.7129691374</v>
      </c>
      <c r="Y107" s="95">
        <f>IF('Staging Table'!C109=1,"",IF(X107=0, 0, W107/X107))</f>
        <v>36.342590015210085</v>
      </c>
      <c r="Z107" s="87">
        <f>IF('Staging Table'!C109=1,"",Y107/N107-1)</f>
        <v>-3.1688590808864325E-2</v>
      </c>
      <c r="AA107" s="53">
        <f t="shared" ca="1" si="1"/>
        <v>26</v>
      </c>
      <c r="AD107" s="216"/>
      <c r="AE107" s="216"/>
      <c r="AF107" s="220"/>
      <c r="AG107" s="216"/>
      <c r="AH107" s="216"/>
    </row>
    <row r="108" spans="2:34">
      <c r="B108" s="3">
        <v>10352</v>
      </c>
      <c r="C108" s="4" t="s">
        <v>111</v>
      </c>
      <c r="D108" s="211">
        <f>IF(Init!$R$9="Yes",'Staging Table'!E110,'Staging Table'!BR110)*Rates_previous!$E$76*100*12</f>
        <v>5183027.9788800003</v>
      </c>
      <c r="E108" s="211">
        <f>IF(Init!$R$9="Yes",'Staging Table'!F110,'Staging Table'!BS110)*Rates_previous!$E$77*100*12</f>
        <v>-524347.19040000008</v>
      </c>
      <c r="F108" s="212">
        <f>IF(Init!$R$9="Yes",SUMPRODUCT('Staging Table'!L110:AI110,LS_Demand_Rates_Restatement!$C$4:$Z$4)-IF(Init!$R$12="No",('Staging Table'!BH110*Rates_previous!$H$34), 0),SUMPRODUCT('Staging Table'!BY110:CV110,LS_Demand_Rates_Restatement!$C$4:$Z$4)-IF(Init!$R$12="No", 'Staging Table'!DU110*Rates_previous!$H$34, 0))</f>
        <v>205944.54977456218</v>
      </c>
      <c r="G108" s="212">
        <f>IF(Init!$R$9="Yes",SUMPRODUCT('Staging Table'!AJ110:AU110,LS_Demand_Rates_Restatement!$C$10:$N$10),SUMPRODUCT(LS_Demand_Rates_Restatement!$C$10:$N$10,'Staging Table'!CW110:DH110))*1000</f>
        <v>210119.3268586538</v>
      </c>
      <c r="H108" s="213">
        <f>IF(Init!$R$9="Yes",'Staging Table'!BQ110,'Staging Table'!ED110)*IF(Init!$R$3=2020,Rates_previous!$C$88,Rates_previous!$D$88)</f>
        <v>69191.392319999752</v>
      </c>
      <c r="I108" s="211">
        <f>IF(Init!$R$9="Yes",IF('Staging Table'!$F$1=2020,(SUM('Staging Table'!AX110:BD110)*Rates_previous!$C$87),(SUM('Staging Table'!AX110:BD110)*Rates_previous!$D$87)),IF('Staging Table'!$F$1=2020,(SUM('Staging Table'!DK110:DQ110)*Rates_previous!$C$87),(SUM('Staging Table'!DK110:DQ110)*Rates_previous!$D$87)))</f>
        <v>63581.01577906969</v>
      </c>
      <c r="J108" s="213">
        <f>IF(Init!$R$9="Yes",IF('Staging Table'!D110=1,'Staging Table'!H110*-1,'Staging Table'!H110*SUM(D108:I108)*(-1)),IF('Staging Table'!D110=1,'Staging Table'!BU110*-1,'Staging Table'!BU110*SUM(D108:I108)*(-1)))</f>
        <v>-234338.26829455284</v>
      </c>
      <c r="K108" s="211">
        <f>IF(Init!$R$9="Yes",'Staging Table'!K110,'Staging Table'!BX110)*(-1)*Rates_previous!$H$32</f>
        <v>0</v>
      </c>
      <c r="L108" s="211">
        <f>IF('Staging Table'!C110=1,"",SUM(D108:K108))</f>
        <v>4973178.8049177323</v>
      </c>
      <c r="M108" s="211">
        <f>IF('Staging Table'!C110=1,"",IF(Init!$R$9="Yes",(RT1SC!$C$3*'Staging Table'!E110*'Staging Table'!$F$2)+SUM('Staging Table'!L110:AI110)-IF(Init!$R$12="No",'Staging Table'!BH110, 0),X108))</f>
        <v>138980.448</v>
      </c>
      <c r="N108" s="95">
        <f>IF('Staging Table'!C110=1,"",IF(M108=0, 0, L108/M108))</f>
        <v>35.783298129228449</v>
      </c>
      <c r="O108" s="211">
        <f>'Staging Table'!BR110*Rates_current!$E$76*100*12</f>
        <v>5401482.2434542514</v>
      </c>
      <c r="P108" s="211">
        <f>'Staging Table'!BS110*Rates_current!$E$77*100*12</f>
        <v>-891797.67921933555</v>
      </c>
      <c r="Q108" s="212">
        <f>SUMPRODUCT('Staging Table'!BY110:CV110, LS_Demand_Rates_Restatement!$C$5:$Z$5)-IF(Init!$R$12="No",('Staging Table'!DU110*Rates_current!$H$34), 0)</f>
        <v>108360.43570465466</v>
      </c>
      <c r="R108" s="212">
        <f>SUMPRODUCT('Staging Table'!CW110:DH110, LS_Demand_Rates_Restatement!$C$11:$N$11)*1000</f>
        <v>202089.36947102915</v>
      </c>
      <c r="S108" s="213">
        <f>'Staging Table'!ED110*IF(Init!$R$15="Yes",IF(Init!$R$6=2022,Rates_current!$C$88,Rates_current!$D$88),Rates_current!$H$33)</f>
        <v>0</v>
      </c>
      <c r="T108" s="213">
        <v>0</v>
      </c>
      <c r="U108" s="213">
        <f>IF('Staging Table'!D110=1, 'Staging Table'!BU110*-1,SUM(O108:T108)*'Staging Table'!BU110*-1)</f>
        <v>-243055.74415317012</v>
      </c>
      <c r="V108" s="211">
        <f>'Staging Table'!BX110*Rates_current!$H$32*-1</f>
        <v>0</v>
      </c>
      <c r="W108" s="211">
        <f>IF('Staging Table'!C110=1,"",SUM(O108:V108))</f>
        <v>4577078.6252574306</v>
      </c>
      <c r="X108" s="211">
        <f>IF('Staging Table'!C110=1,"",(RT1SC!$C$4*'Staging Table'!BR110*'Staging Table'!$BS$2)+SUM('Staging Table'!BY110:CV110)-IF(Init!$R$12="No",'Staging Table'!DU110, 0))</f>
        <v>132915.48000000001</v>
      </c>
      <c r="Y108" s="95">
        <f>IF('Staging Table'!C110=1,"",IF(X108=0, 0, W108/X108))</f>
        <v>34.436008697086528</v>
      </c>
      <c r="Z108" s="87">
        <f>IF('Staging Table'!C110=1,"",Y108/N108-1)</f>
        <v>-3.7651348606165258E-2</v>
      </c>
      <c r="AA108" s="53">
        <f t="shared" ca="1" si="1"/>
        <v>76</v>
      </c>
      <c r="AD108" s="216"/>
      <c r="AE108" s="216"/>
      <c r="AF108" s="220"/>
      <c r="AG108" s="216"/>
      <c r="AH108" s="216"/>
    </row>
    <row r="109" spans="2:34">
      <c r="B109" s="3">
        <v>10354</v>
      </c>
      <c r="C109" s="4" t="s">
        <v>112</v>
      </c>
      <c r="D109" s="211">
        <f>IF(Init!$R$9="Yes",'Staging Table'!E111,'Staging Table'!BR111)*Rates_previous!$E$76*100*12</f>
        <v>238140504.38819999</v>
      </c>
      <c r="E109" s="211">
        <f>IF(Init!$R$9="Yes",'Staging Table'!F111,'Staging Table'!BS111)*Rates_previous!$E$77*100*12</f>
        <v>-11020668.080399998</v>
      </c>
      <c r="F109" s="212">
        <f>IF(Init!$R$9="Yes",SUMPRODUCT('Staging Table'!L111:AI111,LS_Demand_Rates_Restatement!$C$4:$Z$4)-IF(Init!$R$12="No",('Staging Table'!BH111*Rates_previous!$H$34), 0),SUMPRODUCT('Staging Table'!BY111:CV111,LS_Demand_Rates_Restatement!$C$4:$Z$4)-IF(Init!$R$12="No", 'Staging Table'!DU111*Rates_previous!$H$34, 0))</f>
        <v>850042.58539934491</v>
      </c>
      <c r="G109" s="212">
        <f>IF(Init!$R$9="Yes",SUMPRODUCT('Staging Table'!AJ111:AU111,LS_Demand_Rates_Restatement!$C$10:$N$10),SUMPRODUCT(LS_Demand_Rates_Restatement!$C$10:$N$10,'Staging Table'!CW111:DH111))*1000</f>
        <v>0</v>
      </c>
      <c r="H109" s="213">
        <f>IF(Init!$R$9="Yes",'Staging Table'!BQ111,'Staging Table'!ED111)*IF(Init!$R$3=2020,Rates_previous!$C$88,Rates_previous!$D$88)</f>
        <v>0</v>
      </c>
      <c r="I109" s="211">
        <f>IF(Init!$R$9="Yes",IF('Staging Table'!$F$1=2020,(SUM('Staging Table'!AX111:BD111)*Rates_previous!$C$87),(SUM('Staging Table'!AX111:BD111)*Rates_previous!$D$87)),IF('Staging Table'!$F$1=2020,(SUM('Staging Table'!DK111:DQ111)*Rates_previous!$C$87),(SUM('Staging Table'!DK111:DQ111)*Rates_previous!$D$87)))</f>
        <v>1336338.3726367767</v>
      </c>
      <c r="J109" s="213">
        <f>IF(Init!$R$9="Yes",IF('Staging Table'!D111=1,'Staging Table'!H111*-1,'Staging Table'!H111*SUM(D109:I109)*(-1)),IF('Staging Table'!D111=1,'Staging Table'!BU111*-1,'Staging Table'!BU111*SUM(D109:I109)*(-1)))</f>
        <v>0</v>
      </c>
      <c r="K109" s="211">
        <f>IF(Init!$R$9="Yes",'Staging Table'!K111,'Staging Table'!BX111)*(-1)*Rates_previous!$H$32</f>
        <v>0</v>
      </c>
      <c r="L109" s="211">
        <f>IF('Staging Table'!C111=1,"",SUM(D109:K109))</f>
        <v>229306217.26583612</v>
      </c>
      <c r="M109" s="211">
        <f>IF('Staging Table'!C111=1,"",IF(Init!$R$9="Yes",(RT1SC!$C$3*'Staging Table'!E111*'Staging Table'!$F$2)+SUM('Staging Table'!L111:AI111)-IF(Init!$R$12="No",'Staging Table'!BH111, 0),X109))</f>
        <v>6182644.057105978</v>
      </c>
      <c r="N109" s="95">
        <f>IF('Staging Table'!C111=1,"",IF(M109=0, 0, L109/M109))</f>
        <v>37.088697836694102</v>
      </c>
      <c r="O109" s="211">
        <f>'Staging Table'!BR111*Rates_current!$E$76*100*12</f>
        <v>251253817.08896685</v>
      </c>
      <c r="P109" s="211">
        <f>'Staging Table'!BS111*Rates_current!$E$77*100*12</f>
        <v>-19958268.936863806</v>
      </c>
      <c r="Q109" s="212">
        <f>SUMPRODUCT('Staging Table'!BY111:CV111, LS_Demand_Rates_Restatement!$C$5:$Z$5)-IF(Init!$R$12="No",('Staging Table'!DU111*Rates_current!$H$34), 0)</f>
        <v>461886.30475916539</v>
      </c>
      <c r="R109" s="212">
        <f>SUMPRODUCT('Staging Table'!CW111:DH111, LS_Demand_Rates_Restatement!$C$11:$N$11)*1000</f>
        <v>0</v>
      </c>
      <c r="S109" s="213">
        <f>'Staging Table'!ED111*IF(Init!$R$15="Yes",IF(Init!$R$6=2022,Rates_current!$C$88,Rates_current!$D$88),Rates_current!$H$33)</f>
        <v>0</v>
      </c>
      <c r="T109" s="213">
        <v>0</v>
      </c>
      <c r="U109" s="213">
        <f>IF('Staging Table'!D111=1, 'Staging Table'!BU111*-1,SUM(O109:T109)*'Staging Table'!BU111*-1)</f>
        <v>0</v>
      </c>
      <c r="V109" s="211">
        <f>'Staging Table'!BX111*Rates_current!$H$32*-1</f>
        <v>0</v>
      </c>
      <c r="W109" s="211">
        <f>IF('Staging Table'!C111=1,"",SUM(O109:V109))</f>
        <v>231757434.45686221</v>
      </c>
      <c r="X109" s="211">
        <f>IF('Staging Table'!C111=1,"",(RT1SC!$C$4*'Staging Table'!BR111*'Staging Table'!$BS$2)+SUM('Staging Table'!BY111:CV111)-IF(Init!$R$12="No",'Staging Table'!DU111, 0))</f>
        <v>6182650.7245554123</v>
      </c>
      <c r="Y109" s="95">
        <f>IF('Staging Table'!C111=1,"",IF(X109=0, 0, W109/X109))</f>
        <v>37.485124873122707</v>
      </c>
      <c r="Z109" s="87">
        <f>IF('Staging Table'!C111=1,"",Y109/N109-1)</f>
        <v>1.0688621050383595E-2</v>
      </c>
      <c r="AA109" s="53">
        <f t="shared" ca="1" si="1"/>
        <v>11</v>
      </c>
      <c r="AD109" s="216"/>
      <c r="AE109" s="216"/>
      <c r="AF109" s="220"/>
      <c r="AG109" s="216"/>
      <c r="AH109" s="216"/>
    </row>
    <row r="110" spans="2:34">
      <c r="B110" s="3">
        <v>10360</v>
      </c>
      <c r="C110" s="4" t="s">
        <v>113</v>
      </c>
      <c r="D110" s="211">
        <f>IF(Init!$R$9="Yes",'Staging Table'!E112,'Staging Table'!BR112)*Rates_previous!$E$76*100*12</f>
        <v>2276606.0624400005</v>
      </c>
      <c r="E110" s="211">
        <f>IF(Init!$R$9="Yes",'Staging Table'!F112,'Staging Table'!BS112)*Rates_previous!$E$77*100*12</f>
        <v>-230315.56019999998</v>
      </c>
      <c r="F110" s="212">
        <f>IF(Init!$R$9="Yes",SUMPRODUCT('Staging Table'!L112:AI112,LS_Demand_Rates_Restatement!$C$4:$Z$4)-IF(Init!$R$12="No",('Staging Table'!BH112*Rates_previous!$H$34), 0),SUMPRODUCT('Staging Table'!BY112:CV112,LS_Demand_Rates_Restatement!$C$4:$Z$4)-IF(Init!$R$12="No", 'Staging Table'!DU112*Rates_previous!$H$34, 0))</f>
        <v>-79435.253321556651</v>
      </c>
      <c r="G110" s="212">
        <f>IF(Init!$R$9="Yes",SUMPRODUCT('Staging Table'!AJ112:AU112,LS_Demand_Rates_Restatement!$C$10:$N$10),SUMPRODUCT(LS_Demand_Rates_Restatement!$C$10:$N$10,'Staging Table'!CW112:DH112))*1000</f>
        <v>129638.73210676633</v>
      </c>
      <c r="H110" s="213">
        <f>IF(Init!$R$9="Yes",'Staging Table'!BQ112,'Staging Table'!ED112)*IF(Init!$R$3=2020,Rates_previous!$C$88,Rates_previous!$D$88)</f>
        <v>0</v>
      </c>
      <c r="I110" s="211">
        <f>IF(Init!$R$9="Yes",IF('Staging Table'!$F$1=2020,(SUM('Staging Table'!AX112:BD112)*Rates_previous!$C$87),(SUM('Staging Table'!AX112:BD112)*Rates_previous!$D$87)),IF('Staging Table'!$F$1=2020,(SUM('Staging Table'!DK112:DQ112)*Rates_previous!$C$87),(SUM('Staging Table'!DK112:DQ112)*Rates_previous!$D$87)))</f>
        <v>27927.483040522216</v>
      </c>
      <c r="J110" s="213">
        <f>IF(Init!$R$9="Yes",IF('Staging Table'!D112=1,'Staging Table'!H112*-1,'Staging Table'!H112*SUM(D110:I110)*(-1)),IF('Staging Table'!D112=1,'Staging Table'!BU112*-1,'Staging Table'!BU112*SUM(D110:I110)*(-1)))</f>
        <v>-101537.49578919609</v>
      </c>
      <c r="K110" s="211">
        <f>IF(Init!$R$9="Yes",'Staging Table'!K112,'Staging Table'!BX112)*(-1)*Rates_previous!$H$32</f>
        <v>-222303.76739999998</v>
      </c>
      <c r="L110" s="211">
        <f>IF('Staging Table'!C112=1,"",SUM(D110:K110))</f>
        <v>1800580.2008765363</v>
      </c>
      <c r="M110" s="211">
        <f>IF('Staging Table'!C112=1,"",IF(Init!$R$9="Yes",(RT1SC!$C$3*'Staging Table'!E112*'Staging Table'!$F$2)+SUM('Staging Table'!L112:AI112)-IF(Init!$R$12="No",'Staging Table'!BH112, 0),X110))</f>
        <v>59107.536</v>
      </c>
      <c r="N110" s="95">
        <f>IF('Staging Table'!C112=1,"",IF(M110=0, 0, L110/M110))</f>
        <v>30.462785673835842</v>
      </c>
      <c r="O110" s="211">
        <f>'Staging Table'!BR112*Rates_current!$E$76*100*12</f>
        <v>2297140.7569724862</v>
      </c>
      <c r="P110" s="211">
        <f>'Staging Table'!BS112*Rates_current!$E$77*100*12</f>
        <v>-379263.45095196302</v>
      </c>
      <c r="Q110" s="212">
        <f>SUMPRODUCT('Staging Table'!BY112:CV112, LS_Demand_Rates_Restatement!$C$5:$Z$5)-IF(Init!$R$12="No",('Staging Table'!DU112*Rates_current!$H$34), 0)</f>
        <v>-78013.175509657449</v>
      </c>
      <c r="R110" s="212">
        <f>SUMPRODUCT('Staging Table'!CW112:DH112, LS_Demand_Rates_Restatement!$C$11:$N$11)*1000</f>
        <v>123451.54570107721</v>
      </c>
      <c r="S110" s="213">
        <f>'Staging Table'!ED112*IF(Init!$R$15="Yes",IF(Init!$R$6=2022,Rates_current!$C$88,Rates_current!$D$88),Rates_current!$H$33)</f>
        <v>0</v>
      </c>
      <c r="T110" s="213">
        <v>0</v>
      </c>
      <c r="U110" s="213">
        <f>IF('Staging Table'!D112=1, 'Staging Table'!BU112*-1,SUM(O110:T110)*'Staging Table'!BU112*-1)</f>
        <v>-98658.666407135723</v>
      </c>
      <c r="V110" s="211">
        <f>'Staging Table'!BX112*Rates_current!$H$32*-1</f>
        <v>-218101.80600000001</v>
      </c>
      <c r="W110" s="211">
        <f>IF('Staging Table'!C112=1,"",SUM(O110:V110))</f>
        <v>1646555.203804807</v>
      </c>
      <c r="X110" s="211">
        <f>IF('Staging Table'!C112=1,"",(RT1SC!$C$4*'Staging Table'!BR112*'Staging Table'!$BS$2)+SUM('Staging Table'!BY112:CV112)-IF(Init!$R$12="No",'Staging Table'!DU112, 0))</f>
        <v>56528.280000000006</v>
      </c>
      <c r="Y110" s="95">
        <f>IF('Staging Table'!C112=1,"",IF(X110=0, 0, W110/X110))</f>
        <v>29.127990517397784</v>
      </c>
      <c r="Z110" s="87">
        <f>IF('Staging Table'!C112=1,"",Y110/N110-1)</f>
        <v>-4.3817238867438824E-2</v>
      </c>
      <c r="AA110" s="53">
        <f t="shared" ca="1" si="1"/>
        <v>102</v>
      </c>
      <c r="AD110" s="216"/>
      <c r="AE110" s="216"/>
      <c r="AF110" s="220"/>
      <c r="AG110" s="216"/>
      <c r="AH110" s="216"/>
    </row>
    <row r="111" spans="2:34">
      <c r="B111" s="3">
        <v>10363</v>
      </c>
      <c r="C111" s="4" t="s">
        <v>114</v>
      </c>
      <c r="D111" s="211">
        <f>IF(Init!$R$9="Yes",'Staging Table'!E113,'Staging Table'!BR113)*Rates_previous!$E$76*100*12</f>
        <v>32081631.270960003</v>
      </c>
      <c r="E111" s="211">
        <f>IF(Init!$R$9="Yes",'Staging Table'!F113,'Staging Table'!BS113)*Rates_previous!$E$77*100*12</f>
        <v>-3245576.3867999995</v>
      </c>
      <c r="F111" s="212">
        <f>IF(Init!$R$9="Yes",SUMPRODUCT('Staging Table'!L113:AI113,LS_Demand_Rates_Restatement!$C$4:$Z$4)-IF(Init!$R$12="No",('Staging Table'!BH113*Rates_previous!$H$34), 0),SUMPRODUCT('Staging Table'!BY113:CV113,LS_Demand_Rates_Restatement!$C$4:$Z$4)-IF(Init!$R$12="No", 'Staging Table'!DU113*Rates_previous!$H$34, 0))</f>
        <v>-265040.15669418033</v>
      </c>
      <c r="G111" s="212">
        <f>IF(Init!$R$9="Yes",SUMPRODUCT('Staging Table'!AJ113:AU113,LS_Demand_Rates_Restatement!$C$10:$N$10),SUMPRODUCT(LS_Demand_Rates_Restatement!$C$10:$N$10,'Staging Table'!CW113:DH113))*1000</f>
        <v>876353.87409230764</v>
      </c>
      <c r="H111" s="213">
        <f>IF(Init!$R$9="Yes",'Staging Table'!BQ113,'Staging Table'!ED113)*IF(Init!$R$3=2020,Rates_previous!$C$88,Rates_previous!$D$88)</f>
        <v>-602556.56534521678</v>
      </c>
      <c r="I111" s="211">
        <f>IF(Init!$R$9="Yes",IF('Staging Table'!$F$1=2020,(SUM('Staging Table'!AX113:BD113)*Rates_previous!$C$87),(SUM('Staging Table'!AX113:BD113)*Rates_previous!$D$87)),IF('Staging Table'!$F$1=2020,(SUM('Staging Table'!DK113:DQ113)*Rates_previous!$C$87),(SUM('Staging Table'!DK113:DQ113)*Rates_previous!$D$87)))</f>
        <v>393550.39416514582</v>
      </c>
      <c r="J111" s="213">
        <f>IF(Init!$R$9="Yes",IF('Staging Table'!D113=1,'Staging Table'!H113*-1,'Staging Table'!H113*SUM(D111:I111)*(-1)),IF('Staging Table'!D113=1,'Staging Table'!BU113*-1,'Staging Table'!BU113*SUM(D111:I111)*(-1)))</f>
        <v>0</v>
      </c>
      <c r="K111" s="211">
        <f>IF(Init!$R$9="Yes",'Staging Table'!K113,'Staging Table'!BX113)*(-1)*Rates_previous!$H$32</f>
        <v>0</v>
      </c>
      <c r="L111" s="211">
        <f>IF('Staging Table'!C113=1,"",SUM(D111:K111))</f>
        <v>29238362.430378061</v>
      </c>
      <c r="M111" s="211">
        <f>IF('Staging Table'!C113=1,"",IF(Init!$R$9="Yes",(RT1SC!$C$3*'Staging Table'!E113*'Staging Table'!$F$2)+SUM('Staging Table'!L113:AI113)-IF(Init!$R$12="No",'Staging Table'!BH113, 0),X111))</f>
        <v>794430.23326275754</v>
      </c>
      <c r="N111" s="95">
        <f>IF('Staging Table'!C113=1,"",IF(M111=0, 0, L111/M111))</f>
        <v>36.804191489912093</v>
      </c>
      <c r="O111" s="211">
        <f>'Staging Table'!BR113*Rates_current!$E$76*100*12</f>
        <v>32436951.240093477</v>
      </c>
      <c r="P111" s="211">
        <f>'Staging Table'!BS113*Rates_current!$E$77*100*12</f>
        <v>-5355418.482014142</v>
      </c>
      <c r="Q111" s="212">
        <f>SUMPRODUCT('Staging Table'!BY113:CV113, LS_Demand_Rates_Restatement!$C$5:$Z$5)-IF(Init!$R$12="No",('Staging Table'!DU113*Rates_current!$H$34), 0)</f>
        <v>282607.53951893217</v>
      </c>
      <c r="R111" s="212">
        <f>SUMPRODUCT('Staging Table'!CW113:DH113, LS_Demand_Rates_Restatement!$C$11:$N$11)*1000</f>
        <v>866462.18121299893</v>
      </c>
      <c r="S111" s="213">
        <f>'Staging Table'!ED113*IF(Init!$R$15="Yes",IF(Init!$R$6=2022,Rates_current!$C$88,Rates_current!$D$88),Rates_current!$H$33)</f>
        <v>-22941.077505887057</v>
      </c>
      <c r="T111" s="213">
        <v>0</v>
      </c>
      <c r="U111" s="213">
        <f>IF('Staging Table'!D113=1, 'Staging Table'!BU113*-1,SUM(O111:T111)*'Staging Table'!BU113*-1)</f>
        <v>0</v>
      </c>
      <c r="V111" s="211">
        <f>'Staging Table'!BX113*Rates_current!$H$32*-1</f>
        <v>0</v>
      </c>
      <c r="W111" s="211">
        <f>IF('Staging Table'!C113=1,"",SUM(O111:V111))</f>
        <v>28207661.401305381</v>
      </c>
      <c r="X111" s="211">
        <f>IF('Staging Table'!C113=1,"",(RT1SC!$C$4*'Staging Table'!BR113*'Staging Table'!$BS$2)+SUM('Staging Table'!BY113:CV113)-IF(Init!$R$12="No",'Staging Table'!DU113, 0))</f>
        <v>794430.24283046043</v>
      </c>
      <c r="Y111" s="95">
        <f>IF('Staging Table'!C113=1,"",IF(X111=0, 0, W111/X111))</f>
        <v>35.506781943251355</v>
      </c>
      <c r="Z111" s="87">
        <f>IF('Staging Table'!C113=1,"",Y111/N111-1)</f>
        <v>-3.5251679065313901E-2</v>
      </c>
      <c r="AA111" s="53">
        <f t="shared" ca="1" si="1"/>
        <v>52</v>
      </c>
      <c r="AD111" s="216"/>
      <c r="AE111" s="216"/>
      <c r="AF111" s="220"/>
      <c r="AG111" s="216"/>
      <c r="AH111" s="216"/>
    </row>
    <row r="112" spans="2:34">
      <c r="B112" s="3">
        <v>10369</v>
      </c>
      <c r="C112" s="4" t="s">
        <v>115</v>
      </c>
      <c r="D112" s="211">
        <f>IF(Init!$R$9="Yes",'Staging Table'!E114,'Staging Table'!BR114)*Rates_previous!$E$76*100*12</f>
        <v>5530258.5308399983</v>
      </c>
      <c r="E112" s="211">
        <f>IF(Init!$R$9="Yes",'Staging Table'!F114,'Staging Table'!BS114)*Rates_previous!$E$77*100*12</f>
        <v>-559475.18220000004</v>
      </c>
      <c r="F112" s="212">
        <f>IF(Init!$R$9="Yes",SUMPRODUCT('Staging Table'!L114:AI114,LS_Demand_Rates_Restatement!$C$4:$Z$4)-IF(Init!$R$12="No",('Staging Table'!BH114*Rates_previous!$H$34), 0),SUMPRODUCT('Staging Table'!BY114:CV114,LS_Demand_Rates_Restatement!$C$4:$Z$4)-IF(Init!$R$12="No", 'Staging Table'!DU114*Rates_previous!$H$34, 0))</f>
        <v>-214202.67569697744</v>
      </c>
      <c r="G112" s="212">
        <f>IF(Init!$R$9="Yes",SUMPRODUCT('Staging Table'!AJ114:AU114,LS_Demand_Rates_Restatement!$C$10:$N$10),SUMPRODUCT(LS_Demand_Rates_Restatement!$C$10:$N$10,'Staging Table'!CW114:DH114))*1000</f>
        <v>322825.84962528473</v>
      </c>
      <c r="H112" s="213">
        <f>IF(Init!$R$9="Yes",'Staging Table'!BQ114,'Staging Table'!ED114)*IF(Init!$R$3=2020,Rates_previous!$C$88,Rates_previous!$D$88)</f>
        <v>0</v>
      </c>
      <c r="I112" s="211">
        <f>IF(Init!$R$9="Yes",IF('Staging Table'!$F$1=2020,(SUM('Staging Table'!AX114:BD114)*Rates_previous!$C$87),(SUM('Staging Table'!AX114:BD114)*Rates_previous!$D$87)),IF('Staging Table'!$F$1=2020,(SUM('Staging Table'!DK114:DQ114)*Rates_previous!$C$87),(SUM('Staging Table'!DK114:DQ114)*Rates_previous!$D$87)))</f>
        <v>67840.547329565874</v>
      </c>
      <c r="J112" s="213">
        <f>IF(Init!$R$9="Yes",IF('Staging Table'!D114=1,'Staging Table'!H114*-1,'Staging Table'!H114*SUM(D112:I112)*(-1)),IF('Staging Table'!D114=1,'Staging Table'!BU114*-1,'Staging Table'!BU114*SUM(D112:I112)*(-1)))</f>
        <v>-397098.53840317036</v>
      </c>
      <c r="K112" s="211">
        <f>IF(Init!$R$9="Yes",'Staging Table'!K114,'Staging Table'!BX114)*(-1)*Rates_previous!$H$32</f>
        <v>-513403.11011000001</v>
      </c>
      <c r="L112" s="211">
        <f>IF('Staging Table'!C114=1,"",SUM(D112:K112))</f>
        <v>4236745.4213847015</v>
      </c>
      <c r="M112" s="211">
        <f>IF('Staging Table'!C114=1,"",IF(Init!$R$9="Yes",(RT1SC!$C$3*'Staging Table'!E114*'Staging Table'!$F$2)+SUM('Staging Table'!L114:AI114)-IF(Init!$R$12="No",'Staging Table'!BH114, 0),X112))</f>
        <v>136981.85738910039</v>
      </c>
      <c r="N112" s="95">
        <f>IF('Staging Table'!C114=1,"",IF(M112=0, 0, L112/M112))</f>
        <v>30.929244953586227</v>
      </c>
      <c r="O112" s="211">
        <f>'Staging Table'!BR114*Rates_current!$E$76*100*12</f>
        <v>5579900.9430249305</v>
      </c>
      <c r="P112" s="211">
        <f>'Staging Table'!BS114*Rates_current!$E$77*100*12</f>
        <v>-921255.03463308001</v>
      </c>
      <c r="Q112" s="212">
        <f>SUMPRODUCT('Staging Table'!BY114:CV114, LS_Demand_Rates_Restatement!$C$5:$Z$5)-IF(Init!$R$12="No",('Staging Table'!DU114*Rates_current!$H$34), 0)</f>
        <v>-85692.618183255036</v>
      </c>
      <c r="R112" s="212">
        <f>SUMPRODUCT('Staging Table'!CW114:DH114, LS_Demand_Rates_Restatement!$C$11:$N$11)*1000</f>
        <v>295868.01859255682</v>
      </c>
      <c r="S112" s="213">
        <f>'Staging Table'!ED114*IF(Init!$R$15="Yes",IF(Init!$R$6=2022,Rates_current!$C$88,Rates_current!$D$88),Rates_current!$H$33)</f>
        <v>0</v>
      </c>
      <c r="T112" s="213">
        <v>0</v>
      </c>
      <c r="U112" s="213">
        <f>IF('Staging Table'!D114=1, 'Staging Table'!BU114*-1,SUM(O112:T112)*'Staging Table'!BU114*-1)</f>
        <v>-372890.08317750209</v>
      </c>
      <c r="V112" s="211">
        <f>'Staging Table'!BX114*Rates_current!$H$32*-1</f>
        <v>-503698.82090000005</v>
      </c>
      <c r="W112" s="211">
        <f>IF('Staging Table'!C114=1,"",SUM(O112:V112))</f>
        <v>3992232.4047236494</v>
      </c>
      <c r="X112" s="211">
        <f>IF('Staging Table'!C114=1,"",(RT1SC!$C$4*'Staging Table'!BR114*'Staging Table'!$BS$2)+SUM('Staging Table'!BY114:CV114)-IF(Init!$R$12="No",'Staging Table'!DU114, 0))</f>
        <v>137304.24</v>
      </c>
      <c r="Y112" s="95">
        <f>IF('Staging Table'!C114=1,"",IF(X112=0, 0, W112/X112))</f>
        <v>29.075812988176111</v>
      </c>
      <c r="Z112" s="87">
        <f>IF('Staging Table'!C114=1,"",Y112/N112-1)</f>
        <v>-5.9924901761793992E-2</v>
      </c>
      <c r="AA112" s="53">
        <f t="shared" ca="1" si="1"/>
        <v>111</v>
      </c>
      <c r="AD112" s="216"/>
      <c r="AE112" s="216"/>
      <c r="AF112" s="220"/>
      <c r="AG112" s="216"/>
      <c r="AH112" s="216"/>
    </row>
    <row r="113" spans="2:34">
      <c r="B113" s="3">
        <v>10370</v>
      </c>
      <c r="C113" s="4" t="s">
        <v>116</v>
      </c>
      <c r="D113" s="211">
        <f>IF(Init!$R$9="Yes",'Staging Table'!E115,'Staging Table'!BR115)*Rates_previous!$E$76*100*12</f>
        <v>122193069.33132</v>
      </c>
      <c r="E113" s="211">
        <f>IF(Init!$R$9="Yes",'Staging Table'!F115,'Staging Table'!BS115)*Rates_previous!$E$77*100*12</f>
        <v>-5242173.5387999993</v>
      </c>
      <c r="F113" s="212">
        <f>IF(Init!$R$9="Yes",SUMPRODUCT('Staging Table'!L115:AI115,LS_Demand_Rates_Restatement!$C$4:$Z$4)-IF(Init!$R$12="No",('Staging Table'!BH115*Rates_previous!$H$34), 0),SUMPRODUCT('Staging Table'!BY115:CV115,LS_Demand_Rates_Restatement!$C$4:$Z$4)-IF(Init!$R$12="No", 'Staging Table'!DU115*Rates_previous!$H$34, 0))</f>
        <v>310427.65075471438</v>
      </c>
      <c r="G113" s="212">
        <f>IF(Init!$R$9="Yes",SUMPRODUCT('Staging Table'!AJ115:AU115,LS_Demand_Rates_Restatement!$C$10:$N$10),SUMPRODUCT(LS_Demand_Rates_Restatement!$C$10:$N$10,'Staging Table'!CW115:DH115))*1000</f>
        <v>0</v>
      </c>
      <c r="H113" s="213">
        <f>IF(Init!$R$9="Yes",'Staging Table'!BQ115,'Staging Table'!ED115)*IF(Init!$R$3=2020,Rates_previous!$C$88,Rates_previous!$D$88)</f>
        <v>0</v>
      </c>
      <c r="I113" s="211">
        <f>IF(Init!$R$9="Yes",IF('Staging Table'!$F$1=2020,(SUM('Staging Table'!AX115:BD115)*Rates_previous!$C$87),(SUM('Staging Table'!AX115:BD115)*Rates_previous!$D$87)),IF('Staging Table'!$F$1=2020,(SUM('Staging Table'!DK115:DQ115)*Rates_previous!$C$87),(SUM('Staging Table'!DK115:DQ115)*Rates_previous!$D$87)))</f>
        <v>635652.72130628419</v>
      </c>
      <c r="J113" s="213">
        <f>IF(Init!$R$9="Yes",IF('Staging Table'!D115=1,'Staging Table'!H115*-1,'Staging Table'!H115*SUM(D113:I113)*(-1)),IF('Staging Table'!D115=1,'Staging Table'!BU115*-1,'Staging Table'!BU115*SUM(D113:I113)*(-1)))</f>
        <v>0</v>
      </c>
      <c r="K113" s="211">
        <f>IF(Init!$R$9="Yes",'Staging Table'!K115,'Staging Table'!BX115)*(-1)*Rates_previous!$H$32</f>
        <v>0</v>
      </c>
      <c r="L113" s="211">
        <f>IF('Staging Table'!C115=1,"",SUM(D113:K113))</f>
        <v>117896976.164581</v>
      </c>
      <c r="M113" s="211">
        <f>IF('Staging Table'!C115=1,"",IF(Init!$R$9="Yes",(RT1SC!$C$3*'Staging Table'!E115*'Staging Table'!$F$2)+SUM('Staging Table'!L115:AI115)-IF(Init!$R$12="No",'Staging Table'!BH115, 0),X113))</f>
        <v>3172395.8866224517</v>
      </c>
      <c r="N113" s="95">
        <f>IF('Staging Table'!C115=1,"",IF(M113=0, 0, L113/M113))</f>
        <v>37.163387035563879</v>
      </c>
      <c r="O113" s="211">
        <f>'Staging Table'!BR115*Rates_current!$E$76*100*12</f>
        <v>128921179.61437911</v>
      </c>
      <c r="P113" s="211">
        <f>'Staging Table'!BS115*Rates_current!$E$77*100*12</f>
        <v>-9561208.2384993993</v>
      </c>
      <c r="Q113" s="212">
        <f>SUMPRODUCT('Staging Table'!BY115:CV115, LS_Demand_Rates_Restatement!$C$5:$Z$5)-IF(Init!$R$12="No",('Staging Table'!DU115*Rates_current!$H$34), 0)</f>
        <v>166005.8353049678</v>
      </c>
      <c r="R113" s="212">
        <f>SUMPRODUCT('Staging Table'!CW115:DH115, LS_Demand_Rates_Restatement!$C$11:$N$11)*1000</f>
        <v>0</v>
      </c>
      <c r="S113" s="213">
        <f>'Staging Table'!ED115*IF(Init!$R$15="Yes",IF(Init!$R$6=2022,Rates_current!$C$88,Rates_current!$D$88),Rates_current!$H$33)</f>
        <v>0</v>
      </c>
      <c r="T113" s="213">
        <v>0</v>
      </c>
      <c r="U113" s="213">
        <f>IF('Staging Table'!D115=1, 'Staging Table'!BU115*-1,SUM(O113:T113)*'Staging Table'!BU115*-1)</f>
        <v>0</v>
      </c>
      <c r="V113" s="211">
        <f>'Staging Table'!BX115*Rates_current!$H$32*-1</f>
        <v>0</v>
      </c>
      <c r="W113" s="211">
        <f>IF('Staging Table'!C115=1,"",SUM(O113:V113))</f>
        <v>119525977.21118467</v>
      </c>
      <c r="X113" s="211">
        <f>IF('Staging Table'!C115=1,"",(RT1SC!$C$4*'Staging Table'!BR115*'Staging Table'!$BS$2)+SUM('Staging Table'!BY115:CV115)-IF(Init!$R$12="No",'Staging Table'!DU115, 0))</f>
        <v>3172389.2949006804</v>
      </c>
      <c r="Y113" s="95">
        <f>IF('Staging Table'!C115=1,"",IF(X113=0, 0, W113/X113))</f>
        <v>37.676957680859509</v>
      </c>
      <c r="Z113" s="87">
        <f>IF('Staging Table'!C115=1,"",Y113/N113-1)</f>
        <v>1.3819263696394524E-2</v>
      </c>
      <c r="AA113" s="53">
        <f t="shared" ca="1" si="1"/>
        <v>6</v>
      </c>
      <c r="AD113" s="216"/>
      <c r="AE113" s="216"/>
      <c r="AF113" s="220"/>
      <c r="AG113" s="216"/>
      <c r="AH113" s="216"/>
    </row>
    <row r="114" spans="2:34">
      <c r="B114" s="3">
        <v>10371</v>
      </c>
      <c r="C114" s="4" t="s">
        <v>117</v>
      </c>
      <c r="D114" s="211">
        <f>IF(Init!$R$9="Yes",'Staging Table'!E116,'Staging Table'!BR116)*Rates_previous!$E$76*100*12</f>
        <v>3712823.8759199996</v>
      </c>
      <c r="E114" s="211">
        <f>IF(Init!$R$9="Yes",'Staging Table'!F116,'Staging Table'!BS116)*Rates_previous!$E$77*100*12</f>
        <v>-375612.24359999999</v>
      </c>
      <c r="F114" s="212">
        <f>IF(Init!$R$9="Yes",SUMPRODUCT('Staging Table'!L116:AI116,LS_Demand_Rates_Restatement!$C$4:$Z$4)-IF(Init!$R$12="No",('Staging Table'!BH116*Rates_previous!$H$34), 0),SUMPRODUCT('Staging Table'!BY116:CV116,LS_Demand_Rates_Restatement!$C$4:$Z$4)-IF(Init!$R$12="No", 'Staging Table'!DU116*Rates_previous!$H$34, 0))</f>
        <v>61164.386433066815</v>
      </c>
      <c r="G114" s="212">
        <f>IF(Init!$R$9="Yes",SUMPRODUCT('Staging Table'!AJ116:AU116,LS_Demand_Rates_Restatement!$C$10:$N$10),SUMPRODUCT(LS_Demand_Rates_Restatement!$C$10:$N$10,'Staging Table'!CW116:DH116))*1000</f>
        <v>64343.034940384627</v>
      </c>
      <c r="H114" s="213">
        <f>IF(Init!$R$9="Yes",'Staging Table'!BQ116,'Staging Table'!ED116)*IF(Init!$R$3=2020,Rates_previous!$C$88,Rates_previous!$D$88)</f>
        <v>0</v>
      </c>
      <c r="I114" s="211">
        <f>IF(Init!$R$9="Yes",IF('Staging Table'!$F$1=2020,(SUM('Staging Table'!AX116:BD116)*Rates_previous!$C$87),(SUM('Staging Table'!AX116:BD116)*Rates_previous!$D$87)),IF('Staging Table'!$F$1=2020,(SUM('Staging Table'!DK116:DQ116)*Rates_previous!$C$87),(SUM('Staging Table'!DK116:DQ116)*Rates_previous!$D$87)))</f>
        <v>45545.791842471874</v>
      </c>
      <c r="J114" s="213">
        <f>IF(Init!$R$9="Yes",IF('Staging Table'!D116=1,'Staging Table'!H116*-1,'Staging Table'!H116*SUM(D114:I114)*(-1)),IF('Staging Table'!D116=1,'Staging Table'!BU116*-1,'Staging Table'!BU116*SUM(D114:I114)*(-1)))</f>
        <v>0</v>
      </c>
      <c r="K114" s="211">
        <f>IF(Init!$R$9="Yes",'Staging Table'!K116,'Staging Table'!BX116)*(-1)*Rates_previous!$H$32</f>
        <v>0</v>
      </c>
      <c r="L114" s="211">
        <f>IF('Staging Table'!C116=1,"",SUM(D114:K114))</f>
        <v>3508264.8455359228</v>
      </c>
      <c r="M114" s="211">
        <f>IF('Staging Table'!C116=1,"",IF(Init!$R$9="Yes",(RT1SC!$C$3*'Staging Table'!E116*'Staging Table'!$F$2)+SUM('Staging Table'!L116:AI116)-IF(Init!$R$12="No",'Staging Table'!BH116, 0),X114))</f>
        <v>96395.615999999995</v>
      </c>
      <c r="N114" s="95">
        <f>IF('Staging Table'!C116=1,"",IF(M114=0, 0, L114/M114))</f>
        <v>36.394443970729156</v>
      </c>
      <c r="O114" s="211">
        <f>'Staging Table'!BR116*Rates_current!$E$76*100*12</f>
        <v>3746552.8809041809</v>
      </c>
      <c r="P114" s="211">
        <f>'Staging Table'!BS116*Rates_current!$E$77*100*12</f>
        <v>-618564.87046899658</v>
      </c>
      <c r="Q114" s="212">
        <f>SUMPRODUCT('Staging Table'!BY116:CV116, LS_Demand_Rates_Restatement!$C$5:$Z$5)-IF(Init!$R$12="No",('Staging Table'!DU116*Rates_current!$H$34), 0)</f>
        <v>52173.116145556327</v>
      </c>
      <c r="R114" s="212">
        <f>SUMPRODUCT('Staging Table'!CW116:DH116, LS_Demand_Rates_Restatement!$C$11:$N$11)*1000</f>
        <v>51370.022622925571</v>
      </c>
      <c r="S114" s="213">
        <f>'Staging Table'!ED116*IF(Init!$R$15="Yes",IF(Init!$R$6=2022,Rates_current!$C$88,Rates_current!$D$88),Rates_current!$H$33)</f>
        <v>0</v>
      </c>
      <c r="T114" s="213">
        <v>0</v>
      </c>
      <c r="U114" s="213">
        <f>IF('Staging Table'!D116=1, 'Staging Table'!BU116*-1,SUM(O114:T114)*'Staging Table'!BU116*-1)</f>
        <v>0</v>
      </c>
      <c r="V114" s="211">
        <f>'Staging Table'!BX116*Rates_current!$H$32*-1</f>
        <v>0</v>
      </c>
      <c r="W114" s="211">
        <f>IF('Staging Table'!C116=1,"",SUM(O114:V114))</f>
        <v>3231531.1492036665</v>
      </c>
      <c r="X114" s="211">
        <f>IF('Staging Table'!C116=1,"",(RT1SC!$C$4*'Staging Table'!BR116*'Staging Table'!$BS$2)+SUM('Staging Table'!BY116:CV116)-IF(Init!$R$12="No",'Staging Table'!DU116, 0))</f>
        <v>92190.239999999991</v>
      </c>
      <c r="Y114" s="95">
        <f>IF('Staging Table'!C116=1,"",IF(X114=0, 0, W114/X114))</f>
        <v>35.05285536954527</v>
      </c>
      <c r="Z114" s="87">
        <f>IF('Staging Table'!C116=1,"",Y114/N114-1)</f>
        <v>-3.6862456320609915E-2</v>
      </c>
      <c r="AA114" s="53">
        <f t="shared" ca="1" si="1"/>
        <v>68</v>
      </c>
      <c r="AD114" s="216"/>
      <c r="AE114" s="216"/>
      <c r="AF114" s="220"/>
      <c r="AG114" s="216"/>
      <c r="AH114" s="216"/>
    </row>
    <row r="115" spans="2:34">
      <c r="B115" s="3">
        <v>10376</v>
      </c>
      <c r="C115" s="4" t="s">
        <v>118</v>
      </c>
      <c r="D115" s="211">
        <f>IF(Init!$R$9="Yes",'Staging Table'!E117,'Staging Table'!BR117)*Rates_previous!$E$76*100*12</f>
        <v>18441721.2042</v>
      </c>
      <c r="E115" s="211">
        <f>IF(Init!$R$9="Yes",'Staging Table'!F117,'Staging Table'!BS117)*Rates_previous!$E$77*100*12</f>
        <v>-1865678.6609999998</v>
      </c>
      <c r="F115" s="212">
        <f>IF(Init!$R$9="Yes",SUMPRODUCT('Staging Table'!L117:AI117,LS_Demand_Rates_Restatement!$C$4:$Z$4)-IF(Init!$R$12="No",('Staging Table'!BH117*Rates_previous!$H$34), 0),SUMPRODUCT('Staging Table'!BY117:CV117,LS_Demand_Rates_Restatement!$C$4:$Z$4)-IF(Init!$R$12="No", 'Staging Table'!DU117*Rates_previous!$H$34, 0))</f>
        <v>331732.56305383967</v>
      </c>
      <c r="G115" s="212">
        <f>IF(Init!$R$9="Yes",SUMPRODUCT('Staging Table'!AJ117:AU117,LS_Demand_Rates_Restatement!$C$10:$N$10),SUMPRODUCT(LS_Demand_Rates_Restatement!$C$10:$N$10,'Staging Table'!CW117:DH117))*1000</f>
        <v>534365.70926794875</v>
      </c>
      <c r="H115" s="213">
        <f>IF(Init!$R$9="Yes",'Staging Table'!BQ117,'Staging Table'!ED117)*IF(Init!$R$3=2020,Rates_previous!$C$88,Rates_previous!$D$88)</f>
        <v>61629.772945891033</v>
      </c>
      <c r="I115" s="211">
        <f>IF(Init!$R$9="Yes",IF('Staging Table'!$F$1=2020,(SUM('Staging Table'!AX117:BD117)*Rates_previous!$C$87),(SUM('Staging Table'!AX117:BD117)*Rates_previous!$D$87)),IF('Staging Table'!$F$1=2020,(SUM('Staging Table'!DK117:DQ117)*Rates_previous!$C$87),(SUM('Staging Table'!DK117:DQ117)*Rates_previous!$D$87)))</f>
        <v>226227.48162953556</v>
      </c>
      <c r="J115" s="213">
        <f>IF(Init!$R$9="Yes",IF('Staging Table'!D117=1,'Staging Table'!H117*-1,'Staging Table'!H117*SUM(D115:I115)*(-1)),IF('Staging Table'!D117=1,'Staging Table'!BU117*-1,'Staging Table'!BU117*SUM(D115:I115)*(-1)))</f>
        <v>0</v>
      </c>
      <c r="K115" s="211">
        <f>IF(Init!$R$9="Yes",'Staging Table'!K117,'Staging Table'!BX117)*(-1)*Rates_previous!$H$32</f>
        <v>0</v>
      </c>
      <c r="L115" s="211">
        <f>IF('Staging Table'!C117=1,"",SUM(D115:K115))</f>
        <v>17729998.070097215</v>
      </c>
      <c r="M115" s="211">
        <f>IF('Staging Table'!C117=1,"",IF(Init!$R$9="Yes",(RT1SC!$C$3*'Staging Table'!E117*'Staging Table'!$F$2)+SUM('Staging Table'!L117:AI117)-IF(Init!$R$12="No",'Staging Table'!BH117, 0),X115))</f>
        <v>482724.97797100194</v>
      </c>
      <c r="N115" s="95">
        <f>IF('Staging Table'!C117=1,"",IF(M115=0, 0, L115/M115))</f>
        <v>36.728984161168235</v>
      </c>
      <c r="O115" s="211">
        <f>'Staging Table'!BR117*Rates_current!$E$76*100*12</f>
        <v>19026531.75260435</v>
      </c>
      <c r="P115" s="211">
        <f>'Staging Table'!BS117*Rates_current!$E$77*100*12</f>
        <v>-3141326.0464065918</v>
      </c>
      <c r="Q115" s="212">
        <f>SUMPRODUCT('Staging Table'!BY117:CV117, LS_Demand_Rates_Restatement!$C$5:$Z$5)-IF(Init!$R$12="No",('Staging Table'!DU117*Rates_current!$H$34), 0)</f>
        <v>91131.165458541815</v>
      </c>
      <c r="R115" s="212">
        <f>SUMPRODUCT('Staging Table'!CW117:DH117, LS_Demand_Rates_Restatement!$C$11:$N$11)*1000</f>
        <v>529906.23500373936</v>
      </c>
      <c r="S115" s="213">
        <f>'Staging Table'!ED117*IF(Init!$R$15="Yes",IF(Init!$R$6=2022,Rates_current!$C$88,Rates_current!$D$88),Rates_current!$H$33)</f>
        <v>0</v>
      </c>
      <c r="T115" s="213">
        <v>0</v>
      </c>
      <c r="U115" s="213">
        <f>IF('Staging Table'!D117=1, 'Staging Table'!BU117*-1,SUM(O115:T115)*'Staging Table'!BU117*-1)</f>
        <v>0</v>
      </c>
      <c r="V115" s="211">
        <f>'Staging Table'!BX117*Rates_current!$H$32*-1</f>
        <v>0</v>
      </c>
      <c r="W115" s="211">
        <f>IF('Staging Table'!C117=1,"",SUM(O115:V115))</f>
        <v>16506243.10666004</v>
      </c>
      <c r="X115" s="211">
        <f>IF('Staging Table'!C117=1,"",(RT1SC!$C$4*'Staging Table'!BR117*'Staging Table'!$BS$2)+SUM('Staging Table'!BY117:CV117)-IF(Init!$R$12="No",'Staging Table'!DU117, 0))</f>
        <v>464162.54394990968</v>
      </c>
      <c r="Y115" s="95">
        <f>IF('Staging Table'!C117=1,"",IF(X115=0, 0, W115/X115))</f>
        <v>35.561342296592805</v>
      </c>
      <c r="Z115" s="87">
        <f>IF('Staging Table'!C117=1,"",Y115/N115-1)</f>
        <v>-3.1790747586477486E-2</v>
      </c>
      <c r="AA115" s="53">
        <f t="shared" ca="1" si="1"/>
        <v>27</v>
      </c>
      <c r="AD115" s="216"/>
      <c r="AE115" s="216"/>
      <c r="AF115" s="220"/>
      <c r="AG115" s="216"/>
      <c r="AH115" s="216"/>
    </row>
    <row r="116" spans="2:34">
      <c r="B116" s="3">
        <v>10378</v>
      </c>
      <c r="C116" s="4" t="s">
        <v>119</v>
      </c>
      <c r="D116" s="211">
        <f>IF(Init!$R$9="Yes",'Staging Table'!E118,'Staging Table'!BR118)*Rates_previous!$E$76*100*12</f>
        <v>643838.16924000008</v>
      </c>
      <c r="E116" s="211">
        <f>IF(Init!$R$9="Yes",'Staging Table'!F118,'Staging Table'!BS118)*Rates_previous!$E$77*100*12</f>
        <v>-65134.654200000004</v>
      </c>
      <c r="F116" s="212">
        <f>IF(Init!$R$9="Yes",SUMPRODUCT('Staging Table'!L118:AI118,LS_Demand_Rates_Restatement!$C$4:$Z$4)-IF(Init!$R$12="No",('Staging Table'!BH118*Rates_previous!$H$34), 0),SUMPRODUCT('Staging Table'!BY118:CV118,LS_Demand_Rates_Restatement!$C$4:$Z$4)-IF(Init!$R$12="No", 'Staging Table'!DU118*Rates_previous!$H$34, 0))</f>
        <v>39254.516813036782</v>
      </c>
      <c r="G116" s="212">
        <f>IF(Init!$R$9="Yes",SUMPRODUCT('Staging Table'!AJ118:AU118,LS_Demand_Rates_Restatement!$C$10:$N$10),SUMPRODUCT(LS_Demand_Rates_Restatement!$C$10:$N$10,'Staging Table'!CW118:DH118))*1000</f>
        <v>61737.519460256422</v>
      </c>
      <c r="H116" s="213">
        <f>IF(Init!$R$9="Yes",'Staging Table'!BQ118,'Staging Table'!ED118)*IF(Init!$R$3=2020,Rates_previous!$C$88,Rates_previous!$D$88)</f>
        <v>14718.646079999928</v>
      </c>
      <c r="I116" s="211">
        <f>IF(Init!$R$9="Yes",IF('Staging Table'!$F$1=2020,(SUM('Staging Table'!AX118:BD118)*Rates_previous!$C$87),(SUM('Staging Table'!AX118:BD118)*Rates_previous!$D$87)),IF('Staging Table'!$F$1=2020,(SUM('Staging Table'!DK118:DQ118)*Rates_previous!$C$87),(SUM('Staging Table'!DK118:DQ118)*Rates_previous!$D$87)))</f>
        <v>7898.0636346982665</v>
      </c>
      <c r="J116" s="213">
        <f>IF(Init!$R$9="Yes",IF('Staging Table'!D118=1,'Staging Table'!H118*-1,'Staging Table'!H118*SUM(D116:I116)*(-1)),IF('Staging Table'!D118=1,'Staging Table'!BU118*-1,'Staging Table'!BU118*SUM(D116:I116)*(-1)))</f>
        <v>0</v>
      </c>
      <c r="K116" s="211">
        <f>IF(Init!$R$9="Yes",'Staging Table'!K118,'Staging Table'!BX118)*(-1)*Rates_previous!$H$32</f>
        <v>0</v>
      </c>
      <c r="L116" s="211">
        <f>IF('Staging Table'!C118=1,"",SUM(D116:K116))</f>
        <v>702312.26102799154</v>
      </c>
      <c r="M116" s="211">
        <f>IF('Staging Table'!C118=1,"",IF(Init!$R$9="Yes",(RT1SC!$C$3*'Staging Table'!E118*'Staging Table'!$F$2)+SUM('Staging Table'!L118:AI118)-IF(Init!$R$12="No",'Staging Table'!BH118, 0),X116))</f>
        <v>17655.839999999997</v>
      </c>
      <c r="N116" s="95">
        <f>IF('Staging Table'!C118=1,"",IF(M116=0, 0, L116/M116))</f>
        <v>39.777901307895384</v>
      </c>
      <c r="O116" s="211">
        <f>'Staging Table'!BR118*Rates_current!$E$76*100*12</f>
        <v>668830.31330997637</v>
      </c>
      <c r="P116" s="211">
        <f>'Staging Table'!BS118*Rates_current!$E$77*100*12</f>
        <v>-110425.48958190047</v>
      </c>
      <c r="Q116" s="212">
        <f>SUMPRODUCT('Staging Table'!BY118:CV118, LS_Demand_Rates_Restatement!$C$5:$Z$5)-IF(Init!$R$12="No",('Staging Table'!DU118*Rates_current!$H$34), 0)</f>
        <v>33508.361139865352</v>
      </c>
      <c r="R116" s="212">
        <f>SUMPRODUCT('Staging Table'!CW118:DH118, LS_Demand_Rates_Restatement!$C$11:$N$11)*1000</f>
        <v>57506.51279604702</v>
      </c>
      <c r="S116" s="213">
        <f>'Staging Table'!ED118*IF(Init!$R$15="Yes",IF(Init!$R$6=2022,Rates_current!$C$88,Rates_current!$D$88),Rates_current!$H$33)</f>
        <v>2622.6563999999876</v>
      </c>
      <c r="T116" s="213">
        <v>0</v>
      </c>
      <c r="U116" s="213">
        <f>IF('Staging Table'!D118=1, 'Staging Table'!BU118*-1,SUM(O116:T116)*'Staging Table'!BU118*-1)</f>
        <v>0</v>
      </c>
      <c r="V116" s="211">
        <f>'Staging Table'!BX118*Rates_current!$H$32*-1</f>
        <v>0</v>
      </c>
      <c r="W116" s="211">
        <f>IF('Staging Table'!C118=1,"",SUM(O116:V116))</f>
        <v>652042.35406398831</v>
      </c>
      <c r="X116" s="211">
        <f>IF('Staging Table'!C118=1,"",(RT1SC!$C$4*'Staging Table'!BR118*'Staging Table'!$BS$2)+SUM('Staging Table'!BY118:CV118)-IF(Init!$R$12="No",'Staging Table'!DU118, 0))</f>
        <v>16889.28</v>
      </c>
      <c r="Y116" s="95">
        <f>IF('Staging Table'!C118=1,"",IF(X116=0, 0, W116/X116))</f>
        <v>38.606876910323493</v>
      </c>
      <c r="Z116" s="87">
        <f>IF('Staging Table'!C118=1,"",Y116/N116-1)</f>
        <v>-2.9439069409613605E-2</v>
      </c>
      <c r="AA116" s="53">
        <f t="shared" ca="1" si="1"/>
        <v>21</v>
      </c>
      <c r="AD116" s="216"/>
      <c r="AE116" s="216"/>
      <c r="AF116" s="220"/>
      <c r="AG116" s="216"/>
      <c r="AH116" s="216"/>
    </row>
    <row r="117" spans="2:34">
      <c r="B117" s="3">
        <v>10379</v>
      </c>
      <c r="C117" s="4" t="s">
        <v>120</v>
      </c>
      <c r="D117" s="211">
        <f>IF(Init!$R$9="Yes",'Staging Table'!E119,'Staging Table'!BR119)*Rates_previous!$E$76*100*12</f>
        <v>1605673.9281600004</v>
      </c>
      <c r="E117" s="211">
        <f>IF(Init!$R$9="Yes",'Staging Table'!F119,'Staging Table'!BS119)*Rates_previous!$E$77*100*12</f>
        <v>-162439.91280000002</v>
      </c>
      <c r="F117" s="212">
        <f>IF(Init!$R$9="Yes",SUMPRODUCT('Staging Table'!L119:AI119,LS_Demand_Rates_Restatement!$C$4:$Z$4)-IF(Init!$R$12="No",('Staging Table'!BH119*Rates_previous!$H$34), 0),SUMPRODUCT('Staging Table'!BY119:CV119,LS_Demand_Rates_Restatement!$C$4:$Z$4)-IF(Init!$R$12="No", 'Staging Table'!DU119*Rates_previous!$H$34, 0))</f>
        <v>-17062.536766738987</v>
      </c>
      <c r="G117" s="212">
        <f>IF(Init!$R$9="Yes",SUMPRODUCT('Staging Table'!AJ119:AU119,LS_Demand_Rates_Restatement!$C$10:$N$10),SUMPRODUCT(LS_Demand_Rates_Restatement!$C$10:$N$10,'Staging Table'!CW119:DH119))*1000</f>
        <v>94517.415856517109</v>
      </c>
      <c r="H117" s="213">
        <f>IF(Init!$R$9="Yes",'Staging Table'!BQ119,'Staging Table'!ED119)*IF(Init!$R$3=2020,Rates_previous!$C$88,Rates_previous!$D$88)</f>
        <v>-37919.428356960911</v>
      </c>
      <c r="I117" s="211">
        <f>IF(Init!$R$9="Yes",IF('Staging Table'!$F$1=2020,(SUM('Staging Table'!AX119:BD119)*Rates_previous!$C$87),(SUM('Staging Table'!AX119:BD119)*Rates_previous!$D$87)),IF('Staging Table'!$F$1=2020,(SUM('Staging Table'!DK119:DQ119)*Rates_previous!$C$87),(SUM('Staging Table'!DK119:DQ119)*Rates_previous!$D$87)))</f>
        <v>19697.053494286261</v>
      </c>
      <c r="J117" s="213">
        <f>IF(Init!$R$9="Yes",IF('Staging Table'!D119=1,'Staging Table'!H119*-1,'Staging Table'!H119*SUM(D117:I117)*(-1)),IF('Staging Table'!D119=1,'Staging Table'!BU119*-1,'Staging Table'!BU119*SUM(D117:I117)*(-1)))</f>
        <v>0</v>
      </c>
      <c r="K117" s="211">
        <f>IF(Init!$R$9="Yes",'Staging Table'!K119,'Staging Table'!BX119)*(-1)*Rates_previous!$H$32</f>
        <v>0</v>
      </c>
      <c r="L117" s="211">
        <f>IF('Staging Table'!C119=1,"",SUM(D117:K117))</f>
        <v>1502466.5195871037</v>
      </c>
      <c r="M117" s="211">
        <f>IF('Staging Table'!C119=1,"",IF(Init!$R$9="Yes",(RT1SC!$C$3*'Staging Table'!E119*'Staging Table'!$F$2)+SUM('Staging Table'!L119:AI119)-IF(Init!$R$12="No",'Staging Table'!BH119, 0),X117))</f>
        <v>39267.444564689598</v>
      </c>
      <c r="N117" s="95">
        <f>IF('Staging Table'!C119=1,"",IF(M117=0, 0, L117/M117))</f>
        <v>38.262396146301924</v>
      </c>
      <c r="O117" s="211">
        <f>'Staging Table'!BR119*Rates_current!$E$76*100*12</f>
        <v>1618718.0404597851</v>
      </c>
      <c r="P117" s="211">
        <f>'Staging Table'!BS119*Rates_current!$E$77*100*12</f>
        <v>-267254.23258437729</v>
      </c>
      <c r="Q117" s="212">
        <f>SUMPRODUCT('Staging Table'!BY119:CV119, LS_Demand_Rates_Restatement!$C$5:$Z$5)-IF(Init!$R$12="No",('Staging Table'!DU119*Rates_current!$H$34), 0)</f>
        <v>8646.7196521610022</v>
      </c>
      <c r="R117" s="212">
        <f>SUMPRODUCT('Staging Table'!CW119:DH119, LS_Demand_Rates_Restatement!$C$11:$N$11)*1000</f>
        <v>88706.257051558074</v>
      </c>
      <c r="S117" s="213">
        <f>'Staging Table'!ED119*IF(Init!$R$15="Yes",IF(Init!$R$6=2022,Rates_current!$C$88,Rates_current!$D$88),Rates_current!$H$33)</f>
        <v>-3447.7200203636198</v>
      </c>
      <c r="T117" s="213">
        <v>0</v>
      </c>
      <c r="U117" s="213">
        <f>IF('Staging Table'!D119=1, 'Staging Table'!BU119*-1,SUM(O117:T117)*'Staging Table'!BU119*-1)</f>
        <v>0</v>
      </c>
      <c r="V117" s="211">
        <f>'Staging Table'!BX119*Rates_current!$H$32*-1</f>
        <v>0</v>
      </c>
      <c r="W117" s="211">
        <f>IF('Staging Table'!C119=1,"",SUM(O117:V117))</f>
        <v>1445369.0645587633</v>
      </c>
      <c r="X117" s="211">
        <f>IF('Staging Table'!C119=1,"",(RT1SC!$C$4*'Staging Table'!BR119*'Staging Table'!$BS$2)+SUM('Staging Table'!BY119:CV119)-IF(Init!$R$12="No",'Staging Table'!DU119, 0))</f>
        <v>39267.44503758369</v>
      </c>
      <c r="Y117" s="95">
        <f>IF('Staging Table'!C119=1,"",IF(X117=0, 0, W117/X117))</f>
        <v>36.808329728999951</v>
      </c>
      <c r="Z117" s="87">
        <f>IF('Staging Table'!C119=1,"",Y117/N117-1)</f>
        <v>-3.8002492362008256E-2</v>
      </c>
      <c r="AA117" s="53">
        <f t="shared" ca="1" si="1"/>
        <v>79</v>
      </c>
      <c r="AD117" s="216"/>
      <c r="AE117" s="216"/>
      <c r="AF117" s="220"/>
      <c r="AG117" s="216"/>
      <c r="AH117" s="216"/>
    </row>
    <row r="118" spans="2:34">
      <c r="B118" s="3">
        <v>10388</v>
      </c>
      <c r="C118" s="4" t="s">
        <v>121</v>
      </c>
      <c r="D118" s="211">
        <f>IF(Init!$R$9="Yes",'Staging Table'!E120,'Staging Table'!BR120)*Rates_previous!$E$76*100*12</f>
        <v>38105047.498799995</v>
      </c>
      <c r="E118" s="211">
        <f>IF(Init!$R$9="Yes",'Staging Table'!F120,'Staging Table'!BS120)*Rates_previous!$E$77*100*12</f>
        <v>-3854942.453999999</v>
      </c>
      <c r="F118" s="212">
        <f>IF(Init!$R$9="Yes",SUMPRODUCT('Staging Table'!L120:AI120,LS_Demand_Rates_Restatement!$C$4:$Z$4)-IF(Init!$R$12="No",('Staging Table'!BH120*Rates_previous!$H$34), 0),SUMPRODUCT('Staging Table'!BY120:CV120,LS_Demand_Rates_Restatement!$C$4:$Z$4)-IF(Init!$R$12="No", 'Staging Table'!DU120*Rates_previous!$H$34, 0))</f>
        <v>-1161533.9031669195</v>
      </c>
      <c r="G118" s="212">
        <f>IF(Init!$R$9="Yes",SUMPRODUCT('Staging Table'!AJ120:AU120,LS_Demand_Rates_Restatement!$C$10:$N$10),SUMPRODUCT(LS_Demand_Rates_Restatement!$C$10:$N$10,'Staging Table'!CW120:DH120))*1000</f>
        <v>0</v>
      </c>
      <c r="H118" s="213">
        <f>IF(Init!$R$9="Yes",'Staging Table'!BQ120,'Staging Table'!ED120)*IF(Init!$R$3=2020,Rates_previous!$C$88,Rates_previous!$D$88)</f>
        <v>0</v>
      </c>
      <c r="I118" s="211">
        <f>IF(Init!$R$9="Yes",IF('Staging Table'!$F$1=2020,(SUM('Staging Table'!AX120:BD120)*Rates_previous!$C$87),(SUM('Staging Table'!AX120:BD120)*Rates_previous!$D$87)),IF('Staging Table'!$F$1=2020,(SUM('Staging Table'!DK120:DQ120)*Rates_previous!$C$87),(SUM('Staging Table'!DK120:DQ120)*Rates_previous!$D$87)))</f>
        <v>467440.58418278804</v>
      </c>
      <c r="J118" s="213">
        <f>IF(Init!$R$9="Yes",IF('Staging Table'!D120=1,'Staging Table'!H120*-1,'Staging Table'!H120*SUM(D118:I118)*(-1)),IF('Staging Table'!D120=1,'Staging Table'!BU120*-1,'Staging Table'!BU120*SUM(D118:I118)*(-1)))</f>
        <v>-3608439.2137675453</v>
      </c>
      <c r="K118" s="211">
        <f>IF(Init!$R$9="Yes",'Staging Table'!K120,'Staging Table'!BX120)*(-1)*Rates_previous!$H$32</f>
        <v>-2541661.6639700001</v>
      </c>
      <c r="L118" s="211">
        <f>IF('Staging Table'!C120=1,"",SUM(D118:K118))</f>
        <v>27405910.848078325</v>
      </c>
      <c r="M118" s="211">
        <f>IF('Staging Table'!C120=1,"",IF(Init!$R$9="Yes",(RT1SC!$C$3*'Staging Table'!E120*'Staging Table'!$F$2)+SUM('Staging Table'!L120:AI120)-IF(Init!$R$12="No",'Staging Table'!BH120, 0),X118))</f>
        <v>989289.21600000001</v>
      </c>
      <c r="N118" s="95">
        <f>IF('Staging Table'!C120=1,"",IF(M118=0, 0, L118/M118))</f>
        <v>27.702627709709436</v>
      </c>
      <c r="O118" s="211">
        <f>'Staging Table'!BR120*Rates_current!$E$76*100*12</f>
        <v>38448750.137321085</v>
      </c>
      <c r="P118" s="211">
        <f>'Staging Table'!BS120*Rates_current!$E$77*100*12</f>
        <v>-6347980.9052226981</v>
      </c>
      <c r="Q118" s="212">
        <f>SUMPRODUCT('Staging Table'!BY120:CV120, LS_Demand_Rates_Restatement!$C$5:$Z$5)-IF(Init!$R$12="No",('Staging Table'!DU120*Rates_current!$H$34), 0)</f>
        <v>-1222372.1753839431</v>
      </c>
      <c r="R118" s="212">
        <f>SUMPRODUCT('Staging Table'!CW120:DH120, LS_Demand_Rates_Restatement!$C$11:$N$11)*1000</f>
        <v>0</v>
      </c>
      <c r="S118" s="213">
        <f>'Staging Table'!ED120*IF(Init!$R$15="Yes",IF(Init!$R$6=2022,Rates_current!$C$88,Rates_current!$D$88),Rates_current!$H$33)</f>
        <v>0</v>
      </c>
      <c r="T118" s="213">
        <v>0</v>
      </c>
      <c r="U118" s="213">
        <f>IF('Staging Table'!D120=1, 'Staging Table'!BU120*-1,SUM(O118:T118)*'Staging Table'!BU120*-1)</f>
        <v>-3160758.6269087601</v>
      </c>
      <c r="V118" s="211">
        <f>'Staging Table'!BX120*Rates_current!$H$32*-1</f>
        <v>-2493619.4543000003</v>
      </c>
      <c r="W118" s="211">
        <f>IF('Staging Table'!C120=1,"",SUM(O118:V118))</f>
        <v>25224018.97550568</v>
      </c>
      <c r="X118" s="211">
        <f>IF('Staging Table'!C120=1,"",(RT1SC!$C$4*'Staging Table'!BR120*'Staging Table'!$BS$2)+SUM('Staging Table'!BY120:CV120)-IF(Init!$R$12="No",'Staging Table'!DU120, 0))</f>
        <v>946108.45439789526</v>
      </c>
      <c r="Y118" s="95">
        <f>IF('Staging Table'!C120=1,"",IF(X118=0, 0, W118/X118))</f>
        <v>26.660811303666325</v>
      </c>
      <c r="Z118" s="87">
        <f>IF('Staging Table'!C120=1,"",Y118/N118-1)</f>
        <v>-3.7607133047453334E-2</v>
      </c>
      <c r="AA118" s="53">
        <f t="shared" ca="1" si="1"/>
        <v>75</v>
      </c>
      <c r="AD118" s="216"/>
      <c r="AE118" s="216"/>
      <c r="AF118" s="220"/>
      <c r="AG118" s="216"/>
      <c r="AH118" s="216"/>
    </row>
    <row r="119" spans="2:34">
      <c r="B119" s="3">
        <v>10391</v>
      </c>
      <c r="C119" s="4" t="s">
        <v>122</v>
      </c>
      <c r="D119" s="211">
        <f>IF(Init!$R$9="Yes",'Staging Table'!E121,'Staging Table'!BR121)*Rates_previous!$E$76*100*12</f>
        <v>10088461.64928</v>
      </c>
      <c r="E119" s="211">
        <f>IF(Init!$R$9="Yes",'Staging Table'!F121,'Staging Table'!BS121)*Rates_previous!$E$77*100*12</f>
        <v>-1020611.2224000001</v>
      </c>
      <c r="F119" s="212">
        <f>IF(Init!$R$9="Yes",SUMPRODUCT('Staging Table'!L121:AI121,LS_Demand_Rates_Restatement!$C$4:$Z$4)-IF(Init!$R$12="No",('Staging Table'!BH121*Rates_previous!$H$34), 0),SUMPRODUCT('Staging Table'!BY121:CV121,LS_Demand_Rates_Restatement!$C$4:$Z$4)-IF(Init!$R$12="No", 'Staging Table'!DU121*Rates_previous!$H$34, 0))</f>
        <v>-699134.60421747994</v>
      </c>
      <c r="G119" s="212">
        <f>IF(Init!$R$9="Yes",SUMPRODUCT('Staging Table'!AJ121:AU121,LS_Demand_Rates_Restatement!$C$10:$N$10),SUMPRODUCT(LS_Demand_Rates_Restatement!$C$10:$N$10,'Staging Table'!CW121:DH121))*1000</f>
        <v>413517.19064042019</v>
      </c>
      <c r="H119" s="213">
        <f>IF(Init!$R$9="Yes",'Staging Table'!BQ121,'Staging Table'!ED121)*IF(Init!$R$3=2020,Rates_previous!$C$88,Rates_previous!$D$88)</f>
        <v>0</v>
      </c>
      <c r="I119" s="211">
        <f>IF(Init!$R$9="Yes",IF('Staging Table'!$F$1=2020,(SUM('Staging Table'!AX121:BD121)*Rates_previous!$C$87),(SUM('Staging Table'!AX121:BD121)*Rates_previous!$D$87)),IF('Staging Table'!$F$1=2020,(SUM('Staging Table'!DK121:DQ121)*Rates_previous!$C$87),(SUM('Staging Table'!DK121:DQ121)*Rates_previous!$D$87)))</f>
        <v>123756.73871010409</v>
      </c>
      <c r="J119" s="213">
        <f>IF(Init!$R$9="Yes",IF('Staging Table'!D121=1,'Staging Table'!H121*-1,'Staging Table'!H121*SUM(D119:I119)*(-1)),IF('Staging Table'!D121=1,'Staging Table'!BU121*-1,'Staging Table'!BU121*SUM(D119:I119)*(-1)))</f>
        <v>-320744.66010100499</v>
      </c>
      <c r="K119" s="211">
        <f>IF(Init!$R$9="Yes",'Staging Table'!K121,'Staging Table'!BX121)*(-1)*Rates_previous!$H$32</f>
        <v>-491841.39982999995</v>
      </c>
      <c r="L119" s="211">
        <f>IF('Staging Table'!C121=1,"",SUM(D119:K119))</f>
        <v>8093403.6920820391</v>
      </c>
      <c r="M119" s="211">
        <f>IF('Staging Table'!C121=1,"",IF(Init!$R$9="Yes",(RT1SC!$C$3*'Staging Table'!E121*'Staging Table'!$F$2)+SUM('Staging Table'!L121:AI121)-IF(Init!$R$12="No",'Staging Table'!BH121, 0),X119))</f>
        <v>232368.5518309568</v>
      </c>
      <c r="N119" s="95">
        <f>IF('Staging Table'!C121=1,"",IF(M119=0, 0, L119/M119))</f>
        <v>34.830030261452158</v>
      </c>
      <c r="O119" s="211">
        <f>'Staging Table'!BR121*Rates_current!$E$76*100*12</f>
        <v>10179698.08881147</v>
      </c>
      <c r="P119" s="211">
        <f>'Staging Table'!BS121*Rates_current!$E$77*100*12</f>
        <v>-1680692.5805887752</v>
      </c>
      <c r="Q119" s="212">
        <f>SUMPRODUCT('Staging Table'!BY121:CV121, LS_Demand_Rates_Restatement!$C$5:$Z$5)-IF(Init!$R$12="No",('Staging Table'!DU121*Rates_current!$H$34), 0)</f>
        <v>-149063.55777917296</v>
      </c>
      <c r="R119" s="212">
        <f>SUMPRODUCT('Staging Table'!CW121:DH121, LS_Demand_Rates_Restatement!$C$11:$N$11)*1000</f>
        <v>400495.48145792389</v>
      </c>
      <c r="S119" s="213">
        <f>'Staging Table'!ED121*IF(Init!$R$15="Yes",IF(Init!$R$6=2022,Rates_current!$C$88,Rates_current!$D$88),Rates_current!$H$33)</f>
        <v>0</v>
      </c>
      <c r="T119" s="213">
        <v>0</v>
      </c>
      <c r="U119" s="213">
        <f>IF('Staging Table'!D121=1, 'Staging Table'!BU121*-1,SUM(O119:T119)*'Staging Table'!BU121*-1)</f>
        <v>-298546.13598751713</v>
      </c>
      <c r="V119" s="211">
        <f>'Staging Table'!BX121*Rates_current!$H$32*-1</f>
        <v>-482544.66769999999</v>
      </c>
      <c r="W119" s="211">
        <f>IF('Staging Table'!C121=1,"",SUM(O119:V119))</f>
        <v>7969346.628213929</v>
      </c>
      <c r="X119" s="211">
        <f>IF('Staging Table'!C121=1,"",(RT1SC!$C$4*'Staging Table'!BR121*'Staging Table'!$BS$2)+SUM('Staging Table'!BY121:CV121)-IF(Init!$R$12="No",'Staging Table'!DU121, 0))</f>
        <v>250492.19999999998</v>
      </c>
      <c r="Y119" s="95">
        <f>IF('Staging Table'!C121=1,"",IF(X119=0, 0, W119/X119))</f>
        <v>31.814749633776739</v>
      </c>
      <c r="Z119" s="87">
        <f>IF('Staging Table'!C121=1,"",Y119/N119-1)</f>
        <v>-8.657128934546332E-2</v>
      </c>
      <c r="AA119" s="53">
        <f t="shared" ca="1" si="1"/>
        <v>114</v>
      </c>
      <c r="AD119" s="216"/>
      <c r="AE119" s="216"/>
      <c r="AF119" s="220"/>
      <c r="AG119" s="216"/>
      <c r="AH119" s="216"/>
    </row>
    <row r="120" spans="2:34">
      <c r="B120" s="3">
        <v>10406</v>
      </c>
      <c r="C120" s="4" t="s">
        <v>123</v>
      </c>
      <c r="D120" s="211">
        <f>IF(Init!$R$9="Yes",'Staging Table'!E122,'Staging Table'!BR122)*Rates_previous!$E$76*100*12</f>
        <v>154245.46764000002</v>
      </c>
      <c r="E120" s="211">
        <f>IF(Init!$R$9="Yes",'Staging Table'!F122,'Staging Table'!BS122)*Rates_previous!$E$77*100*12</f>
        <v>-15604.426200000002</v>
      </c>
      <c r="F120" s="212">
        <f>IF(Init!$R$9="Yes",SUMPRODUCT('Staging Table'!L122:AI122,LS_Demand_Rates_Restatement!$C$4:$Z$4)-IF(Init!$R$12="No",('Staging Table'!BH122*Rates_previous!$H$34), 0),SUMPRODUCT('Staging Table'!BY122:CV122,LS_Demand_Rates_Restatement!$C$4:$Z$4)-IF(Init!$R$12="No", 'Staging Table'!DU122*Rates_previous!$H$34, 0))</f>
        <v>3916.8532744467739</v>
      </c>
      <c r="G120" s="212">
        <f>IF(Init!$R$9="Yes",SUMPRODUCT('Staging Table'!AJ122:AU122,LS_Demand_Rates_Restatement!$C$10:$N$10),SUMPRODUCT(LS_Demand_Rates_Restatement!$C$10:$N$10,'Staging Table'!CW122:DH122))*1000</f>
        <v>9309.4015690883189</v>
      </c>
      <c r="H120" s="213">
        <f>IF(Init!$R$9="Yes",'Staging Table'!BQ122,'Staging Table'!ED122)*IF(Init!$R$3=2020,Rates_previous!$C$88,Rates_previous!$D$88)</f>
        <v>0</v>
      </c>
      <c r="I120" s="211">
        <f>IF(Init!$R$9="Yes",IF('Staging Table'!$F$1=2020,(SUM('Staging Table'!AX122:BD122)*Rates_previous!$C$87),(SUM('Staging Table'!AX122:BD122)*Rates_previous!$D$87)),IF('Staging Table'!$F$1=2020,(SUM('Staging Table'!DK122:DQ122)*Rates_previous!$C$87),(SUM('Staging Table'!DK122:DQ122)*Rates_previous!$D$87)))</f>
        <v>1892.1533034031656</v>
      </c>
      <c r="J120" s="213">
        <f>IF(Init!$R$9="Yes",IF('Staging Table'!D122=1,'Staging Table'!H122*-1,'Staging Table'!H122*SUM(D120:I120)*(-1)),IF('Staging Table'!D122=1,'Staging Table'!BU122*-1,'Staging Table'!BU122*SUM(D120:I120)*(-1)))</f>
        <v>0</v>
      </c>
      <c r="K120" s="211">
        <f>IF(Init!$R$9="Yes",'Staging Table'!K122,'Staging Table'!BX122)*(-1)*Rates_previous!$H$32</f>
        <v>0</v>
      </c>
      <c r="L120" s="211">
        <f>IF('Staging Table'!C122=1,"",SUM(D120:K120))</f>
        <v>153759.44958693825</v>
      </c>
      <c r="M120" s="211">
        <f>IF('Staging Table'!C122=1,"",IF(Init!$R$9="Yes",(RT1SC!$C$3*'Staging Table'!E122*'Staging Table'!$F$2)+SUM('Staging Table'!L122:AI122)-IF(Init!$R$12="No",'Staging Table'!BH122, 0),X120))</f>
        <v>4005.5040000000004</v>
      </c>
      <c r="N120" s="95">
        <f>IF('Staging Table'!C122=1,"",IF(M120=0, 0, L120/M120))</f>
        <v>38.387041827180362</v>
      </c>
      <c r="O120" s="211">
        <f>'Staging Table'!BR122*Rates_current!$E$76*100*12</f>
        <v>155636.7419642075</v>
      </c>
      <c r="P120" s="211">
        <f>'Staging Table'!BS122*Rates_current!$E$77*100*12</f>
        <v>-25695.999547742351</v>
      </c>
      <c r="Q120" s="212">
        <f>SUMPRODUCT('Staging Table'!BY122:CV122, LS_Demand_Rates_Restatement!$C$5:$Z$5)-IF(Init!$R$12="No",('Staging Table'!DU122*Rates_current!$H$34), 0)</f>
        <v>3880.4481451715401</v>
      </c>
      <c r="R120" s="212">
        <f>SUMPRODUCT('Staging Table'!CW122:DH122, LS_Demand_Rates_Restatement!$C$11:$N$11)*1000</f>
        <v>8172.5408333333344</v>
      </c>
      <c r="S120" s="213">
        <f>'Staging Table'!ED122*IF(Init!$R$15="Yes",IF(Init!$R$6=2022,Rates_current!$C$88,Rates_current!$D$88),Rates_current!$H$33)</f>
        <v>0</v>
      </c>
      <c r="T120" s="213">
        <v>0</v>
      </c>
      <c r="U120" s="213">
        <f>IF('Staging Table'!D122=1, 'Staging Table'!BU122*-1,SUM(O120:T120)*'Staging Table'!BU122*-1)</f>
        <v>0</v>
      </c>
      <c r="V120" s="211">
        <f>'Staging Table'!BX122*Rates_current!$H$32*-1</f>
        <v>0</v>
      </c>
      <c r="W120" s="211">
        <f>IF('Staging Table'!C122=1,"",SUM(O120:V120))</f>
        <v>141993.73139497003</v>
      </c>
      <c r="X120" s="211">
        <f>IF('Staging Table'!C122=1,"",(RT1SC!$C$4*'Staging Table'!BR122*'Staging Table'!$BS$2)+SUM('Staging Table'!BY122:CV122)-IF(Init!$R$12="No",'Staging Table'!DU122, 0))</f>
        <v>3828.12</v>
      </c>
      <c r="Y120" s="95">
        <f>IF('Staging Table'!C122=1,"",IF(X120=0, 0, W120/X120))</f>
        <v>37.092288484940397</v>
      </c>
      <c r="Z120" s="87">
        <f>IF('Staging Table'!C122=1,"",Y120/N120-1)</f>
        <v>-3.3728916858688507E-2</v>
      </c>
      <c r="AA120" s="53">
        <f t="shared" ca="1" si="1"/>
        <v>42</v>
      </c>
      <c r="AD120" s="216"/>
      <c r="AE120" s="216"/>
      <c r="AF120" s="220"/>
      <c r="AG120" s="216"/>
      <c r="AH120" s="216"/>
    </row>
    <row r="121" spans="2:34">
      <c r="B121" s="3">
        <v>10408</v>
      </c>
      <c r="C121" s="4" t="s">
        <v>124</v>
      </c>
      <c r="D121" s="211">
        <f>IF(Init!$R$9="Yes",'Staging Table'!E123,'Staging Table'!BR123)*Rates_previous!$E$76*100*12</f>
        <v>502664.35140000004</v>
      </c>
      <c r="E121" s="211">
        <f>IF(Init!$R$9="Yes",'Staging Table'!F123,'Staging Table'!BS123)*Rates_previous!$E$77*100*12</f>
        <v>-50852.637000000002</v>
      </c>
      <c r="F121" s="212">
        <f>IF(Init!$R$9="Yes",SUMPRODUCT('Staging Table'!L123:AI123,LS_Demand_Rates_Restatement!$C$4:$Z$4)-IF(Init!$R$12="No",('Staging Table'!BH123*Rates_previous!$H$34), 0),SUMPRODUCT('Staging Table'!BY123:CV123,LS_Demand_Rates_Restatement!$C$4:$Z$4)-IF(Init!$R$12="No", 'Staging Table'!DU123*Rates_previous!$H$34, 0))</f>
        <v>4722.5122908782832</v>
      </c>
      <c r="G121" s="212">
        <f>IF(Init!$R$9="Yes",SUMPRODUCT('Staging Table'!AJ123:AU123,LS_Demand_Rates_Restatement!$C$10:$N$10),SUMPRODUCT(LS_Demand_Rates_Restatement!$C$10:$N$10,'Staging Table'!CW123:DH123))*1000</f>
        <v>27958.364312927359</v>
      </c>
      <c r="H121" s="213">
        <f>IF(Init!$R$9="Yes",'Staging Table'!BQ123,'Staging Table'!ED123)*IF(Init!$R$3=2020,Rates_previous!$C$88,Rates_previous!$D$88)</f>
        <v>4539.39551999999</v>
      </c>
      <c r="I121" s="211">
        <f>IF(Init!$R$9="Yes",IF('Staging Table'!$F$1=2020,(SUM('Staging Table'!AX123:BD123)*Rates_previous!$C$87),(SUM('Staging Table'!AX123:BD123)*Rates_previous!$D$87)),IF('Staging Table'!$F$1=2020,(SUM('Staging Table'!DK123:DQ123)*Rates_previous!$C$87),(SUM('Staging Table'!DK123:DQ123)*Rates_previous!$D$87)))</f>
        <v>6166.2623061597751</v>
      </c>
      <c r="J121" s="213">
        <f>IF(Init!$R$9="Yes",IF('Staging Table'!D123=1,'Staging Table'!H123*-1,'Staging Table'!H123*SUM(D121:I121)*(-1)),IF('Staging Table'!D123=1,'Staging Table'!BU123*-1,'Staging Table'!BU123*SUM(D121:I121)*(-1)))</f>
        <v>0</v>
      </c>
      <c r="K121" s="211">
        <f>IF(Init!$R$9="Yes",'Staging Table'!K123,'Staging Table'!BX123)*(-1)*Rates_previous!$H$32</f>
        <v>0</v>
      </c>
      <c r="L121" s="211">
        <f>IF('Staging Table'!C123=1,"",SUM(D121:K121))</f>
        <v>495198.24882996542</v>
      </c>
      <c r="M121" s="211">
        <f>IF('Staging Table'!C123=1,"",IF(Init!$R$9="Yes",(RT1SC!$C$3*'Staging Table'!E123*'Staging Table'!$F$2)+SUM('Staging Table'!L123:AI123)-IF(Init!$R$12="No",'Staging Table'!BH123, 0),X121))</f>
        <v>13342.895999999999</v>
      </c>
      <c r="N121" s="95">
        <f>IF('Staging Table'!C123=1,"",IF(M121=0, 0, L121/M121))</f>
        <v>37.113251038602527</v>
      </c>
      <c r="O121" s="211">
        <f>'Staging Table'!BR123*Rates_current!$E$76*100*12</f>
        <v>518709.20318733552</v>
      </c>
      <c r="P121" s="211">
        <f>'Staging Table'!BS123*Rates_current!$E$77*100*12</f>
        <v>-85640.134085927129</v>
      </c>
      <c r="Q121" s="212">
        <f>SUMPRODUCT('Staging Table'!BY123:CV123, LS_Demand_Rates_Restatement!$C$5:$Z$5)-IF(Init!$R$12="No",('Staging Table'!DU123*Rates_current!$H$34), 0)</f>
        <v>-1260.8363926052189</v>
      </c>
      <c r="R121" s="212">
        <f>SUMPRODUCT('Staging Table'!CW123:DH123, LS_Demand_Rates_Restatement!$C$11:$N$11)*1000</f>
        <v>25365.975915500367</v>
      </c>
      <c r="S121" s="213">
        <f>'Staging Table'!ED123*IF(Init!$R$15="Yes",IF(Init!$R$6=2022,Rates_current!$C$88,Rates_current!$D$88),Rates_current!$H$33)</f>
        <v>0</v>
      </c>
      <c r="T121" s="213">
        <v>0</v>
      </c>
      <c r="U121" s="213">
        <f>IF('Staging Table'!D123=1, 'Staging Table'!BU123*-1,SUM(O121:T121)*'Staging Table'!BU123*-1)</f>
        <v>0</v>
      </c>
      <c r="V121" s="211">
        <f>'Staging Table'!BX123*Rates_current!$H$32*-1</f>
        <v>0</v>
      </c>
      <c r="W121" s="211">
        <f>IF('Staging Table'!C123=1,"",SUM(O121:V121))</f>
        <v>457174.20862430352</v>
      </c>
      <c r="X121" s="211">
        <f>IF('Staging Table'!C123=1,"",(RT1SC!$C$4*'Staging Table'!BR123*'Staging Table'!$BS$2)+SUM('Staging Table'!BY123:CV123)-IF(Init!$R$12="No",'Staging Table'!DU123, 0))</f>
        <v>12763.320000000002</v>
      </c>
      <c r="Y121" s="95">
        <f>IF('Staging Table'!C123=1,"",IF(X121=0, 0, W121/X121))</f>
        <v>35.819379959470062</v>
      </c>
      <c r="Z121" s="87">
        <f>IF('Staging Table'!C123=1,"",Y121/N121-1)</f>
        <v>-3.486277927489223E-2</v>
      </c>
      <c r="AA121" s="53">
        <f t="shared" ca="1" si="1"/>
        <v>48</v>
      </c>
      <c r="AD121" s="216"/>
      <c r="AE121" s="216"/>
      <c r="AF121" s="220"/>
      <c r="AG121" s="216"/>
      <c r="AH121" s="216"/>
    </row>
    <row r="122" spans="2:34">
      <c r="B122" s="3">
        <v>10409</v>
      </c>
      <c r="C122" s="4" t="s">
        <v>125</v>
      </c>
      <c r="D122" s="211">
        <f>IF(Init!$R$9="Yes",'Staging Table'!E124,'Staging Table'!BR124)*Rates_previous!$E$76*100*12</f>
        <v>6601896.1480800007</v>
      </c>
      <c r="E122" s="211">
        <f>IF(Init!$R$9="Yes",'Staging Table'!F124,'Staging Table'!BS124)*Rates_previous!$E$77*100*12</f>
        <v>-667888.6764</v>
      </c>
      <c r="F122" s="212">
        <f>IF(Init!$R$9="Yes",SUMPRODUCT('Staging Table'!L124:AI124,LS_Demand_Rates_Restatement!$C$4:$Z$4)-IF(Init!$R$12="No",('Staging Table'!BH124*Rates_previous!$H$34), 0),SUMPRODUCT('Staging Table'!BY124:CV124,LS_Demand_Rates_Restatement!$C$4:$Z$4)-IF(Init!$R$12="No", 'Staging Table'!DU124*Rates_previous!$H$34, 0))</f>
        <v>141703.27410025091</v>
      </c>
      <c r="G122" s="212">
        <f>IF(Init!$R$9="Yes",SUMPRODUCT('Staging Table'!AJ124:AU124,LS_Demand_Rates_Restatement!$C$10:$N$10),SUMPRODUCT(LS_Demand_Rates_Restatement!$C$10:$N$10,'Staging Table'!CW124:DH124))*1000</f>
        <v>269250.4900979345</v>
      </c>
      <c r="H122" s="213">
        <f>IF(Init!$R$9="Yes",'Staging Table'!BQ124,'Staging Table'!ED124)*IF(Init!$R$3=2020,Rates_previous!$C$88,Rates_previous!$D$88)</f>
        <v>110045.95199999973</v>
      </c>
      <c r="I122" s="211">
        <f>IF(Init!$R$9="Yes",IF('Staging Table'!$F$1=2020,(SUM('Staging Table'!AX124:BD124)*Rates_previous!$C$87),(SUM('Staging Table'!AX124:BD124)*Rates_previous!$D$87)),IF('Staging Table'!$F$1=2020,(SUM('Staging Table'!DK124:DQ124)*Rates_previous!$C$87),(SUM('Staging Table'!DK124:DQ124)*Rates_previous!$D$87)))</f>
        <v>80986.493778017146</v>
      </c>
      <c r="J122" s="213">
        <f>IF(Init!$R$9="Yes",IF('Staging Table'!D124=1,'Staging Table'!H124*-1,'Staging Table'!H124*SUM(D122:I122)*(-1)),IF('Staging Table'!D124=1,'Staging Table'!BU124*-1,'Staging Table'!BU124*SUM(D122:I122)*(-1)))</f>
        <v>0</v>
      </c>
      <c r="K122" s="211">
        <f>IF(Init!$R$9="Yes",'Staging Table'!K124,'Staging Table'!BX124)*(-1)*Rates_previous!$H$32</f>
        <v>0</v>
      </c>
      <c r="L122" s="211">
        <f>IF('Staging Table'!C124=1,"",SUM(D122:K122))</f>
        <v>6535993.6816562023</v>
      </c>
      <c r="M122" s="211">
        <f>IF('Staging Table'!C124=1,"",IF(Init!$R$9="Yes",(RT1SC!$C$3*'Staging Table'!E124*'Staging Table'!$F$2)+SUM('Staging Table'!L124:AI124)-IF(Init!$R$12="No",'Staging Table'!BH124, 0),X122))</f>
        <v>178429.39199999999</v>
      </c>
      <c r="N122" s="95">
        <f>IF('Staging Table'!C124=1,"",IF(M122=0, 0, L122/M122))</f>
        <v>36.630700852560224</v>
      </c>
      <c r="O122" s="211">
        <f>'Staging Table'!BR124*Rates_current!$E$76*100*12</f>
        <v>6934827.8954097871</v>
      </c>
      <c r="P122" s="211">
        <f>'Staging Table'!BS124*Rates_current!$E$77*100*12</f>
        <v>-1144956.7256111144</v>
      </c>
      <c r="Q122" s="212">
        <f>SUMPRODUCT('Staging Table'!BY124:CV124, LS_Demand_Rates_Restatement!$C$5:$Z$5)-IF(Init!$R$12="No",('Staging Table'!DU124*Rates_current!$H$34), 0)</f>
        <v>-879054.47050877998</v>
      </c>
      <c r="R122" s="212">
        <f>SUMPRODUCT('Staging Table'!CW124:DH124, LS_Demand_Rates_Restatement!$C$11:$N$11)*1000</f>
        <v>250189.73881379992</v>
      </c>
      <c r="S122" s="213">
        <f>'Staging Table'!ED124*IF(Init!$R$15="Yes",IF(Init!$R$6=2022,Rates_current!$C$88,Rates_current!$D$88),Rates_current!$H$33)</f>
        <v>0</v>
      </c>
      <c r="T122" s="213">
        <v>0</v>
      </c>
      <c r="U122" s="213">
        <f>IF('Staging Table'!D124=1, 'Staging Table'!BU124*-1,SUM(O122:T122)*'Staging Table'!BU124*-1)</f>
        <v>0</v>
      </c>
      <c r="V122" s="211">
        <f>'Staging Table'!BX124*Rates_current!$H$32*-1</f>
        <v>0</v>
      </c>
      <c r="W122" s="211">
        <f>IF('Staging Table'!C124=1,"",SUM(O122:V122))</f>
        <v>5161006.4381036917</v>
      </c>
      <c r="X122" s="211">
        <f>IF('Staging Table'!C124=1,"",(RT1SC!$C$4*'Staging Table'!BR124*'Staging Table'!$BS$2)+SUM('Staging Table'!BY124:CV124)-IF(Init!$R$12="No",'Staging Table'!DU124, 0))</f>
        <v>139239.65272931039</v>
      </c>
      <c r="Y122" s="95">
        <f>IF('Staging Table'!C124=1,"",IF(X122=0, 0, W122/X122))</f>
        <v>37.065637100783171</v>
      </c>
      <c r="Z122" s="87">
        <f>IF('Staging Table'!C124=1,"",Y122/N122-1)</f>
        <v>1.187354427024423E-2</v>
      </c>
      <c r="AA122" s="53">
        <f t="shared" ca="1" si="1"/>
        <v>9</v>
      </c>
      <c r="AD122" s="216"/>
      <c r="AE122" s="216"/>
      <c r="AF122" s="220"/>
      <c r="AG122" s="216"/>
      <c r="AH122" s="216"/>
    </row>
    <row r="123" spans="2:34">
      <c r="B123" s="3">
        <v>10426</v>
      </c>
      <c r="C123" s="4" t="s">
        <v>126</v>
      </c>
      <c r="D123" s="211">
        <f>IF(Init!$R$9="Yes",'Staging Table'!E125,'Staging Table'!BR125)*Rates_previous!$E$76*100*12</f>
        <v>10346329.649879999</v>
      </c>
      <c r="E123" s="211">
        <f>IF(Init!$R$9="Yes",'Staging Table'!F125,'Staging Table'!BS125)*Rates_previous!$E$77*100*12</f>
        <v>-1046698.7453999999</v>
      </c>
      <c r="F123" s="212">
        <f>IF(Init!$R$9="Yes",SUMPRODUCT('Staging Table'!L125:AI125,LS_Demand_Rates_Restatement!$C$4:$Z$4)-IF(Init!$R$12="No",('Staging Table'!BH125*Rates_previous!$H$34), 0),SUMPRODUCT('Staging Table'!BY125:CV125,LS_Demand_Rates_Restatement!$C$4:$Z$4)-IF(Init!$R$12="No", 'Staging Table'!DU125*Rates_previous!$H$34, 0))</f>
        <v>-2445753.5373095647</v>
      </c>
      <c r="G123" s="212">
        <f>IF(Init!$R$9="Yes",SUMPRODUCT('Staging Table'!AJ125:AU125,LS_Demand_Rates_Restatement!$C$10:$N$10),SUMPRODUCT(LS_Demand_Rates_Restatement!$C$10:$N$10,'Staging Table'!CW125:DH125))*1000</f>
        <v>622388.03468379623</v>
      </c>
      <c r="H123" s="213">
        <f>IF(Init!$R$9="Yes",'Staging Table'!BQ125,'Staging Table'!ED125)*IF(Init!$R$3=2020,Rates_previous!$C$88,Rates_previous!$D$88)</f>
        <v>-2036517.4459520767</v>
      </c>
      <c r="I123" s="211">
        <f>IF(Init!$R$9="Yes",IF('Staging Table'!$F$1=2020,(SUM('Staging Table'!AX125:BD125)*Rates_previous!$C$87),(SUM('Staging Table'!AX125:BD125)*Rates_previous!$D$87)),IF('Staging Table'!$F$1=2020,(SUM('Staging Table'!DK125:DQ125)*Rates_previous!$C$87),(SUM('Staging Table'!DK125:DQ125)*Rates_previous!$D$87)))</f>
        <v>126920.04585061634</v>
      </c>
      <c r="J123" s="213">
        <f>IF(Init!$R$9="Yes",IF('Staging Table'!D125=1,'Staging Table'!H125*-1,'Staging Table'!H125*SUM(D123:I123)*(-1)),IF('Staging Table'!D125=1,'Staging Table'!BU125*-1,'Staging Table'!BU125*SUM(D123:I123)*(-1)))</f>
        <v>0</v>
      </c>
      <c r="K123" s="211">
        <f>IF(Init!$R$9="Yes",'Staging Table'!K125,'Staging Table'!BX125)*(-1)*Rates_previous!$H$32</f>
        <v>0</v>
      </c>
      <c r="L123" s="211">
        <f>IF('Staging Table'!C125=1,"",SUM(D123:K123))</f>
        <v>5566668.0017527705</v>
      </c>
      <c r="M123" s="211">
        <f>IF('Staging Table'!C125=1,"",IF(Init!$R$9="Yes",(RT1SC!$C$3*'Staging Table'!E125*'Staging Table'!$F$2)+SUM('Staging Table'!L125:AI125)-IF(Init!$R$12="No",'Staging Table'!BH125, 0),X123))</f>
        <v>138568.90608224284</v>
      </c>
      <c r="N123" s="95">
        <f>IF('Staging Table'!C125=1,"",IF(M123=0, 0, L123/M123))</f>
        <v>40.172562222933799</v>
      </c>
      <c r="O123" s="211">
        <f>'Staging Table'!BR125*Rates_current!$E$76*100*12</f>
        <v>5831941.3371765204</v>
      </c>
      <c r="P123" s="211">
        <f>'Staging Table'!BS125*Rates_current!$E$77*100*12</f>
        <v>-962867.50847695861</v>
      </c>
      <c r="Q123" s="212">
        <f>SUMPRODUCT('Staging Table'!BY125:CV125, LS_Demand_Rates_Restatement!$C$5:$Z$5)-IF(Init!$R$12="No",('Staging Table'!DU125*Rates_current!$H$34), 0)</f>
        <v>-57847.181854225746</v>
      </c>
      <c r="R123" s="212">
        <f>SUMPRODUCT('Staging Table'!CW125:DH125, LS_Demand_Rates_Restatement!$C$11:$N$11)*1000</f>
        <v>577743.49495268892</v>
      </c>
      <c r="S123" s="213">
        <f>'Staging Table'!ED125*IF(Init!$R$15="Yes",IF(Init!$R$6=2022,Rates_current!$C$88,Rates_current!$D$88),Rates_current!$H$33)</f>
        <v>-30167.615786265822</v>
      </c>
      <c r="T123" s="213">
        <v>0</v>
      </c>
      <c r="U123" s="213">
        <f>IF('Staging Table'!D125=1, 'Staging Table'!BU125*-1,SUM(O123:T123)*'Staging Table'!BU125*-1)</f>
        <v>0</v>
      </c>
      <c r="V123" s="211">
        <f>'Staging Table'!BX125*Rates_current!$H$32*-1</f>
        <v>0</v>
      </c>
      <c r="W123" s="211">
        <f>IF('Staging Table'!C125=1,"",SUM(O123:V123))</f>
        <v>5358802.5260117594</v>
      </c>
      <c r="X123" s="211">
        <f>IF('Staging Table'!C125=1,"",(RT1SC!$C$4*'Staging Table'!BR125*'Staging Table'!$BS$2)+SUM('Staging Table'!BY125:CV125)-IF(Init!$R$12="No",'Staging Table'!DU125, 0))</f>
        <v>138568.9033410367</v>
      </c>
      <c r="Y123" s="95">
        <f>IF('Staging Table'!C125=1,"",IF(X123=0, 0, W123/X123))</f>
        <v>38.672475546862245</v>
      </c>
      <c r="Z123" s="87">
        <f>IF('Staging Table'!C125=1,"",Y123/N123-1)</f>
        <v>-3.734107542722731E-2</v>
      </c>
      <c r="AA123" s="53">
        <f t="shared" ca="1" si="1"/>
        <v>71</v>
      </c>
      <c r="AD123" s="216"/>
      <c r="AE123" s="216"/>
      <c r="AF123" s="220"/>
      <c r="AG123" s="216"/>
      <c r="AH123" s="216"/>
    </row>
    <row r="124" spans="2:34">
      <c r="B124" s="3">
        <v>10434</v>
      </c>
      <c r="C124" s="4" t="s">
        <v>127</v>
      </c>
      <c r="D124" s="211">
        <f>IF(Init!$R$9="Yes",'Staging Table'!E126,'Staging Table'!BR126)*Rates_previous!$E$76*100*12</f>
        <v>9139459.8738000002</v>
      </c>
      <c r="E124" s="211">
        <f>IF(Init!$R$9="Yes",'Staging Table'!F126,'Staging Table'!BS126)*Rates_previous!$E$77*100*12</f>
        <v>-924604.32900000014</v>
      </c>
      <c r="F124" s="212">
        <f>IF(Init!$R$9="Yes",SUMPRODUCT('Staging Table'!L126:AI126,LS_Demand_Rates_Restatement!$C$4:$Z$4)-IF(Init!$R$12="No",('Staging Table'!BH126*Rates_previous!$H$34), 0),SUMPRODUCT('Staging Table'!BY126:CV126,LS_Demand_Rates_Restatement!$C$4:$Z$4)-IF(Init!$R$12="No", 'Staging Table'!DU126*Rates_previous!$H$34, 0))</f>
        <v>-197225.93416852804</v>
      </c>
      <c r="G124" s="212">
        <f>IF(Init!$R$9="Yes",SUMPRODUCT('Staging Table'!AJ126:AU126,LS_Demand_Rates_Restatement!$C$10:$N$10),SUMPRODUCT(LS_Demand_Rates_Restatement!$C$10:$N$10,'Staging Table'!CW126:DH126))*1000</f>
        <v>591229.61530409555</v>
      </c>
      <c r="H124" s="213">
        <f>IF(Init!$R$9="Yes",'Staging Table'!BQ126,'Staging Table'!ED126)*IF(Init!$R$3=2020,Rates_previous!$C$88,Rates_previous!$D$88)</f>
        <v>-102797.11172925225</v>
      </c>
      <c r="I124" s="211">
        <f>IF(Init!$R$9="Yes",IF('Staging Table'!$F$1=2020,(SUM('Staging Table'!AX126:BD126)*Rates_previous!$C$87),(SUM('Staging Table'!AX126:BD126)*Rates_previous!$D$87)),IF('Staging Table'!$F$1=2020,(SUM('Staging Table'!DK126:DQ126)*Rates_previous!$C$87),(SUM('Staging Table'!DK126:DQ126)*Rates_previous!$D$87)))</f>
        <v>112115.18533492867</v>
      </c>
      <c r="J124" s="213">
        <f>IF(Init!$R$9="Yes",IF('Staging Table'!D126=1,'Staging Table'!H126*-1,'Staging Table'!H126*SUM(D124:I124)*(-1)),IF('Staging Table'!D126=1,'Staging Table'!BU126*-1,'Staging Table'!BU126*SUM(D124:I124)*(-1)))</f>
        <v>0</v>
      </c>
      <c r="K124" s="211">
        <f>IF(Init!$R$9="Yes",'Staging Table'!K126,'Staging Table'!BX126)*(-1)*Rates_previous!$H$32</f>
        <v>0</v>
      </c>
      <c r="L124" s="211">
        <f>IF('Staging Table'!C126=1,"",SUM(D124:K124))</f>
        <v>8618177.2995412424</v>
      </c>
      <c r="M124" s="211">
        <f>IF('Staging Table'!C126=1,"",IF(Init!$R$9="Yes",(RT1SC!$C$3*'Staging Table'!E126*'Staging Table'!$F$2)+SUM('Staging Table'!L126:AI126)-IF(Init!$R$12="No",'Staging Table'!BH126, 0),X124))</f>
        <v>219518.28090617803</v>
      </c>
      <c r="N124" s="95">
        <f>IF('Staging Table'!C126=1,"",IF(M124=0, 0, L124/M124))</f>
        <v>39.259497040361055</v>
      </c>
      <c r="O124" s="211">
        <f>'Staging Table'!BR126*Rates_current!$E$76*100*12</f>
        <v>9221896.6290194131</v>
      </c>
      <c r="P124" s="211">
        <f>'Staging Table'!BS126*Rates_current!$E$77*100*12</f>
        <v>-1522557.2613381082</v>
      </c>
      <c r="Q124" s="212">
        <f>SUMPRODUCT('Staging Table'!BY126:CV126, LS_Demand_Rates_Restatement!$C$5:$Z$5)-IF(Init!$R$12="No",('Staging Table'!DU126*Rates_current!$H$34), 0)</f>
        <v>-97889.218358517988</v>
      </c>
      <c r="R124" s="212">
        <f>SUMPRODUCT('Staging Table'!CW126:DH126, LS_Demand_Rates_Restatement!$C$11:$N$11)*1000</f>
        <v>558963.35051071935</v>
      </c>
      <c r="S124" s="213">
        <f>'Staging Table'!ED126*IF(Init!$R$15="Yes",IF(Init!$R$6=2022,Rates_current!$C$88,Rates_current!$D$88),Rates_current!$H$33)</f>
        <v>0</v>
      </c>
      <c r="T124" s="213">
        <v>0</v>
      </c>
      <c r="U124" s="213">
        <f>IF('Staging Table'!D126=1, 'Staging Table'!BU126*-1,SUM(O124:T124)*'Staging Table'!BU126*-1)</f>
        <v>0</v>
      </c>
      <c r="V124" s="211">
        <f>'Staging Table'!BX126*Rates_current!$H$32*-1</f>
        <v>0</v>
      </c>
      <c r="W124" s="211">
        <f>IF('Staging Table'!C126=1,"",SUM(O124:V124))</f>
        <v>8160413.4998335065</v>
      </c>
      <c r="X124" s="211">
        <f>IF('Staging Table'!C126=1,"",(RT1SC!$C$4*'Staging Table'!BR126*'Staging Table'!$BS$2)+SUM('Staging Table'!BY126:CV126)-IF(Init!$R$12="No",'Staging Table'!DU126, 0))</f>
        <v>218322.48360818974</v>
      </c>
      <c r="Y124" s="95">
        <f>IF('Staging Table'!C126=1,"",IF(X124=0, 0, W124/X124))</f>
        <v>37.377797123627957</v>
      </c>
      <c r="Z124" s="87">
        <f>IF('Staging Table'!C126=1,"",Y124/N124-1)</f>
        <v>-4.7929801922795945E-2</v>
      </c>
      <c r="AA124" s="53">
        <f t="shared" ca="1" si="1"/>
        <v>105</v>
      </c>
      <c r="AD124" s="216"/>
      <c r="AE124" s="216"/>
      <c r="AF124" s="220"/>
      <c r="AG124" s="216"/>
      <c r="AH124" s="216"/>
    </row>
    <row r="125" spans="2:34">
      <c r="B125" s="3">
        <v>10436</v>
      </c>
      <c r="C125" s="4" t="s">
        <v>128</v>
      </c>
      <c r="D125" s="211">
        <f>IF(Init!$R$9="Yes",'Staging Table'!E127,'Staging Table'!BR127)*Rates_previous!$E$76*100*12</f>
        <v>6445749.3495599991</v>
      </c>
      <c r="E125" s="211">
        <f>IF(Init!$R$9="Yes",'Staging Table'!F127,'Staging Table'!BS127)*Rates_previous!$E$77*100*12</f>
        <v>-652091.89980000001</v>
      </c>
      <c r="F125" s="212">
        <f>IF(Init!$R$9="Yes",SUMPRODUCT('Staging Table'!L127:AI127,LS_Demand_Rates_Restatement!$C$4:$Z$4)-IF(Init!$R$12="No",('Staging Table'!BH127*Rates_previous!$H$34), 0),SUMPRODUCT('Staging Table'!BY127:CV127,LS_Demand_Rates_Restatement!$C$4:$Z$4)-IF(Init!$R$12="No", 'Staging Table'!DU127*Rates_previous!$H$34, 0))</f>
        <v>-81297.877168344392</v>
      </c>
      <c r="G125" s="212">
        <f>IF(Init!$R$9="Yes",SUMPRODUCT('Staging Table'!AJ127:AU127,LS_Demand_Rates_Restatement!$C$10:$N$10),SUMPRODUCT(LS_Demand_Rates_Restatement!$C$10:$N$10,'Staging Table'!CW127:DH127))*1000</f>
        <v>359467.26962407411</v>
      </c>
      <c r="H125" s="213">
        <f>IF(Init!$R$9="Yes",'Staging Table'!BQ127,'Staging Table'!ED127)*IF(Init!$R$3=2020,Rates_previous!$C$88,Rates_previous!$D$88)</f>
        <v>0</v>
      </c>
      <c r="I125" s="211">
        <f>IF(Init!$R$9="Yes",IF('Staging Table'!$F$1=2020,(SUM('Staging Table'!AX127:BD127)*Rates_previous!$C$87),(SUM('Staging Table'!AX127:BD127)*Rates_previous!$D$87)),IF('Staging Table'!$F$1=2020,(SUM('Staging Table'!DK127:DQ127)*Rates_previous!$C$87),(SUM('Staging Table'!DK127:DQ127)*Rates_previous!$D$87)))</f>
        <v>79071.016550997287</v>
      </c>
      <c r="J125" s="213">
        <f>IF(Init!$R$9="Yes",IF('Staging Table'!D127=1,'Staging Table'!H127*-1,'Staging Table'!H127*SUM(D125:I125)*(-1)),IF('Staging Table'!D127=1,'Staging Table'!BU127*-1,'Staging Table'!BU127*SUM(D125:I125)*(-1)))</f>
        <v>-476713.14878209337</v>
      </c>
      <c r="K125" s="211">
        <f>IF(Init!$R$9="Yes",'Staging Table'!K127,'Staging Table'!BX127)*(-1)*Rates_previous!$H$32</f>
        <v>-431770.7963799999</v>
      </c>
      <c r="L125" s="211">
        <f>IF('Staging Table'!C127=1,"",SUM(D125:K125))</f>
        <v>5242413.913604633</v>
      </c>
      <c r="M125" s="211">
        <f>IF('Staging Table'!C127=1,"",IF(Init!$R$9="Yes",(RT1SC!$C$3*'Staging Table'!E127*'Staging Table'!$F$2)+SUM('Staging Table'!L127:AI127)-IF(Init!$R$12="No",'Staging Table'!BH127, 0),X125))</f>
        <v>167343.984</v>
      </c>
      <c r="N125" s="95">
        <f>IF('Staging Table'!C127=1,"",IF(M125=0, 0, L125/M125))</f>
        <v>31.327172858539289</v>
      </c>
      <c r="O125" s="211">
        <f>'Staging Table'!BR127*Rates_current!$E$76*100*12</f>
        <v>6503649.3714473154</v>
      </c>
      <c r="P125" s="211">
        <f>'Staging Table'!BS127*Rates_current!$E$77*100*12</f>
        <v>-1073768.1166945649</v>
      </c>
      <c r="Q125" s="212">
        <f>SUMPRODUCT('Staging Table'!BY127:CV127, LS_Demand_Rates_Restatement!$C$5:$Z$5)-IF(Init!$R$12="No",('Staging Table'!DU127*Rates_current!$H$34), 0)</f>
        <v>-73096.319351397629</v>
      </c>
      <c r="R125" s="212">
        <f>SUMPRODUCT('Staging Table'!CW127:DH127, LS_Demand_Rates_Restatement!$C$11:$N$11)*1000</f>
        <v>326391.13739384816</v>
      </c>
      <c r="S125" s="213">
        <f>'Staging Table'!ED127*IF(Init!$R$15="Yes",IF(Init!$R$6=2022,Rates_current!$C$88,Rates_current!$D$88),Rates_current!$H$33)</f>
        <v>0</v>
      </c>
      <c r="T125" s="213">
        <v>0</v>
      </c>
      <c r="U125" s="213">
        <f>IF('Staging Table'!D127=1, 'Staging Table'!BU127*-1,SUM(O125:T125)*'Staging Table'!BU127*-1)</f>
        <v>-462322.28277990292</v>
      </c>
      <c r="V125" s="211">
        <f>'Staging Table'!BX127*Rates_current!$H$32*-1</f>
        <v>-423609.51219999994</v>
      </c>
      <c r="W125" s="211">
        <f>IF('Staging Table'!C127=1,"",SUM(O125:V125))</f>
        <v>4797244.2778152982</v>
      </c>
      <c r="X125" s="211">
        <f>IF('Staging Table'!C127=1,"",(RT1SC!$C$4*'Staging Table'!BR127*'Staging Table'!$BS$2)+SUM('Staging Table'!BY127:CV127)-IF(Init!$R$12="No",'Staging Table'!DU127, 0))</f>
        <v>160036.43999999997</v>
      </c>
      <c r="Y125" s="95">
        <f>IF('Staging Table'!C127=1,"",IF(X125=0, 0, W125/X125))</f>
        <v>29.9759497137983</v>
      </c>
      <c r="Z125" s="87">
        <f>IF('Staging Table'!C127=1,"",Y125/N125-1)</f>
        <v>-4.3132623261044278E-2</v>
      </c>
      <c r="AA125" s="53">
        <f t="shared" ca="1" si="1"/>
        <v>101</v>
      </c>
      <c r="AD125" s="216"/>
      <c r="AE125" s="216"/>
      <c r="AF125" s="220"/>
      <c r="AG125" s="216"/>
      <c r="AH125" s="216"/>
    </row>
    <row r="126" spans="2:34">
      <c r="B126" s="3">
        <v>10440</v>
      </c>
      <c r="C126" s="4" t="s">
        <v>129</v>
      </c>
      <c r="D126" s="211">
        <f>IF(Init!$R$9="Yes",'Staging Table'!E128,'Staging Table'!BR128)*Rates_previous!$E$76*100*12</f>
        <v>1666278.8499599998</v>
      </c>
      <c r="E126" s="211">
        <f>IF(Init!$R$9="Yes",'Staging Table'!F128,'Staging Table'!BS128)*Rates_previous!$E$77*100*12</f>
        <v>-168571.08179999999</v>
      </c>
      <c r="F126" s="212">
        <f>IF(Init!$R$9="Yes",SUMPRODUCT('Staging Table'!L128:AI128,LS_Demand_Rates_Restatement!$C$4:$Z$4)-IF(Init!$R$12="No",('Staging Table'!BH128*Rates_previous!$H$34), 0),SUMPRODUCT('Staging Table'!BY128:CV128,LS_Demand_Rates_Restatement!$C$4:$Z$4)-IF(Init!$R$12="No", 'Staging Table'!DU128*Rates_previous!$H$34, 0))</f>
        <v>48040.184841055125</v>
      </c>
      <c r="G126" s="212">
        <f>IF(Init!$R$9="Yes",SUMPRODUCT('Staging Table'!AJ128:AU128,LS_Demand_Rates_Restatement!$C$10:$N$10),SUMPRODUCT(LS_Demand_Rates_Restatement!$C$10:$N$10,'Staging Table'!CW128:DH128))*1000</f>
        <v>68213.02052264956</v>
      </c>
      <c r="H126" s="213">
        <f>IF(Init!$R$9="Yes",'Staging Table'!BQ128,'Staging Table'!ED128)*IF(Init!$R$3=2020,Rates_previous!$C$88,Rates_previous!$D$88)</f>
        <v>7428.1017600000469</v>
      </c>
      <c r="I126" s="211">
        <f>IF(Init!$R$9="Yes",IF('Staging Table'!$F$1=2020,(SUM('Staging Table'!AX128:BD128)*Rates_previous!$C$87),(SUM('Staging Table'!AX128:BD128)*Rates_previous!$D$87)),IF('Staging Table'!$F$1=2020,(SUM('Staging Table'!DK128:DQ128)*Rates_previous!$C$87),(SUM('Staging Table'!DK128:DQ128)*Rates_previous!$D$87)))</f>
        <v>20440.503559567936</v>
      </c>
      <c r="J126" s="213">
        <f>IF(Init!$R$9="Yes",IF('Staging Table'!D128=1,'Staging Table'!H128*-1,'Staging Table'!H128*SUM(D126:I126)*(-1)),IF('Staging Table'!D128=1,'Staging Table'!BU128*-1,'Staging Table'!BU128*SUM(D126:I126)*(-1)))</f>
        <v>-90300.62683637999</v>
      </c>
      <c r="K126" s="211">
        <f>IF(Init!$R$9="Yes",'Staging Table'!K128,'Staging Table'!BX128)*(-1)*Rates_previous!$H$32</f>
        <v>0</v>
      </c>
      <c r="L126" s="211">
        <f>IF('Staging Table'!C128=1,"",SUM(D126:K126))</f>
        <v>1551528.9520068925</v>
      </c>
      <c r="M126" s="211">
        <f>IF('Staging Table'!C128=1,"",IF(Init!$R$9="Yes",(RT1SC!$C$3*'Staging Table'!E128*'Staging Table'!$F$2)+SUM('Staging Table'!L128:AI128)-IF(Init!$R$12="No",'Staging Table'!BH128, 0),X126))</f>
        <v>43735.536</v>
      </c>
      <c r="N126" s="95">
        <f>IF('Staging Table'!C128=1,"",IF(M126=0, 0, L126/M126))</f>
        <v>35.47524722246213</v>
      </c>
      <c r="O126" s="211">
        <f>'Staging Table'!BR128*Rates_current!$E$76*100*12</f>
        <v>1699773.8475228085</v>
      </c>
      <c r="P126" s="211">
        <f>'Staging Table'!BS128*Rates_current!$E$77*100*12</f>
        <v>-280636.7408234172</v>
      </c>
      <c r="Q126" s="212">
        <f>SUMPRODUCT('Staging Table'!BY128:CV128, LS_Demand_Rates_Restatement!$C$5:$Z$5)-IF(Init!$R$12="No",('Staging Table'!DU128*Rates_current!$H$34), 0)</f>
        <v>35531.741003121439</v>
      </c>
      <c r="R126" s="212">
        <f>SUMPRODUCT('Staging Table'!CW128:DH128, LS_Demand_Rates_Restatement!$C$11:$N$11)*1000</f>
        <v>62996.809722346858</v>
      </c>
      <c r="S126" s="213">
        <f>'Staging Table'!ED128*IF(Init!$R$15="Yes",IF(Init!$R$6=2022,Rates_current!$C$88,Rates_current!$D$88),Rates_current!$H$33)</f>
        <v>0</v>
      </c>
      <c r="T126" s="213">
        <v>0</v>
      </c>
      <c r="U126" s="213">
        <f>IF('Staging Table'!D128=1, 'Staging Table'!BU128*-1,SUM(O126:T126)*'Staging Table'!BU128*-1)</f>
        <v>-86023.832148759248</v>
      </c>
      <c r="V126" s="211">
        <f>'Staging Table'!BX128*Rates_current!$H$32*-1</f>
        <v>0</v>
      </c>
      <c r="W126" s="211">
        <f>IF('Staging Table'!C128=1,"",SUM(O126:V126))</f>
        <v>1431641.8252761005</v>
      </c>
      <c r="X126" s="211">
        <f>IF('Staging Table'!C128=1,"",(RT1SC!$C$4*'Staging Table'!BR128*'Staging Table'!$BS$2)+SUM('Staging Table'!BY128:CV128)-IF(Init!$R$12="No",'Staging Table'!DU128, 0))</f>
        <v>41829</v>
      </c>
      <c r="Y126" s="95">
        <f>IF('Staging Table'!C128=1,"",IF(X126=0, 0, W126/X126))</f>
        <v>34.226059080448984</v>
      </c>
      <c r="Z126" s="87">
        <f>IF('Staging Table'!C128=1,"",Y126/N126-1)</f>
        <v>-3.5212950995932357E-2</v>
      </c>
      <c r="AA126" s="53">
        <f t="shared" ca="1" si="1"/>
        <v>51</v>
      </c>
      <c r="AD126" s="216"/>
      <c r="AE126" s="216"/>
      <c r="AF126" s="220"/>
      <c r="AG126" s="216"/>
      <c r="AH126" s="216"/>
    </row>
    <row r="127" spans="2:34">
      <c r="B127" s="3">
        <v>10442</v>
      </c>
      <c r="C127" s="4" t="s">
        <v>130</v>
      </c>
      <c r="D127" s="211">
        <f>IF(Init!$R$9="Yes",'Staging Table'!E129,'Staging Table'!BR129)*Rates_previous!$E$76*100*12</f>
        <v>4253514.8449200001</v>
      </c>
      <c r="E127" s="211">
        <f>IF(Init!$R$9="Yes",'Staging Table'!F129,'Staging Table'!BS129)*Rates_previous!$E$77*100*12</f>
        <v>-430311.88859999995</v>
      </c>
      <c r="F127" s="212">
        <f>IF(Init!$R$9="Yes",SUMPRODUCT('Staging Table'!L129:AI129,LS_Demand_Rates_Restatement!$C$4:$Z$4)-IF(Init!$R$12="No",('Staging Table'!BH129*Rates_previous!$H$34), 0),SUMPRODUCT('Staging Table'!BY129:CV129,LS_Demand_Rates_Restatement!$C$4:$Z$4)-IF(Init!$R$12="No", 'Staging Table'!DU129*Rates_previous!$H$34, 0))</f>
        <v>-142415.94014015052</v>
      </c>
      <c r="G127" s="212">
        <f>IF(Init!$R$9="Yes",SUMPRODUCT('Staging Table'!AJ129:AU129,LS_Demand_Rates_Restatement!$C$10:$N$10),SUMPRODUCT(LS_Demand_Rates_Restatement!$C$10:$N$10,'Staging Table'!CW129:DH129))*1000</f>
        <v>231014.5482967236</v>
      </c>
      <c r="H127" s="213">
        <f>IF(Init!$R$9="Yes",'Staging Table'!BQ129,'Staging Table'!ED129)*IF(Init!$R$3=2020,Rates_previous!$C$88,Rates_previous!$D$88)</f>
        <v>-140222.20597015784</v>
      </c>
      <c r="I127" s="211">
        <f>IF(Init!$R$9="Yes",IF('Staging Table'!$F$1=2020,(SUM('Staging Table'!AX129:BD129)*Rates_previous!$C$87),(SUM('Staging Table'!AX129:BD129)*Rates_previous!$D$87)),IF('Staging Table'!$F$1=2020,(SUM('Staging Table'!DK129:DQ129)*Rates_previous!$C$87),(SUM('Staging Table'!DK129:DQ129)*Rates_previous!$D$87)))</f>
        <v>52178.532620965256</v>
      </c>
      <c r="J127" s="213">
        <f>IF(Init!$R$9="Yes",IF('Staging Table'!D129=1,'Staging Table'!H129*-1,'Staging Table'!H129*SUM(D127:I127)*(-1)),IF('Staging Table'!D129=1,'Staging Table'!BU129*-1,'Staging Table'!BU129*SUM(D127:I127)*(-1)))</f>
        <v>-267663.05237891665</v>
      </c>
      <c r="K127" s="211">
        <f>IF(Init!$R$9="Yes",'Staging Table'!K129,'Staging Table'!BX129)*(-1)*Rates_previous!$H$32</f>
        <v>-108137.29629999999</v>
      </c>
      <c r="L127" s="211">
        <f>IF('Staging Table'!C129=1,"",SUM(D127:K127))</f>
        <v>3447957.5424484634</v>
      </c>
      <c r="M127" s="211">
        <f>IF('Staging Table'!C129=1,"",IF(Init!$R$9="Yes",(RT1SC!$C$3*'Staging Table'!E129*'Staging Table'!$F$2)+SUM('Staging Table'!L129:AI129)-IF(Init!$R$12="No",'Staging Table'!BH129, 0),X127))</f>
        <v>101478.28414494521</v>
      </c>
      <c r="N127" s="95">
        <f>IF('Staging Table'!C129=1,"",IF(M127=0, 0, L127/M127))</f>
        <v>33.977294467490374</v>
      </c>
      <c r="O127" s="211">
        <f>'Staging Table'!BR129*Rates_current!$E$76*100*12</f>
        <v>4528573.552006308</v>
      </c>
      <c r="P127" s="211">
        <f>'Staging Table'!BS129*Rates_current!$E$77*100*12</f>
        <v>-747678.35972198227</v>
      </c>
      <c r="Q127" s="212">
        <f>SUMPRODUCT('Staging Table'!BY129:CV129, LS_Demand_Rates_Restatement!$C$5:$Z$5)-IF(Init!$R$12="No",('Staging Table'!DU129*Rates_current!$H$34), 0)</f>
        <v>-249424.48574941768</v>
      </c>
      <c r="R127" s="212">
        <f>SUMPRODUCT('Staging Table'!CW129:DH129, LS_Demand_Rates_Restatement!$C$11:$N$11)*1000</f>
        <v>218717.03609608265</v>
      </c>
      <c r="S127" s="213">
        <f>'Staging Table'!ED129*IF(Init!$R$15="Yes",IF(Init!$R$6=2022,Rates_current!$C$88,Rates_current!$D$88),Rates_current!$H$33)</f>
        <v>-60841.389970528595</v>
      </c>
      <c r="T127" s="213">
        <v>0</v>
      </c>
      <c r="U127" s="213">
        <f>IF('Staging Table'!D129=1, 'Staging Table'!BU129*-1,SUM(O127:T127)*'Staging Table'!BU129*-1)</f>
        <v>-258254.24468623238</v>
      </c>
      <c r="V127" s="211">
        <f>'Staging Table'!BX129*Rates_current!$H$32*-1</f>
        <v>-106093.29700000001</v>
      </c>
      <c r="W127" s="211">
        <f>IF('Staging Table'!C129=1,"",SUM(O127:V127))</f>
        <v>3324998.8109742301</v>
      </c>
      <c r="X127" s="211">
        <f>IF('Staging Table'!C129=1,"",(RT1SC!$C$4*'Staging Table'!BR129*'Staging Table'!$BS$2)+SUM('Staging Table'!BY129:CV129)-IF(Init!$R$12="No",'Staging Table'!DU129, 0))</f>
        <v>101478.28570040449</v>
      </c>
      <c r="Y127" s="95">
        <f>IF('Staging Table'!C129=1,"",IF(X127=0, 0, W127/X127))</f>
        <v>32.765618654523415</v>
      </c>
      <c r="Z127" s="87">
        <f>IF('Staging Table'!C129=1,"",Y127/N127-1)</f>
        <v>-3.5661338901668449E-2</v>
      </c>
      <c r="AA127" s="53">
        <f t="shared" ca="1" si="1"/>
        <v>56</v>
      </c>
      <c r="AD127" s="216"/>
      <c r="AE127" s="216"/>
      <c r="AF127" s="220"/>
      <c r="AG127" s="216"/>
      <c r="AH127" s="216"/>
    </row>
    <row r="128" spans="2:34">
      <c r="B128" s="3">
        <v>10446</v>
      </c>
      <c r="C128" s="4" t="s">
        <v>131</v>
      </c>
      <c r="D128" s="211">
        <f>IF(Init!$R$9="Yes",'Staging Table'!E130,'Staging Table'!BR130)*Rates_previous!$E$76*100*12</f>
        <v>31493644.696319997</v>
      </c>
      <c r="E128" s="211">
        <f>IF(Init!$R$9="Yes",'Staging Table'!F130,'Staging Table'!BS130)*Rates_previous!$E$77*100*12</f>
        <v>-3186092.0255999998</v>
      </c>
      <c r="F128" s="212">
        <f>IF(Init!$R$9="Yes",SUMPRODUCT('Staging Table'!L130:AI130,LS_Demand_Rates_Restatement!$C$4:$Z$4)-IF(Init!$R$12="No",('Staging Table'!BH130*Rates_previous!$H$34), 0),SUMPRODUCT('Staging Table'!BY130:CV130,LS_Demand_Rates_Restatement!$C$4:$Z$4)-IF(Init!$R$12="No", 'Staging Table'!DU130*Rates_previous!$H$34, 0))</f>
        <v>415727.35641854687</v>
      </c>
      <c r="G128" s="212">
        <f>IF(Init!$R$9="Yes",SUMPRODUCT('Staging Table'!AJ130:AU130,LS_Demand_Rates_Restatement!$C$10:$N$10),SUMPRODUCT(LS_Demand_Rates_Restatement!$C$10:$N$10,'Staging Table'!CW130:DH130))*1000</f>
        <v>1032304.9131688038</v>
      </c>
      <c r="H128" s="213">
        <f>IF(Init!$R$9="Yes",'Staging Table'!BQ130,'Staging Table'!ED130)*IF(Init!$R$3=2020,Rates_previous!$C$88,Rates_previous!$D$88)</f>
        <v>300012.7766399979</v>
      </c>
      <c r="I128" s="211">
        <f>IF(Init!$R$9="Yes",IF('Staging Table'!$F$1=2020,(SUM('Staging Table'!AX130:BD130)*Rates_previous!$C$87),(SUM('Staging Table'!AX130:BD130)*Rates_previous!$D$87)),IF('Staging Table'!$F$1=2020,(SUM('Staging Table'!DK130:DQ130)*Rates_previous!$C$87),(SUM('Staging Table'!DK130:DQ130)*Rates_previous!$D$87)))</f>
        <v>386337.47078668751</v>
      </c>
      <c r="J128" s="213">
        <f>IF(Init!$R$9="Yes",IF('Staging Table'!D130=1,'Staging Table'!H130*-1,'Staging Table'!H130*SUM(D128:I128)*(-1)),IF('Staging Table'!D130=1,'Staging Table'!BU130*-1,'Staging Table'!BU130*SUM(D128:I128)*(-1)))</f>
        <v>-1978725.7872027119</v>
      </c>
      <c r="K128" s="211">
        <f>IF(Init!$R$9="Yes",'Staging Table'!K130,'Staging Table'!BX130)*(-1)*Rates_previous!$H$32</f>
        <v>-79673.587400000004</v>
      </c>
      <c r="L128" s="211">
        <f>IF('Staging Table'!C130=1,"",SUM(D128:K128))</f>
        <v>28383535.813131317</v>
      </c>
      <c r="M128" s="211">
        <f>IF('Staging Table'!C130=1,"",IF(Init!$R$9="Yes",(RT1SC!$C$3*'Staging Table'!E130*'Staging Table'!$F$2)+SUM('Staging Table'!L130:AI130)-IF(Init!$R$12="No",'Staging Table'!BH130, 0),X128))</f>
        <v>836798.97599999991</v>
      </c>
      <c r="N128" s="95">
        <f>IF('Staging Table'!C130=1,"",IF(M128=0, 0, L128/M128))</f>
        <v>33.919180863255882</v>
      </c>
      <c r="O128" s="211">
        <f>'Staging Table'!BR130*Rates_current!$E$76*100*12</f>
        <v>32522083.818517663</v>
      </c>
      <c r="P128" s="211">
        <f>'Staging Table'!BS130*Rates_current!$E$77*100*12</f>
        <v>-5369474.0749870986</v>
      </c>
      <c r="Q128" s="212">
        <f>SUMPRODUCT('Staging Table'!BY130:CV130, LS_Demand_Rates_Restatement!$C$5:$Z$5)-IF(Init!$R$12="No",('Staging Table'!DU130*Rates_current!$H$34), 0)</f>
        <v>-350721.84028222889</v>
      </c>
      <c r="R128" s="212">
        <f>SUMPRODUCT('Staging Table'!CW130:DH130, LS_Demand_Rates_Restatement!$C$11:$N$11)*1000</f>
        <v>939588.544679799</v>
      </c>
      <c r="S128" s="213">
        <f>'Staging Table'!ED130*IF(Init!$R$15="Yes",IF(Init!$R$6=2022,Rates_current!$C$88,Rates_current!$D$88),Rates_current!$H$33)</f>
        <v>0</v>
      </c>
      <c r="T128" s="213">
        <v>0</v>
      </c>
      <c r="U128" s="213">
        <f>IF('Staging Table'!D130=1, 'Staging Table'!BU130*-1,SUM(O128:T128)*'Staging Table'!BU130*-1)</f>
        <v>-2141565.0941991969</v>
      </c>
      <c r="V128" s="211">
        <f>'Staging Table'!BX130*Rates_current!$H$32*-1</f>
        <v>-78167.606</v>
      </c>
      <c r="W128" s="211">
        <f>IF('Staging Table'!C130=1,"",SUM(O128:V128))</f>
        <v>25521743.74772894</v>
      </c>
      <c r="X128" s="211">
        <f>IF('Staging Table'!C130=1,"",(RT1SC!$C$4*'Staging Table'!BR130*'Staging Table'!$BS$2)+SUM('Staging Table'!BY130:CV130)-IF(Init!$R$12="No",'Staging Table'!DU130, 0))</f>
        <v>789043.11393762217</v>
      </c>
      <c r="Y128" s="95">
        <f>IF('Staging Table'!C130=1,"",IF(X128=0, 0, W128/X128))</f>
        <v>32.345182787751398</v>
      </c>
      <c r="Z128" s="87">
        <f>IF('Staging Table'!C130=1,"",Y128/N128-1)</f>
        <v>-4.640436577315965E-2</v>
      </c>
      <c r="AA128" s="53">
        <f t="shared" ca="1" si="1"/>
        <v>104</v>
      </c>
      <c r="AD128" s="216"/>
      <c r="AE128" s="216"/>
      <c r="AF128" s="220"/>
      <c r="AG128" s="216"/>
      <c r="AH128" s="216"/>
    </row>
    <row r="129" spans="1:34">
      <c r="B129" s="3">
        <v>10448</v>
      </c>
      <c r="C129" s="4" t="s">
        <v>132</v>
      </c>
      <c r="D129" s="211">
        <f>IF(Init!$R$9="Yes",'Staging Table'!E131,'Staging Table'!BR131)*Rates_previous!$E$76*100*12</f>
        <v>2752651.7815200002</v>
      </c>
      <c r="E129" s="211">
        <f>IF(Init!$R$9="Yes",'Staging Table'!F131,'Staging Table'!BS131)*Rates_previous!$E$77*100*12</f>
        <v>-278475.2916</v>
      </c>
      <c r="F129" s="212">
        <f>IF(Init!$R$9="Yes",SUMPRODUCT('Staging Table'!L131:AI131,LS_Demand_Rates_Restatement!$C$4:$Z$4)-IF(Init!$R$12="No",('Staging Table'!BH131*Rates_previous!$H$34), 0),SUMPRODUCT('Staging Table'!BY131:CV131,LS_Demand_Rates_Restatement!$C$4:$Z$4)-IF(Init!$R$12="No", 'Staging Table'!DU131*Rates_previous!$H$34, 0))</f>
        <v>0</v>
      </c>
      <c r="G129" s="212">
        <f>IF(Init!$R$9="Yes",SUMPRODUCT('Staging Table'!AJ131:AU131,LS_Demand_Rates_Restatement!$C$10:$N$10),SUMPRODUCT(LS_Demand_Rates_Restatement!$C$10:$N$10,'Staging Table'!CW131:DH131))*1000</f>
        <v>0</v>
      </c>
      <c r="H129" s="213">
        <f>IF(Init!$R$9="Yes",'Staging Table'!BQ131,'Staging Table'!ED131)*IF(Init!$R$3=2020,Rates_previous!$C$88,Rates_previous!$D$88)</f>
        <v>-28.914793979895187</v>
      </c>
      <c r="I129" s="211">
        <f>IF(Init!$R$9="Yes",IF('Staging Table'!$F$1=2020,(SUM('Staging Table'!AX131:BD131)*Rates_previous!$C$87),(SUM('Staging Table'!AX131:BD131)*Rates_previous!$D$87)),IF('Staging Table'!$F$1=2020,(SUM('Staging Table'!DK131:DQ131)*Rates_previous!$C$87),(SUM('Staging Table'!DK131:DQ131)*Rates_previous!$D$87)))</f>
        <v>33767.210416048474</v>
      </c>
      <c r="J129" s="213">
        <f>IF(Init!$R$9="Yes",IF('Staging Table'!D131=1,'Staging Table'!H131*-1,'Staging Table'!H131*SUM(D129:I129)*(-1)),IF('Staging Table'!D131=1,'Staging Table'!BU131*-1,'Staging Table'!BU131*SUM(D129:I129)*(-1)))</f>
        <v>-175554.03498794482</v>
      </c>
      <c r="K129" s="211">
        <f>IF(Init!$R$9="Yes",'Staging Table'!K131,'Staging Table'!BX131)*(-1)*Rates_previous!$H$32</f>
        <v>0</v>
      </c>
      <c r="L129" s="211" t="str">
        <f>IF('Staging Table'!C131=1,"",SUM(D129:K129))</f>
        <v/>
      </c>
      <c r="M129" s="211" t="str">
        <f>IF('Staging Table'!C131=1,"",IF(Init!$R$9="Yes",(RT1SC!$C$3*'Staging Table'!E131*'Staging Table'!$F$2)+SUM('Staging Table'!L131:AI131)-IF(Init!$R$12="No",'Staging Table'!BH131, 0),X129))</f>
        <v/>
      </c>
      <c r="N129" s="95" t="str">
        <f>IF('Staging Table'!C131=1,"",IF(M129=0, 0, L129/M129))</f>
        <v/>
      </c>
      <c r="O129" s="211">
        <f>'Staging Table'!BR131*Rates_current!$E$76*100*12</f>
        <v>2879879.2515380085</v>
      </c>
      <c r="P129" s="211">
        <f>'Staging Table'!BS131*Rates_current!$E$77*100*12</f>
        <v>-475474.97468233877</v>
      </c>
      <c r="Q129" s="212">
        <f>SUMPRODUCT('Staging Table'!BY131:CV131, LS_Demand_Rates_Restatement!$C$5:$Z$5)-IF(Init!$R$12="No",('Staging Table'!DU131*Rates_current!$H$34), 0)</f>
        <v>0</v>
      </c>
      <c r="R129" s="212">
        <f>SUMPRODUCT('Staging Table'!CW131:DH131, LS_Demand_Rates_Restatement!$C$11:$N$11)*1000</f>
        <v>0</v>
      </c>
      <c r="S129" s="213">
        <f>'Staging Table'!ED131*IF(Init!$R$15="Yes",IF(Init!$R$6=2022,Rates_current!$C$88,Rates_current!$D$88),Rates_current!$H$33)</f>
        <v>0</v>
      </c>
      <c r="T129" s="213">
        <v>0</v>
      </c>
      <c r="U129" s="213">
        <f>IF('Staging Table'!D131=1, 'Staging Table'!BU131*-1,SUM(O129:T129)*'Staging Table'!BU131*-1)</f>
        <v>-171761.84421266118</v>
      </c>
      <c r="V129" s="211">
        <f>'Staging Table'!BX131*Rates_current!$H$32*-1</f>
        <v>0</v>
      </c>
      <c r="W129" s="211" t="str">
        <f>IF('Staging Table'!C131=1,"",SUM(O129:V129))</f>
        <v/>
      </c>
      <c r="X129" s="211" t="str">
        <f>IF('Staging Table'!C131=1,"",(RT1SC!$C$4*'Staging Table'!BR131*'Staging Table'!$BS$2)+SUM('Staging Table'!BY131:CV131)-IF(Init!$R$12="No",'Staging Table'!DU131, 0))</f>
        <v/>
      </c>
      <c r="Y129" s="95" t="str">
        <f>IF('Staging Table'!C131=1,"",IF(X129=0, 0, W129/X129))</f>
        <v/>
      </c>
      <c r="Z129" s="87" t="str">
        <f>IF('Staging Table'!C131=1,"",Y129/N129-1)</f>
        <v/>
      </c>
      <c r="AA129" s="53" t="str">
        <f t="shared" si="1"/>
        <v/>
      </c>
      <c r="AD129" s="216"/>
      <c r="AE129" s="216"/>
      <c r="AF129" s="220"/>
      <c r="AG129" s="216"/>
      <c r="AH129" s="216"/>
    </row>
    <row r="130" spans="1:34">
      <c r="B130" s="3">
        <v>10451</v>
      </c>
      <c r="C130" s="4" t="s">
        <v>133</v>
      </c>
      <c r="D130" s="211">
        <f>IF(Init!$R$9="Yes",'Staging Table'!E132,'Staging Table'!BR132)*Rates_previous!$E$76*100*12</f>
        <v>8913439.1654399987</v>
      </c>
      <c r="E130" s="211">
        <f>IF(Init!$R$9="Yes",'Staging Table'!F132,'Staging Table'!BS132)*Rates_previous!$E$77*100*12</f>
        <v>-901738.67519999994</v>
      </c>
      <c r="F130" s="212">
        <f>IF(Init!$R$9="Yes",SUMPRODUCT('Staging Table'!L132:AI132,LS_Demand_Rates_Restatement!$C$4:$Z$4)-IF(Init!$R$12="No",('Staging Table'!BH132*Rates_previous!$H$34), 0),SUMPRODUCT('Staging Table'!BY132:CV132,LS_Demand_Rates_Restatement!$C$4:$Z$4)-IF(Init!$R$12="No", 'Staging Table'!DU132*Rates_previous!$H$34, 0))</f>
        <v>-82636.070897042373</v>
      </c>
      <c r="G130" s="212">
        <f>IF(Init!$R$9="Yes",SUMPRODUCT('Staging Table'!AJ132:AU132,LS_Demand_Rates_Restatement!$C$10:$N$10),SUMPRODUCT(LS_Demand_Rates_Restatement!$C$10:$N$10,'Staging Table'!CW132:DH132))*1000</f>
        <v>543833.9299534543</v>
      </c>
      <c r="H130" s="213">
        <f>IF(Init!$R$9="Yes",'Staging Table'!BQ132,'Staging Table'!ED132)*IF(Init!$R$3=2020,Rates_previous!$C$88,Rates_previous!$D$88)</f>
        <v>-9881.2769983924354</v>
      </c>
      <c r="I130" s="211">
        <f>IF(Init!$R$9="Yes",IF('Staging Table'!$F$1=2020,(SUM('Staging Table'!AX132:BD132)*Rates_previous!$C$87),(SUM('Staging Table'!AX132:BD132)*Rates_previous!$D$87)),IF('Staging Table'!$F$1=2020,(SUM('Staging Table'!DK132:DQ132)*Rates_previous!$C$87),(SUM('Staging Table'!DK132:DQ132)*Rates_previous!$D$87)))</f>
        <v>109342.55391499588</v>
      </c>
      <c r="J130" s="213">
        <f>IF(Init!$R$9="Yes",IF('Staging Table'!D132=1,'Staging Table'!H132*-1,'Staging Table'!H132*SUM(D130:I130)*(-1)),IF('Staging Table'!D132=1,'Staging Table'!BU132*-1,'Staging Table'!BU132*SUM(D130:I130)*(-1)))</f>
        <v>0</v>
      </c>
      <c r="K130" s="211">
        <f>IF(Init!$R$9="Yes",'Staging Table'!K132,'Staging Table'!BX132)*(-1)*Rates_previous!$H$32</f>
        <v>0</v>
      </c>
      <c r="L130" s="211">
        <f>IF('Staging Table'!C132=1,"",SUM(D130:K130))</f>
        <v>8572359.6262130123</v>
      </c>
      <c r="M130" s="211">
        <f>IF('Staging Table'!C132=1,"",IF(Init!$R$9="Yes",(RT1SC!$C$3*'Staging Table'!E132*'Staging Table'!$F$2)+SUM('Staging Table'!L132:AI132)-IF(Init!$R$12="No",'Staging Table'!BH132, 0),X130))</f>
        <v>230783.49168592639</v>
      </c>
      <c r="N130" s="95">
        <f>IF('Staging Table'!C132=1,"",IF(M130=0, 0, L130/M130))</f>
        <v>37.144596277619151</v>
      </c>
      <c r="O130" s="211">
        <f>'Staging Table'!BR132*Rates_current!$E$76*100*12</f>
        <v>9112063.6123482175</v>
      </c>
      <c r="P130" s="211">
        <f>'Staging Table'!BS132*Rates_current!$E$77*100*12</f>
        <v>-1504423.5667420125</v>
      </c>
      <c r="Q130" s="212">
        <f>SUMPRODUCT('Staging Table'!BY132:CV132, LS_Demand_Rates_Restatement!$C$5:$Z$5)-IF(Init!$R$12="No",('Staging Table'!DU132*Rates_current!$H$34), 0)</f>
        <v>-294519.23101206304</v>
      </c>
      <c r="R130" s="212">
        <f>SUMPRODUCT('Staging Table'!CW132:DH132, LS_Demand_Rates_Restatement!$C$11:$N$11)*1000</f>
        <v>476966.68566606118</v>
      </c>
      <c r="S130" s="213">
        <f>'Staging Table'!ED132*IF(Init!$R$15="Yes",IF(Init!$R$6=2022,Rates_current!$C$88,Rates_current!$D$88),Rates_current!$H$33)</f>
        <v>0</v>
      </c>
      <c r="T130" s="213">
        <v>0</v>
      </c>
      <c r="U130" s="213">
        <f>IF('Staging Table'!D132=1, 'Staging Table'!BU132*-1,SUM(O130:T130)*'Staging Table'!BU132*-1)</f>
        <v>0</v>
      </c>
      <c r="V130" s="211">
        <f>'Staging Table'!BX132*Rates_current!$H$32*-1</f>
        <v>0</v>
      </c>
      <c r="W130" s="211">
        <f>IF('Staging Table'!C132=1,"",SUM(O130:V130))</f>
        <v>7790087.5002602031</v>
      </c>
      <c r="X130" s="211">
        <f>IF('Staging Table'!C132=1,"",(RT1SC!$C$4*'Staging Table'!BR132*'Staging Table'!$BS$2)+SUM('Staging Table'!BY132:CV132)-IF(Init!$R$12="No",'Staging Table'!DU132, 0))</f>
        <v>216530.97446993593</v>
      </c>
      <c r="Y130" s="95">
        <f>IF('Staging Table'!C132=1,"",IF(X130=0, 0, W130/X130))</f>
        <v>35.976781240329252</v>
      </c>
      <c r="Z130" s="87">
        <f>IF('Staging Table'!C132=1,"",Y130/N130-1)</f>
        <v>-3.1439701984149582E-2</v>
      </c>
      <c r="AA130" s="53">
        <f t="shared" ca="1" si="1"/>
        <v>25</v>
      </c>
      <c r="AD130" s="216"/>
      <c r="AE130" s="216"/>
      <c r="AF130" s="220"/>
      <c r="AG130" s="216"/>
      <c r="AH130" s="216"/>
    </row>
    <row r="131" spans="1:34">
      <c r="B131" s="3">
        <v>10482</v>
      </c>
      <c r="C131" s="4" t="s">
        <v>134</v>
      </c>
      <c r="D131" s="211">
        <f>IF(Init!$R$9="Yes",'Staging Table'!E133,'Staging Table'!BR133)*Rates_previous!$E$76*100*12</f>
        <v>913114.15512000001</v>
      </c>
      <c r="E131" s="211">
        <f>IF(Init!$R$9="Yes",'Staging Table'!F133,'Staging Table'!BS133)*Rates_previous!$E$77*100*12</f>
        <v>-92376.279599999994</v>
      </c>
      <c r="F131" s="212">
        <f>IF(Init!$R$9="Yes",SUMPRODUCT('Staging Table'!L133:AI133,LS_Demand_Rates_Restatement!$C$4:$Z$4)-IF(Init!$R$12="No",('Staging Table'!BH133*Rates_previous!$H$34), 0),SUMPRODUCT('Staging Table'!BY133:CV133,LS_Demand_Rates_Restatement!$C$4:$Z$4)-IF(Init!$R$12="No", 'Staging Table'!DU133*Rates_previous!$H$34, 0))</f>
        <v>17118.499266573257</v>
      </c>
      <c r="G131" s="212">
        <f>IF(Init!$R$9="Yes",SUMPRODUCT('Staging Table'!AJ133:AU133,LS_Demand_Rates_Restatement!$C$10:$N$10),SUMPRODUCT(LS_Demand_Rates_Restatement!$C$10:$N$10,'Staging Table'!CW133:DH133))*1000</f>
        <v>33002.74459109686</v>
      </c>
      <c r="H131" s="213">
        <f>IF(Init!$R$9="Yes",'Staging Table'!BQ133,'Staging Table'!ED133)*IF(Init!$R$3=2020,Rates_previous!$C$88,Rates_previous!$D$88)</f>
        <v>14167.177454380748</v>
      </c>
      <c r="I131" s="211">
        <f>IF(Init!$R$9="Yes",IF('Staging Table'!$F$1=2020,(SUM('Staging Table'!AX133:BD133)*Rates_previous!$C$87),(SUM('Staging Table'!AX133:BD133)*Rates_previous!$D$87)),IF('Staging Table'!$F$1=2020,(SUM('Staging Table'!DK133:DQ133)*Rates_previous!$C$87),(SUM('Staging Table'!DK133:DQ133)*Rates_previous!$D$87)))</f>
        <v>11201.314316910572</v>
      </c>
      <c r="J131" s="213">
        <f>IF(Init!$R$9="Yes",IF('Staging Table'!D133=1,'Staging Table'!H133*-1,'Staging Table'!H133*SUM(D131:I131)*(-1)),IF('Staging Table'!D133=1,'Staging Table'!BU133*-1,'Staging Table'!BU133*SUM(D131:I131)*(-1)))</f>
        <v>0</v>
      </c>
      <c r="K131" s="211">
        <f>IF(Init!$R$9="Yes",'Staging Table'!K133,'Staging Table'!BX133)*(-1)*Rates_previous!$H$32</f>
        <v>0</v>
      </c>
      <c r="L131" s="211">
        <f>IF('Staging Table'!C133=1,"",SUM(D131:K131))</f>
        <v>896227.61114896147</v>
      </c>
      <c r="M131" s="211">
        <f>IF('Staging Table'!C133=1,"",IF(Init!$R$9="Yes",(RT1SC!$C$3*'Staging Table'!E133*'Staging Table'!$F$2)+SUM('Staging Table'!L133:AI133)-IF(Init!$R$12="No",'Staging Table'!BH133, 0),X131))</f>
        <v>24612.688889807199</v>
      </c>
      <c r="N131" s="95">
        <f>IF('Staging Table'!C133=1,"",IF(M131=0, 0, L131/M131))</f>
        <v>36.413234456480467</v>
      </c>
      <c r="O131" s="211">
        <f>'Staging Table'!BR133*Rates_current!$E$76*100*12</f>
        <v>998808.98348370439</v>
      </c>
      <c r="P131" s="211">
        <f>'Staging Table'!BS133*Rates_current!$E$77*100*12</f>
        <v>-164905.75980947132</v>
      </c>
      <c r="Q131" s="212">
        <f>SUMPRODUCT('Staging Table'!BY133:CV133, LS_Demand_Rates_Restatement!$C$5:$Z$5)-IF(Init!$R$12="No",('Staging Table'!DU133*Rates_current!$H$34), 0)</f>
        <v>-3011.5381738961401</v>
      </c>
      <c r="R131" s="212">
        <f>SUMPRODUCT('Staging Table'!CW133:DH133, LS_Demand_Rates_Restatement!$C$11:$N$11)*1000</f>
        <v>30523.182185835103</v>
      </c>
      <c r="S131" s="213">
        <f>'Staging Table'!ED133*IF(Init!$R$15="Yes",IF(Init!$R$6=2022,Rates_current!$C$88,Rates_current!$D$88),Rates_current!$H$33)</f>
        <v>196.3097618867159</v>
      </c>
      <c r="T131" s="213">
        <v>0</v>
      </c>
      <c r="U131" s="213">
        <f>IF('Staging Table'!D133=1, 'Staging Table'!BU133*-1,SUM(O131:T131)*'Staging Table'!BU133*-1)</f>
        <v>0</v>
      </c>
      <c r="V131" s="211">
        <f>'Staging Table'!BX133*Rates_current!$H$32*-1</f>
        <v>0</v>
      </c>
      <c r="W131" s="211">
        <f>IF('Staging Table'!C133=1,"",SUM(O131:V131))</f>
        <v>861611.17744805873</v>
      </c>
      <c r="X131" s="211">
        <f>IF('Staging Table'!C133=1,"",(RT1SC!$C$4*'Staging Table'!BR133*'Staging Table'!$BS$2)+SUM('Staging Table'!BY133:CV133)-IF(Init!$R$12="No",'Staging Table'!DU133, 0))</f>
        <v>24612.689257264603</v>
      </c>
      <c r="Y131" s="95">
        <f>IF('Staging Table'!C133=1,"",IF(X131=0, 0, W131/X131))</f>
        <v>35.006787289355159</v>
      </c>
      <c r="Z131" s="87">
        <f>IF('Staging Table'!C133=1,"",Y131/N131-1)</f>
        <v>-3.8624615146622965E-2</v>
      </c>
      <c r="AA131" s="53">
        <f t="shared" ca="1" si="1"/>
        <v>82</v>
      </c>
      <c r="AD131" s="216"/>
      <c r="AE131" s="216"/>
      <c r="AF131" s="220"/>
      <c r="AG131" s="216"/>
      <c r="AH131" s="216"/>
    </row>
    <row r="132" spans="1:34">
      <c r="B132" s="3">
        <v>10502</v>
      </c>
      <c r="C132" s="4" t="s">
        <v>135</v>
      </c>
      <c r="D132" s="211">
        <f>IF(Init!$R$9="Yes",'Staging Table'!E134,'Staging Table'!BR134)*Rates_previous!$E$76*100*12</f>
        <v>6295781.8763999995</v>
      </c>
      <c r="E132" s="211">
        <f>IF(Init!$R$9="Yes",'Staging Table'!F134,'Staging Table'!BS134)*Rates_previous!$E$77*100*12</f>
        <v>-636920.2620000001</v>
      </c>
      <c r="F132" s="212">
        <f>IF(Init!$R$9="Yes",SUMPRODUCT('Staging Table'!L134:AI134,LS_Demand_Rates_Restatement!$C$4:$Z$4)-IF(Init!$R$12="No",('Staging Table'!BH134*Rates_previous!$H$34), 0),SUMPRODUCT('Staging Table'!BY134:CV134,LS_Demand_Rates_Restatement!$C$4:$Z$4)-IF(Init!$R$12="No", 'Staging Table'!DU134*Rates_previous!$H$34, 0))</f>
        <v>-137839.16951337666</v>
      </c>
      <c r="G132" s="212">
        <f>IF(Init!$R$9="Yes",SUMPRODUCT('Staging Table'!AJ134:AU134,LS_Demand_Rates_Restatement!$C$10:$N$10),SUMPRODUCT(LS_Demand_Rates_Restatement!$C$10:$N$10,'Staging Table'!CW134:DH134))*1000</f>
        <v>424546.00119152415</v>
      </c>
      <c r="H132" s="213">
        <f>IF(Init!$R$9="Yes",'Staging Table'!BQ134,'Staging Table'!ED134)*IF(Init!$R$3=2020,Rates_previous!$C$88,Rates_previous!$D$88)</f>
        <v>-45822.504644584675</v>
      </c>
      <c r="I132" s="211">
        <f>IF(Init!$R$9="Yes",IF('Staging Table'!$F$1=2020,(SUM('Staging Table'!AX134:BD134)*Rates_previous!$C$87),(SUM('Staging Table'!AX134:BD134)*Rates_previous!$D$87)),IF('Staging Table'!$F$1=2020,(SUM('Staging Table'!DK134:DQ134)*Rates_previous!$C$87),(SUM('Staging Table'!DK134:DQ134)*Rates_previous!$D$87)))</f>
        <v>77231.342075731663</v>
      </c>
      <c r="J132" s="213">
        <f>IF(Init!$R$9="Yes",IF('Staging Table'!D134=1,'Staging Table'!H134*-1,'Staging Table'!H134*SUM(D132:I132)*(-1)),IF('Staging Table'!D134=1,'Staging Table'!BU134*-1,'Staging Table'!BU134*SUM(D132:I132)*(-1)))</f>
        <v>-420254.6092231865</v>
      </c>
      <c r="K132" s="211">
        <f>IF(Init!$R$9="Yes",'Staging Table'!K134,'Staging Table'!BX134)*(-1)*Rates_previous!$H$32</f>
        <v>-79877.53366999999</v>
      </c>
      <c r="L132" s="211">
        <f>IF('Staging Table'!C134=1,"",SUM(D132:K132))</f>
        <v>5476845.1406161068</v>
      </c>
      <c r="M132" s="211">
        <f>IF('Staging Table'!C134=1,"",IF(Init!$R$9="Yes",(RT1SC!$C$3*'Staging Table'!E134*'Staging Table'!$F$2)+SUM('Staging Table'!L134:AI134)-IF(Init!$R$12="No",'Staging Table'!BH134, 0),X132))</f>
        <v>160526.58613508398</v>
      </c>
      <c r="N132" s="95">
        <f>IF('Staging Table'!C134=1,"",IF(M132=0, 0, L132/M132))</f>
        <v>34.1179942368382</v>
      </c>
      <c r="O132" s="211">
        <f>'Staging Table'!BR134*Rates_current!$E$76*100*12</f>
        <v>6352808.8310844703</v>
      </c>
      <c r="P132" s="211">
        <f>'Staging Table'!BS134*Rates_current!$E$77*100*12</f>
        <v>-1048863.9815396653</v>
      </c>
      <c r="Q132" s="212">
        <f>SUMPRODUCT('Staging Table'!BY134:CV134, LS_Demand_Rates_Restatement!$C$5:$Z$5)-IF(Init!$R$12="No",('Staging Table'!DU134*Rates_current!$H$34), 0)</f>
        <v>-89602.125303432607</v>
      </c>
      <c r="R132" s="212">
        <f>SUMPRODUCT('Staging Table'!CW134:DH134, LS_Demand_Rates_Restatement!$C$11:$N$11)*1000</f>
        <v>384123.02239860222</v>
      </c>
      <c r="S132" s="213">
        <f>'Staging Table'!ED134*IF(Init!$R$15="Yes",IF(Init!$R$6=2022,Rates_current!$C$88,Rates_current!$D$88),Rates_current!$H$33)</f>
        <v>0</v>
      </c>
      <c r="T132" s="213">
        <v>0</v>
      </c>
      <c r="U132" s="213">
        <f>IF('Staging Table'!D134=1, 'Staging Table'!BU134*-1,SUM(O132:T132)*'Staging Table'!BU134*-1)</f>
        <v>-404498.1698579613</v>
      </c>
      <c r="V132" s="211">
        <f>'Staging Table'!BX134*Rates_current!$H$32*-1</f>
        <v>-78367.6973</v>
      </c>
      <c r="W132" s="211">
        <f>IF('Staging Table'!C134=1,"",SUM(O132:V132))</f>
        <v>5115599.8794820132</v>
      </c>
      <c r="X132" s="211">
        <f>IF('Staging Table'!C134=1,"",(RT1SC!$C$4*'Staging Table'!BR134*'Staging Table'!$BS$2)+SUM('Staging Table'!BY134:CV134)-IF(Init!$R$12="No",'Staging Table'!DU134, 0))</f>
        <v>156322.19999999998</v>
      </c>
      <c r="Y132" s="95">
        <f>IF('Staging Table'!C134=1,"",IF(X132=0, 0, W132/X132))</f>
        <v>32.724717791087983</v>
      </c>
      <c r="Z132" s="87">
        <f>IF('Staging Table'!C134=1,"",Y132/N132-1)</f>
        <v>-4.0836997511590423E-2</v>
      </c>
      <c r="AA132" s="53">
        <f t="shared" ref="AA132:AA138" ca="1" si="2">IF(Z132="","",RANK(Z132,$Z$4:$Z$138))</f>
        <v>92</v>
      </c>
      <c r="AD132" s="216"/>
      <c r="AE132" s="216"/>
      <c r="AF132" s="220"/>
      <c r="AG132" s="216"/>
      <c r="AH132" s="216"/>
    </row>
    <row r="133" spans="1:34" s="82" customFormat="1">
      <c r="A133" s="83"/>
      <c r="B133" s="24">
        <v>13927</v>
      </c>
      <c r="C133" s="25" t="s">
        <v>238</v>
      </c>
      <c r="D133" s="211">
        <f>IF(Init!$R$9="Yes",'Staging Table'!E135,'Staging Table'!BR135)*Rates_previous!$E$76*100*12</f>
        <v>1021490.0152799999</v>
      </c>
      <c r="E133" s="211">
        <f>IF(Init!$R$9="Yes",'Staging Table'!F135,'Staging Table'!BS135)*Rates_previous!$E$77*100*12</f>
        <v>-103340.2524</v>
      </c>
      <c r="F133" s="212">
        <f>IF(Init!$R$9="Yes",SUMPRODUCT('Staging Table'!L135:AI135,LS_Demand_Rates_Restatement!$C$4:$Z$4)-IF(Init!$R$12="No",('Staging Table'!BH135*Rates_previous!$H$34), 0),SUMPRODUCT('Staging Table'!BY135:CV135,LS_Demand_Rates_Restatement!$C$4:$Z$4)-IF(Init!$R$12="No", 'Staging Table'!DU135*Rates_previous!$H$34, 0))</f>
        <v>68532.378666775621</v>
      </c>
      <c r="G133" s="212">
        <f>IF(Init!$R$9="Yes",SUMPRODUCT('Staging Table'!AJ135:AU135,LS_Demand_Rates_Restatement!$C$10:$N$10),SUMPRODUCT(LS_Demand_Rates_Restatement!$C$10:$N$10,'Staging Table'!CW135:DH135))*1000</f>
        <v>7348.3291346153901</v>
      </c>
      <c r="H133" s="213">
        <f>IF(Init!$R$9="Yes",'Staging Table'!BQ135,'Staging Table'!ED135)*IF(Init!$R$3=2020,Rates_previous!$C$88,Rates_previous!$D$88)</f>
        <v>54703.558908227074</v>
      </c>
      <c r="I133" s="211">
        <f>IF(Init!$R$9="Yes",IF('Staging Table'!$F$1=2020,(SUM('Staging Table'!AX135:BD135)*Rates_previous!$C$87),(SUM('Staging Table'!AX135:BD135)*Rates_previous!$D$87)),IF('Staging Table'!$F$1=2020,(SUM('Staging Table'!DK135:DQ135)*Rates_previous!$C$87),(SUM('Staging Table'!DK135:DQ135)*Rates_previous!$D$87)))</f>
        <v>12530.777963061331</v>
      </c>
      <c r="J133" s="213">
        <f>IF(Init!$R$9="Yes",IF('Staging Table'!D135=1,'Staging Table'!H135*-1,'Staging Table'!H135*SUM(D133:I133)*(-1)),IF('Staging Table'!D135=1,'Staging Table'!BU135*-1,'Staging Table'!BU135*SUM(D133:I133)*(-1)))</f>
        <v>0</v>
      </c>
      <c r="K133" s="211">
        <f>IF(Init!$R$9="Yes",'Staging Table'!K135,'Staging Table'!BX135)*(-1)*Rates_previous!$H$32</f>
        <v>0</v>
      </c>
      <c r="L133" s="211">
        <f>IF('Staging Table'!C135=1,"",SUM(D133:K133))</f>
        <v>1061264.8075526794</v>
      </c>
      <c r="M133" s="211">
        <f>IF('Staging Table'!C135=1,"",IF(Init!$R$9="Yes",(RT1SC!$C$3*'Staging Table'!E135*'Staging Table'!$F$2)+SUM('Staging Table'!L135:AI135)-IF(Init!$R$12="No",'Staging Table'!BH135, 0),X133))</f>
        <v>30012.0989954168</v>
      </c>
      <c r="N133" s="95">
        <f>IF('Staging Table'!C135=1,"",IF(M133=0, 0, L133/M133))</f>
        <v>35.361232405462445</v>
      </c>
      <c r="O133" s="211">
        <f>'Staging Table'!BR135*Rates_current!$E$76*100*12</f>
        <v>1346053.9794223369</v>
      </c>
      <c r="P133" s="211">
        <f>'Staging Table'!BS135*Rates_current!$E$77*100*12</f>
        <v>-222236.74185127555</v>
      </c>
      <c r="Q133" s="212">
        <f>SUMPRODUCT('Staging Table'!BY135:CV135, LS_Demand_Rates_Restatement!$C$5:$Z$5)-IF(Init!$R$12="No",('Staging Table'!DU135*Rates_current!$H$34), 0)</f>
        <v>-89048.39457696749</v>
      </c>
      <c r="R133" s="212">
        <f>SUMPRODUCT('Staging Table'!CW135:DH135, LS_Demand_Rates_Restatement!$C$11:$N$11)*1000</f>
        <v>7475.854834259264</v>
      </c>
      <c r="S133" s="213">
        <f>'Staging Table'!ED135*IF(Init!$R$15="Yes",IF(Init!$R$6=2022,Rates_current!$C$88,Rates_current!$D$88),Rates_current!$H$33)</f>
        <v>-18998.802467435733</v>
      </c>
      <c r="T133" s="213">
        <v>0</v>
      </c>
      <c r="U133" s="213">
        <f>IF('Staging Table'!D135=1, 'Staging Table'!BU135*-1,SUM(O133:T133)*'Staging Table'!BU135*-1)</f>
        <v>0</v>
      </c>
      <c r="V133" s="211">
        <f>'Staging Table'!BX135*Rates_current!$H$32*-1</f>
        <v>0</v>
      </c>
      <c r="W133" s="211">
        <f>IF('Staging Table'!C135=1,"",SUM(O133:V133))</f>
        <v>1023245.8953609174</v>
      </c>
      <c r="X133" s="211">
        <f>IF('Staging Table'!C135=1,"",(RT1SC!$C$4*'Staging Table'!BR135*'Staging Table'!$BS$2)+SUM('Staging Table'!BY135:CV135)-IF(Init!$R$12="No",'Staging Table'!DU135, 0))</f>
        <v>30012.099694364035</v>
      </c>
      <c r="Y133" s="95">
        <f>IF('Staging Table'!C135=1,"",IF(X133=0, 0, W133/X133))</f>
        <v>34.09444543305554</v>
      </c>
      <c r="Z133" s="87">
        <f>IF('Staging Table'!C135=1,"",Y133/N133-1)</f>
        <v>-3.5824174844404366E-2</v>
      </c>
      <c r="AA133" s="53">
        <f t="shared" ca="1" si="2"/>
        <v>57</v>
      </c>
      <c r="AB133"/>
      <c r="AC133"/>
      <c r="AD133" s="216"/>
      <c r="AE133" s="216"/>
      <c r="AF133" s="220"/>
      <c r="AG133" s="216"/>
      <c r="AH133" s="216"/>
    </row>
    <row r="134" spans="1:34">
      <c r="B134" s="3">
        <v>10597</v>
      </c>
      <c r="C134" s="4" t="s">
        <v>136</v>
      </c>
      <c r="D134" s="211">
        <f>IF(Init!$R$9="Yes",'Staging Table'!E136,'Staging Table'!BR136)*Rates_previous!$E$76*100*12</f>
        <v>4160824.9645199999</v>
      </c>
      <c r="E134" s="211">
        <f>IF(Init!$R$9="Yes",'Staging Table'!F136,'Staging Table'!BS136)*Rates_previous!$E$77*100*12</f>
        <v>-420934.80660000001</v>
      </c>
      <c r="F134" s="212">
        <f>IF(Init!$R$9="Yes",SUMPRODUCT('Staging Table'!L136:AI136,LS_Demand_Rates_Restatement!$C$4:$Z$4)-IF(Init!$R$12="No",('Staging Table'!BH136*Rates_previous!$H$34), 0),SUMPRODUCT('Staging Table'!BY136:CV136,LS_Demand_Rates_Restatement!$C$4:$Z$4)-IF(Init!$R$12="No", 'Staging Table'!DU136*Rates_previous!$H$34, 0))</f>
        <v>52845.65749875542</v>
      </c>
      <c r="G134" s="212">
        <f>IF(Init!$R$9="Yes",SUMPRODUCT('Staging Table'!AJ136:AU136,LS_Demand_Rates_Restatement!$C$10:$N$10),SUMPRODUCT(LS_Demand_Rates_Restatement!$C$10:$N$10,'Staging Table'!CW136:DH136))*1000</f>
        <v>229715.7172985042</v>
      </c>
      <c r="H134" s="213">
        <f>IF(Init!$R$9="Yes",'Staging Table'!BQ136,'Staging Table'!ED136)*IF(Init!$R$3=2020,Rates_previous!$C$88,Rates_previous!$D$88)</f>
        <v>-3438.7628846319576</v>
      </c>
      <c r="I134" s="211">
        <f>IF(Init!$R$9="Yes",IF('Staging Table'!$F$1=2020,(SUM('Staging Table'!AX136:BD136)*Rates_previous!$C$87),(SUM('Staging Table'!AX136:BD136)*Rates_previous!$D$87)),IF('Staging Table'!$F$1=2020,(SUM('Staging Table'!DK136:DQ136)*Rates_previous!$C$87),(SUM('Staging Table'!DK136:DQ136)*Rates_previous!$D$87)))</f>
        <v>51041.491344652102</v>
      </c>
      <c r="J134" s="213">
        <f>IF(Init!$R$9="Yes",IF('Staging Table'!D136=1,'Staging Table'!H136*-1,'Staging Table'!H136*SUM(D134:I134)*(-1)),IF('Staging Table'!D136=1,'Staging Table'!BU136*-1,'Staging Table'!BU136*SUM(D134:I134)*(-1)))</f>
        <v>0</v>
      </c>
      <c r="K134" s="211">
        <f>IF(Init!$R$9="Yes",'Staging Table'!K136,'Staging Table'!BX136)*(-1)*Rates_previous!$H$32</f>
        <v>0</v>
      </c>
      <c r="L134" s="211">
        <f>IF('Staging Table'!C136=1,"",SUM(D134:K134))</f>
        <v>4070054.26117728</v>
      </c>
      <c r="M134" s="211">
        <f>IF('Staging Table'!C136=1,"",IF(Init!$R$9="Yes",(RT1SC!$C$3*'Staging Table'!E136*'Staging Table'!$F$2)+SUM('Staging Table'!L136:AI136)-IF(Init!$R$12="No",'Staging Table'!BH136, 0),X134))</f>
        <v>107806.0430546212</v>
      </c>
      <c r="N134" s="95">
        <f>IF('Staging Table'!C136=1,"",IF(M134=0, 0, L134/M134))</f>
        <v>37.75348900539035</v>
      </c>
      <c r="O134" s="211">
        <f>'Staging Table'!BR136*Rates_current!$E$76*100*12</f>
        <v>4381330.1628444847</v>
      </c>
      <c r="P134" s="211">
        <f>'Staging Table'!BS136*Rates_current!$E$77*100*12</f>
        <v>-723368.12286171457</v>
      </c>
      <c r="Q134" s="212">
        <f>SUMPRODUCT('Staging Table'!BY136:CV136, LS_Demand_Rates_Restatement!$C$5:$Z$5)-IF(Init!$R$12="No",('Staging Table'!DU136*Rates_current!$H$34), 0)</f>
        <v>50016.197279715874</v>
      </c>
      <c r="R134" s="212">
        <f>SUMPRODUCT('Staging Table'!CW136:DH136, LS_Demand_Rates_Restatement!$C$11:$N$11)*1000</f>
        <v>213305.69469840633</v>
      </c>
      <c r="S134" s="213">
        <f>'Staging Table'!ED136*IF(Init!$R$15="Yes",IF(Init!$R$6=2022,Rates_current!$C$88,Rates_current!$D$88),Rates_current!$H$33)</f>
        <v>-20.013212984249257</v>
      </c>
      <c r="T134" s="213">
        <v>0</v>
      </c>
      <c r="U134" s="213">
        <f>IF('Staging Table'!D136=1, 'Staging Table'!BU136*-1,SUM(O134:T134)*'Staging Table'!BU136*-1)</f>
        <v>0</v>
      </c>
      <c r="V134" s="211">
        <f>'Staging Table'!BX136*Rates_current!$H$32*-1</f>
        <v>0</v>
      </c>
      <c r="W134" s="211">
        <f>IF('Staging Table'!C136=1,"",SUM(O134:V134))</f>
        <v>3921263.918747908</v>
      </c>
      <c r="X134" s="211">
        <f>IF('Staging Table'!C136=1,"",(RT1SC!$C$4*'Staging Table'!BR136*'Staging Table'!$BS$2)+SUM('Staging Table'!BY136:CV136)-IF(Init!$R$12="No",'Staging Table'!DU136, 0))</f>
        <v>107806.04451505987</v>
      </c>
      <c r="Y134" s="95">
        <f>IF('Staging Table'!C136=1,"",IF(X134=0, 0, W134/X134))</f>
        <v>36.373321518165248</v>
      </c>
      <c r="Z134" s="87">
        <f>IF('Staging Table'!C136=1,"",Y134/N134-1)</f>
        <v>-3.6557349362546177E-2</v>
      </c>
      <c r="AA134" s="53">
        <f t="shared" ca="1" si="2"/>
        <v>66</v>
      </c>
      <c r="AD134" s="216"/>
      <c r="AE134" s="216"/>
      <c r="AF134" s="220"/>
      <c r="AG134" s="216"/>
      <c r="AH134" s="216"/>
    </row>
    <row r="135" spans="1:34">
      <c r="B135" s="3">
        <v>10706</v>
      </c>
      <c r="C135" s="4" t="s">
        <v>137</v>
      </c>
      <c r="D135" s="211">
        <f>IF(Init!$R$9="Yes",'Staging Table'!E137,'Staging Table'!BR137)*Rates_previous!$E$76*100*12</f>
        <v>5814982.8301200001</v>
      </c>
      <c r="E135" s="211">
        <f>IF(Init!$R$9="Yes",'Staging Table'!F137,'Staging Table'!BS137)*Rates_previous!$E$77*100*12</f>
        <v>-588279.65460000001</v>
      </c>
      <c r="F135" s="212">
        <f>IF(Init!$R$9="Yes",SUMPRODUCT('Staging Table'!L137:AI137,LS_Demand_Rates_Restatement!$C$4:$Z$4)-IF(Init!$R$12="No",('Staging Table'!BH137*Rates_previous!$H$34), 0),SUMPRODUCT('Staging Table'!BY137:CV137,LS_Demand_Rates_Restatement!$C$4:$Z$4)-IF(Init!$R$12="No", 'Staging Table'!DU137*Rates_previous!$H$34, 0))</f>
        <v>-1053323.3796771036</v>
      </c>
      <c r="G135" s="212">
        <f>IF(Init!$R$9="Yes",SUMPRODUCT('Staging Table'!AJ137:AU137,LS_Demand_Rates_Restatement!$C$10:$N$10),SUMPRODUCT(LS_Demand_Rates_Restatement!$C$10:$N$10,'Staging Table'!CW137:DH137))*1000</f>
        <v>362461.46137980773</v>
      </c>
      <c r="H135" s="213">
        <f>IF(Init!$R$9="Yes",'Staging Table'!BQ137,'Staging Table'!ED137)*IF(Init!$R$3=2020,Rates_previous!$C$88,Rates_previous!$D$88)</f>
        <v>-197191.75878171463</v>
      </c>
      <c r="I135" s="211">
        <f>IF(Init!$R$9="Yes",IF('Staging Table'!$F$1=2020,(SUM('Staging Table'!AX137:BD137)*Rates_previous!$C$87),(SUM('Staging Table'!AX137:BD137)*Rates_previous!$D$87)),IF('Staging Table'!$F$1=2020,(SUM('Staging Table'!DK137:DQ137)*Rates_previous!$C$87),(SUM('Staging Table'!DK137:DQ137)*Rates_previous!$D$87)))</f>
        <v>71333.304891163702</v>
      </c>
      <c r="J135" s="213">
        <f>IF(Init!$R$9="Yes",IF('Staging Table'!D137=1,'Staging Table'!H137*-1,'Staging Table'!H137*SUM(D135:I135)*(-1)),IF('Staging Table'!D137=1,'Staging Table'!BU137*-1,'Staging Table'!BU137*SUM(D135:I135)*(-1)))</f>
        <v>0</v>
      </c>
      <c r="K135" s="211">
        <f>IF(Init!$R$9="Yes",'Staging Table'!K137,'Staging Table'!BX137)*(-1)*Rates_previous!$H$32</f>
        <v>0</v>
      </c>
      <c r="L135" s="211">
        <f>IF('Staging Table'!C137=1,"",SUM(D135:K135))</f>
        <v>4409982.8033321528</v>
      </c>
      <c r="M135" s="211">
        <f>IF('Staging Table'!C137=1,"",IF(Init!$R$9="Yes",(RT1SC!$C$3*'Staging Table'!E137*'Staging Table'!$F$2)+SUM('Staging Table'!L137:AI137)-IF(Init!$R$12="No",'Staging Table'!BH137, 0),X135))</f>
        <v>97181.581666557177</v>
      </c>
      <c r="N135" s="95">
        <f>IF('Staging Table'!C137=1,"",IF(M135=0, 0, L135/M135))</f>
        <v>45.378792233114559</v>
      </c>
      <c r="O135" s="211">
        <f>'Staging Table'!BR137*Rates_current!$E$76*100*12</f>
        <v>5867433.2290266016</v>
      </c>
      <c r="P135" s="211">
        <f>'Staging Table'!BS137*Rates_current!$E$77*100*12</f>
        <v>-968727.30498399411</v>
      </c>
      <c r="Q135" s="212">
        <f>SUMPRODUCT('Staging Table'!BY137:CV137, LS_Demand_Rates_Restatement!$C$5:$Z$5)-IF(Init!$R$12="No",('Staging Table'!DU137*Rates_current!$H$34), 0)</f>
        <v>-204361.62183163932</v>
      </c>
      <c r="R135" s="212">
        <f>SUMPRODUCT('Staging Table'!CW137:DH137, LS_Demand_Rates_Restatement!$C$11:$N$11)*1000</f>
        <v>331878.83732225787</v>
      </c>
      <c r="S135" s="213">
        <f>'Staging Table'!ED137*IF(Init!$R$15="Yes",IF(Init!$R$6=2022,Rates_current!$C$88,Rates_current!$D$88),Rates_current!$H$33)</f>
        <v>-36683.07511329621</v>
      </c>
      <c r="T135" s="213">
        <v>0</v>
      </c>
      <c r="U135" s="213">
        <f>IF('Staging Table'!D137=1, 'Staging Table'!BU137*-1,SUM(O135:T135)*'Staging Table'!BU137*-1)</f>
        <v>0</v>
      </c>
      <c r="V135" s="211">
        <f>'Staging Table'!BX137*Rates_current!$H$32*-1</f>
        <v>0</v>
      </c>
      <c r="W135" s="211">
        <f>IF('Staging Table'!C137=1,"",SUM(O135:V135))</f>
        <v>4989540.0644199289</v>
      </c>
      <c r="X135" s="211">
        <f>IF('Staging Table'!C137=1,"",(RT1SC!$C$4*'Staging Table'!BR137*'Staging Table'!$BS$2)+SUM('Staging Table'!BY137:CV137)-IF(Init!$R$12="No",'Staging Table'!DU137, 0))</f>
        <v>138378.54338571258</v>
      </c>
      <c r="Y135" s="95">
        <f>IF('Staging Table'!C137=1,"",IF(X135=0, 0, W135/X135))</f>
        <v>36.057180125911728</v>
      </c>
      <c r="Z135" s="87">
        <f>IF('Staging Table'!C137=1,"",Y135/N135-1)</f>
        <v>-0.20541780969658574</v>
      </c>
      <c r="AA135" s="53">
        <f t="shared" ca="1" si="2"/>
        <v>118</v>
      </c>
      <c r="AD135" s="216"/>
      <c r="AE135" s="216"/>
      <c r="AF135" s="220"/>
      <c r="AG135" s="216"/>
      <c r="AH135" s="216"/>
    </row>
    <row r="136" spans="1:34">
      <c r="B136" s="3">
        <v>11680</v>
      </c>
      <c r="C136" s="4" t="s">
        <v>138</v>
      </c>
      <c r="D136" s="211">
        <f>IF(Init!$R$9="Yes",'Staging Table'!E138,'Staging Table'!BR138)*Rates_previous!$E$76*100*12</f>
        <v>2129728.25196</v>
      </c>
      <c r="E136" s="211">
        <f>IF(Init!$R$9="Yes",'Staging Table'!F138,'Staging Table'!BS138)*Rates_previous!$E$77*100*12</f>
        <v>-215456.49180000002</v>
      </c>
      <c r="F136" s="212">
        <f>IF(Init!$R$9="Yes",SUMPRODUCT('Staging Table'!L138:AI138,LS_Demand_Rates_Restatement!$C$4:$Z$4)-IF(Init!$R$12="No",('Staging Table'!BH138*Rates_previous!$H$34), 0),SUMPRODUCT('Staging Table'!BY138:CV138,LS_Demand_Rates_Restatement!$C$4:$Z$4)-IF(Init!$R$12="No", 'Staging Table'!DU138*Rates_previous!$H$34, 0))</f>
        <v>33061.29221860363</v>
      </c>
      <c r="G136" s="212">
        <f>IF(Init!$R$9="Yes",SUMPRODUCT('Staging Table'!AJ138:AU138,LS_Demand_Rates_Restatement!$C$10:$N$10),SUMPRODUCT(LS_Demand_Rates_Restatement!$C$10:$N$10,'Staging Table'!CW138:DH138))*1000</f>
        <v>44788.85069704413</v>
      </c>
      <c r="H136" s="213">
        <f>IF(Init!$R$9="Yes",'Staging Table'!BQ138,'Staging Table'!ED138)*IF(Init!$R$3=2020,Rates_previous!$C$88,Rates_previous!$D$88)</f>
        <v>0</v>
      </c>
      <c r="I136" s="211">
        <f>IF(Init!$R$9="Yes",IF('Staging Table'!$F$1=2020,(SUM('Staging Table'!AX138:BD138)*Rates_previous!$C$87),(SUM('Staging Table'!AX138:BD138)*Rates_previous!$D$87)),IF('Staging Table'!$F$1=2020,(SUM('Staging Table'!DK138:DQ138)*Rates_previous!$C$87),(SUM('Staging Table'!DK138:DQ138)*Rates_previous!$D$87)))</f>
        <v>26125.709941133689</v>
      </c>
      <c r="J136" s="213">
        <f>IF(Init!$R$9="Yes",IF('Staging Table'!D138=1,'Staging Table'!H138*-1,'Staging Table'!H138*SUM(D136:I136)*(-1)),IF('Staging Table'!D138=1,'Staging Table'!BU138*-1,'Staging Table'!BU138*SUM(D136:I136)*(-1)))</f>
        <v>0</v>
      </c>
      <c r="K136" s="211">
        <f>IF(Init!$R$9="Yes",'Staging Table'!K138,'Staging Table'!BX138)*(-1)*Rates_previous!$H$32</f>
        <v>0</v>
      </c>
      <c r="L136" s="211">
        <f>IF('Staging Table'!C138=1,"",SUM(D136:K136))</f>
        <v>2018247.6130167814</v>
      </c>
      <c r="M136" s="211">
        <f>IF('Staging Table'!C138=1,"",IF(Init!$R$9="Yes",(RT1SC!$C$3*'Staging Table'!E138*'Staging Table'!$F$2)+SUM('Staging Table'!L138:AI138)-IF(Init!$R$12="No",'Staging Table'!BH138, 0),X136))</f>
        <v>55295.28</v>
      </c>
      <c r="N136" s="95">
        <f>IF('Staging Table'!C138=1,"",IF(M136=0, 0, L136/M136))</f>
        <v>36.499455523451211</v>
      </c>
      <c r="O136" s="211">
        <f>'Staging Table'!BR138*Rates_current!$E$76*100*12</f>
        <v>2149177.9375704583</v>
      </c>
      <c r="P136" s="211">
        <f>'Staging Table'!BS138*Rates_current!$E$77*100*12</f>
        <v>-354834.43443276884</v>
      </c>
      <c r="Q136" s="212">
        <f>SUMPRODUCT('Staging Table'!BY138:CV138, LS_Demand_Rates_Restatement!$C$5:$Z$5)-IF(Init!$R$12="No",('Staging Table'!DU138*Rates_current!$H$34), 0)</f>
        <v>30841.898933881472</v>
      </c>
      <c r="R136" s="212">
        <f>SUMPRODUCT('Staging Table'!CW138:DH138, LS_Demand_Rates_Restatement!$C$11:$N$11)*1000</f>
        <v>40680.343949537026</v>
      </c>
      <c r="S136" s="213">
        <f>'Staging Table'!ED138*IF(Init!$R$15="Yes",IF(Init!$R$6=2022,Rates_current!$C$88,Rates_current!$D$88),Rates_current!$H$33)</f>
        <v>0</v>
      </c>
      <c r="T136" s="213">
        <v>0</v>
      </c>
      <c r="U136" s="213">
        <f>IF('Staging Table'!D138=1, 'Staging Table'!BU138*-1,SUM(O136:T136)*'Staging Table'!BU138*-1)</f>
        <v>0</v>
      </c>
      <c r="V136" s="211">
        <f>'Staging Table'!BX138*Rates_current!$H$32*-1</f>
        <v>0</v>
      </c>
      <c r="W136" s="211">
        <f>IF('Staging Table'!C138=1,"",SUM(O136:V136))</f>
        <v>1865865.746021108</v>
      </c>
      <c r="X136" s="211">
        <f>IF('Staging Table'!C138=1,"",(RT1SC!$C$4*'Staging Table'!BR138*'Staging Table'!$BS$2)+SUM('Staging Table'!BY138:CV138)-IF(Init!$R$12="No",'Staging Table'!DU138, 0))</f>
        <v>52884.12</v>
      </c>
      <c r="Y136" s="95">
        <f>IF('Staging Table'!C138=1,"",IF(X136=0, 0, W136/X136))</f>
        <v>35.282155513244959</v>
      </c>
      <c r="Z136" s="87">
        <f>IF('Staging Table'!C138=1,"",Y136/N136-1)</f>
        <v>-3.3351182716249705E-2</v>
      </c>
      <c r="AA136" s="53">
        <f t="shared" ca="1" si="2"/>
        <v>36</v>
      </c>
      <c r="AD136" s="216"/>
      <c r="AE136" s="216"/>
      <c r="AF136" s="220"/>
      <c r="AG136" s="216"/>
      <c r="AH136" s="216"/>
    </row>
    <row r="137" spans="1:34">
      <c r="B137" s="3">
        <v>12026</v>
      </c>
      <c r="C137" s="4" t="s">
        <v>139</v>
      </c>
      <c r="D137" s="211">
        <f>IF(Init!$R$9="Yes",'Staging Table'!E139,'Staging Table'!BR139)*Rates_previous!$E$76*100*12</f>
        <v>15050935.246080004</v>
      </c>
      <c r="E137" s="211">
        <f>IF(Init!$R$9="Yes",'Staging Table'!F139,'Staging Table'!BS139)*Rates_previous!$E$77*100*12</f>
        <v>-1522645.7664000001</v>
      </c>
      <c r="F137" s="212">
        <f>IF(Init!$R$9="Yes",SUMPRODUCT('Staging Table'!L139:AI139,LS_Demand_Rates_Restatement!$C$4:$Z$4)-IF(Init!$R$12="No",('Staging Table'!BH139*Rates_previous!$H$34), 0),SUMPRODUCT('Staging Table'!BY139:CV139,LS_Demand_Rates_Restatement!$C$4:$Z$4)-IF(Init!$R$12="No", 'Staging Table'!DU139*Rates_previous!$H$34, 0))</f>
        <v>363146.16014510347</v>
      </c>
      <c r="G137" s="212">
        <f>IF(Init!$R$9="Yes",SUMPRODUCT('Staging Table'!AJ139:AU139,LS_Demand_Rates_Restatement!$C$10:$N$10),SUMPRODUCT(LS_Demand_Rates_Restatement!$C$10:$N$10,'Staging Table'!CW139:DH139))*1000</f>
        <v>705936.95166249969</v>
      </c>
      <c r="H137" s="213">
        <f>IF(Init!$R$9="Yes",'Staging Table'!BQ139,'Staging Table'!ED139)*IF(Init!$R$3=2020,Rates_previous!$C$88,Rates_previous!$D$88)</f>
        <v>61763.290560000052</v>
      </c>
      <c r="I137" s="211">
        <f>IF(Init!$R$9="Yes",IF('Staging Table'!$F$1=2020,(SUM('Staging Table'!AX139:BD139)*Rates_previous!$C$87),(SUM('Staging Table'!AX139:BD139)*Rates_previous!$D$87)),IF('Staging Table'!$F$1=2020,(SUM('Staging Table'!DK139:DQ139)*Rates_previous!$C$87),(SUM('Staging Table'!DK139:DQ139)*Rates_previous!$D$87)))</f>
        <v>184632.1793496389</v>
      </c>
      <c r="J137" s="213">
        <f>IF(Init!$R$9="Yes",IF('Staging Table'!D139=1,'Staging Table'!H139*-1,'Staging Table'!H139*SUM(D137:I137)*(-1)),IF('Staging Table'!D139=1,'Staging Table'!BU139*-1,'Staging Table'!BU139*SUM(D137:I137)*(-1)))</f>
        <v>0</v>
      </c>
      <c r="K137" s="211">
        <f>IF(Init!$R$9="Yes",'Staging Table'!K139,'Staging Table'!BX139)*(-1)*Rates_previous!$H$32</f>
        <v>0</v>
      </c>
      <c r="L137" s="211">
        <f>IF('Staging Table'!C139=1,"",SUM(D137:K137))</f>
        <v>14843768.061397245</v>
      </c>
      <c r="M137" s="211">
        <f>IF('Staging Table'!C139=1,"",IF(Init!$R$9="Yes",(RT1SC!$C$3*'Staging Table'!E139*'Staging Table'!$F$2)+SUM('Staging Table'!L139:AI139)-IF(Init!$R$12="No",'Staging Table'!BH139, 0),X137))</f>
        <v>394700.25599999999</v>
      </c>
      <c r="N137" s="95">
        <f>IF('Staging Table'!C139=1,"",IF(M137=0, 0, L137/M137))</f>
        <v>37.607698084181749</v>
      </c>
      <c r="O137" s="211">
        <f>'Staging Table'!BR139*Rates_current!$E$76*100*12</f>
        <v>15340171.201797262</v>
      </c>
      <c r="P137" s="211">
        <f>'Staging Table'!BS139*Rates_current!$E$77*100*12</f>
        <v>-2532699.07406777</v>
      </c>
      <c r="Q137" s="212">
        <f>SUMPRODUCT('Staging Table'!BY139:CV139, LS_Demand_Rates_Restatement!$C$5:$Z$5)-IF(Init!$R$12="No",('Staging Table'!DU139*Rates_current!$H$34), 0)</f>
        <v>214020.41352636705</v>
      </c>
      <c r="R137" s="212">
        <f>SUMPRODUCT('Staging Table'!CW139:DH139, LS_Demand_Rates_Restatement!$C$11:$N$11)*1000</f>
        <v>654303.1429245458</v>
      </c>
      <c r="S137" s="213">
        <f>'Staging Table'!ED139*IF(Init!$R$15="Yes",IF(Init!$R$6=2022,Rates_current!$C$88,Rates_current!$D$88),Rates_current!$H$33)</f>
        <v>0</v>
      </c>
      <c r="T137" s="213">
        <v>0</v>
      </c>
      <c r="U137" s="213">
        <f>IF('Staging Table'!D139=1, 'Staging Table'!BU139*-1,SUM(O137:T137)*'Staging Table'!BU139*-1)</f>
        <v>0</v>
      </c>
      <c r="V137" s="211">
        <f>'Staging Table'!BX139*Rates_current!$H$32*-1</f>
        <v>0</v>
      </c>
      <c r="W137" s="211">
        <f>IF('Staging Table'!C139=1,"",SUM(O137:V137))</f>
        <v>13675795.684180405</v>
      </c>
      <c r="X137" s="211">
        <f>IF('Staging Table'!C139=1,"",(RT1SC!$C$4*'Staging Table'!BR139*'Staging Table'!$BS$2)+SUM('Staging Table'!BY139:CV139)-IF(Init!$R$12="No",'Staging Table'!DU139, 0))</f>
        <v>376338.5403096524</v>
      </c>
      <c r="Y137" s="95">
        <f>IF('Staging Table'!C139=1,"",IF(X137=0, 0, W137/X137))</f>
        <v>36.339078301488662</v>
      </c>
      <c r="Z137" s="87">
        <f>IF('Staging Table'!C139=1,"",Y137/N137-1)</f>
        <v>-3.3732981472393897E-2</v>
      </c>
      <c r="AA137" s="53">
        <f t="shared" ca="1" si="2"/>
        <v>43</v>
      </c>
      <c r="AD137" s="216"/>
      <c r="AE137" s="216"/>
      <c r="AF137" s="220"/>
      <c r="AG137" s="216"/>
      <c r="AH137" s="216"/>
    </row>
    <row r="138" spans="1:34">
      <c r="B138" s="3">
        <v>10298</v>
      </c>
      <c r="C138" s="4" t="s">
        <v>140</v>
      </c>
      <c r="D138" s="211">
        <f>IF(Init!$R$9="Yes",'Staging Table'!E140,'Staging Table'!BR140)*Rates_previous!$E$76*100*12</f>
        <v>144850754.09555998</v>
      </c>
      <c r="E138" s="211">
        <f>IF(Init!$R$9="Yes",'Staging Table'!F140,'Staging Table'!BS140)*Rates_previous!$E$77*100*12</f>
        <v>-14653998.829800002</v>
      </c>
      <c r="F138" s="212">
        <f>IF(Init!$R$9="Yes",SUMPRODUCT('Staging Table'!L140:AI140,LS_Demand_Rates_Restatement!$C$4:$Z$4)-IF(Init!$R$12="No",('Staging Table'!BH140*Rates_previous!$H$34), 0),SUMPRODUCT('Staging Table'!BY140:CV140,LS_Demand_Rates_Restatement!$C$4:$Z$4)-IF(Init!$R$12="No", 'Staging Table'!DU140*Rates_previous!$H$34, 0))</f>
        <v>2737901.5003183205</v>
      </c>
      <c r="G138" s="212">
        <f>IF(Init!$R$9="Yes",SUMPRODUCT('Staging Table'!AJ140:AU140,LS_Demand_Rates_Restatement!$C$10:$N$10),SUMPRODUCT(LS_Demand_Rates_Restatement!$C$10:$N$10,'Staging Table'!CW140:DH140))*1000</f>
        <v>8493359.9910981804</v>
      </c>
      <c r="H138" s="213">
        <f>IF(Init!$R$9="Yes",'Staging Table'!BQ140,'Staging Table'!ED140)*IF(Init!$R$3=2020,Rates_previous!$C$88,Rates_previous!$D$88)</f>
        <v>0</v>
      </c>
      <c r="I138" s="211">
        <f>IF(Init!$R$9="Yes",IF('Staging Table'!$F$1=2020,(SUM('Staging Table'!AX140:BD140)*Rates_previous!$C$87),(SUM('Staging Table'!AX140:BD140)*Rates_previous!$D$87)),IF('Staging Table'!$F$1=2020,(SUM('Staging Table'!DK140:DQ140)*Rates_previous!$C$87),(SUM('Staging Table'!DK140:DQ140)*Rates_previous!$D$87)))</f>
        <v>1776906.881322697</v>
      </c>
      <c r="J138" s="213">
        <f>IF(Init!$R$9="Yes",IF('Staging Table'!D140=1,'Staging Table'!H140*-1,'Staging Table'!H140*SUM(D138:I138)*(-1)),IF('Staging Table'!D140=1,'Staging Table'!BU140*-1,'Staging Table'!BU140*SUM(D138:I138)*(-1)))</f>
        <v>-9760402.0505440664</v>
      </c>
      <c r="K138" s="211">
        <f>IF(Init!$R$9="Yes",'Staging Table'!K140,'Staging Table'!BX140)*(-1)*Rates_previous!$H$32</f>
        <v>-2427338.4752099998</v>
      </c>
      <c r="L138" s="211">
        <f>IF('Staging Table'!C140=1,"",SUM(D138:K138))</f>
        <v>131017183.11274511</v>
      </c>
      <c r="M138" s="211">
        <f>IF('Staging Table'!C140=1,"",IF(Init!$R$9="Yes",(RT1SC!$C$3*'Staging Table'!E140*'Staging Table'!$F$2)+SUM('Staging Table'!L140:AI140)-IF(Init!$R$12="No",'Staging Table'!BH140, 0),X138))</f>
        <v>3804780.8160000001</v>
      </c>
      <c r="N138" s="95">
        <f>IF('Staging Table'!C140=1,"",IF(M138=0, 0, L138/M138))</f>
        <v>34.434883229485116</v>
      </c>
      <c r="O138" s="211">
        <f>'Staging Table'!BR140*Rates_current!$E$76*100*12</f>
        <v>147707421.66675523</v>
      </c>
      <c r="P138" s="211">
        <f>'Staging Table'!BS140*Rates_current!$E$77*100*12</f>
        <v>-24386849.740275323</v>
      </c>
      <c r="Q138" s="212">
        <f>SUMPRODUCT('Staging Table'!BY140:CV140, LS_Demand_Rates_Restatement!$C$5:$Z$5)-IF(Init!$R$12="No",('Staging Table'!DU140*Rates_current!$H$34), 0)</f>
        <v>1745456.24642759</v>
      </c>
      <c r="R138" s="212">
        <f>SUMPRODUCT('Staging Table'!CW140:DH140, LS_Demand_Rates_Restatement!$C$11:$N$11)*1000</f>
        <v>7880534.31204974</v>
      </c>
      <c r="S138" s="213">
        <f>'Staging Table'!ED140*IF(Init!$R$15="Yes",IF(Init!$R$6=2022,Rates_current!$C$88,Rates_current!$D$88),Rates_current!$H$33)</f>
        <v>0</v>
      </c>
      <c r="T138" s="213">
        <v>0</v>
      </c>
      <c r="U138" s="213">
        <f>IF('Staging Table'!D140=1, 'Staging Table'!BU140*-1,SUM(O138:T138)*'Staging Table'!BU140*-1)</f>
        <v>-9700641.6588256843</v>
      </c>
      <c r="V138" s="211">
        <f>'Staging Table'!BX140*Rates_current!$H$32*-1</f>
        <v>-2381457.1899000001</v>
      </c>
      <c r="W138" s="211">
        <f>IF('Staging Table'!C140=1,"",SUM(O138:V138))</f>
        <v>120864463.63623157</v>
      </c>
      <c r="X138" s="211">
        <f>IF('Staging Table'!C140=1,"",(RT1SC!$C$4*'Staging Table'!BR140*'Staging Table'!$BS$2)+SUM('Staging Table'!BY140:CV140)-IF(Init!$R$12="No",'Staging Table'!DU140, 0))</f>
        <v>3638737.56</v>
      </c>
      <c r="Y138" s="95">
        <f>IF('Staging Table'!C140=1,"",IF(X138=0, 0, W138/X138))</f>
        <v>33.216043103760299</v>
      </c>
      <c r="Z138" s="87">
        <f>IF('Staging Table'!C140=1,"",Y138/N138-1)</f>
        <v>-3.5395506283615763E-2</v>
      </c>
      <c r="AA138" s="53">
        <f t="shared" ca="1" si="2"/>
        <v>53</v>
      </c>
      <c r="AD138" s="216"/>
      <c r="AE138" s="216"/>
      <c r="AF138" s="220"/>
      <c r="AG138" s="216"/>
      <c r="AH138" s="216"/>
    </row>
    <row r="139" spans="1:34">
      <c r="B139" s="2"/>
      <c r="C139" s="2"/>
      <c r="D139" s="2"/>
      <c r="E139" s="2"/>
      <c r="F139" s="2"/>
      <c r="G139" s="2"/>
      <c r="H139" s="2"/>
      <c r="I139" s="251"/>
      <c r="J139" s="202"/>
      <c r="K139" s="2"/>
      <c r="L139" s="2"/>
      <c r="O139" s="2"/>
      <c r="P139" s="2"/>
      <c r="Q139" s="83"/>
      <c r="R139" s="2"/>
      <c r="S139" s="2"/>
      <c r="T139" s="251"/>
      <c r="U139" s="2"/>
      <c r="V139" s="2"/>
      <c r="W139" s="2"/>
      <c r="AD139" s="216"/>
      <c r="AE139" s="216"/>
      <c r="AF139" s="220"/>
      <c r="AG139" s="216"/>
      <c r="AH139" s="216"/>
    </row>
    <row r="140" spans="1:34">
      <c r="A140" s="18"/>
      <c r="B140" s="2"/>
      <c r="C140" s="2"/>
      <c r="D140" s="2"/>
      <c r="E140" s="2"/>
      <c r="F140" s="2"/>
      <c r="G140" s="2"/>
      <c r="H140" s="2"/>
      <c r="I140" s="251"/>
      <c r="J140" s="202"/>
      <c r="K140" s="2"/>
      <c r="L140" s="252"/>
      <c r="M140" s="252"/>
      <c r="O140" s="2"/>
      <c r="P140" s="2"/>
      <c r="Q140" s="83"/>
      <c r="R140" s="2"/>
      <c r="S140" s="2"/>
      <c r="T140" s="251"/>
      <c r="U140" s="2"/>
      <c r="V140" s="2"/>
      <c r="W140" s="252"/>
      <c r="X140" s="252"/>
      <c r="Z140" s="420"/>
      <c r="AD140" s="216"/>
      <c r="AE140" s="216"/>
      <c r="AF140" s="220"/>
      <c r="AG140" s="216"/>
      <c r="AH140" s="216"/>
    </row>
    <row r="141" spans="1:34">
      <c r="A141" s="18"/>
      <c r="D141" s="2"/>
      <c r="E141" s="317"/>
      <c r="F141" s="2"/>
      <c r="G141" s="2"/>
      <c r="H141" s="2"/>
      <c r="I141" s="251"/>
      <c r="J141" s="202"/>
      <c r="K141" s="2"/>
      <c r="L141" s="2"/>
      <c r="O141" s="2"/>
      <c r="P141" s="2"/>
      <c r="Q141" s="83"/>
      <c r="R141" s="2"/>
      <c r="S141" s="2"/>
      <c r="T141" s="251"/>
      <c r="U141" s="2"/>
      <c r="V141" s="2"/>
      <c r="W141" s="2"/>
      <c r="AD141" s="216"/>
      <c r="AE141" s="216"/>
      <c r="AF141" s="220"/>
      <c r="AG141" s="216"/>
      <c r="AH141" s="216"/>
    </row>
    <row r="142" spans="1:34">
      <c r="A142" s="18"/>
      <c r="B142" s="2"/>
      <c r="C142" s="2"/>
      <c r="D142" s="2"/>
      <c r="E142" s="317"/>
      <c r="F142" s="2"/>
      <c r="G142" s="2"/>
      <c r="H142" s="2"/>
      <c r="I142" s="251"/>
      <c r="J142" s="202"/>
      <c r="K142" s="2"/>
      <c r="L142" s="2"/>
      <c r="O142" s="2"/>
      <c r="P142" s="2"/>
      <c r="Q142" s="83"/>
      <c r="R142" s="2"/>
      <c r="S142" s="2"/>
      <c r="T142" s="251"/>
      <c r="U142" s="2"/>
      <c r="V142" s="2"/>
      <c r="W142" s="2"/>
    </row>
    <row r="143" spans="1:34">
      <c r="B143" s="2"/>
      <c r="C143" s="2"/>
      <c r="D143" s="2"/>
      <c r="E143" s="2"/>
      <c r="F143" s="2"/>
      <c r="G143" s="2"/>
      <c r="H143" s="2"/>
      <c r="I143" s="251"/>
      <c r="J143" s="202"/>
      <c r="K143" s="2"/>
      <c r="L143" s="2"/>
      <c r="O143" s="2"/>
      <c r="P143" s="2"/>
      <c r="Q143" s="83"/>
      <c r="R143" s="2"/>
      <c r="S143" s="96"/>
      <c r="T143" s="96"/>
      <c r="U143" s="2"/>
      <c r="V143" s="2"/>
      <c r="W143" s="2"/>
    </row>
    <row r="144" spans="1:34">
      <c r="B144" s="3"/>
      <c r="C144" s="4"/>
      <c r="G144" s="44"/>
    </row>
    <row r="145" spans="2:3">
      <c r="B145" s="3"/>
      <c r="C145" s="4"/>
    </row>
    <row r="146" spans="2:3">
      <c r="B146" s="3"/>
      <c r="C146" s="4"/>
    </row>
    <row r="147" spans="2:3">
      <c r="B147" s="3"/>
      <c r="C147" s="4"/>
    </row>
    <row r="148" spans="2:3">
      <c r="B148" s="3"/>
      <c r="C148" s="4"/>
    </row>
    <row r="149" spans="2:3">
      <c r="B149" s="3"/>
      <c r="C149" s="4"/>
    </row>
    <row r="150" spans="2:3">
      <c r="B150" s="3"/>
      <c r="C150" s="4"/>
    </row>
    <row r="151" spans="2:3">
      <c r="B151" s="3"/>
      <c r="C151" s="4"/>
    </row>
    <row r="152" spans="2:3">
      <c r="B152" s="3"/>
      <c r="C152" s="4"/>
    </row>
    <row r="153" spans="2:3">
      <c r="B153" s="3"/>
      <c r="C153" s="4"/>
    </row>
    <row r="154" spans="2:3">
      <c r="B154" s="3"/>
      <c r="C154" s="4"/>
    </row>
    <row r="155" spans="2:3">
      <c r="B155" s="3"/>
      <c r="C155" s="4"/>
    </row>
    <row r="156" spans="2:3">
      <c r="B156" s="3"/>
      <c r="C156" s="4"/>
    </row>
    <row r="157" spans="2:3">
      <c r="B157" s="3"/>
      <c r="C157" s="4"/>
    </row>
    <row r="158" spans="2:3">
      <c r="B158" s="3"/>
      <c r="C158" s="4"/>
    </row>
    <row r="159" spans="2:3">
      <c r="B159" s="3"/>
      <c r="C159" s="4"/>
    </row>
    <row r="160" spans="2:3">
      <c r="B160" s="3"/>
      <c r="C160" s="4"/>
    </row>
    <row r="161" spans="2:3">
      <c r="B161" s="3"/>
      <c r="C161" s="4"/>
    </row>
    <row r="162" spans="2:3">
      <c r="B162" s="3"/>
      <c r="C162" s="4"/>
    </row>
    <row r="163" spans="2:3">
      <c r="B163" s="3"/>
      <c r="C163" s="4"/>
    </row>
    <row r="164" spans="2:3">
      <c r="B164" s="3"/>
      <c r="C164" s="4"/>
    </row>
    <row r="165" spans="2:3">
      <c r="B165" s="3"/>
      <c r="C165" s="4"/>
    </row>
    <row r="166" spans="2:3">
      <c r="B166" s="3"/>
      <c r="C166" s="4"/>
    </row>
    <row r="167" spans="2:3">
      <c r="B167" s="3"/>
      <c r="C167" s="4"/>
    </row>
    <row r="168" spans="2:3">
      <c r="B168" s="21"/>
      <c r="C168" s="21"/>
    </row>
    <row r="169" spans="2:3">
      <c r="B169" s="21"/>
      <c r="C169" s="21"/>
    </row>
    <row r="170" spans="2:3">
      <c r="B170" s="21"/>
      <c r="C170" s="21"/>
    </row>
  </sheetData>
  <conditionalFormatting sqref="B2">
    <cfRule type="expression" dxfId="2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170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1" sqref="B1"/>
    </sheetView>
  </sheetViews>
  <sheetFormatPr defaultColWidth="9.109375" defaultRowHeight="14.4"/>
  <cols>
    <col min="1" max="1" width="9.5546875" style="251" customWidth="1"/>
    <col min="2" max="2" width="9.109375" style="153"/>
    <col min="3" max="3" width="28.44140625" style="153" bestFit="1" customWidth="1"/>
    <col min="4" max="19" width="12.6640625" style="244" customWidth="1"/>
    <col min="20" max="20" width="13.5546875" style="244" customWidth="1"/>
    <col min="21" max="25" width="12.6640625" style="244" customWidth="1"/>
    <col min="26" max="26" width="15" style="244" bestFit="1" customWidth="1"/>
    <col min="27" max="27" width="8.44140625" style="53" bestFit="1" customWidth="1"/>
    <col min="28" max="28" width="13.5546875" style="244" bestFit="1" customWidth="1"/>
    <col min="29" max="29" width="10.88671875" bestFit="1" customWidth="1"/>
    <col min="30" max="30" width="9.88671875" style="244" bestFit="1" customWidth="1"/>
    <col min="31" max="32" width="9.109375" style="244"/>
    <col min="33" max="33" width="9.88671875" style="244" bestFit="1" customWidth="1"/>
    <col min="34" max="16384" width="9.109375" style="244"/>
  </cols>
  <sheetData>
    <row r="1" spans="1:35" ht="15.6">
      <c r="B1" s="47" t="s">
        <v>214</v>
      </c>
      <c r="C1" s="48"/>
    </row>
    <row r="2" spans="1:35">
      <c r="A2" s="49" t="s">
        <v>0</v>
      </c>
      <c r="B2" s="50"/>
      <c r="C2" s="48"/>
      <c r="D2" s="245" t="s">
        <v>149</v>
      </c>
      <c r="O2" s="245" t="s">
        <v>150</v>
      </c>
    </row>
    <row r="3" spans="1:35" s="57" customFormat="1">
      <c r="A3" s="55" t="s">
        <v>1</v>
      </c>
      <c r="B3" s="56" t="s">
        <v>2</v>
      </c>
      <c r="C3" s="51" t="s">
        <v>3</v>
      </c>
      <c r="D3" s="209" t="s">
        <v>159</v>
      </c>
      <c r="E3" s="209" t="s">
        <v>258</v>
      </c>
      <c r="F3" s="209" t="s">
        <v>208</v>
      </c>
      <c r="G3" s="209" t="s">
        <v>203</v>
      </c>
      <c r="H3" s="210" t="s">
        <v>239</v>
      </c>
      <c r="I3" s="209" t="s">
        <v>295</v>
      </c>
      <c r="J3" s="210" t="s">
        <v>259</v>
      </c>
      <c r="K3" s="209" t="s">
        <v>215</v>
      </c>
      <c r="L3" s="209" t="s">
        <v>179</v>
      </c>
      <c r="M3" s="209" t="s">
        <v>216</v>
      </c>
      <c r="N3" s="209" t="s">
        <v>221</v>
      </c>
      <c r="O3" s="214" t="s">
        <v>159</v>
      </c>
      <c r="P3" s="214" t="s">
        <v>258</v>
      </c>
      <c r="Q3" s="215" t="s">
        <v>208</v>
      </c>
      <c r="R3" s="215" t="s">
        <v>203</v>
      </c>
      <c r="S3" s="214" t="s">
        <v>239</v>
      </c>
      <c r="T3" s="215" t="s">
        <v>295</v>
      </c>
      <c r="U3" s="214" t="s">
        <v>259</v>
      </c>
      <c r="V3" s="215" t="s">
        <v>215</v>
      </c>
      <c r="W3" s="214" t="s">
        <v>179</v>
      </c>
      <c r="X3" s="215" t="s">
        <v>216</v>
      </c>
      <c r="Y3" s="215" t="s">
        <v>221</v>
      </c>
      <c r="Z3" s="217" t="s">
        <v>222</v>
      </c>
      <c r="AA3" s="218" t="s">
        <v>224</v>
      </c>
      <c r="AB3" s="244"/>
      <c r="AC3"/>
      <c r="AD3" s="244"/>
      <c r="AE3" s="244"/>
      <c r="AF3" s="244"/>
      <c r="AG3" s="244"/>
      <c r="AH3" s="244"/>
      <c r="AI3" s="244"/>
    </row>
    <row r="4" spans="1:35">
      <c r="B4" s="135">
        <v>10005</v>
      </c>
      <c r="C4" s="136" t="s">
        <v>7</v>
      </c>
      <c r="D4" s="211">
        <f>IF(Init!$R$9="Yes",'Staging Table'!F6,'Staging Table'!BS6)*Rates_previous!$E$76*100*12</f>
        <v>183953.76264</v>
      </c>
      <c r="E4" s="211">
        <f>IF(Init!$R$9="Yes",'Staging Table'!F6,'Staging Table'!BS6)*Rates_previous!$E$77*100*12</f>
        <v>-18609.9012</v>
      </c>
      <c r="F4" s="212">
        <f>IF(Init!$R$9="Yes",SUMPRODUCT('Staging Table'!L6:AI6,LS_Demand_Rates_Restatement!$C$4:$Z$4)-IF(Init!$R$12="No",('Staging Table'!BH6*Rates_previous!$H$34), 0),SUMPRODUCT('Staging Table'!BY6:CV6,LS_Demand_Rates_Restatement!$C$4:$Z$4)-IF(Init!$R$12="No", 'Staging Table'!DU6*Rates_previous!$H$34, 0))</f>
        <v>4216.6052223258994</v>
      </c>
      <c r="G4" s="212">
        <f>IF(Init!$R$9="Yes",SUMPRODUCT('Staging Table'!AJ6:AU6,LS_Demand_Rates_Restatement!$C$10:$N$10),SUMPRODUCT(LS_Demand_Rates_Restatement!$C$10:$N$10,'Staging Table'!CW6:DH6))*1000</f>
        <v>13614.782483689463</v>
      </c>
      <c r="H4" s="213">
        <f>IF(Init!$R$9="Yes",'Staging Table'!BQ6,'Staging Table'!ED6)*IF(Init!$R$3=2020,Rates_previous!$C$88,Rates_previous!$D$88)</f>
        <v>137.55744000000877</v>
      </c>
      <c r="I4" s="211">
        <f>IF(Init!$R$9="Yes",IF('Staging Table'!$F$1=2020,(SUM('Staging Table'!AX6:BD6)*Rates_previous!$C$87),(SUM('Staging Table'!AX6:BD6)*Rates_previous!$D$87)),IF('Staging Table'!$F$1=2020,(SUM('Staging Table'!DK6:DQ6)*Rates_previous!$C$87),(SUM('Staging Table'!DK6:DQ6)*Rates_previous!$D$87)))</f>
        <v>2256.5896099137904</v>
      </c>
      <c r="J4" s="213">
        <f>IF(Init!$R$9="Yes",IF('Staging Table'!D6=1,'Staging Table'!H6*-1*'Staging Table'!BS6/'Staging Table'!BR6,'Staging Table'!H6*SUM(D4:I4)*(-1)),IF('Staging Table'!D6=1,'Staging Table'!BU6*-1*'Staging Table'!BS6/'Staging Table'!BR6,'Staging Table'!BU6*SUM(D4:I4)*(-1)))</f>
        <v>-6494.9288668575209</v>
      </c>
      <c r="K4" s="211">
        <f>IF(Init!$R$9="Yes",'Staging Table'!K6,'Staging Table'!BX6)*(-1)*Rates_previous!$H$32</f>
        <v>0</v>
      </c>
      <c r="L4" s="211">
        <f>IF('Staging Table'!C6=1,"",SUM(D4:K4))</f>
        <v>179074.46732907163</v>
      </c>
      <c r="M4" s="211">
        <f>IF('Staging Table'!C6=1,"",IF(Init!$R$9="Yes",(RT1SC!$C$3*'Staging Table'!F6*'Staging Table'!$F$2)+SUM('Staging Table'!L6:AI6)-IF(Init!$R$12="No",'Staging Table'!BH6, 0),X4))</f>
        <v>4787.2800000000007</v>
      </c>
      <c r="N4" s="95">
        <f>IF('Staging Table'!C6=1,"",IF(M4=0, 0, L4/M4))</f>
        <v>37.406307408188283</v>
      </c>
      <c r="O4" s="211">
        <f>'Staging Table'!BS6*Rates_current!$E$76*100*12</f>
        <v>186092.62213285826</v>
      </c>
      <c r="P4" s="211">
        <f>'Staging Table'!BS6*Rates_current!$E$77*100*12</f>
        <v>-30724.338442292861</v>
      </c>
      <c r="Q4" s="212">
        <f>SUMPRODUCT('Staging Table'!BY6:CV6, LS_Demand_Rates_Restatement!$C$5:$Z$5)-IF(Init!$R$12="No",('Staging Table'!DU6*Rates_current!$H$34), 0)</f>
        <v>3790.7736317374984</v>
      </c>
      <c r="R4" s="212">
        <f>SUMPRODUCT('Staging Table'!CW6:DH6, LS_Demand_Rates_Restatement!$C$11:$N$11)*1000</f>
        <v>12498.881584357203</v>
      </c>
      <c r="S4" s="213">
        <f>'Staging Table'!ED6*IF(Init!$R$15="Yes",IF(Init!$R$6=2022,Rates_current!$C$88,Rates_current!$D$88),Rates_current!$H$33)</f>
        <v>0</v>
      </c>
      <c r="T4" s="213">
        <v>0</v>
      </c>
      <c r="U4" s="213">
        <f>IF('Staging Table'!D6=1, 'Staging Table'!BU6*-1*'Staging Table'!BS6/'Staging Table'!BR6,SUM(O4:T4)*'Staging Table'!BU6*-1)</f>
        <v>-5111.9931137117228</v>
      </c>
      <c r="V4" s="211">
        <f>'Staging Table'!BX6*Rates_current!$H$32*-1</f>
        <v>0</v>
      </c>
      <c r="W4" s="211">
        <f>IF('Staging Table'!C6=1,"", SUM(O4:V4))</f>
        <v>166545.94579294842</v>
      </c>
      <c r="X4" s="211">
        <f>IF('Staging Table'!C6=1,"", (RT1SC!$C$4*'Staging Table'!BS6*'Staging Table'!$BS$2)+SUM('Staging Table'!BY6:CV6)-IF(Init!$R$12="No",'Staging Table'!DU6, 0))</f>
        <v>4581.4800000000005</v>
      </c>
      <c r="Y4" s="95">
        <f>IF('Staging Table'!C6=1,"",IF(X4=0, 0, W4/X4))</f>
        <v>36.351996689486455</v>
      </c>
      <c r="Z4" s="87">
        <f ca="1">IF('Staging Table'!C6=1,"",(Y4/N4-1)+(RAND()/100000000000000))</f>
        <v>-2.8185372782102099E-2</v>
      </c>
      <c r="AA4" s="53">
        <f t="shared" ref="AA4:AA67" ca="1" si="0">IF(Z4="","",RANK(Z4,$Z$4:$Z$138))</f>
        <v>7</v>
      </c>
      <c r="AC4" s="421"/>
      <c r="AD4" s="216"/>
      <c r="AE4" s="216"/>
      <c r="AG4" s="216"/>
      <c r="AH4" s="216"/>
    </row>
    <row r="5" spans="1:35">
      <c r="B5" s="135">
        <v>10015</v>
      </c>
      <c r="C5" s="136" t="s">
        <v>8</v>
      </c>
      <c r="D5" s="211">
        <f>IF(Init!$R$9="Yes",'Staging Table'!F7,'Staging Table'!BS7)*Rates_previous!$E$76*100*12</f>
        <v>192747.41796000002</v>
      </c>
      <c r="E5" s="211">
        <f>IF(Init!$R$9="Yes",'Staging Table'!F7,'Staging Table'!BS7)*Rates_previous!$E$77*100*12</f>
        <v>-19499.521800000002</v>
      </c>
      <c r="F5" s="212">
        <f>IF(Init!$R$9="Yes",SUMPRODUCT('Staging Table'!L7:AI7,LS_Demand_Rates_Restatement!$C$4:$Z$4)-IF(Init!$R$12="No",('Staging Table'!BH7*Rates_previous!$H$34), 0),SUMPRODUCT('Staging Table'!BY7:CV7,LS_Demand_Rates_Restatement!$C$4:$Z$4)-IF(Init!$R$12="No", 'Staging Table'!DU7*Rates_previous!$H$34, 0))</f>
        <v>-8071.4695148655064</v>
      </c>
      <c r="G5" s="212">
        <f>IF(Init!$R$9="Yes",SUMPRODUCT('Staging Table'!AJ7:AU7,LS_Demand_Rates_Restatement!$C$10:$N$10),SUMPRODUCT(LS_Demand_Rates_Restatement!$C$10:$N$10,'Staging Table'!CW7:DH7))*1000</f>
        <v>31702.992399145296</v>
      </c>
      <c r="H5" s="213">
        <f>IF(Init!$R$9="Yes",'Staging Table'!BQ7,'Staging Table'!ED7)*IF(Init!$R$3=2020,Rates_previous!$C$88,Rates_previous!$D$88)</f>
        <v>0</v>
      </c>
      <c r="I5" s="211">
        <f>IF(Init!$R$9="Yes",IF('Staging Table'!$F$1=2020,(SUM('Staging Table'!AX7:BD7)*Rates_previous!$C$87),(SUM('Staging Table'!AX7:BD7)*Rates_previous!$D$87)),IF('Staging Table'!$F$1=2020,(SUM('Staging Table'!DK7:DQ7)*Rates_previous!$C$87),(SUM('Staging Table'!DK7:DQ7)*Rates_previous!$D$87)))</f>
        <v>2364.4627566409354</v>
      </c>
      <c r="J5" s="213">
        <f>IF(Init!$R$9="Yes",IF('Staging Table'!D7=1,'Staging Table'!H7*-1*'Staging Table'!BS7/'Staging Table'!BR7,'Staging Table'!H7*SUM(D5:I5)*(-1)),IF('Staging Table'!D7=1,'Staging Table'!BU7*-1*'Staging Table'!BS7/'Staging Table'!BR7,'Staging Table'!BU7*SUM(D5:I5)*(-1)))</f>
        <v>0</v>
      </c>
      <c r="K5" s="211">
        <f>IF(Init!$R$9="Yes",'Staging Table'!K7,'Staging Table'!BX7)*(-1)*Rates_previous!$H$32</f>
        <v>0</v>
      </c>
      <c r="L5" s="211">
        <f>IF('Staging Table'!C7=1,"",SUM(D5:K5))</f>
        <v>199243.88180092073</v>
      </c>
      <c r="M5" s="211">
        <f>IF('Staging Table'!C7=1,"",IF(Init!$R$9="Yes",(RT1SC!$C$3*'Staging Table'!F7*'Staging Table'!$F$2)+SUM('Staging Table'!L7:AI7)-IF(Init!$R$12="No",'Staging Table'!BH7, 0),X5))</f>
        <v>5006.8799999999992</v>
      </c>
      <c r="N5" s="95">
        <f>IF('Staging Table'!C7=1,"",IF(M5=0, 0, L5/M5))</f>
        <v>39.79401978895455</v>
      </c>
      <c r="O5" s="211">
        <f>'Staging Table'!BS7*Rates_current!$E$76*100*12</f>
        <v>194725.78501531042</v>
      </c>
      <c r="P5" s="211">
        <f>'Staging Table'!BS7*Rates_current!$E$77*100*12</f>
        <v>-32149.694349409532</v>
      </c>
      <c r="Q5" s="212">
        <f>SUMPRODUCT('Staging Table'!BY7:CV7, LS_Demand_Rates_Restatement!$C$5:$Z$5)-IF(Init!$R$12="No",('Staging Table'!DU7*Rates_current!$H$34), 0)</f>
        <v>-8017.4896684476034</v>
      </c>
      <c r="R5" s="212">
        <f>SUMPRODUCT('Staging Table'!CW7:DH7, LS_Demand_Rates_Restatement!$C$11:$N$11)*1000</f>
        <v>29890.395541835824</v>
      </c>
      <c r="S5" s="213">
        <f>'Staging Table'!ED7*IF(Init!$R$15="Yes",IF(Init!$R$6=2022,Rates_current!$C$88,Rates_current!$D$88),Rates_current!$H$33)</f>
        <v>0</v>
      </c>
      <c r="T5" s="213">
        <v>0</v>
      </c>
      <c r="U5" s="213">
        <f>IF('Staging Table'!D7=1, 'Staging Table'!BU7*-1*'Staging Table'!BS7/'Staging Table'!BR7,SUM(O5:T5)*'Staging Table'!BU7*-1)</f>
        <v>0</v>
      </c>
      <c r="V5" s="211">
        <f>'Staging Table'!BX7*Rates_current!$H$32*-1</f>
        <v>0</v>
      </c>
      <c r="W5" s="211">
        <f>IF('Staging Table'!C7=1,"", SUM(O5:V5))</f>
        <v>184448.99653928913</v>
      </c>
      <c r="X5" s="211">
        <f>IF('Staging Table'!C7=1,"", (RT1SC!$C$4*'Staging Table'!BS7*'Staging Table'!$BS$2)+SUM('Staging Table'!BY7:CV7)-IF(Init!$R$12="No",'Staging Table'!DU7, 0))</f>
        <v>4791.72</v>
      </c>
      <c r="Y5" s="95">
        <f>IF('Staging Table'!C7=1,"",IF(X5=0, 0, W5/X5))</f>
        <v>38.493275178701829</v>
      </c>
      <c r="Z5" s="87">
        <f ca="1">IF('Staging Table'!C7=1,"",(Y5/N5-1)+(RAND()/100000000000000))</f>
        <v>-3.2686936809877325E-2</v>
      </c>
      <c r="AA5" s="53">
        <f t="shared" ca="1" si="0"/>
        <v>19</v>
      </c>
      <c r="AC5" s="421"/>
      <c r="AD5" s="216"/>
      <c r="AE5" s="216"/>
      <c r="AG5" s="216"/>
      <c r="AH5" s="216"/>
    </row>
    <row r="6" spans="1:35">
      <c r="B6" s="135">
        <v>10024</v>
      </c>
      <c r="C6" s="136" t="s">
        <v>9</v>
      </c>
      <c r="D6" s="211">
        <f>IF(Init!$R$9="Yes",'Staging Table'!F8,'Staging Table'!BS8)*Rates_previous!$E$76*100*12</f>
        <v>35229284.542799994</v>
      </c>
      <c r="E6" s="211">
        <f>IF(Init!$R$9="Yes",'Staging Table'!F8,'Staging Table'!BS8)*Rates_previous!$E$77*100*12</f>
        <v>-3564012.4739999995</v>
      </c>
      <c r="F6" s="212">
        <f>IF(Init!$R$9="Yes",SUMPRODUCT('Staging Table'!L8:AI8,LS_Demand_Rates_Restatement!$C$4:$Z$4)-IF(Init!$R$12="No",('Staging Table'!BH8*Rates_previous!$H$34), 0),SUMPRODUCT('Staging Table'!BY8:CV8,LS_Demand_Rates_Restatement!$C$4:$Z$4)-IF(Init!$R$12="No", 'Staging Table'!DU8*Rates_previous!$H$34, 0))</f>
        <v>-464808.14274307759</v>
      </c>
      <c r="G6" s="212">
        <f>IF(Init!$R$9="Yes",SUMPRODUCT('Staging Table'!AJ8:AU8,LS_Demand_Rates_Restatement!$C$10:$N$10),SUMPRODUCT(LS_Demand_Rates_Restatement!$C$10:$N$10,'Staging Table'!CW8:DH8))*1000</f>
        <v>0</v>
      </c>
      <c r="H6" s="213">
        <f>IF(Init!$R$9="Yes",'Staging Table'!BQ8,'Staging Table'!ED8)*IF(Init!$R$3=2020,Rates_previous!$C$88,Rates_previous!$D$88)</f>
        <v>0</v>
      </c>
      <c r="I6" s="211">
        <f>IF(Init!$R$9="Yes",IF('Staging Table'!$F$1=2020,(SUM('Staging Table'!AX8:BD8)*Rates_previous!$C$87),(SUM('Staging Table'!AX8:BD8)*Rates_previous!$D$87)),IF('Staging Table'!$F$1=2020,(SUM('Staging Table'!DK8:DQ8)*Rates_previous!$C$87),(SUM('Staging Table'!DK8:DQ8)*Rates_previous!$D$87)))</f>
        <v>432163.14971255948</v>
      </c>
      <c r="J6" s="213">
        <f>IF(Init!$R$9="Yes",IF('Staging Table'!D8=1,'Staging Table'!H8*-1*'Staging Table'!BS8/'Staging Table'!BR8,'Staging Table'!H8*SUM(D6:I6)*(-1)),IF('Staging Table'!D8=1,'Staging Table'!BU8*-1*'Staging Table'!BS8/'Staging Table'!BR8,'Staging Table'!BU8*SUM(D6:I6)*(-1)))</f>
        <v>0</v>
      </c>
      <c r="K6" s="211">
        <f>IF(Init!$R$9="Yes",'Staging Table'!K8,'Staging Table'!BX8)*(-1)*Rates_previous!$H$32</f>
        <v>-3468977.5120000001</v>
      </c>
      <c r="L6" s="211">
        <f>IF('Staging Table'!C8=1,"",SUM(D6:K6))</f>
        <v>28163649.563769475</v>
      </c>
      <c r="M6" s="211">
        <f>IF('Staging Table'!C8=1,"",IF(Init!$R$9="Yes",(RT1SC!$C$3*'Staging Table'!F8*'Staging Table'!$F$2)+SUM('Staging Table'!L8:AI8)-IF(Init!$R$12="No",'Staging Table'!BH8, 0),X6))</f>
        <v>914627.87779149797</v>
      </c>
      <c r="N6" s="95">
        <f>IF('Staging Table'!C8=1,"",IF(M6=0, 0, L6/M6))</f>
        <v>30.79246789609639</v>
      </c>
      <c r="O6" s="211">
        <f>'Staging Table'!BS8*Rates_current!$E$76*100*12</f>
        <v>35547048.168496877</v>
      </c>
      <c r="P6" s="211">
        <f>'Staging Table'!BS8*Rates_current!$E$77*100*12</f>
        <v>-5868902.947552925</v>
      </c>
      <c r="Q6" s="212">
        <f>SUMPRODUCT('Staging Table'!BY8:CV8, LS_Demand_Rates_Restatement!$C$5:$Z$5)-IF(Init!$R$12="No",('Staging Table'!DU8*Rates_current!$H$34), 0)</f>
        <v>-497982.05146501027</v>
      </c>
      <c r="R6" s="212">
        <f>SUMPRODUCT('Staging Table'!CW8:DH8, LS_Demand_Rates_Restatement!$C$11:$N$11)*1000</f>
        <v>0</v>
      </c>
      <c r="S6" s="213">
        <f>'Staging Table'!ED8*IF(Init!$R$15="Yes",IF(Init!$R$6=2022,Rates_current!$C$88,Rates_current!$D$88),Rates_current!$H$33)</f>
        <v>0</v>
      </c>
      <c r="T6" s="213">
        <v>0</v>
      </c>
      <c r="U6" s="213">
        <f>IF('Staging Table'!D8=1, 'Staging Table'!BU8*-1*'Staging Table'!BS8/'Staging Table'!BR8,SUM(O6:T6)*'Staging Table'!BU8*-1)</f>
        <v>0</v>
      </c>
      <c r="V6" s="211">
        <f>'Staging Table'!BX8*Rates_current!$H$32*-1</f>
        <v>-3403407.2800000003</v>
      </c>
      <c r="W6" s="211">
        <f>IF('Staging Table'!C8=1,"", SUM(O6:V6))</f>
        <v>25776755.889478937</v>
      </c>
      <c r="X6" s="211">
        <f>IF('Staging Table'!C8=1,"", (RT1SC!$C$4*'Staging Table'!BS8*'Staging Table'!$BS$2)+SUM('Staging Table'!BY8:CV8)-IF(Init!$R$12="No",'Staging Table'!DU8, 0))</f>
        <v>874712.34823062376</v>
      </c>
      <c r="Y6" s="95">
        <f>IF('Staging Table'!C8=1,"",IF(X6=0, 0, W6/X6))</f>
        <v>29.468837317342551</v>
      </c>
      <c r="Z6" s="87">
        <f ca="1">IF('Staging Table'!C8=1,"",(Y6/N6-1)+(RAND()/100000000000000))</f>
        <v>-4.2985530851893133E-2</v>
      </c>
      <c r="AA6" s="53">
        <f t="shared" ca="1" si="0"/>
        <v>100</v>
      </c>
      <c r="AC6" s="421"/>
      <c r="AD6" s="216"/>
      <c r="AE6" s="216"/>
      <c r="AG6" s="216"/>
      <c r="AH6" s="216"/>
    </row>
    <row r="7" spans="1:35">
      <c r="B7" s="135">
        <v>10025</v>
      </c>
      <c r="C7" s="136" t="s">
        <v>10</v>
      </c>
      <c r="D7" s="211">
        <f>IF(Init!$R$9="Yes",'Staging Table'!F9,'Staging Table'!BS9)*Rates_previous!$E$76*100*12</f>
        <v>20078054.092799999</v>
      </c>
      <c r="E7" s="211">
        <f>IF(Init!$R$9="Yes",'Staging Table'!F9,'Staging Table'!BS9)*Rates_previous!$E$77*100*12</f>
        <v>-2031220.2240000002</v>
      </c>
      <c r="F7" s="212">
        <f>IF(Init!$R$9="Yes",SUMPRODUCT('Staging Table'!L9:AI9,LS_Demand_Rates_Restatement!$C$4:$Z$4)-IF(Init!$R$12="No",('Staging Table'!BH9*Rates_previous!$H$34), 0),SUMPRODUCT('Staging Table'!BY9:CV9,LS_Demand_Rates_Restatement!$C$4:$Z$4)-IF(Init!$R$12="No", 'Staging Table'!DU9*Rates_previous!$H$34, 0))</f>
        <v>-115564.82315999763</v>
      </c>
      <c r="G7" s="212">
        <f>IF(Init!$R$9="Yes",SUMPRODUCT('Staging Table'!AJ9:AU9,LS_Demand_Rates_Restatement!$C$10:$N$10),SUMPRODUCT(LS_Demand_Rates_Restatement!$C$10:$N$10,'Staging Table'!CW9:DH9))*1000</f>
        <v>1058751.3598123931</v>
      </c>
      <c r="H7" s="213">
        <f>IF(Init!$R$9="Yes",'Staging Table'!BQ9,'Staging Table'!ED9)*IF(Init!$R$3=2020,Rates_previous!$C$88,Rates_previous!$D$88)</f>
        <v>0</v>
      </c>
      <c r="I7" s="211">
        <f>IF(Init!$R$9="Yes",IF('Staging Table'!$F$1=2020,(SUM('Staging Table'!AX9:BD9)*Rates_previous!$C$87),(SUM('Staging Table'!AX9:BD9)*Rates_previous!$D$87)),IF('Staging Table'!$F$1=2020,(SUM('Staging Table'!DK9:DQ9)*Rates_previous!$C$87),(SUM('Staging Table'!DK9:DQ9)*Rates_previous!$D$87)))</f>
        <v>246300.63339214082</v>
      </c>
      <c r="J7" s="213">
        <f>IF(Init!$R$9="Yes",IF('Staging Table'!D9=1,'Staging Table'!H9*-1*'Staging Table'!BS9/'Staging Table'!BR9,'Staging Table'!H9*SUM(D7:I7)*(-1)),IF('Staging Table'!D9=1,'Staging Table'!BU9*-1*'Staging Table'!BS9/'Staging Table'!BR9,'Staging Table'!BU9*SUM(D7:I7)*(-1)))</f>
        <v>-1293533.4307178326</v>
      </c>
      <c r="K7" s="211">
        <f>IF(Init!$R$9="Yes",'Staging Table'!K9,'Staging Table'!BX9)*(-1)*Rates_previous!$H$32</f>
        <v>-921028.52127000003</v>
      </c>
      <c r="L7" s="211">
        <f>IF('Staging Table'!C9=1,"",SUM(D7:K7))</f>
        <v>17021759.086856704</v>
      </c>
      <c r="M7" s="211">
        <f>IF('Staging Table'!C9=1,"",IF(Init!$R$9="Yes",(RT1SC!$C$3*'Staging Table'!F9*'Staging Table'!$F$2)+SUM('Staging Table'!L9:AI9)-IF(Init!$R$12="No",'Staging Table'!BH9, 0),X7))</f>
        <v>521268.91200000001</v>
      </c>
      <c r="N7" s="95">
        <f>IF('Staging Table'!C9=1,"",IF(M7=0, 0, L7/M7))</f>
        <v>32.654468154541902</v>
      </c>
      <c r="O7" s="211">
        <f>'Staging Table'!BS9*Rates_current!$E$76*100*12</f>
        <v>20259155.564154468</v>
      </c>
      <c r="P7" s="211">
        <f>'Staging Table'!BS9*Rates_current!$E$77*100*12</f>
        <v>-3344835.1953671398</v>
      </c>
      <c r="Q7" s="212">
        <f>SUMPRODUCT('Staging Table'!BY9:CV9, LS_Demand_Rates_Restatement!$C$5:$Z$5)-IF(Init!$R$12="No",('Staging Table'!DU9*Rates_current!$H$34), 0)</f>
        <v>-144144.31125511834</v>
      </c>
      <c r="R7" s="212">
        <f>SUMPRODUCT('Staging Table'!CW9:DH9, LS_Demand_Rates_Restatement!$C$11:$N$11)*1000</f>
        <v>1011488.4145275818</v>
      </c>
      <c r="S7" s="213">
        <f>'Staging Table'!ED9*IF(Init!$R$15="Yes",IF(Init!$R$6=2022,Rates_current!$C$88,Rates_current!$D$88),Rates_current!$H$33)</f>
        <v>0</v>
      </c>
      <c r="T7" s="213">
        <v>0</v>
      </c>
      <c r="U7" s="213">
        <f>IF('Staging Table'!D9=1, 'Staging Table'!BU9*-1*'Staging Table'!BS9/'Staging Table'!BR9,SUM(O7:T7)*'Staging Table'!BU9*-1)</f>
        <v>-1249818.9499316504</v>
      </c>
      <c r="V7" s="211">
        <f>'Staging Table'!BX9*Rates_current!$H$32*-1</f>
        <v>-903619.34130000009</v>
      </c>
      <c r="W7" s="211">
        <f>IF('Staging Table'!C9=1,"", SUM(O7:V7))</f>
        <v>15628226.180828143</v>
      </c>
      <c r="X7" s="211">
        <f>IF('Staging Table'!C9=1,"", (RT1SC!$C$4*'Staging Table'!BS9*'Staging Table'!$BS$2)+SUM('Staging Table'!BY9:CV9)-IF(Init!$R$12="No",'Staging Table'!DU9, 0))</f>
        <v>498522.83999999997</v>
      </c>
      <c r="Y7" s="95">
        <f>IF('Staging Table'!C9=1,"",IF(X7=0, 0, W7/X7))</f>
        <v>31.349067538867715</v>
      </c>
      <c r="Z7" s="87">
        <f ca="1">IF('Staging Table'!C9=1,"",(Y7/N7-1)+(RAND()/100000000000000))</f>
        <v>-3.9976171392409506E-2</v>
      </c>
      <c r="AA7" s="53">
        <f t="shared" ca="1" si="0"/>
        <v>86</v>
      </c>
      <c r="AC7" s="421"/>
      <c r="AD7" s="216"/>
      <c r="AE7" s="216"/>
      <c r="AG7" s="216"/>
      <c r="AH7" s="216"/>
    </row>
    <row r="8" spans="1:35">
      <c r="B8" s="135">
        <v>10027</v>
      </c>
      <c r="C8" s="136" t="s">
        <v>11</v>
      </c>
      <c r="D8" s="211">
        <f>IF(Init!$R$9="Yes",'Staging Table'!F10,'Staging Table'!BS10)*Rates_previous!$E$76*100*12</f>
        <v>20594740.759440001</v>
      </c>
      <c r="E8" s="211">
        <f>IF(Init!$R$9="Yes",'Staging Table'!F10,'Staging Table'!BS10)*Rates_previous!$E$77*100*12</f>
        <v>-2083491.4452000002</v>
      </c>
      <c r="F8" s="212">
        <f>IF(Init!$R$9="Yes",SUMPRODUCT('Staging Table'!L10:AI10,LS_Demand_Rates_Restatement!$C$4:$Z$4)-IF(Init!$R$12="No",('Staging Table'!BH10*Rates_previous!$H$34), 0),SUMPRODUCT('Staging Table'!BY10:CV10,LS_Demand_Rates_Restatement!$C$4:$Z$4)-IF(Init!$R$12="No", 'Staging Table'!DU10*Rates_previous!$H$34, 0))</f>
        <v>-789836.60532272211</v>
      </c>
      <c r="G8" s="212">
        <f>IF(Init!$R$9="Yes",SUMPRODUCT('Staging Table'!AJ10:AU10,LS_Demand_Rates_Restatement!$C$10:$N$10),SUMPRODUCT(LS_Demand_Rates_Restatement!$C$10:$N$10,'Staging Table'!CW10:DH10))*1000</f>
        <v>1414923.6628561609</v>
      </c>
      <c r="H8" s="213">
        <f>IF(Init!$R$9="Yes",'Staging Table'!BQ10,'Staging Table'!ED10)*IF(Init!$R$3=2020,Rates_previous!$C$88,Rates_previous!$D$88)</f>
        <v>0</v>
      </c>
      <c r="I8" s="211">
        <f>IF(Init!$R$9="Yes",IF('Staging Table'!$F$1=2020,(SUM('Staging Table'!AX10:BD10)*Rates_previous!$C$87),(SUM('Staging Table'!AX10:BD10)*Rates_previous!$D$87)),IF('Staging Table'!$F$1=2020,(SUM('Staging Table'!DK10:DQ10)*Rates_previous!$C$87),(SUM('Staging Table'!DK10:DQ10)*Rates_previous!$D$87)))</f>
        <v>252638.90963497359</v>
      </c>
      <c r="J8" s="213">
        <f>IF(Init!$R$9="Yes",IF('Staging Table'!D10=1,'Staging Table'!H10*-1*'Staging Table'!BS10/'Staging Table'!BR10,'Staging Table'!H10*SUM(D8:I8)*(-1)),IF('Staging Table'!D10=1,'Staging Table'!BU10*-1*'Staging Table'!BS10/'Staging Table'!BR10,'Staging Table'!BU10*SUM(D8:I8)*(-1)))</f>
        <v>-1453752.6853306771</v>
      </c>
      <c r="K8" s="211">
        <f>IF(Init!$R$9="Yes",'Staging Table'!K10,'Staging Table'!BX10)*(-1)*Rates_previous!$H$32</f>
        <v>-2329428.5893999999</v>
      </c>
      <c r="L8" s="211">
        <f>IF('Staging Table'!C10=1,"",SUM(D8:K8))</f>
        <v>15605794.006677736</v>
      </c>
      <c r="M8" s="211">
        <f>IF('Staging Table'!C10=1,"",IF(Init!$R$9="Yes",(RT1SC!$C$3*'Staging Table'!F10*'Staging Table'!$F$2)+SUM('Staging Table'!L10:AI10)-IF(Init!$R$12="No",'Staging Table'!BH10, 0),X8))</f>
        <v>534682.07999999996</v>
      </c>
      <c r="N8" s="95">
        <f>IF('Staging Table'!C10=1,"",IF(M8=0, 0, L8/M8))</f>
        <v>29.187052625137049</v>
      </c>
      <c r="O8" s="211">
        <f>'Staging Table'!BS10*Rates_current!$E$76*100*12</f>
        <v>20780502.678222552</v>
      </c>
      <c r="P8" s="211">
        <f>'Staging Table'!BS10*Rates_current!$E$77*100*12</f>
        <v>-3430910.8548691305</v>
      </c>
      <c r="Q8" s="212">
        <f>SUMPRODUCT('Staging Table'!BY10:CV10, LS_Demand_Rates_Restatement!$C$5:$Z$5)-IF(Init!$R$12="No",('Staging Table'!DU10*Rates_current!$H$34), 0)</f>
        <v>-851793.32514577755</v>
      </c>
      <c r="R8" s="212">
        <f>SUMPRODUCT('Staging Table'!CW10:DH10, LS_Demand_Rates_Restatement!$C$11:$N$11)*1000</f>
        <v>1276589.6536403403</v>
      </c>
      <c r="S8" s="213">
        <f>'Staging Table'!ED10*IF(Init!$R$15="Yes",IF(Init!$R$6=2022,Rates_current!$C$88,Rates_current!$D$88),Rates_current!$H$33)</f>
        <v>0</v>
      </c>
      <c r="T8" s="213">
        <v>0</v>
      </c>
      <c r="U8" s="213">
        <f>IF('Staging Table'!D10=1, 'Staging Table'!BU10*-1*'Staging Table'!BS10/'Staging Table'!BR10,SUM(O8:T8)*'Staging Table'!BU10*-1)</f>
        <v>-1412529.9230398922</v>
      </c>
      <c r="V8" s="211">
        <f>'Staging Table'!BX10*Rates_current!$H$32*-1</f>
        <v>-2285397.986</v>
      </c>
      <c r="W8" s="211">
        <f>IF('Staging Table'!C10=1,"", SUM(O8:V8))</f>
        <v>14076460.242808092</v>
      </c>
      <c r="X8" s="211">
        <f>IF('Staging Table'!C10=1,"", (RT1SC!$C$4*'Staging Table'!BS10*'Staging Table'!$BS$2)+SUM('Staging Table'!BY10:CV10)-IF(Init!$R$12="No",'Staging Table'!DU10, 0))</f>
        <v>511347.48</v>
      </c>
      <c r="Y8" s="95">
        <f>IF('Staging Table'!C10=1,"",IF(X8=0, 0, W8/X8))</f>
        <v>27.528169773728216</v>
      </c>
      <c r="Z8" s="87">
        <f ca="1">IF('Staging Table'!C10=1,"",(Y8/N8-1)+(RAND()/100000000000000))</f>
        <v>-5.683625793651121E-2</v>
      </c>
      <c r="AA8" s="53">
        <f t="shared" ca="1" si="0"/>
        <v>109</v>
      </c>
      <c r="AC8" s="421"/>
      <c r="AD8" s="216"/>
      <c r="AE8" s="216"/>
      <c r="AG8" s="216"/>
      <c r="AH8" s="216"/>
    </row>
    <row r="9" spans="1:35">
      <c r="B9" s="135">
        <v>10029</v>
      </c>
      <c r="C9" s="136" t="s">
        <v>12</v>
      </c>
      <c r="D9" s="211">
        <f>IF(Init!$R$9="Yes",'Staging Table'!F11,'Staging Table'!BS11)*Rates_previous!$E$76*100*12</f>
        <v>5928587.3502000002</v>
      </c>
      <c r="E9" s="211">
        <f>IF(Init!$R$9="Yes",'Staging Table'!F11,'Staging Table'!BS11)*Rates_previous!$E$77*100*12</f>
        <v>-599772.59100000001</v>
      </c>
      <c r="F9" s="212">
        <f>IF(Init!$R$9="Yes",SUMPRODUCT('Staging Table'!L11:AI11,LS_Demand_Rates_Restatement!$C$4:$Z$4)-IF(Init!$R$12="No",('Staging Table'!BH11*Rates_previous!$H$34), 0),SUMPRODUCT('Staging Table'!BY11:CV11,LS_Demand_Rates_Restatement!$C$4:$Z$4)-IF(Init!$R$12="No", 'Staging Table'!DU11*Rates_previous!$H$34, 0))</f>
        <v>0</v>
      </c>
      <c r="G9" s="212">
        <f>IF(Init!$R$9="Yes",SUMPRODUCT('Staging Table'!AJ11:AU11,LS_Demand_Rates_Restatement!$C$10:$N$10),SUMPRODUCT(LS_Demand_Rates_Restatement!$C$10:$N$10,'Staging Table'!CW11:DH11))*1000</f>
        <v>0</v>
      </c>
      <c r="H9" s="213">
        <f>IF(Init!$R$9="Yes",'Staging Table'!BQ11,'Staging Table'!ED11)*IF(Init!$R$3=2020,Rates_previous!$C$88,Rates_previous!$D$88)</f>
        <v>0</v>
      </c>
      <c r="I9" s="211">
        <f>IF(Init!$R$9="Yes",IF('Staging Table'!$F$1=2020,(SUM('Staging Table'!AX11:BD11)*Rates_previous!$C$87),(SUM('Staging Table'!AX11:BD11)*Rates_previous!$D$87)),IF('Staging Table'!$F$1=2020,(SUM('Staging Table'!DK11:DQ11)*Rates_previous!$C$87),(SUM('Staging Table'!DK11:DQ11)*Rates_previous!$D$87)))</f>
        <v>72726.909327260335</v>
      </c>
      <c r="J9" s="213">
        <f>IF(Init!$R$9="Yes",IF('Staging Table'!D11=1,'Staging Table'!H11*-1*'Staging Table'!BS11/'Staging Table'!BR11,'Staging Table'!H11*SUM(D9:I9)*(-1)),IF('Staging Table'!D11=1,'Staging Table'!BU11*-1*'Staging Table'!BS11/'Staging Table'!BR11,'Staging Table'!BU11*SUM(D9:I9)*(-1)))</f>
        <v>-391470.74458499567</v>
      </c>
      <c r="K9" s="211">
        <f>IF(Init!$R$9="Yes",'Staging Table'!K11,'Staging Table'!BX11)*(-1)*Rates_previous!$H$32</f>
        <v>0</v>
      </c>
      <c r="L9" s="211" t="str">
        <f>IF('Staging Table'!C11=1,"",SUM(D9:K9))</f>
        <v/>
      </c>
      <c r="M9" s="211" t="str">
        <f>IF('Staging Table'!C11=1,"",IF(Init!$R$9="Yes",(RT1SC!$C$3*'Staging Table'!F11*'Staging Table'!$F$2)+SUM('Staging Table'!L11:AI11)-IF(Init!$R$12="No",'Staging Table'!BH11, 0),X9))</f>
        <v/>
      </c>
      <c r="N9" s="95" t="str">
        <f>IF('Staging Table'!C11=1,"",IF(M9=0, 0, L9/M9))</f>
        <v/>
      </c>
      <c r="O9" s="211">
        <f>'Staging Table'!BS11*Rates_current!$E$76*100*12</f>
        <v>5982062.4472991619</v>
      </c>
      <c r="P9" s="211">
        <f>'Staging Table'!BS11*Rates_current!$E$77*100*12</f>
        <v>-987652.8639729321</v>
      </c>
      <c r="Q9" s="212">
        <f>SUMPRODUCT('Staging Table'!BY11:CV11, LS_Demand_Rates_Restatement!$C$5:$Z$5)-IF(Init!$R$12="No",('Staging Table'!DU11*Rates_current!$H$34), 0)</f>
        <v>0</v>
      </c>
      <c r="R9" s="212">
        <f>SUMPRODUCT('Staging Table'!CW11:DH11, LS_Demand_Rates_Restatement!$C$11:$N$11)*1000</f>
        <v>0</v>
      </c>
      <c r="S9" s="213">
        <f>'Staging Table'!ED11*IF(Init!$R$15="Yes",IF(Init!$R$6=2022,Rates_current!$C$88,Rates_current!$D$88),Rates_current!$H$33)</f>
        <v>0</v>
      </c>
      <c r="T9" s="213">
        <v>0</v>
      </c>
      <c r="U9" s="213">
        <f>IF('Staging Table'!D11=1, 'Staging Table'!BU11*-1*'Staging Table'!BS11/'Staging Table'!BR11,SUM(O9:T9)*'Staging Table'!BU11*-1)</f>
        <v>-423356.75759258011</v>
      </c>
      <c r="V9" s="211">
        <f>'Staging Table'!BX11*Rates_current!$H$32*-1</f>
        <v>0</v>
      </c>
      <c r="W9" s="211" t="str">
        <f>IF('Staging Table'!C11=1,"", SUM(O9:V9))</f>
        <v/>
      </c>
      <c r="X9" s="211" t="str">
        <f>IF('Staging Table'!C11=1,"", (RT1SC!$C$4*'Staging Table'!BS11*'Staging Table'!$BS$2)+SUM('Staging Table'!BY11:CV11)-IF(Init!$R$12="No",'Staging Table'!DU11, 0))</f>
        <v/>
      </c>
      <c r="Y9" s="95" t="str">
        <f>IF('Staging Table'!C11=1,"",IF(X9=0, 0, W9/X9))</f>
        <v/>
      </c>
      <c r="Z9" s="87" t="str">
        <f ca="1">IF('Staging Table'!C11=1,"",(Y9/N9-1)+(RAND()/100000000000000))</f>
        <v/>
      </c>
      <c r="AA9" s="53" t="str">
        <f t="shared" ca="1" si="0"/>
        <v/>
      </c>
      <c r="AC9" s="421"/>
      <c r="AD9" s="216"/>
      <c r="AE9" s="216"/>
      <c r="AG9" s="216"/>
      <c r="AH9" s="216"/>
    </row>
    <row r="10" spans="1:35">
      <c r="B10" s="135">
        <v>10044</v>
      </c>
      <c r="C10" s="136" t="s">
        <v>13</v>
      </c>
      <c r="D10" s="211">
        <f>IF(Init!$R$9="Yes",'Staging Table'!F12,'Staging Table'!BS12)*Rates_previous!$E$76*100*12</f>
        <v>6835046.8472399991</v>
      </c>
      <c r="E10" s="211">
        <f>IF(Init!$R$9="Yes",'Staging Table'!F12,'Staging Table'!BS12)*Rates_previous!$E$77*100*12</f>
        <v>-691475.64419999986</v>
      </c>
      <c r="F10" s="212">
        <f>IF(Init!$R$9="Yes",SUMPRODUCT('Staging Table'!L12:AI12,LS_Demand_Rates_Restatement!$C$4:$Z$4)-IF(Init!$R$12="No",('Staging Table'!BH12*Rates_previous!$H$34), 0),SUMPRODUCT('Staging Table'!BY12:CV12,LS_Demand_Rates_Restatement!$C$4:$Z$4)-IF(Init!$R$12="No", 'Staging Table'!DU12*Rates_previous!$H$34, 0))</f>
        <v>110685.62284695194</v>
      </c>
      <c r="G10" s="212">
        <f>IF(Init!$R$9="Yes",SUMPRODUCT('Staging Table'!AJ12:AU12,LS_Demand_Rates_Restatement!$C$10:$N$10),SUMPRODUCT(LS_Demand_Rates_Restatement!$C$10:$N$10,'Staging Table'!CW12:DH12))*1000</f>
        <v>355147.22493928077</v>
      </c>
      <c r="H10" s="213">
        <f>IF(Init!$R$9="Yes",'Staging Table'!BQ12,'Staging Table'!ED12)*IF(Init!$R$3=2020,Rates_previous!$C$88,Rates_previous!$D$88)</f>
        <v>0</v>
      </c>
      <c r="I10" s="211">
        <f>IF(Init!$R$9="Yes",IF('Staging Table'!$F$1=2020,(SUM('Staging Table'!AX12:BD12)*Rates_previous!$C$87),(SUM('Staging Table'!AX12:BD12)*Rates_previous!$D$87)),IF('Staging Table'!$F$1=2020,(SUM('Staging Table'!DK12:DQ12)*Rates_previous!$C$87),(SUM('Staging Table'!DK12:DQ12)*Rates_previous!$D$87)))</f>
        <v>83846.589911512507</v>
      </c>
      <c r="J10" s="213">
        <f>IF(Init!$R$9="Yes",IF('Staging Table'!D12=1,'Staging Table'!H12*-1*'Staging Table'!BS12/'Staging Table'!BR12,'Staging Table'!H12*SUM(D10:I10)*(-1)),IF('Staging Table'!D12=1,'Staging Table'!BU12*-1*'Staging Table'!BS12/'Staging Table'!BR12,'Staging Table'!BU12*SUM(D10:I10)*(-1)))</f>
        <v>0</v>
      </c>
      <c r="K10" s="211">
        <f>IF(Init!$R$9="Yes",'Staging Table'!K12,'Staging Table'!BX12)*(-1)*Rates_previous!$H$32</f>
        <v>0</v>
      </c>
      <c r="L10" s="211">
        <f>IF('Staging Table'!C12=1,"",SUM(D10:K10))</f>
        <v>6693250.640737744</v>
      </c>
      <c r="M10" s="211">
        <f>IF('Staging Table'!C12=1,"",IF(Init!$R$9="Yes",(RT1SC!$C$3*'Staging Table'!F12*'Staging Table'!$F$2)+SUM('Staging Table'!L12:AI12)-IF(Init!$R$12="No",'Staging Table'!BH12, 0),X10))</f>
        <v>177454.36800000002</v>
      </c>
      <c r="N10" s="95">
        <f>IF('Staging Table'!C12=1,"",IF(M10=0, 0, L10/M10))</f>
        <v>37.71815096001324</v>
      </c>
      <c r="O10" s="211">
        <f>'Staging Table'!BS12*Rates_current!$E$76*100*12</f>
        <v>6896698.0926789567</v>
      </c>
      <c r="P10" s="211">
        <f>'Staging Table'!BS12*Rates_current!$E$77*100*12</f>
        <v>-1138661.4036880156</v>
      </c>
      <c r="Q10" s="212">
        <f>SUMPRODUCT('Staging Table'!BY12:CV12, LS_Demand_Rates_Restatement!$C$5:$Z$5)-IF(Init!$R$12="No",('Staging Table'!DU12*Rates_current!$H$34), 0)</f>
        <v>52564.328203373472</v>
      </c>
      <c r="R10" s="212">
        <f>SUMPRODUCT('Staging Table'!CW12:DH12, LS_Demand_Rates_Restatement!$C$11:$N$11)*1000</f>
        <v>333275.32090185198</v>
      </c>
      <c r="S10" s="213">
        <f>'Staging Table'!ED12*IF(Init!$R$15="Yes",IF(Init!$R$6=2022,Rates_current!$C$88,Rates_current!$D$88),Rates_current!$H$33)</f>
        <v>0</v>
      </c>
      <c r="T10" s="213">
        <v>0</v>
      </c>
      <c r="U10" s="213">
        <f>IF('Staging Table'!D12=1, 'Staging Table'!BU12*-1*'Staging Table'!BS12/'Staging Table'!BR12,SUM(O10:T10)*'Staging Table'!BU12*-1)</f>
        <v>0</v>
      </c>
      <c r="V10" s="211">
        <f>'Staging Table'!BX12*Rates_current!$H$32*-1</f>
        <v>0</v>
      </c>
      <c r="W10" s="211">
        <f>IF('Staging Table'!C12=1,"", SUM(O10:V10))</f>
        <v>6143876.338096167</v>
      </c>
      <c r="X10" s="211">
        <f>IF('Staging Table'!C12=1,"", (RT1SC!$C$4*'Staging Table'!BS12*'Staging Table'!$BS$2)+SUM('Staging Table'!BY12:CV12)-IF(Init!$R$12="No",'Staging Table'!DU12, 0))</f>
        <v>168476.67768131397</v>
      </c>
      <c r="Y10" s="95">
        <f>IF('Staging Table'!C12=1,"",IF(X10=0, 0, W10/X10))</f>
        <v>36.467221592045881</v>
      </c>
      <c r="Z10" s="87">
        <f ca="1">IF('Staging Table'!C12=1,"",(Y10/N10-1)+(RAND()/100000000000000))</f>
        <v>-3.3165182707213706E-2</v>
      </c>
      <c r="AA10" s="53">
        <f t="shared" ca="1" si="0"/>
        <v>22</v>
      </c>
      <c r="AC10" s="421"/>
      <c r="AD10" s="216"/>
      <c r="AE10" s="216"/>
      <c r="AG10" s="216"/>
      <c r="AH10" s="216"/>
    </row>
    <row r="11" spans="1:35">
      <c r="B11" s="135">
        <v>10046</v>
      </c>
      <c r="C11" s="136" t="s">
        <v>14</v>
      </c>
      <c r="D11" s="211">
        <f>IF(Init!$R$9="Yes",'Staging Table'!F13,'Staging Table'!BS13)*Rates_previous!$E$76*100*12</f>
        <v>27546957.122160003</v>
      </c>
      <c r="E11" s="211">
        <f>IF(Init!$R$9="Yes",'Staging Table'!F13,'Staging Table'!BS13)*Rates_previous!$E$77*100*12</f>
        <v>-2786820.6827999996</v>
      </c>
      <c r="F11" s="212">
        <f>IF(Init!$R$9="Yes",SUMPRODUCT('Staging Table'!L13:AI13,LS_Demand_Rates_Restatement!$C$4:$Z$4)-IF(Init!$R$12="No",('Staging Table'!BH13*Rates_previous!$H$34), 0),SUMPRODUCT('Staging Table'!BY13:CV13,LS_Demand_Rates_Restatement!$C$4:$Z$4)-IF(Init!$R$12="No", 'Staging Table'!DU13*Rates_previous!$H$34, 0))</f>
        <v>0</v>
      </c>
      <c r="G11" s="212">
        <f>IF(Init!$R$9="Yes",SUMPRODUCT('Staging Table'!AJ13:AU13,LS_Demand_Rates_Restatement!$C$10:$N$10),SUMPRODUCT(LS_Demand_Rates_Restatement!$C$10:$N$10,'Staging Table'!CW13:DH13))*1000</f>
        <v>0</v>
      </c>
      <c r="H11" s="213">
        <f>IF(Init!$R$9="Yes",'Staging Table'!BQ13,'Staging Table'!ED13)*IF(Init!$R$3=2020,Rates_previous!$C$88,Rates_previous!$D$88)</f>
        <v>0</v>
      </c>
      <c r="I11" s="211">
        <f>IF(Init!$R$9="Yes",IF('Staging Table'!$F$1=2020,(SUM('Staging Table'!AX13:BD13)*Rates_previous!$C$87),(SUM('Staging Table'!AX13:BD13)*Rates_previous!$D$87)),IF('Staging Table'!$F$1=2020,(SUM('Staging Table'!DK13:DQ13)*Rates_previous!$C$87),(SUM('Staging Table'!DK13:DQ13)*Rates_previous!$D$87)))</f>
        <v>337922.83633936406</v>
      </c>
      <c r="J11" s="213">
        <f>IF(Init!$R$9="Yes",IF('Staging Table'!D13=1,'Staging Table'!H13*-1*'Staging Table'!BS13/'Staging Table'!BR13,'Staging Table'!H13*SUM(D11:I11)*(-1)),IF('Staging Table'!D13=1,'Staging Table'!BU13*-1*'Staging Table'!BS13/'Staging Table'!BR13,'Staging Table'!BU13*SUM(D11:I11)*(-1)))</f>
        <v>-1815233.521229655</v>
      </c>
      <c r="K11" s="211">
        <f>IF(Init!$R$9="Yes",'Staging Table'!K13,'Staging Table'!BX13)*(-1)*Rates_previous!$H$32</f>
        <v>-456459.42726999999</v>
      </c>
      <c r="L11" s="211" t="str">
        <f>IF('Staging Table'!C13=1,"",SUM(D11:K11))</f>
        <v/>
      </c>
      <c r="M11" s="211" t="str">
        <f>IF('Staging Table'!C13=1,"",IF(Init!$R$9="Yes",(RT1SC!$C$3*'Staging Table'!F13*'Staging Table'!$F$2)+SUM('Staging Table'!L13:AI13)-IF(Init!$R$12="No",'Staging Table'!BH13, 0),X11))</f>
        <v/>
      </c>
      <c r="N11" s="95" t="str">
        <f>IF('Staging Table'!C13=1,"",IF(M11=0, 0, L11/M11))</f>
        <v/>
      </c>
      <c r="O11" s="211">
        <f>'Staging Table'!BS13*Rates_current!$E$76*100*12</f>
        <v>27795187.330295019</v>
      </c>
      <c r="P11" s="211">
        <f>'Staging Table'!BS13*Rates_current!$E$77*100*12</f>
        <v>-4589052.1226210743</v>
      </c>
      <c r="Q11" s="212">
        <f>SUMPRODUCT('Staging Table'!BY13:CV13, LS_Demand_Rates_Restatement!$C$5:$Z$5)-IF(Init!$R$12="No",('Staging Table'!DU13*Rates_current!$H$34), 0)</f>
        <v>0</v>
      </c>
      <c r="R11" s="212">
        <f>SUMPRODUCT('Staging Table'!CW13:DH13, LS_Demand_Rates_Restatement!$C$11:$N$11)*1000</f>
        <v>0</v>
      </c>
      <c r="S11" s="213">
        <f>'Staging Table'!ED13*IF(Init!$R$15="Yes",IF(Init!$R$6=2022,Rates_current!$C$88,Rates_current!$D$88),Rates_current!$H$33)</f>
        <v>0</v>
      </c>
      <c r="T11" s="213">
        <v>0</v>
      </c>
      <c r="U11" s="213">
        <f>IF('Staging Table'!D13=1, 'Staging Table'!BU13*-1*'Staging Table'!BS13/'Staging Table'!BR13,SUM(O11:T11)*'Staging Table'!BU13*-1)</f>
        <v>-1851390.5671177234</v>
      </c>
      <c r="V11" s="211">
        <f>'Staging Table'!BX13*Rates_current!$H$32*-1</f>
        <v>-447831.48130000004</v>
      </c>
      <c r="W11" s="211" t="str">
        <f>IF('Staging Table'!C13=1,"", SUM(O11:V11))</f>
        <v/>
      </c>
      <c r="X11" s="211" t="str">
        <f>IF('Staging Table'!C13=1,"", (RT1SC!$C$4*'Staging Table'!BS13*'Staging Table'!$BS$2)+SUM('Staging Table'!BY13:CV13)-IF(Init!$R$12="No",'Staging Table'!DU13, 0))</f>
        <v/>
      </c>
      <c r="Y11" s="95" t="str">
        <f>IF('Staging Table'!C13=1,"",IF(X11=0, 0, W11/X11))</f>
        <v/>
      </c>
      <c r="Z11" s="87" t="str">
        <f ca="1">IF('Staging Table'!C13=1,"",(Y11/N11-1)+(RAND()/100000000000000))</f>
        <v/>
      </c>
      <c r="AA11" s="53" t="str">
        <f t="shared" ca="1" si="0"/>
        <v/>
      </c>
      <c r="AC11" s="421"/>
      <c r="AD11" s="216"/>
      <c r="AE11" s="216"/>
      <c r="AG11" s="216"/>
      <c r="AH11" s="216"/>
    </row>
    <row r="12" spans="1:35">
      <c r="B12" s="135">
        <v>10047</v>
      </c>
      <c r="C12" s="136" t="s">
        <v>15</v>
      </c>
      <c r="D12" s="211">
        <f>IF(Init!$R$9="Yes",'Staging Table'!F14,'Staging Table'!BS14)*Rates_previous!$E$76*100*12</f>
        <v>52172044.014480002</v>
      </c>
      <c r="E12" s="211">
        <f>IF(Init!$R$9="Yes",'Staging Table'!F14,'Staging Table'!BS14)*Rates_previous!$E$77*100*12</f>
        <v>-5278046.8883999996</v>
      </c>
      <c r="F12" s="212">
        <f>IF(Init!$R$9="Yes",SUMPRODUCT('Staging Table'!L14:AI14,LS_Demand_Rates_Restatement!$C$4:$Z$4)-IF(Init!$R$12="No",('Staging Table'!BH14*Rates_previous!$H$34), 0),SUMPRODUCT('Staging Table'!BY14:CV14,LS_Demand_Rates_Restatement!$C$4:$Z$4)-IF(Init!$R$12="No", 'Staging Table'!DU14*Rates_previous!$H$34, 0))</f>
        <v>-321050.55084482906</v>
      </c>
      <c r="G12" s="212">
        <f>IF(Init!$R$9="Yes",SUMPRODUCT('Staging Table'!AJ14:AU14,LS_Demand_Rates_Restatement!$C$10:$N$10),SUMPRODUCT(LS_Demand_Rates_Restatement!$C$10:$N$10,'Staging Table'!CW14:DH14))*1000</f>
        <v>1170014.0882148857</v>
      </c>
      <c r="H12" s="213">
        <f>IF(Init!$R$9="Yes",'Staging Table'!BQ14,'Staging Table'!ED14)*IF(Init!$R$3=2020,Rates_previous!$C$88,Rates_previous!$D$88)</f>
        <v>-633902.80245982762</v>
      </c>
      <c r="I12" s="211">
        <f>IF(Init!$R$9="Yes",IF('Staging Table'!$F$1=2020,(SUM('Staging Table'!AX14:BD14)*Rates_previous!$C$87),(SUM('Staging Table'!AX14:BD14)*Rates_previous!$D$87)),IF('Staging Table'!$F$1=2020,(SUM('Staging Table'!DK14:DQ14)*Rates_previous!$C$87),(SUM('Staging Table'!DK14:DQ14)*Rates_previous!$D$87)))</f>
        <v>640002.63306079502</v>
      </c>
      <c r="J12" s="213">
        <f>IF(Init!$R$9="Yes",IF('Staging Table'!D14=1,'Staging Table'!H14*-1*'Staging Table'!BS14/'Staging Table'!BR14,'Staging Table'!H14*SUM(D12:I12)*(-1)),IF('Staging Table'!D14=1,'Staging Table'!BU14*-1*'Staging Table'!BS14/'Staging Table'!BR14,'Staging Table'!BU14*SUM(D12:I12)*(-1)))</f>
        <v>0</v>
      </c>
      <c r="K12" s="211">
        <f>IF(Init!$R$9="Yes",'Staging Table'!K14,'Staging Table'!BX14)*(-1)*Rates_previous!$H$32</f>
        <v>0</v>
      </c>
      <c r="L12" s="211">
        <f>IF('Staging Table'!C14=1,"",SUM(D12:K12))</f>
        <v>47749060.494051039</v>
      </c>
      <c r="M12" s="211">
        <f>IF('Staging Table'!C14=1,"",IF(Init!$R$9="Yes",(RT1SC!$C$3*'Staging Table'!F14*'Staging Table'!$F$2)+SUM('Staging Table'!L14:AI14)-IF(Init!$R$12="No",'Staging Table'!BH14, 0),X12))</f>
        <v>1314022.4778403686</v>
      </c>
      <c r="N12" s="95">
        <f>IF('Staging Table'!C14=1,"",IF(M12=0, 0, L12/M12))</f>
        <v>36.338085001809034</v>
      </c>
      <c r="O12" s="211">
        <f>'Staging Table'!BS14*Rates_current!$E$76*100*12</f>
        <v>53203305.123592012</v>
      </c>
      <c r="P12" s="211">
        <f>'Staging Table'!BS14*Rates_current!$E$77*100*12</f>
        <v>-8783993.3369243853</v>
      </c>
      <c r="Q12" s="212">
        <f>SUMPRODUCT('Staging Table'!BY14:CV14, LS_Demand_Rates_Restatement!$C$5:$Z$5)-IF(Init!$R$12="No",('Staging Table'!DU14*Rates_current!$H$34), 0)</f>
        <v>-614126.97333525517</v>
      </c>
      <c r="R12" s="212">
        <f>SUMPRODUCT('Staging Table'!CW14:DH14, LS_Demand_Rates_Restatement!$C$11:$N$11)*1000</f>
        <v>1115645.3994901709</v>
      </c>
      <c r="S12" s="213">
        <f>'Staging Table'!ED14*IF(Init!$R$15="Yes",IF(Init!$R$6=2022,Rates_current!$C$88,Rates_current!$D$88),Rates_current!$H$33)</f>
        <v>0</v>
      </c>
      <c r="T12" s="213">
        <v>0</v>
      </c>
      <c r="U12" s="213">
        <f>IF('Staging Table'!D14=1, 'Staging Table'!BU14*-1*'Staging Table'!BS14/'Staging Table'!BR14,SUM(O12:T12)*'Staging Table'!BU14*-1)</f>
        <v>0</v>
      </c>
      <c r="V12" s="211">
        <f>'Staging Table'!BX14*Rates_current!$H$32*-1</f>
        <v>0</v>
      </c>
      <c r="W12" s="211">
        <f>IF('Staging Table'!C14=1,"", SUM(O12:V12))</f>
        <v>44920830.212822542</v>
      </c>
      <c r="X12" s="211">
        <f>IF('Staging Table'!C14=1,"", (RT1SC!$C$4*'Staging Table'!BS14*'Staging Table'!$BS$2)+SUM('Staging Table'!BY14:CV14)-IF(Init!$R$12="No",'Staging Table'!DU14, 0))</f>
        <v>1277177.933970395</v>
      </c>
      <c r="Y12" s="95">
        <f>IF('Staging Table'!C14=1,"",IF(X12=0, 0, W12/X12))</f>
        <v>35.171943562457294</v>
      </c>
      <c r="Z12" s="87">
        <f ca="1">IF('Staging Table'!C14=1,"",(Y12/N12-1)+(RAND()/100000000000000))</f>
        <v>-3.2091439031352885E-2</v>
      </c>
      <c r="AA12" s="53">
        <f t="shared" ca="1" si="0"/>
        <v>16</v>
      </c>
      <c r="AC12" s="421"/>
      <c r="AD12" s="216"/>
      <c r="AE12" s="216"/>
      <c r="AG12" s="216"/>
      <c r="AH12" s="216"/>
    </row>
    <row r="13" spans="1:35">
      <c r="B13" s="135">
        <v>10055</v>
      </c>
      <c r="C13" s="136" t="s">
        <v>16</v>
      </c>
      <c r="D13" s="211">
        <f>IF(Init!$R$9="Yes",'Staging Table'!F15,'Staging Table'!BS15)*Rates_previous!$E$76*100*12</f>
        <v>130241.16528</v>
      </c>
      <c r="E13" s="211">
        <f>IF(Init!$R$9="Yes",'Staging Table'!F15,'Staging Table'!BS15)*Rates_previous!$E$77*100*12</f>
        <v>-13176.002399999999</v>
      </c>
      <c r="F13" s="212">
        <f>IF(Init!$R$9="Yes",SUMPRODUCT('Staging Table'!L15:AI15,LS_Demand_Rates_Restatement!$C$4:$Z$4)-IF(Init!$R$12="No",('Staging Table'!BH15*Rates_previous!$H$34), 0),SUMPRODUCT('Staging Table'!BY15:CV15,LS_Demand_Rates_Restatement!$C$4:$Z$4)-IF(Init!$R$12="No", 'Staging Table'!DU15*Rates_previous!$H$34, 0))</f>
        <v>2678.1987947168554</v>
      </c>
      <c r="G13" s="212">
        <f>IF(Init!$R$9="Yes",SUMPRODUCT('Staging Table'!AJ15:AU15,LS_Demand_Rates_Restatement!$C$10:$N$10),SUMPRODUCT(LS_Demand_Rates_Restatement!$C$10:$N$10,'Staging Table'!CW15:DH15))*1000</f>
        <v>11425.880156374644</v>
      </c>
      <c r="H13" s="213">
        <f>IF(Init!$R$9="Yes",'Staging Table'!BQ15,'Staging Table'!ED15)*IF(Init!$R$3=2020,Rates_previous!$C$88,Rates_previous!$D$88)</f>
        <v>-255.83543248290985</v>
      </c>
      <c r="I13" s="211">
        <f>IF(Init!$R$9="Yes",IF('Staging Table'!$F$1=2020,(SUM('Staging Table'!AX15:BD15)*Rates_previous!$C$87),(SUM('Staging Table'!AX15:BD15)*Rates_previous!$D$87)),IF('Staging Table'!$F$1=2020,(SUM('Staging Table'!DK15:DQ15)*Rates_previous!$C$87),(SUM('Staging Table'!DK15:DQ15)*Rates_previous!$D$87)))</f>
        <v>1597.68876774258</v>
      </c>
      <c r="J13" s="213">
        <f>IF(Init!$R$9="Yes",IF('Staging Table'!D15=1,'Staging Table'!H15*-1*'Staging Table'!BS15/'Staging Table'!BR15,'Staging Table'!H15*SUM(D13:I13)*(-1)),IF('Staging Table'!D15=1,'Staging Table'!BU15*-1*'Staging Table'!BS15/'Staging Table'!BR15,'Staging Table'!BU15*SUM(D13:I13)*(-1)))</f>
        <v>0</v>
      </c>
      <c r="K13" s="211">
        <f>IF(Init!$R$9="Yes",'Staging Table'!K15,'Staging Table'!BX15)*(-1)*Rates_previous!$H$32</f>
        <v>0</v>
      </c>
      <c r="L13" s="211">
        <f>IF('Staging Table'!C15=1,"",SUM(D13:K13))</f>
        <v>132511.09516635115</v>
      </c>
      <c r="M13" s="211">
        <f>IF('Staging Table'!C15=1,"",IF(Init!$R$9="Yes",(RT1SC!$C$3*'Staging Table'!F15*'Staging Table'!$F$2)+SUM('Staging Table'!L15:AI15)-IF(Init!$R$12="No",'Staging Table'!BH15, 0),X13))</f>
        <v>3365.5031269168003</v>
      </c>
      <c r="N13" s="95">
        <f>IF('Staging Table'!C15=1,"",IF(M13=0, 0, L13/M13))</f>
        <v>39.373338894427654</v>
      </c>
      <c r="O13" s="211">
        <f>'Staging Table'!BS15*Rates_current!$E$76*100*12</f>
        <v>135252.8851584176</v>
      </c>
      <c r="P13" s="211">
        <f>'Staging Table'!BS15*Rates_current!$E$77*100*12</f>
        <v>-22330.575878161304</v>
      </c>
      <c r="Q13" s="212">
        <f>SUMPRODUCT('Staging Table'!BY15:CV15, LS_Demand_Rates_Restatement!$C$5:$Z$5)-IF(Init!$R$12="No",('Staging Table'!DU15*Rates_current!$H$34), 0)</f>
        <v>2984.7578212358758</v>
      </c>
      <c r="R13" s="212">
        <f>SUMPRODUCT('Staging Table'!CW15:DH15, LS_Demand_Rates_Restatement!$C$11:$N$11)*1000</f>
        <v>10777.684237224001</v>
      </c>
      <c r="S13" s="213">
        <f>'Staging Table'!ED15*IF(Init!$R$15="Yes",IF(Init!$R$6=2022,Rates_current!$C$88,Rates_current!$D$88),Rates_current!$H$33)</f>
        <v>0</v>
      </c>
      <c r="T13" s="213">
        <v>0</v>
      </c>
      <c r="U13" s="213">
        <f>IF('Staging Table'!D15=1, 'Staging Table'!BU15*-1*'Staging Table'!BS15/'Staging Table'!BR15,SUM(O13:T13)*'Staging Table'!BU15*-1)</f>
        <v>0</v>
      </c>
      <c r="V13" s="211">
        <f>'Staging Table'!BX15*Rates_current!$H$32*-1</f>
        <v>0</v>
      </c>
      <c r="W13" s="211">
        <f>IF('Staging Table'!C15=1,"", SUM(O13:V13))</f>
        <v>126684.75133871619</v>
      </c>
      <c r="X13" s="211">
        <f>IF('Staging Table'!C15=1,"", (RT1SC!$C$4*'Staging Table'!BS15*'Staging Table'!$BS$2)+SUM('Staging Table'!BY15:CV15)-IF(Init!$R$12="No",'Staging Table'!DU15, 0))</f>
        <v>3328.8</v>
      </c>
      <c r="Y13" s="95">
        <f>IF('Staging Table'!C15=1,"",IF(X13=0, 0, W13/X13))</f>
        <v>38.057183170727043</v>
      </c>
      <c r="Z13" s="87">
        <f ca="1">IF('Staging Table'!C15=1,"",(Y13/N13-1)+(RAND()/100000000000000))</f>
        <v>-3.3427587313067914E-2</v>
      </c>
      <c r="AA13" s="53">
        <f t="shared" ca="1" si="0"/>
        <v>25</v>
      </c>
      <c r="AC13" s="421"/>
      <c r="AD13" s="216"/>
      <c r="AE13" s="216"/>
      <c r="AG13" s="216"/>
      <c r="AH13" s="216"/>
    </row>
    <row r="14" spans="1:35">
      <c r="B14" s="135">
        <v>10057</v>
      </c>
      <c r="C14" s="136" t="s">
        <v>17</v>
      </c>
      <c r="D14" s="211">
        <f>IF(Init!$R$9="Yes",'Staging Table'!F16,'Staging Table'!BS16)*Rates_previous!$E$76*100*12</f>
        <v>6763746.9392400011</v>
      </c>
      <c r="E14" s="211">
        <f>IF(Init!$R$9="Yes",'Staging Table'!F16,'Staging Table'!BS16)*Rates_previous!$E$77*100*12</f>
        <v>-684262.50420000008</v>
      </c>
      <c r="F14" s="212">
        <f>IF(Init!$R$9="Yes",SUMPRODUCT('Staging Table'!L16:AI16,LS_Demand_Rates_Restatement!$C$4:$Z$4)-IF(Init!$R$12="No",('Staging Table'!BH16*Rates_previous!$H$34), 0),SUMPRODUCT('Staging Table'!BY16:CV16,LS_Demand_Rates_Restatement!$C$4:$Z$4)-IF(Init!$R$12="No", 'Staging Table'!DU16*Rates_previous!$H$34, 0))</f>
        <v>110663.84370835172</v>
      </c>
      <c r="G14" s="212">
        <f>IF(Init!$R$9="Yes",SUMPRODUCT('Staging Table'!AJ16:AU16,LS_Demand_Rates_Restatement!$C$10:$N$10),SUMPRODUCT(LS_Demand_Rates_Restatement!$C$10:$N$10,'Staging Table'!CW16:DH16))*1000</f>
        <v>339209.65271193022</v>
      </c>
      <c r="H14" s="213">
        <f>IF(Init!$R$9="Yes",'Staging Table'!BQ16,'Staging Table'!ED16)*IF(Init!$R$3=2020,Rates_previous!$C$88,Rates_previous!$D$88)</f>
        <v>-9595.4051833052872</v>
      </c>
      <c r="I14" s="211">
        <f>IF(Init!$R$9="Yes",IF('Staging Table'!$F$1=2020,(SUM('Staging Table'!AX16:BD16)*Rates_previous!$C$87),(SUM('Staging Table'!AX16:BD16)*Rates_previous!$D$87)),IF('Staging Table'!$F$1=2020,(SUM('Staging Table'!DK16:DQ16)*Rates_previous!$C$87),(SUM('Staging Table'!DK16:DQ16)*Rates_previous!$D$87)))</f>
        <v>82971.94277588703</v>
      </c>
      <c r="J14" s="213">
        <f>IF(Init!$R$9="Yes",IF('Staging Table'!D16=1,'Staging Table'!H16*-1*'Staging Table'!BS16/'Staging Table'!BR16,'Staging Table'!H16*SUM(D14:I14)*(-1)),IF('Staging Table'!D16=1,'Staging Table'!BU16*-1*'Staging Table'!BS16/'Staging Table'!BR16,'Staging Table'!BU16*SUM(D14:I14)*(-1)))</f>
        <v>0</v>
      </c>
      <c r="K14" s="211">
        <f>IF(Init!$R$9="Yes",'Staging Table'!K16,'Staging Table'!BX16)*(-1)*Rates_previous!$H$32</f>
        <v>0</v>
      </c>
      <c r="L14" s="211">
        <f>IF('Staging Table'!C16=1,"",SUM(D14:K14))</f>
        <v>6602734.4690528642</v>
      </c>
      <c r="M14" s="211">
        <f>IF('Staging Table'!C16=1,"",IF(Init!$R$9="Yes",(RT1SC!$C$3*'Staging Table'!F16*'Staging Table'!$F$2)+SUM('Staging Table'!L16:AI16)-IF(Init!$R$12="No",'Staging Table'!BH16, 0),X14))</f>
        <v>174988.21059110438</v>
      </c>
      <c r="N14" s="95">
        <f>IF('Staging Table'!C16=1,"",IF(M14=0, 0, L14/M14))</f>
        <v>37.732453213556767</v>
      </c>
      <c r="O14" s="211">
        <f>'Staging Table'!BS16*Rates_current!$E$76*100*12</f>
        <v>7111328.1143399216</v>
      </c>
      <c r="P14" s="211">
        <f>'Staging Table'!BS16*Rates_current!$E$77*100*12</f>
        <v>-1174097.3352677221</v>
      </c>
      <c r="Q14" s="212">
        <f>SUMPRODUCT('Staging Table'!BY16:CV16, LS_Demand_Rates_Restatement!$C$5:$Z$5)-IF(Init!$R$12="No",('Staging Table'!DU16*Rates_current!$H$34), 0)</f>
        <v>103045.24461678574</v>
      </c>
      <c r="R14" s="212">
        <f>SUMPRODUCT('Staging Table'!CW16:DH16, LS_Demand_Rates_Restatement!$C$11:$N$11)*1000</f>
        <v>315579.93583209586</v>
      </c>
      <c r="S14" s="213">
        <f>'Staging Table'!ED16*IF(Init!$R$15="Yes",IF(Init!$R$6=2022,Rates_current!$C$88,Rates_current!$D$88),Rates_current!$H$33)</f>
        <v>-9.4524664419423789</v>
      </c>
      <c r="T14" s="213">
        <v>0</v>
      </c>
      <c r="U14" s="213">
        <f>IF('Staging Table'!D16=1, 'Staging Table'!BU16*-1*'Staging Table'!BS16/'Staging Table'!BR16,SUM(O14:T14)*'Staging Table'!BU16*-1)</f>
        <v>0</v>
      </c>
      <c r="V14" s="211">
        <f>'Staging Table'!BX16*Rates_current!$H$32*-1</f>
        <v>0</v>
      </c>
      <c r="W14" s="211">
        <f>IF('Staging Table'!C16=1,"", SUM(O14:V14))</f>
        <v>6355846.507054639</v>
      </c>
      <c r="X14" s="211">
        <f>IF('Staging Table'!C16=1,"", (RT1SC!$C$4*'Staging Table'!BS16*'Staging Table'!$BS$2)+SUM('Staging Table'!BY16:CV16)-IF(Init!$R$12="No",'Staging Table'!DU16, 0))</f>
        <v>174988.21295148248</v>
      </c>
      <c r="Y14" s="95">
        <f>IF('Staging Table'!C16=1,"",IF(X14=0, 0, W14/X14))</f>
        <v>36.32156932088261</v>
      </c>
      <c r="Z14" s="87">
        <f ca="1">IF('Staging Table'!C16=1,"",(Y14/N14-1)+(RAND()/100000000000000))</f>
        <v>-3.7391788036909797E-2</v>
      </c>
      <c r="AA14" s="53">
        <f t="shared" ca="1" si="0"/>
        <v>68</v>
      </c>
      <c r="AC14" s="421"/>
      <c r="AD14" s="216"/>
      <c r="AE14" s="216"/>
      <c r="AG14" s="216"/>
      <c r="AH14" s="216"/>
    </row>
    <row r="15" spans="1:35">
      <c r="B15" s="135">
        <v>10059</v>
      </c>
      <c r="C15" s="136" t="s">
        <v>18</v>
      </c>
      <c r="D15" s="211">
        <f>IF(Init!$R$9="Yes",'Staging Table'!F17,'Staging Table'!BS17)*Rates_previous!$E$76*100*12</f>
        <v>2525442.7413599994</v>
      </c>
      <c r="E15" s="211">
        <f>IF(Init!$R$9="Yes",'Staging Table'!F17,'Staging Table'!BS17)*Rates_previous!$E$77*100*12</f>
        <v>-255489.41879999998</v>
      </c>
      <c r="F15" s="212">
        <f>IF(Init!$R$9="Yes",SUMPRODUCT('Staging Table'!L17:AI17,LS_Demand_Rates_Restatement!$C$4:$Z$4)-IF(Init!$R$12="No",('Staging Table'!BH17*Rates_previous!$H$34), 0),SUMPRODUCT('Staging Table'!BY17:CV17,LS_Demand_Rates_Restatement!$C$4:$Z$4)-IF(Init!$R$12="No", 'Staging Table'!DU17*Rates_previous!$H$34, 0))</f>
        <v>59383.093226425714</v>
      </c>
      <c r="G15" s="212">
        <f>IF(Init!$R$9="Yes",SUMPRODUCT('Staging Table'!AJ17:AU17,LS_Demand_Rates_Restatement!$C$10:$N$10),SUMPRODUCT(LS_Demand_Rates_Restatement!$C$10:$N$10,'Staging Table'!CW17:DH17))*1000</f>
        <v>127996.08892186609</v>
      </c>
      <c r="H15" s="213">
        <f>IF(Init!$R$9="Yes",'Staging Table'!BQ17,'Staging Table'!ED17)*IF(Init!$R$3=2020,Rates_previous!$C$88,Rates_previous!$D$88)</f>
        <v>15654.839418971753</v>
      </c>
      <c r="I15" s="211">
        <f>IF(Init!$R$9="Yes",IF('Staging Table'!$F$1=2020,(SUM('Staging Table'!AX17:BD17)*Rates_previous!$C$87),(SUM('Staging Table'!AX17:BD17)*Rates_previous!$D$87)),IF('Staging Table'!$F$1=2020,(SUM('Staging Table'!DK17:DQ17)*Rates_previous!$C$87),(SUM('Staging Table'!DK17:DQ17)*Rates_previous!$D$87)))</f>
        <v>30980.001543855207</v>
      </c>
      <c r="J15" s="213">
        <f>IF(Init!$R$9="Yes",IF('Staging Table'!D17=1,'Staging Table'!H17*-1*'Staging Table'!BS17/'Staging Table'!BR17,'Staging Table'!H17*SUM(D15:I15)*(-1)),IF('Staging Table'!D17=1,'Staging Table'!BU17*-1*'Staging Table'!BS17/'Staging Table'!BR17,'Staging Table'!BU17*SUM(D15:I15)*(-1)))</f>
        <v>0</v>
      </c>
      <c r="K15" s="211">
        <f>IF(Init!$R$9="Yes",'Staging Table'!K17,'Staging Table'!BX17)*(-1)*Rates_previous!$H$32</f>
        <v>0</v>
      </c>
      <c r="L15" s="211">
        <f>IF('Staging Table'!C17=1,"",SUM(D15:K15))</f>
        <v>2503967.3456711182</v>
      </c>
      <c r="M15" s="211">
        <f>IF('Staging Table'!C17=1,"",IF(Init!$R$9="Yes",(RT1SC!$C$3*'Staging Table'!F17*'Staging Table'!$F$2)+SUM('Staging Table'!L17:AI17)-IF(Init!$R$12="No",'Staging Table'!BH17, 0),X15))</f>
        <v>66563.446460981591</v>
      </c>
      <c r="N15" s="95">
        <f>IF('Staging Table'!C17=1,"",IF(M15=0, 0, L15/M15))</f>
        <v>37.617753869443995</v>
      </c>
      <c r="O15" s="211">
        <f>'Staging Table'!BS17*Rates_current!$E$76*100*12</f>
        <v>2594025.6360968137</v>
      </c>
      <c r="P15" s="211">
        <f>'Staging Table'!BS17*Rates_current!$E$77*100*12</f>
        <v>-428279.8568689198</v>
      </c>
      <c r="Q15" s="212">
        <f>SUMPRODUCT('Staging Table'!BY17:CV17, LS_Demand_Rates_Restatement!$C$5:$Z$5)-IF(Init!$R$12="No",('Staging Table'!DU17*Rates_current!$H$34), 0)</f>
        <v>30470.790543547642</v>
      </c>
      <c r="R15" s="212">
        <f>SUMPRODUCT('Staging Table'!CW17:DH17, LS_Demand_Rates_Restatement!$C$11:$N$11)*1000</f>
        <v>117839.2549646546</v>
      </c>
      <c r="S15" s="213">
        <f>'Staging Table'!ED17*IF(Init!$R$15="Yes",IF(Init!$R$6=2022,Rates_current!$C$88,Rates_current!$D$88),Rates_current!$H$33)</f>
        <v>0</v>
      </c>
      <c r="T15" s="213">
        <v>0</v>
      </c>
      <c r="U15" s="213">
        <f>IF('Staging Table'!D17=1, 'Staging Table'!BU17*-1*'Staging Table'!BS17/'Staging Table'!BR17,SUM(O15:T15)*'Staging Table'!BU17*-1)</f>
        <v>0</v>
      </c>
      <c r="V15" s="211">
        <f>'Staging Table'!BX17*Rates_current!$H$32*-1</f>
        <v>0</v>
      </c>
      <c r="W15" s="211">
        <f>IF('Staging Table'!C17=1,"", SUM(O15:V15))</f>
        <v>2314055.8247360964</v>
      </c>
      <c r="X15" s="211">
        <f>IF('Staging Table'!C17=1,"", (RT1SC!$C$4*'Staging Table'!BS17*'Staging Table'!$BS$2)+SUM('Staging Table'!BY17:CV17)-IF(Init!$R$12="No",'Staging Table'!DU17, 0))</f>
        <v>63834.12</v>
      </c>
      <c r="Y15" s="95">
        <f>IF('Staging Table'!C17=1,"",IF(X15=0, 0, W15/X15))</f>
        <v>36.251080530852406</v>
      </c>
      <c r="Z15" s="87">
        <f ca="1">IF('Staging Table'!C17=1,"",(Y15/N15-1)+(RAND()/100000000000000))</f>
        <v>-3.6330540715820564E-2</v>
      </c>
      <c r="AA15" s="53">
        <f t="shared" ca="1" si="0"/>
        <v>54</v>
      </c>
      <c r="AC15" s="421"/>
      <c r="AD15" s="216"/>
      <c r="AE15" s="216"/>
      <c r="AG15" s="216"/>
      <c r="AH15" s="216"/>
    </row>
    <row r="16" spans="1:35">
      <c r="B16" s="135">
        <v>10061</v>
      </c>
      <c r="C16" s="136" t="s">
        <v>19</v>
      </c>
      <c r="D16" s="211">
        <f>IF(Init!$R$9="Yes",'Staging Table'!F18,'Staging Table'!BS18)*Rates_previous!$E$76*100*12</f>
        <v>2943497.8686000006</v>
      </c>
      <c r="E16" s="211">
        <f>IF(Init!$R$9="Yes",'Staging Table'!F18,'Staging Table'!BS18)*Rates_previous!$E$77*100*12</f>
        <v>-297782.46299999999</v>
      </c>
      <c r="F16" s="212">
        <f>IF(Init!$R$9="Yes",SUMPRODUCT('Staging Table'!L18:AI18,LS_Demand_Rates_Restatement!$C$4:$Z$4)-IF(Init!$R$12="No",('Staging Table'!BH18*Rates_previous!$H$34), 0),SUMPRODUCT('Staging Table'!BY18:CV18,LS_Demand_Rates_Restatement!$C$4:$Z$4)-IF(Init!$R$12="No", 'Staging Table'!DU18*Rates_previous!$H$34, 0))</f>
        <v>38656.820315211604</v>
      </c>
      <c r="G16" s="212">
        <f>IF(Init!$R$9="Yes",SUMPRODUCT('Staging Table'!AJ18:AU18,LS_Demand_Rates_Restatement!$C$10:$N$10),SUMPRODUCT(LS_Demand_Rates_Restatement!$C$10:$N$10,'Staging Table'!CW18:DH18))*1000</f>
        <v>174341.62926171653</v>
      </c>
      <c r="H16" s="213">
        <f>IF(Init!$R$9="Yes",'Staging Table'!BQ18,'Staging Table'!ED18)*IF(Init!$R$3=2020,Rates_previous!$C$88,Rates_previous!$D$88)</f>
        <v>0</v>
      </c>
      <c r="I16" s="211">
        <f>IF(Init!$R$9="Yes",IF('Staging Table'!$F$1=2020,(SUM('Staging Table'!AX18:BD18)*Rates_previous!$C$87),(SUM('Staging Table'!AX18:BD18)*Rates_previous!$D$87)),IF('Staging Table'!$F$1=2020,(SUM('Staging Table'!DK18:DQ18)*Rates_previous!$C$87),(SUM('Staging Table'!DK18:DQ18)*Rates_previous!$D$87)))</f>
        <v>36108.349249072729</v>
      </c>
      <c r="J16" s="213">
        <f>IF(Init!$R$9="Yes",IF('Staging Table'!D18=1,'Staging Table'!H18*-1*'Staging Table'!BS18/'Staging Table'!BR18,'Staging Table'!H18*SUM(D16:I16)*(-1)),IF('Staging Table'!D18=1,'Staging Table'!BU18*-1*'Staging Table'!BS18/'Staging Table'!BR18,'Staging Table'!BU18*SUM(D16:I16)*(-1)))</f>
        <v>0</v>
      </c>
      <c r="K16" s="211">
        <f>IF(Init!$R$9="Yes",'Staging Table'!K18,'Staging Table'!BX18)*(-1)*Rates_previous!$H$32</f>
        <v>0</v>
      </c>
      <c r="L16" s="211">
        <f>IF('Staging Table'!C18=1,"",SUM(D16:K16))</f>
        <v>2894822.2044260018</v>
      </c>
      <c r="M16" s="211">
        <f>IF('Staging Table'!C18=1,"",IF(Init!$R$9="Yes",(RT1SC!$C$3*'Staging Table'!F18*'Staging Table'!$F$2)+SUM('Staging Table'!L18:AI18)-IF(Init!$R$12="No",'Staging Table'!BH18, 0),X16))</f>
        <v>76420.799999999988</v>
      </c>
      <c r="N16" s="95">
        <f>IF('Staging Table'!C18=1,"",IF(M16=0, 0, L16/M16))</f>
        <v>37.880030102092654</v>
      </c>
      <c r="O16" s="211">
        <f>'Staging Table'!BS18*Rates_current!$E$76*100*12</f>
        <v>2970047.8416436207</v>
      </c>
      <c r="P16" s="211">
        <f>'Staging Table'!BS18*Rates_current!$E$77*100*12</f>
        <v>-490362.02526777971</v>
      </c>
      <c r="Q16" s="212">
        <f>SUMPRODUCT('Staging Table'!BY18:CV18, LS_Demand_Rates_Restatement!$C$5:$Z$5)-IF(Init!$R$12="No",('Staging Table'!DU18*Rates_current!$H$34), 0)</f>
        <v>-5844.2394142867379</v>
      </c>
      <c r="R16" s="212">
        <f>SUMPRODUCT('Staging Table'!CW18:DH18, LS_Demand_Rates_Restatement!$C$11:$N$11)*1000</f>
        <v>160610.00305070332</v>
      </c>
      <c r="S16" s="213">
        <f>'Staging Table'!ED18*IF(Init!$R$15="Yes",IF(Init!$R$6=2022,Rates_current!$C$88,Rates_current!$D$88),Rates_current!$H$33)</f>
        <v>0</v>
      </c>
      <c r="T16" s="213">
        <v>0</v>
      </c>
      <c r="U16" s="213">
        <f>IF('Staging Table'!D18=1, 'Staging Table'!BU18*-1*'Staging Table'!BS18/'Staging Table'!BR18,SUM(O16:T16)*'Staging Table'!BU18*-1)</f>
        <v>0</v>
      </c>
      <c r="V16" s="211">
        <f>'Staging Table'!BX18*Rates_current!$H$32*-1</f>
        <v>0</v>
      </c>
      <c r="W16" s="211">
        <f>IF('Staging Table'!C18=1,"", SUM(O16:V16))</f>
        <v>2634451.5800122572</v>
      </c>
      <c r="X16" s="211">
        <f>IF('Staging Table'!C18=1,"", (RT1SC!$C$4*'Staging Table'!BS18*'Staging Table'!$BS$2)+SUM('Staging Table'!BY18:CV18)-IF(Init!$R$12="No",'Staging Table'!DU18, 0))</f>
        <v>71873.107738588747</v>
      </c>
      <c r="Y16" s="95">
        <f>IF('Staging Table'!C18=1,"",IF(X16=0, 0, W16/X16))</f>
        <v>36.654204373547877</v>
      </c>
      <c r="Z16" s="87">
        <f ca="1">IF('Staging Table'!C18=1,"",(Y16/N16-1)+(RAND()/100000000000000))</f>
        <v>-3.236073797304017E-2</v>
      </c>
      <c r="AA16" s="53">
        <f t="shared" ca="1" si="0"/>
        <v>17</v>
      </c>
      <c r="AC16" s="421"/>
      <c r="AD16" s="216"/>
      <c r="AE16" s="216"/>
      <c r="AG16" s="216"/>
      <c r="AH16" s="216"/>
    </row>
    <row r="17" spans="2:34">
      <c r="B17" s="135">
        <v>10062</v>
      </c>
      <c r="C17" s="136" t="s">
        <v>20</v>
      </c>
      <c r="D17" s="211">
        <f>IF(Init!$R$9="Yes",'Staging Table'!F19,'Staging Table'!BS19)*Rates_previous!$E$76*100*12</f>
        <v>1790103.0235199998</v>
      </c>
      <c r="E17" s="211">
        <f>IF(Init!$R$9="Yes",'Staging Table'!F19,'Staging Table'!BS19)*Rates_previous!$E$77*100*12</f>
        <v>-181097.90159999998</v>
      </c>
      <c r="F17" s="212">
        <f>IF(Init!$R$9="Yes",SUMPRODUCT('Staging Table'!L19:AI19,LS_Demand_Rates_Restatement!$C$4:$Z$4)-IF(Init!$R$12="No",('Staging Table'!BH19*Rates_previous!$H$34), 0),SUMPRODUCT('Staging Table'!BY19:CV19,LS_Demand_Rates_Restatement!$C$4:$Z$4)-IF(Init!$R$12="No", 'Staging Table'!DU19*Rates_previous!$H$34, 0))</f>
        <v>120519.79196108857</v>
      </c>
      <c r="G17" s="212">
        <f>IF(Init!$R$9="Yes",SUMPRODUCT('Staging Table'!AJ19:AU19,LS_Demand_Rates_Restatement!$C$10:$N$10),SUMPRODUCT(LS_Demand_Rates_Restatement!$C$10:$N$10,'Staging Table'!CW19:DH19))*1000</f>
        <v>91360.225321367558</v>
      </c>
      <c r="H17" s="213">
        <f>IF(Init!$R$9="Yes",'Staging Table'!BQ19,'Staging Table'!ED19)*IF(Init!$R$3=2020,Rates_previous!$C$88,Rates_previous!$D$88)</f>
        <v>0</v>
      </c>
      <c r="I17" s="211">
        <f>IF(Init!$R$9="Yes",IF('Staging Table'!$F$1=2020,(SUM('Staging Table'!AX19:BD19)*Rates_previous!$C$87),(SUM('Staging Table'!AX19:BD19)*Rates_previous!$D$87)),IF('Staging Table'!$F$1=2020,(SUM('Staging Table'!DK19:DQ19)*Rates_previous!$C$87),(SUM('Staging Table'!DK19:DQ19)*Rates_previous!$D$87)))</f>
        <v>21959.474085104222</v>
      </c>
      <c r="J17" s="213">
        <f>IF(Init!$R$9="Yes",IF('Staging Table'!D19=1,'Staging Table'!H19*-1*'Staging Table'!BS19/'Staging Table'!BR19,'Staging Table'!H19*SUM(D17:I17)*(-1)),IF('Staging Table'!D19=1,'Staging Table'!BU19*-1*'Staging Table'!BS19/'Staging Table'!BR19,'Staging Table'!BU19*SUM(D17:I17)*(-1)))</f>
        <v>0</v>
      </c>
      <c r="K17" s="211">
        <f>IF(Init!$R$9="Yes",'Staging Table'!K19,'Staging Table'!BX19)*(-1)*Rates_previous!$H$32</f>
        <v>0</v>
      </c>
      <c r="L17" s="211">
        <f>IF('Staging Table'!C19=1,"",SUM(D17:K17))</f>
        <v>1842844.6132875602</v>
      </c>
      <c r="M17" s="211">
        <f>IF('Staging Table'!C19=1,"",IF(Init!$R$9="Yes",(RT1SC!$C$3*'Staging Table'!F19*'Staging Table'!$F$2)+SUM('Staging Table'!L19:AI19)-IF(Init!$R$12="No",'Staging Table'!BH19, 0),X17))</f>
        <v>46476.144</v>
      </c>
      <c r="N17" s="95">
        <f>IF('Staging Table'!C19=1,"",IF(M17=0, 0, L17/M17))</f>
        <v>39.651409404522894</v>
      </c>
      <c r="O17" s="211">
        <f>'Staging Table'!BS19*Rates_current!$E$76*100*12</f>
        <v>1806249.5230730523</v>
      </c>
      <c r="P17" s="211">
        <f>'Staging Table'!BS19*Rates_current!$E$77*100*12</f>
        <v>-298216.13034452294</v>
      </c>
      <c r="Q17" s="212">
        <f>SUMPRODUCT('Staging Table'!BY19:CV19, LS_Demand_Rates_Restatement!$C$5:$Z$5)-IF(Init!$R$12="No",('Staging Table'!DU19*Rates_current!$H$34), 0)</f>
        <v>118518.8135200582</v>
      </c>
      <c r="R17" s="212">
        <f>SUMPRODUCT('Staging Table'!CW19:DH19, LS_Demand_Rates_Restatement!$C$11:$N$11)*1000</f>
        <v>81596.960503988681</v>
      </c>
      <c r="S17" s="213">
        <f>'Staging Table'!ED19*IF(Init!$R$15="Yes",IF(Init!$R$6=2022,Rates_current!$C$88,Rates_current!$D$88),Rates_current!$H$33)</f>
        <v>0</v>
      </c>
      <c r="T17" s="213">
        <v>0</v>
      </c>
      <c r="U17" s="213">
        <f>IF('Staging Table'!D19=1, 'Staging Table'!BU19*-1*'Staging Table'!BS19/'Staging Table'!BR19,SUM(O17:T17)*'Staging Table'!BU19*-1)</f>
        <v>0</v>
      </c>
      <c r="V17" s="211">
        <f>'Staging Table'!BX19*Rates_current!$H$32*-1</f>
        <v>0</v>
      </c>
      <c r="W17" s="211">
        <f>IF('Staging Table'!C19=1,"", SUM(O17:V17))</f>
        <v>1708149.1667525764</v>
      </c>
      <c r="X17" s="211">
        <f>IF('Staging Table'!C19=1,"", (RT1SC!$C$4*'Staging Table'!BS19*'Staging Table'!$BS$2)+SUM('Staging Table'!BY19:CV19)-IF(Init!$R$12="No",'Staging Table'!DU19, 0))</f>
        <v>44448.24</v>
      </c>
      <c r="Y17" s="95">
        <f>IF('Staging Table'!C19=1,"",IF(X17=0, 0, W17/X17))</f>
        <v>38.430074323585735</v>
      </c>
      <c r="Z17" s="87">
        <f ca="1">IF('Staging Table'!C19=1,"",(Y17/N17-1)+(RAND()/100000000000000))</f>
        <v>-3.0801807534179444E-2</v>
      </c>
      <c r="AA17" s="53">
        <f t="shared" ca="1" si="0"/>
        <v>11</v>
      </c>
      <c r="AC17" s="421"/>
      <c r="AD17" s="216"/>
      <c r="AE17" s="216"/>
      <c r="AG17" s="216"/>
      <c r="AH17" s="216"/>
    </row>
    <row r="18" spans="2:34">
      <c r="B18" s="135">
        <v>10064</v>
      </c>
      <c r="C18" s="136" t="s">
        <v>21</v>
      </c>
      <c r="D18" s="211">
        <f>IF(Init!$R$9="Yes",'Staging Table'!F20,'Staging Table'!BS20)*Rates_previous!$E$76*100*12</f>
        <v>4703892.59712</v>
      </c>
      <c r="E18" s="211">
        <f>IF(Init!$R$9="Yes",'Staging Table'!F20,'Staging Table'!BS20)*Rates_previous!$E$77*100*12</f>
        <v>-475874.88959999999</v>
      </c>
      <c r="F18" s="212">
        <f>IF(Init!$R$9="Yes",SUMPRODUCT('Staging Table'!L20:AI20,LS_Demand_Rates_Restatement!$C$4:$Z$4)-IF(Init!$R$12="No",('Staging Table'!BH20*Rates_previous!$H$34), 0),SUMPRODUCT('Staging Table'!BY20:CV20,LS_Demand_Rates_Restatement!$C$4:$Z$4)-IF(Init!$R$12="No", 'Staging Table'!DU20*Rates_previous!$H$34, 0))</f>
        <v>36589.294037729844</v>
      </c>
      <c r="G18" s="212">
        <f>IF(Init!$R$9="Yes",SUMPRODUCT('Staging Table'!AJ20:AU20,LS_Demand_Rates_Restatement!$C$10:$N$10),SUMPRODUCT(LS_Demand_Rates_Restatement!$C$10:$N$10,'Staging Table'!CW20:DH20))*1000</f>
        <v>172511.56886207263</v>
      </c>
      <c r="H18" s="213">
        <f>IF(Init!$R$9="Yes",'Staging Table'!BQ20,'Staging Table'!ED20)*IF(Init!$R$3=2020,Rates_previous!$C$88,Rates_previous!$D$88)</f>
        <v>-26710.970977266217</v>
      </c>
      <c r="I18" s="211">
        <f>IF(Init!$R$9="Yes",IF('Staging Table'!$F$1=2020,(SUM('Staging Table'!AX20:BD20)*Rates_previous!$C$87),(SUM('Staging Table'!AX20:BD20)*Rates_previous!$D$87)),IF('Staging Table'!$F$1=2020,(SUM('Staging Table'!DK20:DQ20)*Rates_previous!$C$87),(SUM('Staging Table'!DK20:DQ20)*Rates_previous!$D$87)))</f>
        <v>57703.387027666322</v>
      </c>
      <c r="J18" s="213">
        <f>IF(Init!$R$9="Yes",IF('Staging Table'!D20=1,'Staging Table'!H20*-1*'Staging Table'!BS20/'Staging Table'!BR20,'Staging Table'!H20*SUM(D18:I18)*(-1)),IF('Staging Table'!D20=1,'Staging Table'!BU20*-1*'Staging Table'!BS20/'Staging Table'!BR20,'Staging Table'!BU20*SUM(D18:I18)*(-1)))</f>
        <v>0</v>
      </c>
      <c r="K18" s="211">
        <f>IF(Init!$R$9="Yes",'Staging Table'!K20,'Staging Table'!BX20)*(-1)*Rates_previous!$H$32</f>
        <v>0</v>
      </c>
      <c r="L18" s="211">
        <f>IF('Staging Table'!C20=1,"",SUM(D18:K18))</f>
        <v>4468110.9864702011</v>
      </c>
      <c r="M18" s="211">
        <f>IF('Staging Table'!C20=1,"",IF(Init!$R$9="Yes",(RT1SC!$C$3*'Staging Table'!F20*'Staging Table'!$F$2)+SUM('Staging Table'!L20:AI20)-IF(Init!$R$12="No",'Staging Table'!BH20, 0),X18))</f>
        <v>120418.27058382719</v>
      </c>
      <c r="N18" s="95">
        <f>IF('Staging Table'!C20=1,"",IF(M18=0, 0, L18/M18))</f>
        <v>37.104925729354328</v>
      </c>
      <c r="O18" s="211">
        <f>'Staging Table'!BS20*Rates_current!$E$76*100*12</f>
        <v>4776057.5546366042</v>
      </c>
      <c r="P18" s="211">
        <f>'Staging Table'!BS20*Rates_current!$E$77*100*12</f>
        <v>-788538.56239266042</v>
      </c>
      <c r="Q18" s="212">
        <f>SUMPRODUCT('Staging Table'!BY20:CV20, LS_Demand_Rates_Restatement!$C$5:$Z$5)-IF(Init!$R$12="No",('Staging Table'!DU20*Rates_current!$H$34), 0)</f>
        <v>60133.693755288987</v>
      </c>
      <c r="R18" s="212">
        <f>SUMPRODUCT('Staging Table'!CW20:DH20, LS_Demand_Rates_Restatement!$C$11:$N$11)*1000</f>
        <v>161404.11457191061</v>
      </c>
      <c r="S18" s="213">
        <f>'Staging Table'!ED20*IF(Init!$R$15="Yes",IF(Init!$R$6=2022,Rates_current!$C$88,Rates_current!$D$88),Rates_current!$H$33)</f>
        <v>0</v>
      </c>
      <c r="T18" s="213">
        <v>0</v>
      </c>
      <c r="U18" s="213">
        <f>IF('Staging Table'!D20=1, 'Staging Table'!BU20*-1*'Staging Table'!BS20/'Staging Table'!BR20,SUM(O18:T18)*'Staging Table'!BU20*-1)</f>
        <v>0</v>
      </c>
      <c r="V18" s="211">
        <f>'Staging Table'!BX20*Rates_current!$H$32*-1</f>
        <v>0</v>
      </c>
      <c r="W18" s="211">
        <f>IF('Staging Table'!C20=1,"", SUM(O18:V18))</f>
        <v>4209056.8005711436</v>
      </c>
      <c r="X18" s="211">
        <f>IF('Staging Table'!C20=1,"", (RT1SC!$C$4*'Staging Table'!BS20*'Staging Table'!$BS$2)+SUM('Staging Table'!BY20:CV20)-IF(Init!$R$12="No",'Staging Table'!DU20, 0))</f>
        <v>117524.16</v>
      </c>
      <c r="Y18" s="95">
        <f>IF('Staging Table'!C20=1,"",IF(X18=0, 0, W18/X18))</f>
        <v>35.814395955445619</v>
      </c>
      <c r="Z18" s="87">
        <f ca="1">IF('Staging Table'!C20=1,"",(Y18/N18-1)+(RAND()/100000000000000))</f>
        <v>-3.4780551329541227E-2</v>
      </c>
      <c r="AA18" s="53">
        <f t="shared" ca="1" si="0"/>
        <v>34</v>
      </c>
      <c r="AC18" s="421"/>
      <c r="AD18" s="216"/>
      <c r="AE18" s="216"/>
      <c r="AG18" s="216"/>
      <c r="AH18" s="216"/>
    </row>
    <row r="19" spans="2:34">
      <c r="B19" s="135">
        <v>10065</v>
      </c>
      <c r="C19" s="136" t="s">
        <v>22</v>
      </c>
      <c r="D19" s="211">
        <f>IF(Init!$R$9="Yes",'Staging Table'!F21,'Staging Table'!BS21)*Rates_previous!$E$76*100*12</f>
        <v>800222.63411999994</v>
      </c>
      <c r="E19" s="211">
        <f>IF(Init!$R$9="Yes",'Staging Table'!F21,'Staging Table'!BS21)*Rates_previous!$E$77*100*12</f>
        <v>-80955.474600000001</v>
      </c>
      <c r="F19" s="212">
        <f>IF(Init!$R$9="Yes",SUMPRODUCT('Staging Table'!L21:AI21,LS_Demand_Rates_Restatement!$C$4:$Z$4)-IF(Init!$R$12="No",('Staging Table'!BH21*Rates_previous!$H$34), 0),SUMPRODUCT('Staging Table'!BY21:CV21,LS_Demand_Rates_Restatement!$C$4:$Z$4)-IF(Init!$R$12="No", 'Staging Table'!DU21*Rates_previous!$H$34, 0))</f>
        <v>12789.535496634489</v>
      </c>
      <c r="G19" s="212">
        <f>IF(Init!$R$9="Yes",SUMPRODUCT('Staging Table'!AJ21:AU21,LS_Demand_Rates_Restatement!$C$10:$N$10),SUMPRODUCT(LS_Demand_Rates_Restatement!$C$10:$N$10,'Staging Table'!CW21:DH21))*1000</f>
        <v>0</v>
      </c>
      <c r="H19" s="213">
        <f>IF(Init!$R$9="Yes",'Staging Table'!BQ21,'Staging Table'!ED21)*IF(Init!$R$3=2020,Rates_previous!$C$88,Rates_previous!$D$88)</f>
        <v>0</v>
      </c>
      <c r="I19" s="211">
        <f>IF(Init!$R$9="Yes",IF('Staging Table'!$F$1=2020,(SUM('Staging Table'!AX21:BD21)*Rates_previous!$C$87),(SUM('Staging Table'!AX21:BD21)*Rates_previous!$D$87)),IF('Staging Table'!$F$1=2020,(SUM('Staging Table'!DK21:DQ21)*Rates_previous!$C$87),(SUM('Staging Table'!DK21:DQ21)*Rates_previous!$D$87)))</f>
        <v>9816.4563521701948</v>
      </c>
      <c r="J19" s="213">
        <f>IF(Init!$R$9="Yes",IF('Staging Table'!D21=1,'Staging Table'!H21*-1*'Staging Table'!BS21/'Staging Table'!BR21,'Staging Table'!H21*SUM(D19:I19)*(-1)),IF('Staging Table'!D21=1,'Staging Table'!BU21*-1*'Staging Table'!BS21/'Staging Table'!BR21,'Staging Table'!BU21*SUM(D19:I19)*(-1)))</f>
        <v>-42545.562587801687</v>
      </c>
      <c r="K19" s="211">
        <f>IF(Init!$R$9="Yes",'Staging Table'!K21,'Staging Table'!BX21)*(-1)*Rates_previous!$H$32</f>
        <v>0</v>
      </c>
      <c r="L19" s="211">
        <f>IF('Staging Table'!C21=1,"",SUM(D19:K19))</f>
        <v>699327.58878100291</v>
      </c>
      <c r="M19" s="211">
        <f>IF('Staging Table'!C21=1,"",IF(Init!$R$9="Yes",(RT1SC!$C$3*'Staging Table'!F21*'Staging Table'!$F$2)+SUM('Staging Table'!L21:AI21)-IF(Init!$R$12="No",'Staging Table'!BH21, 0),X19))</f>
        <v>20774.160000000003</v>
      </c>
      <c r="N19" s="95">
        <f>IF('Staging Table'!C21=1,"",IF(M19=0, 0, L19/M19))</f>
        <v>33.663338916278818</v>
      </c>
      <c r="O19" s="211">
        <f>'Staging Table'!BS21*Rates_current!$E$76*100*12</f>
        <v>807440.53958934755</v>
      </c>
      <c r="P19" s="211">
        <f>'Staging Table'!BS21*Rates_current!$E$77*100*12</f>
        <v>-133310.37053505162</v>
      </c>
      <c r="Q19" s="212">
        <f>SUMPRODUCT('Staging Table'!BY21:CV21, LS_Demand_Rates_Restatement!$C$5:$Z$5)-IF(Init!$R$12="No",('Staging Table'!DU21*Rates_current!$H$34), 0)</f>
        <v>13995.755974093641</v>
      </c>
      <c r="R19" s="212">
        <f>SUMPRODUCT('Staging Table'!CW21:DH21, LS_Demand_Rates_Restatement!$C$11:$N$11)*1000</f>
        <v>0</v>
      </c>
      <c r="S19" s="213">
        <f>'Staging Table'!ED21*IF(Init!$R$15="Yes",IF(Init!$R$6=2022,Rates_current!$C$88,Rates_current!$D$88),Rates_current!$H$33)</f>
        <v>0</v>
      </c>
      <c r="T19" s="213">
        <v>0</v>
      </c>
      <c r="U19" s="213">
        <f>IF('Staging Table'!D21=1, 'Staging Table'!BU21*-1*'Staging Table'!BS21/'Staging Table'!BR21,SUM(O19:T19)*'Staging Table'!BU21*-1)</f>
        <v>-59582.967000474055</v>
      </c>
      <c r="V19" s="211">
        <f>'Staging Table'!BX21*Rates_current!$H$32*-1</f>
        <v>0</v>
      </c>
      <c r="W19" s="211">
        <f>IF('Staging Table'!C21=1,"", SUM(O19:V19))</f>
        <v>628542.95802791545</v>
      </c>
      <c r="X19" s="211">
        <f>IF('Staging Table'!C21=1,"", (RT1SC!$C$4*'Staging Table'!BS21*'Staging Table'!$BS$2)+SUM('Staging Table'!BY21:CV21)-IF(Init!$R$12="No",'Staging Table'!DU21, 0))</f>
        <v>19867.679999999997</v>
      </c>
      <c r="Y19" s="95">
        <f>IF('Staging Table'!C21=1,"",IF(X19=0, 0, W19/X19))</f>
        <v>31.63645468559568</v>
      </c>
      <c r="Z19" s="87">
        <f ca="1">IF('Staging Table'!C21=1,"",(Y19/N19-1)+(RAND()/100000000000000))</f>
        <v>-6.021043354385798E-2</v>
      </c>
      <c r="AA19" s="53">
        <f t="shared" ca="1" si="0"/>
        <v>112</v>
      </c>
      <c r="AC19" s="421"/>
      <c r="AD19" s="216"/>
      <c r="AE19" s="216"/>
      <c r="AG19" s="216"/>
      <c r="AH19" s="216"/>
    </row>
    <row r="20" spans="2:34">
      <c r="B20" s="135">
        <v>10066</v>
      </c>
      <c r="C20" s="136" t="s">
        <v>23</v>
      </c>
      <c r="D20" s="211">
        <f>IF(Init!$R$9="Yes",'Staging Table'!F22,'Staging Table'!BS22)*Rates_previous!$E$76*100*12</f>
        <v>8202103.7499600006</v>
      </c>
      <c r="E20" s="211">
        <f>IF(Init!$R$9="Yes",'Staging Table'!F22,'Staging Table'!BS22)*Rates_previous!$E$77*100*12</f>
        <v>-829775.58179999981</v>
      </c>
      <c r="F20" s="212">
        <f>IF(Init!$R$9="Yes",SUMPRODUCT('Staging Table'!L22:AI22,LS_Demand_Rates_Restatement!$C$4:$Z$4)-IF(Init!$R$12="No",('Staging Table'!BH22*Rates_previous!$H$34), 0),SUMPRODUCT('Staging Table'!BY22:CV22,LS_Demand_Rates_Restatement!$C$4:$Z$4)-IF(Init!$R$12="No", 'Staging Table'!DU22*Rates_previous!$H$34, 0))</f>
        <v>-539418.2732155415</v>
      </c>
      <c r="G20" s="212">
        <f>IF(Init!$R$9="Yes",SUMPRODUCT('Staging Table'!AJ22:AU22,LS_Demand_Rates_Restatement!$C$10:$N$10),SUMPRODUCT(LS_Demand_Rates_Restatement!$C$10:$N$10,'Staging Table'!CW22:DH22))*1000</f>
        <v>163078.12479326932</v>
      </c>
      <c r="H20" s="213">
        <f>IF(Init!$R$9="Yes",'Staging Table'!BQ22,'Staging Table'!ED22)*IF(Init!$R$3=2020,Rates_previous!$C$88,Rates_previous!$D$88)</f>
        <v>0</v>
      </c>
      <c r="I20" s="211">
        <f>IF(Init!$R$9="Yes",IF('Staging Table'!$F$1=2020,(SUM('Staging Table'!AX22:BD22)*Rates_previous!$C$87),(SUM('Staging Table'!AX22:BD22)*Rates_previous!$D$87)),IF('Staging Table'!$F$1=2020,(SUM('Staging Table'!DK22:DQ22)*Rates_previous!$C$87),(SUM('Staging Table'!DK22:DQ22)*Rates_previous!$D$87)))</f>
        <v>100616.49099190545</v>
      </c>
      <c r="J20" s="213">
        <f>IF(Init!$R$9="Yes",IF('Staging Table'!D22=1,'Staging Table'!H22*-1*'Staging Table'!BS22/'Staging Table'!BR22,'Staging Table'!H22*SUM(D20:I20)*(-1)),IF('Staging Table'!D22=1,'Staging Table'!BU22*-1*'Staging Table'!BS22/'Staging Table'!BR22,'Staging Table'!BU22*SUM(D20:I20)*(-1)))</f>
        <v>0</v>
      </c>
      <c r="K20" s="211">
        <f>IF(Init!$R$9="Yes",'Staging Table'!K22,'Staging Table'!BX22)*(-1)*Rates_previous!$H$32</f>
        <v>0</v>
      </c>
      <c r="L20" s="211">
        <f>IF('Staging Table'!C22=1,"",SUM(D20:K20))</f>
        <v>7096604.5107296342</v>
      </c>
      <c r="M20" s="211">
        <f>IF('Staging Table'!C22=1,"",IF(Init!$R$9="Yes",(RT1SC!$C$3*'Staging Table'!F22*'Staging Table'!$F$2)+SUM('Staging Table'!L22:AI22)-IF(Init!$R$12="No",'Staging Table'!BH22, 0),X20))</f>
        <v>174732.99999274759</v>
      </c>
      <c r="N20" s="95">
        <f>IF('Staging Table'!C22=1,"",IF(M20=0, 0, L20/M20))</f>
        <v>40.613991123738408</v>
      </c>
      <c r="O20" s="211">
        <f>'Staging Table'!BS22*Rates_current!$E$76*100*12</f>
        <v>8276085.6732307617</v>
      </c>
      <c r="P20" s="211">
        <f>'Staging Table'!BS22*Rates_current!$E$77*100*12</f>
        <v>-1366401.6030695476</v>
      </c>
      <c r="Q20" s="212">
        <f>SUMPRODUCT('Staging Table'!BY22:CV22, LS_Demand_Rates_Restatement!$C$5:$Z$5)-IF(Init!$R$12="No",('Staging Table'!DU22*Rates_current!$H$34), 0)</f>
        <v>-51622.866672583303</v>
      </c>
      <c r="R20" s="212">
        <f>SUMPRODUCT('Staging Table'!CW22:DH22, LS_Demand_Rates_Restatement!$C$11:$N$11)*1000</f>
        <v>149565.85901995181</v>
      </c>
      <c r="S20" s="213">
        <f>'Staging Table'!ED22*IF(Init!$R$15="Yes",IF(Init!$R$6=2022,Rates_current!$C$88,Rates_current!$D$88),Rates_current!$H$33)</f>
        <v>0</v>
      </c>
      <c r="T20" s="213">
        <v>0</v>
      </c>
      <c r="U20" s="213">
        <f>IF('Staging Table'!D22=1, 'Staging Table'!BU22*-1*'Staging Table'!BS22/'Staging Table'!BR22,SUM(O20:T20)*'Staging Table'!BU22*-1)</f>
        <v>0</v>
      </c>
      <c r="V20" s="211">
        <f>'Staging Table'!BX22*Rates_current!$H$32*-1</f>
        <v>0</v>
      </c>
      <c r="W20" s="211">
        <f>IF('Staging Table'!C22=1,"", SUM(O20:V20))</f>
        <v>7007627.0625085831</v>
      </c>
      <c r="X20" s="211">
        <f>IF('Staging Table'!C22=1,"", (RT1SC!$C$4*'Staging Table'!BS22*'Staging Table'!$BS$2)+SUM('Staging Table'!BY22:CV22)-IF(Init!$R$12="No",'Staging Table'!DU22, 0))</f>
        <v>195327.04241763716</v>
      </c>
      <c r="Y20" s="95">
        <f>IF('Staging Table'!C22=1,"",IF(X20=0, 0, W20/X20))</f>
        <v>35.876379306073112</v>
      </c>
      <c r="Z20" s="87">
        <f ca="1">IF('Staging Table'!C22=1,"",(Y20/N20-1)+(RAND()/100000000000000))</f>
        <v>-0.11664974769977469</v>
      </c>
      <c r="AA20" s="53">
        <f t="shared" ca="1" si="0"/>
        <v>116</v>
      </c>
      <c r="AC20" s="421"/>
      <c r="AD20" s="216"/>
      <c r="AE20" s="216"/>
      <c r="AG20" s="216"/>
      <c r="AH20" s="216"/>
    </row>
    <row r="21" spans="2:34">
      <c r="B21" s="135">
        <v>10067</v>
      </c>
      <c r="C21" s="136" t="s">
        <v>24</v>
      </c>
      <c r="D21" s="211">
        <f>IF(Init!$R$9="Yes",'Staging Table'!F23,'Staging Table'!BS23)*Rates_previous!$E$76*100*12</f>
        <v>5323013.4649200002</v>
      </c>
      <c r="E21" s="211">
        <f>IF(Init!$R$9="Yes",'Staging Table'!F23,'Staging Table'!BS23)*Rates_previous!$E$77*100*12</f>
        <v>-538508.98860000004</v>
      </c>
      <c r="F21" s="212">
        <f>IF(Init!$R$9="Yes",SUMPRODUCT('Staging Table'!L23:AI23,LS_Demand_Rates_Restatement!$C$4:$Z$4)-IF(Init!$R$12="No",('Staging Table'!BH23*Rates_previous!$H$34), 0),SUMPRODUCT('Staging Table'!BY23:CV23,LS_Demand_Rates_Restatement!$C$4:$Z$4)-IF(Init!$R$12="No", 'Staging Table'!DU23*Rates_previous!$H$34, 0))</f>
        <v>-23959.904253679899</v>
      </c>
      <c r="G21" s="212">
        <f>IF(Init!$R$9="Yes",SUMPRODUCT('Staging Table'!AJ23:AU23,LS_Demand_Rates_Restatement!$C$10:$N$10),SUMPRODUCT(LS_Demand_Rates_Restatement!$C$10:$N$10,'Staging Table'!CW23:DH23))*1000</f>
        <v>609092.8257963676</v>
      </c>
      <c r="H21" s="213">
        <f>IF(Init!$R$9="Yes",'Staging Table'!BQ23,'Staging Table'!ED23)*IF(Init!$R$3=2020,Rates_previous!$C$88,Rates_previous!$D$88)</f>
        <v>0</v>
      </c>
      <c r="I21" s="211">
        <f>IF(Init!$R$9="Yes",IF('Staging Table'!$F$1=2020,(SUM('Staging Table'!AX23:BD23)*Rates_previous!$C$87),(SUM('Staging Table'!AX23:BD23)*Rates_previous!$D$87)),IF('Staging Table'!$F$1=2020,(SUM('Staging Table'!DK23:DQ23)*Rates_previous!$C$87),(SUM('Staging Table'!DK23:DQ23)*Rates_previous!$D$87)))</f>
        <v>65298.239655347745</v>
      </c>
      <c r="J21" s="213">
        <f>IF(Init!$R$9="Yes",IF('Staging Table'!D23=1,'Staging Table'!H23*-1*'Staging Table'!BS23/'Staging Table'!BR23,'Staging Table'!H23*SUM(D21:I21)*(-1)),IF('Staging Table'!D23=1,'Staging Table'!BU23*-1*'Staging Table'!BS23/'Staging Table'!BR23,'Staging Table'!BU23*SUM(D21:I21)*(-1)))</f>
        <v>0</v>
      </c>
      <c r="K21" s="211">
        <f>IF(Init!$R$9="Yes",'Staging Table'!K23,'Staging Table'!BX23)*(-1)*Rates_previous!$H$32</f>
        <v>0</v>
      </c>
      <c r="L21" s="211">
        <f>IF('Staging Table'!C23=1,"",SUM(D21:K21))</f>
        <v>5434935.6375180352</v>
      </c>
      <c r="M21" s="211">
        <f>IF('Staging Table'!C23=1,"",IF(Init!$R$9="Yes",(RT1SC!$C$3*'Staging Table'!F23*'Staging Table'!$F$2)+SUM('Staging Table'!L23:AI23)-IF(Init!$R$12="No",'Staging Table'!BH23, 0),X21))</f>
        <v>132968.95818714521</v>
      </c>
      <c r="N21" s="95">
        <f>IF('Staging Table'!C23=1,"",IF(M21=0, 0, L21/M21))</f>
        <v>40.873717532393648</v>
      </c>
      <c r="O21" s="211">
        <f>'Staging Table'!BS23*Rates_current!$E$76*100*12</f>
        <v>5371266.1733656693</v>
      </c>
      <c r="P21" s="211">
        <f>'Staging Table'!BS23*Rates_current!$E$77*100*12</f>
        <v>-886808.93354442716</v>
      </c>
      <c r="Q21" s="212">
        <f>SUMPRODUCT('Staging Table'!BY23:CV23, LS_Demand_Rates_Restatement!$C$5:$Z$5)-IF(Init!$R$12="No",('Staging Table'!DU23*Rates_current!$H$34), 0)</f>
        <v>-141923.85119732711</v>
      </c>
      <c r="R21" s="212">
        <f>SUMPRODUCT('Staging Table'!CW23:DH23, LS_Demand_Rates_Restatement!$C$11:$N$11)*1000</f>
        <v>562669.01032548957</v>
      </c>
      <c r="S21" s="213">
        <f>'Staging Table'!ED23*IF(Init!$R$15="Yes",IF(Init!$R$6=2022,Rates_current!$C$88,Rates_current!$D$88),Rates_current!$H$33)</f>
        <v>0</v>
      </c>
      <c r="T21" s="213">
        <v>0</v>
      </c>
      <c r="U21" s="213">
        <f>IF('Staging Table'!D23=1, 'Staging Table'!BU23*-1*'Staging Table'!BS23/'Staging Table'!BR23,SUM(O21:T21)*'Staging Table'!BU23*-1)</f>
        <v>0</v>
      </c>
      <c r="V21" s="211">
        <f>'Staging Table'!BX23*Rates_current!$H$32*-1</f>
        <v>0</v>
      </c>
      <c r="W21" s="211">
        <f>IF('Staging Table'!C23=1,"", SUM(O21:V21))</f>
        <v>4905202.3989494042</v>
      </c>
      <c r="X21" s="211">
        <f>IF('Staging Table'!C23=1,"", (RT1SC!$C$4*'Staging Table'!BS23*'Staging Table'!$BS$2)+SUM('Staging Table'!BY23:CV23)-IF(Init!$R$12="No",'Staging Table'!DU23, 0))</f>
        <v>124801.97576115548</v>
      </c>
      <c r="Y21" s="95">
        <f>IF('Staging Table'!C23=1,"",IF(X21=0, 0, W21/X21))</f>
        <v>39.303884165559381</v>
      </c>
      <c r="Z21" s="87">
        <f ca="1">IF('Staging Table'!C23=1,"",(Y21/N21-1)+(RAND()/100000000000000))</f>
        <v>-3.8406914310883389E-2</v>
      </c>
      <c r="AA21" s="53">
        <f t="shared" ca="1" si="0"/>
        <v>77</v>
      </c>
      <c r="AC21" s="421"/>
      <c r="AD21" s="216"/>
      <c r="AE21" s="216"/>
      <c r="AG21" s="216"/>
      <c r="AH21" s="216"/>
    </row>
    <row r="22" spans="2:34">
      <c r="B22" s="135">
        <v>10068</v>
      </c>
      <c r="C22" s="136" t="s">
        <v>25</v>
      </c>
      <c r="D22" s="211">
        <f>IF(Init!$R$9="Yes",'Staging Table'!F24,'Staging Table'!BS24)*Rates_previous!$E$76*100*12</f>
        <v>864392.55132000009</v>
      </c>
      <c r="E22" s="211">
        <f>IF(Init!$R$9="Yes",'Staging Table'!F24,'Staging Table'!BS24)*Rates_previous!$E$77*100*12</f>
        <v>-87447.300599999988</v>
      </c>
      <c r="F22" s="212">
        <f>IF(Init!$R$9="Yes",SUMPRODUCT('Staging Table'!L24:AI24,LS_Demand_Rates_Restatement!$C$4:$Z$4)-IF(Init!$R$12="No",('Staging Table'!BH24*Rates_previous!$H$34), 0),SUMPRODUCT('Staging Table'!BY24:CV24,LS_Demand_Rates_Restatement!$C$4:$Z$4)-IF(Init!$R$12="No", 'Staging Table'!DU24*Rates_previous!$H$34, 0))</f>
        <v>6902.8954501007165</v>
      </c>
      <c r="G22" s="212">
        <f>IF(Init!$R$9="Yes",SUMPRODUCT('Staging Table'!AJ24:AU24,LS_Demand_Rates_Restatement!$C$10:$N$10),SUMPRODUCT(LS_Demand_Rates_Restatement!$C$10:$N$10,'Staging Table'!CW24:DH24))*1000</f>
        <v>37111.673373076919</v>
      </c>
      <c r="H22" s="213">
        <f>IF(Init!$R$9="Yes",'Staging Table'!BQ24,'Staging Table'!ED24)*IF(Init!$R$3=2020,Rates_previous!$C$88,Rates_previous!$D$88)</f>
        <v>-7450.8582091248245</v>
      </c>
      <c r="I22" s="211">
        <f>IF(Init!$R$9="Yes",IF('Staging Table'!$F$1=2020,(SUM('Staging Table'!AX24:BD24)*Rates_previous!$C$87),(SUM('Staging Table'!AX24:BD24)*Rates_previous!$D$87)),IF('Staging Table'!$F$1=2020,(SUM('Staging Table'!DK24:DQ24)*Rates_previous!$C$87),(SUM('Staging Table'!DK24:DQ24)*Rates_previous!$D$87)))</f>
        <v>10603.638774233146</v>
      </c>
      <c r="J22" s="213">
        <f>IF(Init!$R$9="Yes",IF('Staging Table'!D24=1,'Staging Table'!H24*-1*'Staging Table'!BS24/'Staging Table'!BR24,'Staging Table'!H24*SUM(D22:I22)*(-1)),IF('Staging Table'!D24=1,'Staging Table'!BU24*-1*'Staging Table'!BS24/'Staging Table'!BR24,'Staging Table'!BU24*SUM(D22:I22)*(-1)))</f>
        <v>0</v>
      </c>
      <c r="K22" s="211">
        <f>IF(Init!$R$9="Yes",'Staging Table'!K24,'Staging Table'!BX24)*(-1)*Rates_previous!$H$32</f>
        <v>0</v>
      </c>
      <c r="L22" s="211">
        <f>IF('Staging Table'!C24=1,"",SUM(D22:K22))</f>
        <v>824112.60010828613</v>
      </c>
      <c r="M22" s="211">
        <f>IF('Staging Table'!C24=1,"",IF(Init!$R$9="Yes",(RT1SC!$C$3*'Staging Table'!F24*'Staging Table'!$F$2)+SUM('Staging Table'!L24:AI24)-IF(Init!$R$12="No",'Staging Table'!BH24, 0),X22))</f>
        <v>21967.330842329196</v>
      </c>
      <c r="N22" s="95">
        <f>IF('Staging Table'!C24=1,"",IF(M22=0, 0, L22/M22))</f>
        <v>37.515372533120434</v>
      </c>
      <c r="O22" s="211">
        <f>'Staging Table'!BS24*Rates_current!$E$76*100*12</f>
        <v>921590.13770177099</v>
      </c>
      <c r="P22" s="211">
        <f>'Staging Table'!BS24*Rates_current!$E$77*100*12</f>
        <v>-152156.74308470549</v>
      </c>
      <c r="Q22" s="212">
        <f>SUMPRODUCT('Staging Table'!BY24:CV24, LS_Demand_Rates_Restatement!$C$5:$Z$5)-IF(Init!$R$12="No",('Staging Table'!DU24*Rates_current!$H$34), 0)</f>
        <v>-5301.8590069563252</v>
      </c>
      <c r="R22" s="212">
        <f>SUMPRODUCT('Staging Table'!CW24:DH24, LS_Demand_Rates_Restatement!$C$11:$N$11)*1000</f>
        <v>35761.837758404559</v>
      </c>
      <c r="S22" s="213">
        <f>'Staging Table'!ED24*IF(Init!$R$15="Yes",IF(Init!$R$6=2022,Rates_current!$C$88,Rates_current!$D$88),Rates_current!$H$33)</f>
        <v>-4352.2070120070393</v>
      </c>
      <c r="T22" s="213">
        <v>0</v>
      </c>
      <c r="U22" s="213">
        <f>IF('Staging Table'!D24=1, 'Staging Table'!BU24*-1*'Staging Table'!BS24/'Staging Table'!BR24,SUM(O22:T22)*'Staging Table'!BU24*-1)</f>
        <v>0</v>
      </c>
      <c r="V22" s="211">
        <f>'Staging Table'!BX24*Rates_current!$H$32*-1</f>
        <v>0</v>
      </c>
      <c r="W22" s="211">
        <f>IF('Staging Table'!C24=1,"", SUM(O22:V22))</f>
        <v>795541.16635650676</v>
      </c>
      <c r="X22" s="211">
        <f>IF('Staging Table'!C24=1,"", (RT1SC!$C$4*'Staging Table'!BS24*'Staging Table'!$BS$2)+SUM('Staging Table'!BY24:CV24)-IF(Init!$R$12="No",'Staging Table'!DU24, 0))</f>
        <v>21967.331160064314</v>
      </c>
      <c r="Y22" s="95">
        <f>IF('Staging Table'!C24=1,"",IF(X22=0, 0, W22/X22))</f>
        <v>36.21473908504494</v>
      </c>
      <c r="Z22" s="87">
        <f ca="1">IF('Staging Table'!C24=1,"",(Y22/N22-1)+(RAND()/100000000000000))</f>
        <v>-3.4669346463964586E-2</v>
      </c>
      <c r="AA22" s="53">
        <f t="shared" ca="1" si="0"/>
        <v>33</v>
      </c>
      <c r="AC22" s="421"/>
      <c r="AD22" s="216"/>
      <c r="AE22" s="216"/>
      <c r="AG22" s="216"/>
      <c r="AH22" s="216"/>
    </row>
    <row r="23" spans="2:34">
      <c r="B23" s="135">
        <v>10070</v>
      </c>
      <c r="C23" s="136" t="s">
        <v>26</v>
      </c>
      <c r="D23" s="211">
        <f>IF(Init!$R$9="Yes",'Staging Table'!F25,'Staging Table'!BS25)*Rates_previous!$E$76*100*12</f>
        <v>120734.51088</v>
      </c>
      <c r="E23" s="211">
        <f>IF(Init!$R$9="Yes",'Staging Table'!F25,'Staging Table'!BS25)*Rates_previous!$E$77*100*12</f>
        <v>-12214.250400000001</v>
      </c>
      <c r="F23" s="212">
        <f>IF(Init!$R$9="Yes",SUMPRODUCT('Staging Table'!L25:AI25,LS_Demand_Rates_Restatement!$C$4:$Z$4)-IF(Init!$R$12="No",('Staging Table'!BH25*Rates_previous!$H$34), 0),SUMPRODUCT('Staging Table'!BY25:CV25,LS_Demand_Rates_Restatement!$C$4:$Z$4)-IF(Init!$R$12="No", 'Staging Table'!DU25*Rates_previous!$H$34, 0))</f>
        <v>2131.2600443890356</v>
      </c>
      <c r="G23" s="212">
        <f>IF(Init!$R$9="Yes",SUMPRODUCT('Staging Table'!AJ25:AU25,LS_Demand_Rates_Restatement!$C$10:$N$10),SUMPRODUCT(LS_Demand_Rates_Restatement!$C$10:$N$10,'Staging Table'!CW25:DH25))*1000</f>
        <v>7966.2733528490025</v>
      </c>
      <c r="H23" s="213">
        <f>IF(Init!$R$9="Yes",'Staging Table'!BQ25,'Staging Table'!ED25)*IF(Init!$R$3=2020,Rates_previous!$C$88,Rates_previous!$D$88)</f>
        <v>0</v>
      </c>
      <c r="I23" s="211">
        <f>IF(Init!$R$9="Yes",IF('Staging Table'!$F$1=2020,(SUM('Staging Table'!AX25:BD25)*Rates_previous!$C$87),(SUM('Staging Table'!AX25:BD25)*Rates_previous!$D$87)),IF('Staging Table'!$F$1=2020,(SUM('Staging Table'!DK25:DQ25)*Rates_previous!$C$87),(SUM('Staging Table'!DK25:DQ25)*Rates_previous!$D$87)))</f>
        <v>1481.0691496591801</v>
      </c>
      <c r="J23" s="213">
        <f>IF(Init!$R$9="Yes",IF('Staging Table'!D25=1,'Staging Table'!H25*-1*'Staging Table'!BS25/'Staging Table'!BR25,'Staging Table'!H25*SUM(D23:I23)*(-1)),IF('Staging Table'!D25=1,'Staging Table'!BU25*-1*'Staging Table'!BS25/'Staging Table'!BR25,'Staging Table'!BU25*SUM(D23:I23)*(-1)))</f>
        <v>0</v>
      </c>
      <c r="K23" s="211">
        <f>IF(Init!$R$9="Yes",'Staging Table'!K25,'Staging Table'!BX25)*(-1)*Rates_previous!$H$32</f>
        <v>0</v>
      </c>
      <c r="L23" s="211">
        <f>IF('Staging Table'!C25=1,"",SUM(D23:K23))</f>
        <v>120098.86302689722</v>
      </c>
      <c r="M23" s="211">
        <f>IF('Staging Table'!C25=1,"",IF(Init!$R$9="Yes",(RT1SC!$C$3*'Staging Table'!F25*'Staging Table'!$F$2)+SUM('Staging Table'!L25:AI25)-IF(Init!$R$12="No",'Staging Table'!BH25, 0),X23))</f>
        <v>3135.8879999999999</v>
      </c>
      <c r="N23" s="95">
        <f>IF('Staging Table'!C25=1,"",IF(M23=0, 0, L23/M23))</f>
        <v>38.298199115177972</v>
      </c>
      <c r="O23" s="211">
        <f>'Staging Table'!BS25*Rates_current!$E$76*100*12</f>
        <v>121823.5206746031</v>
      </c>
      <c r="P23" s="211">
        <f>'Staging Table'!BS25*Rates_current!$E$77*100*12</f>
        <v>-20113.355578202027</v>
      </c>
      <c r="Q23" s="212">
        <f>SUMPRODUCT('Staging Table'!BY25:CV25, LS_Demand_Rates_Restatement!$C$5:$Z$5)-IF(Init!$R$12="No",('Staging Table'!DU25*Rates_current!$H$34), 0)</f>
        <v>1754.1343113437415</v>
      </c>
      <c r="R23" s="212">
        <f>SUMPRODUCT('Staging Table'!CW25:DH25, LS_Demand_Rates_Restatement!$C$11:$N$11)*1000</f>
        <v>7387.8607246705824</v>
      </c>
      <c r="S23" s="213">
        <f>'Staging Table'!ED25*IF(Init!$R$15="Yes",IF(Init!$R$6=2022,Rates_current!$C$88,Rates_current!$D$88),Rates_current!$H$33)</f>
        <v>0</v>
      </c>
      <c r="T23" s="213">
        <v>0</v>
      </c>
      <c r="U23" s="213">
        <f>IF('Staging Table'!D25=1, 'Staging Table'!BU25*-1*'Staging Table'!BS25/'Staging Table'!BR25,SUM(O23:T23)*'Staging Table'!BU25*-1)</f>
        <v>0</v>
      </c>
      <c r="V23" s="211">
        <f>'Staging Table'!BX25*Rates_current!$H$32*-1</f>
        <v>0</v>
      </c>
      <c r="W23" s="211">
        <f>IF('Staging Table'!C25=1,"", SUM(O23:V23))</f>
        <v>110852.1601324154</v>
      </c>
      <c r="X23" s="211">
        <f>IF('Staging Table'!C25=1,"", (RT1SC!$C$4*'Staging Table'!BS25*'Staging Table'!$BS$2)+SUM('Staging Table'!BY25:CV25)-IF(Init!$R$12="No",'Staging Table'!DU25, 0))</f>
        <v>2995.92</v>
      </c>
      <c r="Y23" s="95">
        <f>IF('Staging Table'!C25=1,"",IF(X23=0, 0, W23/X23))</f>
        <v>37.001041460524782</v>
      </c>
      <c r="Z23" s="87">
        <f ca="1">IF('Staging Table'!C25=1,"",(Y23/N23-1)+(RAND()/100000000000000))</f>
        <v>-3.3869938655647018E-2</v>
      </c>
      <c r="AA23" s="53">
        <f t="shared" ca="1" si="0"/>
        <v>31</v>
      </c>
      <c r="AC23" s="421"/>
      <c r="AD23" s="216"/>
      <c r="AE23" s="216"/>
      <c r="AG23" s="216"/>
      <c r="AH23" s="216"/>
    </row>
    <row r="24" spans="2:34">
      <c r="B24" s="135">
        <v>10071</v>
      </c>
      <c r="C24" s="136" t="s">
        <v>27</v>
      </c>
      <c r="D24" s="211">
        <f>IF(Init!$R$9="Yes",'Staging Table'!F26,'Staging Table'!BS26)*Rates_previous!$E$76*100*12</f>
        <v>630053.52035999997</v>
      </c>
      <c r="E24" s="211">
        <f>IF(Init!$R$9="Yes",'Staging Table'!F26,'Staging Table'!BS26)*Rates_previous!$E$77*100*12</f>
        <v>-63740.113799999992</v>
      </c>
      <c r="F24" s="212">
        <f>IF(Init!$R$9="Yes",SUMPRODUCT('Staging Table'!L26:AI26,LS_Demand_Rates_Restatement!$C$4:$Z$4)-IF(Init!$R$12="No",('Staging Table'!BH26*Rates_previous!$H$34), 0),SUMPRODUCT('Staging Table'!BY26:CV26,LS_Demand_Rates_Restatement!$C$4:$Z$4)-IF(Init!$R$12="No", 'Staging Table'!DU26*Rates_previous!$H$34, 0))</f>
        <v>10772.501295847411</v>
      </c>
      <c r="G24" s="212">
        <f>IF(Init!$R$9="Yes",SUMPRODUCT('Staging Table'!AJ26:AU26,LS_Demand_Rates_Restatement!$C$10:$N$10),SUMPRODUCT(LS_Demand_Rates_Restatement!$C$10:$N$10,'Staging Table'!CW26:DH26))*1000</f>
        <v>21798.339839102558</v>
      </c>
      <c r="H24" s="213">
        <f>IF(Init!$R$9="Yes",'Staging Table'!BQ26,'Staging Table'!ED26)*IF(Init!$R$3=2020,Rates_previous!$C$88,Rates_previous!$D$88)</f>
        <v>-648.17344520475694</v>
      </c>
      <c r="I24" s="211">
        <f>IF(Init!$R$9="Yes",IF('Staging Table'!$F$1=2020,(SUM('Staging Table'!AX26:BD26)*Rates_previous!$C$87),(SUM('Staging Table'!AX26:BD26)*Rates_previous!$D$87)),IF('Staging Table'!$F$1=2020,(SUM('Staging Table'!DK26:DQ26)*Rates_previous!$C$87),(SUM('Staging Table'!DK26:DQ26)*Rates_previous!$D$87)))</f>
        <v>7728.9651884773348</v>
      </c>
      <c r="J24" s="213">
        <f>IF(Init!$R$9="Yes",IF('Staging Table'!D26=1,'Staging Table'!H26*-1*'Staging Table'!BS26/'Staging Table'!BR26,'Staging Table'!H26*SUM(D24:I24)*(-1)),IF('Staging Table'!D26=1,'Staging Table'!BU26*-1*'Staging Table'!BS26/'Staging Table'!BR26,'Staging Table'!BU26*SUM(D24:I24)*(-1)))</f>
        <v>0</v>
      </c>
      <c r="K24" s="211">
        <f>IF(Init!$R$9="Yes",'Staging Table'!K26,'Staging Table'!BX26)*(-1)*Rates_previous!$H$32</f>
        <v>0</v>
      </c>
      <c r="L24" s="211">
        <f>IF('Staging Table'!C26=1,"",SUM(D24:K24))</f>
        <v>605965.03943822253</v>
      </c>
      <c r="M24" s="211">
        <f>IF('Staging Table'!C26=1,"",IF(Init!$R$9="Yes",(RT1SC!$C$3*'Staging Table'!F26*'Staging Table'!$F$2)+SUM('Staging Table'!L26:AI26)-IF(Init!$R$12="No",'Staging Table'!BH26, 0),X24))</f>
        <v>16314.4176139716</v>
      </c>
      <c r="N24" s="95">
        <f>IF('Staging Table'!C26=1,"",IF(M24=0, 0, L24/M24))</f>
        <v>37.142915780167144</v>
      </c>
      <c r="O24" s="211">
        <f>'Staging Table'!BS26*Rates_current!$E$76*100*12</f>
        <v>650125.12706466322</v>
      </c>
      <c r="P24" s="211">
        <f>'Staging Table'!BS26*Rates_current!$E$77*100*12</f>
        <v>-107337.21844981436</v>
      </c>
      <c r="Q24" s="212">
        <f>SUMPRODUCT('Staging Table'!BY26:CV26, LS_Demand_Rates_Restatement!$C$5:$Z$5)-IF(Init!$R$12="No",('Staging Table'!DU26*Rates_current!$H$34), 0)</f>
        <v>9509.2684726600983</v>
      </c>
      <c r="R24" s="212">
        <f>SUMPRODUCT('Staging Table'!CW26:DH26, LS_Demand_Rates_Restatement!$C$11:$N$11)*1000</f>
        <v>19851.546640509267</v>
      </c>
      <c r="S24" s="213">
        <f>'Staging Table'!ED26*IF(Init!$R$15="Yes",IF(Init!$R$6=2022,Rates_current!$C$88,Rates_current!$D$88),Rates_current!$H$33)</f>
        <v>0</v>
      </c>
      <c r="T24" s="213">
        <v>0</v>
      </c>
      <c r="U24" s="213">
        <f>IF('Staging Table'!D26=1, 'Staging Table'!BU26*-1*'Staging Table'!BS26/'Staging Table'!BR26,SUM(O24:T24)*'Staging Table'!BU26*-1)</f>
        <v>0</v>
      </c>
      <c r="V24" s="211">
        <f>'Staging Table'!BX26*Rates_current!$H$32*-1</f>
        <v>0</v>
      </c>
      <c r="W24" s="211">
        <f>IF('Staging Table'!C26=1,"", SUM(O24:V24))</f>
        <v>572148.72372801823</v>
      </c>
      <c r="X24" s="211">
        <f>IF('Staging Table'!C26=1,"", (RT1SC!$C$4*'Staging Table'!BS26*'Staging Table'!$BS$2)+SUM('Staging Table'!BY26:CV26)-IF(Init!$R$12="No",'Staging Table'!DU26, 0))</f>
        <v>15995.76</v>
      </c>
      <c r="Y24" s="95">
        <f>IF('Staging Table'!C26=1,"",IF(X24=0, 0, W24/X24))</f>
        <v>35.768773958100034</v>
      </c>
      <c r="Z24" s="87">
        <f ca="1">IF('Staging Table'!C26=1,"",(Y24/N24-1)+(RAND()/100000000000000))</f>
        <v>-3.6996067573147558E-2</v>
      </c>
      <c r="AA24" s="53">
        <f t="shared" ca="1" si="0"/>
        <v>64</v>
      </c>
      <c r="AC24" s="421"/>
      <c r="AD24" s="216"/>
      <c r="AE24" s="216"/>
      <c r="AG24" s="216"/>
      <c r="AH24" s="216"/>
    </row>
    <row r="25" spans="2:34">
      <c r="B25" s="135">
        <v>10072</v>
      </c>
      <c r="C25" s="136" t="s">
        <v>28</v>
      </c>
      <c r="D25" s="211">
        <f>IF(Init!$R$9="Yes",'Staging Table'!F27,'Staging Table'!BS27)*Rates_previous!$E$76*100*12</f>
        <v>8071149.5855999999</v>
      </c>
      <c r="E25" s="211">
        <f>IF(Init!$R$9="Yes",'Staging Table'!F27,'Staging Table'!BS27)*Rates_previous!$E$77*100*12</f>
        <v>-816527.44800000009</v>
      </c>
      <c r="F25" s="212">
        <f>IF(Init!$R$9="Yes",SUMPRODUCT('Staging Table'!L27:AI27,LS_Demand_Rates_Restatement!$C$4:$Z$4)-IF(Init!$R$12="No",('Staging Table'!BH27*Rates_previous!$H$34), 0),SUMPRODUCT('Staging Table'!BY27:CV27,LS_Demand_Rates_Restatement!$C$4:$Z$4)-IF(Init!$R$12="No", 'Staging Table'!DU27*Rates_previous!$H$34, 0))</f>
        <v>123021.37437317753</v>
      </c>
      <c r="G25" s="212">
        <f>IF(Init!$R$9="Yes",SUMPRODUCT('Staging Table'!AJ27:AU27,LS_Demand_Rates_Restatement!$C$10:$N$10),SUMPRODUCT(LS_Demand_Rates_Restatement!$C$10:$N$10,'Staging Table'!CW27:DH27))*1000</f>
        <v>435481.87075808411</v>
      </c>
      <c r="H25" s="213">
        <f>IF(Init!$R$9="Yes",'Staging Table'!BQ27,'Staging Table'!ED27)*IF(Init!$R$3=2020,Rates_previous!$C$88,Rates_previous!$D$88)</f>
        <v>0</v>
      </c>
      <c r="I25" s="211">
        <f>IF(Init!$R$9="Yes",IF('Staging Table'!$F$1=2020,(SUM('Staging Table'!AX27:BD27)*Rates_previous!$C$87),(SUM('Staging Table'!AX27:BD27)*Rates_previous!$D$87)),IF('Staging Table'!$F$1=2020,(SUM('Staging Table'!DK27:DQ27)*Rates_previous!$C$87),(SUM('Staging Table'!DK27:DQ27)*Rates_previous!$D$87)))</f>
        <v>99010.055752806627</v>
      </c>
      <c r="J25" s="213">
        <f>IF(Init!$R$9="Yes",IF('Staging Table'!D27=1,'Staging Table'!H27*-1*'Staging Table'!BS27/'Staging Table'!BR27,'Staging Table'!H27*SUM(D25:I25)*(-1)),IF('Staging Table'!D27=1,'Staging Table'!BU27*-1*'Staging Table'!BS27/'Staging Table'!BR27,'Staging Table'!BU27*SUM(D25:I25)*(-1)))</f>
        <v>0</v>
      </c>
      <c r="K25" s="211">
        <f>IF(Init!$R$9="Yes",'Staging Table'!K27,'Staging Table'!BX27)*(-1)*Rates_previous!$H$32</f>
        <v>0</v>
      </c>
      <c r="L25" s="211">
        <f>IF('Staging Table'!C27=1,"",SUM(D25:K25))</f>
        <v>7912135.438484069</v>
      </c>
      <c r="M25" s="211">
        <f>IF('Staging Table'!C27=1,"",IF(Init!$R$9="Yes",(RT1SC!$C$3*'Staging Table'!F27*'Staging Table'!$F$2)+SUM('Staging Table'!L27:AI27)-IF(Init!$R$12="No",'Staging Table'!BH27, 0),X25))</f>
        <v>209542.32</v>
      </c>
      <c r="N25" s="95">
        <f>IF('Staging Table'!C27=1,"",IF(M25=0, 0, L25/M25))</f>
        <v>37.759128745372621</v>
      </c>
      <c r="O25" s="211">
        <f>'Staging Table'!BS27*Rates_current!$E$76*100*12</f>
        <v>8143950.3191132303</v>
      </c>
      <c r="P25" s="211">
        <f>'Staging Table'!BS27*Rates_current!$E$77*100*12</f>
        <v>-1344585.7390467338</v>
      </c>
      <c r="Q25" s="212">
        <f>SUMPRODUCT('Staging Table'!BY27:CV27, LS_Demand_Rates_Restatement!$C$5:$Z$5)-IF(Init!$R$12="No",('Staging Table'!DU27*Rates_current!$H$34), 0)</f>
        <v>-35296.896362416825</v>
      </c>
      <c r="R25" s="212">
        <f>SUMPRODUCT('Staging Table'!CW27:DH27, LS_Demand_Rates_Restatement!$C$11:$N$11)*1000</f>
        <v>394834.42129694641</v>
      </c>
      <c r="S25" s="213">
        <f>'Staging Table'!ED27*IF(Init!$R$15="Yes",IF(Init!$R$6=2022,Rates_current!$C$88,Rates_current!$D$88),Rates_current!$H$33)</f>
        <v>0</v>
      </c>
      <c r="T25" s="213">
        <v>0</v>
      </c>
      <c r="U25" s="213">
        <f>IF('Staging Table'!D27=1, 'Staging Table'!BU27*-1*'Staging Table'!BS27/'Staging Table'!BR27,SUM(O25:T25)*'Staging Table'!BU27*-1)</f>
        <v>0</v>
      </c>
      <c r="V25" s="211">
        <f>'Staging Table'!BX27*Rates_current!$H$32*-1</f>
        <v>0</v>
      </c>
      <c r="W25" s="211">
        <f>IF('Staging Table'!C27=1,"", SUM(O25:V25))</f>
        <v>7158902.1050010268</v>
      </c>
      <c r="X25" s="211">
        <f>IF('Staging Table'!C27=1,"", (RT1SC!$C$4*'Staging Table'!BS27*'Staging Table'!$BS$2)+SUM('Staging Table'!BY27:CV27)-IF(Init!$R$12="No",'Staging Table'!DU27, 0))</f>
        <v>195384.15625130993</v>
      </c>
      <c r="Y25" s="95">
        <f>IF('Staging Table'!C27=1,"",IF(X25=0, 0, W25/X25))</f>
        <v>36.640136244174251</v>
      </c>
      <c r="Z25" s="87">
        <f ca="1">IF('Staging Table'!C27=1,"",(Y25/N25-1)+(RAND()/100000000000000))</f>
        <v>-2.9635019090195176E-2</v>
      </c>
      <c r="AA25" s="53">
        <f t="shared" ca="1" si="0"/>
        <v>9</v>
      </c>
      <c r="AC25" s="421"/>
      <c r="AD25" s="216"/>
      <c r="AE25" s="216"/>
      <c r="AG25" s="216"/>
      <c r="AH25" s="216"/>
    </row>
    <row r="26" spans="2:34">
      <c r="B26" s="135">
        <v>10074</v>
      </c>
      <c r="C26" s="136" t="s">
        <v>29</v>
      </c>
      <c r="D26" s="211">
        <f>IF(Init!$R$9="Yes",'Staging Table'!F28,'Staging Table'!BS28)*Rates_previous!$E$76*100*12</f>
        <v>8979748.0798799992</v>
      </c>
      <c r="E26" s="211">
        <f>IF(Init!$R$9="Yes",'Staging Table'!F28,'Staging Table'!BS28)*Rates_previous!$E$77*100*12</f>
        <v>-908446.89539999992</v>
      </c>
      <c r="F26" s="212">
        <f>IF(Init!$R$9="Yes",SUMPRODUCT('Staging Table'!L28:AI28,LS_Demand_Rates_Restatement!$C$4:$Z$4)-IF(Init!$R$12="No",('Staging Table'!BH28*Rates_previous!$H$34), 0),SUMPRODUCT('Staging Table'!BY28:CV28,LS_Demand_Rates_Restatement!$C$4:$Z$4)-IF(Init!$R$12="No", 'Staging Table'!DU28*Rates_previous!$H$34, 0))</f>
        <v>-37706.741766721279</v>
      </c>
      <c r="G26" s="212">
        <f>IF(Init!$R$9="Yes",SUMPRODUCT('Staging Table'!AJ28:AU28,LS_Demand_Rates_Restatement!$C$10:$N$10),SUMPRODUCT(LS_Demand_Rates_Restatement!$C$10:$N$10,'Staging Table'!CW28:DH28))*1000</f>
        <v>506719.40336153843</v>
      </c>
      <c r="H26" s="213">
        <f>IF(Init!$R$9="Yes",'Staging Table'!BQ28,'Staging Table'!ED28)*IF(Init!$R$3=2020,Rates_previous!$C$88,Rates_previous!$D$88)</f>
        <v>0</v>
      </c>
      <c r="I26" s="211">
        <f>IF(Init!$R$9="Yes",IF('Staging Table'!$F$1=2020,(SUM('Staging Table'!AX28:BD28)*Rates_previous!$C$87),(SUM('Staging Table'!AX28:BD28)*Rates_previous!$D$87)),IF('Staging Table'!$F$1=2020,(SUM('Staging Table'!DK28:DQ28)*Rates_previous!$C$87),(SUM('Staging Table'!DK28:DQ28)*Rates_previous!$D$87)))</f>
        <v>110155.97575112757</v>
      </c>
      <c r="J26" s="213">
        <f>IF(Init!$R$9="Yes",IF('Staging Table'!D28=1,'Staging Table'!H28*-1*'Staging Table'!BS28/'Staging Table'!BR28,'Staging Table'!H28*SUM(D26:I26)*(-1)),IF('Staging Table'!D28=1,'Staging Table'!BU28*-1*'Staging Table'!BS28/'Staging Table'!BR28,'Staging Table'!BU28*SUM(D26:I26)*(-1)))</f>
        <v>0</v>
      </c>
      <c r="K26" s="211">
        <f>IF(Init!$R$9="Yes",'Staging Table'!K28,'Staging Table'!BX28)*(-1)*Rates_previous!$H$32</f>
        <v>0</v>
      </c>
      <c r="L26" s="211">
        <f>IF('Staging Table'!C28=1,"",SUM(D26:K26))</f>
        <v>8650469.8218259439</v>
      </c>
      <c r="M26" s="211">
        <f>IF('Staging Table'!C28=1,"",IF(Init!$R$9="Yes",(RT1SC!$C$3*'Staging Table'!F28*'Staging Table'!$F$2)+SUM('Staging Table'!L28:AI28)-IF(Init!$R$12="No",'Staging Table'!BH28, 0),X26))</f>
        <v>222579.9807505428</v>
      </c>
      <c r="N26" s="95">
        <f>IF('Staging Table'!C28=1,"",IF(M26=0, 0, L26/M26))</f>
        <v>38.864545646272582</v>
      </c>
      <c r="O26" s="211">
        <f>'Staging Table'!BS28*Rates_current!$E$76*100*12</f>
        <v>9060744.2552136388</v>
      </c>
      <c r="P26" s="211">
        <f>'Staging Table'!BS28*Rates_current!$E$77*100*12</f>
        <v>-1495950.6177385966</v>
      </c>
      <c r="Q26" s="212">
        <f>SUMPRODUCT('Staging Table'!BY28:CV28, LS_Demand_Rates_Restatement!$C$5:$Z$5)-IF(Init!$R$12="No",('Staging Table'!DU28*Rates_current!$H$34), 0)</f>
        <v>135489.75348780691</v>
      </c>
      <c r="R26" s="212">
        <f>SUMPRODUCT('Staging Table'!CW28:DH28, LS_Demand_Rates_Restatement!$C$11:$N$11)*1000</f>
        <v>489805.32260905462</v>
      </c>
      <c r="S26" s="213">
        <f>'Staging Table'!ED28*IF(Init!$R$15="Yes",IF(Init!$R$6=2022,Rates_current!$C$88,Rates_current!$D$88),Rates_current!$H$33)</f>
        <v>0</v>
      </c>
      <c r="T26" s="213">
        <v>0</v>
      </c>
      <c r="U26" s="213">
        <f>IF('Staging Table'!D28=1, 'Staging Table'!BU28*-1*'Staging Table'!BS28/'Staging Table'!BR28,SUM(O26:T26)*'Staging Table'!BU28*-1)</f>
        <v>0</v>
      </c>
      <c r="V26" s="211">
        <f>'Staging Table'!BX28*Rates_current!$H$32*-1</f>
        <v>0</v>
      </c>
      <c r="W26" s="211">
        <f>IF('Staging Table'!C28=1,"", SUM(O26:V26))</f>
        <v>8190088.7135719033</v>
      </c>
      <c r="X26" s="211">
        <f>IF('Staging Table'!C28=1,"", (RT1SC!$C$4*'Staging Table'!BS28*'Staging Table'!$BS$2)+SUM('Staging Table'!BY28:CV28)-IF(Init!$R$12="No",'Staging Table'!DU28, 0))</f>
        <v>222959.52000000002</v>
      </c>
      <c r="Y26" s="95">
        <f>IF('Staging Table'!C28=1,"",IF(X26=0, 0, W26/X26))</f>
        <v>36.733523258266352</v>
      </c>
      <c r="Z26" s="87">
        <f ca="1">IF('Staging Table'!C28=1,"",(Y26/N26-1)+(RAND()/100000000000000))</f>
        <v>-5.4832041712298676E-2</v>
      </c>
      <c r="AA26" s="53">
        <f t="shared" ca="1" si="0"/>
        <v>108</v>
      </c>
      <c r="AC26" s="421"/>
      <c r="AD26" s="216"/>
      <c r="AE26" s="216"/>
      <c r="AG26" s="216"/>
      <c r="AH26" s="216"/>
    </row>
    <row r="27" spans="2:34">
      <c r="B27" s="135">
        <v>10076</v>
      </c>
      <c r="C27" s="136" t="s">
        <v>30</v>
      </c>
      <c r="D27" s="211">
        <f>IF(Init!$R$9="Yes",'Staging Table'!F29,'Staging Table'!BS29)*Rates_previous!$E$76*100*12</f>
        <v>1621359.9079200001</v>
      </c>
      <c r="E27" s="211">
        <f>IF(Init!$R$9="Yes",'Staging Table'!F29,'Staging Table'!BS29)*Rates_previous!$E$77*100*12</f>
        <v>-164026.80359999998</v>
      </c>
      <c r="F27" s="212">
        <f>IF(Init!$R$9="Yes",SUMPRODUCT('Staging Table'!L29:AI29,LS_Demand_Rates_Restatement!$C$4:$Z$4)-IF(Init!$R$12="No",('Staging Table'!BH29*Rates_previous!$H$34), 0),SUMPRODUCT('Staging Table'!BY29:CV29,LS_Demand_Rates_Restatement!$C$4:$Z$4)-IF(Init!$R$12="No", 'Staging Table'!DU29*Rates_previous!$H$34, 0))</f>
        <v>16688.608960166122</v>
      </c>
      <c r="G27" s="212">
        <f>IF(Init!$R$9="Yes",SUMPRODUCT('Staging Table'!AJ29:AU29,LS_Demand_Rates_Restatement!$C$10:$N$10),SUMPRODUCT(LS_Demand_Rates_Restatement!$C$10:$N$10,'Staging Table'!CW29:DH29))*1000</f>
        <v>49471.313257478592</v>
      </c>
      <c r="H27" s="213">
        <f>IF(Init!$R$9="Yes",'Staging Table'!BQ29,'Staging Table'!ED29)*IF(Init!$R$3=2020,Rates_previous!$C$88,Rates_previous!$D$88)</f>
        <v>0</v>
      </c>
      <c r="I27" s="211">
        <f>IF(Init!$R$9="Yes",IF('Staging Table'!$F$1=2020,(SUM('Staging Table'!AX29:BD29)*Rates_previous!$C$87),(SUM('Staging Table'!AX29:BD29)*Rates_previous!$D$87)),IF('Staging Table'!$F$1=2020,(SUM('Staging Table'!DK29:DQ29)*Rates_previous!$C$87),(SUM('Staging Table'!DK29:DQ29)*Rates_previous!$D$87)))</f>
        <v>19889.47586412387</v>
      </c>
      <c r="J27" s="213">
        <f>IF(Init!$R$9="Yes",IF('Staging Table'!D29=1,'Staging Table'!H29*-1*'Staging Table'!BS29/'Staging Table'!BR29,'Staging Table'!H29*SUM(D27:I27)*(-1)),IF('Staging Table'!D29=1,'Staging Table'!BU29*-1*'Staging Table'!BS29/'Staging Table'!BR29,'Staging Table'!BU29*SUM(D27:I27)*(-1)))</f>
        <v>0</v>
      </c>
      <c r="K27" s="211">
        <f>IF(Init!$R$9="Yes",'Staging Table'!K29,'Staging Table'!BX29)*(-1)*Rates_previous!$H$32</f>
        <v>0</v>
      </c>
      <c r="L27" s="211">
        <f>IF('Staging Table'!C29=1,"",SUM(D27:K27))</f>
        <v>1543382.5024017687</v>
      </c>
      <c r="M27" s="211">
        <f>IF('Staging Table'!C29=1,"",IF(Init!$R$9="Yes",(RT1SC!$C$3*'Staging Table'!F29*'Staging Table'!$F$2)+SUM('Staging Table'!L29:AI29)-IF(Init!$R$12="No",'Staging Table'!BH29, 0),X27))</f>
        <v>42092.928</v>
      </c>
      <c r="N27" s="95">
        <f>IF('Staging Table'!C29=1,"",IF(M27=0, 0, L27/M27))</f>
        <v>36.666076125703796</v>
      </c>
      <c r="O27" s="211">
        <f>'Staging Table'!BS29*Rates_current!$E$76*100*12</f>
        <v>1635744.5561446212</v>
      </c>
      <c r="P27" s="211">
        <f>'Staging Table'!BS29*Rates_current!$E$77*100*12</f>
        <v>-270065.35117896856</v>
      </c>
      <c r="Q27" s="212">
        <f>SUMPRODUCT('Staging Table'!BY29:CV29, LS_Demand_Rates_Restatement!$C$5:$Z$5)-IF(Init!$R$12="No",('Staging Table'!DU29*Rates_current!$H$34), 0)</f>
        <v>10881.835657928888</v>
      </c>
      <c r="R27" s="212">
        <f>SUMPRODUCT('Staging Table'!CW29:DH29, LS_Demand_Rates_Restatement!$C$11:$N$11)*1000</f>
        <v>47175.412745405934</v>
      </c>
      <c r="S27" s="213">
        <f>'Staging Table'!ED29*IF(Init!$R$15="Yes",IF(Init!$R$6=2022,Rates_current!$C$88,Rates_current!$D$88),Rates_current!$H$33)</f>
        <v>0</v>
      </c>
      <c r="T27" s="213">
        <v>0</v>
      </c>
      <c r="U27" s="213">
        <f>IF('Staging Table'!D29=1, 'Staging Table'!BU29*-1*'Staging Table'!BS29/'Staging Table'!BR29,SUM(O27:T27)*'Staging Table'!BU29*-1)</f>
        <v>0</v>
      </c>
      <c r="V27" s="211">
        <f>'Staging Table'!BX29*Rates_current!$H$32*-1</f>
        <v>0</v>
      </c>
      <c r="W27" s="211">
        <f>IF('Staging Table'!C29=1,"", SUM(O27:V27))</f>
        <v>1423736.4533689874</v>
      </c>
      <c r="X27" s="211">
        <f>IF('Staging Table'!C29=1,"", (RT1SC!$C$4*'Staging Table'!BS29*'Staging Table'!$BS$2)+SUM('Staging Table'!BY29:CV29)-IF(Init!$R$12="No",'Staging Table'!DU29, 0))</f>
        <v>40114.05705901605</v>
      </c>
      <c r="Y27" s="95">
        <f>IF('Staging Table'!C29=1,"",IF(X27=0, 0, W27/X27))</f>
        <v>35.492207912911361</v>
      </c>
      <c r="Z27" s="87">
        <f ca="1">IF('Staging Table'!C29=1,"",(Y27/N27-1)+(RAND()/100000000000000))</f>
        <v>-3.2015103246057171E-2</v>
      </c>
      <c r="AA27" s="53">
        <f t="shared" ca="1" si="0"/>
        <v>15</v>
      </c>
      <c r="AC27" s="421"/>
      <c r="AD27" s="216"/>
      <c r="AE27" s="216"/>
      <c r="AG27" s="216"/>
      <c r="AH27" s="216"/>
    </row>
    <row r="28" spans="2:34">
      <c r="B28" s="135">
        <v>10078</v>
      </c>
      <c r="C28" s="136" t="s">
        <v>31</v>
      </c>
      <c r="D28" s="211">
        <f>IF(Init!$R$9="Yes",'Staging Table'!F30,'Staging Table'!BS30)*Rates_previous!$E$76*100*12</f>
        <v>1251075.7190399999</v>
      </c>
      <c r="E28" s="211">
        <f>IF(Init!$R$9="Yes",'Staging Table'!F30,'Staging Table'!BS30)*Rates_previous!$E$77*100*12</f>
        <v>-126566.5632</v>
      </c>
      <c r="F28" s="212">
        <f>IF(Init!$R$9="Yes",SUMPRODUCT('Staging Table'!L30:AI30,LS_Demand_Rates_Restatement!$C$4:$Z$4)-IF(Init!$R$12="No",('Staging Table'!BH30*Rates_previous!$H$34), 0),SUMPRODUCT('Staging Table'!BY30:CV30,LS_Demand_Rates_Restatement!$C$4:$Z$4)-IF(Init!$R$12="No", 'Staging Table'!DU30*Rates_previous!$H$34, 0))</f>
        <v>24109.767339177932</v>
      </c>
      <c r="G28" s="212">
        <f>IF(Init!$R$9="Yes",SUMPRODUCT('Staging Table'!AJ30:AU30,LS_Demand_Rates_Restatement!$C$10:$N$10),SUMPRODUCT(LS_Demand_Rates_Restatement!$C$10:$N$10,'Staging Table'!CW30:DH30))*1000</f>
        <v>121879.28779419517</v>
      </c>
      <c r="H28" s="213">
        <f>IF(Init!$R$9="Yes",'Staging Table'!BQ30,'Staging Table'!ED30)*IF(Init!$R$3=2020,Rates_previous!$C$88,Rates_previous!$D$88)</f>
        <v>-6110.4032882300153</v>
      </c>
      <c r="I28" s="211">
        <f>IF(Init!$R$9="Yes",IF('Staging Table'!$F$1=2020,(SUM('Staging Table'!AX30:BD30)*Rates_previous!$C$87),(SUM('Staging Table'!AX30:BD30)*Rates_previous!$D$87)),IF('Staging Table'!$F$1=2020,(SUM('Staging Table'!DK30:DQ30)*Rates_previous!$C$87),(SUM('Staging Table'!DK30:DQ30)*Rates_previous!$D$87)))</f>
        <v>15347.141739775443</v>
      </c>
      <c r="J28" s="213">
        <f>IF(Init!$R$9="Yes",IF('Staging Table'!D30=1,'Staging Table'!H30*-1*'Staging Table'!BS30/'Staging Table'!BR30,'Staging Table'!H30*SUM(D28:I28)*(-1)),IF('Staging Table'!D30=1,'Staging Table'!BU30*-1*'Staging Table'!BS30/'Staging Table'!BR30,'Staging Table'!BU30*SUM(D28:I28)*(-1)))</f>
        <v>0</v>
      </c>
      <c r="K28" s="211">
        <f>IF(Init!$R$9="Yes",'Staging Table'!K30,'Staging Table'!BX30)*(-1)*Rates_previous!$H$32</f>
        <v>0</v>
      </c>
      <c r="L28" s="211">
        <f>IF('Staging Table'!C30=1,"",SUM(D28:K28))</f>
        <v>1279734.9494249183</v>
      </c>
      <c r="M28" s="211">
        <f>IF('Staging Table'!C30=1,"",IF(Init!$R$9="Yes",(RT1SC!$C$3*'Staging Table'!F30*'Staging Table'!$F$2)+SUM('Staging Table'!L30:AI30)-IF(Init!$R$12="No",'Staging Table'!BH30, 0),X28))</f>
        <v>32093.0402191424</v>
      </c>
      <c r="N28" s="95">
        <f>IF('Staging Table'!C30=1,"",IF(M28=0, 0, L28/M28))</f>
        <v>39.875778071707899</v>
      </c>
      <c r="O28" s="211">
        <f>'Staging Table'!BS30*Rates_current!$E$76*100*12</f>
        <v>1262360.2614785642</v>
      </c>
      <c r="P28" s="211">
        <f>'Staging Table'!BS30*Rates_current!$E$77*100*12</f>
        <v>-208418.7081961722</v>
      </c>
      <c r="Q28" s="212">
        <f>SUMPRODUCT('Staging Table'!BY30:CV30, LS_Demand_Rates_Restatement!$C$5:$Z$5)-IF(Init!$R$12="No",('Staging Table'!DU30*Rates_current!$H$34), 0)</f>
        <v>25726.256295739364</v>
      </c>
      <c r="R28" s="212">
        <f>SUMPRODUCT('Staging Table'!CW30:DH30, LS_Demand_Rates_Restatement!$C$11:$N$11)*1000</f>
        <v>109794.26040843128</v>
      </c>
      <c r="S28" s="213">
        <f>'Staging Table'!ED30*IF(Init!$R$15="Yes",IF(Init!$R$6=2022,Rates_current!$C$88,Rates_current!$D$88),Rates_current!$H$33)</f>
        <v>0</v>
      </c>
      <c r="T28" s="213">
        <v>0</v>
      </c>
      <c r="U28" s="213">
        <f>IF('Staging Table'!D30=1, 'Staging Table'!BU30*-1*'Staging Table'!BS30/'Staging Table'!BR30,SUM(O28:T28)*'Staging Table'!BU30*-1)</f>
        <v>0</v>
      </c>
      <c r="V28" s="211">
        <f>'Staging Table'!BX30*Rates_current!$H$32*-1</f>
        <v>0</v>
      </c>
      <c r="W28" s="211">
        <f>IF('Staging Table'!C30=1,"", SUM(O28:V28))</f>
        <v>1189462.0699865627</v>
      </c>
      <c r="X28" s="211">
        <f>IF('Staging Table'!C30=1,"", (RT1SC!$C$4*'Staging Table'!BS30*'Staging Table'!$BS$2)+SUM('Staging Table'!BY30:CV30)-IF(Init!$R$12="No",'Staging Table'!DU30, 0))</f>
        <v>31062.959999999999</v>
      </c>
      <c r="Y28" s="95">
        <f>IF('Staging Table'!C30=1,"",IF(X28=0, 0, W28/X28))</f>
        <v>38.291974428276077</v>
      </c>
      <c r="Z28" s="87">
        <f ca="1">IF('Staging Table'!C30=1,"",(Y28/N28-1)+(RAND()/100000000000000))</f>
        <v>-3.9718438611618077E-2</v>
      </c>
      <c r="AA28" s="53">
        <f t="shared" ca="1" si="0"/>
        <v>84</v>
      </c>
      <c r="AC28" s="421"/>
      <c r="AD28" s="216"/>
      <c r="AE28" s="216"/>
      <c r="AG28" s="216"/>
      <c r="AH28" s="216"/>
    </row>
    <row r="29" spans="2:34">
      <c r="B29" s="135">
        <v>10079</v>
      </c>
      <c r="C29" s="136" t="s">
        <v>32</v>
      </c>
      <c r="D29" s="211">
        <f>IF(Init!$R$9="Yes",'Staging Table'!F31,'Staging Table'!BS31)*Rates_previous!$E$76*100*12</f>
        <v>29303549.188919999</v>
      </c>
      <c r="E29" s="211">
        <f>IF(Init!$R$9="Yes",'Staging Table'!F31,'Staging Table'!BS31)*Rates_previous!$E$77*100*12</f>
        <v>-2964528.4086000002</v>
      </c>
      <c r="F29" s="212">
        <f>IF(Init!$R$9="Yes",SUMPRODUCT('Staging Table'!L31:AI31,LS_Demand_Rates_Restatement!$C$4:$Z$4)-IF(Init!$R$12="No",('Staging Table'!BH31*Rates_previous!$H$34), 0),SUMPRODUCT('Staging Table'!BY31:CV31,LS_Demand_Rates_Restatement!$C$4:$Z$4)-IF(Init!$R$12="No", 'Staging Table'!DU31*Rates_previous!$H$34, 0))</f>
        <v>-644427.4893554867</v>
      </c>
      <c r="G29" s="212">
        <f>IF(Init!$R$9="Yes",SUMPRODUCT('Staging Table'!AJ31:AU31,LS_Demand_Rates_Restatement!$C$10:$N$10),SUMPRODUCT(LS_Demand_Rates_Restatement!$C$10:$N$10,'Staging Table'!CW31:DH31))*1000</f>
        <v>2620044.582893305</v>
      </c>
      <c r="H29" s="213">
        <f>IF(Init!$R$9="Yes",'Staging Table'!BQ31,'Staging Table'!ED31)*IF(Init!$R$3=2020,Rates_previous!$C$88,Rates_previous!$D$88)</f>
        <v>-774123.68405953655</v>
      </c>
      <c r="I29" s="211">
        <f>IF(Init!$R$9="Yes",IF('Staging Table'!$F$1=2020,(SUM('Staging Table'!AX31:BD31)*Rates_previous!$C$87),(SUM('Staging Table'!AX31:BD31)*Rates_previous!$D$87)),IF('Staging Table'!$F$1=2020,(SUM('Staging Table'!DK31:DQ31)*Rates_previous!$C$87),(SUM('Staging Table'!DK31:DQ31)*Rates_previous!$D$87)))</f>
        <v>359471.22627072426</v>
      </c>
      <c r="J29" s="213">
        <f>IF(Init!$R$9="Yes",IF('Staging Table'!D31=1,'Staging Table'!H31*-1*'Staging Table'!BS31/'Staging Table'!BR31,'Staging Table'!H31*SUM(D29:I29)*(-1)),IF('Staging Table'!D31=1,'Staging Table'!BU31*-1*'Staging Table'!BS31/'Staging Table'!BR31,'Staging Table'!BU31*SUM(D29:I29)*(-1)))</f>
        <v>0</v>
      </c>
      <c r="K29" s="211">
        <f>IF(Init!$R$9="Yes",'Staging Table'!K31,'Staging Table'!BX31)*(-1)*Rates_previous!$H$32</f>
        <v>0</v>
      </c>
      <c r="L29" s="211">
        <f>IF('Staging Table'!C31=1,"",SUM(D29:K29))</f>
        <v>27899985.416069005</v>
      </c>
      <c r="M29" s="211">
        <f>IF('Staging Table'!C31=1,"",IF(Init!$R$9="Yes",(RT1SC!$C$3*'Staging Table'!F31*'Staging Table'!$F$2)+SUM('Staging Table'!L31:AI31)-IF(Init!$R$12="No",'Staging Table'!BH31, 0),X29))</f>
        <v>711349.05455558514</v>
      </c>
      <c r="N29" s="95">
        <f>IF('Staging Table'!C31=1,"",IF(M29=0, 0, L29/M29))</f>
        <v>39.2212307549906</v>
      </c>
      <c r="O29" s="211">
        <f>'Staging Table'!BS31*Rates_current!$E$76*100*12</f>
        <v>28908145.911891147</v>
      </c>
      <c r="P29" s="211">
        <f>'Staging Table'!BS31*Rates_current!$E$77*100*12</f>
        <v>-4772804.254980199</v>
      </c>
      <c r="Q29" s="212">
        <f>SUMPRODUCT('Staging Table'!BY31:CV31, LS_Demand_Rates_Restatement!$C$5:$Z$5)-IF(Init!$R$12="No",('Staging Table'!DU31*Rates_current!$H$34), 0)</f>
        <v>183050.10158181947</v>
      </c>
      <c r="R29" s="212">
        <f>SUMPRODUCT('Staging Table'!CW31:DH31, LS_Demand_Rates_Restatement!$C$11:$N$11)*1000</f>
        <v>2435759.4481922719</v>
      </c>
      <c r="S29" s="213">
        <f>'Staging Table'!ED31*IF(Init!$R$15="Yes",IF(Init!$R$6=2022,Rates_current!$C$88,Rates_current!$D$88),Rates_current!$H$33)</f>
        <v>12.356793905986706</v>
      </c>
      <c r="T29" s="213">
        <v>0</v>
      </c>
      <c r="U29" s="213">
        <f>IF('Staging Table'!D31=1, 'Staging Table'!BU31*-1*'Staging Table'!BS31/'Staging Table'!BR31,SUM(O29:T29)*'Staging Table'!BU31*-1)</f>
        <v>0</v>
      </c>
      <c r="V29" s="211">
        <f>'Staging Table'!BX31*Rates_current!$H$32*-1</f>
        <v>0</v>
      </c>
      <c r="W29" s="211">
        <f>IF('Staging Table'!C31=1,"", SUM(O29:V29))</f>
        <v>26754163.563478947</v>
      </c>
      <c r="X29" s="211">
        <f>IF('Staging Table'!C31=1,"", (RT1SC!$C$4*'Staging Table'!BS31*'Staging Table'!$BS$2)+SUM('Staging Table'!BY31:CV31)-IF(Init!$R$12="No",'Staging Table'!DU31, 0))</f>
        <v>711349.06238852791</v>
      </c>
      <c r="Y29" s="95">
        <f>IF('Staging Table'!C31=1,"",IF(X29=0, 0, W29/X29))</f>
        <v>37.610457338124995</v>
      </c>
      <c r="Z29" s="87">
        <f ca="1">IF('Staging Table'!C31=1,"",(Y29/N29-1)+(RAND()/100000000000000))</f>
        <v>-4.1068915632138256E-2</v>
      </c>
      <c r="AA29" s="53">
        <f t="shared" ca="1" si="0"/>
        <v>92</v>
      </c>
      <c r="AC29" s="421"/>
      <c r="AD29" s="216"/>
      <c r="AE29" s="216"/>
      <c r="AG29" s="216"/>
      <c r="AH29" s="216"/>
    </row>
    <row r="30" spans="2:34">
      <c r="B30" s="135">
        <v>10080</v>
      </c>
      <c r="C30" s="136" t="s">
        <v>33</v>
      </c>
      <c r="D30" s="211">
        <f>IF(Init!$R$9="Yes",'Staging Table'!F32,'Staging Table'!BS32)*Rates_previous!$E$76*100*12</f>
        <v>2330793.9925199999</v>
      </c>
      <c r="E30" s="211">
        <f>IF(Init!$R$9="Yes",'Staging Table'!F32,'Staging Table'!BS32)*Rates_previous!$E$77*100*12</f>
        <v>-235797.5466</v>
      </c>
      <c r="F30" s="212">
        <f>IF(Init!$R$9="Yes",SUMPRODUCT('Staging Table'!L32:AI32,LS_Demand_Rates_Restatement!$C$4:$Z$4)-IF(Init!$R$12="No",('Staging Table'!BH32*Rates_previous!$H$34), 0),SUMPRODUCT('Staging Table'!BY32:CV32,LS_Demand_Rates_Restatement!$C$4:$Z$4)-IF(Init!$R$12="No", 'Staging Table'!DU32*Rates_previous!$H$34, 0))</f>
        <v>-10104.202503871855</v>
      </c>
      <c r="G30" s="212">
        <f>IF(Init!$R$9="Yes",SUMPRODUCT('Staging Table'!AJ32:AU32,LS_Demand_Rates_Restatement!$C$10:$N$10),SUMPRODUCT(LS_Demand_Rates_Restatement!$C$10:$N$10,'Staging Table'!CW32:DH32))*1000</f>
        <v>120720.28836923077</v>
      </c>
      <c r="H30" s="213">
        <f>IF(Init!$R$9="Yes",'Staging Table'!BQ32,'Staging Table'!ED32)*IF(Init!$R$3=2020,Rates_previous!$C$88,Rates_previous!$D$88)</f>
        <v>-42172.861211423253</v>
      </c>
      <c r="I30" s="211">
        <f>IF(Init!$R$9="Yes",IF('Staging Table'!$F$1=2020,(SUM('Staging Table'!AX32:BD32)*Rates_previous!$C$87),(SUM('Staging Table'!AX32:BD32)*Rates_previous!$D$87)),IF('Staging Table'!$F$1=2020,(SUM('Staging Table'!DK32:DQ32)*Rates_previous!$C$87),(SUM('Staging Table'!DK32:DQ32)*Rates_previous!$D$87)))</f>
        <v>28592.214863597594</v>
      </c>
      <c r="J30" s="213">
        <f>IF(Init!$R$9="Yes",IF('Staging Table'!D32=1,'Staging Table'!H32*-1*'Staging Table'!BS32/'Staging Table'!BR32,'Staging Table'!H32*SUM(D30:I30)*(-1)),IF('Staging Table'!D32=1,'Staging Table'!BU32*-1*'Staging Table'!BS32/'Staging Table'!BR32,'Staging Table'!BU32*SUM(D30:I30)*(-1)))</f>
        <v>0</v>
      </c>
      <c r="K30" s="211">
        <f>IF(Init!$R$9="Yes",'Staging Table'!K32,'Staging Table'!BX32)*(-1)*Rates_previous!$H$32</f>
        <v>0</v>
      </c>
      <c r="L30" s="211">
        <f>IF('Staging Table'!C32=1,"",SUM(D30:K30))</f>
        <v>2192031.8854375328</v>
      </c>
      <c r="M30" s="211">
        <f>IF('Staging Table'!C32=1,"",IF(Init!$R$9="Yes",(RT1SC!$C$3*'Staging Table'!F32*'Staging Table'!$F$2)+SUM('Staging Table'!L32:AI32)-IF(Init!$R$12="No",'Staging Table'!BH32, 0),X30))</f>
        <v>57819.9452713012</v>
      </c>
      <c r="N30" s="95">
        <f>IF('Staging Table'!C32=1,"",IF(M30=0, 0, L30/M30))</f>
        <v>37.911344868144369</v>
      </c>
      <c r="O30" s="211">
        <f>'Staging Table'!BS32*Rates_current!$E$76*100*12</f>
        <v>2442225.8554136967</v>
      </c>
      <c r="P30" s="211">
        <f>'Staging Table'!BS32*Rates_current!$E$77*100*12</f>
        <v>-403217.3488354517</v>
      </c>
      <c r="Q30" s="212">
        <f>SUMPRODUCT('Staging Table'!BY32:CV32, LS_Demand_Rates_Restatement!$C$5:$Z$5)-IF(Init!$R$12="No",('Staging Table'!DU32*Rates_current!$H$34), 0)</f>
        <v>-29377.610813092168</v>
      </c>
      <c r="R30" s="212">
        <f>SUMPRODUCT('Staging Table'!CW32:DH32, LS_Demand_Rates_Restatement!$C$11:$N$11)*1000</f>
        <v>116424.17900875176</v>
      </c>
      <c r="S30" s="213">
        <f>'Staging Table'!ED32*IF(Init!$R$15="Yes",IF(Init!$R$6=2022,Rates_current!$C$88,Rates_current!$D$88),Rates_current!$H$33)</f>
        <v>-13892.025486726454</v>
      </c>
      <c r="T30" s="213">
        <v>0</v>
      </c>
      <c r="U30" s="213">
        <f>IF('Staging Table'!D32=1, 'Staging Table'!BU32*-1*'Staging Table'!BS32/'Staging Table'!BR32,SUM(O30:T30)*'Staging Table'!BU32*-1)</f>
        <v>0</v>
      </c>
      <c r="V30" s="211">
        <f>'Staging Table'!BX32*Rates_current!$H$32*-1</f>
        <v>0</v>
      </c>
      <c r="W30" s="211">
        <f>IF('Staging Table'!C32=1,"", SUM(O30:V30))</f>
        <v>2112163.0492871781</v>
      </c>
      <c r="X30" s="211">
        <f>IF('Staging Table'!C32=1,"", (RT1SC!$C$4*'Staging Table'!BS32*'Staging Table'!$BS$2)+SUM('Staging Table'!BY32:CV32)-IF(Init!$R$12="No",'Staging Table'!DU32, 0))</f>
        <v>57819.946074185529</v>
      </c>
      <c r="Y30" s="95">
        <f>IF('Staging Table'!C32=1,"",IF(X30=0, 0, W30/X30))</f>
        <v>36.530007250044477</v>
      </c>
      <c r="Z30" s="87">
        <f ca="1">IF('Staging Table'!C32=1,"",(Y30/N30-1)+(RAND()/100000000000000))</f>
        <v>-3.6435996214435114E-2</v>
      </c>
      <c r="AA30" s="53">
        <f t="shared" ca="1" si="0"/>
        <v>57</v>
      </c>
      <c r="AC30" s="421"/>
      <c r="AD30" s="216"/>
      <c r="AE30" s="216"/>
      <c r="AG30" s="216"/>
      <c r="AH30" s="216"/>
    </row>
    <row r="31" spans="2:34">
      <c r="B31" s="135">
        <v>10081</v>
      </c>
      <c r="C31" s="136" t="s">
        <v>34</v>
      </c>
      <c r="D31" s="211">
        <f>IF(Init!$R$9="Yes",'Staging Table'!F33,'Staging Table'!BS33)*Rates_previous!$E$76*100*12</f>
        <v>3518650.4598000003</v>
      </c>
      <c r="E31" s="211">
        <f>IF(Init!$R$9="Yes",'Staging Table'!F33,'Staging Table'!BS33)*Rates_previous!$E$77*100*12</f>
        <v>-355968.45899999997</v>
      </c>
      <c r="F31" s="212">
        <f>IF(Init!$R$9="Yes",SUMPRODUCT('Staging Table'!L33:AI33,LS_Demand_Rates_Restatement!$C$4:$Z$4)-IF(Init!$R$12="No",('Staging Table'!BH33*Rates_previous!$H$34), 0),SUMPRODUCT('Staging Table'!BY33:CV33,LS_Demand_Rates_Restatement!$C$4:$Z$4)-IF(Init!$R$12="No", 'Staging Table'!DU33*Rates_previous!$H$34, 0))</f>
        <v>-136573.09422231207</v>
      </c>
      <c r="G31" s="212">
        <f>IF(Init!$R$9="Yes",SUMPRODUCT('Staging Table'!AJ33:AU33,LS_Demand_Rates_Restatement!$C$10:$N$10),SUMPRODUCT(LS_Demand_Rates_Restatement!$C$10:$N$10,'Staging Table'!CW33:DH33))*1000</f>
        <v>169942.1736408119</v>
      </c>
      <c r="H31" s="213">
        <f>IF(Init!$R$9="Yes",'Staging Table'!BQ33,'Staging Table'!ED33)*IF(Init!$R$3=2020,Rates_previous!$C$88,Rates_previous!$D$88)</f>
        <v>-180900.93072439689</v>
      </c>
      <c r="I31" s="211">
        <f>IF(Init!$R$9="Yes",IF('Staging Table'!$F$1=2020,(SUM('Staging Table'!AX33:BD33)*Rates_previous!$C$87),(SUM('Staging Table'!AX33:BD33)*Rates_previous!$D$87)),IF('Staging Table'!$F$1=2020,(SUM('Staging Table'!DK33:DQ33)*Rates_previous!$C$87),(SUM('Staging Table'!DK33:DQ33)*Rates_previous!$D$87)))</f>
        <v>43163.836143118431</v>
      </c>
      <c r="J31" s="213">
        <f>IF(Init!$R$9="Yes",IF('Staging Table'!D33=1,'Staging Table'!H33*-1*'Staging Table'!BS33/'Staging Table'!BR33,'Staging Table'!H33*SUM(D31:I31)*(-1)),IF('Staging Table'!D33=1,'Staging Table'!BU33*-1*'Staging Table'!BS33/'Staging Table'!BR33,'Staging Table'!BU33*SUM(D31:I31)*(-1)))</f>
        <v>0</v>
      </c>
      <c r="K31" s="211">
        <f>IF(Init!$R$9="Yes",'Staging Table'!K33,'Staging Table'!BX33)*(-1)*Rates_previous!$H$32</f>
        <v>0</v>
      </c>
      <c r="L31" s="211">
        <f>IF('Staging Table'!C33=1,"",SUM(D31:K31))</f>
        <v>3058313.985637222</v>
      </c>
      <c r="M31" s="211">
        <f>IF('Staging Table'!C33=1,"",IF(Init!$R$9="Yes",(RT1SC!$C$3*'Staging Table'!F33*'Staging Table'!$F$2)+SUM('Staging Table'!L33:AI33)-IF(Init!$R$12="No",'Staging Table'!BH33, 0),X31))</f>
        <v>79801.816428838007</v>
      </c>
      <c r="N31" s="95">
        <f>IF('Staging Table'!C33=1,"",IF(M31=0, 0, L31/M31))</f>
        <v>38.323864324121303</v>
      </c>
      <c r="O31" s="211">
        <f>'Staging Table'!BS33*Rates_current!$E$76*100*12</f>
        <v>3283239.8062125808</v>
      </c>
      <c r="P31" s="211">
        <f>'Staging Table'!BS33*Rates_current!$E$77*100*12</f>
        <v>-542070.7701204014</v>
      </c>
      <c r="Q31" s="212">
        <f>SUMPRODUCT('Staging Table'!BY33:CV33, LS_Demand_Rates_Restatement!$C$5:$Z$5)-IF(Init!$R$12="No",('Staging Table'!DU33*Rates_current!$H$34), 0)</f>
        <v>56342.721011106158</v>
      </c>
      <c r="R31" s="212">
        <f>SUMPRODUCT('Staging Table'!CW33:DH33, LS_Demand_Rates_Restatement!$C$11:$N$11)*1000</f>
        <v>166183.44602279202</v>
      </c>
      <c r="S31" s="213">
        <f>'Staging Table'!ED33*IF(Init!$R$15="Yes",IF(Init!$R$6=2022,Rates_current!$C$88,Rates_current!$D$88),Rates_current!$H$33)</f>
        <v>-6059.0601184488114</v>
      </c>
      <c r="T31" s="213">
        <v>0</v>
      </c>
      <c r="U31" s="213">
        <f>IF('Staging Table'!D33=1, 'Staging Table'!BU33*-1*'Staging Table'!BS33/'Staging Table'!BR33,SUM(O31:T31)*'Staging Table'!BU33*-1)</f>
        <v>0</v>
      </c>
      <c r="V31" s="211">
        <f>'Staging Table'!BX33*Rates_current!$H$32*-1</f>
        <v>0</v>
      </c>
      <c r="W31" s="211">
        <f>IF('Staging Table'!C33=1,"", SUM(O31:V31))</f>
        <v>2957636.1430076286</v>
      </c>
      <c r="X31" s="211">
        <f>IF('Staging Table'!C33=1,"", (RT1SC!$C$4*'Staging Table'!BS33*'Staging Table'!$BS$2)+SUM('Staging Table'!BY33:CV33)-IF(Init!$R$12="No",'Staging Table'!DU33, 0))</f>
        <v>79801.817132823446</v>
      </c>
      <c r="Y31" s="95">
        <f>IF('Staging Table'!C33=1,"",IF(X31=0, 0, W31/X31))</f>
        <v>37.062265613386856</v>
      </c>
      <c r="Z31" s="87">
        <f ca="1">IF('Staging Table'!C33=1,"",(Y31/N31-1)+(RAND()/100000000000000))</f>
        <v>-3.2919402387617334E-2</v>
      </c>
      <c r="AA31" s="53">
        <f t="shared" ca="1" si="0"/>
        <v>21</v>
      </c>
      <c r="AC31" s="421"/>
      <c r="AD31" s="216"/>
      <c r="AE31" s="216"/>
      <c r="AG31" s="216"/>
      <c r="AH31" s="216"/>
    </row>
    <row r="32" spans="2:34">
      <c r="B32" s="135">
        <v>10082</v>
      </c>
      <c r="C32" s="136" t="s">
        <v>35</v>
      </c>
      <c r="D32" s="211">
        <f>IF(Init!$R$9="Yes",'Staging Table'!F34,'Staging Table'!BS34)*Rates_previous!$E$76*100*12</f>
        <v>31847.292240000002</v>
      </c>
      <c r="E32" s="211">
        <f>IF(Init!$R$9="Yes",'Staging Table'!F34,'Staging Table'!BS34)*Rates_previous!$E$77*100*12</f>
        <v>-3221.8692000000001</v>
      </c>
      <c r="F32" s="212">
        <f>IF(Init!$R$9="Yes",SUMPRODUCT('Staging Table'!L34:AI34,LS_Demand_Rates_Restatement!$C$4:$Z$4)-IF(Init!$R$12="No",('Staging Table'!BH34*Rates_previous!$H$34), 0),SUMPRODUCT('Staging Table'!BY34:CV34,LS_Demand_Rates_Restatement!$C$4:$Z$4)-IF(Init!$R$12="No", 'Staging Table'!DU34*Rates_previous!$H$34, 0))</f>
        <v>856.61746940156547</v>
      </c>
      <c r="G32" s="212">
        <f>IF(Init!$R$9="Yes",SUMPRODUCT('Staging Table'!AJ34:AU34,LS_Demand_Rates_Restatement!$C$10:$N$10),SUMPRODUCT(LS_Demand_Rates_Restatement!$C$10:$N$10,'Staging Table'!CW34:DH34))*1000</f>
        <v>1240.9089314458686</v>
      </c>
      <c r="H32" s="213">
        <f>IF(Init!$R$9="Yes",'Staging Table'!BQ34,'Staging Table'!ED34)*IF(Init!$R$3=2020,Rates_previous!$C$88,Rates_previous!$D$88)</f>
        <v>104.04552599870179</v>
      </c>
      <c r="I32" s="211">
        <f>IF(Init!$R$9="Yes",IF('Staging Table'!$F$1=2020,(SUM('Staging Table'!AX34:BD34)*Rates_previous!$C$87),(SUM('Staging Table'!AX34:BD34)*Rates_previous!$D$87)),IF('Staging Table'!$F$1=2020,(SUM('Staging Table'!DK34:DQ34)*Rates_previous!$C$87),(SUM('Staging Table'!DK34:DQ34)*Rates_previous!$D$87)))</f>
        <v>390.67572057939009</v>
      </c>
      <c r="J32" s="213">
        <f>IF(Init!$R$9="Yes",IF('Staging Table'!D34=1,'Staging Table'!H34*-1*'Staging Table'!BS34/'Staging Table'!BR34,'Staging Table'!H34*SUM(D32:I32)*(-1)),IF('Staging Table'!D34=1,'Staging Table'!BU34*-1*'Staging Table'!BS34/'Staging Table'!BR34,'Staging Table'!BU34*SUM(D32:I32)*(-1)))</f>
        <v>0</v>
      </c>
      <c r="K32" s="211">
        <f>IF(Init!$R$9="Yes",'Staging Table'!K34,'Staging Table'!BX34)*(-1)*Rates_previous!$H$32</f>
        <v>0</v>
      </c>
      <c r="L32" s="211">
        <f>IF('Staging Table'!C34=1,"",SUM(D32:K32))</f>
        <v>31217.670687425529</v>
      </c>
      <c r="M32" s="211">
        <f>IF('Staging Table'!C34=1,"",IF(Init!$R$9="Yes",(RT1SC!$C$3*'Staging Table'!F34*'Staging Table'!$F$2)+SUM('Staging Table'!L34:AI34)-IF(Init!$R$12="No",'Staging Table'!BH34, 0),X32))</f>
        <v>832.34003103439989</v>
      </c>
      <c r="N32" s="95">
        <f>IF('Staging Table'!C34=1,"",IF(M32=0, 0, L32/M32))</f>
        <v>37.505910473426852</v>
      </c>
      <c r="O32" s="211">
        <f>'Staging Table'!BS34*Rates_current!$E$76*100*12</f>
        <v>33813.2212896044</v>
      </c>
      <c r="P32" s="211">
        <f>'Staging Table'!BS34*Rates_current!$E$77*100*12</f>
        <v>-5582.643969540326</v>
      </c>
      <c r="Q32" s="212">
        <f>SUMPRODUCT('Staging Table'!BY34:CV34, LS_Demand_Rates_Restatement!$C$5:$Z$5)-IF(Init!$R$12="No",('Staging Table'!DU34*Rates_current!$H$34), 0)</f>
        <v>747.75918469403064</v>
      </c>
      <c r="R32" s="212">
        <f>SUMPRODUCT('Staging Table'!CW34:DH34, LS_Demand_Rates_Restatement!$C$11:$N$11)*1000</f>
        <v>1105.9940660167381</v>
      </c>
      <c r="S32" s="213">
        <f>'Staging Table'!ED34*IF(Init!$R$15="Yes",IF(Init!$R$6=2022,Rates_current!$C$88,Rates_current!$D$88),Rates_current!$H$33)</f>
        <v>0.85566005906975762</v>
      </c>
      <c r="T32" s="213">
        <v>0</v>
      </c>
      <c r="U32" s="213">
        <f>IF('Staging Table'!D34=1, 'Staging Table'!BU34*-1*'Staging Table'!BS34/'Staging Table'!BR34,SUM(O32:T32)*'Staging Table'!BU34*-1)</f>
        <v>0</v>
      </c>
      <c r="V32" s="211">
        <f>'Staging Table'!BX34*Rates_current!$H$32*-1</f>
        <v>0</v>
      </c>
      <c r="W32" s="211">
        <f>IF('Staging Table'!C34=1,"", SUM(O32:V32))</f>
        <v>30085.186230833915</v>
      </c>
      <c r="X32" s="211">
        <f>IF('Staging Table'!C34=1,"", (RT1SC!$C$4*'Staging Table'!BS34*'Staging Table'!$BS$2)+SUM('Staging Table'!BY34:CV34)-IF(Init!$R$12="No",'Staging Table'!DU34, 0))</f>
        <v>832.34004256285925</v>
      </c>
      <c r="Y32" s="95">
        <f>IF('Staging Table'!C34=1,"",IF(X32=0, 0, W32/X32))</f>
        <v>36.145306836612811</v>
      </c>
      <c r="Z32" s="87">
        <f ca="1">IF('Staging Table'!C34=1,"",(Y32/N32-1)+(RAND()/100000000000000))</f>
        <v>-3.6277045927944562E-2</v>
      </c>
      <c r="AA32" s="53">
        <f t="shared" ca="1" si="0"/>
        <v>53</v>
      </c>
      <c r="AC32" s="421"/>
      <c r="AD32" s="216"/>
      <c r="AE32" s="216"/>
      <c r="AG32" s="216"/>
      <c r="AH32" s="216"/>
    </row>
    <row r="33" spans="2:34">
      <c r="B33" s="135">
        <v>10083</v>
      </c>
      <c r="C33" s="136" t="s">
        <v>36</v>
      </c>
      <c r="D33" s="211">
        <f>IF(Init!$R$9="Yes",'Staging Table'!F35,'Staging Table'!BS35)*Rates_previous!$E$76*100*12</f>
        <v>2814682.7014799993</v>
      </c>
      <c r="E33" s="211">
        <f>IF(Init!$R$9="Yes",'Staging Table'!F35,'Staging Table'!BS35)*Rates_previous!$E$77*100*12</f>
        <v>-284750.72339999996</v>
      </c>
      <c r="F33" s="212">
        <f>IF(Init!$R$9="Yes",SUMPRODUCT('Staging Table'!L35:AI35,LS_Demand_Rates_Restatement!$C$4:$Z$4)-IF(Init!$R$12="No",('Staging Table'!BH35*Rates_previous!$H$34), 0),SUMPRODUCT('Staging Table'!BY35:CV35,LS_Demand_Rates_Restatement!$C$4:$Z$4)-IF(Init!$R$12="No", 'Staging Table'!DU35*Rates_previous!$H$34, 0))</f>
        <v>52190.901000885096</v>
      </c>
      <c r="G33" s="212">
        <f>IF(Init!$R$9="Yes",SUMPRODUCT('Staging Table'!AJ35:AU35,LS_Demand_Rates_Restatement!$C$10:$N$10),SUMPRODUCT(LS_Demand_Rates_Restatement!$C$10:$N$10,'Staging Table'!CW35:DH35))*1000</f>
        <v>170354.08419583333</v>
      </c>
      <c r="H33" s="213">
        <f>IF(Init!$R$9="Yes",'Staging Table'!BQ35,'Staging Table'!ED35)*IF(Init!$R$3=2020,Rates_previous!$C$88,Rates_previous!$D$88)</f>
        <v>0</v>
      </c>
      <c r="I33" s="211">
        <f>IF(Init!$R$9="Yes",IF('Staging Table'!$F$1=2020,(SUM('Staging Table'!AX35:BD35)*Rates_previous!$C$87),(SUM('Staging Table'!AX35:BD35)*Rates_previous!$D$87)),IF('Staging Table'!$F$1=2020,(SUM('Staging Table'!DK35:DQ35)*Rates_previous!$C$87),(SUM('Staging Table'!DK35:DQ35)*Rates_previous!$D$87)))</f>
        <v>34528.153424042655</v>
      </c>
      <c r="J33" s="213">
        <f>IF(Init!$R$9="Yes",IF('Staging Table'!D35=1,'Staging Table'!H35*-1*'Staging Table'!BS35/'Staging Table'!BR35,'Staging Table'!H35*SUM(D33:I33)*(-1)),IF('Staging Table'!D35=1,'Staging Table'!BU35*-1*'Staging Table'!BS35/'Staging Table'!BR35,'Staging Table'!BU35*SUM(D33:I33)*(-1)))</f>
        <v>0</v>
      </c>
      <c r="K33" s="211">
        <f>IF(Init!$R$9="Yes",'Staging Table'!K35,'Staging Table'!BX35)*(-1)*Rates_previous!$H$32</f>
        <v>0</v>
      </c>
      <c r="L33" s="211">
        <f>IF('Staging Table'!C35=1,"",SUM(D33:K33))</f>
        <v>2787005.1167007606</v>
      </c>
      <c r="M33" s="211">
        <f>IF('Staging Table'!C35=1,"",IF(Init!$R$9="Yes",(RT1SC!$C$3*'Staging Table'!F35*'Staging Table'!$F$2)+SUM('Staging Table'!L35:AI35)-IF(Init!$R$12="No",'Staging Table'!BH35, 0),X33))</f>
        <v>73074.096000000005</v>
      </c>
      <c r="N33" s="95">
        <f>IF('Staging Table'!C35=1,"",IF(M33=0, 0, L33/M33))</f>
        <v>38.139440229281256</v>
      </c>
      <c r="O33" s="211">
        <f>'Staging Table'!BS35*Rates_current!$E$76*100*12</f>
        <v>2840070.7782467012</v>
      </c>
      <c r="P33" s="211">
        <f>'Staging Table'!BS35*Rates_current!$E$77*100*12</f>
        <v>-468902.50022174523</v>
      </c>
      <c r="Q33" s="212">
        <f>SUMPRODUCT('Staging Table'!BY35:CV35, LS_Demand_Rates_Restatement!$C$5:$Z$5)-IF(Init!$R$12="No",('Staging Table'!DU35*Rates_current!$H$34), 0)</f>
        <v>42904.673805771657</v>
      </c>
      <c r="R33" s="212">
        <f>SUMPRODUCT('Staging Table'!CW35:DH35, LS_Demand_Rates_Restatement!$C$11:$N$11)*1000</f>
        <v>162206.74575780804</v>
      </c>
      <c r="S33" s="213">
        <f>'Staging Table'!ED35*IF(Init!$R$15="Yes",IF(Init!$R$6=2022,Rates_current!$C$88,Rates_current!$D$88),Rates_current!$H$33)</f>
        <v>0</v>
      </c>
      <c r="T33" s="213">
        <v>0</v>
      </c>
      <c r="U33" s="213">
        <f>IF('Staging Table'!D35=1, 'Staging Table'!BU35*-1*'Staging Table'!BS35/'Staging Table'!BR35,SUM(O33:T33)*'Staging Table'!BU35*-1)</f>
        <v>0</v>
      </c>
      <c r="V33" s="211">
        <f>'Staging Table'!BX35*Rates_current!$H$32*-1</f>
        <v>0</v>
      </c>
      <c r="W33" s="211">
        <f>IF('Staging Table'!C35=1,"", SUM(O33:V33))</f>
        <v>2576279.697588536</v>
      </c>
      <c r="X33" s="211">
        <f>IF('Staging Table'!C35=1,"", (RT1SC!$C$4*'Staging Table'!BS35*'Staging Table'!$BS$2)+SUM('Staging Table'!BY35:CV35)-IF(Init!$R$12="No",'Staging Table'!DU35, 0))</f>
        <v>69887.28</v>
      </c>
      <c r="Y33" s="95">
        <f>IF('Staging Table'!C35=1,"",IF(X33=0, 0, W33/X33))</f>
        <v>36.863356215731045</v>
      </c>
      <c r="Z33" s="87">
        <f ca="1">IF('Staging Table'!C35=1,"",(Y33/N33-1)+(RAND()/100000000000000))</f>
        <v>-3.3458383392064174E-2</v>
      </c>
      <c r="AA33" s="53">
        <f t="shared" ca="1" si="0"/>
        <v>26</v>
      </c>
      <c r="AC33" s="421"/>
      <c r="AD33" s="216"/>
      <c r="AE33" s="216"/>
      <c r="AG33" s="216"/>
      <c r="AH33" s="216"/>
    </row>
    <row r="34" spans="2:34">
      <c r="B34" s="135">
        <v>10086</v>
      </c>
      <c r="C34" s="136" t="s">
        <v>37</v>
      </c>
      <c r="D34" s="211">
        <f>IF(Init!$R$9="Yes",'Staging Table'!F36,'Staging Table'!BS36)*Rates_previous!$E$76*100*12</f>
        <v>1310492.30904</v>
      </c>
      <c r="E34" s="211">
        <f>IF(Init!$R$9="Yes",'Staging Table'!F36,'Staging Table'!BS36)*Rates_previous!$E$77*100*12</f>
        <v>-132577.51319999999</v>
      </c>
      <c r="F34" s="212">
        <f>IF(Init!$R$9="Yes",SUMPRODUCT('Staging Table'!L36:AI36,LS_Demand_Rates_Restatement!$C$4:$Z$4)-IF(Init!$R$12="No",('Staging Table'!BH36*Rates_previous!$H$34), 0),SUMPRODUCT('Staging Table'!BY36:CV36,LS_Demand_Rates_Restatement!$C$4:$Z$4)-IF(Init!$R$12="No", 'Staging Table'!DU36*Rates_previous!$H$34, 0))</f>
        <v>13159.068407315224</v>
      </c>
      <c r="G34" s="212">
        <f>IF(Init!$R$9="Yes",SUMPRODUCT('Staging Table'!AJ36:AU36,LS_Demand_Rates_Restatement!$C$10:$N$10),SUMPRODUCT(LS_Demand_Rates_Restatement!$C$10:$N$10,'Staging Table'!CW36:DH36))*1000</f>
        <v>80753.392624038461</v>
      </c>
      <c r="H34" s="213">
        <f>IF(Init!$R$9="Yes",'Staging Table'!BQ36,'Staging Table'!ED36)*IF(Init!$R$3=2020,Rates_previous!$C$88,Rates_previous!$D$88)</f>
        <v>-6017.4759415161016</v>
      </c>
      <c r="I34" s="211">
        <f>IF(Init!$R$9="Yes",IF('Staging Table'!$F$1=2020,(SUM('Staging Table'!AX36:BD36)*Rates_previous!$C$87),(SUM('Staging Table'!AX36:BD36)*Rates_previous!$D$87)),IF('Staging Table'!$F$1=2020,(SUM('Staging Table'!DK36:DQ36)*Rates_previous!$C$87),(SUM('Staging Table'!DK36:DQ36)*Rates_previous!$D$87)))</f>
        <v>16076.01435279669</v>
      </c>
      <c r="J34" s="213">
        <f>IF(Init!$R$9="Yes",IF('Staging Table'!D36=1,'Staging Table'!H36*-1*'Staging Table'!BS36/'Staging Table'!BR36,'Staging Table'!H36*SUM(D34:I34)*(-1)),IF('Staging Table'!D36=1,'Staging Table'!BU36*-1*'Staging Table'!BS36/'Staging Table'!BR36,'Staging Table'!BU36*SUM(D34:I34)*(-1)))</f>
        <v>0</v>
      </c>
      <c r="K34" s="211">
        <f>IF(Init!$R$9="Yes",'Staging Table'!K36,'Staging Table'!BX36)*(-1)*Rates_previous!$H$32</f>
        <v>0</v>
      </c>
      <c r="L34" s="211">
        <f>IF('Staging Table'!C36=1,"",SUM(D34:K34))</f>
        <v>1281885.7952826344</v>
      </c>
      <c r="M34" s="211">
        <f>IF('Staging Table'!C36=1,"",IF(Init!$R$9="Yes",(RT1SC!$C$3*'Staging Table'!F36*'Staging Table'!$F$2)+SUM('Staging Table'!L36:AI36)-IF(Init!$R$12="No",'Staging Table'!BH36, 0),X34))</f>
        <v>33636.174277042395</v>
      </c>
      <c r="N34" s="95">
        <f>IF('Staging Table'!C36=1,"",IF(M34=0, 0, L34/M34))</f>
        <v>38.110332784116785</v>
      </c>
      <c r="O34" s="211">
        <f>'Staging Table'!BS36*Rates_current!$E$76*100*12</f>
        <v>1339579.1072604978</v>
      </c>
      <c r="P34" s="211">
        <f>'Staging Table'!BS36*Rates_current!$E$77*100*12</f>
        <v>-221167.72492093802</v>
      </c>
      <c r="Q34" s="212">
        <f>SUMPRODUCT('Staging Table'!BY36:CV36, LS_Demand_Rates_Restatement!$C$5:$Z$5)-IF(Init!$R$12="No",('Staging Table'!DU36*Rates_current!$H$34), 0)</f>
        <v>16616.832080672848</v>
      </c>
      <c r="R34" s="212">
        <f>SUMPRODUCT('Staging Table'!CW36:DH36, LS_Demand_Rates_Restatement!$C$11:$N$11)*1000</f>
        <v>73404.587627519606</v>
      </c>
      <c r="S34" s="213">
        <f>'Staging Table'!ED36*IF(Init!$R$15="Yes",IF(Init!$R$6=2022,Rates_current!$C$88,Rates_current!$D$88),Rates_current!$H$33)</f>
        <v>0</v>
      </c>
      <c r="T34" s="213">
        <v>0</v>
      </c>
      <c r="U34" s="213">
        <f>IF('Staging Table'!D36=1, 'Staging Table'!BU36*-1*'Staging Table'!BS36/'Staging Table'!BR36,SUM(O34:T34)*'Staging Table'!BU36*-1)</f>
        <v>0</v>
      </c>
      <c r="V34" s="211">
        <f>'Staging Table'!BX36*Rates_current!$H$32*-1</f>
        <v>0</v>
      </c>
      <c r="W34" s="211">
        <f>IF('Staging Table'!C36=1,"", SUM(O34:V34))</f>
        <v>1208432.8020477523</v>
      </c>
      <c r="X34" s="211">
        <f>IF('Staging Table'!C36=1,"", (RT1SC!$C$4*'Staging Table'!BS36*'Staging Table'!$BS$2)+SUM('Staging Table'!BY36:CV36)-IF(Init!$R$12="No",'Staging Table'!DU36, 0))</f>
        <v>32963.879999999997</v>
      </c>
      <c r="Y34" s="95">
        <f>IF('Staging Table'!C36=1,"",IF(X34=0, 0, W34/X34))</f>
        <v>36.659301091004835</v>
      </c>
      <c r="Z34" s="87">
        <f ca="1">IF('Staging Table'!C36=1,"",(Y34/N34-1)+(RAND()/100000000000000))</f>
        <v>-3.8074495474273648E-2</v>
      </c>
      <c r="AA34" s="53">
        <f t="shared" ca="1" si="0"/>
        <v>76</v>
      </c>
      <c r="AC34" s="421"/>
      <c r="AD34" s="216"/>
      <c r="AE34" s="216"/>
      <c r="AG34" s="216"/>
      <c r="AH34" s="216"/>
    </row>
    <row r="35" spans="2:34">
      <c r="B35" s="135">
        <v>10087</v>
      </c>
      <c r="C35" s="136" t="s">
        <v>38</v>
      </c>
      <c r="D35" s="211">
        <f>IF(Init!$R$9="Yes",'Staging Table'!F37,'Staging Table'!BS37)*Rates_previous!$E$76*100*12</f>
        <v>10376513.2776</v>
      </c>
      <c r="E35" s="211">
        <f>IF(Init!$R$9="Yes",'Staging Table'!F37,'Staging Table'!BS37)*Rates_previous!$E$77*100*12</f>
        <v>-1049752.308</v>
      </c>
      <c r="F35" s="212">
        <f>IF(Init!$R$9="Yes",SUMPRODUCT('Staging Table'!L37:AI37,LS_Demand_Rates_Restatement!$C$4:$Z$4)-IF(Init!$R$12="No",('Staging Table'!BH37*Rates_previous!$H$34), 0),SUMPRODUCT('Staging Table'!BY37:CV37,LS_Demand_Rates_Restatement!$C$4:$Z$4)-IF(Init!$R$12="No", 'Staging Table'!DU37*Rates_previous!$H$34, 0))</f>
        <v>2337352.7740606898</v>
      </c>
      <c r="G35" s="212">
        <f>IF(Init!$R$9="Yes",SUMPRODUCT('Staging Table'!AJ37:AU37,LS_Demand_Rates_Restatement!$C$10:$N$10),SUMPRODUCT(LS_Demand_Rates_Restatement!$C$10:$N$10,'Staging Table'!CW37:DH37))*1000</f>
        <v>0</v>
      </c>
      <c r="H35" s="213">
        <f>IF(Init!$R$9="Yes",'Staging Table'!BQ37,'Staging Table'!ED37)*IF(Init!$R$3=2020,Rates_previous!$C$88,Rates_previous!$D$88)</f>
        <v>1736416.7727685329</v>
      </c>
      <c r="I35" s="211">
        <f>IF(Init!$R$9="Yes",IF('Staging Table'!$F$1=2020,(SUM('Staging Table'!AX37:BD37)*Rates_previous!$C$87),(SUM('Staging Table'!AX37:BD37)*Rates_previous!$D$87)),IF('Staging Table'!$F$1=2020,(SUM('Staging Table'!DK37:DQ37)*Rates_previous!$C$87),(SUM('Staging Table'!DK37:DQ37)*Rates_previous!$D$87)))</f>
        <v>127290.31313803114</v>
      </c>
      <c r="J35" s="213">
        <f>IF(Init!$R$9="Yes",IF('Staging Table'!D37=1,'Staging Table'!H37*-1*'Staging Table'!BS37/'Staging Table'!BR37,'Staging Table'!H37*SUM(D35:I35)*(-1)),IF('Staging Table'!D37=1,'Staging Table'!BU37*-1*'Staging Table'!BS37/'Staging Table'!BR37,'Staging Table'!BU37*SUM(D35:I35)*(-1)))</f>
        <v>0</v>
      </c>
      <c r="K35" s="211">
        <f>IF(Init!$R$9="Yes",'Staging Table'!K37,'Staging Table'!BX37)*(-1)*Rates_previous!$H$32</f>
        <v>0</v>
      </c>
      <c r="L35" s="211">
        <f>IF('Staging Table'!C37=1,"",SUM(D35:K35))</f>
        <v>13527820.829567252</v>
      </c>
      <c r="M35" s="211">
        <f>IF('Staging Table'!C37=1,"",IF(Init!$R$9="Yes",(RT1SC!$C$3*'Staging Table'!F37*'Staging Table'!$F$2)+SUM('Staging Table'!L37:AI37)-IF(Init!$R$12="No",'Staging Table'!BH37, 0),X35))</f>
        <v>380278.79311165598</v>
      </c>
      <c r="N35" s="95">
        <f>IF('Staging Table'!C37=1,"",IF(M35=0, 0, L35/M35))</f>
        <v>35.573429480184728</v>
      </c>
      <c r="O35" s="211">
        <f>'Staging Table'!BS37*Rates_current!$E$76*100*12</f>
        <v>20030616.557849549</v>
      </c>
      <c r="P35" s="211">
        <f>'Staging Table'!BS37*Rates_current!$E$77*100*12</f>
        <v>-3307102.8570481902</v>
      </c>
      <c r="Q35" s="212">
        <f>SUMPRODUCT('Staging Table'!BY37:CV37, LS_Demand_Rates_Restatement!$C$5:$Z$5)-IF(Init!$R$12="No",('Staging Table'!DU37*Rates_current!$H$34), 0)</f>
        <v>-2991458.3604948339</v>
      </c>
      <c r="R35" s="212">
        <f>SUMPRODUCT('Staging Table'!CW37:DH37, LS_Demand_Rates_Restatement!$C$11:$N$11)*1000</f>
        <v>1720.5996634615576</v>
      </c>
      <c r="S35" s="213">
        <f>'Staging Table'!ED37*IF(Init!$R$15="Yes",IF(Init!$R$6=2022,Rates_current!$C$88,Rates_current!$D$88),Rates_current!$H$33)</f>
        <v>-688108.88301358931</v>
      </c>
      <c r="T35" s="213">
        <v>0</v>
      </c>
      <c r="U35" s="213">
        <f>IF('Staging Table'!D37=1, 'Staging Table'!BU37*-1*'Staging Table'!BS37/'Staging Table'!BR37,SUM(O35:T35)*'Staging Table'!BU37*-1)</f>
        <v>0</v>
      </c>
      <c r="V35" s="211">
        <f>'Staging Table'!BX37*Rates_current!$H$32*-1</f>
        <v>0</v>
      </c>
      <c r="W35" s="211">
        <f>IF('Staging Table'!C37=1,"", SUM(O35:V35))</f>
        <v>13045667.056956396</v>
      </c>
      <c r="X35" s="211">
        <f>IF('Staging Table'!C37=1,"", (RT1SC!$C$4*'Staging Table'!BS37*'Staging Table'!$BS$2)+SUM('Staging Table'!BY37:CV37)-IF(Init!$R$12="No",'Staging Table'!DU37, 0))</f>
        <v>380278.80821381521</v>
      </c>
      <c r="Y35" s="95">
        <f>IF('Staging Table'!C37=1,"",IF(X35=0, 0, W35/X35))</f>
        <v>34.305532612328349</v>
      </c>
      <c r="Z35" s="87">
        <f ca="1">IF('Staging Table'!C37=1,"",(Y35/N35-1)+(RAND()/100000000000000))</f>
        <v>-3.5641682187612468E-2</v>
      </c>
      <c r="AA35" s="53">
        <f t="shared" ca="1" si="0"/>
        <v>44</v>
      </c>
      <c r="AC35" s="421"/>
      <c r="AD35" s="216"/>
      <c r="AE35" s="216"/>
      <c r="AG35" s="216"/>
      <c r="AH35" s="216"/>
    </row>
    <row r="36" spans="2:34">
      <c r="B36" s="135">
        <v>10089</v>
      </c>
      <c r="C36" s="136" t="s">
        <v>39</v>
      </c>
      <c r="D36" s="211">
        <f>IF(Init!$R$9="Yes",'Staging Table'!F38,'Staging Table'!BS38)*Rates_previous!$E$76*100*12</f>
        <v>34952640.89976</v>
      </c>
      <c r="E36" s="211">
        <f>IF(Init!$R$9="Yes",'Staging Table'!F38,'Staging Table'!BS38)*Rates_previous!$E$77*100*12</f>
        <v>-3536025.4908000003</v>
      </c>
      <c r="F36" s="212">
        <f>IF(Init!$R$9="Yes",SUMPRODUCT('Staging Table'!L38:AI38,LS_Demand_Rates_Restatement!$C$4:$Z$4)-IF(Init!$R$12="No",('Staging Table'!BH38*Rates_previous!$H$34), 0),SUMPRODUCT('Staging Table'!BY38:CV38,LS_Demand_Rates_Restatement!$C$4:$Z$4)-IF(Init!$R$12="No", 'Staging Table'!DU38*Rates_previous!$H$34, 0))</f>
        <v>-460114.80557618837</v>
      </c>
      <c r="G36" s="212">
        <f>IF(Init!$R$9="Yes",SUMPRODUCT('Staging Table'!AJ38:AU38,LS_Demand_Rates_Restatement!$C$10:$N$10),SUMPRODUCT(LS_Demand_Rates_Restatement!$C$10:$N$10,'Staging Table'!CW38:DH38))*1000</f>
        <v>1774559.2855835822</v>
      </c>
      <c r="H36" s="213">
        <f>IF(Init!$R$9="Yes",'Staging Table'!BQ38,'Staging Table'!ED38)*IF(Init!$R$3=2020,Rates_previous!$C$88,Rates_previous!$D$88)</f>
        <v>0</v>
      </c>
      <c r="I36" s="211">
        <f>IF(Init!$R$9="Yes",IF('Staging Table'!$F$1=2020,(SUM('Staging Table'!AX38:BD38)*Rates_previous!$C$87),(SUM('Staging Table'!AX38:BD38)*Rates_previous!$D$87)),IF('Staging Table'!$F$1=2020,(SUM('Staging Table'!DK38:DQ38)*Rates_previous!$C$87),(SUM('Staging Table'!DK38:DQ38)*Rates_previous!$D$87)))</f>
        <v>428769.51882633276</v>
      </c>
      <c r="J36" s="213">
        <f>IF(Init!$R$9="Yes",IF('Staging Table'!D38=1,'Staging Table'!H38*-1*'Staging Table'!BS38/'Staging Table'!BR38,'Staging Table'!H38*SUM(D36:I36)*(-1)),IF('Staging Table'!D38=1,'Staging Table'!BU38*-1*'Staging Table'!BS38/'Staging Table'!BR38,'Staging Table'!BU38*SUM(D36:I36)*(-1)))</f>
        <v>0</v>
      </c>
      <c r="K36" s="211">
        <f>IF(Init!$R$9="Yes",'Staging Table'!K38,'Staging Table'!BX38)*(-1)*Rates_previous!$H$32</f>
        <v>0</v>
      </c>
      <c r="L36" s="211">
        <f>IF('Staging Table'!C38=1,"",SUM(D36:K36))</f>
        <v>33159829.407793727</v>
      </c>
      <c r="M36" s="211">
        <f>IF('Staging Table'!C38=1,"",IF(Init!$R$9="Yes",(RT1SC!$C$3*'Staging Table'!F38*'Staging Table'!$F$2)+SUM('Staging Table'!L38:AI38)-IF(Init!$R$12="No",'Staging Table'!BH38, 0),X36))</f>
        <v>863912.53606048564</v>
      </c>
      <c r="N36" s="95">
        <f>IF('Staging Table'!C38=1,"",IF(M36=0, 0, L36/M36))</f>
        <v>38.383317782382647</v>
      </c>
      <c r="O36" s="211">
        <f>'Staging Table'!BS38*Rates_current!$E$76*100*12</f>
        <v>35267909.23529759</v>
      </c>
      <c r="P36" s="211">
        <f>'Staging Table'!BS38*Rates_current!$E$77*100*12</f>
        <v>-5822816.4398894869</v>
      </c>
      <c r="Q36" s="212">
        <f>SUMPRODUCT('Staging Table'!BY38:CV38, LS_Demand_Rates_Restatement!$C$5:$Z$5)-IF(Init!$R$12="No",('Staging Table'!DU38*Rates_current!$H$34), 0)</f>
        <v>101623.3283263979</v>
      </c>
      <c r="R36" s="212">
        <f>SUMPRODUCT('Staging Table'!CW38:DH38, LS_Demand_Rates_Restatement!$C$11:$N$11)*1000</f>
        <v>1678680.3775312856</v>
      </c>
      <c r="S36" s="213">
        <f>'Staging Table'!ED38*IF(Init!$R$15="Yes",IF(Init!$R$6=2022,Rates_current!$C$88,Rates_current!$D$88),Rates_current!$H$33)</f>
        <v>0</v>
      </c>
      <c r="T36" s="213">
        <v>0</v>
      </c>
      <c r="U36" s="213">
        <f>IF('Staging Table'!D38=1, 'Staging Table'!BU38*-1*'Staging Table'!BS38/'Staging Table'!BR38,SUM(O36:T36)*'Staging Table'!BU38*-1)</f>
        <v>0</v>
      </c>
      <c r="V36" s="211">
        <f>'Staging Table'!BX38*Rates_current!$H$32*-1</f>
        <v>0</v>
      </c>
      <c r="W36" s="211">
        <f>IF('Staging Table'!C38=1,"", SUM(O36:V36))</f>
        <v>31225396.501265787</v>
      </c>
      <c r="X36" s="211">
        <f>IF('Staging Table'!C38=1,"", (RT1SC!$C$4*'Staging Table'!BS38*'Staging Table'!$BS$2)+SUM('Staging Table'!BY38:CV38)-IF(Init!$R$12="No",'Staging Table'!DU38, 0))</f>
        <v>859366.1783939678</v>
      </c>
      <c r="Y36" s="95">
        <f>IF('Staging Table'!C38=1,"",IF(X36=0, 0, W36/X36))</f>
        <v>36.335379825654272</v>
      </c>
      <c r="Z36" s="87">
        <f ca="1">IF('Staging Table'!C38=1,"",(Y36/N36-1)+(RAND()/100000000000000))</f>
        <v>-5.3354896737665081E-2</v>
      </c>
      <c r="AA36" s="53">
        <f t="shared" ca="1" si="0"/>
        <v>107</v>
      </c>
      <c r="AC36" s="421"/>
      <c r="AD36" s="216"/>
      <c r="AE36" s="216"/>
      <c r="AG36" s="216"/>
      <c r="AH36" s="216"/>
    </row>
    <row r="37" spans="2:34">
      <c r="B37" s="135">
        <v>10091</v>
      </c>
      <c r="C37" s="136" t="s">
        <v>40</v>
      </c>
      <c r="D37" s="211">
        <f>IF(Init!$R$9="Yes",'Staging Table'!F39,'Staging Table'!BS39)*Rates_previous!$E$76*100*12</f>
        <v>3171182.2414800003</v>
      </c>
      <c r="E37" s="211">
        <f>IF(Init!$R$9="Yes",'Staging Table'!F39,'Staging Table'!BS39)*Rates_previous!$E$77*100*12</f>
        <v>-320816.42339999997</v>
      </c>
      <c r="F37" s="212">
        <f>IF(Init!$R$9="Yes",SUMPRODUCT('Staging Table'!L39:AI39,LS_Demand_Rates_Restatement!$C$4:$Z$4)-IF(Init!$R$12="No",('Staging Table'!BH39*Rates_previous!$H$34), 0),SUMPRODUCT('Staging Table'!BY39:CV39,LS_Demand_Rates_Restatement!$C$4:$Z$4)-IF(Init!$R$12="No", 'Staging Table'!DU39*Rates_previous!$H$34, 0))</f>
        <v>34633.022501381165</v>
      </c>
      <c r="G37" s="212">
        <f>IF(Init!$R$9="Yes",SUMPRODUCT('Staging Table'!AJ39:AU39,LS_Demand_Rates_Restatement!$C$10:$N$10),SUMPRODUCT(LS_Demand_Rates_Restatement!$C$10:$N$10,'Staging Table'!CW39:DH39))*1000</f>
        <v>194839.33722471516</v>
      </c>
      <c r="H37" s="213">
        <f>IF(Init!$R$9="Yes",'Staging Table'!BQ39,'Staging Table'!ED39)*IF(Init!$R$3=2020,Rates_previous!$C$88,Rates_previous!$D$88)</f>
        <v>-13085.666846860488</v>
      </c>
      <c r="I37" s="211">
        <f>IF(Init!$R$9="Yes",IF('Staging Table'!$F$1=2020,(SUM('Staging Table'!AX39:BD39)*Rates_previous!$C$87),(SUM('Staging Table'!AX39:BD39)*Rates_previous!$D$87)),IF('Staging Table'!$F$1=2020,(SUM('Staging Table'!DK39:DQ39)*Rates_previous!$C$87),(SUM('Staging Table'!DK39:DQ39)*Rates_previous!$D$87)))</f>
        <v>38901.389102170164</v>
      </c>
      <c r="J37" s="213">
        <f>IF(Init!$R$9="Yes",IF('Staging Table'!D39=1,'Staging Table'!H39*-1*'Staging Table'!BS39/'Staging Table'!BR39,'Staging Table'!H39*SUM(D37:I37)*(-1)),IF('Staging Table'!D39=1,'Staging Table'!BU39*-1*'Staging Table'!BS39/'Staging Table'!BR39,'Staging Table'!BU39*SUM(D37:I37)*(-1)))</f>
        <v>0</v>
      </c>
      <c r="K37" s="211">
        <f>IF(Init!$R$9="Yes",'Staging Table'!K39,'Staging Table'!BX39)*(-1)*Rates_previous!$H$32</f>
        <v>0</v>
      </c>
      <c r="L37" s="211">
        <f>IF('Staging Table'!C39=1,"",SUM(D37:K37))</f>
        <v>3105653.9000614067</v>
      </c>
      <c r="M37" s="211">
        <f>IF('Staging Table'!C39=1,"",IF(Init!$R$9="Yes",(RT1SC!$C$3*'Staging Table'!F39*'Staging Table'!$F$2)+SUM('Staging Table'!L39:AI39)-IF(Init!$R$12="No",'Staging Table'!BH39, 0),X37))</f>
        <v>81496.821090238795</v>
      </c>
      <c r="N37" s="95">
        <f>IF('Staging Table'!C39=1,"",IF(M37=0, 0, L37/M37))</f>
        <v>38.107669213534308</v>
      </c>
      <c r="O37" s="211">
        <f>'Staging Table'!BS39*Rates_current!$E$76*100*12</f>
        <v>3199785.8983488763</v>
      </c>
      <c r="P37" s="211">
        <f>'Staging Table'!BS39*Rates_current!$E$77*100*12</f>
        <v>-528292.32968494017</v>
      </c>
      <c r="Q37" s="212">
        <f>SUMPRODUCT('Staging Table'!BY39:CV39, LS_Demand_Rates_Restatement!$C$5:$Z$5)-IF(Init!$R$12="No",('Staging Table'!DU39*Rates_current!$H$34), 0)</f>
        <v>46604.455685835099</v>
      </c>
      <c r="R37" s="212">
        <f>SUMPRODUCT('Staging Table'!CW39:DH39, LS_Demand_Rates_Restatement!$C$11:$N$11)*1000</f>
        <v>182205.22775932169</v>
      </c>
      <c r="S37" s="213">
        <f>'Staging Table'!ED39*IF(Init!$R$15="Yes",IF(Init!$R$6=2022,Rates_current!$C$88,Rates_current!$D$88),Rates_current!$H$33)</f>
        <v>0</v>
      </c>
      <c r="T37" s="213">
        <v>0</v>
      </c>
      <c r="U37" s="213">
        <f>IF('Staging Table'!D39=1, 'Staging Table'!BU39*-1*'Staging Table'!BS39/'Staging Table'!BR39,SUM(O37:T37)*'Staging Table'!BU39*-1)</f>
        <v>0</v>
      </c>
      <c r="V37" s="211">
        <f>'Staging Table'!BX39*Rates_current!$H$32*-1</f>
        <v>0</v>
      </c>
      <c r="W37" s="211">
        <f>IF('Staging Table'!C39=1,"", SUM(O37:V37))</f>
        <v>2900303.2521090931</v>
      </c>
      <c r="X37" s="211">
        <f>IF('Staging Table'!C39=1,"", (RT1SC!$C$4*'Staging Table'!BS39*'Staging Table'!$BS$2)+SUM('Staging Table'!BY39:CV39)-IF(Init!$R$12="No",'Staging Table'!DU39, 0))</f>
        <v>78734.87999999999</v>
      </c>
      <c r="Y37" s="95">
        <f>IF('Staging Table'!C39=1,"",IF(X37=0, 0, W37/X37))</f>
        <v>36.836320219311865</v>
      </c>
      <c r="Z37" s="87">
        <f ca="1">IF('Staging Table'!C39=1,"",(Y37/N37-1)+(RAND()/100000000000000))</f>
        <v>-3.3362024507410458E-2</v>
      </c>
      <c r="AA37" s="53">
        <f t="shared" ca="1" si="0"/>
        <v>24</v>
      </c>
      <c r="AC37" s="421"/>
      <c r="AD37" s="216"/>
      <c r="AE37" s="216"/>
      <c r="AG37" s="216"/>
      <c r="AH37" s="216"/>
    </row>
    <row r="38" spans="2:34">
      <c r="B38" s="135">
        <v>10094</v>
      </c>
      <c r="C38" s="136" t="s">
        <v>41</v>
      </c>
      <c r="D38" s="211">
        <f>IF(Init!$R$9="Yes",'Staging Table'!F40,'Staging Table'!BS40)*Rates_previous!$E$76*100*12</f>
        <v>1022203.0143599999</v>
      </c>
      <c r="E38" s="211">
        <f>IF(Init!$R$9="Yes",'Staging Table'!F40,'Staging Table'!BS40)*Rates_previous!$E$77*100*12</f>
        <v>-103412.38380000001</v>
      </c>
      <c r="F38" s="212">
        <f>IF(Init!$R$9="Yes",SUMPRODUCT('Staging Table'!L40:AI40,LS_Demand_Rates_Restatement!$C$4:$Z$4)-IF(Init!$R$12="No",('Staging Table'!BH40*Rates_previous!$H$34), 0),SUMPRODUCT('Staging Table'!BY40:CV40,LS_Demand_Rates_Restatement!$C$4:$Z$4)-IF(Init!$R$12="No", 'Staging Table'!DU40*Rates_previous!$H$34, 0))</f>
        <v>16158.104446390727</v>
      </c>
      <c r="G38" s="212">
        <f>IF(Init!$R$9="Yes",SUMPRODUCT('Staging Table'!AJ40:AU40,LS_Demand_Rates_Restatement!$C$10:$N$10),SUMPRODUCT(LS_Demand_Rates_Restatement!$C$10:$N$10,'Staging Table'!CW40:DH40))*1000</f>
        <v>59244.351594195148</v>
      </c>
      <c r="H38" s="213">
        <f>IF(Init!$R$9="Yes",'Staging Table'!BQ40,'Staging Table'!ED40)*IF(Init!$R$3=2020,Rates_previous!$C$88,Rates_previous!$D$88)</f>
        <v>0</v>
      </c>
      <c r="I38" s="211">
        <f>IF(Init!$R$9="Yes",IF('Staging Table'!$F$1=2020,(SUM('Staging Table'!AX40:BD40)*Rates_previous!$C$87),(SUM('Staging Table'!AX40:BD40)*Rates_previous!$D$87)),IF('Staging Table'!$F$1=2020,(SUM('Staging Table'!DK40:DQ40)*Rates_previous!$C$87),(SUM('Staging Table'!DK40:DQ40)*Rates_previous!$D$87)))</f>
        <v>12539.524434417584</v>
      </c>
      <c r="J38" s="213">
        <f>IF(Init!$R$9="Yes",IF('Staging Table'!D40=1,'Staging Table'!H40*-1*'Staging Table'!BS40/'Staging Table'!BR40,'Staging Table'!H40*SUM(D38:I38)*(-1)),IF('Staging Table'!D40=1,'Staging Table'!BU40*-1*'Staging Table'!BS40/'Staging Table'!BR40,'Staging Table'!BU40*SUM(D38:I38)*(-1)))</f>
        <v>0</v>
      </c>
      <c r="K38" s="211">
        <f>IF(Init!$R$9="Yes",'Staging Table'!K40,'Staging Table'!BX40)*(-1)*Rates_previous!$H$32</f>
        <v>0</v>
      </c>
      <c r="L38" s="211">
        <f>IF('Staging Table'!C40=1,"",SUM(D38:K38))</f>
        <v>1006732.6110350034</v>
      </c>
      <c r="M38" s="211">
        <f>IF('Staging Table'!C40=1,"",IF(Init!$R$9="Yes",(RT1SC!$C$3*'Staging Table'!F40*'Staging Table'!$F$2)+SUM('Staging Table'!L40:AI40)-IF(Init!$R$12="No",'Staging Table'!BH40, 0),X38))</f>
        <v>26536.464</v>
      </c>
      <c r="N38" s="95">
        <f>IF('Staging Table'!C40=1,"",IF(M38=0, 0, L38/M38))</f>
        <v>37.937707564768367</v>
      </c>
      <c r="O38" s="211">
        <f>'Staging Table'!BS40*Rates_current!$E$76*100*12</f>
        <v>1031423.1543729682</v>
      </c>
      <c r="P38" s="211">
        <f>'Staging Table'!BS40*Rates_current!$E$77*100*12</f>
        <v>-170290.437680801</v>
      </c>
      <c r="Q38" s="212">
        <f>SUMPRODUCT('Staging Table'!BY40:CV40, LS_Demand_Rates_Restatement!$C$5:$Z$5)-IF(Init!$R$12="No",('Staging Table'!DU40*Rates_current!$H$34), 0)</f>
        <v>12481.25580629085</v>
      </c>
      <c r="R38" s="212">
        <f>SUMPRODUCT('Staging Table'!CW40:DH40, LS_Demand_Rates_Restatement!$C$11:$N$11)*1000</f>
        <v>54463.338917298781</v>
      </c>
      <c r="S38" s="213">
        <f>'Staging Table'!ED40*IF(Init!$R$15="Yes",IF(Init!$R$6=2022,Rates_current!$C$88,Rates_current!$D$88),Rates_current!$H$33)</f>
        <v>0</v>
      </c>
      <c r="T38" s="213">
        <v>0</v>
      </c>
      <c r="U38" s="213">
        <f>IF('Staging Table'!D40=1, 'Staging Table'!BU40*-1*'Staging Table'!BS40/'Staging Table'!BR40,SUM(O38:T38)*'Staging Table'!BU40*-1)</f>
        <v>0</v>
      </c>
      <c r="V38" s="211">
        <f>'Staging Table'!BX40*Rates_current!$H$32*-1</f>
        <v>0</v>
      </c>
      <c r="W38" s="211">
        <f>IF('Staging Table'!C40=1,"", SUM(O38:V38))</f>
        <v>928077.31141575694</v>
      </c>
      <c r="X38" s="211">
        <f>IF('Staging Table'!C40=1,"", (RT1SC!$C$4*'Staging Table'!BS40*'Staging Table'!$BS$2)+SUM('Staging Table'!BY40:CV40)-IF(Init!$R$12="No",'Staging Table'!DU40, 0))</f>
        <v>25377.719999999998</v>
      </c>
      <c r="Y38" s="95">
        <f>IF('Staging Table'!C40=1,"",IF(X38=0, 0, W38/X38))</f>
        <v>36.570555251447217</v>
      </c>
      <c r="Z38" s="87">
        <f ca="1">IF('Staging Table'!C40=1,"",(Y38/N38-1)+(RAND()/100000000000000))</f>
        <v>-3.6036766612396569E-2</v>
      </c>
      <c r="AA38" s="53">
        <f t="shared" ca="1" si="0"/>
        <v>48</v>
      </c>
      <c r="AC38" s="421"/>
      <c r="AD38" s="216"/>
      <c r="AE38" s="216"/>
      <c r="AG38" s="216"/>
      <c r="AH38" s="216"/>
    </row>
    <row r="39" spans="2:34">
      <c r="B39" s="135">
        <v>10095</v>
      </c>
      <c r="C39" s="136" t="s">
        <v>42</v>
      </c>
      <c r="D39" s="211">
        <f>IF(Init!$R$9="Yes",'Staging Table'!F41,'Staging Table'!BS41)*Rates_previous!$E$76*100*12</f>
        <v>1225883.0848799997</v>
      </c>
      <c r="E39" s="211">
        <f>IF(Init!$R$9="Yes",'Staging Table'!F41,'Staging Table'!BS41)*Rates_previous!$E$77*100*12</f>
        <v>-124017.9204</v>
      </c>
      <c r="F39" s="212">
        <f>IF(Init!$R$9="Yes",SUMPRODUCT('Staging Table'!L41:AI41,LS_Demand_Rates_Restatement!$C$4:$Z$4)-IF(Init!$R$12="No",('Staging Table'!BH41*Rates_previous!$H$34), 0),SUMPRODUCT('Staging Table'!BY41:CV41,LS_Demand_Rates_Restatement!$C$4:$Z$4)-IF(Init!$R$12="No", 'Staging Table'!DU41*Rates_previous!$H$34, 0))</f>
        <v>8176.1599593110768</v>
      </c>
      <c r="G39" s="212">
        <f>IF(Init!$R$9="Yes",SUMPRODUCT('Staging Table'!AJ41:AU41,LS_Demand_Rates_Restatement!$C$10:$N$10),SUMPRODUCT(LS_Demand_Rates_Restatement!$C$10:$N$10,'Staging Table'!CW41:DH41))*1000</f>
        <v>38428.029075997183</v>
      </c>
      <c r="H39" s="213">
        <f>IF(Init!$R$9="Yes",'Staging Table'!BQ41,'Staging Table'!ED41)*IF(Init!$R$3=2020,Rates_previous!$C$88,Rates_previous!$D$88)</f>
        <v>0</v>
      </c>
      <c r="I39" s="211">
        <f>IF(Init!$R$9="Yes",IF('Staging Table'!$F$1=2020,(SUM('Staging Table'!AX41:BD41)*Rates_previous!$C$87),(SUM('Staging Table'!AX41:BD41)*Rates_previous!$D$87)),IF('Staging Table'!$F$1=2020,(SUM('Staging Table'!DK41:DQ41)*Rates_previous!$C$87),(SUM('Staging Table'!DK41:DQ41)*Rates_previous!$D$87)))</f>
        <v>15038.099751854432</v>
      </c>
      <c r="J39" s="213">
        <f>IF(Init!$R$9="Yes",IF('Staging Table'!D41=1,'Staging Table'!H41*-1*'Staging Table'!BS41/'Staging Table'!BR41,'Staging Table'!H41*SUM(D39:I39)*(-1)),IF('Staging Table'!D41=1,'Staging Table'!BU41*-1*'Staging Table'!BS41/'Staging Table'!BR41,'Staging Table'!BU41*SUM(D39:I39)*(-1)))</f>
        <v>0</v>
      </c>
      <c r="K39" s="211">
        <f>IF(Init!$R$9="Yes",'Staging Table'!K41,'Staging Table'!BX41)*(-1)*Rates_previous!$H$32</f>
        <v>0</v>
      </c>
      <c r="L39" s="211">
        <f>IF('Staging Table'!C41=1,"",SUM(D39:K39))</f>
        <v>1163507.4532671627</v>
      </c>
      <c r="M39" s="211">
        <f>IF('Staging Table'!C41=1,"",IF(Init!$R$9="Yes",(RT1SC!$C$3*'Staging Table'!F41*'Staging Table'!$F$2)+SUM('Staging Table'!L41:AI41)-IF(Init!$R$12="No",'Staging Table'!BH41, 0),X39))</f>
        <v>31824.432000000001</v>
      </c>
      <c r="N39" s="95">
        <f>IF('Staging Table'!C41=1,"",IF(M39=0, 0, L39/M39))</f>
        <v>36.560195426808015</v>
      </c>
      <c r="O39" s="211">
        <f>'Staging Table'!BS41*Rates_current!$E$76*100*12</f>
        <v>1237180.2030714122</v>
      </c>
      <c r="P39" s="211">
        <f>'Staging Table'!BS41*Rates_current!$E$77*100*12</f>
        <v>-204261.4201337485</v>
      </c>
      <c r="Q39" s="212">
        <f>SUMPRODUCT('Staging Table'!BY41:CV41, LS_Demand_Rates_Restatement!$C$5:$Z$5)-IF(Init!$R$12="No",('Staging Table'!DU41*Rates_current!$H$34), 0)</f>
        <v>2037.7821480620478</v>
      </c>
      <c r="R39" s="212">
        <f>SUMPRODUCT('Staging Table'!CW41:DH41, LS_Demand_Rates_Restatement!$C$11:$N$11)*1000</f>
        <v>33124.155512873956</v>
      </c>
      <c r="S39" s="213">
        <f>'Staging Table'!ED41*IF(Init!$R$15="Yes",IF(Init!$R$6=2022,Rates_current!$C$88,Rates_current!$D$88),Rates_current!$H$33)</f>
        <v>0</v>
      </c>
      <c r="T39" s="213">
        <v>0</v>
      </c>
      <c r="U39" s="213">
        <f>IF('Staging Table'!D41=1, 'Staging Table'!BU41*-1*'Staging Table'!BS41/'Staging Table'!BR41,SUM(O39:T39)*'Staging Table'!BU41*-1)</f>
        <v>0</v>
      </c>
      <c r="V39" s="211">
        <f>'Staging Table'!BX41*Rates_current!$H$32*-1</f>
        <v>0</v>
      </c>
      <c r="W39" s="211">
        <f>IF('Staging Table'!C41=1,"", SUM(O39:V39))</f>
        <v>1068080.7205985996</v>
      </c>
      <c r="X39" s="211">
        <f>IF('Staging Table'!C41=1,"", (RT1SC!$C$4*'Staging Table'!BS41*'Staging Table'!$BS$2)+SUM('Staging Table'!BY41:CV41)-IF(Init!$R$12="No",'Staging Table'!DU41, 0))</f>
        <v>30441</v>
      </c>
      <c r="Y39" s="95">
        <f>IF('Staging Table'!C41=1,"",IF(X39=0, 0, W39/X39))</f>
        <v>35.086913064570794</v>
      </c>
      <c r="Z39" s="87">
        <f ca="1">IF('Staging Table'!C41=1,"",(Y39/N39-1)+(RAND()/100000000000000))</f>
        <v>-4.0297442205593857E-2</v>
      </c>
      <c r="AA39" s="53">
        <f t="shared" ca="1" si="0"/>
        <v>88</v>
      </c>
      <c r="AC39" s="421"/>
      <c r="AD39" s="216"/>
      <c r="AE39" s="216"/>
      <c r="AG39" s="216"/>
      <c r="AH39" s="216"/>
    </row>
    <row r="40" spans="2:34">
      <c r="B40" s="135">
        <v>10097</v>
      </c>
      <c r="C40" s="136" t="s">
        <v>43</v>
      </c>
      <c r="D40" s="211">
        <f>IF(Init!$R$9="Yes",'Staging Table'!F42,'Staging Table'!BS42)*Rates_previous!$E$76*100*12</f>
        <v>680438.78868</v>
      </c>
      <c r="E40" s="211">
        <f>IF(Init!$R$9="Yes",'Staging Table'!F42,'Staging Table'!BS42)*Rates_previous!$E$77*100*12</f>
        <v>-68837.399399999995</v>
      </c>
      <c r="F40" s="212">
        <f>IF(Init!$R$9="Yes",SUMPRODUCT('Staging Table'!L42:AI42,LS_Demand_Rates_Restatement!$C$4:$Z$4)-IF(Init!$R$12="No",('Staging Table'!BH42*Rates_previous!$H$34), 0),SUMPRODUCT('Staging Table'!BY42:CV42,LS_Demand_Rates_Restatement!$C$4:$Z$4)-IF(Init!$R$12="No", 'Staging Table'!DU42*Rates_previous!$H$34, 0))</f>
        <v>10793.867621467762</v>
      </c>
      <c r="G40" s="212">
        <f>IF(Init!$R$9="Yes",SUMPRODUCT('Staging Table'!AJ42:AU42,LS_Demand_Rates_Restatement!$C$10:$N$10),SUMPRODUCT(LS_Demand_Rates_Restatement!$C$10:$N$10,'Staging Table'!CW42:DH42))*1000</f>
        <v>47949.462349928777</v>
      </c>
      <c r="H40" s="213">
        <f>IF(Init!$R$9="Yes",'Staging Table'!BQ42,'Staging Table'!ED42)*IF(Init!$R$3=2020,Rates_previous!$C$88,Rates_previous!$D$88)</f>
        <v>-4259.8228163112599</v>
      </c>
      <c r="I40" s="211">
        <f>IF(Init!$R$9="Yes",IF('Staging Table'!$F$1=2020,(SUM('Staging Table'!AX42:BD42)*Rates_previous!$C$87),(SUM('Staging Table'!AX42:BD42)*Rates_previous!$D$87)),IF('Staging Table'!$F$1=2020,(SUM('Staging Table'!DK42:DQ42)*Rates_previous!$C$87),(SUM('Staging Table'!DK42:DQ42)*Rates_previous!$D$87)))</f>
        <v>8347.0491643193564</v>
      </c>
      <c r="J40" s="213">
        <f>IF(Init!$R$9="Yes",IF('Staging Table'!D42=1,'Staging Table'!H42*-1*'Staging Table'!BS42/'Staging Table'!BR42,'Staging Table'!H42*SUM(D40:I40)*(-1)),IF('Staging Table'!D42=1,'Staging Table'!BU42*-1*'Staging Table'!BS42/'Staging Table'!BR42,'Staging Table'!BU42*SUM(D40:I40)*(-1)))</f>
        <v>0</v>
      </c>
      <c r="K40" s="211">
        <f>IF(Init!$R$9="Yes",'Staging Table'!K42,'Staging Table'!BX42)*(-1)*Rates_previous!$H$32</f>
        <v>0</v>
      </c>
      <c r="L40" s="211">
        <f>IF('Staging Table'!C42=1,"",SUM(D40:K40))</f>
        <v>674431.94559940475</v>
      </c>
      <c r="M40" s="211">
        <f>IF('Staging Table'!C42=1,"",IF(Init!$R$9="Yes",(RT1SC!$C$3*'Staging Table'!F42*'Staging Table'!$F$2)+SUM('Staging Table'!L42:AI42)-IF(Init!$R$12="No",'Staging Table'!BH42, 0),X40))</f>
        <v>17392.604663070801</v>
      </c>
      <c r="N40" s="95">
        <f>IF('Staging Table'!C42=1,"",IF(M40=0, 0, L40/M40))</f>
        <v>38.776937592987785</v>
      </c>
      <c r="O40" s="211">
        <f>'Staging Table'!BS42*Rates_current!$E$76*100*12</f>
        <v>692091.89107658365</v>
      </c>
      <c r="P40" s="211">
        <f>'Staging Table'!BS42*Rates_current!$E$77*100*12</f>
        <v>-114266.03188718711</v>
      </c>
      <c r="Q40" s="212">
        <f>SUMPRODUCT('Staging Table'!BY42:CV42, LS_Demand_Rates_Restatement!$C$5:$Z$5)-IF(Init!$R$12="No",('Staging Table'!DU42*Rates_current!$H$34), 0)</f>
        <v>15007.949145482224</v>
      </c>
      <c r="R40" s="212">
        <f>SUMPRODUCT('Staging Table'!CW42:DH42, LS_Demand_Rates_Restatement!$C$11:$N$11)*1000</f>
        <v>43472.897563230057</v>
      </c>
      <c r="S40" s="213">
        <f>'Staging Table'!ED42*IF(Init!$R$15="Yes",IF(Init!$R$6=2022,Rates_current!$C$88,Rates_current!$D$88),Rates_current!$H$33)</f>
        <v>0</v>
      </c>
      <c r="T40" s="213">
        <v>0</v>
      </c>
      <c r="U40" s="213">
        <f>IF('Staging Table'!D42=1, 'Staging Table'!BU42*-1*'Staging Table'!BS42/'Staging Table'!BR42,SUM(O40:T40)*'Staging Table'!BU42*-1)</f>
        <v>0</v>
      </c>
      <c r="V40" s="211">
        <f>'Staging Table'!BX42*Rates_current!$H$32*-1</f>
        <v>0</v>
      </c>
      <c r="W40" s="211">
        <f>IF('Staging Table'!C42=1,"", SUM(O40:V40))</f>
        <v>636306.70589810878</v>
      </c>
      <c r="X40" s="211">
        <f>IF('Staging Table'!C42=1,"", (RT1SC!$C$4*'Staging Table'!BS42*'Staging Table'!$BS$2)+SUM('Staging Table'!BY42:CV42)-IF(Init!$R$12="No",'Staging Table'!DU42, 0))</f>
        <v>17029.439999999999</v>
      </c>
      <c r="Y40" s="95">
        <f>IF('Staging Table'!C42=1,"",IF(X40=0, 0, W40/X40))</f>
        <v>37.365098670191671</v>
      </c>
      <c r="Z40" s="87">
        <f ca="1">IF('Staging Table'!C42=1,"",(Y40/N40-1)+(RAND()/100000000000000))</f>
        <v>-3.6409242463001749E-2</v>
      </c>
      <c r="AA40" s="53">
        <f t="shared" ca="1" si="0"/>
        <v>56</v>
      </c>
      <c r="AC40" s="421"/>
      <c r="AD40" s="216"/>
      <c r="AE40" s="216"/>
      <c r="AG40" s="216"/>
      <c r="AH40" s="216"/>
    </row>
    <row r="41" spans="2:34">
      <c r="B41" s="135">
        <v>10101</v>
      </c>
      <c r="C41" s="136" t="s">
        <v>44</v>
      </c>
      <c r="D41" s="211">
        <f>IF(Init!$R$9="Yes",'Staging Table'!F43,'Staging Table'!BS43)*Rates_previous!$E$76*100*12</f>
        <v>25586922.651240002</v>
      </c>
      <c r="E41" s="211">
        <f>IF(Init!$R$9="Yes",'Staging Table'!F43,'Staging Table'!BS43)*Rates_previous!$E$77*100*12</f>
        <v>-2588531.4642000003</v>
      </c>
      <c r="F41" s="212">
        <f>IF(Init!$R$9="Yes",SUMPRODUCT('Staging Table'!L43:AI43,LS_Demand_Rates_Restatement!$C$4:$Z$4)-IF(Init!$R$12="No",('Staging Table'!BH43*Rates_previous!$H$34), 0),SUMPRODUCT('Staging Table'!BY43:CV43,LS_Demand_Rates_Restatement!$C$4:$Z$4)-IF(Init!$R$12="No", 'Staging Table'!DU43*Rates_previous!$H$34, 0))</f>
        <v>468870.15844823321</v>
      </c>
      <c r="G41" s="212">
        <f>IF(Init!$R$9="Yes",SUMPRODUCT('Staging Table'!AJ43:AU43,LS_Demand_Rates_Restatement!$C$10:$N$10),SUMPRODUCT(LS_Demand_Rates_Restatement!$C$10:$N$10,'Staging Table'!CW43:DH43))*1000</f>
        <v>1544209.8139653837</v>
      </c>
      <c r="H41" s="213">
        <f>IF(Init!$R$9="Yes",'Staging Table'!BQ43,'Staging Table'!ED43)*IF(Init!$R$3=2020,Rates_previous!$C$88,Rates_previous!$D$88)</f>
        <v>0</v>
      </c>
      <c r="I41" s="211">
        <f>IF(Init!$R$9="Yes",IF('Staging Table'!$F$1=2020,(SUM('Staging Table'!AX43:BD43)*Rates_previous!$C$87),(SUM('Staging Table'!AX43:BD43)*Rates_previous!$D$87)),IF('Staging Table'!$F$1=2020,(SUM('Staging Table'!DK43:DQ43)*Rates_previous!$C$87),(SUM('Staging Table'!DK43:DQ43)*Rates_previous!$D$87)))</f>
        <v>313878.78658101911</v>
      </c>
      <c r="J41" s="213">
        <f>IF(Init!$R$9="Yes",IF('Staging Table'!D43=1,'Staging Table'!H43*-1*'Staging Table'!BS43/'Staging Table'!BR43,'Staging Table'!H43*SUM(D41:I41)*(-1)),IF('Staging Table'!D43=1,'Staging Table'!BU43*-1*'Staging Table'!BS43/'Staging Table'!BR43,'Staging Table'!BU43*SUM(D41:I41)*(-1)))</f>
        <v>-1295485.8349254217</v>
      </c>
      <c r="K41" s="211">
        <f>IF(Init!$R$9="Yes",'Staging Table'!K43,'Staging Table'!BX43)*(-1)*Rates_previous!$H$32</f>
        <v>0</v>
      </c>
      <c r="L41" s="211">
        <f>IF('Staging Table'!C43=1,"",SUM(D41:K41))</f>
        <v>24029864.111109219</v>
      </c>
      <c r="M41" s="211">
        <f>IF('Staging Table'!C43=1,"",IF(Init!$R$9="Yes",(RT1SC!$C$3*'Staging Table'!F43*'Staging Table'!$F$2)+SUM('Staging Table'!L43:AI43)-IF(Init!$R$12="No",'Staging Table'!BH43, 0),X41))</f>
        <v>657175.58293382439</v>
      </c>
      <c r="N41" s="95">
        <f>IF('Staging Table'!C43=1,"",IF(M41=0, 0, L41/M41))</f>
        <v>36.565363557533381</v>
      </c>
      <c r="O41" s="211">
        <f>'Staging Table'!BS43*Rates_current!$E$76*100*12</f>
        <v>25817713.410053335</v>
      </c>
      <c r="P41" s="211">
        <f>'Staging Table'!BS43*Rates_current!$E$77*100*12</f>
        <v>-4262566.4334520716</v>
      </c>
      <c r="Q41" s="212">
        <f>SUMPRODUCT('Staging Table'!BY43:CV43, LS_Demand_Rates_Restatement!$C$5:$Z$5)-IF(Init!$R$12="No",('Staging Table'!DU43*Rates_current!$H$34), 0)</f>
        <v>531785.15645152354</v>
      </c>
      <c r="R41" s="212">
        <f>SUMPRODUCT('Staging Table'!CW43:DH43, LS_Demand_Rates_Restatement!$C$11:$N$11)*1000</f>
        <v>1445711.6904143242</v>
      </c>
      <c r="S41" s="213">
        <f>'Staging Table'!ED43*IF(Init!$R$15="Yes",IF(Init!$R$6=2022,Rates_current!$C$88,Rates_current!$D$88),Rates_current!$H$33)</f>
        <v>0</v>
      </c>
      <c r="T41" s="213">
        <v>0</v>
      </c>
      <c r="U41" s="213">
        <f>IF('Staging Table'!D43=1, 'Staging Table'!BU43*-1*'Staging Table'!BS43/'Staging Table'!BR43,SUM(O41:T41)*'Staging Table'!BU43*-1)</f>
        <v>-1245617.7554339231</v>
      </c>
      <c r="V41" s="211">
        <f>'Staging Table'!BX43*Rates_current!$H$32*-1</f>
        <v>0</v>
      </c>
      <c r="W41" s="211">
        <f>IF('Staging Table'!C43=1,"", SUM(O41:V41))</f>
        <v>22287026.068033189</v>
      </c>
      <c r="X41" s="211">
        <f>IF('Staging Table'!C43=1,"", (RT1SC!$C$4*'Staging Table'!BS43*'Staging Table'!$BS$2)+SUM('Staging Table'!BY43:CV43)-IF(Init!$R$12="No",'Staging Table'!DU43, 0))</f>
        <v>635256.15049840335</v>
      </c>
      <c r="Y41" s="95">
        <f>IF('Staging Table'!C43=1,"",IF(X41=0, 0, W41/X41))</f>
        <v>35.083526622367124</v>
      </c>
      <c r="Z41" s="87">
        <f ca="1">IF('Staging Table'!C43=1,"",(Y41/N41-1)+(RAND()/100000000000000))</f>
        <v>-4.052569948701263E-2</v>
      </c>
      <c r="AA41" s="53">
        <f t="shared" ca="1" si="0"/>
        <v>90</v>
      </c>
      <c r="AC41" s="421"/>
      <c r="AD41" s="216"/>
      <c r="AE41" s="216"/>
      <c r="AG41" s="216"/>
      <c r="AH41" s="216"/>
    </row>
    <row r="42" spans="2:34">
      <c r="B42" s="135">
        <v>10103</v>
      </c>
      <c r="C42" s="136" t="s">
        <v>45</v>
      </c>
      <c r="D42" s="211">
        <f>IF(Init!$R$9="Yes",'Staging Table'!F44,'Staging Table'!BS44)*Rates_previous!$E$76*100*12</f>
        <v>51479484.241439983</v>
      </c>
      <c r="E42" s="211">
        <f>IF(Init!$R$9="Yes",'Staging Table'!F44,'Staging Table'!BS44)*Rates_previous!$E$77*100*12</f>
        <v>-5207983.2551999986</v>
      </c>
      <c r="F42" s="212">
        <f>IF(Init!$R$9="Yes",SUMPRODUCT('Staging Table'!L44:AI44,LS_Demand_Rates_Restatement!$C$4:$Z$4)-IF(Init!$R$12="No",('Staging Table'!BH44*Rates_previous!$H$34), 0),SUMPRODUCT('Staging Table'!BY44:CV44,LS_Demand_Rates_Restatement!$C$4:$Z$4)-IF(Init!$R$12="No", 'Staging Table'!DU44*Rates_previous!$H$34, 0))</f>
        <v>384878.11406075116</v>
      </c>
      <c r="G42" s="212">
        <f>IF(Init!$R$9="Yes",SUMPRODUCT('Staging Table'!AJ44:AU44,LS_Demand_Rates_Restatement!$C$10:$N$10),SUMPRODUCT(LS_Demand_Rates_Restatement!$C$10:$N$10,'Staging Table'!CW44:DH44))*1000</f>
        <v>0</v>
      </c>
      <c r="H42" s="213">
        <f>IF(Init!$R$9="Yes",'Staging Table'!BQ44,'Staging Table'!ED44)*IF(Init!$R$3=2020,Rates_previous!$C$88,Rates_previous!$D$88)</f>
        <v>0</v>
      </c>
      <c r="I42" s="211">
        <f>IF(Init!$R$9="Yes",IF('Staging Table'!$F$1=2020,(SUM('Staging Table'!AX44:BD44)*Rates_previous!$C$87),(SUM('Staging Table'!AX44:BD44)*Rates_previous!$D$87)),IF('Staging Table'!$F$1=2020,(SUM('Staging Table'!DK44:DQ44)*Rates_previous!$C$87),(SUM('Staging Table'!DK44:DQ44)*Rates_previous!$D$87)))</f>
        <v>631506.89388341922</v>
      </c>
      <c r="J42" s="213">
        <f>IF(Init!$R$9="Yes",IF('Staging Table'!D44=1,'Staging Table'!H44*-1*'Staging Table'!BS44/'Staging Table'!BR44,'Staging Table'!H44*SUM(D42:I42)*(-1)),IF('Staging Table'!D44=1,'Staging Table'!BU44*-1*'Staging Table'!BS44/'Staging Table'!BR44,'Staging Table'!BU44*SUM(D42:I42)*(-1)))</f>
        <v>0</v>
      </c>
      <c r="K42" s="211">
        <f>IF(Init!$R$9="Yes",'Staging Table'!K44,'Staging Table'!BX44)*(-1)*Rates_previous!$H$32</f>
        <v>0</v>
      </c>
      <c r="L42" s="211">
        <f>IF('Staging Table'!C44=1,"",SUM(D42:K42))</f>
        <v>47287885.994184159</v>
      </c>
      <c r="M42" s="211">
        <f>IF('Staging Table'!C44=1,"",IF(Init!$R$9="Yes",(RT1SC!$C$3*'Staging Table'!F44*'Staging Table'!$F$2)+SUM('Staging Table'!L44:AI44)-IF(Init!$R$12="No",'Staging Table'!BH44, 0),X42))</f>
        <v>1336517.3954236084</v>
      </c>
      <c r="N42" s="95">
        <f>IF('Staging Table'!C44=1,"",IF(M42=0, 0, L42/M42))</f>
        <v>35.381422012241217</v>
      </c>
      <c r="O42" s="211">
        <f>'Staging Table'!BS44*Rates_current!$E$76*100*12</f>
        <v>55824908.91889666</v>
      </c>
      <c r="P42" s="211">
        <f>'Staging Table'!BS44*Rates_current!$E$77*100*12</f>
        <v>-9216826.414052153</v>
      </c>
      <c r="Q42" s="212">
        <f>SUMPRODUCT('Staging Table'!BY44:CV44, LS_Demand_Rates_Restatement!$C$5:$Z$5)-IF(Init!$R$12="No",('Staging Table'!DU44*Rates_current!$H$34), 0)</f>
        <v>234438.99249824689</v>
      </c>
      <c r="R42" s="212">
        <f>SUMPRODUCT('Staging Table'!CW44:DH44, LS_Demand_Rates_Restatement!$C$11:$N$11)*1000</f>
        <v>0</v>
      </c>
      <c r="S42" s="213">
        <f>'Staging Table'!ED44*IF(Init!$R$15="Yes",IF(Init!$R$6=2022,Rates_current!$C$88,Rates_current!$D$88),Rates_current!$H$33)</f>
        <v>0</v>
      </c>
      <c r="T42" s="213">
        <v>0</v>
      </c>
      <c r="U42" s="213">
        <f>IF('Staging Table'!D44=1, 'Staging Table'!BU44*-1*'Staging Table'!BS44/'Staging Table'!BR44,SUM(O42:T42)*'Staging Table'!BU44*-1)</f>
        <v>0</v>
      </c>
      <c r="V42" s="211">
        <f>'Staging Table'!BX44*Rates_current!$H$32*-1</f>
        <v>0</v>
      </c>
      <c r="W42" s="211">
        <f>IF('Staging Table'!C44=1,"", SUM(O42:V42))</f>
        <v>46842521.497342758</v>
      </c>
      <c r="X42" s="211">
        <f>IF('Staging Table'!C44=1,"", (RT1SC!$C$4*'Staging Table'!BS44*'Staging Table'!$BS$2)+SUM('Staging Table'!BY44:CV44)-IF(Init!$R$12="No",'Staging Table'!DU44, 0))</f>
        <v>1373695.5247756226</v>
      </c>
      <c r="Y42" s="95">
        <f>IF('Staging Table'!C44=1,"",IF(X42=0, 0, W42/X42))</f>
        <v>34.099639004788884</v>
      </c>
      <c r="Z42" s="87">
        <f ca="1">IF('Staging Table'!C44=1,"",(Y42/N42-1)+(RAND()/100000000000000))</f>
        <v>-3.6227571831589672E-2</v>
      </c>
      <c r="AA42" s="53">
        <f t="shared" ca="1" si="0"/>
        <v>51</v>
      </c>
      <c r="AC42" s="421"/>
      <c r="AD42" s="216"/>
      <c r="AE42" s="216"/>
      <c r="AG42" s="216"/>
      <c r="AH42" s="216"/>
    </row>
    <row r="43" spans="2:34">
      <c r="B43" s="135">
        <v>10105</v>
      </c>
      <c r="C43" s="136" t="s">
        <v>46</v>
      </c>
      <c r="D43" s="211">
        <f>IF(Init!$R$9="Yes",'Staging Table'!F45,'Staging Table'!BS45)*Rates_previous!$E$76*100*12</f>
        <v>10727071.158600001</v>
      </c>
      <c r="E43" s="211">
        <f>IF(Init!$R$9="Yes",'Staging Table'!F45,'Staging Table'!BS45)*Rates_previous!$E$77*100*12</f>
        <v>-1085216.9130000002</v>
      </c>
      <c r="F43" s="212">
        <f>IF(Init!$R$9="Yes",SUMPRODUCT('Staging Table'!L45:AI45,LS_Demand_Rates_Restatement!$C$4:$Z$4)-IF(Init!$R$12="No",('Staging Table'!BH45*Rates_previous!$H$34), 0),SUMPRODUCT('Staging Table'!BY45:CV45,LS_Demand_Rates_Restatement!$C$4:$Z$4)-IF(Init!$R$12="No", 'Staging Table'!DU45*Rates_previous!$H$34, 0))</f>
        <v>12011.158646358082</v>
      </c>
      <c r="G43" s="212">
        <f>IF(Init!$R$9="Yes",SUMPRODUCT('Staging Table'!AJ45:AU45,LS_Demand_Rates_Restatement!$C$10:$N$10),SUMPRODUCT(LS_Demand_Rates_Restatement!$C$10:$N$10,'Staging Table'!CW45:DH45))*1000</f>
        <v>0</v>
      </c>
      <c r="H43" s="213">
        <f>IF(Init!$R$9="Yes",'Staging Table'!BQ45,'Staging Table'!ED45)*IF(Init!$R$3=2020,Rates_previous!$C$88,Rates_previous!$D$88)</f>
        <v>0</v>
      </c>
      <c r="I43" s="211">
        <f>IF(Init!$R$9="Yes",IF('Staging Table'!$F$1=2020,(SUM('Staging Table'!AX45:BD45)*Rates_previous!$C$87),(SUM('Staging Table'!AX45:BD45)*Rates_previous!$D$87)),IF('Staging Table'!$F$1=2020,(SUM('Staging Table'!DK45:DQ45)*Rates_previous!$C$87),(SUM('Staging Table'!DK45:DQ45)*Rates_previous!$D$87)))</f>
        <v>131590.66155485649</v>
      </c>
      <c r="J43" s="213">
        <f>IF(Init!$R$9="Yes",IF('Staging Table'!D45=1,'Staging Table'!H45*-1*'Staging Table'!BS45/'Staging Table'!BR45,'Staging Table'!H45*SUM(D43:I43)*(-1)),IF('Staging Table'!D45=1,'Staging Table'!BU45*-1*'Staging Table'!BS45/'Staging Table'!BR45,'Staging Table'!BU45*SUM(D43:I43)*(-1)))</f>
        <v>0</v>
      </c>
      <c r="K43" s="211">
        <f>IF(Init!$R$9="Yes",'Staging Table'!K45,'Staging Table'!BX45)*(-1)*Rates_previous!$H$32</f>
        <v>0</v>
      </c>
      <c r="L43" s="211">
        <f>IF('Staging Table'!C45=1,"",SUM(D43:K43))</f>
        <v>9785456.0658012144</v>
      </c>
      <c r="M43" s="211">
        <f>IF('Staging Table'!C45=1,"",IF(Init!$R$9="Yes",(RT1SC!$C$3*'Staging Table'!F45*'Staging Table'!$F$2)+SUM('Staging Table'!L45:AI45)-IF(Init!$R$12="No",'Staging Table'!BH45, 0),X43))</f>
        <v>278500.61775364127</v>
      </c>
      <c r="N43" s="95">
        <f>IF('Staging Table'!C45=1,"",IF(M43=0, 0, L43/M43))</f>
        <v>35.136209552171714</v>
      </c>
      <c r="O43" s="211">
        <f>'Staging Table'!BS45*Rates_current!$E$76*100*12</f>
        <v>12111368.283760145</v>
      </c>
      <c r="P43" s="211">
        <f>'Staging Table'!BS45*Rates_current!$E$77*100*12</f>
        <v>-1999615.964806132</v>
      </c>
      <c r="Q43" s="212">
        <f>SUMPRODUCT('Staging Table'!BY45:CV45, LS_Demand_Rates_Restatement!$C$5:$Z$5)-IF(Init!$R$12="No",('Staging Table'!DU45*Rates_current!$H$34), 0)</f>
        <v>-34269.433033539113</v>
      </c>
      <c r="R43" s="212">
        <f>SUMPRODUCT('Staging Table'!CW45:DH45, LS_Demand_Rates_Restatement!$C$11:$N$11)*1000</f>
        <v>0</v>
      </c>
      <c r="S43" s="213">
        <f>'Staging Table'!ED45*IF(Init!$R$15="Yes",IF(Init!$R$6=2022,Rates_current!$C$88,Rates_current!$D$88),Rates_current!$H$33)</f>
        <v>0</v>
      </c>
      <c r="T43" s="213">
        <v>0</v>
      </c>
      <c r="U43" s="213">
        <f>IF('Staging Table'!D45=1, 'Staging Table'!BU45*-1*'Staging Table'!BS45/'Staging Table'!BR45,SUM(O43:T43)*'Staging Table'!BU45*-1)</f>
        <v>0</v>
      </c>
      <c r="V43" s="211">
        <f>'Staging Table'!BX45*Rates_current!$H$32*-1</f>
        <v>0</v>
      </c>
      <c r="W43" s="211">
        <f>IF('Staging Table'!C45=1,"", SUM(O43:V43))</f>
        <v>10077482.885920474</v>
      </c>
      <c r="X43" s="211">
        <f>IF('Staging Table'!C45=1,"", (RT1SC!$C$4*'Staging Table'!BS45*'Staging Table'!$BS$2)+SUM('Staging Table'!BY45:CV45)-IF(Init!$R$12="No",'Staging Table'!DU45, 0))</f>
        <v>298028.29461132485</v>
      </c>
      <c r="Y43" s="95">
        <f>IF('Staging Table'!C45=1,"",IF(X43=0, 0, W43/X43))</f>
        <v>33.813846094925573</v>
      </c>
      <c r="Z43" s="87">
        <f ca="1">IF('Staging Table'!C45=1,"",(Y43/N43-1)+(RAND()/100000000000000))</f>
        <v>-3.7635347526099081E-2</v>
      </c>
      <c r="AA43" s="53">
        <f t="shared" ca="1" si="0"/>
        <v>71</v>
      </c>
      <c r="AC43" s="421"/>
      <c r="AD43" s="216"/>
      <c r="AE43" s="216"/>
      <c r="AG43" s="216"/>
      <c r="AH43" s="216"/>
    </row>
    <row r="44" spans="2:34">
      <c r="B44" s="135">
        <v>10106</v>
      </c>
      <c r="C44" s="136" t="s">
        <v>47</v>
      </c>
      <c r="D44" s="211">
        <f>IF(Init!$R$9="Yes",'Staging Table'!F46,'Staging Table'!BS46)*Rates_previous!$E$76*100*12</f>
        <v>8011970.6619600002</v>
      </c>
      <c r="E44" s="211">
        <f>IF(Init!$R$9="Yes",'Staging Table'!F46,'Staging Table'!BS46)*Rates_previous!$E$77*100*12</f>
        <v>-810540.54180000001</v>
      </c>
      <c r="F44" s="212">
        <f>IF(Init!$R$9="Yes",SUMPRODUCT('Staging Table'!L46:AI46,LS_Demand_Rates_Restatement!$C$4:$Z$4)-IF(Init!$R$12="No",('Staging Table'!BH46*Rates_previous!$H$34), 0),SUMPRODUCT('Staging Table'!BY46:CV46,LS_Demand_Rates_Restatement!$C$4:$Z$4)-IF(Init!$R$12="No", 'Staging Table'!DU46*Rates_previous!$H$34, 0))</f>
        <v>0</v>
      </c>
      <c r="G44" s="212">
        <f>IF(Init!$R$9="Yes",SUMPRODUCT('Staging Table'!AJ46:AU46,LS_Demand_Rates_Restatement!$C$10:$N$10),SUMPRODUCT(LS_Demand_Rates_Restatement!$C$10:$N$10,'Staging Table'!CW46:DH46))*1000</f>
        <v>0</v>
      </c>
      <c r="H44" s="213">
        <f>IF(Init!$R$9="Yes",'Staging Table'!BQ46,'Staging Table'!ED46)*IF(Init!$R$3=2020,Rates_previous!$C$88,Rates_previous!$D$88)</f>
        <v>45.724533240044259</v>
      </c>
      <c r="I44" s="211">
        <f>IF(Init!$R$9="Yes",IF('Staging Table'!$F$1=2020,(SUM('Staging Table'!AX46:BD46)*Rates_previous!$C$87),(SUM('Staging Table'!AX46:BD46)*Rates_previous!$D$87)),IF('Staging Table'!$F$1=2020,(SUM('Staging Table'!DK46:DQ46)*Rates_previous!$C$87),(SUM('Staging Table'!DK46:DQ46)*Rates_previous!$D$87)))</f>
        <v>98284.098630237451</v>
      </c>
      <c r="J44" s="213">
        <f>IF(Init!$R$9="Yes",IF('Staging Table'!D46=1,'Staging Table'!H46*-1*'Staging Table'!BS46/'Staging Table'!BR46,'Staging Table'!H46*SUM(D44:I44)*(-1)),IF('Staging Table'!D46=1,'Staging Table'!BU46*-1*'Staging Table'!BS46/'Staging Table'!BR46,'Staging Table'!BU46*SUM(D44:I44)*(-1)))</f>
        <v>-510983.19603264349</v>
      </c>
      <c r="K44" s="211">
        <f>IF(Init!$R$9="Yes",'Staging Table'!K46,'Staging Table'!BX46)*(-1)*Rates_previous!$H$32</f>
        <v>0</v>
      </c>
      <c r="L44" s="211" t="str">
        <f>IF('Staging Table'!C46=1,"",SUM(D44:K44))</f>
        <v/>
      </c>
      <c r="M44" s="211" t="str">
        <f>IF('Staging Table'!C46=1,"",IF(Init!$R$9="Yes",(RT1SC!$C$3*'Staging Table'!F46*'Staging Table'!$F$2)+SUM('Staging Table'!L46:AI46)-IF(Init!$R$12="No",'Staging Table'!BH46, 0),X44))</f>
        <v/>
      </c>
      <c r="N44" s="95" t="str">
        <f>IF('Staging Table'!C46=1,"",IF(M44=0, 0, L44/M44))</f>
        <v/>
      </c>
      <c r="O44" s="211">
        <f>'Staging Table'!BS46*Rates_current!$E$76*100*12</f>
        <v>8108938.0474232845</v>
      </c>
      <c r="P44" s="211">
        <f>'Staging Table'!BS46*Rates_current!$E$77*100*12</f>
        <v>-1338805.1289789828</v>
      </c>
      <c r="Q44" s="212">
        <f>SUMPRODUCT('Staging Table'!BY46:CV46, LS_Demand_Rates_Restatement!$C$5:$Z$5)-IF(Init!$R$12="No",('Staging Table'!DU46*Rates_current!$H$34), 0)</f>
        <v>0</v>
      </c>
      <c r="R44" s="212">
        <f>SUMPRODUCT('Staging Table'!CW46:DH46, LS_Demand_Rates_Restatement!$C$11:$N$11)*1000</f>
        <v>0</v>
      </c>
      <c r="S44" s="213">
        <f>'Staging Table'!ED46*IF(Init!$R$15="Yes",IF(Init!$R$6=2022,Rates_current!$C$88,Rates_current!$D$88),Rates_current!$H$33)</f>
        <v>0</v>
      </c>
      <c r="T44" s="213">
        <v>0</v>
      </c>
      <c r="U44" s="213">
        <f>IF('Staging Table'!D46=1, 'Staging Table'!BU46*-1*'Staging Table'!BS46/'Staging Table'!BR46,SUM(O44:T44)*'Staging Table'!BU46*-1)</f>
        <v>-492821.56865147583</v>
      </c>
      <c r="V44" s="211">
        <f>'Staging Table'!BX46*Rates_current!$H$32*-1</f>
        <v>0</v>
      </c>
      <c r="W44" s="211" t="str">
        <f>IF('Staging Table'!C46=1,"", SUM(O44:V44))</f>
        <v/>
      </c>
      <c r="X44" s="211" t="str">
        <f>IF('Staging Table'!C46=1,"", (RT1SC!$C$4*'Staging Table'!BS46*'Staging Table'!$BS$2)+SUM('Staging Table'!BY46:CV46)-IF(Init!$R$12="No",'Staging Table'!DU46, 0))</f>
        <v/>
      </c>
      <c r="Y44" s="95" t="str">
        <f>IF('Staging Table'!C46=1,"",IF(X44=0, 0, W44/X44))</f>
        <v/>
      </c>
      <c r="Z44" s="87" t="str">
        <f ca="1">IF('Staging Table'!C46=1,"",(Y44/N44-1)+(RAND()/100000000000000))</f>
        <v/>
      </c>
      <c r="AA44" s="53" t="str">
        <f t="shared" ca="1" si="0"/>
        <v/>
      </c>
      <c r="AC44" s="421"/>
      <c r="AD44" s="216"/>
      <c r="AE44" s="216"/>
      <c r="AG44" s="216"/>
      <c r="AH44" s="216"/>
    </row>
    <row r="45" spans="2:34">
      <c r="B45" s="135">
        <v>10109</v>
      </c>
      <c r="C45" s="136" t="s">
        <v>48</v>
      </c>
      <c r="D45" s="211">
        <f>IF(Init!$R$9="Yes",'Staging Table'!F47,'Staging Table'!BS47)*Rates_previous!$E$76*100*12</f>
        <v>4078354.7376000001</v>
      </c>
      <c r="E45" s="211">
        <f>IF(Init!$R$9="Yes",'Staging Table'!F47,'Staging Table'!BS47)*Rates_previous!$E$77*100*12</f>
        <v>-412591.60800000001</v>
      </c>
      <c r="F45" s="212">
        <f>IF(Init!$R$9="Yes",SUMPRODUCT('Staging Table'!L47:AI47,LS_Demand_Rates_Restatement!$C$4:$Z$4)-IF(Init!$R$12="No",('Staging Table'!BH47*Rates_previous!$H$34), 0),SUMPRODUCT('Staging Table'!BY47:CV47,LS_Demand_Rates_Restatement!$C$4:$Z$4)-IF(Init!$R$12="No", 'Staging Table'!DU47*Rates_previous!$H$34, 0))</f>
        <v>-61803.708034189949</v>
      </c>
      <c r="G45" s="212">
        <f>IF(Init!$R$9="Yes",SUMPRODUCT('Staging Table'!AJ47:AU47,LS_Demand_Rates_Restatement!$C$10:$N$10),SUMPRODUCT(LS_Demand_Rates_Restatement!$C$10:$N$10,'Staging Table'!CW47:DH47))*1000</f>
        <v>590250.00475402421</v>
      </c>
      <c r="H45" s="213">
        <f>IF(Init!$R$9="Yes",'Staging Table'!BQ47,'Staging Table'!ED47)*IF(Init!$R$3=2020,Rates_previous!$C$88,Rates_previous!$D$88)</f>
        <v>0</v>
      </c>
      <c r="I45" s="211">
        <f>IF(Init!$R$9="Yes",IF('Staging Table'!$F$1=2020,(SUM('Staging Table'!AX47:BD47)*Rates_previous!$C$87),(SUM('Staging Table'!AX47:BD47)*Rates_previous!$D$87)),IF('Staging Table'!$F$1=2020,(SUM('Staging Table'!DK47:DQ47)*Rates_previous!$C$87),(SUM('Staging Table'!DK47:DQ47)*Rates_previous!$D$87)))</f>
        <v>50029.816157778609</v>
      </c>
      <c r="J45" s="213">
        <f>IF(Init!$R$9="Yes",IF('Staging Table'!D47=1,'Staging Table'!H47*-1*'Staging Table'!BS47/'Staging Table'!BR47,'Staging Table'!H47*SUM(D45:I45)*(-1)),IF('Staging Table'!D47=1,'Staging Table'!BU47*-1*'Staging Table'!BS47/'Staging Table'!BR47,'Staging Table'!BU47*SUM(D45:I45)*(-1)))</f>
        <v>-336384.30418893415</v>
      </c>
      <c r="K45" s="211">
        <f>IF(Init!$R$9="Yes",'Staging Table'!K47,'Staging Table'!BX47)*(-1)*Rates_previous!$H$32</f>
        <v>-234424.72185000003</v>
      </c>
      <c r="L45" s="211">
        <f>IF('Staging Table'!C47=1,"",SUM(D45:K45))</f>
        <v>3673430.2164386786</v>
      </c>
      <c r="M45" s="211">
        <f>IF('Staging Table'!C47=1,"",IF(Init!$R$9="Yes",(RT1SC!$C$3*'Staging Table'!F47*'Staging Table'!$F$2)+SUM('Staging Table'!L47:AI47)-IF(Init!$R$12="No",'Staging Table'!BH47, 0),X45))</f>
        <v>105882.336</v>
      </c>
      <c r="N45" s="95">
        <f>IF('Staging Table'!C47=1,"",IF(M45=0, 0, L45/M45))</f>
        <v>34.693513150660735</v>
      </c>
      <c r="O45" s="211">
        <f>'Staging Table'!BS47*Rates_current!$E$76*100*12</f>
        <v>4115380.7840489438</v>
      </c>
      <c r="P45" s="211">
        <f>'Staging Table'!BS47*Rates_current!$E$77*100*12</f>
        <v>-679459.24227859243</v>
      </c>
      <c r="Q45" s="212">
        <f>SUMPRODUCT('Staging Table'!BY47:CV47, LS_Demand_Rates_Restatement!$C$5:$Z$5)-IF(Init!$R$12="No",('Staging Table'!DU47*Rates_current!$H$34), 0)</f>
        <v>-77978.491668504124</v>
      </c>
      <c r="R45" s="212">
        <f>SUMPRODUCT('Staging Table'!CW47:DH47, LS_Demand_Rates_Restatement!$C$11:$N$11)*1000</f>
        <v>549775.50097915775</v>
      </c>
      <c r="S45" s="213">
        <f>'Staging Table'!ED47*IF(Init!$R$15="Yes",IF(Init!$R$6=2022,Rates_current!$C$88,Rates_current!$D$88),Rates_current!$H$33)</f>
        <v>0</v>
      </c>
      <c r="T45" s="213">
        <v>0</v>
      </c>
      <c r="U45" s="213">
        <f>IF('Staging Table'!D47=1, 'Staging Table'!BU47*-1*'Staging Table'!BS47/'Staging Table'!BR47,SUM(O45:T45)*'Staging Table'!BU47*-1)</f>
        <v>-322474.67032778851</v>
      </c>
      <c r="V45" s="211">
        <f>'Staging Table'!BX47*Rates_current!$H$32*-1</f>
        <v>-229993.65150000004</v>
      </c>
      <c r="W45" s="211">
        <f>IF('Staging Table'!C47=1,"", SUM(O45:V45))</f>
        <v>3355250.2292532157</v>
      </c>
      <c r="X45" s="211">
        <f>IF('Staging Table'!C47=1,"", (RT1SC!$C$4*'Staging Table'!BS47*'Staging Table'!$BS$2)+SUM('Staging Table'!BY47:CV47)-IF(Init!$R$12="No",'Staging Table'!DU47, 0))</f>
        <v>101265.60000000001</v>
      </c>
      <c r="Y45" s="95">
        <f>IF('Staging Table'!C47=1,"",IF(X45=0, 0, W45/X45))</f>
        <v>33.133168906847096</v>
      </c>
      <c r="Z45" s="87">
        <f ca="1">IF('Staging Table'!C47=1,"",(Y45/N45-1)+(RAND()/100000000000000))</f>
        <v>-4.4975100591207705E-2</v>
      </c>
      <c r="AA45" s="53">
        <f t="shared" ca="1" si="0"/>
        <v>103</v>
      </c>
      <c r="AC45" s="421"/>
      <c r="AD45" s="216"/>
      <c r="AE45" s="216"/>
      <c r="AG45" s="216"/>
      <c r="AH45" s="216"/>
    </row>
    <row r="46" spans="2:34">
      <c r="B46" s="135">
        <v>10111</v>
      </c>
      <c r="C46" s="136" t="s">
        <v>49</v>
      </c>
      <c r="D46" s="211">
        <f>IF(Init!$R$9="Yes",'Staging Table'!F48,'Staging Table'!BS48)*Rates_previous!$E$76*100*12</f>
        <v>1030521.33696</v>
      </c>
      <c r="E46" s="211">
        <f>IF(Init!$R$9="Yes",'Staging Table'!F48,'Staging Table'!BS48)*Rates_previous!$E$77*100*12</f>
        <v>-104253.91680000001</v>
      </c>
      <c r="F46" s="212">
        <f>IF(Init!$R$9="Yes",SUMPRODUCT('Staging Table'!L48:AI48,LS_Demand_Rates_Restatement!$C$4:$Z$4)-IF(Init!$R$12="No",('Staging Table'!BH48*Rates_previous!$H$34), 0),SUMPRODUCT('Staging Table'!BY48:CV48,LS_Demand_Rates_Restatement!$C$4:$Z$4)-IF(Init!$R$12="No", 'Staging Table'!DU48*Rates_previous!$H$34, 0))</f>
        <v>-1.5139707075641127</v>
      </c>
      <c r="G46" s="212">
        <f>IF(Init!$R$9="Yes",SUMPRODUCT('Staging Table'!AJ48:AU48,LS_Demand_Rates_Restatement!$C$10:$N$10),SUMPRODUCT(LS_Demand_Rates_Restatement!$C$10:$N$10,'Staging Table'!CW48:DH48))*1000</f>
        <v>62009.067817628194</v>
      </c>
      <c r="H46" s="213">
        <f>IF(Init!$R$9="Yes",'Staging Table'!BQ48,'Staging Table'!ED48)*IF(Init!$R$3=2020,Rates_previous!$C$88,Rates_previous!$D$88)</f>
        <v>-2606.9201339523488</v>
      </c>
      <c r="I46" s="211">
        <f>IF(Init!$R$9="Yes",IF('Staging Table'!$F$1=2020,(SUM('Staging Table'!AX48:BD48)*Rates_previous!$C$87),(SUM('Staging Table'!AX48:BD48)*Rates_previous!$D$87)),IF('Staging Table'!$F$1=2020,(SUM('Staging Table'!DK48:DQ48)*Rates_previous!$C$87),(SUM('Staging Table'!DK48:DQ48)*Rates_previous!$D$87)))</f>
        <v>12641.566600240561</v>
      </c>
      <c r="J46" s="213">
        <f>IF(Init!$R$9="Yes",IF('Staging Table'!D48=1,'Staging Table'!H48*-1*'Staging Table'!BS48/'Staging Table'!BR48,'Staging Table'!H48*SUM(D46:I46)*(-1)),IF('Staging Table'!D48=1,'Staging Table'!BU48*-1*'Staging Table'!BS48/'Staging Table'!BR48,'Staging Table'!BU48*SUM(D46:I46)*(-1)))</f>
        <v>-69881.673433124612</v>
      </c>
      <c r="K46" s="211">
        <f>IF(Init!$R$9="Yes",'Staging Table'!K48,'Staging Table'!BX48)*(-1)*Rates_previous!$H$32</f>
        <v>-58079.180389999994</v>
      </c>
      <c r="L46" s="211">
        <f>IF('Staging Table'!C48=1,"",SUM(D46:K46))</f>
        <v>870348.76665008406</v>
      </c>
      <c r="M46" s="211">
        <f>IF('Staging Table'!C48=1,"",IF(Init!$R$9="Yes",(RT1SC!$C$3*'Staging Table'!F48*'Staging Table'!$F$2)+SUM('Staging Table'!L48:AI48)-IF(Init!$R$12="No",'Staging Table'!BH48, 0),X46))</f>
        <v>26589.594004217601</v>
      </c>
      <c r="N46" s="95">
        <f>IF('Staging Table'!C48=1,"",IF(M46=0, 0, L46/M46))</f>
        <v>32.732683564556517</v>
      </c>
      <c r="O46" s="211">
        <f>'Staging Table'!BS48*Rates_current!$E$76*100*12</f>
        <v>1085860.0425484306</v>
      </c>
      <c r="P46" s="211">
        <f>'Staging Table'!BS48*Rates_current!$E$77*100*12</f>
        <v>-179278.09853956453</v>
      </c>
      <c r="Q46" s="212">
        <f>SUMPRODUCT('Staging Table'!BY48:CV48, LS_Demand_Rates_Restatement!$C$5:$Z$5)-IF(Init!$R$12="No",('Staging Table'!DU48*Rates_current!$H$34), 0)</f>
        <v>-2058.673650322165</v>
      </c>
      <c r="R46" s="212">
        <f>SUMPRODUCT('Staging Table'!CW48:DH48, LS_Demand_Rates_Restatement!$C$11:$N$11)*1000</f>
        <v>58376.782111369277</v>
      </c>
      <c r="S46" s="213">
        <f>'Staging Table'!ED48*IF(Init!$R$15="Yes",IF(Init!$R$6=2022,Rates_current!$C$88,Rates_current!$D$88),Rates_current!$H$33)</f>
        <v>-784.5584185995117</v>
      </c>
      <c r="T46" s="213">
        <v>0</v>
      </c>
      <c r="U46" s="213">
        <f>IF('Staging Table'!D48=1, 'Staging Table'!BU48*-1*'Staging Table'!BS48/'Staging Table'!BR48,SUM(O46:T46)*'Staging Table'!BU48*-1)</f>
        <v>-67348.084583591961</v>
      </c>
      <c r="V46" s="211">
        <f>'Staging Table'!BX48*Rates_current!$H$32*-1</f>
        <v>-56981.374099999994</v>
      </c>
      <c r="W46" s="211">
        <f>IF('Staging Table'!C48=1,"", SUM(O46:V46))</f>
        <v>837786.03536772181</v>
      </c>
      <c r="X46" s="211">
        <f>IF('Staging Table'!C48=1,"", (RT1SC!$C$4*'Staging Table'!BS48*'Staging Table'!$BS$2)+SUM('Staging Table'!BY48:CV48)-IF(Init!$R$12="No",'Staging Table'!DU48, 0))</f>
        <v>26589.594366841324</v>
      </c>
      <c r="Y46" s="95">
        <f>IF('Staging Table'!C48=1,"",IF(X46=0, 0, W46/X46))</f>
        <v>31.508041221286426</v>
      </c>
      <c r="Z46" s="87">
        <f ca="1">IF('Staging Table'!C48=1,"",(Y46/N46-1)+(RAND()/100000000000000))</f>
        <v>-3.7413441548556477E-2</v>
      </c>
      <c r="AA46" s="53">
        <f t="shared" ca="1" si="0"/>
        <v>69</v>
      </c>
      <c r="AC46" s="421"/>
      <c r="AD46" s="216"/>
      <c r="AE46" s="216"/>
      <c r="AG46" s="216"/>
      <c r="AH46" s="216"/>
    </row>
    <row r="47" spans="2:34">
      <c r="B47" s="135">
        <v>10112</v>
      </c>
      <c r="C47" s="136" t="s">
        <v>50</v>
      </c>
      <c r="D47" s="211">
        <f>IF(Init!$R$9="Yes",'Staging Table'!F49,'Staging Table'!BS49)*Rates_previous!$E$76*100*12</f>
        <v>18432452.216159999</v>
      </c>
      <c r="E47" s="211">
        <f>IF(Init!$R$9="Yes",'Staging Table'!F49,'Staging Table'!BS49)*Rates_previous!$E$77*100*12</f>
        <v>-1864740.9527999999</v>
      </c>
      <c r="F47" s="212">
        <f>IF(Init!$R$9="Yes",SUMPRODUCT('Staging Table'!L49:AI49,LS_Demand_Rates_Restatement!$C$4:$Z$4)-IF(Init!$R$12="No",('Staging Table'!BH49*Rates_previous!$H$34), 0),SUMPRODUCT('Staging Table'!BY49:CV49,LS_Demand_Rates_Restatement!$C$4:$Z$4)-IF(Init!$R$12="No", 'Staging Table'!DU49*Rates_previous!$H$34, 0))</f>
        <v>823361.04661754635</v>
      </c>
      <c r="G47" s="212">
        <f>IF(Init!$R$9="Yes",SUMPRODUCT('Staging Table'!AJ49:AU49,LS_Demand_Rates_Restatement!$C$10:$N$10),SUMPRODUCT(LS_Demand_Rates_Restatement!$C$10:$N$10,'Staging Table'!CW49:DH49))*1000</f>
        <v>944785.3734074427</v>
      </c>
      <c r="H47" s="213">
        <f>IF(Init!$R$9="Yes",'Staging Table'!BQ49,'Staging Table'!ED49)*IF(Init!$R$3=2020,Rates_previous!$C$88,Rates_previous!$D$88)</f>
        <v>476361.41471999954</v>
      </c>
      <c r="I47" s="211">
        <f>IF(Init!$R$9="Yes",IF('Staging Table'!$F$1=2020,(SUM('Staging Table'!AX49:BD49)*Rates_previous!$C$87),(SUM('Staging Table'!AX49:BD49)*Rates_previous!$D$87)),IF('Staging Table'!$F$1=2020,(SUM('Staging Table'!DK49:DQ49)*Rates_previous!$C$87),(SUM('Staging Table'!DK49:DQ49)*Rates_previous!$D$87)))</f>
        <v>226113.77750190429</v>
      </c>
      <c r="J47" s="213">
        <f>IF(Init!$R$9="Yes",IF('Staging Table'!D49=1,'Staging Table'!H49*-1*'Staging Table'!BS49/'Staging Table'!BR49,'Staging Table'!H49*SUM(D47:I47)*(-1)),IF('Staging Table'!D49=1,'Staging Table'!BU49*-1*'Staging Table'!BS49/'Staging Table'!BR49,'Staging Table'!BU49*SUM(D47:I47)*(-1)))</f>
        <v>0</v>
      </c>
      <c r="K47" s="211">
        <f>IF(Init!$R$9="Yes",'Staging Table'!K49,'Staging Table'!BX49)*(-1)*Rates_previous!$H$32</f>
        <v>0</v>
      </c>
      <c r="L47" s="211">
        <f>IF('Staging Table'!C49=1,"",SUM(D47:K47))</f>
        <v>19038332.875606891</v>
      </c>
      <c r="M47" s="211">
        <f>IF('Staging Table'!C49=1,"",IF(Init!$R$9="Yes",(RT1SC!$C$3*'Staging Table'!F49*'Staging Table'!$F$2)+SUM('Staging Table'!L49:AI49)-IF(Init!$R$12="No",'Staging Table'!BH49, 0),X47))</f>
        <v>508962.52799999999</v>
      </c>
      <c r="N47" s="95">
        <f>IF('Staging Table'!C49=1,"",IF(M47=0, 0, L47/M47))</f>
        <v>37.406158269488344</v>
      </c>
      <c r="O47" s="211">
        <f>'Staging Table'!BS49*Rates_current!$E$76*100*12</f>
        <v>19607111.956449255</v>
      </c>
      <c r="P47" s="211">
        <f>'Staging Table'!BS49*Rates_current!$E$77*100*12</f>
        <v>-3237181.2311601886</v>
      </c>
      <c r="Q47" s="212">
        <f>SUMPRODUCT('Staging Table'!BY49:CV49, LS_Demand_Rates_Restatement!$C$5:$Z$5)-IF(Init!$R$12="No",('Staging Table'!DU49*Rates_current!$H$34), 0)</f>
        <v>286247.92895927012</v>
      </c>
      <c r="R47" s="212">
        <f>SUMPRODUCT('Staging Table'!CW49:DH49, LS_Demand_Rates_Restatement!$C$11:$N$11)*1000</f>
        <v>868678.03595068539</v>
      </c>
      <c r="S47" s="213">
        <f>'Staging Table'!ED49*IF(Init!$R$15="Yes",IF(Init!$R$6=2022,Rates_current!$C$88,Rates_current!$D$88),Rates_current!$H$33)</f>
        <v>26119.51680000003</v>
      </c>
      <c r="T47" s="213">
        <v>0</v>
      </c>
      <c r="U47" s="213">
        <f>IF('Staging Table'!D49=1, 'Staging Table'!BU49*-1*'Staging Table'!BS49/'Staging Table'!BR49,SUM(O47:T47)*'Staging Table'!BU49*-1)</f>
        <v>0</v>
      </c>
      <c r="V47" s="211">
        <f>'Staging Table'!BX49*Rates_current!$H$32*-1</f>
        <v>0</v>
      </c>
      <c r="W47" s="211">
        <f>IF('Staging Table'!C49=1,"", SUM(O47:V47))</f>
        <v>17550976.206999026</v>
      </c>
      <c r="X47" s="211">
        <f>IF('Staging Table'!C49=1,"", (RT1SC!$C$4*'Staging Table'!BS49*'Staging Table'!$BS$2)+SUM('Staging Table'!BY49:CV49)-IF(Init!$R$12="No",'Staging Table'!DU49, 0))</f>
        <v>486749.39999999997</v>
      </c>
      <c r="Y47" s="95">
        <f>IF('Staging Table'!C49=1,"",IF(X47=0, 0, W47/X47))</f>
        <v>36.057519962015419</v>
      </c>
      <c r="Z47" s="87">
        <f ca="1">IF('Staging Table'!C49=1,"",(Y47/N47-1)+(RAND()/100000000000000))</f>
        <v>-3.6053911170365167E-2</v>
      </c>
      <c r="AA47" s="53">
        <f t="shared" ca="1" si="0"/>
        <v>49</v>
      </c>
      <c r="AC47" s="421"/>
      <c r="AD47" s="216"/>
      <c r="AE47" s="216"/>
      <c r="AG47" s="216"/>
      <c r="AH47" s="216"/>
    </row>
    <row r="48" spans="2:34">
      <c r="B48" s="135">
        <v>10113</v>
      </c>
      <c r="C48" s="136" t="s">
        <v>51</v>
      </c>
      <c r="D48" s="211">
        <f>IF(Init!$R$9="Yes",'Staging Table'!F50,'Staging Table'!BS50)*Rates_previous!$E$76*100*12</f>
        <v>12685441.965</v>
      </c>
      <c r="E48" s="211">
        <f>IF(Init!$R$9="Yes",'Staging Table'!F50,'Staging Table'!BS50)*Rates_previous!$E$77*100*12</f>
        <v>-1283337.8250000002</v>
      </c>
      <c r="F48" s="212">
        <f>IF(Init!$R$9="Yes",SUMPRODUCT('Staging Table'!L50:AI50,LS_Demand_Rates_Restatement!$C$4:$Z$4)-IF(Init!$R$12="No",('Staging Table'!BH50*Rates_previous!$H$34), 0),SUMPRODUCT('Staging Table'!BY50:CV50,LS_Demand_Rates_Restatement!$C$4:$Z$4)-IF(Init!$R$12="No", 'Staging Table'!DU50*Rates_previous!$H$34, 0))</f>
        <v>-681489.68557769712</v>
      </c>
      <c r="G48" s="212">
        <f>IF(Init!$R$9="Yes",SUMPRODUCT('Staging Table'!AJ50:AU50,LS_Demand_Rates_Restatement!$C$10:$N$10),SUMPRODUCT(LS_Demand_Rates_Restatement!$C$10:$N$10,'Staging Table'!CW50:DH50))*1000</f>
        <v>220324.54769230771</v>
      </c>
      <c r="H48" s="213">
        <f>IF(Init!$R$9="Yes",'Staging Table'!BQ50,'Staging Table'!ED50)*IF(Init!$R$3=2020,Rates_previous!$C$88,Rates_previous!$D$88)</f>
        <v>0</v>
      </c>
      <c r="I48" s="211">
        <f>IF(Init!$R$9="Yes",IF('Staging Table'!$F$1=2020,(SUM('Staging Table'!AX50:BD50)*Rates_previous!$C$87),(SUM('Staging Table'!AX50:BD50)*Rates_previous!$D$87)),IF('Staging Table'!$F$1=2020,(SUM('Staging Table'!DK50:DQ50)*Rates_previous!$C$87),(SUM('Staging Table'!DK50:DQ50)*Rates_previous!$D$87)))</f>
        <v>155614.30288003691</v>
      </c>
      <c r="J48" s="213">
        <f>IF(Init!$R$9="Yes",IF('Staging Table'!D50=1,'Staging Table'!H50*-1*'Staging Table'!BS50/'Staging Table'!BR50,'Staging Table'!H50*SUM(D48:I48)*(-1)),IF('Staging Table'!D50=1,'Staging Table'!BU50*-1*'Staging Table'!BS50/'Staging Table'!BR50,'Staging Table'!BU50*SUM(D48:I48)*(-1)))</f>
        <v>-906698.47378220886</v>
      </c>
      <c r="K48" s="211">
        <f>IF(Init!$R$9="Yes",'Staging Table'!K50,'Staging Table'!BX50)*(-1)*Rates_previous!$H$32</f>
        <v>-1496027.7378199999</v>
      </c>
      <c r="L48" s="211">
        <f>IF('Staging Table'!C50=1,"",SUM(D48:K48))</f>
        <v>8693827.0933924392</v>
      </c>
      <c r="M48" s="211">
        <f>IF('Staging Table'!C50=1,"",IF(Init!$R$9="Yes",(RT1SC!$C$3*'Staging Table'!F50*'Staging Table'!$F$2)+SUM('Staging Table'!L50:AI50)-IF(Init!$R$12="No",'Staging Table'!BH50, 0),X48))</f>
        <v>314640.30736164993</v>
      </c>
      <c r="N48" s="95">
        <f>IF('Staging Table'!C50=1,"",IF(M48=0, 0, L48/M48))</f>
        <v>27.631002417626323</v>
      </c>
      <c r="O48" s="211">
        <f>'Staging Table'!BS50*Rates_current!$E$76*100*12</f>
        <v>12799863.02363571</v>
      </c>
      <c r="P48" s="211">
        <f>'Staging Table'!BS50*Rates_current!$E$77*100*12</f>
        <v>-2113288.0983986873</v>
      </c>
      <c r="Q48" s="212">
        <f>SUMPRODUCT('Staging Table'!BY50:CV50, LS_Demand_Rates_Restatement!$C$5:$Z$5)-IF(Init!$R$12="No",('Staging Table'!DU50*Rates_current!$H$34), 0)</f>
        <v>-480382.19370883837</v>
      </c>
      <c r="R48" s="212">
        <f>SUMPRODUCT('Staging Table'!CW50:DH50, LS_Demand_Rates_Restatement!$C$11:$N$11)*1000</f>
        <v>233687.60500697998</v>
      </c>
      <c r="S48" s="213">
        <f>'Staging Table'!ED50*IF(Init!$R$15="Yes",IF(Init!$R$6=2022,Rates_current!$C$88,Rates_current!$D$88),Rates_current!$H$33)</f>
        <v>0</v>
      </c>
      <c r="T48" s="213">
        <v>0</v>
      </c>
      <c r="U48" s="213">
        <f>IF('Staging Table'!D50=1, 'Staging Table'!BU50*-1*'Staging Table'!BS50/'Staging Table'!BR50,SUM(O48:T48)*'Staging Table'!BU50*-1)</f>
        <v>-863169.48044050275</v>
      </c>
      <c r="V48" s="211">
        <f>'Staging Table'!BX50*Rates_current!$H$32*-1</f>
        <v>-1467749.9858000001</v>
      </c>
      <c r="W48" s="211">
        <f>IF('Staging Table'!C50=1,"", SUM(O48:V48))</f>
        <v>8108960.8702946603</v>
      </c>
      <c r="X48" s="211">
        <f>IF('Staging Table'!C50=1,"", (RT1SC!$C$4*'Staging Table'!BS50*'Staging Table'!$BS$2)+SUM('Staging Table'!BY50:CV50)-IF(Init!$R$12="No",'Staging Table'!DU50, 0))</f>
        <v>312679.67911200435</v>
      </c>
      <c r="Y48" s="95">
        <f>IF('Staging Table'!C50=1,"",IF(X48=0, 0, W48/X48))</f>
        <v>25.933763566995239</v>
      </c>
      <c r="Z48" s="87">
        <f ca="1">IF('Staging Table'!C50=1,"",(Y48/N48-1)+(RAND()/100000000000000))</f>
        <v>-6.1425163842345233E-2</v>
      </c>
      <c r="AA48" s="53">
        <f t="shared" ca="1" si="0"/>
        <v>113</v>
      </c>
      <c r="AC48" s="421"/>
      <c r="AD48" s="216"/>
      <c r="AE48" s="216"/>
      <c r="AG48" s="216"/>
      <c r="AH48" s="216"/>
    </row>
    <row r="49" spans="2:34">
      <c r="B49" s="135">
        <v>10116</v>
      </c>
      <c r="C49" s="136" t="s">
        <v>52</v>
      </c>
      <c r="D49" s="211">
        <f>IF(Init!$R$9="Yes",'Staging Table'!F51,'Staging Table'!BS51)*Rates_previous!$E$76*100*12</f>
        <v>76528.567919999987</v>
      </c>
      <c r="E49" s="211">
        <f>IF(Init!$R$9="Yes",'Staging Table'!F51,'Staging Table'!BS51)*Rates_previous!$E$77*100*12</f>
        <v>-7742.1035999999986</v>
      </c>
      <c r="F49" s="212">
        <f>IF(Init!$R$9="Yes",SUMPRODUCT('Staging Table'!L51:AI51,LS_Demand_Rates_Restatement!$C$4:$Z$4)-IF(Init!$R$12="No",('Staging Table'!BH51*Rates_previous!$H$34), 0),SUMPRODUCT('Staging Table'!BY51:CV51,LS_Demand_Rates_Restatement!$C$4:$Z$4)-IF(Init!$R$12="No", 'Staging Table'!DU51*Rates_previous!$H$34, 0))</f>
        <v>-347.29997396881754</v>
      </c>
      <c r="G49" s="212">
        <f>IF(Init!$R$9="Yes",SUMPRODUCT('Staging Table'!AJ51:AU51,LS_Demand_Rates_Restatement!$C$10:$N$10),SUMPRODUCT(LS_Demand_Rates_Restatement!$C$10:$N$10,'Staging Table'!CW51:DH51))*1000</f>
        <v>0</v>
      </c>
      <c r="H49" s="213">
        <f>IF(Init!$R$9="Yes",'Staging Table'!BQ51,'Staging Table'!ED51)*IF(Init!$R$3=2020,Rates_previous!$C$88,Rates_previous!$D$88)</f>
        <v>0</v>
      </c>
      <c r="I49" s="211">
        <f>IF(Init!$R$9="Yes",IF('Staging Table'!$F$1=2020,(SUM('Staging Table'!AX51:BD51)*Rates_previous!$C$87),(SUM('Staging Table'!AX51:BD51)*Rates_previous!$D$87)),IF('Staging Table'!$F$1=2020,(SUM('Staging Table'!DK51:DQ51)*Rates_previous!$C$87),(SUM('Staging Table'!DK51:DQ51)*Rates_previous!$D$87)))</f>
        <v>938.78792557137001</v>
      </c>
      <c r="J49" s="213">
        <f>IF(Init!$R$9="Yes",IF('Staging Table'!D51=1,'Staging Table'!H51*-1*'Staging Table'!BS51/'Staging Table'!BR51,'Staging Table'!H51*SUM(D49:I49)*(-1)),IF('Staging Table'!D51=1,'Staging Table'!BU51*-1*'Staging Table'!BS51/'Staging Table'!BR51,'Staging Table'!BU51*SUM(D49:I49)*(-1)))</f>
        <v>0</v>
      </c>
      <c r="K49" s="211">
        <f>IF(Init!$R$9="Yes",'Staging Table'!K51,'Staging Table'!BX51)*(-1)*Rates_previous!$H$32</f>
        <v>0</v>
      </c>
      <c r="L49" s="211">
        <f>IF('Staging Table'!C51=1,"",SUM(D49:K49))</f>
        <v>69377.952271602524</v>
      </c>
      <c r="M49" s="211">
        <f>IF('Staging Table'!C51=1,"",IF(Init!$R$9="Yes",(RT1SC!$C$3*'Staging Table'!F51*'Staging Table'!$F$2)+SUM('Staging Table'!L51:AI51)-IF(Init!$R$12="No",'Staging Table'!BH51, 0),X49))</f>
        <v>1985.184</v>
      </c>
      <c r="N49" s="95">
        <f>IF('Staging Table'!C51=1,"",IF(M49=0, 0, L49/M49))</f>
        <v>34.947869956438559</v>
      </c>
      <c r="O49" s="211">
        <f>'Staging Table'!BS51*Rates_current!$E$76*100*12</f>
        <v>77218.845781933429</v>
      </c>
      <c r="P49" s="211">
        <f>'Staging Table'!BS51*Rates_current!$E$77*100*12</f>
        <v>-12749.016724765848</v>
      </c>
      <c r="Q49" s="212">
        <f>SUMPRODUCT('Staging Table'!BY51:CV51, LS_Demand_Rates_Restatement!$C$5:$Z$5)-IF(Init!$R$12="No",('Staging Table'!DU51*Rates_current!$H$34), 0)</f>
        <v>-560.2731776075434</v>
      </c>
      <c r="R49" s="212">
        <f>SUMPRODUCT('Staging Table'!CW51:DH51, LS_Demand_Rates_Restatement!$C$11:$N$11)*1000</f>
        <v>0</v>
      </c>
      <c r="S49" s="213">
        <f>'Staging Table'!ED51*IF(Init!$R$15="Yes",IF(Init!$R$6=2022,Rates_current!$C$88,Rates_current!$D$88),Rates_current!$H$33)</f>
        <v>0</v>
      </c>
      <c r="T49" s="213">
        <v>0</v>
      </c>
      <c r="U49" s="213">
        <f>IF('Staging Table'!D51=1, 'Staging Table'!BU51*-1*'Staging Table'!BS51/'Staging Table'!BR51,SUM(O49:T49)*'Staging Table'!BU51*-1)</f>
        <v>0</v>
      </c>
      <c r="V49" s="211">
        <f>'Staging Table'!BX51*Rates_current!$H$32*-1</f>
        <v>0</v>
      </c>
      <c r="W49" s="211">
        <f>IF('Staging Table'!C51=1,"", SUM(O49:V49))</f>
        <v>63909.555879560037</v>
      </c>
      <c r="X49" s="211">
        <f>IF('Staging Table'!C51=1,"", (RT1SC!$C$4*'Staging Table'!BS51*'Staging Table'!$BS$2)+SUM('Staging Table'!BY51:CV51)-IF(Init!$R$12="No",'Staging Table'!DU51, 0))</f>
        <v>1900.92</v>
      </c>
      <c r="Y49" s="95">
        <f>IF('Staging Table'!C51=1,"",IF(X49=0, 0, W49/X49))</f>
        <v>33.620329040443593</v>
      </c>
      <c r="Z49" s="87">
        <f ca="1">IF('Staging Table'!C51=1,"",(Y49/N49-1)+(RAND()/100000000000000))</f>
        <v>-3.7986318412238075E-2</v>
      </c>
      <c r="AA49" s="53">
        <f t="shared" ca="1" si="0"/>
        <v>74</v>
      </c>
      <c r="AC49" s="421"/>
      <c r="AD49" s="216"/>
      <c r="AE49" s="216"/>
      <c r="AG49" s="216"/>
      <c r="AH49" s="216"/>
    </row>
    <row r="50" spans="2:34">
      <c r="B50" s="135">
        <v>10118</v>
      </c>
      <c r="C50" s="136" t="s">
        <v>53</v>
      </c>
      <c r="D50" s="211">
        <f>IF(Init!$R$9="Yes",'Staging Table'!F52,'Staging Table'!BS52)*Rates_previous!$E$76*100*12</f>
        <v>15371309.499360003</v>
      </c>
      <c r="E50" s="211">
        <f>IF(Init!$R$9="Yes",'Staging Table'!F52,'Staging Table'!BS52)*Rates_previous!$E$77*100*12</f>
        <v>-1555056.8088</v>
      </c>
      <c r="F50" s="212">
        <f>IF(Init!$R$9="Yes",SUMPRODUCT('Staging Table'!L52:AI52,LS_Demand_Rates_Restatement!$C$4:$Z$4)-IF(Init!$R$12="No",('Staging Table'!BH52*Rates_previous!$H$34), 0),SUMPRODUCT('Staging Table'!BY52:CV52,LS_Demand_Rates_Restatement!$C$4:$Z$4)-IF(Init!$R$12="No", 'Staging Table'!DU52*Rates_previous!$H$34, 0))</f>
        <v>0</v>
      </c>
      <c r="G50" s="212">
        <f>IF(Init!$R$9="Yes",SUMPRODUCT('Staging Table'!AJ52:AU52,LS_Demand_Rates_Restatement!$C$10:$N$10),SUMPRODUCT(LS_Demand_Rates_Restatement!$C$10:$N$10,'Staging Table'!CW52:DH52))*1000</f>
        <v>0</v>
      </c>
      <c r="H50" s="213">
        <f>IF(Init!$R$9="Yes",'Staging Table'!BQ52,'Staging Table'!ED52)*IF(Init!$R$3=2020,Rates_previous!$C$88,Rates_previous!$D$88)</f>
        <v>0</v>
      </c>
      <c r="I50" s="211">
        <f>IF(Init!$R$9="Yes",IF('Staging Table'!$F$1=2020,(SUM('Staging Table'!AX52:BD52)*Rates_previous!$C$87),(SUM('Staging Table'!AX52:BD52)*Rates_previous!$D$87)),IF('Staging Table'!$F$1=2020,(SUM('Staging Table'!DK52:DQ52)*Rates_previous!$C$87),(SUM('Staging Table'!DK52:DQ52)*Rates_previous!$D$87)))</f>
        <v>188562.2604790495</v>
      </c>
      <c r="J50" s="213">
        <f>IF(Init!$R$9="Yes",IF('Staging Table'!D52=1,'Staging Table'!H52*-1*'Staging Table'!BS52/'Staging Table'!BR52,'Staging Table'!H52*SUM(D50:I50)*(-1)),IF('Staging Table'!D52=1,'Staging Table'!BU52*-1*'Staging Table'!BS52/'Staging Table'!BR52,'Staging Table'!BU52*SUM(D50:I50)*(-1)))</f>
        <v>-941891.0058812917</v>
      </c>
      <c r="K50" s="211">
        <f>IF(Init!$R$9="Yes",'Staging Table'!K52,'Staging Table'!BX52)*(-1)*Rates_previous!$H$32</f>
        <v>0</v>
      </c>
      <c r="L50" s="211" t="str">
        <f>IF('Staging Table'!C52=1,"",SUM(D50:K50))</f>
        <v/>
      </c>
      <c r="M50" s="211" t="str">
        <f>IF('Staging Table'!C52=1,"",IF(Init!$R$9="Yes",(RT1SC!$C$3*'Staging Table'!F52*'Staging Table'!$F$2)+SUM('Staging Table'!L52:AI52)-IF(Init!$R$12="No",'Staging Table'!BH52, 0),X50))</f>
        <v/>
      </c>
      <c r="N50" s="95" t="str">
        <f>IF('Staging Table'!C52=1,"",IF(M50=0, 0, L50/M50))</f>
        <v/>
      </c>
      <c r="O50" s="211">
        <f>'Staging Table'!BS52*Rates_current!$E$76*100*12</f>
        <v>15509956.738485491</v>
      </c>
      <c r="P50" s="211">
        <f>'Staging Table'!BS52*Rates_current!$E$77*100*12</f>
        <v>-2560731.0735743977</v>
      </c>
      <c r="Q50" s="212">
        <f>SUMPRODUCT('Staging Table'!BY52:CV52, LS_Demand_Rates_Restatement!$C$5:$Z$5)-IF(Init!$R$12="No",('Staging Table'!DU52*Rates_current!$H$34), 0)</f>
        <v>0</v>
      </c>
      <c r="R50" s="212">
        <f>SUMPRODUCT('Staging Table'!CW52:DH52, LS_Demand_Rates_Restatement!$C$11:$N$11)*1000</f>
        <v>0</v>
      </c>
      <c r="S50" s="213">
        <f>'Staging Table'!ED52*IF(Init!$R$15="Yes",IF(Init!$R$6=2022,Rates_current!$C$88,Rates_current!$D$88),Rates_current!$H$33)</f>
        <v>0</v>
      </c>
      <c r="T50" s="213">
        <v>0</v>
      </c>
      <c r="U50" s="213">
        <f>IF('Staging Table'!D52=1, 'Staging Table'!BU52*-1*'Staging Table'!BS52/'Staging Table'!BR52,SUM(O50:T50)*'Staging Table'!BU52*-1)</f>
        <v>-959952.59856190044</v>
      </c>
      <c r="V50" s="211">
        <f>'Staging Table'!BX52*Rates_current!$H$32*-1</f>
        <v>0</v>
      </c>
      <c r="W50" s="211" t="str">
        <f>IF('Staging Table'!C52=1,"", SUM(O50:V50))</f>
        <v/>
      </c>
      <c r="X50" s="211" t="str">
        <f>IF('Staging Table'!C52=1,"", (RT1SC!$C$4*'Staging Table'!BS52*'Staging Table'!$BS$2)+SUM('Staging Table'!BY52:CV52)-IF(Init!$R$12="No",'Staging Table'!DU52, 0))</f>
        <v/>
      </c>
      <c r="Y50" s="95" t="str">
        <f>IF('Staging Table'!C52=1,"",IF(X50=0, 0, W50/X50))</f>
        <v/>
      </c>
      <c r="Z50" s="87" t="str">
        <f ca="1">IF('Staging Table'!C52=1,"",(Y50/N50-1)+(RAND()/100000000000000))</f>
        <v/>
      </c>
      <c r="AA50" s="53" t="str">
        <f t="shared" ca="1" si="0"/>
        <v/>
      </c>
      <c r="AC50" s="421"/>
      <c r="AD50" s="216"/>
      <c r="AE50" s="216"/>
      <c r="AG50" s="216"/>
      <c r="AH50" s="216"/>
    </row>
    <row r="51" spans="2:34">
      <c r="B51" s="135">
        <v>10121</v>
      </c>
      <c r="C51" s="136" t="s">
        <v>54</v>
      </c>
      <c r="D51" s="211">
        <f>IF(Init!$R$9="Yes",'Staging Table'!F53,'Staging Table'!BS53)*Rates_previous!$E$76*100*12</f>
        <v>13170281.339400001</v>
      </c>
      <c r="E51" s="211">
        <f>IF(Init!$R$9="Yes",'Staging Table'!F53,'Staging Table'!BS53)*Rates_previous!$E$77*100*12</f>
        <v>-1332387.1770000001</v>
      </c>
      <c r="F51" s="212">
        <f>IF(Init!$R$9="Yes",SUMPRODUCT('Staging Table'!L53:AI53,LS_Demand_Rates_Restatement!$C$4:$Z$4)-IF(Init!$R$12="No",('Staging Table'!BH53*Rates_previous!$H$34), 0),SUMPRODUCT('Staging Table'!BY53:CV53,LS_Demand_Rates_Restatement!$C$4:$Z$4)-IF(Init!$R$12="No", 'Staging Table'!DU53*Rates_previous!$H$34, 0))</f>
        <v>0</v>
      </c>
      <c r="G51" s="212">
        <f>IF(Init!$R$9="Yes",SUMPRODUCT('Staging Table'!AJ53:AU53,LS_Demand_Rates_Restatement!$C$10:$N$10),SUMPRODUCT(LS_Demand_Rates_Restatement!$C$10:$N$10,'Staging Table'!CW53:DH53))*1000</f>
        <v>0</v>
      </c>
      <c r="H51" s="213">
        <f>IF(Init!$R$9="Yes",'Staging Table'!BQ53,'Staging Table'!ED53)*IF(Init!$R$3=2020,Rates_previous!$C$88,Rates_previous!$D$88)</f>
        <v>45.840741764602718</v>
      </c>
      <c r="I51" s="211">
        <f>IF(Init!$R$9="Yes",IF('Staging Table'!$F$1=2020,(SUM('Staging Table'!AX53:BD53)*Rates_previous!$C$87),(SUM('Staging Table'!AX53:BD53)*Rates_previous!$D$87)),IF('Staging Table'!$F$1=2020,(SUM('Staging Table'!DK53:DQ53)*Rates_previous!$C$87),(SUM('Staging Table'!DK53:DQ53)*Rates_previous!$D$87)))</f>
        <v>161561.90340229031</v>
      </c>
      <c r="J51" s="213">
        <f>IF(Init!$R$9="Yes",IF('Staging Table'!D53=1,'Staging Table'!H53*-1*'Staging Table'!BS53/'Staging Table'!BR53,'Staging Table'!H53*SUM(D51:I51)*(-1)),IF('Staging Table'!D53=1,'Staging Table'!BU53*-1*'Staging Table'!BS53/'Staging Table'!BR53,'Staging Table'!BU53*SUM(D51:I51)*(-1)))</f>
        <v>-719970.11439264333</v>
      </c>
      <c r="K51" s="211">
        <f>IF(Init!$R$9="Yes",'Staging Table'!K53,'Staging Table'!BX53)*(-1)*Rates_previous!$H$32</f>
        <v>0</v>
      </c>
      <c r="L51" s="211" t="str">
        <f>IF('Staging Table'!C53=1,"",SUM(D51:K51))</f>
        <v/>
      </c>
      <c r="M51" s="211" t="str">
        <f>IF('Staging Table'!C53=1,"",IF(Init!$R$9="Yes",(RT1SC!$C$3*'Staging Table'!F53*'Staging Table'!$F$2)+SUM('Staging Table'!L53:AI53)-IF(Init!$R$12="No",'Staging Table'!BH53, 0),X51))</f>
        <v/>
      </c>
      <c r="N51" s="95" t="str">
        <f>IF('Staging Table'!C53=1,"",IF(M51=0, 0, L51/M51))</f>
        <v/>
      </c>
      <c r="O51" s="211">
        <f>'Staging Table'!BS53*Rates_current!$E$76*100*12</f>
        <v>13850950.604574263</v>
      </c>
      <c r="P51" s="211">
        <f>'Staging Table'!BS53*Rates_current!$E$77*100*12</f>
        <v>-2286825.1800901429</v>
      </c>
      <c r="Q51" s="212">
        <f>SUMPRODUCT('Staging Table'!BY53:CV53, LS_Demand_Rates_Restatement!$C$5:$Z$5)-IF(Init!$R$12="No",('Staging Table'!DU53*Rates_current!$H$34), 0)</f>
        <v>0</v>
      </c>
      <c r="R51" s="212">
        <f>SUMPRODUCT('Staging Table'!CW53:DH53, LS_Demand_Rates_Restatement!$C$11:$N$11)*1000</f>
        <v>0</v>
      </c>
      <c r="S51" s="213">
        <f>'Staging Table'!ED53*IF(Init!$R$15="Yes",IF(Init!$R$6=2022,Rates_current!$C$88,Rates_current!$D$88),Rates_current!$H$33)</f>
        <v>-7.3695467320946051</v>
      </c>
      <c r="T51" s="213">
        <v>0</v>
      </c>
      <c r="U51" s="213">
        <f>IF('Staging Table'!D53=1, 'Staging Table'!BU53*-1*'Staging Table'!BS53/'Staging Table'!BR53,SUM(O51:T51)*'Staging Table'!BU53*-1)</f>
        <v>-693847.08329624333</v>
      </c>
      <c r="V51" s="211">
        <f>'Staging Table'!BX53*Rates_current!$H$32*-1</f>
        <v>0</v>
      </c>
      <c r="W51" s="211" t="str">
        <f>IF('Staging Table'!C53=1,"", SUM(O51:V51))</f>
        <v/>
      </c>
      <c r="X51" s="211" t="str">
        <f>IF('Staging Table'!C53=1,"", (RT1SC!$C$4*'Staging Table'!BS53*'Staging Table'!$BS$2)+SUM('Staging Table'!BY53:CV53)-IF(Init!$R$12="No",'Staging Table'!DU53, 0))</f>
        <v/>
      </c>
      <c r="Y51" s="95" t="str">
        <f>IF('Staging Table'!C53=1,"",IF(X51=0, 0, W51/X51))</f>
        <v/>
      </c>
      <c r="Z51" s="87" t="str">
        <f ca="1">IF('Staging Table'!C53=1,"",(Y51/N51-1)+(RAND()/100000000000000))</f>
        <v/>
      </c>
      <c r="AA51" s="53" t="str">
        <f t="shared" ca="1" si="0"/>
        <v/>
      </c>
      <c r="AC51" s="421"/>
      <c r="AD51" s="216"/>
      <c r="AE51" s="216"/>
      <c r="AG51" s="216"/>
      <c r="AH51" s="216"/>
    </row>
    <row r="52" spans="2:34">
      <c r="B52" s="135">
        <v>10123</v>
      </c>
      <c r="C52" s="136" t="s">
        <v>55</v>
      </c>
      <c r="D52" s="211">
        <f>IF(Init!$R$9="Yes",'Staging Table'!F54,'Staging Table'!BS54)*Rates_previous!$E$76*100*12</f>
        <v>58287912.456359982</v>
      </c>
      <c r="E52" s="211">
        <f>IF(Init!$R$9="Yes",'Staging Table'!F54,'Staging Table'!BS54)*Rates_previous!$E$77*100*12</f>
        <v>-5896765.9937999984</v>
      </c>
      <c r="F52" s="212">
        <f>IF(Init!$R$9="Yes",SUMPRODUCT('Staging Table'!L54:AI54,LS_Demand_Rates_Restatement!$C$4:$Z$4)-IF(Init!$R$12="No",('Staging Table'!BH54*Rates_previous!$H$34), 0),SUMPRODUCT('Staging Table'!BY54:CV54,LS_Demand_Rates_Restatement!$C$4:$Z$4)-IF(Init!$R$12="No", 'Staging Table'!DU54*Rates_previous!$H$34, 0))</f>
        <v>11090.676030730479</v>
      </c>
      <c r="G52" s="212">
        <f>IF(Init!$R$9="Yes",SUMPRODUCT('Staging Table'!AJ54:AU54,LS_Demand_Rates_Restatement!$C$10:$N$10),SUMPRODUCT(LS_Demand_Rates_Restatement!$C$10:$N$10,'Staging Table'!CW54:DH54))*1000</f>
        <v>0</v>
      </c>
      <c r="H52" s="213">
        <f>IF(Init!$R$9="Yes",'Staging Table'!BQ54,'Staging Table'!ED54)*IF(Init!$R$3=2020,Rates_previous!$C$88,Rates_previous!$D$88)</f>
        <v>0</v>
      </c>
      <c r="I52" s="211">
        <f>IF(Init!$R$9="Yes",IF('Staging Table'!$F$1=2020,(SUM('Staging Table'!AX54:BD54)*Rates_previous!$C$87),(SUM('Staging Table'!AX54:BD54)*Rates_previous!$D$87)),IF('Staging Table'!$F$1=2020,(SUM('Staging Table'!DK54:DQ54)*Rates_previous!$C$87),(SUM('Staging Table'!DK54:DQ54)*Rates_previous!$D$87)))</f>
        <v>715026.94886429829</v>
      </c>
      <c r="J52" s="213">
        <f>IF(Init!$R$9="Yes",IF('Staging Table'!D54=1,'Staging Table'!H54*-1*'Staging Table'!BS54/'Staging Table'!BR54,'Staging Table'!H54*SUM(D52:I52)*(-1)),IF('Staging Table'!D54=1,'Staging Table'!BU54*-1*'Staging Table'!BS54/'Staging Table'!BR54,'Staging Table'!BU54*SUM(D52:I52)*(-1)))</f>
        <v>0</v>
      </c>
      <c r="K52" s="211">
        <f>IF(Init!$R$9="Yes",'Staging Table'!K54,'Staging Table'!BX54)*(-1)*Rates_previous!$H$32</f>
        <v>0</v>
      </c>
      <c r="L52" s="211">
        <f>IF('Staging Table'!C54=1,"",SUM(D52:K52))</f>
        <v>53117264.087455012</v>
      </c>
      <c r="M52" s="211">
        <f>IF('Staging Table'!C54=1,"",IF(Init!$R$9="Yes",(RT1SC!$C$3*'Staging Table'!F54*'Staging Table'!$F$2)+SUM('Staging Table'!L54:AI54)-IF(Init!$R$12="No",'Staging Table'!BH54, 0),X52))</f>
        <v>1513282.0045027314</v>
      </c>
      <c r="N52" s="95">
        <f>IF('Staging Table'!C54=1,"",IF(M52=0, 0, L52/M52))</f>
        <v>35.100704250368388</v>
      </c>
      <c r="O52" s="211">
        <f>'Staging Table'!BS54*Rates_current!$E$76*100*12</f>
        <v>65861920.010067582</v>
      </c>
      <c r="P52" s="211">
        <f>'Staging Table'!BS54*Rates_current!$E$77*100*12</f>
        <v>-10873961.028953858</v>
      </c>
      <c r="Q52" s="212">
        <f>SUMPRODUCT('Staging Table'!BY54:CV54, LS_Demand_Rates_Restatement!$C$5:$Z$5)-IF(Init!$R$12="No",('Staging Table'!DU54*Rates_current!$H$34), 0)</f>
        <v>-299753.58612271515</v>
      </c>
      <c r="R52" s="212">
        <f>SUMPRODUCT('Staging Table'!CW54:DH54, LS_Demand_Rates_Restatement!$C$11:$N$11)*1000</f>
        <v>0</v>
      </c>
      <c r="S52" s="213">
        <f>'Staging Table'!ED54*IF(Init!$R$15="Yes",IF(Init!$R$6=2022,Rates_current!$C$88,Rates_current!$D$88),Rates_current!$H$33)</f>
        <v>0</v>
      </c>
      <c r="T52" s="213">
        <v>0</v>
      </c>
      <c r="U52" s="213">
        <f>IF('Staging Table'!D54=1, 'Staging Table'!BU54*-1*'Staging Table'!BS54/'Staging Table'!BR54,SUM(O52:T52)*'Staging Table'!BU54*-1)</f>
        <v>0</v>
      </c>
      <c r="V52" s="211">
        <f>'Staging Table'!BX54*Rates_current!$H$32*-1</f>
        <v>0</v>
      </c>
      <c r="W52" s="211">
        <f>IF('Staging Table'!C54=1,"", SUM(O52:V52))</f>
        <v>54688205.39499101</v>
      </c>
      <c r="X52" s="211">
        <f>IF('Staging Table'!C54=1,"", (RT1SC!$C$4*'Staging Table'!BS54*'Staging Table'!$BS$2)+SUM('Staging Table'!BY54:CV54)-IF(Init!$R$12="No",'Staging Table'!DU54, 0))</f>
        <v>1620680.0895389994</v>
      </c>
      <c r="Y52" s="95">
        <f>IF('Staging Table'!C54=1,"",IF(X52=0, 0, W52/X52))</f>
        <v>33.743985471276453</v>
      </c>
      <c r="Z52" s="87">
        <f ca="1">IF('Staging Table'!C54=1,"",(Y52/N52-1)+(RAND()/100000000000000))</f>
        <v>-3.8652181147547704E-2</v>
      </c>
      <c r="AA52" s="53">
        <f t="shared" ca="1" si="0"/>
        <v>79</v>
      </c>
      <c r="AC52" s="421"/>
      <c r="AD52" s="216"/>
      <c r="AE52" s="216"/>
      <c r="AG52" s="216"/>
      <c r="AH52" s="216"/>
    </row>
    <row r="53" spans="2:34">
      <c r="B53" s="135">
        <v>10136</v>
      </c>
      <c r="C53" s="136" t="s">
        <v>56</v>
      </c>
      <c r="D53" s="211">
        <f>IF(Init!$R$9="Yes",'Staging Table'!F55,'Staging Table'!BS55)*Rates_previous!$E$76*100*12</f>
        <v>6129653.0907599991</v>
      </c>
      <c r="E53" s="211">
        <f>IF(Init!$R$9="Yes",'Staging Table'!F55,'Staging Table'!BS55)*Rates_previous!$E$77*100*12</f>
        <v>-620113.64580000006</v>
      </c>
      <c r="F53" s="212">
        <f>IF(Init!$R$9="Yes",SUMPRODUCT('Staging Table'!L55:AI55,LS_Demand_Rates_Restatement!$C$4:$Z$4)-IF(Init!$R$12="No",('Staging Table'!BH55*Rates_previous!$H$34), 0),SUMPRODUCT('Staging Table'!BY55:CV55,LS_Demand_Rates_Restatement!$C$4:$Z$4)-IF(Init!$R$12="No", 'Staging Table'!DU55*Rates_previous!$H$34, 0))</f>
        <v>0</v>
      </c>
      <c r="G53" s="212">
        <f>IF(Init!$R$9="Yes",SUMPRODUCT('Staging Table'!AJ55:AU55,LS_Demand_Rates_Restatement!$C$10:$N$10),SUMPRODUCT(LS_Demand_Rates_Restatement!$C$10:$N$10,'Staging Table'!CW55:DH55))*1000</f>
        <v>0</v>
      </c>
      <c r="H53" s="213">
        <f>IF(Init!$R$9="Yes",'Staging Table'!BQ55,'Staging Table'!ED55)*IF(Init!$R$3=2020,Rates_previous!$C$88,Rates_previous!$D$88)</f>
        <v>-11.156018430078984</v>
      </c>
      <c r="I53" s="211">
        <f>IF(Init!$R$9="Yes",IF('Staging Table'!$F$1=2020,(SUM('Staging Table'!AX55:BD55)*Rates_previous!$C$87),(SUM('Staging Table'!AX55:BD55)*Rates_previous!$D$87)),IF('Staging Table'!$F$1=2020,(SUM('Staging Table'!DK55:DQ55)*Rates_previous!$C$87),(SUM('Staging Table'!DK55:DQ55)*Rates_previous!$D$87)))</f>
        <v>75193.414249724243</v>
      </c>
      <c r="J53" s="213">
        <f>IF(Init!$R$9="Yes",IF('Staging Table'!D55=1,'Staging Table'!H55*-1*'Staging Table'!BS55/'Staging Table'!BR55,'Staging Table'!H55*SUM(D53:I53)*(-1)),IF('Staging Table'!D55=1,'Staging Table'!BU55*-1*'Staging Table'!BS55/'Staging Table'!BR55,'Staging Table'!BU55*SUM(D53:I53)*(-1)))</f>
        <v>-390930.51922339055</v>
      </c>
      <c r="K53" s="211">
        <f>IF(Init!$R$9="Yes",'Staging Table'!K55,'Staging Table'!BX55)*(-1)*Rates_previous!$H$32</f>
        <v>0</v>
      </c>
      <c r="L53" s="211" t="str">
        <f>IF('Staging Table'!C55=1,"",SUM(D53:K53))</f>
        <v/>
      </c>
      <c r="M53" s="211" t="str">
        <f>IF('Staging Table'!C55=1,"",IF(Init!$R$9="Yes",(RT1SC!$C$3*'Staging Table'!F55*'Staging Table'!$F$2)+SUM('Staging Table'!L55:AI55)-IF(Init!$R$12="No",'Staging Table'!BH55, 0),X53))</f>
        <v/>
      </c>
      <c r="N53" s="95" t="str">
        <f>IF('Staging Table'!C55=1,"",IF(M53=0, 0, L53/M53))</f>
        <v/>
      </c>
      <c r="O53" s="211">
        <f>'Staging Table'!BS55*Rates_current!$E$76*100*12</f>
        <v>6295014.6017880533</v>
      </c>
      <c r="P53" s="211">
        <f>'Staging Table'!BS55*Rates_current!$E$77*100*12</f>
        <v>-1039322.0156059118</v>
      </c>
      <c r="Q53" s="212">
        <f>SUMPRODUCT('Staging Table'!BY55:CV55, LS_Demand_Rates_Restatement!$C$5:$Z$5)-IF(Init!$R$12="No",('Staging Table'!DU55*Rates_current!$H$34), 0)</f>
        <v>0</v>
      </c>
      <c r="R53" s="212">
        <f>SUMPRODUCT('Staging Table'!CW55:DH55, LS_Demand_Rates_Restatement!$C$11:$N$11)*1000</f>
        <v>0</v>
      </c>
      <c r="S53" s="213">
        <f>'Staging Table'!ED55*IF(Init!$R$15="Yes",IF(Init!$R$6=2022,Rates_current!$C$88,Rates_current!$D$88),Rates_current!$H$33)</f>
        <v>0</v>
      </c>
      <c r="T53" s="213">
        <v>0</v>
      </c>
      <c r="U53" s="213">
        <f>IF('Staging Table'!D55=1, 'Staging Table'!BU55*-1*'Staging Table'!BS55/'Staging Table'!BR55,SUM(O53:T53)*'Staging Table'!BU55*-1)</f>
        <v>-379840.67003420898</v>
      </c>
      <c r="V53" s="211">
        <f>'Staging Table'!BX55*Rates_current!$H$32*-1</f>
        <v>0</v>
      </c>
      <c r="W53" s="211" t="str">
        <f>IF('Staging Table'!C55=1,"", SUM(O53:V53))</f>
        <v/>
      </c>
      <c r="X53" s="211" t="str">
        <f>IF('Staging Table'!C55=1,"", (RT1SC!$C$4*'Staging Table'!BS55*'Staging Table'!$BS$2)+SUM('Staging Table'!BY55:CV55)-IF(Init!$R$12="No",'Staging Table'!DU55, 0))</f>
        <v/>
      </c>
      <c r="Y53" s="95" t="str">
        <f>IF('Staging Table'!C55=1,"",IF(X53=0, 0, W53/X53))</f>
        <v/>
      </c>
      <c r="Z53" s="87" t="str">
        <f ca="1">IF('Staging Table'!C55=1,"",(Y53/N53-1)+(RAND()/100000000000000))</f>
        <v/>
      </c>
      <c r="AA53" s="53" t="str">
        <f t="shared" ca="1" si="0"/>
        <v/>
      </c>
      <c r="AC53" s="421"/>
      <c r="AD53" s="216"/>
      <c r="AE53" s="216"/>
      <c r="AG53" s="216"/>
      <c r="AH53" s="216"/>
    </row>
    <row r="54" spans="2:34">
      <c r="B54" s="135">
        <v>10142</v>
      </c>
      <c r="C54" s="136" t="s">
        <v>57</v>
      </c>
      <c r="D54" s="211">
        <f>IF(Init!$R$9="Yes",'Staging Table'!F56,'Staging Table'!BS56)*Rates_previous!$E$76*100*12</f>
        <v>904320.49979999999</v>
      </c>
      <c r="E54" s="211">
        <f>IF(Init!$R$9="Yes",'Staging Table'!F56,'Staging Table'!BS56)*Rates_previous!$E$77*100*12</f>
        <v>-91486.659</v>
      </c>
      <c r="F54" s="212">
        <f>IF(Init!$R$9="Yes",SUMPRODUCT('Staging Table'!L56:AI56,LS_Demand_Rates_Restatement!$C$4:$Z$4)-IF(Init!$R$12="No",('Staging Table'!BH56*Rates_previous!$H$34), 0),SUMPRODUCT('Staging Table'!BY56:CV56,LS_Demand_Rates_Restatement!$C$4:$Z$4)-IF(Init!$R$12="No", 'Staging Table'!DU56*Rates_previous!$H$34, 0))</f>
        <v>-15876.967825043379</v>
      </c>
      <c r="G54" s="212">
        <f>IF(Init!$R$9="Yes",SUMPRODUCT('Staging Table'!AJ56:AU56,LS_Demand_Rates_Restatement!$C$10:$N$10),SUMPRODUCT(LS_Demand_Rates_Restatement!$C$10:$N$10,'Staging Table'!CW56:DH56))*1000</f>
        <v>54076.077308618253</v>
      </c>
      <c r="H54" s="213">
        <f>IF(Init!$R$9="Yes",'Staging Table'!BQ56,'Staging Table'!ED56)*IF(Init!$R$3=2020,Rates_previous!$C$88,Rates_previous!$D$88)</f>
        <v>0</v>
      </c>
      <c r="I54" s="211">
        <f>IF(Init!$R$9="Yes",IF('Staging Table'!$F$1=2020,(SUM('Staging Table'!AX56:BD56)*Rates_previous!$C$87),(SUM('Staging Table'!AX56:BD56)*Rates_previous!$D$87)),IF('Staging Table'!$F$1=2020,(SUM('Staging Table'!DK56:DQ56)*Rates_previous!$C$87),(SUM('Staging Table'!DK56:DQ56)*Rates_previous!$D$87)))</f>
        <v>11093.441170183425</v>
      </c>
      <c r="J54" s="213">
        <f>IF(Init!$R$9="Yes",IF('Staging Table'!D56=1,'Staging Table'!H56*-1*'Staging Table'!BS56/'Staging Table'!BR56,'Staging Table'!H56*SUM(D54:I54)*(-1)),IF('Staging Table'!D56=1,'Staging Table'!BU56*-1*'Staging Table'!BS56/'Staging Table'!BR56,'Staging Table'!BU56*SUM(D54:I54)*(-1)))</f>
        <v>-28418.240310883146</v>
      </c>
      <c r="K54" s="211">
        <f>IF(Init!$R$9="Yes",'Staging Table'!K56,'Staging Table'!BX56)*(-1)*Rates_previous!$H$32</f>
        <v>-64098.967239999998</v>
      </c>
      <c r="L54" s="211">
        <f>IF('Staging Table'!C56=1,"",SUM(D54:K54))</f>
        <v>769609.18390287517</v>
      </c>
      <c r="M54" s="211">
        <f>IF('Staging Table'!C56=1,"",IF(Init!$R$9="Yes",(RT1SC!$C$3*'Staging Table'!F56*'Staging Table'!$F$2)+SUM('Staging Table'!L56:AI56)-IF(Init!$R$12="No",'Staging Table'!BH56, 0),X54))</f>
        <v>23479.632000000001</v>
      </c>
      <c r="N54" s="95">
        <f>IF('Staging Table'!C56=1,"",IF(M54=0, 0, L54/M54))</f>
        <v>32.777736205698417</v>
      </c>
      <c r="O54" s="211">
        <f>'Staging Table'!BS56*Rates_current!$E$76*100*12</f>
        <v>912477.35465918249</v>
      </c>
      <c r="P54" s="211">
        <f>'Staging Table'!BS56*Rates_current!$E$77*100*12</f>
        <v>-150652.20073830453</v>
      </c>
      <c r="Q54" s="212">
        <f>SUMPRODUCT('Staging Table'!BY56:CV56, LS_Demand_Rates_Restatement!$C$5:$Z$5)-IF(Init!$R$12="No",('Staging Table'!DU56*Rates_current!$H$34), 0)</f>
        <v>-16281.964608314476</v>
      </c>
      <c r="R54" s="212">
        <f>SUMPRODUCT('Staging Table'!CW56:DH56, LS_Demand_Rates_Restatement!$C$11:$N$11)*1000</f>
        <v>50999.805818402798</v>
      </c>
      <c r="S54" s="213">
        <f>'Staging Table'!ED56*IF(Init!$R$15="Yes",IF(Init!$R$6=2022,Rates_current!$C$88,Rates_current!$D$88),Rates_current!$H$33)</f>
        <v>0</v>
      </c>
      <c r="T54" s="213">
        <v>0</v>
      </c>
      <c r="U54" s="213">
        <f>IF('Staging Table'!D56=1, 'Staging Table'!BU56*-1*'Staging Table'!BS56/'Staging Table'!BR56,SUM(O54:T54)*'Staging Table'!BU56*-1)</f>
        <v>-27970.686524302368</v>
      </c>
      <c r="V54" s="211">
        <f>'Staging Table'!BX56*Rates_current!$H$32*-1</f>
        <v>-62887.375600000007</v>
      </c>
      <c r="W54" s="211">
        <f>IF('Staging Table'!C56=1,"", SUM(O54:V54))</f>
        <v>705684.93300666392</v>
      </c>
      <c r="X54" s="211">
        <f>IF('Staging Table'!C56=1,"", (RT1SC!$C$4*'Staging Table'!BS56*'Staging Table'!$BS$2)+SUM('Staging Table'!BY56:CV56)-IF(Init!$R$12="No",'Staging Table'!DU56, 0))</f>
        <v>22451.88</v>
      </c>
      <c r="Y54" s="95">
        <f>IF('Staging Table'!C56=1,"",IF(X54=0, 0, W54/X54))</f>
        <v>31.43099522207779</v>
      </c>
      <c r="Z54" s="87">
        <f ca="1">IF('Staging Table'!C56=1,"",(Y54/N54-1)+(RAND()/100000000000000))</f>
        <v>-4.1087065170362577E-2</v>
      </c>
      <c r="AA54" s="53">
        <f t="shared" ca="1" si="0"/>
        <v>94</v>
      </c>
      <c r="AC54" s="421"/>
      <c r="AD54" s="216"/>
      <c r="AE54" s="216"/>
      <c r="AG54" s="216"/>
      <c r="AH54" s="216"/>
    </row>
    <row r="55" spans="2:34">
      <c r="B55" s="135">
        <v>10144</v>
      </c>
      <c r="C55" s="136" t="s">
        <v>58</v>
      </c>
      <c r="D55" s="211">
        <f>IF(Init!$R$9="Yes",'Staging Table'!F57,'Staging Table'!BS57)*Rates_previous!$E$76*100*12</f>
        <v>1133430.87084</v>
      </c>
      <c r="E55" s="211">
        <f>IF(Init!$R$9="Yes",'Staging Table'!F57,'Staging Table'!BS57)*Rates_previous!$E$77*100*12</f>
        <v>-114664.88219999999</v>
      </c>
      <c r="F55" s="212">
        <f>IF(Init!$R$9="Yes",SUMPRODUCT('Staging Table'!L57:AI57,LS_Demand_Rates_Restatement!$C$4:$Z$4)-IF(Init!$R$12="No",('Staging Table'!BH57*Rates_previous!$H$34), 0),SUMPRODUCT('Staging Table'!BY57:CV57,LS_Demand_Rates_Restatement!$C$4:$Z$4)-IF(Init!$R$12="No", 'Staging Table'!DU57*Rates_previous!$H$34, 0))</f>
        <v>13817.537040866209</v>
      </c>
      <c r="G55" s="212">
        <f>IF(Init!$R$9="Yes",SUMPRODUCT('Staging Table'!AJ57:AU57,LS_Demand_Rates_Restatement!$C$10:$N$10),SUMPRODUCT(LS_Demand_Rates_Restatement!$C$10:$N$10,'Staging Table'!CW57:DH57))*1000</f>
        <v>109037.01236221507</v>
      </c>
      <c r="H55" s="213">
        <f>IF(Init!$R$9="Yes",'Staging Table'!BQ57,'Staging Table'!ED57)*IF(Init!$R$3=2020,Rates_previous!$C$88,Rates_previous!$D$88)</f>
        <v>-8844.9073035238234</v>
      </c>
      <c r="I55" s="211">
        <f>IF(Init!$R$9="Yes",IF('Staging Table'!$F$1=2020,(SUM('Staging Table'!AX57:BD57)*Rates_previous!$C$87),(SUM('Staging Table'!AX57:BD57)*Rates_previous!$D$87)),IF('Staging Table'!$F$1=2020,(SUM('Staging Table'!DK57:DQ57)*Rates_previous!$C$87),(SUM('Staging Table'!DK57:DQ57)*Rates_previous!$D$87)))</f>
        <v>13903.973965993366</v>
      </c>
      <c r="J55" s="213">
        <f>IF(Init!$R$9="Yes",IF('Staging Table'!D57=1,'Staging Table'!H57*-1*'Staging Table'!BS57/'Staging Table'!BR57,'Staging Table'!H57*SUM(D55:I55)*(-1)),IF('Staging Table'!D57=1,'Staging Table'!BU57*-1*'Staging Table'!BS57/'Staging Table'!BR57,'Staging Table'!BU57*SUM(D55:I55)*(-1)))</f>
        <v>0</v>
      </c>
      <c r="K55" s="211">
        <f>IF(Init!$R$9="Yes",'Staging Table'!K57,'Staging Table'!BX57)*(-1)*Rates_previous!$H$32</f>
        <v>0</v>
      </c>
      <c r="L55" s="211">
        <f>IF('Staging Table'!C57=1,"",SUM(D55:K55))</f>
        <v>1146679.6047055509</v>
      </c>
      <c r="M55" s="211">
        <f>IF('Staging Table'!C57=1,"",IF(Init!$R$9="Yes",(RT1SC!$C$3*'Staging Table'!F57*'Staging Table'!$F$2)+SUM('Staging Table'!L57:AI57)-IF(Init!$R$12="No",'Staging Table'!BH57, 0),X55))</f>
        <v>28861.591104500396</v>
      </c>
      <c r="N55" s="95">
        <f>IF('Staging Table'!C57=1,"",IF(M55=0, 0, L55/M55))</f>
        <v>39.730297631676613</v>
      </c>
      <c r="O55" s="211">
        <f>'Staging Table'!BS57*Rates_current!$E$76*100*12</f>
        <v>1143894.0819249148</v>
      </c>
      <c r="P55" s="211">
        <f>'Staging Table'!BS57*Rates_current!$E$77*100*12</f>
        <v>-188859.65769295997</v>
      </c>
      <c r="Q55" s="212">
        <f>SUMPRODUCT('Staging Table'!BY57:CV57, LS_Demand_Rates_Restatement!$C$5:$Z$5)-IF(Init!$R$12="No",('Staging Table'!DU57*Rates_current!$H$34), 0)</f>
        <v>20641.313437331224</v>
      </c>
      <c r="R55" s="212">
        <f>SUMPRODUCT('Staging Table'!CW57:DH57, LS_Demand_Rates_Restatement!$C$11:$N$11)*1000</f>
        <v>101316.63289644763</v>
      </c>
      <c r="S55" s="213">
        <f>'Staging Table'!ED57*IF(Init!$R$15="Yes",IF(Init!$R$6=2022,Rates_current!$C$88,Rates_current!$D$88),Rates_current!$H$33)</f>
        <v>0</v>
      </c>
      <c r="T55" s="213">
        <v>0</v>
      </c>
      <c r="U55" s="213">
        <f>IF('Staging Table'!D57=1, 'Staging Table'!BU57*-1*'Staging Table'!BS57/'Staging Table'!BR57,SUM(O55:T55)*'Staging Table'!BU57*-1)</f>
        <v>0</v>
      </c>
      <c r="V55" s="211">
        <f>'Staging Table'!BX57*Rates_current!$H$32*-1</f>
        <v>0</v>
      </c>
      <c r="W55" s="211">
        <f>IF('Staging Table'!C57=1,"", SUM(O55:V55))</f>
        <v>1076992.3705657336</v>
      </c>
      <c r="X55" s="211">
        <f>IF('Staging Table'!C57=1,"", (RT1SC!$C$4*'Staging Table'!BS57*'Staging Table'!$BS$2)+SUM('Staging Table'!BY57:CV57)-IF(Init!$R$12="No",'Staging Table'!DU57, 0))</f>
        <v>28145.88</v>
      </c>
      <c r="Y55" s="95">
        <f>IF('Staging Table'!C57=1,"",IF(X55=0, 0, W55/X55))</f>
        <v>38.264654385143885</v>
      </c>
      <c r="Z55" s="87">
        <f ca="1">IF('Staging Table'!C57=1,"",(Y55/N55-1)+(RAND()/100000000000000))</f>
        <v>-3.6889812911041535E-2</v>
      </c>
      <c r="AA55" s="53">
        <f t="shared" ca="1" si="0"/>
        <v>62</v>
      </c>
      <c r="AC55" s="421"/>
      <c r="AD55" s="216"/>
      <c r="AE55" s="216"/>
      <c r="AG55" s="216"/>
      <c r="AH55" s="216"/>
    </row>
    <row r="56" spans="2:34">
      <c r="B56" s="135">
        <v>10156</v>
      </c>
      <c r="C56" s="136" t="s">
        <v>59</v>
      </c>
      <c r="D56" s="211">
        <f>IF(Init!$R$9="Yes",'Staging Table'!F58,'Staging Table'!BS58)*Rates_previous!$E$76*100*12</f>
        <v>10849469.333999999</v>
      </c>
      <c r="E56" s="211">
        <f>IF(Init!$R$9="Yes",'Staging Table'!F58,'Staging Table'!BS58)*Rates_previous!$E$77*100*12</f>
        <v>-1097599.47</v>
      </c>
      <c r="F56" s="212">
        <f>IF(Init!$R$9="Yes",SUMPRODUCT('Staging Table'!L58:AI58,LS_Demand_Rates_Restatement!$C$4:$Z$4)-IF(Init!$R$12="No",('Staging Table'!BH58*Rates_previous!$H$34), 0),SUMPRODUCT('Staging Table'!BY58:CV58,LS_Demand_Rates_Restatement!$C$4:$Z$4)-IF(Init!$R$12="No", 'Staging Table'!DU58*Rates_previous!$H$34, 0))</f>
        <v>230178.39810274815</v>
      </c>
      <c r="G56" s="212">
        <f>IF(Init!$R$9="Yes",SUMPRODUCT('Staging Table'!AJ58:AU58,LS_Demand_Rates_Restatement!$C$10:$N$10),SUMPRODUCT(LS_Demand_Rates_Restatement!$C$10:$N$10,'Staging Table'!CW58:DH58))*1000</f>
        <v>588621.14286246418</v>
      </c>
      <c r="H56" s="213">
        <f>IF(Init!$R$9="Yes",'Staging Table'!BQ58,'Staging Table'!ED58)*IF(Init!$R$3=2020,Rates_previous!$C$88,Rates_previous!$D$88)</f>
        <v>0</v>
      </c>
      <c r="I56" s="211">
        <f>IF(Init!$R$9="Yes",IF('Staging Table'!$F$1=2020,(SUM('Staging Table'!AX58:BD58)*Rates_previous!$C$87),(SUM('Staging Table'!AX58:BD58)*Rates_previous!$D$87)),IF('Staging Table'!$F$1=2020,(SUM('Staging Table'!DK58:DQ58)*Rates_previous!$C$87),(SUM('Staging Table'!DK58:DQ58)*Rates_previous!$D$87)))</f>
        <v>133092.13913768023</v>
      </c>
      <c r="J56" s="213">
        <f>IF(Init!$R$9="Yes",IF('Staging Table'!D58=1,'Staging Table'!H58*-1*'Staging Table'!BS58/'Staging Table'!BR58,'Staging Table'!H58*SUM(D56:I56)*(-1)),IF('Staging Table'!D58=1,'Staging Table'!BU58*-1*'Staging Table'!BS58/'Staging Table'!BR58,'Staging Table'!BU58*SUM(D56:I56)*(-1)))</f>
        <v>0</v>
      </c>
      <c r="K56" s="211">
        <f>IF(Init!$R$9="Yes",'Staging Table'!K58,'Staging Table'!BX58)*(-1)*Rates_previous!$H$32</f>
        <v>0</v>
      </c>
      <c r="L56" s="211">
        <f>IF('Staging Table'!C58=1,"",SUM(D56:K56))</f>
        <v>10703761.544102889</v>
      </c>
      <c r="M56" s="211">
        <f>IF('Staging Table'!C58=1,"",IF(Init!$R$9="Yes",(RT1SC!$C$3*'Staging Table'!F58*'Staging Table'!$F$2)+SUM('Staging Table'!L58:AI58)-IF(Init!$R$12="No",'Staging Table'!BH58, 0),X56))</f>
        <v>281676.52799999999</v>
      </c>
      <c r="N56" s="95">
        <f>IF('Staging Table'!C58=1,"",IF(M56=0, 0, L56/M56))</f>
        <v>38.000189863540527</v>
      </c>
      <c r="O56" s="211">
        <f>'Staging Table'!BS58*Rates_current!$E$76*100*12</f>
        <v>10947569.965189576</v>
      </c>
      <c r="P56" s="211">
        <f>'Staging Table'!BS58*Rates_current!$E$77*100*12</f>
        <v>-1807470.0698828753</v>
      </c>
      <c r="Q56" s="212">
        <f>SUMPRODUCT('Staging Table'!BY58:CV58, LS_Demand_Rates_Restatement!$C$5:$Z$5)-IF(Init!$R$12="No",('Staging Table'!DU58*Rates_current!$H$34), 0)</f>
        <v>208779.7726033713</v>
      </c>
      <c r="R56" s="212">
        <f>SUMPRODUCT('Staging Table'!CW58:DH58, LS_Demand_Rates_Restatement!$C$11:$N$11)*1000</f>
        <v>556570.0859764599</v>
      </c>
      <c r="S56" s="213">
        <f>'Staging Table'!ED58*IF(Init!$R$15="Yes",IF(Init!$R$6=2022,Rates_current!$C$88,Rates_current!$D$88),Rates_current!$H$33)</f>
        <v>0</v>
      </c>
      <c r="T56" s="213">
        <v>0</v>
      </c>
      <c r="U56" s="213">
        <f>IF('Staging Table'!D58=1, 'Staging Table'!BU58*-1*'Staging Table'!BS58/'Staging Table'!BR58,SUM(O56:T56)*'Staging Table'!BU58*-1)</f>
        <v>0</v>
      </c>
      <c r="V56" s="211">
        <f>'Staging Table'!BX58*Rates_current!$H$32*-1</f>
        <v>0</v>
      </c>
      <c r="W56" s="211">
        <f>IF('Staging Table'!C58=1,"", SUM(O56:V56))</f>
        <v>9905449.753886532</v>
      </c>
      <c r="X56" s="211">
        <f>IF('Staging Table'!C58=1,"", (RT1SC!$C$4*'Staging Table'!BS58*'Staging Table'!$BS$2)+SUM('Staging Table'!BY58:CV58)-IF(Init!$R$12="No",'Staging Table'!DU58, 0))</f>
        <v>269387.52000000002</v>
      </c>
      <c r="Y56" s="95">
        <f>IF('Staging Table'!C58=1,"",IF(X56=0, 0, W56/X56))</f>
        <v>36.770262237413711</v>
      </c>
      <c r="Z56" s="87">
        <f ca="1">IF('Staging Table'!C58=1,"",(Y56/N56-1)+(RAND()/100000000000000))</f>
        <v>-3.2366354761470768E-2</v>
      </c>
      <c r="AA56" s="53">
        <f t="shared" ca="1" si="0"/>
        <v>18</v>
      </c>
      <c r="AC56" s="421"/>
      <c r="AD56" s="216"/>
      <c r="AE56" s="216"/>
      <c r="AG56" s="216"/>
      <c r="AH56" s="216"/>
    </row>
    <row r="57" spans="2:34">
      <c r="B57" s="135">
        <v>10157</v>
      </c>
      <c r="C57" s="136" t="s">
        <v>60</v>
      </c>
      <c r="D57" s="211">
        <f>IF(Init!$R$9="Yes",'Staging Table'!F59,'Staging Table'!BS59)*Rates_previous!$E$76*100*12</f>
        <v>8024091.6463200012</v>
      </c>
      <c r="E57" s="211">
        <f>IF(Init!$R$9="Yes",'Staging Table'!F59,'Staging Table'!BS59)*Rates_previous!$E$77*100*12</f>
        <v>-811766.77560000005</v>
      </c>
      <c r="F57" s="212">
        <f>IF(Init!$R$9="Yes",SUMPRODUCT('Staging Table'!L59:AI59,LS_Demand_Rates_Restatement!$C$4:$Z$4)-IF(Init!$R$12="No",('Staging Table'!BH59*Rates_previous!$H$34), 0),SUMPRODUCT('Staging Table'!BY59:CV59,LS_Demand_Rates_Restatement!$C$4:$Z$4)-IF(Init!$R$12="No", 'Staging Table'!DU59*Rates_previous!$H$34, 0))</f>
        <v>90617.758596519037</v>
      </c>
      <c r="G57" s="212">
        <f>IF(Init!$R$9="Yes",SUMPRODUCT('Staging Table'!AJ59:AU59,LS_Demand_Rates_Restatement!$C$10:$N$10),SUMPRODUCT(LS_Demand_Rates_Restatement!$C$10:$N$10,'Staging Table'!CW59:DH59))*1000</f>
        <v>0</v>
      </c>
      <c r="H57" s="213">
        <f>IF(Init!$R$9="Yes",'Staging Table'!BQ59,'Staging Table'!ED59)*IF(Init!$R$3=2020,Rates_previous!$C$88,Rates_previous!$D$88)</f>
        <v>0</v>
      </c>
      <c r="I57" s="211">
        <f>IF(Init!$R$9="Yes",IF('Staging Table'!$F$1=2020,(SUM('Staging Table'!AX59:BD59)*Rates_previous!$C$87),(SUM('Staging Table'!AX59:BD59)*Rates_previous!$D$87)),IF('Staging Table'!$F$1=2020,(SUM('Staging Table'!DK59:DQ59)*Rates_previous!$C$87),(SUM('Staging Table'!DK59:DQ59)*Rates_previous!$D$87)))</f>
        <v>98432.788643293781</v>
      </c>
      <c r="J57" s="213">
        <f>IF(Init!$R$9="Yes",IF('Staging Table'!D59=1,'Staging Table'!H59*-1*'Staging Table'!BS59/'Staging Table'!BR59,'Staging Table'!H59*SUM(D57:I57)*(-1)),IF('Staging Table'!D59=1,'Staging Table'!BU59*-1*'Staging Table'!BS59/'Staging Table'!BR59,'Staging Table'!BU59*SUM(D57:I57)*(-1)))</f>
        <v>-429536.49124294991</v>
      </c>
      <c r="K57" s="211">
        <f>IF(Init!$R$9="Yes",'Staging Table'!K59,'Staging Table'!BX59)*(-1)*Rates_previous!$H$32</f>
        <v>0</v>
      </c>
      <c r="L57" s="211">
        <f>IF('Staging Table'!C59=1,"",SUM(D57:K57))</f>
        <v>6971838.9267168641</v>
      </c>
      <c r="M57" s="211">
        <f>IF('Staging Table'!C59=1,"",IF(Init!$R$9="Yes",(RT1SC!$C$3*'Staging Table'!F59*'Staging Table'!$F$2)+SUM('Staging Table'!L59:AI59)-IF(Init!$R$12="No",'Staging Table'!BH59, 0),X57))</f>
        <v>208324.47303454793</v>
      </c>
      <c r="N57" s="95">
        <f>IF('Staging Table'!C59=1,"",IF(M57=0, 0, L57/M57))</f>
        <v>33.466250148923571</v>
      </c>
      <c r="O57" s="211">
        <f>'Staging Table'!BS59*Rates_current!$E$76*100*12</f>
        <v>8096707.7333398107</v>
      </c>
      <c r="P57" s="211">
        <f>'Staging Table'!BS59*Rates_current!$E$77*100*12</f>
        <v>-1336785.8747772344</v>
      </c>
      <c r="Q57" s="212">
        <f>SUMPRODUCT('Staging Table'!BY59:CV59, LS_Demand_Rates_Restatement!$C$5:$Z$5)-IF(Init!$R$12="No",('Staging Table'!DU59*Rates_current!$H$34), 0)</f>
        <v>67489.956694142486</v>
      </c>
      <c r="R57" s="212">
        <f>SUMPRODUCT('Staging Table'!CW59:DH59, LS_Demand_Rates_Restatement!$C$11:$N$11)*1000</f>
        <v>0</v>
      </c>
      <c r="S57" s="213">
        <f>'Staging Table'!ED59*IF(Init!$R$15="Yes",IF(Init!$R$6=2022,Rates_current!$C$88,Rates_current!$D$88),Rates_current!$H$33)</f>
        <v>0</v>
      </c>
      <c r="T57" s="213">
        <v>0</v>
      </c>
      <c r="U57" s="213">
        <f>IF('Staging Table'!D59=1, 'Staging Table'!BU59*-1*'Staging Table'!BS59/'Staging Table'!BR59,SUM(O57:T57)*'Staging Table'!BU59*-1)</f>
        <v>-429536.49124294991</v>
      </c>
      <c r="V57" s="211">
        <f>'Staging Table'!BX59*Rates_current!$H$32*-1</f>
        <v>0</v>
      </c>
      <c r="W57" s="211">
        <f>IF('Staging Table'!C59=1,"", SUM(O57:V57))</f>
        <v>6397875.3240137696</v>
      </c>
      <c r="X57" s="211">
        <f>IF('Staging Table'!C59=1,"", (RT1SC!$C$4*'Staging Table'!BS59*'Staging Table'!$BS$2)+SUM('Staging Table'!BY59:CV59)-IF(Init!$R$12="No",'Staging Table'!DU59, 0))</f>
        <v>199236.9744564626</v>
      </c>
      <c r="Y57" s="95">
        <f>IF('Staging Table'!C59=1,"",IF(X57=0, 0, W57/X57))</f>
        <v>32.111887572413615</v>
      </c>
      <c r="Z57" s="87">
        <f ca="1">IF('Staging Table'!C59=1,"",(Y57/N57-1)+(RAND()/100000000000000))</f>
        <v>-4.0469504963449768E-2</v>
      </c>
      <c r="AA57" s="53">
        <f t="shared" ca="1" si="0"/>
        <v>89</v>
      </c>
      <c r="AC57" s="421"/>
      <c r="AD57" s="216"/>
      <c r="AE57" s="216"/>
      <c r="AG57" s="216"/>
      <c r="AH57" s="216"/>
    </row>
    <row r="58" spans="2:34">
      <c r="B58" s="135">
        <v>10158</v>
      </c>
      <c r="C58" s="136" t="s">
        <v>61</v>
      </c>
      <c r="D58" s="211">
        <f>IF(Init!$R$9="Yes",'Staging Table'!F60,'Staging Table'!BS60)*Rates_previous!$E$76*100*12</f>
        <v>817334.61204000015</v>
      </c>
      <c r="E58" s="211">
        <f>IF(Init!$R$9="Yes",'Staging Table'!F60,'Staging Table'!BS60)*Rates_previous!$E$77*100*12</f>
        <v>-82686.628200000006</v>
      </c>
      <c r="F58" s="212">
        <f>IF(Init!$R$9="Yes",SUMPRODUCT('Staging Table'!L60:AI60,LS_Demand_Rates_Restatement!$C$4:$Z$4)-IF(Init!$R$12="No",('Staging Table'!BH60*Rates_previous!$H$34), 0),SUMPRODUCT('Staging Table'!BY60:CV60,LS_Demand_Rates_Restatement!$C$4:$Z$4)-IF(Init!$R$12="No", 'Staging Table'!DU60*Rates_previous!$H$34, 0))</f>
        <v>-16759.424377223993</v>
      </c>
      <c r="G58" s="212">
        <f>IF(Init!$R$9="Yes",SUMPRODUCT('Staging Table'!AJ60:AU60,LS_Demand_Rates_Restatement!$C$10:$N$10),SUMPRODUCT(LS_Demand_Rates_Restatement!$C$10:$N$10,'Staging Table'!CW60:DH60))*1000</f>
        <v>42787.472443945866</v>
      </c>
      <c r="H58" s="213">
        <f>IF(Init!$R$9="Yes",'Staging Table'!BQ60,'Staging Table'!ED60)*IF(Init!$R$3=2020,Rates_previous!$C$88,Rates_previous!$D$88)</f>
        <v>-21228.69918724227</v>
      </c>
      <c r="I58" s="211">
        <f>IF(Init!$R$9="Yes",IF('Staging Table'!$F$1=2020,(SUM('Staging Table'!AX60:BD60)*Rates_previous!$C$87),(SUM('Staging Table'!AX60:BD60)*Rates_previous!$D$87)),IF('Staging Table'!$F$1=2020,(SUM('Staging Table'!DK60:DQ60)*Rates_previous!$C$87),(SUM('Staging Table'!DK60:DQ60)*Rates_previous!$D$87)))</f>
        <v>10026.371664720316</v>
      </c>
      <c r="J58" s="213">
        <f>IF(Init!$R$9="Yes",IF('Staging Table'!D60=1,'Staging Table'!H60*-1*'Staging Table'!BS60/'Staging Table'!BR60,'Staging Table'!H60*SUM(D58:I58)*(-1)),IF('Staging Table'!D60=1,'Staging Table'!BU60*-1*'Staging Table'!BS60/'Staging Table'!BR60,'Staging Table'!BU60*SUM(D58:I58)*(-1)))</f>
        <v>0</v>
      </c>
      <c r="K58" s="211">
        <f>IF(Init!$R$9="Yes",'Staging Table'!K60,'Staging Table'!BX60)*(-1)*Rates_previous!$H$32</f>
        <v>0</v>
      </c>
      <c r="L58" s="211">
        <f>IF('Staging Table'!C60=1,"",SUM(D58:K58))</f>
        <v>749473.70438420004</v>
      </c>
      <c r="M58" s="211">
        <f>IF('Staging Table'!C60=1,"",IF(Init!$R$9="Yes",(RT1SC!$C$3*'Staging Table'!F60*'Staging Table'!$F$2)+SUM('Staging Table'!L60:AI60)-IF(Init!$R$12="No",'Staging Table'!BH60, 0),X58))</f>
        <v>19866.543796472397</v>
      </c>
      <c r="N58" s="95">
        <f>IF('Staging Table'!C60=1,"",IF(M58=0, 0, L58/M58))</f>
        <v>37.725419784254591</v>
      </c>
      <c r="O58" s="211">
        <f>'Staging Table'!BS60*Rates_current!$E$76*100*12</f>
        <v>844850.91207997373</v>
      </c>
      <c r="P58" s="211">
        <f>'Staging Table'!BS60*Rates_current!$E$77*100*12</f>
        <v>-139486.91279922391</v>
      </c>
      <c r="Q58" s="212">
        <f>SUMPRODUCT('Staging Table'!BY60:CV60, LS_Demand_Rates_Restatement!$C$5:$Z$5)-IF(Init!$R$12="No",('Staging Table'!DU60*Rates_current!$H$34), 0)</f>
        <v>-16829.173116332837</v>
      </c>
      <c r="R58" s="212">
        <f>SUMPRODUCT('Staging Table'!CW60:DH60, LS_Demand_Rates_Restatement!$C$11:$N$11)*1000</f>
        <v>40203.194445877853</v>
      </c>
      <c r="S58" s="213">
        <f>'Staging Table'!ED60*IF(Init!$R$15="Yes",IF(Init!$R$6=2022,Rates_current!$C$88,Rates_current!$D$88),Rates_current!$H$33)</f>
        <v>-5626.918572212041</v>
      </c>
      <c r="T58" s="213">
        <v>0</v>
      </c>
      <c r="U58" s="213">
        <f>IF('Staging Table'!D60=1, 'Staging Table'!BU60*-1*'Staging Table'!BS60/'Staging Table'!BR60,SUM(O58:T58)*'Staging Table'!BU60*-1)</f>
        <v>0</v>
      </c>
      <c r="V58" s="211">
        <f>'Staging Table'!BX60*Rates_current!$H$32*-1</f>
        <v>0</v>
      </c>
      <c r="W58" s="211">
        <f>IF('Staging Table'!C60=1,"", SUM(O58:V58))</f>
        <v>723111.10203808278</v>
      </c>
      <c r="X58" s="211">
        <f>IF('Staging Table'!C60=1,"", (RT1SC!$C$4*'Staging Table'!BS60*'Staging Table'!$BS$2)+SUM('Staging Table'!BY60:CV60)-IF(Init!$R$12="No",'Staging Table'!DU60, 0))</f>
        <v>19866.544063467754</v>
      </c>
      <c r="Y58" s="95">
        <f>IF('Staging Table'!C60=1,"",IF(X58=0, 0, W58/X58))</f>
        <v>36.398434459861562</v>
      </c>
      <c r="Z58" s="87">
        <f ca="1">IF('Staging Table'!C60=1,"",(Y58/N58-1)+(RAND()/100000000000000))</f>
        <v>-3.5174832565994511E-2</v>
      </c>
      <c r="AA58" s="53">
        <f t="shared" ca="1" si="0"/>
        <v>38</v>
      </c>
      <c r="AC58" s="421"/>
      <c r="AD58" s="216"/>
      <c r="AE58" s="216"/>
      <c r="AG58" s="216"/>
      <c r="AH58" s="216"/>
    </row>
    <row r="59" spans="2:34">
      <c r="B59" s="135">
        <v>10170</v>
      </c>
      <c r="C59" s="136" t="s">
        <v>62</v>
      </c>
      <c r="D59" s="211">
        <f>IF(Init!$R$9="Yes",'Staging Table'!F61,'Staging Table'!BS61)*Rates_previous!$E$76*100*12</f>
        <v>33964424.174879998</v>
      </c>
      <c r="E59" s="211">
        <f>IF(Init!$R$9="Yes",'Staging Table'!F61,'Staging Table'!BS61)*Rates_previous!$E$77*100*12</f>
        <v>-3436051.3704000004</v>
      </c>
      <c r="F59" s="212">
        <f>IF(Init!$R$9="Yes",SUMPRODUCT('Staging Table'!L61:AI61,LS_Demand_Rates_Restatement!$C$4:$Z$4)-IF(Init!$R$12="No",('Staging Table'!BH61*Rates_previous!$H$34), 0),SUMPRODUCT('Staging Table'!BY61:CV61,LS_Demand_Rates_Restatement!$C$4:$Z$4)-IF(Init!$R$12="No", 'Staging Table'!DU61*Rates_previous!$H$34, 0))</f>
        <v>334961.75038046215</v>
      </c>
      <c r="G59" s="212">
        <f>IF(Init!$R$9="Yes",SUMPRODUCT('Staging Table'!AJ61:AU61,LS_Demand_Rates_Restatement!$C$10:$N$10),SUMPRODUCT(LS_Demand_Rates_Restatement!$C$10:$N$10,'Staging Table'!CW61:DH61))*1000</f>
        <v>0</v>
      </c>
      <c r="H59" s="213">
        <f>IF(Init!$R$9="Yes",'Staging Table'!BQ61,'Staging Table'!ED61)*IF(Init!$R$3=2020,Rates_previous!$C$88,Rates_previous!$D$88)</f>
        <v>0</v>
      </c>
      <c r="I59" s="211">
        <f>IF(Init!$R$9="Yes",IF('Staging Table'!$F$1=2020,(SUM('Staging Table'!AX61:BD61)*Rates_previous!$C$87),(SUM('Staging Table'!AX61:BD61)*Rates_previous!$D$87)),IF('Staging Table'!$F$1=2020,(SUM('Staging Table'!DK61:DQ61)*Rates_previous!$C$87),(SUM('Staging Table'!DK61:DQ61)*Rates_previous!$D$87)))</f>
        <v>416646.90952656325</v>
      </c>
      <c r="J59" s="213">
        <f>IF(Init!$R$9="Yes",IF('Staging Table'!D61=1,'Staging Table'!H61*-1*'Staging Table'!BS61/'Staging Table'!BR61,'Staging Table'!H61*SUM(D59:I59)*(-1)),IF('Staging Table'!D61=1,'Staging Table'!BU61*-1*'Staging Table'!BS61/'Staging Table'!BR61,'Staging Table'!BU61*SUM(D59:I59)*(-1)))</f>
        <v>0</v>
      </c>
      <c r="K59" s="211">
        <f>IF(Init!$R$9="Yes",'Staging Table'!K61,'Staging Table'!BX61)*(-1)*Rates_previous!$H$32</f>
        <v>0</v>
      </c>
      <c r="L59" s="211">
        <f>IF('Staging Table'!C61=1,"",SUM(D59:K59))</f>
        <v>31279981.464387026</v>
      </c>
      <c r="M59" s="211">
        <f>IF('Staging Table'!C61=1,"",IF(Init!$R$9="Yes",(RT1SC!$C$3*'Staging Table'!F61*'Staging Table'!$F$2)+SUM('Staging Table'!L61:AI61)-IF(Init!$R$12="No",'Staging Table'!BH61, 0),X59))</f>
        <v>881790.28628772357</v>
      </c>
      <c r="N59" s="95">
        <f>IF('Staging Table'!C61=1,"",IF(M59=0, 0, L59/M59))</f>
        <v>35.473266093771109</v>
      </c>
      <c r="O59" s="211">
        <f>'Staging Table'!BS61*Rates_current!$E$76*100*12</f>
        <v>37797186.149776012</v>
      </c>
      <c r="P59" s="211">
        <f>'Staging Table'!BS61*Rates_current!$E$77*100*12</f>
        <v>-6240406.1274550306</v>
      </c>
      <c r="Q59" s="212">
        <f>SUMPRODUCT('Staging Table'!BY61:CV61, LS_Demand_Rates_Restatement!$C$5:$Z$5)-IF(Init!$R$12="No",('Staging Table'!DU61*Rates_current!$H$34), 0)</f>
        <v>269502.79065337154</v>
      </c>
      <c r="R59" s="212">
        <f>SUMPRODUCT('Staging Table'!CW61:DH61, LS_Demand_Rates_Restatement!$C$11:$N$11)*1000</f>
        <v>0</v>
      </c>
      <c r="S59" s="213">
        <f>'Staging Table'!ED61*IF(Init!$R$15="Yes",IF(Init!$R$6=2022,Rates_current!$C$88,Rates_current!$D$88),Rates_current!$H$33)</f>
        <v>0</v>
      </c>
      <c r="T59" s="213">
        <v>0</v>
      </c>
      <c r="U59" s="213">
        <f>IF('Staging Table'!D61=1, 'Staging Table'!BU61*-1*'Staging Table'!BS61/'Staging Table'!BR61,SUM(O59:T59)*'Staging Table'!BU61*-1)</f>
        <v>0</v>
      </c>
      <c r="V59" s="211">
        <f>'Staging Table'!BX61*Rates_current!$H$32*-1</f>
        <v>0</v>
      </c>
      <c r="W59" s="211">
        <f>IF('Staging Table'!C61=1,"", SUM(O59:V59))</f>
        <v>31826282.812974352</v>
      </c>
      <c r="X59" s="211">
        <f>IF('Staging Table'!C61=1,"", (RT1SC!$C$4*'Staging Table'!BS61*'Staging Table'!$BS$2)+SUM('Staging Table'!BY61:CV61)-IF(Init!$R$12="No",'Staging Table'!DU61, 0))</f>
        <v>930082.48148997198</v>
      </c>
      <c r="Y59" s="95">
        <f>IF('Staging Table'!C61=1,"",IF(X59=0, 0, W59/X59))</f>
        <v>34.218774620923227</v>
      </c>
      <c r="Z59" s="87">
        <f ca="1">IF('Staging Table'!C61=1,"",(Y59/N59-1)+(RAND()/100000000000000))</f>
        <v>-3.536441977266809E-2</v>
      </c>
      <c r="AA59" s="53">
        <f t="shared" ca="1" si="0"/>
        <v>41</v>
      </c>
      <c r="AC59" s="421"/>
      <c r="AD59" s="216"/>
      <c r="AE59" s="216"/>
      <c r="AG59" s="216"/>
      <c r="AH59" s="216"/>
    </row>
    <row r="60" spans="2:34">
      <c r="B60" s="135">
        <v>10172</v>
      </c>
      <c r="C60" s="136" t="s">
        <v>63</v>
      </c>
      <c r="D60" s="211">
        <f>IF(Init!$R$9="Yes",'Staging Table'!F62,'Staging Table'!BS62)*Rates_previous!$E$76*100*12</f>
        <v>1826941.30932</v>
      </c>
      <c r="E60" s="211">
        <f>IF(Init!$R$9="Yes",'Staging Table'!F62,'Staging Table'!BS62)*Rates_previous!$E$77*100*12</f>
        <v>-184824.69060000003</v>
      </c>
      <c r="F60" s="212">
        <f>IF(Init!$R$9="Yes",SUMPRODUCT('Staging Table'!L62:AI62,LS_Demand_Rates_Restatement!$C$4:$Z$4)-IF(Init!$R$12="No",('Staging Table'!BH62*Rates_previous!$H$34), 0),SUMPRODUCT('Staging Table'!BY62:CV62,LS_Demand_Rates_Restatement!$C$4:$Z$4)-IF(Init!$R$12="No", 'Staging Table'!DU62*Rates_previous!$H$34, 0))</f>
        <v>-12477.737230075811</v>
      </c>
      <c r="G60" s="212">
        <f>IF(Init!$R$9="Yes",SUMPRODUCT('Staging Table'!AJ62:AU62,LS_Demand_Rates_Restatement!$C$10:$N$10),SUMPRODUCT(LS_Demand_Rates_Restatement!$C$10:$N$10,'Staging Table'!CW62:DH62))*1000</f>
        <v>151813.67349159543</v>
      </c>
      <c r="H60" s="213">
        <f>IF(Init!$R$9="Yes",'Staging Table'!BQ62,'Staging Table'!ED62)*IF(Init!$R$3=2020,Rates_previous!$C$88,Rates_previous!$D$88)</f>
        <v>-20867.73644035813</v>
      </c>
      <c r="I60" s="211">
        <f>IF(Init!$R$9="Yes",IF('Staging Table'!$F$1=2020,(SUM('Staging Table'!AX62:BD62)*Rates_previous!$C$87),(SUM('Staging Table'!AX62:BD62)*Rates_previous!$D$87)),IF('Staging Table'!$F$1=2020,(SUM('Staging Table'!DK62:DQ62)*Rates_previous!$C$87),(SUM('Staging Table'!DK62:DQ62)*Rates_previous!$D$87)))</f>
        <v>22411.375105177398</v>
      </c>
      <c r="J60" s="213">
        <f>IF(Init!$R$9="Yes",IF('Staging Table'!D62=1,'Staging Table'!H62*-1*'Staging Table'!BS62/'Staging Table'!BR62,'Staging Table'!H62*SUM(D60:I60)*(-1)),IF('Staging Table'!D62=1,'Staging Table'!BU62*-1*'Staging Table'!BS62/'Staging Table'!BR62,'Staging Table'!BU62*SUM(D60:I60)*(-1)))</f>
        <v>0</v>
      </c>
      <c r="K60" s="211">
        <f>IF(Init!$R$9="Yes",'Staging Table'!K62,'Staging Table'!BX62)*(-1)*Rates_previous!$H$32</f>
        <v>0</v>
      </c>
      <c r="L60" s="211">
        <f>IF('Staging Table'!C62=1,"",SUM(D60:K60))</f>
        <v>1782996.1936463385</v>
      </c>
      <c r="M60" s="211">
        <f>IF('Staging Table'!C62=1,"",IF(Init!$R$9="Yes",(RT1SC!$C$3*'Staging Table'!F62*'Staging Table'!$F$2)+SUM('Staging Table'!L62:AI62)-IF(Init!$R$12="No",'Staging Table'!BH62, 0),X60))</f>
        <v>46101.049780309193</v>
      </c>
      <c r="N60" s="95">
        <f>IF('Staging Table'!C62=1,"",IF(M60=0, 0, L60/M60))</f>
        <v>38.675826302070391</v>
      </c>
      <c r="O60" s="211">
        <f>'Staging Table'!BS62*Rates_current!$E$76*100*12</f>
        <v>1947257.8501531044</v>
      </c>
      <c r="P60" s="211">
        <f>'Staging Table'!BS62*Rates_current!$E$77*100*12</f>
        <v>-321496.94349409535</v>
      </c>
      <c r="Q60" s="212">
        <f>SUMPRODUCT('Staging Table'!BY62:CV62, LS_Demand_Rates_Restatement!$C$5:$Z$5)-IF(Init!$R$12="No",('Staging Table'!DU62*Rates_current!$H$34), 0)</f>
        <v>-43173.004214570719</v>
      </c>
      <c r="R60" s="212">
        <f>SUMPRODUCT('Staging Table'!CW62:DH62, LS_Demand_Rates_Restatement!$C$11:$N$11)*1000</f>
        <v>140839.75294556623</v>
      </c>
      <c r="S60" s="213">
        <f>'Staging Table'!ED62*IF(Init!$R$15="Yes",IF(Init!$R$6=2022,Rates_current!$C$88,Rates_current!$D$88),Rates_current!$H$33)</f>
        <v>-11096.67374354859</v>
      </c>
      <c r="T60" s="213">
        <v>0</v>
      </c>
      <c r="U60" s="213">
        <f>IF('Staging Table'!D62=1, 'Staging Table'!BU62*-1*'Staging Table'!BS62/'Staging Table'!BR62,SUM(O60:T60)*'Staging Table'!BU62*-1)</f>
        <v>0</v>
      </c>
      <c r="V60" s="211">
        <f>'Staging Table'!BX62*Rates_current!$H$32*-1</f>
        <v>0</v>
      </c>
      <c r="W60" s="211">
        <f>IF('Staging Table'!C62=1,"", SUM(O60:V60))</f>
        <v>1712330.9816464561</v>
      </c>
      <c r="X60" s="211">
        <f>IF('Staging Table'!C62=1,"", (RT1SC!$C$4*'Staging Table'!BS62*'Staging Table'!$BS$2)+SUM('Staging Table'!BY62:CV62)-IF(Init!$R$12="No",'Staging Table'!DU62, 0))</f>
        <v>46101.050451137708</v>
      </c>
      <c r="Y60" s="95">
        <f>IF('Staging Table'!C62=1,"",IF(X60=0, 0, W60/X60))</f>
        <v>37.142992727711224</v>
      </c>
      <c r="Z60" s="87">
        <f ca="1">IF('Staging Table'!C62=1,"",(Y60/N60-1)+(RAND()/100000000000000))</f>
        <v>-3.9632859098785674E-2</v>
      </c>
      <c r="AA60" s="53">
        <f t="shared" ca="1" si="0"/>
        <v>83</v>
      </c>
      <c r="AC60" s="421"/>
      <c r="AD60" s="216"/>
      <c r="AE60" s="216"/>
      <c r="AG60" s="216"/>
      <c r="AH60" s="216"/>
    </row>
    <row r="61" spans="2:34">
      <c r="B61" s="135">
        <v>10173</v>
      </c>
      <c r="C61" s="136" t="s">
        <v>64</v>
      </c>
      <c r="D61" s="211">
        <f>IF(Init!$R$9="Yes",'Staging Table'!F63,'Staging Table'!BS63)*Rates_previous!$E$76*100*12</f>
        <v>11149641.946679998</v>
      </c>
      <c r="E61" s="211">
        <f>IF(Init!$R$9="Yes",'Staging Table'!F63,'Staging Table'!BS63)*Rates_previous!$E$77*100*12</f>
        <v>-1127966.7893999999</v>
      </c>
      <c r="F61" s="212">
        <f>IF(Init!$R$9="Yes",SUMPRODUCT('Staging Table'!L63:AI63,LS_Demand_Rates_Restatement!$C$4:$Z$4)-IF(Init!$R$12="No",('Staging Table'!BH63*Rates_previous!$H$34), 0),SUMPRODUCT('Staging Table'!BY63:CV63,LS_Demand_Rates_Restatement!$C$4:$Z$4)-IF(Init!$R$12="No", 'Staging Table'!DU63*Rates_previous!$H$34, 0))</f>
        <v>0</v>
      </c>
      <c r="G61" s="212">
        <f>IF(Init!$R$9="Yes",SUMPRODUCT('Staging Table'!AJ63:AU63,LS_Demand_Rates_Restatement!$C$10:$N$10),SUMPRODUCT(LS_Demand_Rates_Restatement!$C$10:$N$10,'Staging Table'!CW63:DH63))*1000</f>
        <v>0</v>
      </c>
      <c r="H61" s="213">
        <f>IF(Init!$R$9="Yes",'Staging Table'!BQ63,'Staging Table'!ED63)*IF(Init!$R$3=2020,Rates_previous!$C$88,Rates_previous!$D$88)</f>
        <v>0</v>
      </c>
      <c r="I61" s="211">
        <f>IF(Init!$R$9="Yes",IF('Staging Table'!$F$1=2020,(SUM('Staging Table'!AX63:BD63)*Rates_previous!$C$87),(SUM('Staging Table'!AX63:BD63)*Rates_previous!$D$87)),IF('Staging Table'!$F$1=2020,(SUM('Staging Table'!DK63:DQ63)*Rates_previous!$C$87),(SUM('Staging Table'!DK63:DQ63)*Rates_previous!$D$87)))</f>
        <v>136774.40357866362</v>
      </c>
      <c r="J61" s="213">
        <f>IF(Init!$R$9="Yes",IF('Staging Table'!D63=1,'Staging Table'!H63*-1*'Staging Table'!BS63/'Staging Table'!BR63,'Staging Table'!H63*SUM(D61:I61)*(-1)),IF('Staging Table'!D63=1,'Staging Table'!BU63*-1*'Staging Table'!BS63/'Staging Table'!BR63,'Staging Table'!BU63*SUM(D61:I61)*(-1)))</f>
        <v>-792355.36660894298</v>
      </c>
      <c r="K61" s="211">
        <f>IF(Init!$R$9="Yes",'Staging Table'!K63,'Staging Table'!BX63)*(-1)*Rates_previous!$H$32</f>
        <v>-492284.05555999995</v>
      </c>
      <c r="L61" s="211" t="str">
        <f>IF('Staging Table'!C63=1,"",SUM(D61:K61))</f>
        <v/>
      </c>
      <c r="M61" s="211" t="str">
        <f>IF('Staging Table'!C63=1,"",IF(Init!$R$9="Yes",(RT1SC!$C$3*'Staging Table'!F63*'Staging Table'!$F$2)+SUM('Staging Table'!L63:AI63)-IF(Init!$R$12="No",'Staging Table'!BH63, 0),X61))</f>
        <v/>
      </c>
      <c r="N61" s="95" t="str">
        <f>IF('Staging Table'!C63=1,"",IF(M61=0, 0, L61/M61))</f>
        <v/>
      </c>
      <c r="O61" s="211">
        <f>'Staging Table'!BS63*Rates_current!$E$76*100*12</f>
        <v>11250450.096315607</v>
      </c>
      <c r="P61" s="211">
        <f>'Staging Table'!BS63*Rates_current!$E$77*100*12</f>
        <v>-1857476.3062908857</v>
      </c>
      <c r="Q61" s="212">
        <f>SUMPRODUCT('Staging Table'!BY63:CV63, LS_Demand_Rates_Restatement!$C$5:$Z$5)-IF(Init!$R$12="No",('Staging Table'!DU63*Rates_current!$H$34), 0)</f>
        <v>0</v>
      </c>
      <c r="R61" s="212">
        <f>SUMPRODUCT('Staging Table'!CW63:DH63, LS_Demand_Rates_Restatement!$C$11:$N$11)*1000</f>
        <v>0</v>
      </c>
      <c r="S61" s="213">
        <f>'Staging Table'!ED63*IF(Init!$R$15="Yes",IF(Init!$R$6=2022,Rates_current!$C$88,Rates_current!$D$88),Rates_current!$H$33)</f>
        <v>0</v>
      </c>
      <c r="T61" s="213">
        <v>0</v>
      </c>
      <c r="U61" s="213">
        <f>IF('Staging Table'!D63=1, 'Staging Table'!BU63*-1*'Staging Table'!BS63/'Staging Table'!BR63,SUM(O61:T61)*'Staging Table'!BU63*-1)</f>
        <v>-796799.28217971965</v>
      </c>
      <c r="V61" s="211">
        <f>'Staging Table'!BX63*Rates_current!$H$32*-1</f>
        <v>-482978.95640000002</v>
      </c>
      <c r="W61" s="211" t="str">
        <f>IF('Staging Table'!C63=1,"", SUM(O61:V61))</f>
        <v/>
      </c>
      <c r="X61" s="211" t="str">
        <f>IF('Staging Table'!C63=1,"", (RT1SC!$C$4*'Staging Table'!BS63*'Staging Table'!$BS$2)+SUM('Staging Table'!BY63:CV63)-IF(Init!$R$12="No",'Staging Table'!DU63, 0))</f>
        <v/>
      </c>
      <c r="Y61" s="95" t="str">
        <f>IF('Staging Table'!C63=1,"",IF(X61=0, 0, W61/X61))</f>
        <v/>
      </c>
      <c r="Z61" s="87" t="str">
        <f ca="1">IF('Staging Table'!C63=1,"",(Y61/N61-1)+(RAND()/100000000000000))</f>
        <v/>
      </c>
      <c r="AA61" s="53" t="str">
        <f t="shared" ca="1" si="0"/>
        <v/>
      </c>
      <c r="AC61" s="421"/>
      <c r="AD61" s="216"/>
      <c r="AE61" s="216"/>
      <c r="AG61" s="216"/>
      <c r="AH61" s="216"/>
    </row>
    <row r="62" spans="2:34">
      <c r="B62" s="135">
        <v>10174</v>
      </c>
      <c r="C62" s="136" t="s">
        <v>65</v>
      </c>
      <c r="D62" s="211">
        <f>IF(Init!$R$9="Yes",'Staging Table'!F64,'Staging Table'!BS64)*Rates_previous!$E$76*100*12</f>
        <v>168267.78288000001</v>
      </c>
      <c r="E62" s="211">
        <f>IF(Init!$R$9="Yes",'Staging Table'!F64,'Staging Table'!BS64)*Rates_previous!$E$77*100*12</f>
        <v>-17023.010399999999</v>
      </c>
      <c r="F62" s="212">
        <f>IF(Init!$R$9="Yes",SUMPRODUCT('Staging Table'!L64:AI64,LS_Demand_Rates_Restatement!$C$4:$Z$4)-IF(Init!$R$12="No",('Staging Table'!BH64*Rates_previous!$H$34), 0),SUMPRODUCT('Staging Table'!BY64:CV64,LS_Demand_Rates_Restatement!$C$4:$Z$4)-IF(Init!$R$12="No", 'Staging Table'!DU64*Rates_previous!$H$34, 0))</f>
        <v>1435.6032595246907</v>
      </c>
      <c r="G62" s="212">
        <f>IF(Init!$R$9="Yes",SUMPRODUCT('Staging Table'!AJ64:AU64,LS_Demand_Rates_Restatement!$C$10:$N$10),SUMPRODUCT(LS_Demand_Rates_Restatement!$C$10:$N$10,'Staging Table'!CW64:DH64))*1000</f>
        <v>9702.6188298433044</v>
      </c>
      <c r="H62" s="213">
        <f>IF(Init!$R$9="Yes",'Staging Table'!BQ64,'Staging Table'!ED64)*IF(Init!$R$3=2020,Rates_previous!$C$88,Rates_previous!$D$88)</f>
        <v>-786.86545218594586</v>
      </c>
      <c r="I62" s="211">
        <f>IF(Init!$R$9="Yes",IF('Staging Table'!$F$1=2020,(SUM('Staging Table'!AX64:BD64)*Rates_previous!$C$87),(SUM('Staging Table'!AX64:BD64)*Rates_previous!$D$87)),IF('Staging Table'!$F$1=2020,(SUM('Staging Table'!DK64:DQ64)*Rates_previous!$C$87),(SUM('Staging Table'!DK64:DQ64)*Rates_previous!$D$87)))</f>
        <v>2064.1672400761804</v>
      </c>
      <c r="J62" s="213">
        <f>IF(Init!$R$9="Yes",IF('Staging Table'!D64=1,'Staging Table'!H64*-1*'Staging Table'!BS64/'Staging Table'!BR64,'Staging Table'!H64*SUM(D62:I62)*(-1)),IF('Staging Table'!D64=1,'Staging Table'!BU64*-1*'Staging Table'!BS64/'Staging Table'!BR64,'Staging Table'!BU64*SUM(D62:I62)*(-1)))</f>
        <v>0</v>
      </c>
      <c r="K62" s="211">
        <f>IF(Init!$R$9="Yes",'Staging Table'!K64,'Staging Table'!BX64)*(-1)*Rates_previous!$H$32</f>
        <v>0</v>
      </c>
      <c r="L62" s="211">
        <f>IF('Staging Table'!C64=1,"",SUM(D62:K62))</f>
        <v>163660.29635725822</v>
      </c>
      <c r="M62" s="211">
        <f>IF('Staging Table'!C64=1,"",IF(Init!$R$9="Yes",(RT1SC!$C$3*'Staging Table'!F64*'Staging Table'!$F$2)+SUM('Staging Table'!L64:AI64)-IF(Init!$R$12="No",'Staging Table'!BH64, 0),X62))</f>
        <v>4315.4011639728005</v>
      </c>
      <c r="N62" s="95">
        <f>IF('Staging Table'!C64=1,"",IF(M62=0, 0, L62/M62))</f>
        <v>37.924700424975313</v>
      </c>
      <c r="O62" s="211">
        <f>'Staging Table'!BS64*Rates_current!$E$76*100*12</f>
        <v>172183.63748890749</v>
      </c>
      <c r="P62" s="211">
        <f>'Staging Table'!BS64*Rates_current!$E$77*100*12</f>
        <v>-28427.931703049318</v>
      </c>
      <c r="Q62" s="212">
        <f>SUMPRODUCT('Staging Table'!BY64:CV64, LS_Demand_Rates_Restatement!$C$5:$Z$5)-IF(Init!$R$12="No",('Staging Table'!DU64*Rates_current!$H$34), 0)</f>
        <v>2537.788389757739</v>
      </c>
      <c r="R62" s="212">
        <f>SUMPRODUCT('Staging Table'!CW64:DH64, LS_Demand_Rates_Restatement!$C$11:$N$11)*1000</f>
        <v>9112.917106775285</v>
      </c>
      <c r="S62" s="213">
        <f>'Staging Table'!ED64*IF(Init!$R$15="Yes",IF(Init!$R$6=2022,Rates_current!$C$88,Rates_current!$D$88),Rates_current!$H$33)</f>
        <v>0</v>
      </c>
      <c r="T62" s="213">
        <v>0</v>
      </c>
      <c r="U62" s="213">
        <f>IF('Staging Table'!D64=1, 'Staging Table'!BU64*-1*'Staging Table'!BS64/'Staging Table'!BR64,SUM(O62:T62)*'Staging Table'!BU64*-1)</f>
        <v>0</v>
      </c>
      <c r="V62" s="211">
        <f>'Staging Table'!BX64*Rates_current!$H$32*-1</f>
        <v>0</v>
      </c>
      <c r="W62" s="211">
        <f>IF('Staging Table'!C64=1,"", SUM(O62:V62))</f>
        <v>155406.4112823912</v>
      </c>
      <c r="X62" s="211">
        <f>IF('Staging Table'!C64=1,"", (RT1SC!$C$4*'Staging Table'!BS64*'Staging Table'!$BS$2)+SUM('Staging Table'!BY64:CV64)-IF(Init!$R$12="No",'Staging Table'!DU64, 0))</f>
        <v>4239.84</v>
      </c>
      <c r="Y62" s="95">
        <f>IF('Staging Table'!C64=1,"",IF(X62=0, 0, W62/X62))</f>
        <v>36.653838654852827</v>
      </c>
      <c r="Z62" s="87">
        <f ca="1">IF('Staging Table'!C64=1,"",(Y62/N62-1)+(RAND()/100000000000000))</f>
        <v>-3.3510133392780653E-2</v>
      </c>
      <c r="AA62" s="53">
        <f t="shared" ca="1" si="0"/>
        <v>27</v>
      </c>
      <c r="AC62" s="421"/>
      <c r="AD62" s="216"/>
      <c r="AE62" s="216"/>
      <c r="AG62" s="216"/>
      <c r="AH62" s="216"/>
    </row>
    <row r="63" spans="2:34">
      <c r="B63" s="135">
        <v>10177</v>
      </c>
      <c r="C63" s="136" t="s">
        <v>66</v>
      </c>
      <c r="D63" s="211">
        <f>IF(Init!$R$9="Yes",'Staging Table'!F65,'Staging Table'!BS65)*Rates_previous!$E$76*100*12</f>
        <v>3111052.6524</v>
      </c>
      <c r="E63" s="211">
        <f>IF(Init!$R$9="Yes",'Staging Table'!F65,'Staging Table'!BS65)*Rates_previous!$E$77*100*12</f>
        <v>-314733.342</v>
      </c>
      <c r="F63" s="212">
        <f>IF(Init!$R$9="Yes",SUMPRODUCT('Staging Table'!L65:AI65,LS_Demand_Rates_Restatement!$C$4:$Z$4)-IF(Init!$R$12="No",('Staging Table'!BH65*Rates_previous!$H$34), 0),SUMPRODUCT('Staging Table'!BY65:CV65,LS_Demand_Rates_Restatement!$C$4:$Z$4)-IF(Init!$R$12="No", 'Staging Table'!DU65*Rates_previous!$H$34, 0))</f>
        <v>-111195.86326353368</v>
      </c>
      <c r="G63" s="212">
        <f>IF(Init!$R$9="Yes",SUMPRODUCT('Staging Table'!AJ65:AU65,LS_Demand_Rates_Restatement!$C$10:$N$10),SUMPRODUCT(LS_Demand_Rates_Restatement!$C$10:$N$10,'Staging Table'!CW65:DH65))*1000</f>
        <v>66439.040459615469</v>
      </c>
      <c r="H63" s="213">
        <f>IF(Init!$R$9="Yes",'Staging Table'!BQ65,'Staging Table'!ED65)*IF(Init!$R$3=2020,Rates_previous!$C$88,Rates_previous!$D$88)</f>
        <v>-133402.05850445511</v>
      </c>
      <c r="I63" s="211">
        <f>IF(Init!$R$9="Yes",IF('Staging Table'!$F$1=2020,(SUM('Staging Table'!AX65:BD65)*Rates_previous!$C$87),(SUM('Staging Table'!AX65:BD65)*Rates_previous!$D$87)),IF('Staging Table'!$F$1=2020,(SUM('Staging Table'!DK65:DQ65)*Rates_previous!$C$87),(SUM('Staging Table'!DK65:DQ65)*Rates_previous!$D$87)))</f>
        <v>38163.770017792653</v>
      </c>
      <c r="J63" s="213">
        <f>IF(Init!$R$9="Yes",IF('Staging Table'!D65=1,'Staging Table'!H65*-1*'Staging Table'!BS65/'Staging Table'!BR65,'Staging Table'!H65*SUM(D63:I63)*(-1)),IF('Staging Table'!D65=1,'Staging Table'!BU65*-1*'Staging Table'!BS65/'Staging Table'!BR65,'Staging Table'!BU65*SUM(D63:I63)*(-1)))</f>
        <v>-185942.69393765935</v>
      </c>
      <c r="K63" s="211">
        <f>IF(Init!$R$9="Yes",'Staging Table'!K65,'Staging Table'!BX65)*(-1)*Rates_previous!$H$32</f>
        <v>0</v>
      </c>
      <c r="L63" s="211">
        <f>IF('Staging Table'!C65=1,"",SUM(D63:K63))</f>
        <v>2470381.50517176</v>
      </c>
      <c r="M63" s="211">
        <f>IF('Staging Table'!C65=1,"",IF(Init!$R$9="Yes",(RT1SC!$C$3*'Staging Table'!F65*'Staging Table'!$F$2)+SUM('Staging Table'!L65:AI65)-IF(Init!$R$12="No",'Staging Table'!BH65, 0),X63))</f>
        <v>72250.230031643994</v>
      </c>
      <c r="N63" s="95">
        <f>IF('Staging Table'!C65=1,"",IF(M63=0, 0, L63/M63))</f>
        <v>34.192022697917885</v>
      </c>
      <c r="O63" s="211">
        <f>'Staging Table'!BS65*Rates_current!$E$76*100*12</f>
        <v>3170768.8786606342</v>
      </c>
      <c r="P63" s="211">
        <f>'Staging Table'!BS65*Rates_current!$E$77*100*12</f>
        <v>-523501.55010824249</v>
      </c>
      <c r="Q63" s="212">
        <f>SUMPRODUCT('Staging Table'!BY65:CV65, LS_Demand_Rates_Restatement!$C$5:$Z$5)-IF(Init!$R$12="No",('Staging Table'!DU65*Rates_current!$H$34), 0)</f>
        <v>-109776.3660976986</v>
      </c>
      <c r="R63" s="212">
        <f>SUMPRODUCT('Staging Table'!CW65:DH65, LS_Demand_Rates_Restatement!$C$11:$N$11)*1000</f>
        <v>61440.986680493283</v>
      </c>
      <c r="S63" s="213">
        <f>'Staging Table'!ED65*IF(Init!$R$15="Yes",IF(Init!$R$6=2022,Rates_current!$C$88,Rates_current!$D$88),Rates_current!$H$33)</f>
        <v>-35285.793843467844</v>
      </c>
      <c r="T63" s="213">
        <v>0</v>
      </c>
      <c r="U63" s="213">
        <f>IF('Staging Table'!D65=1, 'Staging Table'!BU65*-1*'Staging Table'!BS65/'Staging Table'!BR65,SUM(O63:T63)*'Staging Table'!BU65*-1)</f>
        <v>-179455.23087042035</v>
      </c>
      <c r="V63" s="211">
        <f>'Staging Table'!BX65*Rates_current!$H$32*-1</f>
        <v>0</v>
      </c>
      <c r="W63" s="211">
        <f>IF('Staging Table'!C65=1,"", SUM(O63:V63))</f>
        <v>2384190.9244212983</v>
      </c>
      <c r="X63" s="211">
        <f>IF('Staging Table'!C65=1,"", (RT1SC!$C$4*'Staging Table'!BS65*'Staging Table'!$BS$2)+SUM('Staging Table'!BY65:CV65)-IF(Init!$R$12="No",'Staging Table'!DU65, 0))</f>
        <v>72250.230991249133</v>
      </c>
      <c r="Y63" s="95">
        <f>IF('Staging Table'!C65=1,"",IF(X63=0, 0, W63/X63))</f>
        <v>32.999076843229318</v>
      </c>
      <c r="Z63" s="87">
        <f ca="1">IF('Staging Table'!C65=1,"",(Y63/N63-1)+(RAND()/100000000000000))</f>
        <v>-3.4889595892816629E-2</v>
      </c>
      <c r="AA63" s="53">
        <f t="shared" ca="1" si="0"/>
        <v>37</v>
      </c>
      <c r="AC63" s="421"/>
      <c r="AD63" s="216"/>
      <c r="AE63" s="216"/>
      <c r="AG63" s="216"/>
      <c r="AH63" s="216"/>
    </row>
    <row r="64" spans="2:34">
      <c r="B64" s="135">
        <v>10179</v>
      </c>
      <c r="C64" s="136" t="s">
        <v>67</v>
      </c>
      <c r="D64" s="211">
        <f>IF(Init!$R$9="Yes",'Staging Table'!F66,'Staging Table'!BS66)*Rates_previous!$E$76*100*12</f>
        <v>56143448.890080005</v>
      </c>
      <c r="E64" s="211">
        <f>IF(Init!$R$9="Yes",'Staging Table'!F66,'Staging Table'!BS66)*Rates_previous!$E$77*100*12</f>
        <v>-5679818.7863999996</v>
      </c>
      <c r="F64" s="212">
        <f>IF(Init!$R$9="Yes",SUMPRODUCT('Staging Table'!L66:AI66,LS_Demand_Rates_Restatement!$C$4:$Z$4)-IF(Init!$R$12="No",('Staging Table'!BH66*Rates_previous!$H$34), 0),SUMPRODUCT('Staging Table'!BY66:CV66,LS_Demand_Rates_Restatement!$C$4:$Z$4)-IF(Init!$R$12="No", 'Staging Table'!DU66*Rates_previous!$H$34, 0))</f>
        <v>1038613.6602813771</v>
      </c>
      <c r="G64" s="212">
        <f>IF(Init!$R$9="Yes",SUMPRODUCT('Staging Table'!AJ66:AU66,LS_Demand_Rates_Restatement!$C$10:$N$10),SUMPRODUCT(LS_Demand_Rates_Restatement!$C$10:$N$10,'Staging Table'!CW66:DH66))*1000</f>
        <v>5266292.4666347224</v>
      </c>
      <c r="H64" s="213">
        <f>IF(Init!$R$9="Yes",'Staging Table'!BQ66,'Staging Table'!ED66)*IF(Init!$R$3=2020,Rates_previous!$C$88,Rates_previous!$D$88)</f>
        <v>0</v>
      </c>
      <c r="I64" s="211">
        <f>IF(Init!$R$9="Yes",IF('Staging Table'!$F$1=2020,(SUM('Staging Table'!AX66:BD66)*Rates_previous!$C$87),(SUM('Staging Table'!AX66:BD66)*Rates_previous!$D$87)),IF('Staging Table'!$F$1=2020,(SUM('Staging Table'!DK66:DQ66)*Rates_previous!$C$87),(SUM('Staging Table'!DK66:DQ66)*Rates_previous!$D$87)))</f>
        <v>688720.47851513547</v>
      </c>
      <c r="J64" s="213">
        <f>IF(Init!$R$9="Yes",IF('Staging Table'!D66=1,'Staging Table'!H66*-1*'Staging Table'!BS66/'Staging Table'!BR66,'Staging Table'!H66*SUM(D64:I64)*(-1)),IF('Staging Table'!D66=1,'Staging Table'!BU66*-1*'Staging Table'!BS66/'Staging Table'!BR66,'Staging Table'!BU66*SUM(D64:I64)*(-1)))</f>
        <v>0</v>
      </c>
      <c r="K64" s="211">
        <f>IF(Init!$R$9="Yes",'Staging Table'!K66,'Staging Table'!BX66)*(-1)*Rates_previous!$H$32</f>
        <v>0</v>
      </c>
      <c r="L64" s="211">
        <f>IF('Staging Table'!C66=1,"",SUM(D64:K64))</f>
        <v>57457256.709111236</v>
      </c>
      <c r="M64" s="211">
        <f>IF('Staging Table'!C66=1,"",IF(Init!$R$9="Yes",(RT1SC!$C$3*'Staging Table'!F66*'Staging Table'!$F$2)+SUM('Staging Table'!L66:AI66)-IF(Init!$R$12="No",'Staging Table'!BH66, 0),X64))</f>
        <v>1457608.176</v>
      </c>
      <c r="N64" s="95">
        <f>IF('Staging Table'!C66=1,"",IF(M64=0, 0, L64/M64))</f>
        <v>39.418862802201538</v>
      </c>
      <c r="O64" s="211">
        <f>'Staging Table'!BS66*Rates_current!$E$76*100*12</f>
        <v>56649855.594330966</v>
      </c>
      <c r="P64" s="211">
        <f>'Staging Table'!BS66*Rates_current!$E$77*100*12</f>
        <v>-9353027.0896210782</v>
      </c>
      <c r="Q64" s="212">
        <f>SUMPRODUCT('Staging Table'!BY66:CV66, LS_Demand_Rates_Restatement!$C$5:$Z$5)-IF(Init!$R$12="No",('Staging Table'!DU66*Rates_current!$H$34), 0)</f>
        <v>53771.000235118874</v>
      </c>
      <c r="R64" s="212">
        <f>SUMPRODUCT('Staging Table'!CW66:DH66, LS_Demand_Rates_Restatement!$C$11:$N$11)*1000</f>
        <v>4832783.6024852823</v>
      </c>
      <c r="S64" s="213">
        <f>'Staging Table'!ED66*IF(Init!$R$15="Yes",IF(Init!$R$6=2022,Rates_current!$C$88,Rates_current!$D$88),Rates_current!$H$33)</f>
        <v>0</v>
      </c>
      <c r="T64" s="213">
        <v>0</v>
      </c>
      <c r="U64" s="213">
        <f>IF('Staging Table'!D66=1, 'Staging Table'!BU66*-1*'Staging Table'!BS66/'Staging Table'!BR66,SUM(O64:T64)*'Staging Table'!BU66*-1)</f>
        <v>0</v>
      </c>
      <c r="V64" s="211">
        <f>'Staging Table'!BX66*Rates_current!$H$32*-1</f>
        <v>0</v>
      </c>
      <c r="W64" s="211">
        <f>IF('Staging Table'!C66=1,"", SUM(O64:V64))</f>
        <v>52183383.107430287</v>
      </c>
      <c r="X64" s="211">
        <f>IF('Staging Table'!C66=1,"", (RT1SC!$C$4*'Staging Table'!BS66*'Staging Table'!$BS$2)+SUM('Staging Table'!BY66:CV66)-IF(Init!$R$12="No",'Staging Table'!DU66, 0))</f>
        <v>1361274.2643087881</v>
      </c>
      <c r="Y64" s="95">
        <f>IF('Staging Table'!C66=1,"",IF(X64=0, 0, W64/X64))</f>
        <v>38.334217046208067</v>
      </c>
      <c r="Z64" s="87">
        <f ca="1">IF('Staging Table'!C66=1,"",(Y64/N64-1)+(RAND()/100000000000000))</f>
        <v>-2.7515906824506404E-2</v>
      </c>
      <c r="AA64" s="53">
        <f t="shared" ca="1" si="0"/>
        <v>5</v>
      </c>
      <c r="AC64" s="421"/>
      <c r="AD64" s="216"/>
      <c r="AE64" s="216"/>
      <c r="AG64" s="216"/>
      <c r="AH64" s="216"/>
    </row>
    <row r="65" spans="2:34">
      <c r="B65" s="135">
        <v>10183</v>
      </c>
      <c r="C65" s="136" t="s">
        <v>68</v>
      </c>
      <c r="D65" s="211">
        <f>IF(Init!$R$9="Yes",'Staging Table'!F67,'Staging Table'!BS67)*Rates_previous!$E$76*100*12</f>
        <v>20981186.260799997</v>
      </c>
      <c r="E65" s="211">
        <f>IF(Init!$R$9="Yes",'Staging Table'!F67,'Staging Table'!BS67)*Rates_previous!$E$77*100*12</f>
        <v>-2122586.6639999999</v>
      </c>
      <c r="F65" s="212">
        <f>IF(Init!$R$9="Yes",SUMPRODUCT('Staging Table'!L67:AI67,LS_Demand_Rates_Restatement!$C$4:$Z$4)-IF(Init!$R$12="No",('Staging Table'!BH67*Rates_previous!$H$34), 0),SUMPRODUCT('Staging Table'!BY67:CV67,LS_Demand_Rates_Restatement!$C$4:$Z$4)-IF(Init!$R$12="No", 'Staging Table'!DU67*Rates_previous!$H$34, 0))</f>
        <v>-88449.257282197519</v>
      </c>
      <c r="G65" s="212">
        <f>IF(Init!$R$9="Yes",SUMPRODUCT('Staging Table'!AJ67:AU67,LS_Demand_Rates_Restatement!$C$10:$N$10),SUMPRODUCT(LS_Demand_Rates_Restatement!$C$10:$N$10,'Staging Table'!CW67:DH67))*1000</f>
        <v>0</v>
      </c>
      <c r="H65" s="213">
        <f>IF(Init!$R$9="Yes",'Staging Table'!BQ67,'Staging Table'!ED67)*IF(Init!$R$3=2020,Rates_previous!$C$88,Rates_previous!$D$88)</f>
        <v>0</v>
      </c>
      <c r="I65" s="211">
        <f>IF(Init!$R$9="Yes",IF('Staging Table'!$F$1=2020,(SUM('Staging Table'!AX67:BD67)*Rates_previous!$C$87),(SUM('Staging Table'!AX67:BD67)*Rates_previous!$D$87)),IF('Staging Table'!$F$1=2020,(SUM('Staging Table'!DK67:DQ67)*Rates_previous!$C$87),(SUM('Staging Table'!DK67:DQ67)*Rates_previous!$D$87)))</f>
        <v>257379.49711006379</v>
      </c>
      <c r="J65" s="213">
        <f>IF(Init!$R$9="Yes",IF('Staging Table'!D67=1,'Staging Table'!H67*-1*'Staging Table'!BS67/'Staging Table'!BR67,'Staging Table'!H67*SUM(D65:I65)*(-1)),IF('Staging Table'!D67=1,'Staging Table'!BU67*-1*'Staging Table'!BS67/'Staging Table'!BR67,'Staging Table'!BU67*SUM(D65:I65)*(-1)))</f>
        <v>0</v>
      </c>
      <c r="K65" s="211">
        <f>IF(Init!$R$9="Yes",'Staging Table'!K67,'Staging Table'!BX67)*(-1)*Rates_previous!$H$32</f>
        <v>-1048864.5141699999</v>
      </c>
      <c r="L65" s="211">
        <f>IF('Staging Table'!C67=1,"",SUM(D65:K65))</f>
        <v>17978665.322457865</v>
      </c>
      <c r="M65" s="211">
        <f>IF('Staging Table'!C67=1,"",IF(Init!$R$9="Yes",(RT1SC!$C$3*'Staging Table'!F67*'Staging Table'!$F$2)+SUM('Staging Table'!L67:AI67)-IF(Init!$R$12="No",'Staging Table'!BH67, 0),X65))</f>
        <v>544718.39663243387</v>
      </c>
      <c r="N65" s="95">
        <f>IF('Staging Table'!C67=1,"",IF(M65=0, 0, L65/M65))</f>
        <v>33.005430757627863</v>
      </c>
      <c r="O65" s="211">
        <f>'Staging Table'!BS67*Rates_current!$E$76*100*12</f>
        <v>21170673.678493369</v>
      </c>
      <c r="P65" s="211">
        <f>'Staging Table'!BS67*Rates_current!$E$77*100*12</f>
        <v>-3495329.0232268749</v>
      </c>
      <c r="Q65" s="212">
        <f>SUMPRODUCT('Staging Table'!BY67:CV67, LS_Demand_Rates_Restatement!$C$5:$Z$5)-IF(Init!$R$12="No",('Staging Table'!DU67*Rates_current!$H$34), 0)</f>
        <v>-137551.7344772483</v>
      </c>
      <c r="R65" s="212">
        <f>SUMPRODUCT('Staging Table'!CW67:DH67, LS_Demand_Rates_Restatement!$C$11:$N$11)*1000</f>
        <v>0</v>
      </c>
      <c r="S65" s="213">
        <f>'Staging Table'!ED67*IF(Init!$R$15="Yes",IF(Init!$R$6=2022,Rates_current!$C$88,Rates_current!$D$88),Rates_current!$H$33)</f>
        <v>0</v>
      </c>
      <c r="T65" s="213">
        <v>0</v>
      </c>
      <c r="U65" s="213">
        <f>IF('Staging Table'!D67=1, 'Staging Table'!BU67*-1*'Staging Table'!BS67/'Staging Table'!BR67,SUM(O65:T65)*'Staging Table'!BU67*-1)</f>
        <v>0</v>
      </c>
      <c r="V65" s="211">
        <f>'Staging Table'!BX67*Rates_current!$H$32*-1</f>
        <v>-1029038.9923</v>
      </c>
      <c r="W65" s="211">
        <f>IF('Staging Table'!C67=1,"", SUM(O65:V65))</f>
        <v>16508753.928489245</v>
      </c>
      <c r="X65" s="211">
        <f>IF('Staging Table'!C67=1,"", (RT1SC!$C$4*'Staging Table'!BS67*'Staging Table'!$BS$2)+SUM('Staging Table'!BY67:CV67)-IF(Init!$R$12="No",'Staging Table'!DU67, 0))</f>
        <v>520949.6427114135</v>
      </c>
      <c r="Y65" s="95">
        <f>IF('Staging Table'!C67=1,"",IF(X65=0, 0, W65/X65))</f>
        <v>31.689730781972095</v>
      </c>
      <c r="Z65" s="87">
        <f ca="1">IF('Staging Table'!C67=1,"",(Y65/N65-1)+(RAND()/100000000000000))</f>
        <v>-3.9863136018958176E-2</v>
      </c>
      <c r="AA65" s="53">
        <f t="shared" ca="1" si="0"/>
        <v>85</v>
      </c>
      <c r="AC65" s="421"/>
      <c r="AD65" s="216"/>
      <c r="AE65" s="216"/>
      <c r="AG65" s="216"/>
      <c r="AH65" s="216"/>
    </row>
    <row r="66" spans="2:34">
      <c r="B66" s="135">
        <v>10186</v>
      </c>
      <c r="C66" s="136" t="s">
        <v>69</v>
      </c>
      <c r="D66" s="211">
        <f>IF(Init!$R$9="Yes",'Staging Table'!F68,'Staging Table'!BS68)*Rates_previous!$E$76*100*12</f>
        <v>6025079.8923599999</v>
      </c>
      <c r="E66" s="211">
        <f>IF(Init!$R$9="Yes",'Staging Table'!F68,'Staging Table'!BS68)*Rates_previous!$E$77*100*12</f>
        <v>-609534.37380000006</v>
      </c>
      <c r="F66" s="212">
        <f>IF(Init!$R$9="Yes",SUMPRODUCT('Staging Table'!L68:AI68,LS_Demand_Rates_Restatement!$C$4:$Z$4)-IF(Init!$R$12="No",('Staging Table'!BH68*Rates_previous!$H$34), 0),SUMPRODUCT('Staging Table'!BY68:CV68,LS_Demand_Rates_Restatement!$C$4:$Z$4)-IF(Init!$R$12="No", 'Staging Table'!DU68*Rates_previous!$H$34, 0))</f>
        <v>-15797.469183290608</v>
      </c>
      <c r="G66" s="212">
        <f>IF(Init!$R$9="Yes",SUMPRODUCT('Staging Table'!AJ68:AU68,LS_Demand_Rates_Restatement!$C$10:$N$10),SUMPRODUCT(LS_Demand_Rates_Restatement!$C$10:$N$10,'Staging Table'!CW68:DH68))*1000</f>
        <v>360493.90152660257</v>
      </c>
      <c r="H66" s="213">
        <f>IF(Init!$R$9="Yes",'Staging Table'!BQ68,'Staging Table'!ED68)*IF(Init!$R$3=2020,Rates_previous!$C$88,Rates_previous!$D$88)</f>
        <v>-57954.091535573527</v>
      </c>
      <c r="I66" s="211">
        <f>IF(Init!$R$9="Yes",IF('Staging Table'!$F$1=2020,(SUM('Staging Table'!AX68:BD68)*Rates_previous!$C$87),(SUM('Staging Table'!AX68:BD68)*Rates_previous!$D$87)),IF('Staging Table'!$F$1=2020,(SUM('Staging Table'!DK68:DQ68)*Rates_previous!$C$87),(SUM('Staging Table'!DK68:DQ68)*Rates_previous!$D$87)))</f>
        <v>73910.59845080685</v>
      </c>
      <c r="J66" s="213">
        <f>IF(Init!$R$9="Yes",IF('Staging Table'!D68=1,'Staging Table'!H68*-1*'Staging Table'!BS68/'Staging Table'!BR68,'Staging Table'!H68*SUM(D66:I66)*(-1)),IF('Staging Table'!D68=1,'Staging Table'!BU68*-1*'Staging Table'!BS68/'Staging Table'!BR68,'Staging Table'!BU68*SUM(D66:I66)*(-1)))</f>
        <v>-404333.8920472982</v>
      </c>
      <c r="K66" s="211">
        <f>IF(Init!$R$9="Yes",'Staging Table'!K68,'Staging Table'!BX68)*(-1)*Rates_previous!$H$32</f>
        <v>0</v>
      </c>
      <c r="L66" s="211">
        <f>IF('Staging Table'!C68=1,"",SUM(D66:K66))</f>
        <v>5371864.5657712473</v>
      </c>
      <c r="M66" s="211">
        <f>IF('Staging Table'!C68=1,"",IF(Init!$R$9="Yes",(RT1SC!$C$3*'Staging Table'!F68*'Staging Table'!$F$2)+SUM('Staging Table'!L68:AI68)-IF(Init!$R$12="No",'Staging Table'!BH68, 0),X66))</f>
        <v>152724.69987129161</v>
      </c>
      <c r="N66" s="95">
        <f>IF('Staging Table'!C68=1,"",IF(M66=0, 0, L66/M66))</f>
        <v>35.173515287955212</v>
      </c>
      <c r="O66" s="211">
        <f>'Staging Table'!BS68*Rates_current!$E$76*100*12</f>
        <v>6461922.4175154632</v>
      </c>
      <c r="P66" s="211">
        <f>'Staging Table'!BS68*Rates_current!$E$77*100*12</f>
        <v>-1066878.8964768343</v>
      </c>
      <c r="Q66" s="212">
        <f>SUMPRODUCT('Staging Table'!BY68:CV68, LS_Demand_Rates_Restatement!$C$5:$Z$5)-IF(Init!$R$12="No",('Staging Table'!DU68*Rates_current!$H$34), 0)</f>
        <v>-134090.78181081338</v>
      </c>
      <c r="R66" s="212">
        <f>SUMPRODUCT('Staging Table'!CW68:DH68, LS_Demand_Rates_Restatement!$C$11:$N$11)*1000</f>
        <v>337914.27682721691</v>
      </c>
      <c r="S66" s="213">
        <f>'Staging Table'!ED68*IF(Init!$R$15="Yes",IF(Init!$R$6=2022,Rates_current!$C$88,Rates_current!$D$88),Rates_current!$H$33)</f>
        <v>-38412.457161051752</v>
      </c>
      <c r="T66" s="213">
        <v>0</v>
      </c>
      <c r="U66" s="213">
        <f>IF('Staging Table'!D68=1, 'Staging Table'!BU68*-1*'Staging Table'!BS68/'Staging Table'!BR68,SUM(O66:T66)*'Staging Table'!BU68*-1)</f>
        <v>-389231.81912257866</v>
      </c>
      <c r="V66" s="211">
        <f>'Staging Table'!BX68*Rates_current!$H$32*-1</f>
        <v>0</v>
      </c>
      <c r="W66" s="211">
        <f>IF('Staging Table'!C68=1,"", SUM(O66:V66))</f>
        <v>5171222.7397714015</v>
      </c>
      <c r="X66" s="211">
        <f>IF('Staging Table'!C68=1,"", (RT1SC!$C$4*'Staging Table'!BS68*'Staging Table'!$BS$2)+SUM('Staging Table'!BY68:CV68)-IF(Init!$R$12="No",'Staging Table'!DU68, 0))</f>
        <v>152724.7021340341</v>
      </c>
      <c r="Y66" s="95">
        <f>IF('Staging Table'!C68=1,"",IF(X66=0, 0, W66/X66))</f>
        <v>33.859766413117889</v>
      </c>
      <c r="Z66" s="87">
        <f ca="1">IF('Staging Table'!C68=1,"",(Y66/N66-1)+(RAND()/100000000000000))</f>
        <v>-3.7350513989910863E-2</v>
      </c>
      <c r="AA66" s="53">
        <f t="shared" ca="1" si="0"/>
        <v>67</v>
      </c>
      <c r="AC66" s="421"/>
      <c r="AD66" s="216"/>
      <c r="AE66" s="216"/>
      <c r="AG66" s="216"/>
      <c r="AH66" s="216"/>
    </row>
    <row r="67" spans="2:34">
      <c r="B67" s="135">
        <v>10190</v>
      </c>
      <c r="C67" s="136" t="s">
        <v>70</v>
      </c>
      <c r="D67" s="211">
        <f>IF(Init!$R$9="Yes",'Staging Table'!F69,'Staging Table'!BS69)*Rates_previous!$E$76*100*12</f>
        <v>1747085.41236</v>
      </c>
      <c r="E67" s="211">
        <f>IF(Init!$R$9="Yes",'Staging Table'!F69,'Staging Table'!BS69)*Rates_previous!$E$77*100*12</f>
        <v>-176745.97380000004</v>
      </c>
      <c r="F67" s="212">
        <f>IF(Init!$R$9="Yes",SUMPRODUCT('Staging Table'!L69:AI69,LS_Demand_Rates_Restatement!$C$4:$Z$4)-IF(Init!$R$12="No",('Staging Table'!BH69*Rates_previous!$H$34), 0),SUMPRODUCT('Staging Table'!BY69:CV69,LS_Demand_Rates_Restatement!$C$4:$Z$4)-IF(Init!$R$12="No", 'Staging Table'!DU69*Rates_previous!$H$34, 0))</f>
        <v>43653.577078185044</v>
      </c>
      <c r="G67" s="212">
        <f>IF(Init!$R$9="Yes",SUMPRODUCT('Staging Table'!AJ69:AU69,LS_Demand_Rates_Restatement!$C$10:$N$10),SUMPRODUCT(LS_Demand_Rates_Restatement!$C$10:$N$10,'Staging Table'!CW69:DH69))*1000</f>
        <v>182191.46226193022</v>
      </c>
      <c r="H67" s="213">
        <f>IF(Init!$R$9="Yes",'Staging Table'!BQ69,'Staging Table'!ED69)*IF(Init!$R$3=2020,Rates_previous!$C$88,Rates_previous!$D$88)</f>
        <v>0</v>
      </c>
      <c r="I67" s="211">
        <f>IF(Init!$R$9="Yes",IF('Staging Table'!$F$1=2020,(SUM('Staging Table'!AX69:BD69)*Rates_previous!$C$87),(SUM('Staging Table'!AX69:BD69)*Rates_previous!$D$87)),IF('Staging Table'!$F$1=2020,(SUM('Staging Table'!DK69:DQ69)*Rates_previous!$C$87),(SUM('Staging Table'!DK69:DQ69)*Rates_previous!$D$87)))</f>
        <v>21431.770313276837</v>
      </c>
      <c r="J67" s="213">
        <f>IF(Init!$R$9="Yes",IF('Staging Table'!D69=1,'Staging Table'!H69*-1*'Staging Table'!BS69/'Staging Table'!BR69,'Staging Table'!H69*SUM(D67:I67)*(-1)),IF('Staging Table'!D69=1,'Staging Table'!BU69*-1*'Staging Table'!BS69/'Staging Table'!BR69,'Staging Table'!BU69*SUM(D67:I67)*(-1)))</f>
        <v>0</v>
      </c>
      <c r="K67" s="211">
        <f>IF(Init!$R$9="Yes",'Staging Table'!K69,'Staging Table'!BX69)*(-1)*Rates_previous!$H$32</f>
        <v>0</v>
      </c>
      <c r="L67" s="211">
        <f>IF('Staging Table'!C69=1,"",SUM(D67:K67))</f>
        <v>1817616.2482133922</v>
      </c>
      <c r="M67" s="211">
        <f>IF('Staging Table'!C69=1,"",IF(Init!$R$9="Yes",(RT1SC!$C$3*'Staging Table'!F69*'Staging Table'!$F$2)+SUM('Staging Table'!L69:AI69)-IF(Init!$R$12="No",'Staging Table'!BH69, 0),X67))</f>
        <v>45360.576000000001</v>
      </c>
      <c r="N67" s="95">
        <f>IF('Staging Table'!C69=1,"",IF(M67=0, 0, L67/M67))</f>
        <v>40.07039611254919</v>
      </c>
      <c r="O67" s="211">
        <f>'Staging Table'!BS69*Rates_current!$E$76*100*12</f>
        <v>1762843.898580723</v>
      </c>
      <c r="P67" s="211">
        <f>'Staging Table'!BS69*Rates_current!$E$77*100*12</f>
        <v>-291049.75758929743</v>
      </c>
      <c r="Q67" s="212">
        <f>SUMPRODUCT('Staging Table'!BY69:CV69, LS_Demand_Rates_Restatement!$C$5:$Z$5)-IF(Init!$R$12="No",('Staging Table'!DU69*Rates_current!$H$34), 0)</f>
        <v>46972.345895687467</v>
      </c>
      <c r="R67" s="212">
        <f>SUMPRODUCT('Staging Table'!CW69:DH69, LS_Demand_Rates_Restatement!$C$11:$N$11)*1000</f>
        <v>168359.64744088319</v>
      </c>
      <c r="S67" s="213">
        <f>'Staging Table'!ED69*IF(Init!$R$15="Yes",IF(Init!$R$6=2022,Rates_current!$C$88,Rates_current!$D$88),Rates_current!$H$33)</f>
        <v>0</v>
      </c>
      <c r="T67" s="213">
        <v>0</v>
      </c>
      <c r="U67" s="213">
        <f>IF('Staging Table'!D69=1, 'Staging Table'!BU69*-1*'Staging Table'!BS69/'Staging Table'!BR69,SUM(O67:T67)*'Staging Table'!BU69*-1)</f>
        <v>0</v>
      </c>
      <c r="V67" s="211">
        <f>'Staging Table'!BX69*Rates_current!$H$32*-1</f>
        <v>0</v>
      </c>
      <c r="W67" s="211">
        <f>IF('Staging Table'!C69=1,"", SUM(O67:V67))</f>
        <v>1687126.1343279963</v>
      </c>
      <c r="X67" s="211">
        <f>IF('Staging Table'!C69=1,"", (RT1SC!$C$4*'Staging Table'!BS69*'Staging Table'!$BS$2)+SUM('Staging Table'!BY69:CV69)-IF(Init!$R$12="No",'Staging Table'!DU69, 0))</f>
        <v>43379.519999999997</v>
      </c>
      <c r="Y67" s="95">
        <f>IF('Staging Table'!C69=1,"",IF(X67=0, 0, W67/X67))</f>
        <v>38.892226892505875</v>
      </c>
      <c r="Z67" s="87"/>
      <c r="AA67" s="53" t="str">
        <f t="shared" si="0"/>
        <v/>
      </c>
      <c r="AC67" s="421"/>
      <c r="AD67" s="216"/>
      <c r="AE67" s="216"/>
      <c r="AG67" s="216"/>
      <c r="AH67" s="216"/>
    </row>
    <row r="68" spans="2:34">
      <c r="B68" s="135">
        <v>10191</v>
      </c>
      <c r="C68" s="136" t="s">
        <v>71</v>
      </c>
      <c r="D68" s="211">
        <f>IF(Init!$R$9="Yes",'Staging Table'!F70,'Staging Table'!BS70)*Rates_previous!$E$76*100*12</f>
        <v>20581431.443280004</v>
      </c>
      <c r="E68" s="211">
        <f>IF(Init!$R$9="Yes",'Staging Table'!F70,'Staging Table'!BS70)*Rates_previous!$E$77*100*12</f>
        <v>-2082144.9924000003</v>
      </c>
      <c r="F68" s="212">
        <f>IF(Init!$R$9="Yes",SUMPRODUCT('Staging Table'!L70:AI70,LS_Demand_Rates_Restatement!$C$4:$Z$4)-IF(Init!$R$12="No",('Staging Table'!BH70*Rates_previous!$H$34), 0),SUMPRODUCT('Staging Table'!BY70:CV70,LS_Demand_Rates_Restatement!$C$4:$Z$4)-IF(Init!$R$12="No", 'Staging Table'!DU70*Rates_previous!$H$34, 0))</f>
        <v>153756.75671442569</v>
      </c>
      <c r="G68" s="212">
        <f>IF(Init!$R$9="Yes",SUMPRODUCT('Staging Table'!AJ70:AU70,LS_Demand_Rates_Restatement!$C$10:$N$10),SUMPRODUCT(LS_Demand_Rates_Restatement!$C$10:$N$10,'Staging Table'!CW70:DH70))*1000</f>
        <v>0</v>
      </c>
      <c r="H68" s="213">
        <f>IF(Init!$R$9="Yes",'Staging Table'!BQ70,'Staging Table'!ED70)*IF(Init!$R$3=2020,Rates_previous!$C$88,Rates_previous!$D$88)</f>
        <v>0</v>
      </c>
      <c r="I68" s="211">
        <f>IF(Init!$R$9="Yes",IF('Staging Table'!$F$1=2020,(SUM('Staging Table'!AX70:BD70)*Rates_previous!$C$87),(SUM('Staging Table'!AX70:BD70)*Rates_previous!$D$87)),IF('Staging Table'!$F$1=2020,(SUM('Staging Table'!DK70:DQ70)*Rates_previous!$C$87),(SUM('Staging Table'!DK70:DQ70)*Rates_previous!$D$87)))</f>
        <v>252475.6421696569</v>
      </c>
      <c r="J68" s="213">
        <f>IF(Init!$R$9="Yes",IF('Staging Table'!D70=1,'Staging Table'!H70*-1*'Staging Table'!BS70/'Staging Table'!BR70,'Staging Table'!H70*SUM(D68:I68)*(-1)),IF('Staging Table'!D70=1,'Staging Table'!BU70*-1*'Staging Table'!BS70/'Staging Table'!BR70,'Staging Table'!BU70*SUM(D68:I68)*(-1)))</f>
        <v>0</v>
      </c>
      <c r="K68" s="211">
        <f>IF(Init!$R$9="Yes",'Staging Table'!K70,'Staging Table'!BX70)*(-1)*Rates_previous!$H$32</f>
        <v>0</v>
      </c>
      <c r="L68" s="211">
        <f>IF('Staging Table'!C70=1,"",SUM(D68:K68))</f>
        <v>18905518.849764086</v>
      </c>
      <c r="M68" s="211">
        <f>IF('Staging Table'!C70=1,"",IF(Init!$R$9="Yes",(RT1SC!$C$3*'Staging Table'!F70*'Staging Table'!$F$2)+SUM('Staging Table'!L70:AI70)-IF(Init!$R$12="No",'Staging Table'!BH70, 0),X68))</f>
        <v>534336.86045741639</v>
      </c>
      <c r="N68" s="95">
        <f>IF('Staging Table'!C70=1,"",IF(M68=0, 0, L68/M68))</f>
        <v>35.381273965603107</v>
      </c>
      <c r="O68" s="211">
        <f>'Staging Table'!BS70*Rates_current!$E$76*100*12</f>
        <v>21339020.354701191</v>
      </c>
      <c r="P68" s="211">
        <f>'Staging Table'!BS70*Rates_current!$E$77*100*12</f>
        <v>-3523123.4634156511</v>
      </c>
      <c r="Q68" s="212">
        <f>SUMPRODUCT('Staging Table'!BY70:CV70, LS_Demand_Rates_Restatement!$C$5:$Z$5)-IF(Init!$R$12="No",('Staging Table'!DU70*Rates_current!$H$34), 0)</f>
        <v>76585.047836356913</v>
      </c>
      <c r="R68" s="212">
        <f>SUMPRODUCT('Staging Table'!CW70:DH70, LS_Demand_Rates_Restatement!$C$11:$N$11)*1000</f>
        <v>0</v>
      </c>
      <c r="S68" s="213">
        <f>'Staging Table'!ED70*IF(Init!$R$15="Yes",IF(Init!$R$6=2022,Rates_current!$C$88,Rates_current!$D$88),Rates_current!$H$33)</f>
        <v>0</v>
      </c>
      <c r="T68" s="213">
        <v>0</v>
      </c>
      <c r="U68" s="213">
        <f>IF('Staging Table'!D70=1, 'Staging Table'!BU70*-1*'Staging Table'!BS70/'Staging Table'!BR70,SUM(O68:T68)*'Staging Table'!BU70*-1)</f>
        <v>0</v>
      </c>
      <c r="V68" s="211">
        <f>'Staging Table'!BX70*Rates_current!$H$32*-1</f>
        <v>0</v>
      </c>
      <c r="W68" s="211">
        <f>IF('Staging Table'!C70=1,"", SUM(O68:V68))</f>
        <v>17892481.939121895</v>
      </c>
      <c r="X68" s="211">
        <f>IF('Staging Table'!C70=1,"", (RT1SC!$C$4*'Staging Table'!BS70*'Staging Table'!$BS$2)+SUM('Staging Table'!BY70:CV70)-IF(Init!$R$12="No",'Staging Table'!DU70, 0))</f>
        <v>525090.72087512841</v>
      </c>
      <c r="Y68" s="95">
        <f>IF('Staging Table'!C70=1,"",IF(X68=0, 0, W68/X68))</f>
        <v>34.075029757337681</v>
      </c>
      <c r="Z68" s="87">
        <f ca="1">IF('Staging Table'!C70=1,"",(Y68/N68-1)+(RAND()/100000000000000))</f>
        <v>-3.6919083511102541E-2</v>
      </c>
      <c r="AA68" s="53">
        <f t="shared" ref="AA68:AA131" ca="1" si="1">IF(Z68="","",RANK(Z68,$Z$4:$Z$138))</f>
        <v>63</v>
      </c>
      <c r="AC68" s="421"/>
      <c r="AD68" s="216"/>
      <c r="AE68" s="216"/>
      <c r="AG68" s="216"/>
      <c r="AH68" s="216"/>
    </row>
    <row r="69" spans="2:34">
      <c r="B69" s="135">
        <v>10197</v>
      </c>
      <c r="C69" s="136" t="s">
        <v>72</v>
      </c>
      <c r="D69" s="211">
        <f>IF(Init!$R$9="Yes",'Staging Table'!F71,'Staging Table'!BS71)*Rates_previous!$E$76*100*12</f>
        <v>7657372.4528400004</v>
      </c>
      <c r="E69" s="211">
        <f>IF(Init!$R$9="Yes",'Staging Table'!F71,'Staging Table'!BS71)*Rates_previous!$E$77*100*12</f>
        <v>-774667.19219999993</v>
      </c>
      <c r="F69" s="212">
        <f>IF(Init!$R$9="Yes",SUMPRODUCT('Staging Table'!L71:AI71,LS_Demand_Rates_Restatement!$C$4:$Z$4)-IF(Init!$R$12="No",('Staging Table'!BH71*Rates_previous!$H$34), 0),SUMPRODUCT('Staging Table'!BY71:CV71,LS_Demand_Rates_Restatement!$C$4:$Z$4)-IF(Init!$R$12="No", 'Staging Table'!DU71*Rates_previous!$H$34, 0))</f>
        <v>-416872.24759992573</v>
      </c>
      <c r="G69" s="212">
        <f>IF(Init!$R$9="Yes",SUMPRODUCT('Staging Table'!AJ71:AU71,LS_Demand_Rates_Restatement!$C$10:$N$10),SUMPRODUCT(LS_Demand_Rates_Restatement!$C$10:$N$10,'Staging Table'!CW71:DH71))*1000</f>
        <v>469584.80047044152</v>
      </c>
      <c r="H69" s="213">
        <f>IF(Init!$R$9="Yes",'Staging Table'!BQ71,'Staging Table'!ED71)*IF(Init!$R$3=2020,Rates_previous!$C$88,Rates_previous!$D$88)</f>
        <v>0</v>
      </c>
      <c r="I69" s="211">
        <f>IF(Init!$R$9="Yes",IF('Staging Table'!$F$1=2020,(SUM('Staging Table'!AX71:BD71)*Rates_previous!$C$87),(SUM('Staging Table'!AX71:BD71)*Rates_previous!$D$87)),IF('Staging Table'!$F$1=2020,(SUM('Staging Table'!DK71:DQ71)*Rates_previous!$C$87),(SUM('Staging Table'!DK71:DQ71)*Rates_previous!$D$87)))</f>
        <v>93934.186875726635</v>
      </c>
      <c r="J69" s="213">
        <f>IF(Init!$R$9="Yes",IF('Staging Table'!D71=1,'Staging Table'!H71*-1*'Staging Table'!BS71/'Staging Table'!BR71,'Staging Table'!H71*SUM(D69:I69)*(-1)),IF('Staging Table'!D71=1,'Staging Table'!BU71*-1*'Staging Table'!BS71/'Staging Table'!BR71,'Staging Table'!BU71*SUM(D69:I69)*(-1)))</f>
        <v>-546778.10807882447</v>
      </c>
      <c r="K69" s="211">
        <f>IF(Init!$R$9="Yes",'Staging Table'!K71,'Staging Table'!BX71)*(-1)*Rates_previous!$H$32</f>
        <v>-1109880.1675499999</v>
      </c>
      <c r="L69" s="211">
        <f>IF('Staging Table'!C71=1,"",SUM(D69:K69))</f>
        <v>5372693.7247574199</v>
      </c>
      <c r="M69" s="211">
        <f>IF('Staging Table'!C71=1,"",IF(Init!$R$9="Yes",(RT1SC!$C$3*'Staging Table'!F71*'Staging Table'!$F$2)+SUM('Staging Table'!L71:AI71)-IF(Init!$R$12="No",'Staging Table'!BH71, 0),X69))</f>
        <v>198799.48800000001</v>
      </c>
      <c r="N69" s="95">
        <f>IF('Staging Table'!C71=1,"",IF(M69=0, 0, L69/M69))</f>
        <v>27.025691961326476</v>
      </c>
      <c r="O69" s="211">
        <f>'Staging Table'!BS71*Rates_current!$E$76*100*12</f>
        <v>7726440.9697146397</v>
      </c>
      <c r="P69" s="211">
        <f>'Staging Table'!BS71*Rates_current!$E$77*100*12</f>
        <v>-1275653.9436497856</v>
      </c>
      <c r="Q69" s="212">
        <f>SUMPRODUCT('Staging Table'!BY71:CV71, LS_Demand_Rates_Restatement!$C$5:$Z$5)-IF(Init!$R$12="No",('Staging Table'!DU71*Rates_current!$H$34), 0)</f>
        <v>-444963.41833399318</v>
      </c>
      <c r="R69" s="212">
        <f>SUMPRODUCT('Staging Table'!CW71:DH71, LS_Demand_Rates_Restatement!$C$11:$N$11)*1000</f>
        <v>463446.00113591517</v>
      </c>
      <c r="S69" s="213">
        <f>'Staging Table'!ED71*IF(Init!$R$15="Yes",IF(Init!$R$6=2022,Rates_current!$C$88,Rates_current!$D$88),Rates_current!$H$33)</f>
        <v>0</v>
      </c>
      <c r="T69" s="213">
        <v>0</v>
      </c>
      <c r="U69" s="213">
        <f>IF('Staging Table'!D71=1, 'Staging Table'!BU71*-1*'Staging Table'!BS71/'Staging Table'!BR71,SUM(O69:T69)*'Staging Table'!BU71*-1)</f>
        <v>-556505.02813023527</v>
      </c>
      <c r="V69" s="211">
        <f>'Staging Table'!BX71*Rates_current!$H$32*-1</f>
        <v>-1088901.3344999999</v>
      </c>
      <c r="W69" s="211">
        <f>IF('Staging Table'!C71=1,"", SUM(O69:V69))</f>
        <v>4823863.2462365413</v>
      </c>
      <c r="X69" s="211">
        <f>IF('Staging Table'!C71=1,"", (RT1SC!$C$4*'Staging Table'!BS71*'Staging Table'!$BS$2)+SUM('Staging Table'!BY71:CV71)-IF(Init!$R$12="No",'Staging Table'!DU71, 0))</f>
        <v>189313.33772576432</v>
      </c>
      <c r="Y69" s="95">
        <f>IF('Staging Table'!C71=1,"",IF(X69=0, 0, W69/X69))</f>
        <v>25.480841995529641</v>
      </c>
      <c r="Z69" s="87">
        <f ca="1">IF('Staging Table'!C71=1,"",(Y69/N69-1)+(RAND()/100000000000000))</f>
        <v>-5.7162272403878889E-2</v>
      </c>
      <c r="AA69" s="53">
        <f t="shared" ca="1" si="1"/>
        <v>110</v>
      </c>
      <c r="AC69" s="421"/>
      <c r="AD69" s="216"/>
      <c r="AE69" s="216"/>
      <c r="AG69" s="216"/>
      <c r="AH69" s="216"/>
    </row>
    <row r="70" spans="2:34">
      <c r="B70" s="135">
        <v>10202</v>
      </c>
      <c r="C70" s="136" t="s">
        <v>73</v>
      </c>
      <c r="D70" s="211">
        <f>IF(Init!$R$9="Yes",'Staging Table'!F72,'Staging Table'!BS72)*Rates_previous!$E$76*100*12</f>
        <v>4408235.6452799998</v>
      </c>
      <c r="E70" s="211">
        <f>IF(Init!$R$9="Yes",'Staging Table'!F72,'Staging Table'!BS72)*Rates_previous!$E$77*100*12</f>
        <v>-445964.40240000002</v>
      </c>
      <c r="F70" s="212">
        <f>IF(Init!$R$9="Yes",SUMPRODUCT('Staging Table'!L72:AI72,LS_Demand_Rates_Restatement!$C$4:$Z$4)-IF(Init!$R$12="No",('Staging Table'!BH72*Rates_previous!$H$34), 0),SUMPRODUCT('Staging Table'!BY72:CV72,LS_Demand_Rates_Restatement!$C$4:$Z$4)-IF(Init!$R$12="No", 'Staging Table'!DU72*Rates_previous!$H$34, 0))</f>
        <v>136413.48674271442</v>
      </c>
      <c r="G70" s="212">
        <f>IF(Init!$R$9="Yes",SUMPRODUCT('Staging Table'!AJ72:AU72,LS_Demand_Rates_Restatement!$C$10:$N$10),SUMPRODUCT(LS_Demand_Rates_Restatement!$C$10:$N$10,'Staging Table'!CW72:DH72))*1000</f>
        <v>219537.48193301281</v>
      </c>
      <c r="H70" s="213">
        <f>IF(Init!$R$9="Yes",'Staging Table'!BQ72,'Staging Table'!ED72)*IF(Init!$R$3=2020,Rates_previous!$C$88,Rates_previous!$D$88)</f>
        <v>0</v>
      </c>
      <c r="I70" s="211">
        <f>IF(Init!$R$9="Yes",IF('Staging Table'!$F$1=2020,(SUM('Staging Table'!AX72:BD72)*Rates_previous!$C$87),(SUM('Staging Table'!AX72:BD72)*Rates_previous!$D$87)),IF('Staging Table'!$F$1=2020,(SUM('Staging Table'!DK72:DQ72)*Rates_previous!$C$87),(SUM('Staging Table'!DK72:DQ72)*Rates_previous!$D$87)))</f>
        <v>54076.516905272591</v>
      </c>
      <c r="J70" s="213">
        <f>IF(Init!$R$9="Yes",IF('Staging Table'!D72=1,'Staging Table'!H72*-1*'Staging Table'!BS72/'Staging Table'!BR72,'Staging Table'!H72*SUM(D70:I70)*(-1)),IF('Staging Table'!D72=1,'Staging Table'!BU72*-1*'Staging Table'!BS72/'Staging Table'!BR72,'Staging Table'!BU72*SUM(D70:I70)*(-1)))</f>
        <v>0</v>
      </c>
      <c r="K70" s="211">
        <f>IF(Init!$R$9="Yes",'Staging Table'!K72,'Staging Table'!BX72)*(-1)*Rates_previous!$H$32</f>
        <v>0</v>
      </c>
      <c r="L70" s="211">
        <f>IF('Staging Table'!C72=1,"",SUM(D70:K70))</f>
        <v>4372298.7284609992</v>
      </c>
      <c r="M70" s="211">
        <f>IF('Staging Table'!C72=1,"",IF(Init!$R$9="Yes",(RT1SC!$C$3*'Staging Table'!F72*'Staging Table'!$F$2)+SUM('Staging Table'!L72:AI72)-IF(Init!$R$12="No",'Staging Table'!BH72, 0),X70))</f>
        <v>114446.736</v>
      </c>
      <c r="N70" s="95">
        <f>IF('Staging Table'!C72=1,"",IF(M70=0, 0, L70/M70))</f>
        <v>38.203787030335221</v>
      </c>
      <c r="O70" s="211">
        <f>'Staging Table'!BS72*Rates_current!$E$76*100*12</f>
        <v>4448237.175183489</v>
      </c>
      <c r="P70" s="211">
        <f>'Staging Table'!BS72*Rates_current!$E$77*100*12</f>
        <v>-734414.63114186889</v>
      </c>
      <c r="Q70" s="212">
        <f>SUMPRODUCT('Staging Table'!BY72:CV72, LS_Demand_Rates_Restatement!$C$5:$Z$5)-IF(Init!$R$12="No",('Staging Table'!DU72*Rates_current!$H$34), 0)</f>
        <v>113834.69288830509</v>
      </c>
      <c r="R70" s="212">
        <f>SUMPRODUCT('Staging Table'!CW72:DH72, LS_Demand_Rates_Restatement!$C$11:$N$11)*1000</f>
        <v>201606.45127552538</v>
      </c>
      <c r="S70" s="213">
        <f>'Staging Table'!ED72*IF(Init!$R$15="Yes",IF(Init!$R$6=2022,Rates_current!$C$88,Rates_current!$D$88),Rates_current!$H$33)</f>
        <v>0</v>
      </c>
      <c r="T70" s="213">
        <v>0</v>
      </c>
      <c r="U70" s="213">
        <f>IF('Staging Table'!D72=1, 'Staging Table'!BU72*-1*'Staging Table'!BS72/'Staging Table'!BR72,SUM(O70:T70)*'Staging Table'!BU72*-1)</f>
        <v>0</v>
      </c>
      <c r="V70" s="211">
        <f>'Staging Table'!BX72*Rates_current!$H$32*-1</f>
        <v>0</v>
      </c>
      <c r="W70" s="211">
        <f>IF('Staging Table'!C72=1,"", SUM(O70:V70))</f>
        <v>4029263.6882054508</v>
      </c>
      <c r="X70" s="211">
        <f>IF('Staging Table'!C72=1,"", (RT1SC!$C$4*'Staging Table'!BS72*'Staging Table'!$BS$2)+SUM('Staging Table'!BY72:CV72)-IF(Init!$R$12="No",'Staging Table'!DU72, 0))</f>
        <v>109456.2</v>
      </c>
      <c r="Y70" s="95">
        <f>IF('Staging Table'!C72=1,"",IF(X70=0, 0, W70/X70))</f>
        <v>36.811653320738806</v>
      </c>
      <c r="Z70" s="87">
        <f ca="1">IF('Staging Table'!C72=1,"",(Y70/N70-1)+(RAND()/100000000000000))</f>
        <v>-3.6439678309658621E-2</v>
      </c>
      <c r="AA70" s="53">
        <f t="shared" ca="1" si="1"/>
        <v>58</v>
      </c>
      <c r="AC70" s="421"/>
      <c r="AD70" s="216"/>
      <c r="AE70" s="216"/>
      <c r="AG70" s="216"/>
      <c r="AH70" s="216"/>
    </row>
    <row r="71" spans="2:34">
      <c r="B71" s="135">
        <v>10203</v>
      </c>
      <c r="C71" s="136" t="s">
        <v>74</v>
      </c>
      <c r="D71" s="211">
        <f>IF(Init!$R$9="Yes",'Staging Table'!F73,'Staging Table'!BS73)*Rates_previous!$E$76*100*12</f>
        <v>2090988.63528</v>
      </c>
      <c r="E71" s="211">
        <f>IF(Init!$R$9="Yes",'Staging Table'!F73,'Staging Table'!BS73)*Rates_previous!$E$77*100*12</f>
        <v>-211537.35240000003</v>
      </c>
      <c r="F71" s="212">
        <f>IF(Init!$R$9="Yes",SUMPRODUCT('Staging Table'!L73:AI73,LS_Demand_Rates_Restatement!$C$4:$Z$4)-IF(Init!$R$12="No",('Staging Table'!BH73*Rates_previous!$H$34), 0),SUMPRODUCT('Staging Table'!BY73:CV73,LS_Demand_Rates_Restatement!$C$4:$Z$4)-IF(Init!$R$12="No", 'Staging Table'!DU73*Rates_previous!$H$34, 0))</f>
        <v>46035.819097117128</v>
      </c>
      <c r="G71" s="212">
        <f>IF(Init!$R$9="Yes",SUMPRODUCT('Staging Table'!AJ73:AU73,LS_Demand_Rates_Restatement!$C$10:$N$10),SUMPRODUCT(LS_Demand_Rates_Restatement!$C$10:$N$10,'Staging Table'!CW73:DH73))*1000</f>
        <v>149368.18784871793</v>
      </c>
      <c r="H71" s="213">
        <f>IF(Init!$R$9="Yes",'Staging Table'!BQ73,'Staging Table'!ED73)*IF(Init!$R$3=2020,Rates_previous!$C$88,Rates_previous!$D$88)</f>
        <v>0</v>
      </c>
      <c r="I71" s="211">
        <f>IF(Init!$R$9="Yes",IF('Staging Table'!$F$1=2020,(SUM('Staging Table'!AX73:BD73)*Rates_previous!$C$87),(SUM('Staging Table'!AX73:BD73)*Rates_previous!$D$87)),IF('Staging Table'!$F$1=2020,(SUM('Staging Table'!DK73:DQ73)*Rates_previous!$C$87),(SUM('Staging Table'!DK73:DQ73)*Rates_previous!$D$87)))</f>
        <v>25650.484997443837</v>
      </c>
      <c r="J71" s="213">
        <f>IF(Init!$R$9="Yes",IF('Staging Table'!D73=1,'Staging Table'!H73*-1*'Staging Table'!BS73/'Staging Table'!BR73,'Staging Table'!H73*SUM(D71:I71)*(-1)),IF('Staging Table'!D73=1,'Staging Table'!BU73*-1*'Staging Table'!BS73/'Staging Table'!BR73,'Staging Table'!BU73*SUM(D71:I71)*(-1)))</f>
        <v>-152317.25856461233</v>
      </c>
      <c r="K71" s="211">
        <f>IF(Init!$R$9="Yes",'Staging Table'!K73,'Staging Table'!BX73)*(-1)*Rates_previous!$H$32</f>
        <v>0</v>
      </c>
      <c r="L71" s="211">
        <f>IF('Staging Table'!C73=1,"",SUM(D71:K71))</f>
        <v>1948188.5162586663</v>
      </c>
      <c r="M71" s="211">
        <f>IF('Staging Table'!C73=1,"",IF(Init!$R$9="Yes",(RT1SC!$C$3*'Staging Table'!F73*'Staging Table'!$F$2)+SUM('Staging Table'!L73:AI73)-IF(Init!$R$12="No",'Staging Table'!BH73, 0),X71))</f>
        <v>54285.119999999995</v>
      </c>
      <c r="N71" s="95">
        <f>IF('Staging Table'!C73=1,"",IF(M71=0, 0, L71/M71))</f>
        <v>35.888076074229303</v>
      </c>
      <c r="O71" s="211">
        <f>'Staging Table'!BS73*Rates_current!$E$76*100*12</f>
        <v>2110088.8945193551</v>
      </c>
      <c r="P71" s="211">
        <f>'Staging Table'!BS73*Rates_current!$E$77*100*12</f>
        <v>-348380.73963110161</v>
      </c>
      <c r="Q71" s="212">
        <f>SUMPRODUCT('Staging Table'!BY73:CV73, LS_Demand_Rates_Restatement!$C$5:$Z$5)-IF(Init!$R$12="No",('Staging Table'!DU73*Rates_current!$H$34), 0)</f>
        <v>44351.077000742807</v>
      </c>
      <c r="R71" s="212">
        <f>SUMPRODUCT('Staging Table'!CW73:DH73, LS_Demand_Rates_Restatement!$C$11:$N$11)*1000</f>
        <v>138068.77627656693</v>
      </c>
      <c r="S71" s="213">
        <f>'Staging Table'!ED73*IF(Init!$R$15="Yes",IF(Init!$R$6=2022,Rates_current!$C$88,Rates_current!$D$88),Rates_current!$H$33)</f>
        <v>0</v>
      </c>
      <c r="T71" s="213">
        <v>0</v>
      </c>
      <c r="U71" s="213">
        <f>IF('Staging Table'!D73=1, 'Staging Table'!BU73*-1*'Staging Table'!BS73/'Staging Table'!BR73,SUM(O71:T71)*'Staging Table'!BU73*-1)</f>
        <v>-148625.5849130924</v>
      </c>
      <c r="V71" s="211">
        <f>'Staging Table'!BX73*Rates_current!$H$32*-1</f>
        <v>0</v>
      </c>
      <c r="W71" s="211">
        <f>IF('Staging Table'!C73=1,"", SUM(O71:V71))</f>
        <v>1795502.423252471</v>
      </c>
      <c r="X71" s="211">
        <f>IF('Staging Table'!C73=1,"", (RT1SC!$C$4*'Staging Table'!BS73*'Staging Table'!$BS$2)+SUM('Staging Table'!BY73:CV73)-IF(Init!$R$12="No",'Staging Table'!DU73, 0))</f>
        <v>51920.52</v>
      </c>
      <c r="Y71" s="95">
        <f>IF('Staging Table'!C73=1,"",IF(X71=0, 0, W71/X71))</f>
        <v>34.581749629095995</v>
      </c>
      <c r="Z71" s="87">
        <f ca="1">IF('Staging Table'!C73=1,"",(Y71/N71-1)+(RAND()/100000000000000))</f>
        <v>-3.6400013264327132E-2</v>
      </c>
      <c r="AA71" s="53">
        <f t="shared" ca="1" si="1"/>
        <v>55</v>
      </c>
      <c r="AC71" s="421"/>
      <c r="AD71" s="216"/>
      <c r="AE71" s="216"/>
      <c r="AG71" s="216"/>
      <c r="AH71" s="216"/>
    </row>
    <row r="72" spans="2:34">
      <c r="B72" s="135">
        <v>10204</v>
      </c>
      <c r="C72" s="136" t="s">
        <v>75</v>
      </c>
      <c r="D72" s="211">
        <f>IF(Init!$R$9="Yes",'Staging Table'!F74,'Staging Table'!BS74)*Rates_previous!$E$76*100*12</f>
        <v>8216601.3979199994</v>
      </c>
      <c r="E72" s="211">
        <f>IF(Init!$R$9="Yes",'Staging Table'!F74,'Staging Table'!BS74)*Rates_previous!$E$77*100*12</f>
        <v>-831242.25359999994</v>
      </c>
      <c r="F72" s="212">
        <f>IF(Init!$R$9="Yes",SUMPRODUCT('Staging Table'!L74:AI74,LS_Demand_Rates_Restatement!$C$4:$Z$4)-IF(Init!$R$12="No",('Staging Table'!BH74*Rates_previous!$H$34), 0),SUMPRODUCT('Staging Table'!BY74:CV74,LS_Demand_Rates_Restatement!$C$4:$Z$4)-IF(Init!$R$12="No", 'Staging Table'!DU74*Rates_previous!$H$34, 0))</f>
        <v>43437.343056182486</v>
      </c>
      <c r="G72" s="212">
        <f>IF(Init!$R$9="Yes",SUMPRODUCT('Staging Table'!AJ74:AU74,LS_Demand_Rates_Restatement!$C$10:$N$10),SUMPRODUCT(LS_Demand_Rates_Restatement!$C$10:$N$10,'Staging Table'!CW74:DH74))*1000</f>
        <v>0</v>
      </c>
      <c r="H72" s="213">
        <f>IF(Init!$R$9="Yes",'Staging Table'!BQ74,'Staging Table'!ED74)*IF(Init!$R$3=2020,Rates_previous!$C$88,Rates_previous!$D$88)</f>
        <v>0</v>
      </c>
      <c r="I72" s="211">
        <f>IF(Init!$R$9="Yes",IF('Staging Table'!$F$1=2020,(SUM('Staging Table'!AX74:BD74)*Rates_previous!$C$87),(SUM('Staging Table'!AX74:BD74)*Rates_previous!$D$87)),IF('Staging Table'!$F$1=2020,(SUM('Staging Table'!DK74:DQ74)*Rates_previous!$C$87),(SUM('Staging Table'!DK74:DQ74)*Rates_previous!$D$87)))</f>
        <v>100794.33590948263</v>
      </c>
      <c r="J72" s="213">
        <f>IF(Init!$R$9="Yes",IF('Staging Table'!D74=1,'Staging Table'!H74*-1*'Staging Table'!BS74/'Staging Table'!BR74,'Staging Table'!H74*SUM(D72:I72)*(-1)),IF('Staging Table'!D74=1,'Staging Table'!BU74*-1*'Staging Table'!BS74/'Staging Table'!BR74,'Staging Table'!BU74*SUM(D72:I72)*(-1)))</f>
        <v>0</v>
      </c>
      <c r="K72" s="211">
        <f>IF(Init!$R$9="Yes",'Staging Table'!K74,'Staging Table'!BX74)*(-1)*Rates_previous!$H$32</f>
        <v>0</v>
      </c>
      <c r="L72" s="211">
        <f>IF('Staging Table'!C74=1,"",SUM(D72:K72))</f>
        <v>7529590.8232856654</v>
      </c>
      <c r="M72" s="211">
        <f>IF('Staging Table'!C74=1,"",IF(Init!$R$9="Yes",(RT1SC!$C$3*'Staging Table'!F74*'Staging Table'!$F$2)+SUM('Staging Table'!L74:AI74)-IF(Init!$R$12="No",'Staging Table'!BH74, 0),X72))</f>
        <v>213322.24852153371</v>
      </c>
      <c r="N72" s="95">
        <f>IF('Staging Table'!C74=1,"",IF(M72=0, 0, L72/M72))</f>
        <v>35.29679100736459</v>
      </c>
      <c r="O72" s="211">
        <f>'Staging Table'!BS74*Rates_current!$E$76*100*12</f>
        <v>9270098.4551131018</v>
      </c>
      <c r="P72" s="211">
        <f>'Staging Table'!BS74*Rates_current!$E$77*100*12</f>
        <v>-1530515.4984861759</v>
      </c>
      <c r="Q72" s="212">
        <f>SUMPRODUCT('Staging Table'!BY74:CV74, LS_Demand_Rates_Restatement!$C$5:$Z$5)-IF(Init!$R$12="No",('Staging Table'!DU74*Rates_current!$H$34), 0)</f>
        <v>26246.026508440587</v>
      </c>
      <c r="R72" s="212">
        <f>SUMPRODUCT('Staging Table'!CW74:DH74, LS_Demand_Rates_Restatement!$C$11:$N$11)*1000</f>
        <v>0</v>
      </c>
      <c r="S72" s="213">
        <f>'Staging Table'!ED74*IF(Init!$R$15="Yes",IF(Init!$R$6=2022,Rates_current!$C$88,Rates_current!$D$88),Rates_current!$H$33)</f>
        <v>0</v>
      </c>
      <c r="T72" s="213">
        <v>0</v>
      </c>
      <c r="U72" s="213">
        <f>IF('Staging Table'!D74=1, 'Staging Table'!BU74*-1*'Staging Table'!BS74/'Staging Table'!BR74,SUM(O72:T72)*'Staging Table'!BU74*-1)</f>
        <v>0</v>
      </c>
      <c r="V72" s="211">
        <f>'Staging Table'!BX74*Rates_current!$H$32*-1</f>
        <v>0</v>
      </c>
      <c r="W72" s="211">
        <f>IF('Staging Table'!C74=1,"", SUM(O72:V72))</f>
        <v>7765828.9831353659</v>
      </c>
      <c r="X72" s="211">
        <f>IF('Staging Table'!C74=1,"", (RT1SC!$C$4*'Staging Table'!BS74*'Staging Table'!$BS$2)+SUM('Staging Table'!BY74:CV74)-IF(Init!$R$12="No",'Staging Table'!DU74, 0))</f>
        <v>228112.27988996723</v>
      </c>
      <c r="Y72" s="95">
        <f>IF('Staging Table'!C74=1,"",IF(X72=0, 0, W72/X72))</f>
        <v>34.043888329384586</v>
      </c>
      <c r="Z72" s="87">
        <f ca="1">IF('Staging Table'!C74=1,"",(Y72/N72-1)+(RAND()/100000000000000))</f>
        <v>-3.5496220540798637E-2</v>
      </c>
      <c r="AA72" s="53">
        <f t="shared" ca="1" si="1"/>
        <v>43</v>
      </c>
      <c r="AC72" s="421"/>
      <c r="AD72" s="216"/>
      <c r="AE72" s="216"/>
      <c r="AG72" s="216"/>
      <c r="AH72" s="216"/>
    </row>
    <row r="73" spans="2:34">
      <c r="B73" s="135">
        <v>10209</v>
      </c>
      <c r="C73" s="136" t="s">
        <v>76</v>
      </c>
      <c r="D73" s="211">
        <f>IF(Init!$R$9="Yes",'Staging Table'!F75,'Staging Table'!BS75)*Rates_previous!$E$76*100*12</f>
        <v>35300584.450800002</v>
      </c>
      <c r="E73" s="211">
        <f>IF(Init!$R$9="Yes",'Staging Table'!F75,'Staging Table'!BS75)*Rates_previous!$E$77*100*12</f>
        <v>-3571225.6140000001</v>
      </c>
      <c r="F73" s="212">
        <f>IF(Init!$R$9="Yes",SUMPRODUCT('Staging Table'!L75:AI75,LS_Demand_Rates_Restatement!$C$4:$Z$4)-IF(Init!$R$12="No",('Staging Table'!BH75*Rates_previous!$H$34), 0),SUMPRODUCT('Staging Table'!BY75:CV75,LS_Demand_Rates_Restatement!$C$4:$Z$4)-IF(Init!$R$12="No", 'Staging Table'!DU75*Rates_previous!$H$34, 0))</f>
        <v>564690.78936900571</v>
      </c>
      <c r="G73" s="212">
        <f>IF(Init!$R$9="Yes",SUMPRODUCT('Staging Table'!AJ75:AU75,LS_Demand_Rates_Restatement!$C$10:$N$10),SUMPRODUCT(LS_Demand_Rates_Restatement!$C$10:$N$10,'Staging Table'!CW75:DH75))*1000</f>
        <v>4290769.7695188029</v>
      </c>
      <c r="H73" s="213">
        <f>IF(Init!$R$9="Yes",'Staging Table'!BQ75,'Staging Table'!ED75)*IF(Init!$R$3=2020,Rates_previous!$C$88,Rates_previous!$D$88)</f>
        <v>0</v>
      </c>
      <c r="I73" s="211">
        <f>IF(Init!$R$9="Yes",IF('Staging Table'!$F$1=2020,(SUM('Staging Table'!AX75:BD75)*Rates_previous!$C$87),(SUM('Staging Table'!AX75:BD75)*Rates_previous!$D$87)),IF('Staging Table'!$F$1=2020,(SUM('Staging Table'!DK75:DQ75)*Rates_previous!$C$87),(SUM('Staging Table'!DK75:DQ75)*Rates_previous!$D$87)))</f>
        <v>433037.79684818507</v>
      </c>
      <c r="J73" s="213">
        <f>IF(Init!$R$9="Yes",IF('Staging Table'!D75=1,'Staging Table'!H75*-1*'Staging Table'!BS75/'Staging Table'!BR75,'Staging Table'!H75*SUM(D73:I73)*(-1)),IF('Staging Table'!D75=1,'Staging Table'!BU75*-1*'Staging Table'!BS75/'Staging Table'!BR75,'Staging Table'!BU75*SUM(D73:I73)*(-1)))</f>
        <v>-2737657.4292742326</v>
      </c>
      <c r="K73" s="211">
        <f>IF(Init!$R$9="Yes",'Staging Table'!K75,'Staging Table'!BX75)*(-1)*Rates_previous!$H$32</f>
        <v>-667852.10811000003</v>
      </c>
      <c r="L73" s="211">
        <f>IF('Staging Table'!C75=1,"",SUM(D73:K73))</f>
        <v>33612347.655151762</v>
      </c>
      <c r="M73" s="211">
        <f>IF('Staging Table'!C75=1,"",IF(Init!$R$9="Yes",(RT1SC!$C$3*'Staging Table'!F75*'Staging Table'!$F$2)+SUM('Staging Table'!L75:AI75)-IF(Init!$R$12="No",'Staging Table'!BH75, 0),X73))</f>
        <v>916478.6399999999</v>
      </c>
      <c r="N73" s="95">
        <f>IF('Staging Table'!C75=1,"",IF(M73=0, 0, L73/M73))</f>
        <v>36.675538510261148</v>
      </c>
      <c r="O73" s="211">
        <f>'Staging Table'!BS75*Rates_current!$E$76*100*12</f>
        <v>35618991.192517318</v>
      </c>
      <c r="P73" s="211">
        <f>'Staging Table'!BS75*Rates_current!$E$77*100*12</f>
        <v>-5880780.9134455649</v>
      </c>
      <c r="Q73" s="212">
        <f>SUMPRODUCT('Staging Table'!BY75:CV75, LS_Demand_Rates_Restatement!$C$5:$Z$5)-IF(Init!$R$12="No",('Staging Table'!DU75*Rates_current!$H$34), 0)</f>
        <v>539940.59392115078</v>
      </c>
      <c r="R73" s="212">
        <f>SUMPRODUCT('Staging Table'!CW75:DH75, LS_Demand_Rates_Restatement!$C$11:$N$11)*1000</f>
        <v>4000999.2528873216</v>
      </c>
      <c r="S73" s="213">
        <f>'Staging Table'!ED75*IF(Init!$R$15="Yes",IF(Init!$R$6=2022,Rates_current!$C$88,Rates_current!$D$88),Rates_current!$H$33)</f>
        <v>0</v>
      </c>
      <c r="T73" s="213">
        <v>0</v>
      </c>
      <c r="U73" s="213">
        <f>IF('Staging Table'!D75=1, 'Staging Table'!BU75*-1*'Staging Table'!BS75/'Staging Table'!BR75,SUM(O73:T73)*'Staging Table'!BU75*-1)</f>
        <v>-2823953.765364903</v>
      </c>
      <c r="V73" s="211">
        <f>'Staging Table'!BX75*Rates_current!$H$32*-1</f>
        <v>-655228.44090000005</v>
      </c>
      <c r="W73" s="211">
        <f>IF('Staging Table'!C75=1,"", SUM(O73:V73))</f>
        <v>30799967.919615321</v>
      </c>
      <c r="X73" s="211">
        <f>IF('Staging Table'!C75=1,"", (RT1SC!$C$4*'Staging Table'!BS75*'Staging Table'!$BS$2)+SUM('Staging Table'!BY75:CV75)-IF(Init!$R$12="No",'Staging Table'!DU75, 0))</f>
        <v>876481.8</v>
      </c>
      <c r="Y73" s="95">
        <f>IF('Staging Table'!C75=1,"",IF(X73=0, 0, W73/X73))</f>
        <v>35.140453480740064</v>
      </c>
      <c r="Z73" s="87">
        <f ca="1">IF('Staging Table'!C75=1,"",(Y73/N73-1)+(RAND()/100000000000000))</f>
        <v>-4.1855827940778405E-2</v>
      </c>
      <c r="AA73" s="53">
        <f t="shared" ca="1" si="1"/>
        <v>96</v>
      </c>
      <c r="AC73" s="421"/>
      <c r="AD73" s="216"/>
      <c r="AE73" s="216"/>
      <c r="AG73" s="216"/>
      <c r="AH73" s="216"/>
    </row>
    <row r="74" spans="2:34">
      <c r="B74" s="135">
        <v>10230</v>
      </c>
      <c r="C74" s="136" t="s">
        <v>77</v>
      </c>
      <c r="D74" s="211">
        <f>IF(Init!$R$9="Yes",'Staging Table'!F76,'Staging Table'!BS76)*Rates_previous!$E$76*100*12</f>
        <v>3265298.1200400004</v>
      </c>
      <c r="E74" s="211">
        <f>IF(Init!$R$9="Yes",'Staging Table'!F76,'Staging Table'!BS76)*Rates_previous!$E$77*100*12</f>
        <v>-330337.76819999999</v>
      </c>
      <c r="F74" s="212">
        <f>IF(Init!$R$9="Yes",SUMPRODUCT('Staging Table'!L76:AI76,LS_Demand_Rates_Restatement!$C$4:$Z$4)-IF(Init!$R$12="No",('Staging Table'!BH76*Rates_previous!$H$34), 0),SUMPRODUCT('Staging Table'!BY76:CV76,LS_Demand_Rates_Restatement!$C$4:$Z$4)-IF(Init!$R$12="No", 'Staging Table'!DU76*Rates_previous!$H$34, 0))</f>
        <v>18126.70399603073</v>
      </c>
      <c r="G74" s="212">
        <f>IF(Init!$R$9="Yes",SUMPRODUCT('Staging Table'!AJ76:AU76,LS_Demand_Rates_Restatement!$C$10:$N$10),SUMPRODUCT(LS_Demand_Rates_Restatement!$C$10:$N$10,'Staging Table'!CW76:DH76))*1000</f>
        <v>429577.59650552005</v>
      </c>
      <c r="H74" s="213">
        <f>IF(Init!$R$9="Yes",'Staging Table'!BQ76,'Staging Table'!ED76)*IF(Init!$R$3=2020,Rates_previous!$C$88,Rates_previous!$D$88)</f>
        <v>0</v>
      </c>
      <c r="I74" s="211">
        <f>IF(Init!$R$9="Yes",IF('Staging Table'!$F$1=2020,(SUM('Staging Table'!AX76:BD76)*Rates_previous!$C$87),(SUM('Staging Table'!AX76:BD76)*Rates_previous!$D$87)),IF('Staging Table'!$F$1=2020,(SUM('Staging Table'!DK76:DQ76)*Rates_previous!$C$87),(SUM('Staging Table'!DK76:DQ76)*Rates_previous!$D$87)))</f>
        <v>40055.92332119582</v>
      </c>
      <c r="J74" s="213">
        <f>IF(Init!$R$9="Yes",IF('Staging Table'!D76=1,'Staging Table'!H76*-1*'Staging Table'!BS76/'Staging Table'!BR76,'Staging Table'!H76*SUM(D74:I74)*(-1)),IF('Staging Table'!D76=1,'Staging Table'!BU76*-1*'Staging Table'!BS76/'Staging Table'!BR76,'Staging Table'!BU76*SUM(D74:I74)*(-1)))</f>
        <v>-299668.03489977738</v>
      </c>
      <c r="K74" s="211">
        <f>IF(Init!$R$9="Yes",'Staging Table'!K76,'Staging Table'!BX76)*(-1)*Rates_previous!$H$32</f>
        <v>0</v>
      </c>
      <c r="L74" s="211">
        <f>IF('Staging Table'!C76=1,"",SUM(D74:K74))</f>
        <v>3123052.5407629698</v>
      </c>
      <c r="M74" s="211">
        <f>IF('Staging Table'!C76=1,"",IF(Init!$R$9="Yes",(RT1SC!$C$3*'Staging Table'!F76*'Staging Table'!$F$2)+SUM('Staging Table'!L76:AI76)-IF(Init!$R$12="No",'Staging Table'!BH76, 0),X74))</f>
        <v>81743.43718195238</v>
      </c>
      <c r="N74" s="95">
        <f>IF('Staging Table'!C76=1,"",IF(M74=0, 0, L74/M74))</f>
        <v>38.205544670349255</v>
      </c>
      <c r="O74" s="211">
        <f>'Staging Table'!BS76*Rates_current!$E$76*100*12</f>
        <v>3294750.69005585</v>
      </c>
      <c r="P74" s="211">
        <f>'Staging Table'!BS76*Rates_current!$E$77*100*12</f>
        <v>-543971.24466322362</v>
      </c>
      <c r="Q74" s="212">
        <f>SUMPRODUCT('Staging Table'!BY76:CV76, LS_Demand_Rates_Restatement!$C$5:$Z$5)-IF(Init!$R$12="No",('Staging Table'!DU76*Rates_current!$H$34), 0)</f>
        <v>-53380.501430487202</v>
      </c>
      <c r="R74" s="212">
        <f>SUMPRODUCT('Staging Table'!CW76:DH76, LS_Demand_Rates_Restatement!$C$11:$N$11)*1000</f>
        <v>399806.69039730227</v>
      </c>
      <c r="S74" s="213">
        <f>'Staging Table'!ED76*IF(Init!$R$15="Yes",IF(Init!$R$6=2022,Rates_current!$C$88,Rates_current!$D$88),Rates_current!$H$33)</f>
        <v>0</v>
      </c>
      <c r="T74" s="213">
        <v>0</v>
      </c>
      <c r="U74" s="213">
        <f>IF('Staging Table'!D76=1, 'Staging Table'!BU76*-1*'Staging Table'!BS76/'Staging Table'!BR76,SUM(O74:T74)*'Staging Table'!BU76*-1)</f>
        <v>-287901.24335380091</v>
      </c>
      <c r="V74" s="211">
        <f>'Staging Table'!BX76*Rates_current!$H$32*-1</f>
        <v>0</v>
      </c>
      <c r="W74" s="211">
        <f>IF('Staging Table'!C76=1,"", SUM(O74:V74))</f>
        <v>2809304.3910056404</v>
      </c>
      <c r="X74" s="211">
        <f>IF('Staging Table'!C76=1,"", (RT1SC!$C$4*'Staging Table'!BS76*'Staging Table'!$BS$2)+SUM('Staging Table'!BY76:CV76)-IF(Init!$R$12="No",'Staging Table'!DU76, 0))</f>
        <v>76414.118147312925</v>
      </c>
      <c r="Y74" s="95">
        <f>IF('Staging Table'!C76=1,"",IF(X74=0, 0, W74/X74))</f>
        <v>36.764206132560446</v>
      </c>
      <c r="Z74" s="87">
        <f ca="1">IF('Staging Table'!C76=1,"",(Y74/N74-1)+(RAND()/100000000000000))</f>
        <v>-3.7725899479380286E-2</v>
      </c>
      <c r="AA74" s="53">
        <f t="shared" ca="1" si="1"/>
        <v>73</v>
      </c>
      <c r="AC74" s="421"/>
      <c r="AD74" s="216"/>
      <c r="AE74" s="216"/>
      <c r="AG74" s="216"/>
      <c r="AH74" s="216"/>
    </row>
    <row r="75" spans="2:34">
      <c r="B75" s="135">
        <v>10231</v>
      </c>
      <c r="C75" s="136" t="s">
        <v>78</v>
      </c>
      <c r="D75" s="211">
        <f>IF(Init!$R$9="Yes",'Staging Table'!F77,'Staging Table'!BS77)*Rates_previous!$E$76*100*12</f>
        <v>12337498.413959999</v>
      </c>
      <c r="E75" s="211">
        <f>IF(Init!$R$9="Yes",'Staging Table'!F77,'Staging Table'!BS77)*Rates_previous!$E$77*100*12</f>
        <v>-1248137.7017999999</v>
      </c>
      <c r="F75" s="212">
        <f>IF(Init!$R$9="Yes",SUMPRODUCT('Staging Table'!L77:AI77,LS_Demand_Rates_Restatement!$C$4:$Z$4)-IF(Init!$R$12="No",('Staging Table'!BH77*Rates_previous!$H$34), 0),SUMPRODUCT('Staging Table'!BY77:CV77,LS_Demand_Rates_Restatement!$C$4:$Z$4)-IF(Init!$R$12="No", 'Staging Table'!DU77*Rates_previous!$H$34, 0))</f>
        <v>265540.24756346364</v>
      </c>
      <c r="G75" s="212">
        <f>IF(Init!$R$9="Yes",SUMPRODUCT('Staging Table'!AJ77:AU77,LS_Demand_Rates_Restatement!$C$10:$N$10),SUMPRODUCT(LS_Demand_Rates_Restatement!$C$10:$N$10,'Staging Table'!CW77:DH77))*1000</f>
        <v>896777.0413330486</v>
      </c>
      <c r="H75" s="213">
        <f>IF(Init!$R$9="Yes",'Staging Table'!BQ77,'Staging Table'!ED77)*IF(Init!$R$3=2020,Rates_previous!$C$88,Rates_previous!$D$88)</f>
        <v>0</v>
      </c>
      <c r="I75" s="211">
        <f>IF(Init!$R$9="Yes",IF('Staging Table'!$F$1=2020,(SUM('Staging Table'!AX77:BD77)*Rates_previous!$C$87),(SUM('Staging Table'!AX77:BD77)*Rates_previous!$D$87)),IF('Staging Table'!$F$1=2020,(SUM('Staging Table'!DK77:DQ77)*Rates_previous!$C$87),(SUM('Staging Table'!DK77:DQ77)*Rates_previous!$D$87)))</f>
        <v>151346.02485818442</v>
      </c>
      <c r="J75" s="213">
        <f>IF(Init!$R$9="Yes",IF('Staging Table'!D77=1,'Staging Table'!H77*-1*'Staging Table'!BS77/'Staging Table'!BR77,'Staging Table'!H77*SUM(D75:I75)*(-1)),IF('Staging Table'!D77=1,'Staging Table'!BU77*-1*'Staging Table'!BS77/'Staging Table'!BR77,'Staging Table'!BU77*SUM(D75:I75)*(-1)))</f>
        <v>-1053306.3647818679</v>
      </c>
      <c r="K75" s="211">
        <f>IF(Init!$R$9="Yes",'Staging Table'!K77,'Staging Table'!BX77)*(-1)*Rates_previous!$H$32</f>
        <v>-240339.61918999997</v>
      </c>
      <c r="L75" s="211">
        <f>IF('Staging Table'!C77=1,"",SUM(D75:K75))</f>
        <v>11109378.041942827</v>
      </c>
      <c r="M75" s="211">
        <f>IF('Staging Table'!C77=1,"",IF(Init!$R$9="Yes",(RT1SC!$C$3*'Staging Table'!F77*'Staging Table'!$F$2)+SUM('Staging Table'!L77:AI77)-IF(Init!$R$12="No",'Staging Table'!BH77, 0),X75))</f>
        <v>320308.56000000006</v>
      </c>
      <c r="N75" s="95">
        <f>IF('Staging Table'!C77=1,"",IF(M75=0, 0, L75/M75))</f>
        <v>34.683362948348382</v>
      </c>
      <c r="O75" s="211">
        <f>'Staging Table'!BS77*Rates_current!$E$76*100*12</f>
        <v>12448781.066415986</v>
      </c>
      <c r="P75" s="211">
        <f>'Staging Table'!BS77*Rates_current!$E$77*100*12</f>
        <v>-2055323.6248426088</v>
      </c>
      <c r="Q75" s="212">
        <f>SUMPRODUCT('Staging Table'!BY77:CV77, LS_Demand_Rates_Restatement!$C$5:$Z$5)-IF(Init!$R$12="No",('Staging Table'!DU77*Rates_current!$H$34), 0)</f>
        <v>241846.67507015658</v>
      </c>
      <c r="R75" s="212">
        <f>SUMPRODUCT('Staging Table'!CW77:DH77, LS_Demand_Rates_Restatement!$C$11:$N$11)*1000</f>
        <v>123891.74447849917</v>
      </c>
      <c r="S75" s="213">
        <f>'Staging Table'!ED77*IF(Init!$R$15="Yes",IF(Init!$R$6=2022,Rates_current!$C$88,Rates_current!$D$88),Rates_current!$H$33)</f>
        <v>0</v>
      </c>
      <c r="T75" s="213">
        <v>0</v>
      </c>
      <c r="U75" s="213">
        <f>IF('Staging Table'!D77=1, 'Staging Table'!BU77*-1*'Staging Table'!BS77/'Staging Table'!BR77,SUM(O75:T75)*'Staging Table'!BU77*-1)</f>
        <v>-970219.84788320458</v>
      </c>
      <c r="V75" s="211">
        <f>'Staging Table'!BX77*Rates_current!$H$32*-1</f>
        <v>-235796.74609999999</v>
      </c>
      <c r="W75" s="211">
        <f>IF('Staging Table'!C77=1,"", SUM(O75:V75))</f>
        <v>9553179.2671388313</v>
      </c>
      <c r="X75" s="211">
        <f>IF('Staging Table'!C77=1,"", (RT1SC!$C$4*'Staging Table'!BS77*'Staging Table'!$BS$2)+SUM('Staging Table'!BY77:CV77)-IF(Init!$R$12="No",'Staging Table'!DU77, 0))</f>
        <v>306328.44</v>
      </c>
      <c r="Y75" s="95">
        <f>IF('Staging Table'!C77=1,"",IF(X75=0, 0, W75/X75))</f>
        <v>31.186067043395745</v>
      </c>
      <c r="Z75" s="87">
        <f ca="1">IF('Staging Table'!C77=1,"",(Y75/N75-1)+(RAND()/100000000000000))</f>
        <v>-0.10083497122700885</v>
      </c>
      <c r="AA75" s="53">
        <f t="shared" ca="1" si="1"/>
        <v>115</v>
      </c>
      <c r="AC75" s="421"/>
      <c r="AD75" s="216"/>
      <c r="AE75" s="216"/>
      <c r="AG75" s="216"/>
      <c r="AH75" s="216"/>
    </row>
    <row r="76" spans="2:34">
      <c r="B76" s="135">
        <v>10234</v>
      </c>
      <c r="C76" s="136" t="s">
        <v>79</v>
      </c>
      <c r="D76" s="211">
        <f>IF(Init!$R$9="Yes",'Staging Table'!F78,'Staging Table'!BS78)*Rates_previous!$E$76*100*12</f>
        <v>17163551.520120002</v>
      </c>
      <c r="E76" s="211">
        <f>IF(Init!$R$9="Yes",'Staging Table'!F78,'Staging Table'!BS78)*Rates_previous!$E$77*100*12</f>
        <v>-1736371.1046000002</v>
      </c>
      <c r="F76" s="212">
        <f>IF(Init!$R$9="Yes",SUMPRODUCT('Staging Table'!L78:AI78,LS_Demand_Rates_Restatement!$C$4:$Z$4)-IF(Init!$R$12="No",('Staging Table'!BH78*Rates_previous!$H$34), 0),SUMPRODUCT('Staging Table'!BY78:CV78,LS_Demand_Rates_Restatement!$C$4:$Z$4)-IF(Init!$R$12="No", 'Staging Table'!DU78*Rates_previous!$H$34, 0))</f>
        <v>346558.60344203352</v>
      </c>
      <c r="G76" s="212">
        <f>IF(Init!$R$9="Yes",SUMPRODUCT('Staging Table'!AJ78:AU78,LS_Demand_Rates_Restatement!$C$10:$N$10),SUMPRODUCT(LS_Demand_Rates_Restatement!$C$10:$N$10,'Staging Table'!CW78:DH78))*1000</f>
        <v>1351749.309472614</v>
      </c>
      <c r="H76" s="213">
        <f>IF(Init!$R$9="Yes",'Staging Table'!BQ78,'Staging Table'!ED78)*IF(Init!$R$3=2020,Rates_previous!$C$88,Rates_previous!$D$88)</f>
        <v>0</v>
      </c>
      <c r="I76" s="211">
        <f>IF(Init!$R$9="Yes",IF('Staging Table'!$F$1=2020,(SUM('Staging Table'!AX78:BD78)*Rates_previous!$C$87),(SUM('Staging Table'!AX78:BD78)*Rates_previous!$D$87)),IF('Staging Table'!$F$1=2020,(SUM('Staging Table'!DK78:DQ78)*Rates_previous!$C$87),(SUM('Staging Table'!DK78:DQ78)*Rates_previous!$D$87)))</f>
        <v>210547.97397822249</v>
      </c>
      <c r="J76" s="213">
        <f>IF(Init!$R$9="Yes",IF('Staging Table'!D78=1,'Staging Table'!H78*-1*'Staging Table'!BS78/'Staging Table'!BR78,'Staging Table'!H78*SUM(D76:I76)*(-1)),IF('Staging Table'!D78=1,'Staging Table'!BU78*-1*'Staging Table'!BS78/'Staging Table'!BR78,'Staging Table'!BU78*SUM(D76:I76)*(-1)))</f>
        <v>-939181.96235104522</v>
      </c>
      <c r="K76" s="211">
        <f>IF(Init!$R$9="Yes",'Staging Table'!K78,'Staging Table'!BX78)*(-1)*Rates_previous!$H$32</f>
        <v>0</v>
      </c>
      <c r="L76" s="211">
        <f>IF('Staging Table'!C78=1,"",SUM(D76:K76))</f>
        <v>16396854.340061827</v>
      </c>
      <c r="M76" s="211">
        <f>IF('Staging Table'!C78=1,"",IF(Init!$R$9="Yes",(RT1SC!$C$3*'Staging Table'!F78*'Staging Table'!$F$2)+SUM('Staging Table'!L78:AI78)-IF(Init!$R$12="No",'Staging Table'!BH78, 0),X76))</f>
        <v>445603.53600000002</v>
      </c>
      <c r="N76" s="95">
        <f>IF('Staging Table'!C78=1,"",IF(M76=0, 0, L76/M76))</f>
        <v>36.796957419255818</v>
      </c>
      <c r="O76" s="211">
        <f>'Staging Table'!BS78*Rates_current!$E$76*100*12</f>
        <v>17318364.552279156</v>
      </c>
      <c r="P76" s="211">
        <f>'Staging Table'!BS78*Rates_current!$E$77*100*12</f>
        <v>-2859303.5428957003</v>
      </c>
      <c r="Q76" s="212">
        <f>SUMPRODUCT('Staging Table'!BY78:CV78, LS_Demand_Rates_Restatement!$C$5:$Z$5)-IF(Init!$R$12="No",('Staging Table'!DU78*Rates_current!$H$34), 0)</f>
        <v>344360.26468319702</v>
      </c>
      <c r="R76" s="212">
        <f>SUMPRODUCT('Staging Table'!CW78:DH78, LS_Demand_Rates_Restatement!$C$11:$N$11)*1000</f>
        <v>1273445.6579748576</v>
      </c>
      <c r="S76" s="213">
        <f>'Staging Table'!ED78*IF(Init!$R$15="Yes",IF(Init!$R$6=2022,Rates_current!$C$88,Rates_current!$D$88),Rates_current!$H$33)</f>
        <v>0</v>
      </c>
      <c r="T76" s="213">
        <v>0</v>
      </c>
      <c r="U76" s="213">
        <f>IF('Staging Table'!D78=1, 'Staging Table'!BU78*-1*'Staging Table'!BS78/'Staging Table'!BR78,SUM(O76:T76)*'Staging Table'!BU78*-1)</f>
        <v>-1068314.5492902473</v>
      </c>
      <c r="V76" s="211">
        <f>'Staging Table'!BX78*Rates_current!$H$32*-1</f>
        <v>0</v>
      </c>
      <c r="W76" s="211">
        <f>IF('Staging Table'!C78=1,"", SUM(O76:V76))</f>
        <v>15008552.382751262</v>
      </c>
      <c r="X76" s="211">
        <f>IF('Staging Table'!C78=1,"", (RT1SC!$C$4*'Staging Table'!BS78*'Staging Table'!$BS$2)+SUM('Staging Table'!BY78:CV78)-IF(Init!$R$12="No",'Staging Table'!DU78, 0))</f>
        <v>426156.48000000004</v>
      </c>
      <c r="Y76" s="95">
        <f>IF('Staging Table'!C78=1,"",IF(X76=0, 0, W76/X76))</f>
        <v>35.218407057312049</v>
      </c>
      <c r="Z76" s="87">
        <f ca="1">IF('Staging Table'!C78=1,"",(Y76/N76-1)+(RAND()/100000000000000))</f>
        <v>-4.2898937103897507E-2</v>
      </c>
      <c r="AA76" s="53">
        <f t="shared" ca="1" si="1"/>
        <v>99</v>
      </c>
      <c r="AC76" s="421"/>
      <c r="AD76" s="216"/>
      <c r="AE76" s="216"/>
      <c r="AG76" s="216"/>
      <c r="AH76" s="216"/>
    </row>
    <row r="77" spans="2:34">
      <c r="B77" s="135">
        <v>10235</v>
      </c>
      <c r="C77" s="136" t="s">
        <v>80</v>
      </c>
      <c r="D77" s="211">
        <f>IF(Init!$R$9="Yes",'Staging Table'!F79,'Staging Table'!BS79)*Rates_previous!$E$76*100*12</f>
        <v>10634381.278200001</v>
      </c>
      <c r="E77" s="211">
        <f>IF(Init!$R$9="Yes",'Staging Table'!F79,'Staging Table'!BS79)*Rates_previous!$E$77*100*12</f>
        <v>-1075839.831</v>
      </c>
      <c r="F77" s="212">
        <f>IF(Init!$R$9="Yes",SUMPRODUCT('Staging Table'!L79:AI79,LS_Demand_Rates_Restatement!$C$4:$Z$4)-IF(Init!$R$12="No",('Staging Table'!BH79*Rates_previous!$H$34), 0),SUMPRODUCT('Staging Table'!BY79:CV79,LS_Demand_Rates_Restatement!$C$4:$Z$4)-IF(Init!$R$12="No", 'Staging Table'!DU79*Rates_previous!$H$34, 0))</f>
        <v>-68620.471861395257</v>
      </c>
      <c r="G77" s="212">
        <f>IF(Init!$R$9="Yes",SUMPRODUCT('Staging Table'!AJ79:AU79,LS_Demand_Rates_Restatement!$C$10:$N$10),SUMPRODUCT(LS_Demand_Rates_Restatement!$C$10:$N$10,'Staging Table'!CW79:DH79))*1000</f>
        <v>536284.30148664524</v>
      </c>
      <c r="H77" s="213">
        <f>IF(Init!$R$9="Yes",'Staging Table'!BQ79,'Staging Table'!ED79)*IF(Init!$R$3=2020,Rates_previous!$C$88,Rates_previous!$D$88)</f>
        <v>-195169.66603632807</v>
      </c>
      <c r="I77" s="211">
        <f>IF(Init!$R$9="Yes",IF('Staging Table'!$F$1=2020,(SUM('Staging Table'!AX79:BD79)*Rates_previous!$C$87),(SUM('Staging Table'!AX79:BD79)*Rates_previous!$D$87)),IF('Staging Table'!$F$1=2020,(SUM('Staging Table'!DK79:DQ79)*Rates_previous!$C$87),(SUM('Staging Table'!DK79:DQ79)*Rates_previous!$D$87)))</f>
        <v>130453.62027854336</v>
      </c>
      <c r="J77" s="213">
        <f>IF(Init!$R$9="Yes",IF('Staging Table'!D79=1,'Staging Table'!H79*-1*'Staging Table'!BS79/'Staging Table'!BR79,'Staging Table'!H79*SUM(D77:I77)*(-1)),IF('Staging Table'!D79=1,'Staging Table'!BU79*-1*'Staging Table'!BS79/'Staging Table'!BR79,'Staging Table'!BU79*SUM(D77:I77)*(-1)))</f>
        <v>0</v>
      </c>
      <c r="K77" s="211">
        <f>IF(Init!$R$9="Yes",'Staging Table'!K79,'Staging Table'!BX79)*(-1)*Rates_previous!$H$32</f>
        <v>0</v>
      </c>
      <c r="L77" s="211">
        <f>IF('Staging Table'!C79=1,"",SUM(D77:K77))</f>
        <v>9961489.2310674638</v>
      </c>
      <c r="M77" s="211">
        <f>IF('Staging Table'!C79=1,"",IF(Init!$R$9="Yes",(RT1SC!$C$3*'Staging Table'!F79*'Staging Table'!$F$2)+SUM('Staging Table'!L79:AI79)-IF(Init!$R$12="No",'Staging Table'!BH79, 0),X77))</f>
        <v>263626.96236294199</v>
      </c>
      <c r="N77" s="95">
        <f>IF('Staging Table'!C79=1,"",IF(M77=0, 0, L77/M77))</f>
        <v>37.786306612118175</v>
      </c>
      <c r="O77" s="211">
        <f>'Staging Table'!BS79*Rates_current!$E$76*100*12</f>
        <v>10920471.426141882</v>
      </c>
      <c r="P77" s="211">
        <f>'Staging Table'!BS79*Rates_current!$E$77*100*12</f>
        <v>-1802996.0360633146</v>
      </c>
      <c r="Q77" s="212">
        <f>SUMPRODUCT('Staging Table'!BY79:CV79, LS_Demand_Rates_Restatement!$C$5:$Z$5)-IF(Init!$R$12="No",('Staging Table'!DU79*Rates_current!$H$34), 0)</f>
        <v>-6652.6944180373212</v>
      </c>
      <c r="R77" s="212">
        <f>SUMPRODUCT('Staging Table'!CW79:DH79, LS_Demand_Rates_Restatement!$C$11:$N$11)*1000</f>
        <v>490324.52277326386</v>
      </c>
      <c r="S77" s="213">
        <f>'Staging Table'!ED79*IF(Init!$R$15="Yes",IF(Init!$R$6=2022,Rates_current!$C$88,Rates_current!$D$88),Rates_current!$H$33)</f>
        <v>-31129.192890142243</v>
      </c>
      <c r="T77" s="213">
        <v>0</v>
      </c>
      <c r="U77" s="213">
        <f>IF('Staging Table'!D79=1, 'Staging Table'!BU79*-1*'Staging Table'!BS79/'Staging Table'!BR79,SUM(O77:T77)*'Staging Table'!BU79*-1)</f>
        <v>0</v>
      </c>
      <c r="V77" s="211">
        <f>'Staging Table'!BX79*Rates_current!$H$32*-1</f>
        <v>0</v>
      </c>
      <c r="W77" s="211">
        <f>IF('Staging Table'!C79=1,"", SUM(O77:V77))</f>
        <v>9570018.0255436506</v>
      </c>
      <c r="X77" s="211">
        <f>IF('Staging Table'!C79=1,"", (RT1SC!$C$4*'Staging Table'!BS79*'Staging Table'!$BS$2)+SUM('Staging Table'!BY79:CV79)-IF(Init!$R$12="No",'Staging Table'!DU79, 0))</f>
        <v>263626.96574629424</v>
      </c>
      <c r="Y77" s="95">
        <f>IF('Staging Table'!C79=1,"",IF(X77=0, 0, W77/X77))</f>
        <v>36.301362413560966</v>
      </c>
      <c r="Z77" s="87">
        <f ca="1">IF('Staging Table'!C79=1,"",(Y77/N77-1)+(RAND()/100000000000000))</f>
        <v>-3.9298474280645118E-2</v>
      </c>
      <c r="AA77" s="53">
        <f t="shared" ca="1" si="1"/>
        <v>82</v>
      </c>
      <c r="AC77" s="421"/>
      <c r="AD77" s="216"/>
      <c r="AE77" s="216"/>
      <c r="AG77" s="216"/>
      <c r="AH77" s="216"/>
    </row>
    <row r="78" spans="2:34">
      <c r="B78" s="135">
        <v>10236</v>
      </c>
      <c r="C78" s="136" t="s">
        <v>81</v>
      </c>
      <c r="D78" s="211">
        <f>IF(Init!$R$9="Yes",'Staging Table'!F80,'Staging Table'!BS80)*Rates_previous!$E$76*100*12</f>
        <v>9283248.0216000006</v>
      </c>
      <c r="E78" s="211">
        <f>IF(Init!$R$9="Yes",'Staging Table'!F80,'Staging Table'!BS80)*Rates_previous!$E$77*100*12</f>
        <v>-939150.82799999998</v>
      </c>
      <c r="F78" s="212">
        <f>IF(Init!$R$9="Yes",SUMPRODUCT('Staging Table'!L80:AI80,LS_Demand_Rates_Restatement!$C$4:$Z$4)-IF(Init!$R$12="No",('Staging Table'!BH80*Rates_previous!$H$34), 0),SUMPRODUCT('Staging Table'!BY80:CV80,LS_Demand_Rates_Restatement!$C$4:$Z$4)-IF(Init!$R$12="No", 'Staging Table'!DU80*Rates_previous!$H$34, 0))</f>
        <v>0</v>
      </c>
      <c r="G78" s="212">
        <f>IF(Init!$R$9="Yes",SUMPRODUCT('Staging Table'!AJ80:AU80,LS_Demand_Rates_Restatement!$C$10:$N$10),SUMPRODUCT(LS_Demand_Rates_Restatement!$C$10:$N$10,'Staging Table'!CW80:DH80))*1000</f>
        <v>0</v>
      </c>
      <c r="H78" s="213">
        <f>IF(Init!$R$9="Yes",'Staging Table'!BQ80,'Staging Table'!ED80)*IF(Init!$R$3=2020,Rates_previous!$C$88,Rates_previous!$D$88)</f>
        <v>-35.232311992489265</v>
      </c>
      <c r="I78" s="211">
        <f>IF(Init!$R$9="Yes",IF('Staging Table'!$F$1=2020,(SUM('Staging Table'!AX80:BD80)*Rates_previous!$C$87),(SUM('Staging Table'!AX80:BD80)*Rates_previous!$D$87)),IF('Staging Table'!$F$1=2020,(SUM('Staging Table'!DK80:DQ80)*Rates_previous!$C$87),(SUM('Staging Table'!DK80:DQ80)*Rates_previous!$D$87)))</f>
        <v>113879.05705844011</v>
      </c>
      <c r="J78" s="213">
        <f>IF(Init!$R$9="Yes",IF('Staging Table'!D80=1,'Staging Table'!H80*-1*'Staging Table'!BS80/'Staging Table'!BR80,'Staging Table'!H80*SUM(D78:I78)*(-1)),IF('Staging Table'!D80=1,'Staging Table'!BU80*-1*'Staging Table'!BS80/'Staging Table'!BR80,'Staging Table'!BU80*SUM(D78:I78)*(-1)))</f>
        <v>-549766.16619251913</v>
      </c>
      <c r="K78" s="211">
        <f>IF(Init!$R$9="Yes",'Staging Table'!K80,'Staging Table'!BX80)*(-1)*Rates_previous!$H$32</f>
        <v>0</v>
      </c>
      <c r="L78" s="211" t="str">
        <f>IF('Staging Table'!C80=1,"",SUM(D78:K78))</f>
        <v/>
      </c>
      <c r="M78" s="211" t="str">
        <f>IF('Staging Table'!C80=1,"",IF(Init!$R$9="Yes",(RT1SC!$C$3*'Staging Table'!F80*'Staging Table'!$F$2)+SUM('Staging Table'!L80:AI80)-IF(Init!$R$12="No",'Staging Table'!BH80, 0),X78))</f>
        <v/>
      </c>
      <c r="N78" s="95" t="str">
        <f>IF('Staging Table'!C80=1,"",IF(M78=0, 0, L78/M78))</f>
        <v/>
      </c>
      <c r="O78" s="211">
        <f>'Staging Table'!BS80*Rates_current!$E$76*100*12</f>
        <v>9747080.7043685876</v>
      </c>
      <c r="P78" s="211">
        <f>'Staging Table'!BS80*Rates_current!$E$77*100*12</f>
        <v>-1609266.4123543729</v>
      </c>
      <c r="Q78" s="212">
        <f>SUMPRODUCT('Staging Table'!BY80:CV80, LS_Demand_Rates_Restatement!$C$5:$Z$5)-IF(Init!$R$12="No",('Staging Table'!DU80*Rates_current!$H$34), 0)</f>
        <v>0</v>
      </c>
      <c r="R78" s="212">
        <f>SUMPRODUCT('Staging Table'!CW80:DH80, LS_Demand_Rates_Restatement!$C$11:$N$11)*1000</f>
        <v>0</v>
      </c>
      <c r="S78" s="213">
        <f>'Staging Table'!ED80*IF(Init!$R$15="Yes",IF(Init!$R$6=2022,Rates_current!$C$88,Rates_current!$D$88),Rates_current!$H$33)</f>
        <v>-3.6848054798899104</v>
      </c>
      <c r="T78" s="213">
        <v>0</v>
      </c>
      <c r="U78" s="213">
        <f>IF('Staging Table'!D80=1, 'Staging Table'!BU80*-1*'Staging Table'!BS80/'Staging Table'!BR80,SUM(O78:T78)*'Staging Table'!BU80*-1)</f>
        <v>-528957.68946856784</v>
      </c>
      <c r="V78" s="211">
        <f>'Staging Table'!BX80*Rates_current!$H$32*-1</f>
        <v>0</v>
      </c>
      <c r="W78" s="211" t="str">
        <f>IF('Staging Table'!C80=1,"", SUM(O78:V78))</f>
        <v/>
      </c>
      <c r="X78" s="211" t="str">
        <f>IF('Staging Table'!C80=1,"", (RT1SC!$C$4*'Staging Table'!BS80*'Staging Table'!$BS$2)+SUM('Staging Table'!BY80:CV80)-IF(Init!$R$12="No",'Staging Table'!DU80, 0))</f>
        <v/>
      </c>
      <c r="Y78" s="95" t="str">
        <f>IF('Staging Table'!C80=1,"",IF(X78=0, 0, W78/X78))</f>
        <v/>
      </c>
      <c r="Z78" s="87" t="str">
        <f ca="1">IF('Staging Table'!C80=1,"",(Y78/N78-1)+(RAND()/100000000000000))</f>
        <v/>
      </c>
      <c r="AA78" s="53" t="str">
        <f t="shared" ca="1" si="1"/>
        <v/>
      </c>
      <c r="AC78" s="421"/>
      <c r="AD78" s="216"/>
      <c r="AE78" s="216"/>
      <c r="AG78" s="216"/>
      <c r="AH78" s="216"/>
    </row>
    <row r="79" spans="2:34">
      <c r="B79" s="135">
        <v>10237</v>
      </c>
      <c r="C79" s="136" t="s">
        <v>82</v>
      </c>
      <c r="D79" s="211">
        <f>IF(Init!$R$9="Yes",'Staging Table'!F81,'Staging Table'!BS81)*Rates_previous!$E$76*100*12</f>
        <v>12576590.772119999</v>
      </c>
      <c r="E79" s="211">
        <f>IF(Init!$R$9="Yes",'Staging Table'!F81,'Staging Table'!BS81)*Rates_previous!$E$77*100*12</f>
        <v>-1272325.7646000001</v>
      </c>
      <c r="F79" s="212">
        <f>IF(Init!$R$9="Yes",SUMPRODUCT('Staging Table'!L81:AI81,LS_Demand_Rates_Restatement!$C$4:$Z$4)-IF(Init!$R$12="No",('Staging Table'!BH81*Rates_previous!$H$34), 0),SUMPRODUCT('Staging Table'!BY81:CV81,LS_Demand_Rates_Restatement!$C$4:$Z$4)-IF(Init!$R$12="No", 'Staging Table'!DU81*Rates_previous!$H$34, 0))</f>
        <v>113219.83421503429</v>
      </c>
      <c r="G79" s="212">
        <f>IF(Init!$R$9="Yes",SUMPRODUCT('Staging Table'!AJ81:AU81,LS_Demand_Rates_Restatement!$C$10:$N$10),SUMPRODUCT(LS_Demand_Rates_Restatement!$C$10:$N$10,'Staging Table'!CW81:DH81))*1000</f>
        <v>0</v>
      </c>
      <c r="H79" s="213">
        <f>IF(Init!$R$9="Yes",'Staging Table'!BQ81,'Staging Table'!ED81)*IF(Init!$R$3=2020,Rates_previous!$C$88,Rates_previous!$D$88)</f>
        <v>0</v>
      </c>
      <c r="I79" s="211">
        <f>IF(Init!$R$9="Yes",IF('Staging Table'!$F$1=2020,(SUM('Staging Table'!AX81:BD81)*Rates_previous!$C$87),(SUM('Staging Table'!AX81:BD81)*Rates_previous!$D$87)),IF('Staging Table'!$F$1=2020,(SUM('Staging Table'!DK81:DQ81)*Rates_previous!$C$87),(SUM('Staging Table'!DK81:DQ81)*Rates_previous!$D$87)))</f>
        <v>154279.00825298196</v>
      </c>
      <c r="J79" s="213">
        <f>IF(Init!$R$9="Yes",IF('Staging Table'!D81=1,'Staging Table'!H81*-1*'Staging Table'!BS81/'Staging Table'!BR81,'Staging Table'!H81*SUM(D79:I79)*(-1)),IF('Staging Table'!D81=1,'Staging Table'!BU81*-1*'Staging Table'!BS81/'Staging Table'!BR81,'Staging Table'!BU81*SUM(D79:I79)*(-1)))</f>
        <v>-690060.47688139603</v>
      </c>
      <c r="K79" s="211">
        <f>IF(Init!$R$9="Yes",'Staging Table'!K81,'Staging Table'!BX81)*(-1)*Rates_previous!$H$32</f>
        <v>0</v>
      </c>
      <c r="L79" s="211">
        <f>IF('Staging Table'!C81=1,"",SUM(D79:K79))</f>
        <v>10881703.373106619</v>
      </c>
      <c r="M79" s="211">
        <f>IF('Staging Table'!C81=1,"",IF(Init!$R$9="Yes",(RT1SC!$C$3*'Staging Table'!F81*'Staging Table'!$F$2)+SUM('Staging Table'!L81:AI81)-IF(Init!$R$12="No",'Staging Table'!BH81, 0),X79))</f>
        <v>326515.96125002991</v>
      </c>
      <c r="N79" s="95">
        <f>IF('Staging Table'!C81=1,"",IF(M79=0, 0, L79/M79))</f>
        <v>33.326711905437129</v>
      </c>
      <c r="O79" s="211">
        <f>'Staging Table'!BS81*Rates_current!$E$76*100*12</f>
        <v>14320019.121187497</v>
      </c>
      <c r="P79" s="211">
        <f>'Staging Table'!BS81*Rates_current!$E$77*100*12</f>
        <v>-2364269.5177101493</v>
      </c>
      <c r="Q79" s="212">
        <f>SUMPRODUCT('Staging Table'!BY81:CV81, LS_Demand_Rates_Restatement!$C$5:$Z$5)-IF(Init!$R$12="No",('Staging Table'!DU81*Rates_current!$H$34), 0)</f>
        <v>69213.604964154802</v>
      </c>
      <c r="R79" s="212">
        <f>SUMPRODUCT('Staging Table'!CW81:DH81, LS_Demand_Rates_Restatement!$C$11:$N$11)*1000</f>
        <v>0</v>
      </c>
      <c r="S79" s="213">
        <f>'Staging Table'!ED81*IF(Init!$R$15="Yes",IF(Init!$R$6=2022,Rates_current!$C$88,Rates_current!$D$88),Rates_current!$H$33)</f>
        <v>0</v>
      </c>
      <c r="T79" s="213">
        <v>0</v>
      </c>
      <c r="U79" s="213">
        <f>IF('Staging Table'!D81=1, 'Staging Table'!BU81*-1*'Staging Table'!BS81/'Staging Table'!BR81,SUM(O79:T79)*'Staging Table'!BU81*-1)</f>
        <v>-690060.47688139603</v>
      </c>
      <c r="V79" s="211">
        <f>'Staging Table'!BX81*Rates_current!$H$32*-1</f>
        <v>0</v>
      </c>
      <c r="W79" s="211">
        <f>IF('Staging Table'!C81=1,"", SUM(O79:V79))</f>
        <v>11334902.731560107</v>
      </c>
      <c r="X79" s="211">
        <f>IF('Staging Table'!C81=1,"", (RT1SC!$C$4*'Staging Table'!BS81*'Staging Table'!$BS$2)+SUM('Staging Table'!BY81:CV81)-IF(Init!$R$12="No",'Staging Table'!DU81, 0))</f>
        <v>352376.47013174731</v>
      </c>
      <c r="Y79" s="95">
        <f>IF('Staging Table'!C81=1,"",IF(X79=0, 0, W79/X79))</f>
        <v>32.167025021058265</v>
      </c>
      <c r="Z79" s="87">
        <f ca="1">IF('Staging Table'!C81=1,"",(Y79/N79-1)+(RAND()/100000000000000))</f>
        <v>-3.4797518809212592E-2</v>
      </c>
      <c r="AA79" s="53">
        <f t="shared" ca="1" si="1"/>
        <v>35</v>
      </c>
      <c r="AC79" s="421"/>
      <c r="AD79" s="216"/>
      <c r="AE79" s="216"/>
      <c r="AG79" s="216"/>
      <c r="AH79" s="216"/>
    </row>
    <row r="80" spans="2:34">
      <c r="B80" s="135">
        <v>10239</v>
      </c>
      <c r="C80" s="136" t="s">
        <v>83</v>
      </c>
      <c r="D80" s="211">
        <f>IF(Init!$R$9="Yes",'Staging Table'!F82,'Staging Table'!BS82)*Rates_previous!$E$76*100*12</f>
        <v>4711735.5870000003</v>
      </c>
      <c r="E80" s="211">
        <f>IF(Init!$R$9="Yes",'Staging Table'!F82,'Staging Table'!BS82)*Rates_previous!$E$77*100*12</f>
        <v>-476668.33500000002</v>
      </c>
      <c r="F80" s="212">
        <f>IF(Init!$R$9="Yes",SUMPRODUCT('Staging Table'!L82:AI82,LS_Demand_Rates_Restatement!$C$4:$Z$4)-IF(Init!$R$12="No",('Staging Table'!BH82*Rates_previous!$H$34), 0),SUMPRODUCT('Staging Table'!BY82:CV82,LS_Demand_Rates_Restatement!$C$4:$Z$4)-IF(Init!$R$12="No", 'Staging Table'!DU82*Rates_previous!$H$34, 0))</f>
        <v>0</v>
      </c>
      <c r="G80" s="212">
        <f>IF(Init!$R$9="Yes",SUMPRODUCT('Staging Table'!AJ82:AU82,LS_Demand_Rates_Restatement!$C$10:$N$10),SUMPRODUCT(LS_Demand_Rates_Restatement!$C$10:$N$10,'Staging Table'!CW82:DH82))*1000</f>
        <v>0</v>
      </c>
      <c r="H80" s="213">
        <f>IF(Init!$R$9="Yes",'Staging Table'!BQ82,'Staging Table'!ED82)*IF(Init!$R$3=2020,Rates_previous!$C$88,Rates_previous!$D$88)</f>
        <v>0</v>
      </c>
      <c r="I80" s="211">
        <f>IF(Init!$R$9="Yes",IF('Staging Table'!$F$1=2020,(SUM('Staging Table'!AX82:BD82)*Rates_previous!$C$87),(SUM('Staging Table'!AX82:BD82)*Rates_previous!$D$87)),IF('Staging Table'!$F$1=2020,(SUM('Staging Table'!DK82:DQ82)*Rates_previous!$C$87),(SUM('Staging Table'!DK82:DQ82)*Rates_previous!$D$87)))</f>
        <v>57799.598212585137</v>
      </c>
      <c r="J80" s="213">
        <f>IF(Init!$R$9="Yes",IF('Staging Table'!D82=1,'Staging Table'!H82*-1*'Staging Table'!BS82/'Staging Table'!BR82,'Staging Table'!H82*SUM(D80:I80)*(-1)),IF('Staging Table'!D82=1,'Staging Table'!BU82*-1*'Staging Table'!BS82/'Staging Table'!BR82,'Staging Table'!BU82*SUM(D80:I80)*(-1)))</f>
        <v>-300716.46342951182</v>
      </c>
      <c r="K80" s="211">
        <f>IF(Init!$R$9="Yes",'Staging Table'!K82,'Staging Table'!BX82)*(-1)*Rates_previous!$H$32</f>
        <v>0</v>
      </c>
      <c r="L80" s="211" t="str">
        <f>IF('Staging Table'!C82=1,"",SUM(D80:K80))</f>
        <v/>
      </c>
      <c r="M80" s="211" t="str">
        <f>IF('Staging Table'!C82=1,"",IF(Init!$R$9="Yes",(RT1SC!$C$3*'Staging Table'!F82*'Staging Table'!$F$2)+SUM('Staging Table'!L82:AI82)-IF(Init!$R$12="No",'Staging Table'!BH82, 0),X80))</f>
        <v/>
      </c>
      <c r="N80" s="95" t="str">
        <f>IF('Staging Table'!C82=1,"",IF(M80=0, 0, L80/M80))</f>
        <v/>
      </c>
      <c r="O80" s="211">
        <f>'Staging Table'!BS82*Rates_current!$E$76*100*12</f>
        <v>4754234.8373504058</v>
      </c>
      <c r="P80" s="211">
        <f>'Staging Table'!BS82*Rates_current!$E$77*100*12</f>
        <v>-784935.57940522663</v>
      </c>
      <c r="Q80" s="212">
        <f>SUMPRODUCT('Staging Table'!BY82:CV82, LS_Demand_Rates_Restatement!$C$5:$Z$5)-IF(Init!$R$12="No",('Staging Table'!DU82*Rates_current!$H$34), 0)</f>
        <v>0</v>
      </c>
      <c r="R80" s="212">
        <f>SUMPRODUCT('Staging Table'!CW82:DH82, LS_Demand_Rates_Restatement!$C$11:$N$11)*1000</f>
        <v>0</v>
      </c>
      <c r="S80" s="213">
        <f>'Staging Table'!ED82*IF(Init!$R$15="Yes",IF(Init!$R$6=2022,Rates_current!$C$88,Rates_current!$D$88),Rates_current!$H$33)</f>
        <v>0</v>
      </c>
      <c r="T80" s="213">
        <v>0</v>
      </c>
      <c r="U80" s="213">
        <f>IF('Staging Table'!D82=1, 'Staging Table'!BU82*-1*'Staging Table'!BS82/'Staging Table'!BR82,SUM(O80:T80)*'Staging Table'!BU82*-1)</f>
        <v>-304939.0749276806</v>
      </c>
      <c r="V80" s="211">
        <f>'Staging Table'!BX82*Rates_current!$H$32*-1</f>
        <v>0</v>
      </c>
      <c r="W80" s="211" t="str">
        <f>IF('Staging Table'!C82=1,"", SUM(O80:V80))</f>
        <v/>
      </c>
      <c r="X80" s="211" t="str">
        <f>IF('Staging Table'!C82=1,"", (RT1SC!$C$4*'Staging Table'!BS82*'Staging Table'!$BS$2)+SUM('Staging Table'!BY82:CV82)-IF(Init!$R$12="No",'Staging Table'!DU82, 0))</f>
        <v/>
      </c>
      <c r="Y80" s="95" t="str">
        <f>IF('Staging Table'!C82=1,"",IF(X80=0, 0, W80/X80))</f>
        <v/>
      </c>
      <c r="Z80" s="87" t="str">
        <f ca="1">IF('Staging Table'!C82=1,"",(Y80/N80-1)+(RAND()/100000000000000))</f>
        <v/>
      </c>
      <c r="AA80" s="53" t="str">
        <f t="shared" ca="1" si="1"/>
        <v/>
      </c>
      <c r="AC80" s="421"/>
      <c r="AD80" s="216"/>
      <c r="AE80" s="216"/>
      <c r="AG80" s="216"/>
      <c r="AH80" s="216"/>
    </row>
    <row r="81" spans="2:34">
      <c r="B81" s="135">
        <v>10242</v>
      </c>
      <c r="C81" s="136" t="s">
        <v>84</v>
      </c>
      <c r="D81" s="211">
        <f>IF(Init!$R$9="Yes",'Staging Table'!F83,'Staging Table'!BS83)*Rates_previous!$E$76*100*12</f>
        <v>3205643.8636800004</v>
      </c>
      <c r="E81" s="211">
        <f>IF(Init!$R$9="Yes",'Staging Table'!F83,'Staging Table'!BS83)*Rates_previous!$E$77*100*12</f>
        <v>-324302.77439999999</v>
      </c>
      <c r="F81" s="212">
        <f>IF(Init!$R$9="Yes",SUMPRODUCT('Staging Table'!L83:AI83,LS_Demand_Rates_Restatement!$C$4:$Z$4)-IF(Init!$R$12="No",('Staging Table'!BH83*Rates_previous!$H$34), 0),SUMPRODUCT('Staging Table'!BY83:CV83,LS_Demand_Rates_Restatement!$C$4:$Z$4)-IF(Init!$R$12="No", 'Staging Table'!DU83*Rates_previous!$H$34, 0))</f>
        <v>-113678.94245700375</v>
      </c>
      <c r="G81" s="212">
        <f>IF(Init!$R$9="Yes",SUMPRODUCT('Staging Table'!AJ83:AU83,LS_Demand_Rates_Restatement!$C$10:$N$10),SUMPRODUCT(LS_Demand_Rates_Restatement!$C$10:$N$10,'Staging Table'!CW83:DH83))*1000</f>
        <v>175495.64823985039</v>
      </c>
      <c r="H81" s="213">
        <f>IF(Init!$R$9="Yes",'Staging Table'!BQ83,'Staging Table'!ED83)*IF(Init!$R$3=2020,Rates_previous!$C$88,Rates_previous!$D$88)</f>
        <v>0</v>
      </c>
      <c r="I81" s="211">
        <f>IF(Init!$R$9="Yes",IF('Staging Table'!$F$1=2020,(SUM('Staging Table'!AX83:BD83)*Rates_previous!$C$87),(SUM('Staging Table'!AX83:BD83)*Rates_previous!$D$87)),IF('Staging Table'!$F$1=2020,(SUM('Staging Table'!DK83:DQ83)*Rates_previous!$C$87),(SUM('Staging Table'!DK83:DQ83)*Rates_previous!$D$87)))</f>
        <v>39324.135217722491</v>
      </c>
      <c r="J81" s="213">
        <f>IF(Init!$R$9="Yes",IF('Staging Table'!D83=1,'Staging Table'!H83*-1*'Staging Table'!BS83/'Staging Table'!BR83,'Staging Table'!H83*SUM(D81:I81)*(-1)),IF('Staging Table'!D83=1,'Staging Table'!BU83*-1*'Staging Table'!BS83/'Staging Table'!BR83,'Staging Table'!BU83*SUM(D81:I81)*(-1)))</f>
        <v>-218512.83706400724</v>
      </c>
      <c r="K81" s="211">
        <f>IF(Init!$R$9="Yes",'Staging Table'!K83,'Staging Table'!BX83)*(-1)*Rates_previous!$H$32</f>
        <v>-417279.31234</v>
      </c>
      <c r="L81" s="211">
        <f>IF('Staging Table'!C83=1,"",SUM(D81:K81))</f>
        <v>2346689.780876562</v>
      </c>
      <c r="M81" s="211">
        <f>IF('Staging Table'!C83=1,"",IF(Init!$R$9="Yes",(RT1SC!$C$3*'Staging Table'!F83*'Staging Table'!$F$2)+SUM('Staging Table'!L83:AI83)-IF(Init!$R$12="No",'Staging Table'!BH83, 0),X81))</f>
        <v>83228.399999999994</v>
      </c>
      <c r="N81" s="95">
        <f>IF('Staging Table'!C83=1,"",IF(M81=0, 0, L81/M81))</f>
        <v>28.195781498581759</v>
      </c>
      <c r="O81" s="211">
        <f>'Staging Table'!BS83*Rates_current!$E$76*100*12</f>
        <v>3234798.1700388212</v>
      </c>
      <c r="P81" s="211">
        <f>'Staging Table'!BS83*Rates_current!$E$77*100*12</f>
        <v>-534072.93975269119</v>
      </c>
      <c r="Q81" s="212">
        <f>SUMPRODUCT('Staging Table'!BY83:CV83, LS_Demand_Rates_Restatement!$C$5:$Z$5)-IF(Init!$R$12="No",('Staging Table'!DU83*Rates_current!$H$34), 0)</f>
        <v>-103458.50184078583</v>
      </c>
      <c r="R81" s="212">
        <f>SUMPRODUCT('Staging Table'!CW83:DH83, LS_Demand_Rates_Restatement!$C$11:$N$11)*1000</f>
        <v>166406.47377817842</v>
      </c>
      <c r="S81" s="213">
        <f>'Staging Table'!ED83*IF(Init!$R$15="Yes",IF(Init!$R$6=2022,Rates_current!$C$88,Rates_current!$D$88),Rates_current!$H$33)</f>
        <v>0</v>
      </c>
      <c r="T81" s="213">
        <v>0</v>
      </c>
      <c r="U81" s="213">
        <f>IF('Staging Table'!D83=1, 'Staging Table'!BU83*-1*'Staging Table'!BS83/'Staging Table'!BR83,SUM(O81:T81)*'Staging Table'!BU83*-1)</f>
        <v>-205187.60455729306</v>
      </c>
      <c r="V81" s="211">
        <f>'Staging Table'!BX83*Rates_current!$H$32*-1</f>
        <v>-409391.94459999999</v>
      </c>
      <c r="W81" s="211">
        <f>IF('Staging Table'!C83=1,"", SUM(O81:V81))</f>
        <v>2149093.6530662295</v>
      </c>
      <c r="X81" s="211">
        <f>IF('Staging Table'!C83=1,"", (RT1SC!$C$4*'Staging Table'!BS83*'Staging Table'!$BS$2)+SUM('Staging Table'!BY83:CV83)-IF(Init!$R$12="No",'Staging Table'!DU83, 0))</f>
        <v>79602.12</v>
      </c>
      <c r="Y81" s="95">
        <f>IF('Staging Table'!C83=1,"",IF(X81=0, 0, W81/X81))</f>
        <v>26.997944942499391</v>
      </c>
      <c r="Z81" s="87">
        <f ca="1">IF('Staging Table'!C83=1,"",(Y81/N81-1)+(RAND()/100000000000000))</f>
        <v>-4.2482828721828104E-2</v>
      </c>
      <c r="AA81" s="53">
        <f t="shared" ca="1" si="1"/>
        <v>98</v>
      </c>
      <c r="AC81" s="421"/>
      <c r="AD81" s="216"/>
      <c r="AE81" s="216"/>
      <c r="AG81" s="216"/>
      <c r="AH81" s="216"/>
    </row>
    <row r="82" spans="2:34">
      <c r="B82" s="135">
        <v>10244</v>
      </c>
      <c r="C82" s="136" t="s">
        <v>85</v>
      </c>
      <c r="D82" s="211">
        <f>IF(Init!$R$9="Yes",'Staging Table'!F84,'Staging Table'!BS84)*Rates_previous!$E$76*100*12</f>
        <v>28955605.637879997</v>
      </c>
      <c r="E82" s="211">
        <f>IF(Init!$R$9="Yes",'Staging Table'!F84,'Staging Table'!BS84)*Rates_previous!$E$77*100*12</f>
        <v>-2929328.2853999999</v>
      </c>
      <c r="F82" s="212">
        <f>IF(Init!$R$9="Yes",SUMPRODUCT('Staging Table'!L84:AI84,LS_Demand_Rates_Restatement!$C$4:$Z$4)-IF(Init!$R$12="No",('Staging Table'!BH84*Rates_previous!$H$34), 0),SUMPRODUCT('Staging Table'!BY84:CV84,LS_Demand_Rates_Restatement!$C$4:$Z$4)-IF(Init!$R$12="No", 'Staging Table'!DU84*Rates_previous!$H$34, 0))</f>
        <v>794560.34582526074</v>
      </c>
      <c r="G82" s="212">
        <f>IF(Init!$R$9="Yes",SUMPRODUCT('Staging Table'!AJ84:AU84,LS_Demand_Rates_Restatement!$C$10:$N$10),SUMPRODUCT(LS_Demand_Rates_Restatement!$C$10:$N$10,'Staging Table'!CW84:DH84))*1000</f>
        <v>2251964.0692417389</v>
      </c>
      <c r="H82" s="213">
        <f>IF(Init!$R$9="Yes",'Staging Table'!BQ84,'Staging Table'!ED84)*IF(Init!$R$3=2020,Rates_previous!$C$88,Rates_previous!$D$88)</f>
        <v>0</v>
      </c>
      <c r="I82" s="211">
        <f>IF(Init!$R$9="Yes",IF('Staging Table'!$F$1=2020,(SUM('Staging Table'!AX84:BD84)*Rates_previous!$C$87),(SUM('Staging Table'!AX84:BD84)*Rates_previous!$D$87)),IF('Staging Table'!$F$1=2020,(SUM('Staging Table'!DK84:DQ84)*Rates_previous!$C$87),(SUM('Staging Table'!DK84:DQ84)*Rates_previous!$D$87)))</f>
        <v>355202.94824887183</v>
      </c>
      <c r="J82" s="213">
        <f>IF(Init!$R$9="Yes",IF('Staging Table'!D84=1,'Staging Table'!H84*-1*'Staging Table'!BS84/'Staging Table'!BR84,'Staging Table'!H84*SUM(D82:I82)*(-1)),IF('Staging Table'!D84=1,'Staging Table'!BU84*-1*'Staging Table'!BS84/'Staging Table'!BR84,'Staging Table'!BU84*SUM(D82:I82)*(-1)))</f>
        <v>-1826895.4980575836</v>
      </c>
      <c r="K82" s="211">
        <f>IF(Init!$R$9="Yes",'Staging Table'!K84,'Staging Table'!BX84)*(-1)*Rates_previous!$H$32</f>
        <v>0</v>
      </c>
      <c r="L82" s="211">
        <f>IF('Staging Table'!C84=1,"",SUM(D82:K82))</f>
        <v>27601109.217738286</v>
      </c>
      <c r="M82" s="211">
        <f>IF('Staging Table'!C84=1,"",IF(Init!$R$9="Yes",(RT1SC!$C$3*'Staging Table'!F84*'Staging Table'!$F$2)+SUM('Staging Table'!L84:AI84)-IF(Init!$R$12="No",'Staging Table'!BH84, 0),X82))</f>
        <v>751752.28799999994</v>
      </c>
      <c r="N82" s="95">
        <f>IF('Staging Table'!C84=1,"",IF(M82=0, 0, L82/M82))</f>
        <v>36.715696989988125</v>
      </c>
      <c r="O82" s="211">
        <f>'Staging Table'!BS84*Rates_current!$E$76*100*12</f>
        <v>29216781.484938815</v>
      </c>
      <c r="P82" s="211">
        <f>'Staging Table'!BS84*Rates_current!$E$77*100*12</f>
        <v>-4823760.7286596205</v>
      </c>
      <c r="Q82" s="212">
        <f>SUMPRODUCT('Staging Table'!BY84:CV84, LS_Demand_Rates_Restatement!$C$5:$Z$5)-IF(Init!$R$12="No",('Staging Table'!DU84*Rates_current!$H$34), 0)</f>
        <v>804491.96738736401</v>
      </c>
      <c r="R82" s="212">
        <f>SUMPRODUCT('Staging Table'!CW84:DH84, LS_Demand_Rates_Restatement!$C$11:$N$11)*1000</f>
        <v>2046589.4547575235</v>
      </c>
      <c r="S82" s="213">
        <f>'Staging Table'!ED84*IF(Init!$R$15="Yes",IF(Init!$R$6=2022,Rates_current!$C$88,Rates_current!$D$88),Rates_current!$H$33)</f>
        <v>0</v>
      </c>
      <c r="T82" s="213">
        <v>0</v>
      </c>
      <c r="U82" s="213">
        <f>IF('Staging Table'!D84=1, 'Staging Table'!BU84*-1*'Staging Table'!BS84/'Staging Table'!BR84,SUM(O82:T82)*'Staging Table'!BU84*-1)</f>
        <v>-1954660.0135878811</v>
      </c>
      <c r="V82" s="211">
        <f>'Staging Table'!BX84*Rates_current!$H$32*-1</f>
        <v>0</v>
      </c>
      <c r="W82" s="211">
        <f>IF('Staging Table'!C84=1,"", SUM(O82:V82))</f>
        <v>25289442.164836198</v>
      </c>
      <c r="X82" s="211">
        <f>IF('Staging Table'!C84=1,"", (RT1SC!$C$4*'Staging Table'!BS84*'Staging Table'!$BS$2)+SUM('Staging Table'!BY84:CV84)-IF(Init!$R$12="No",'Staging Table'!DU84, 0))</f>
        <v>718941.96</v>
      </c>
      <c r="Y82" s="95">
        <f>IF('Staging Table'!C84=1,"",IF(X82=0, 0, W82/X82))</f>
        <v>35.175916237850686</v>
      </c>
      <c r="Z82" s="87">
        <f ca="1">IF('Staging Table'!C84=1,"",(Y82/N82-1)+(RAND()/100000000000000))</f>
        <v>-4.1937941490176947E-2</v>
      </c>
      <c r="AA82" s="53">
        <f t="shared" ca="1" si="1"/>
        <v>97</v>
      </c>
      <c r="AC82" s="421"/>
      <c r="AD82" s="216"/>
      <c r="AE82" s="216"/>
      <c r="AG82" s="216"/>
      <c r="AH82" s="216"/>
    </row>
    <row r="83" spans="2:34">
      <c r="B83" s="135">
        <v>10246</v>
      </c>
      <c r="C83" s="136" t="s">
        <v>86</v>
      </c>
      <c r="D83" s="211">
        <f>IF(Init!$R$9="Yes",'Staging Table'!F85,'Staging Table'!BS85)*Rates_previous!$E$76*100*12</f>
        <v>2972255.49816</v>
      </c>
      <c r="E83" s="211">
        <f>IF(Init!$R$9="Yes",'Staging Table'!F85,'Staging Table'!BS85)*Rates_previous!$E$77*100*12</f>
        <v>-300691.76279999997</v>
      </c>
      <c r="F83" s="212">
        <f>IF(Init!$R$9="Yes",SUMPRODUCT('Staging Table'!L85:AI85,LS_Demand_Rates_Restatement!$C$4:$Z$4)-IF(Init!$R$12="No",('Staging Table'!BH85*Rates_previous!$H$34), 0),SUMPRODUCT('Staging Table'!BY85:CV85,LS_Demand_Rates_Restatement!$C$4:$Z$4)-IF(Init!$R$12="No", 'Staging Table'!DU85*Rates_previous!$H$34, 0))</f>
        <v>66809.66312041787</v>
      </c>
      <c r="G83" s="212">
        <f>IF(Init!$R$9="Yes",SUMPRODUCT('Staging Table'!AJ85:AU85,LS_Demand_Rates_Restatement!$C$10:$N$10),SUMPRODUCT(LS_Demand_Rates_Restatement!$C$10:$N$10,'Staging Table'!CW85:DH85))*1000</f>
        <v>232621.21651759263</v>
      </c>
      <c r="H83" s="213">
        <f>IF(Init!$R$9="Yes",'Staging Table'!BQ85,'Staging Table'!ED85)*IF(Init!$R$3=2020,Rates_previous!$C$88,Rates_previous!$D$88)</f>
        <v>-345.02274253885844</v>
      </c>
      <c r="I83" s="211">
        <f>IF(Init!$R$9="Yes",IF('Staging Table'!$F$1=2020,(SUM('Staging Table'!AX85:BD85)*Rates_previous!$C$87),(SUM('Staging Table'!AX85:BD85)*Rates_previous!$D$87)),IF('Staging Table'!$F$1=2020,(SUM('Staging Table'!DK85:DQ85)*Rates_previous!$C$87),(SUM('Staging Table'!DK85:DQ85)*Rates_previous!$D$87)))</f>
        <v>36461.12359377501</v>
      </c>
      <c r="J83" s="213">
        <f>IF(Init!$R$9="Yes",IF('Staging Table'!D85=1,'Staging Table'!H85*-1*'Staging Table'!BS85/'Staging Table'!BR85,'Staging Table'!H85*SUM(D83:I83)*(-1)),IF('Staging Table'!D85=1,'Staging Table'!BU85*-1*'Staging Table'!BS85/'Staging Table'!BR85,'Staging Table'!BU85*SUM(D83:I83)*(-1)))</f>
        <v>-165391.0893717086</v>
      </c>
      <c r="K83" s="211">
        <f>IF(Init!$R$9="Yes",'Staging Table'!K85,'Staging Table'!BX85)*(-1)*Rates_previous!$H$32</f>
        <v>0</v>
      </c>
      <c r="L83" s="211">
        <f>IF('Staging Table'!C85=1,"",SUM(D83:K83))</f>
        <v>2841719.6264775381</v>
      </c>
      <c r="M83" s="211">
        <f>IF('Staging Table'!C85=1,"",IF(Init!$R$9="Yes",(RT1SC!$C$3*'Staging Table'!F85*'Staging Table'!$F$2)+SUM('Staging Table'!L85:AI85)-IF(Init!$R$12="No",'Staging Table'!BH85, 0),X83))</f>
        <v>77145.407896389603</v>
      </c>
      <c r="N83" s="95">
        <f>IF('Staging Table'!C85=1,"",IF(M83=0, 0, L83/M83))</f>
        <v>36.835888278588392</v>
      </c>
      <c r="O83" s="211">
        <f>'Staging Table'!BS85*Rates_current!$E$76*100*12</f>
        <v>3051823.0789468479</v>
      </c>
      <c r="P83" s="211">
        <f>'Staging Table'!BS85*Rates_current!$E$77*100*12</f>
        <v>-503863.31316574605</v>
      </c>
      <c r="Q83" s="212">
        <f>SUMPRODUCT('Staging Table'!BY85:CV85, LS_Demand_Rates_Restatement!$C$5:$Z$5)-IF(Init!$R$12="No",('Staging Table'!DU85*Rates_current!$H$34), 0)</f>
        <v>-144764.93564123232</v>
      </c>
      <c r="R83" s="212">
        <f>SUMPRODUCT('Staging Table'!CW85:DH85, LS_Demand_Rates_Restatement!$C$11:$N$11)*1000</f>
        <v>217408.61504458691</v>
      </c>
      <c r="S83" s="213">
        <f>'Staging Table'!ED85*IF(Init!$R$15="Yes",IF(Init!$R$6=2022,Rates_current!$C$88,Rates_current!$D$88),Rates_current!$H$33)</f>
        <v>0</v>
      </c>
      <c r="T83" s="213">
        <v>0</v>
      </c>
      <c r="U83" s="213">
        <f>IF('Staging Table'!D85=1, 'Staging Table'!BU85*-1*'Staging Table'!BS85/'Staging Table'!BR85,SUM(O83:T83)*'Staging Table'!BU85*-1)</f>
        <v>-162341.07986335718</v>
      </c>
      <c r="V83" s="211">
        <f>'Staging Table'!BX85*Rates_current!$H$32*-1</f>
        <v>0</v>
      </c>
      <c r="W83" s="211">
        <f>IF('Staging Table'!C85=1,"", SUM(O83:V83))</f>
        <v>2458262.3653210988</v>
      </c>
      <c r="X83" s="211">
        <f>IF('Staging Table'!C85=1,"", (RT1SC!$C$4*'Staging Table'!BS85*'Staging Table'!$BS$2)+SUM('Staging Table'!BY85:CV85)-IF(Init!$R$12="No",'Staging Table'!DU85, 0))</f>
        <v>67658.328841524461</v>
      </c>
      <c r="Y83" s="95">
        <f>IF('Staging Table'!C85=1,"",IF(X83=0, 0, W83/X83))</f>
        <v>36.33347745078165</v>
      </c>
      <c r="Z83" s="87">
        <f ca="1">IF('Staging Table'!C85=1,"",(Y83/N83-1)+(RAND()/100000000000000))</f>
        <v>-1.3639166890911951E-2</v>
      </c>
      <c r="AA83" s="53">
        <f t="shared" ca="1" si="1"/>
        <v>2</v>
      </c>
      <c r="AC83" s="421"/>
      <c r="AD83" s="216"/>
      <c r="AE83" s="216"/>
      <c r="AG83" s="216"/>
      <c r="AH83" s="216"/>
    </row>
    <row r="84" spans="2:34">
      <c r="B84" s="135">
        <v>10247</v>
      </c>
      <c r="C84" s="136" t="s">
        <v>87</v>
      </c>
      <c r="D84" s="211">
        <f>IF(Init!$R$9="Yes",'Staging Table'!F86,'Staging Table'!BS86)*Rates_previous!$E$76*100*12</f>
        <v>26804249.747160003</v>
      </c>
      <c r="E84" s="211">
        <f>IF(Init!$R$9="Yes",'Staging Table'!F86,'Staging Table'!BS86)*Rates_previous!$E$77*100*12</f>
        <v>-2711683.8078000001</v>
      </c>
      <c r="F84" s="212">
        <f>IF(Init!$R$9="Yes",SUMPRODUCT('Staging Table'!L86:AI86,LS_Demand_Rates_Restatement!$C$4:$Z$4)-IF(Init!$R$12="No",('Staging Table'!BH86*Rates_previous!$H$34), 0),SUMPRODUCT('Staging Table'!BY86:CV86,LS_Demand_Rates_Restatement!$C$4:$Z$4)-IF(Init!$R$12="No", 'Staging Table'!DU86*Rates_previous!$H$34, 0))</f>
        <v>515846.10331327002</v>
      </c>
      <c r="G84" s="212">
        <f>IF(Init!$R$9="Yes",SUMPRODUCT('Staging Table'!AJ86:AU86,LS_Demand_Rates_Restatement!$C$10:$N$10),SUMPRODUCT(LS_Demand_Rates_Restatement!$C$10:$N$10,'Staging Table'!CW86:DH86))*1000</f>
        <v>1343676.6143567304</v>
      </c>
      <c r="H84" s="213">
        <f>IF(Init!$R$9="Yes",'Staging Table'!BQ86,'Staging Table'!ED86)*IF(Init!$R$3=2020,Rates_previous!$C$88,Rates_previous!$D$88)</f>
        <v>-31646.13327955149</v>
      </c>
      <c r="I84" s="211">
        <f>IF(Init!$R$9="Yes",IF('Staging Table'!$F$1=2020,(SUM('Staging Table'!AX86:BD86)*Rates_previous!$C$87),(SUM('Staging Table'!AX86:BD86)*Rates_previous!$D$87)),IF('Staging Table'!$F$1=2020,(SUM('Staging Table'!DK86:DQ86)*Rates_previous!$C$87),(SUM('Staging Table'!DK86:DQ86)*Rates_previous!$D$87)))</f>
        <v>328811.92867659847</v>
      </c>
      <c r="J84" s="213">
        <f>IF(Init!$R$9="Yes",IF('Staging Table'!D86=1,'Staging Table'!H86*-1*'Staging Table'!BS86/'Staging Table'!BR86,'Staging Table'!H86*SUM(D84:I84)*(-1)),IF('Staging Table'!D86=1,'Staging Table'!BU86*-1*'Staging Table'!BS86/'Staging Table'!BR86,'Staging Table'!BU86*SUM(D84:I84)*(-1)))</f>
        <v>-1312462.7226213526</v>
      </c>
      <c r="K84" s="211">
        <f>IF(Init!$R$9="Yes",'Staging Table'!K86,'Staging Table'!BX86)*(-1)*Rates_previous!$H$32</f>
        <v>0</v>
      </c>
      <c r="L84" s="211">
        <f>IF('Staging Table'!C86=1,"",SUM(D84:K84))</f>
        <v>24936791.7298057</v>
      </c>
      <c r="M84" s="211">
        <f>IF('Staging Table'!C86=1,"",IF(Init!$R$9="Yes",(RT1SC!$C$3*'Staging Table'!F86*'Staging Table'!$F$2)+SUM('Staging Table'!L86:AI86)-IF(Init!$R$12="No",'Staging Table'!BH86, 0),X84))</f>
        <v>693874.00612007966</v>
      </c>
      <c r="N84" s="95">
        <f>IF('Staging Table'!C86=1,"",IF(M84=0, 0, L84/M84))</f>
        <v>35.938501096538005</v>
      </c>
      <c r="O84" s="211">
        <f>'Staging Table'!BS86*Rates_current!$E$76*100*12</f>
        <v>27142424.29234961</v>
      </c>
      <c r="P84" s="211">
        <f>'Staging Table'!BS86*Rates_current!$E$77*100*12</f>
        <v>-4481279.378755196</v>
      </c>
      <c r="Q84" s="212">
        <f>SUMPRODUCT('Staging Table'!BY86:CV86, LS_Demand_Rates_Restatement!$C$5:$Z$5)-IF(Init!$R$12="No",('Staging Table'!DU86*Rates_current!$H$34), 0)</f>
        <v>488968.06326985994</v>
      </c>
      <c r="R84" s="212">
        <f>SUMPRODUCT('Staging Table'!CW86:DH86, LS_Demand_Rates_Restatement!$C$11:$N$11)*1000</f>
        <v>1297115.3365778488</v>
      </c>
      <c r="S84" s="213">
        <f>'Staging Table'!ED86*IF(Init!$R$15="Yes",IF(Init!$R$6=2022,Rates_current!$C$88,Rates_current!$D$88),Rates_current!$H$33)</f>
        <v>0</v>
      </c>
      <c r="T84" s="213">
        <v>0</v>
      </c>
      <c r="U84" s="213">
        <f>IF('Staging Table'!D86=1, 'Staging Table'!BU86*-1*'Staging Table'!BS86/'Staging Table'!BR86,SUM(O84:T84)*'Staging Table'!BU86*-1)</f>
        <v>-1248814.5967205688</v>
      </c>
      <c r="V84" s="211">
        <f>'Staging Table'!BX86*Rates_current!$H$32*-1</f>
        <v>0</v>
      </c>
      <c r="W84" s="211">
        <f>IF('Staging Table'!C86=1,"", SUM(O84:V84))</f>
        <v>23198413.716721553</v>
      </c>
      <c r="X84" s="211">
        <f>IF('Staging Table'!C86=1,"", (RT1SC!$C$4*'Staging Table'!BS86*'Staging Table'!$BS$2)+SUM('Staging Table'!BY86:CV86)-IF(Init!$R$12="No",'Staging Table'!DU86, 0))</f>
        <v>667897.43999999994</v>
      </c>
      <c r="Y84" s="95">
        <f>IF('Staging Table'!C86=1,"",IF(X84=0, 0, W84/X84))</f>
        <v>34.733496982293502</v>
      </c>
      <c r="Z84" s="87">
        <f ca="1">IF('Staging Table'!C86=1,"",(Y84/N84-1)+(RAND()/100000000000000))</f>
        <v>-3.3529615244876423E-2</v>
      </c>
      <c r="AA84" s="53">
        <f t="shared" ca="1" si="1"/>
        <v>28</v>
      </c>
      <c r="AC84" s="421"/>
      <c r="AD84" s="216"/>
      <c r="AE84" s="216"/>
      <c r="AG84" s="216"/>
      <c r="AH84" s="216"/>
    </row>
    <row r="85" spans="2:34">
      <c r="B85" s="135">
        <v>10256</v>
      </c>
      <c r="C85" s="136" t="s">
        <v>88</v>
      </c>
      <c r="D85" s="211">
        <f>IF(Init!$R$9="Yes",'Staging Table'!F87,'Staging Table'!BS87)*Rates_previous!$E$76*100*12</f>
        <v>15674809.44108</v>
      </c>
      <c r="E85" s="211">
        <f>IF(Init!$R$9="Yes",'Staging Table'!F87,'Staging Table'!BS87)*Rates_previous!$E$77*100*12</f>
        <v>-1585760.7413999999</v>
      </c>
      <c r="F85" s="212">
        <f>IF(Init!$R$9="Yes",SUMPRODUCT('Staging Table'!L87:AI87,LS_Demand_Rates_Restatement!$C$4:$Z$4)-IF(Init!$R$12="No",('Staging Table'!BH87*Rates_previous!$H$34), 0),SUMPRODUCT('Staging Table'!BY87:CV87,LS_Demand_Rates_Restatement!$C$4:$Z$4)-IF(Init!$R$12="No", 'Staging Table'!DU87*Rates_previous!$H$34, 0))</f>
        <v>145178.98574337387</v>
      </c>
      <c r="G85" s="212">
        <f>IF(Init!$R$9="Yes",SUMPRODUCT('Staging Table'!AJ87:AU87,LS_Demand_Rates_Restatement!$C$10:$N$10),SUMPRODUCT(LS_Demand_Rates_Restatement!$C$10:$N$10,'Staging Table'!CW87:DH87))*1000</f>
        <v>1365653.2459650284</v>
      </c>
      <c r="H85" s="213">
        <f>IF(Init!$R$9="Yes",'Staging Table'!BQ87,'Staging Table'!ED87)*IF(Init!$R$3=2020,Rates_previous!$C$88,Rates_previous!$D$88)</f>
        <v>23247.20735999976</v>
      </c>
      <c r="I85" s="211">
        <f>IF(Init!$R$9="Yes",IF('Staging Table'!$F$1=2020,(SUM('Staging Table'!AX87:BD87)*Rates_previous!$C$87),(SUM('Staging Table'!AX87:BD87)*Rates_previous!$D$87)),IF('Staging Table'!$F$1=2020,(SUM('Staging Table'!DK87:DQ87)*Rates_previous!$C$87),(SUM('Staging Table'!DK87:DQ87)*Rates_previous!$D$87)))</f>
        <v>192285.341786362</v>
      </c>
      <c r="J85" s="213">
        <f>IF(Init!$R$9="Yes",IF('Staging Table'!D87=1,'Staging Table'!H87*-1*'Staging Table'!BS87/'Staging Table'!BR87,'Staging Table'!H87*SUM(D85:I85)*(-1)),IF('Staging Table'!D87=1,'Staging Table'!BU87*-1*'Staging Table'!BS87/'Staging Table'!BR87,'Staging Table'!BU87*SUM(D85:I85)*(-1)))</f>
        <v>-1028001.8762347597</v>
      </c>
      <c r="K85" s="211">
        <f>IF(Init!$R$9="Yes",'Staging Table'!K87,'Staging Table'!BX87)*(-1)*Rates_previous!$H$32</f>
        <v>-460946.27854000003</v>
      </c>
      <c r="L85" s="211">
        <f>IF('Staging Table'!C87=1,"",SUM(D85:K85))</f>
        <v>14326465.325760003</v>
      </c>
      <c r="M85" s="211">
        <f>IF('Staging Table'!C87=1,"",IF(Init!$R$9="Yes",(RT1SC!$C$3*'Staging Table'!F87*'Staging Table'!$F$2)+SUM('Staging Table'!L87:AI87)-IF(Init!$R$12="No",'Staging Table'!BH87, 0),X85))</f>
        <v>408438.43199999997</v>
      </c>
      <c r="N85" s="95">
        <f>IF('Staging Table'!C87=1,"",IF(M85=0, 0, L85/M85))</f>
        <v>35.076193137868096</v>
      </c>
      <c r="O85" s="211">
        <f>'Staging Table'!BS87*Rates_current!$E$76*100*12</f>
        <v>15873988.440028891</v>
      </c>
      <c r="P85" s="211">
        <f>'Staging Table'!BS87*Rates_current!$E$77*100*12</f>
        <v>-2620833.5809911513</v>
      </c>
      <c r="Q85" s="212">
        <f>SUMPRODUCT('Staging Table'!BY87:CV87, LS_Demand_Rates_Restatement!$C$5:$Z$5)-IF(Init!$R$12="No",('Staging Table'!DU87*Rates_current!$H$34), 0)</f>
        <v>86828.92771349354</v>
      </c>
      <c r="R85" s="212">
        <f>SUMPRODUCT('Staging Table'!CW87:DH87, LS_Demand_Rates_Restatement!$C$11:$N$11)*1000</f>
        <v>1267125.8029766651</v>
      </c>
      <c r="S85" s="213">
        <f>'Staging Table'!ED87*IF(Init!$R$15="Yes",IF(Init!$R$6=2022,Rates_current!$C$88,Rates_current!$D$88),Rates_current!$H$33)</f>
        <v>0</v>
      </c>
      <c r="T85" s="213">
        <v>0</v>
      </c>
      <c r="U85" s="213">
        <f>IF('Staging Table'!D87=1, 'Staging Table'!BU87*-1*'Staging Table'!BS87/'Staging Table'!BR87,SUM(O85:T85)*'Staging Table'!BU87*-1)</f>
        <v>-1004359.5793345235</v>
      </c>
      <c r="V85" s="211">
        <f>'Staging Table'!BX87*Rates_current!$H$32*-1</f>
        <v>-452233.52260000008</v>
      </c>
      <c r="W85" s="211">
        <f>IF('Staging Table'!C87=1,"", SUM(O85:V85))</f>
        <v>13150516.487793373</v>
      </c>
      <c r="X85" s="211">
        <f>IF('Staging Table'!C87=1,"", (RT1SC!$C$4*'Staging Table'!BS87*'Staging Table'!$BS$2)+SUM('Staging Table'!BY87:CV87)-IF(Init!$R$12="No",'Staging Table'!DU87, 0))</f>
        <v>390617.16000000003</v>
      </c>
      <c r="Y85" s="95">
        <f>IF('Staging Table'!C87=1,"",IF(X85=0, 0, W85/X85))</f>
        <v>33.665997898795261</v>
      </c>
      <c r="Z85" s="87">
        <f ca="1">IF('Staging Table'!C87=1,"",(Y85/N85-1)+(RAND()/100000000000000))</f>
        <v>-4.0203771074300405E-2</v>
      </c>
      <c r="AA85" s="53">
        <f t="shared" ca="1" si="1"/>
        <v>87</v>
      </c>
      <c r="AC85" s="421"/>
      <c r="AD85" s="216"/>
      <c r="AE85" s="216"/>
      <c r="AG85" s="216"/>
      <c r="AH85" s="216"/>
    </row>
    <row r="86" spans="2:34">
      <c r="B86" s="135">
        <v>10258</v>
      </c>
      <c r="C86" s="136" t="s">
        <v>89</v>
      </c>
      <c r="D86" s="211">
        <f>IF(Init!$R$9="Yes",'Staging Table'!F88,'Staging Table'!BS88)*Rates_previous!$E$76*100*12</f>
        <v>12772665.51912</v>
      </c>
      <c r="E86" s="211">
        <f>IF(Init!$R$9="Yes",'Staging Table'!F88,'Staging Table'!BS88)*Rates_previous!$E$77*100*12</f>
        <v>-1292161.8995999999</v>
      </c>
      <c r="F86" s="212">
        <f>IF(Init!$R$9="Yes",SUMPRODUCT('Staging Table'!L88:AI88,LS_Demand_Rates_Restatement!$C$4:$Z$4)-IF(Init!$R$12="No",('Staging Table'!BH88*Rates_previous!$H$34), 0),SUMPRODUCT('Staging Table'!BY88:CV88,LS_Demand_Rates_Restatement!$C$4:$Z$4)-IF(Init!$R$12="No", 'Staging Table'!DU88*Rates_previous!$H$34, 0))</f>
        <v>384855.11415849382</v>
      </c>
      <c r="G86" s="212">
        <f>IF(Init!$R$9="Yes",SUMPRODUCT('Staging Table'!AJ88:AU88,LS_Demand_Rates_Restatement!$C$10:$N$10),SUMPRODUCT(LS_Demand_Rates_Restatement!$C$10:$N$10,'Staging Table'!CW88:DH88))*1000</f>
        <v>944353.9366862179</v>
      </c>
      <c r="H86" s="213">
        <f>IF(Init!$R$9="Yes",'Staging Table'!BQ88,'Staging Table'!ED88)*IF(Init!$R$3=2020,Rates_previous!$C$88,Rates_previous!$D$88)</f>
        <v>0</v>
      </c>
      <c r="I86" s="211">
        <f>IF(Init!$R$9="Yes",IF('Staging Table'!$F$1=2020,(SUM('Staging Table'!AX88:BD88)*Rates_previous!$C$87),(SUM('Staging Table'!AX88:BD88)*Rates_previous!$D$87)),IF('Staging Table'!$F$1=2020,(SUM('Staging Table'!DK88:DQ88)*Rates_previous!$C$87),(SUM('Staging Table'!DK88:DQ88)*Rates_previous!$D$87)))</f>
        <v>156684.28787595211</v>
      </c>
      <c r="J86" s="213">
        <f>IF(Init!$R$9="Yes",IF('Staging Table'!D88=1,'Staging Table'!H88*-1*'Staging Table'!BS88/'Staging Table'!BR88,'Staging Table'!H88*SUM(D86:I86)*(-1)),IF('Staging Table'!D88=1,'Staging Table'!BU88*-1*'Staging Table'!BS88/'Staging Table'!BR88,'Staging Table'!BU88*SUM(D86:I86)*(-1)))</f>
        <v>-781981.82709932246</v>
      </c>
      <c r="K86" s="211">
        <f>IF(Init!$R$9="Yes",'Staging Table'!K88,'Staging Table'!BX88)*(-1)*Rates_previous!$H$32</f>
        <v>-204279.81442000001</v>
      </c>
      <c r="L86" s="211">
        <f>IF('Staging Table'!C88=1,"",SUM(D86:K86))</f>
        <v>11980135.316721343</v>
      </c>
      <c r="M86" s="211">
        <f>IF('Staging Table'!C88=1,"",IF(Init!$R$9="Yes",(RT1SC!$C$3*'Staging Table'!F88*'Staging Table'!$F$2)+SUM('Staging Table'!L88:AI88)-IF(Init!$R$12="No",'Staging Table'!BH88, 0),X86))</f>
        <v>331604.78399999999</v>
      </c>
      <c r="N86" s="95">
        <f>IF('Staging Table'!C88=1,"",IF(M86=0, 0, L86/M86))</f>
        <v>36.127751753790569</v>
      </c>
      <c r="O86" s="211">
        <f>'Staging Table'!BS88*Rates_current!$E$76*100*12</f>
        <v>12887633.512940638</v>
      </c>
      <c r="P86" s="211">
        <f>'Staging Table'!BS88*Rates_current!$E$77*100*12</f>
        <v>-2127779.2167877071</v>
      </c>
      <c r="Q86" s="212">
        <f>SUMPRODUCT('Staging Table'!BY88:CV88, LS_Demand_Rates_Restatement!$C$5:$Z$5)-IF(Init!$R$12="No",('Staging Table'!DU88*Rates_current!$H$34), 0)</f>
        <v>331140.43980526272</v>
      </c>
      <c r="R86" s="212">
        <f>SUMPRODUCT('Staging Table'!CW88:DH88, LS_Demand_Rates_Restatement!$C$11:$N$11)*1000</f>
        <v>870440.07770648145</v>
      </c>
      <c r="S86" s="213">
        <f>'Staging Table'!ED88*IF(Init!$R$15="Yes",IF(Init!$R$6=2022,Rates_current!$C$88,Rates_current!$D$88),Rates_current!$H$33)</f>
        <v>0</v>
      </c>
      <c r="T86" s="213">
        <v>0</v>
      </c>
      <c r="U86" s="213">
        <f>IF('Staging Table'!D88=1, 'Staging Table'!BU88*-1*'Staging Table'!BS88/'Staging Table'!BR88,SUM(O86:T86)*'Staging Table'!BU88*-1)</f>
        <v>-705381.69037612411</v>
      </c>
      <c r="V86" s="211">
        <f>'Staging Table'!BX88*Rates_current!$H$32*-1</f>
        <v>-200418.53980000003</v>
      </c>
      <c r="W86" s="211">
        <f>IF('Staging Table'!C88=1,"", SUM(O86:V86))</f>
        <v>11055634.583488552</v>
      </c>
      <c r="X86" s="211">
        <f>IF('Staging Table'!C88=1,"", (RT1SC!$C$4*'Staging Table'!BS88*'Staging Table'!$BS$2)+SUM('Staging Table'!BY88:CV88)-IF(Init!$R$12="No",'Staging Table'!DU88, 0))</f>
        <v>314303.95122248668</v>
      </c>
      <c r="Y86" s="95">
        <f>IF('Staging Table'!C88=1,"",IF(X86=0, 0, W86/X86))</f>
        <v>35.174978044302691</v>
      </c>
      <c r="Z86" s="87">
        <f ca="1">IF('Staging Table'!C88=1,"",(Y86/N86-1)+(RAND()/100000000000000))</f>
        <v>-2.6372349876092355E-2</v>
      </c>
      <c r="AA86" s="53">
        <f t="shared" ca="1" si="1"/>
        <v>4</v>
      </c>
      <c r="AC86" s="421"/>
      <c r="AD86" s="216"/>
      <c r="AE86" s="216"/>
      <c r="AG86" s="216"/>
      <c r="AH86" s="216"/>
    </row>
    <row r="87" spans="2:34">
      <c r="B87" s="135">
        <v>10259</v>
      </c>
      <c r="C87" s="136" t="s">
        <v>90</v>
      </c>
      <c r="D87" s="211">
        <f>IF(Init!$R$9="Yes",'Staging Table'!F89,'Staging Table'!BS89)*Rates_previous!$E$76*100*12</f>
        <v>9081944.6146799996</v>
      </c>
      <c r="E87" s="211">
        <f>IF(Init!$R$9="Yes",'Staging Table'!F89,'Staging Table'!BS89)*Rates_previous!$E$77*100*12</f>
        <v>-918785.72940000007</v>
      </c>
      <c r="F87" s="212">
        <f>IF(Init!$R$9="Yes",SUMPRODUCT('Staging Table'!L89:AI89,LS_Demand_Rates_Restatement!$C$4:$Z$4)-IF(Init!$R$12="No",('Staging Table'!BH89*Rates_previous!$H$34), 0),SUMPRODUCT('Staging Table'!BY89:CV89,LS_Demand_Rates_Restatement!$C$4:$Z$4)-IF(Init!$R$12="No", 'Staging Table'!DU89*Rates_previous!$H$34, 0))</f>
        <v>146444.84051263338</v>
      </c>
      <c r="G87" s="212">
        <f>IF(Init!$R$9="Yes",SUMPRODUCT('Staging Table'!AJ89:AU89,LS_Demand_Rates_Restatement!$C$10:$N$10),SUMPRODUCT(LS_Demand_Rates_Restatement!$C$10:$N$10,'Staging Table'!CW89:DH89))*1000</f>
        <v>509489.77999700827</v>
      </c>
      <c r="H87" s="213">
        <f>IF(Init!$R$9="Yes",'Staging Table'!BQ89,'Staging Table'!ED89)*IF(Init!$R$3=2020,Rates_previous!$C$88,Rates_previous!$D$88)</f>
        <v>0</v>
      </c>
      <c r="I87" s="211">
        <f>IF(Init!$R$9="Yes",IF('Staging Table'!$F$1=2020,(SUM('Staging Table'!AX89:BD89)*Rates_previous!$C$87),(SUM('Staging Table'!AX89:BD89)*Rates_previous!$D$87)),IF('Staging Table'!$F$1=2020,(SUM('Staging Table'!DK89:DQ89)*Rates_previous!$C$87),(SUM('Staging Table'!DK89:DQ89)*Rates_previous!$D$87)))</f>
        <v>111409.63664552411</v>
      </c>
      <c r="J87" s="213">
        <f>IF(Init!$R$9="Yes",IF('Staging Table'!D89=1,'Staging Table'!H89*-1*'Staging Table'!BS89/'Staging Table'!BR89,'Staging Table'!H89*SUM(D87:I87)*(-1)),IF('Staging Table'!D89=1,'Staging Table'!BU89*-1*'Staging Table'!BS89/'Staging Table'!BR89,'Staging Table'!BU89*SUM(D87:I87)*(-1)))</f>
        <v>-582796.59053610999</v>
      </c>
      <c r="K87" s="211">
        <f>IF(Init!$R$9="Yes",'Staging Table'!K89,'Staging Table'!BX89)*(-1)*Rates_previous!$H$32</f>
        <v>0</v>
      </c>
      <c r="L87" s="211">
        <f>IF('Staging Table'!C89=1,"",SUM(D87:K87))</f>
        <v>8347706.551899055</v>
      </c>
      <c r="M87" s="211">
        <f>IF('Staging Table'!C89=1,"",IF(Init!$R$9="Yes",(RT1SC!$C$3*'Staging Table'!F89*'Staging Table'!$F$2)+SUM('Staging Table'!L89:AI89)-IF(Init!$R$12="No",'Staging Table'!BH89, 0),X87))</f>
        <v>235788.91200000001</v>
      </c>
      <c r="N87" s="95">
        <f>IF('Staging Table'!C89=1,"",IF(M87=0, 0, L87/M87))</f>
        <v>35.403304087085552</v>
      </c>
      <c r="O87" s="211">
        <f>'Staging Table'!BS89*Rates_current!$E$76*100*12</f>
        <v>9163622.7795628607</v>
      </c>
      <c r="P87" s="211">
        <f>'Staging Table'!BS89*Rates_current!$E$77*100*12</f>
        <v>-1512936.1089650705</v>
      </c>
      <c r="Q87" s="212">
        <f>SUMPRODUCT('Staging Table'!BY89:CV89, LS_Demand_Rates_Restatement!$C$5:$Z$5)-IF(Init!$R$12="No",('Staging Table'!DU89*Rates_current!$H$34), 0)</f>
        <v>134433.39948517739</v>
      </c>
      <c r="R87" s="212">
        <f>SUMPRODUCT('Staging Table'!CW89:DH89, LS_Demand_Rates_Restatement!$C$11:$N$11)*1000</f>
        <v>469889.39236656838</v>
      </c>
      <c r="S87" s="213">
        <f>'Staging Table'!ED89*IF(Init!$R$15="Yes",IF(Init!$R$6=2022,Rates_current!$C$88,Rates_current!$D$88),Rates_current!$H$33)</f>
        <v>0</v>
      </c>
      <c r="T87" s="213">
        <v>0</v>
      </c>
      <c r="U87" s="213">
        <f>IF('Staging Table'!D89=1, 'Staging Table'!BU89*-1*'Staging Table'!BS89/'Staging Table'!BR89,SUM(O87:T87)*'Staging Table'!BU89*-1)</f>
        <v>-604572.57152257313</v>
      </c>
      <c r="V87" s="211">
        <f>'Staging Table'!BX89*Rates_current!$H$32*-1</f>
        <v>0</v>
      </c>
      <c r="W87" s="211">
        <f>IF('Staging Table'!C89=1,"", SUM(O87:V87))</f>
        <v>7650436.8909269627</v>
      </c>
      <c r="X87" s="211">
        <f>IF('Staging Table'!C89=1,"", (RT1SC!$C$4*'Staging Table'!BS89*'Staging Table'!$BS$2)+SUM('Staging Table'!BY89:CV89)-IF(Init!$R$12="No",'Staging Table'!DU89, 0))</f>
        <v>225491.16</v>
      </c>
      <c r="Y87" s="95">
        <f>IF('Staging Table'!C89=1,"",IF(X87=0, 0, W87/X87))</f>
        <v>33.927879438497555</v>
      </c>
      <c r="Z87" s="87">
        <f ca="1">IF('Staging Table'!C89=1,"",(Y87/N87-1)+(RAND()/100000000000000))</f>
        <v>-4.1674772641521377E-2</v>
      </c>
      <c r="AA87" s="53">
        <f t="shared" ca="1" si="1"/>
        <v>95</v>
      </c>
      <c r="AC87" s="421"/>
      <c r="AD87" s="216"/>
      <c r="AE87" s="216"/>
      <c r="AG87" s="216"/>
      <c r="AH87" s="216"/>
    </row>
    <row r="88" spans="2:34">
      <c r="B88" s="135">
        <v>10260</v>
      </c>
      <c r="C88" s="136" t="s">
        <v>91</v>
      </c>
      <c r="D88" s="211">
        <f>IF(Init!$R$9="Yes",'Staging Table'!F90,'Staging Table'!BS90)*Rates_previous!$E$76*100*12</f>
        <v>8846179.5855599996</v>
      </c>
      <c r="E88" s="211">
        <f>IF(Init!$R$9="Yes",'Staging Table'!F90,'Staging Table'!BS90)*Rates_previous!$E$77*100*12</f>
        <v>-894934.27980000002</v>
      </c>
      <c r="F88" s="212">
        <f>IF(Init!$R$9="Yes",SUMPRODUCT('Staging Table'!L90:AI90,LS_Demand_Rates_Restatement!$C$4:$Z$4)-IF(Init!$R$12="No",('Staging Table'!BH90*Rates_previous!$H$34), 0),SUMPRODUCT('Staging Table'!BY90:CV90,LS_Demand_Rates_Restatement!$C$4:$Z$4)-IF(Init!$R$12="No", 'Staging Table'!DU90*Rates_previous!$H$34, 0))</f>
        <v>-75347.139529733482</v>
      </c>
      <c r="G88" s="212">
        <f>IF(Init!$R$9="Yes",SUMPRODUCT('Staging Table'!AJ90:AU90,LS_Demand_Rates_Restatement!$C$10:$N$10),SUMPRODUCT(LS_Demand_Rates_Restatement!$C$10:$N$10,'Staging Table'!CW90:DH90))*1000</f>
        <v>586553.09222699434</v>
      </c>
      <c r="H88" s="213">
        <f>IF(Init!$R$9="Yes",'Staging Table'!BQ90,'Staging Table'!ED90)*IF(Init!$R$3=2020,Rates_previous!$C$88,Rates_previous!$D$88)</f>
        <v>0</v>
      </c>
      <c r="I88" s="211">
        <f>IF(Init!$R$9="Yes",IF('Staging Table'!$F$1=2020,(SUM('Staging Table'!AX90:BD90)*Rates_previous!$C$87),(SUM('Staging Table'!AX90:BD90)*Rates_previous!$D$87)),IF('Staging Table'!$F$1=2020,(SUM('Staging Table'!DK90:DQ90)*Rates_previous!$C$87),(SUM('Staging Table'!DK90:DQ90)*Rates_previous!$D$87)))</f>
        <v>108517.47011705578</v>
      </c>
      <c r="J88" s="213">
        <f>IF(Init!$R$9="Yes",IF('Staging Table'!D90=1,'Staging Table'!H90*-1*'Staging Table'!BS90/'Staging Table'!BR90,'Staging Table'!H90*SUM(D88:I88)*(-1)),IF('Staging Table'!D90=1,'Staging Table'!BU90*-1*'Staging Table'!BS90/'Staging Table'!BR90,'Staging Table'!BU90*SUM(D88:I88)*(-1)))</f>
        <v>0</v>
      </c>
      <c r="K88" s="211">
        <f>IF(Init!$R$9="Yes",'Staging Table'!K90,'Staging Table'!BX90)*(-1)*Rates_previous!$H$32</f>
        <v>0</v>
      </c>
      <c r="L88" s="211">
        <f>IF('Staging Table'!C90=1,"",SUM(D88:K88))</f>
        <v>8570968.7285743151</v>
      </c>
      <c r="M88" s="211">
        <f>IF('Staging Table'!C90=1,"",IF(Init!$R$9="Yes",(RT1SC!$C$3*'Staging Table'!F90*'Staging Table'!$F$2)+SUM('Staging Table'!L90:AI90)-IF(Init!$R$12="No",'Staging Table'!BH90, 0),X88))</f>
        <v>219091.96662038361</v>
      </c>
      <c r="N88" s="95">
        <f>IF('Staging Table'!C90=1,"",IF(M88=0, 0, L88/M88))</f>
        <v>39.120415325063313</v>
      </c>
      <c r="O88" s="211">
        <f>'Staging Table'!BS90*Rates_current!$E$76*100*12</f>
        <v>8925731.1801352892</v>
      </c>
      <c r="P88" s="211">
        <f>'Staging Table'!BS90*Rates_current!$E$77*100*12</f>
        <v>-1473659.6350800775</v>
      </c>
      <c r="Q88" s="212">
        <f>SUMPRODUCT('Staging Table'!BY90:CV90, LS_Demand_Rates_Restatement!$C$5:$Z$5)-IF(Init!$R$12="No",('Staging Table'!DU90*Rates_current!$H$34), 0)</f>
        <v>-57536.743178143188</v>
      </c>
      <c r="R88" s="212">
        <f>SUMPRODUCT('Staging Table'!CW90:DH90, LS_Demand_Rates_Restatement!$C$11:$N$11)*1000</f>
        <v>537177.63324700855</v>
      </c>
      <c r="S88" s="213">
        <f>'Staging Table'!ED90*IF(Init!$R$15="Yes",IF(Init!$R$6=2022,Rates_current!$C$88,Rates_current!$D$88),Rates_current!$H$33)</f>
        <v>0</v>
      </c>
      <c r="T88" s="213">
        <v>0</v>
      </c>
      <c r="U88" s="213">
        <f>IF('Staging Table'!D90=1, 'Staging Table'!BU90*-1*'Staging Table'!BS90/'Staging Table'!BR90,SUM(O88:T88)*'Staging Table'!BU90*-1)</f>
        <v>0</v>
      </c>
      <c r="V88" s="211">
        <f>'Staging Table'!BX90*Rates_current!$H$32*-1</f>
        <v>0</v>
      </c>
      <c r="W88" s="211">
        <f>IF('Staging Table'!C90=1,"", SUM(O88:V88))</f>
        <v>7931712.4351240769</v>
      </c>
      <c r="X88" s="211">
        <f>IF('Staging Table'!C90=1,"", (RT1SC!$C$4*'Staging Table'!BS90*'Staging Table'!$BS$2)+SUM('Staging Table'!BY90:CV90)-IF(Init!$R$12="No",'Staging Table'!DU90, 0))</f>
        <v>213183.86523538738</v>
      </c>
      <c r="Y88" s="95">
        <f>IF('Staging Table'!C90=1,"",IF(X88=0, 0, W88/X88))</f>
        <v>37.205969721799825</v>
      </c>
      <c r="Z88" s="87">
        <f ca="1">IF('Staging Table'!C90=1,"",(Y88/N88-1)+(RAND()/100000000000000))</f>
        <v>-4.8937251492749585E-2</v>
      </c>
      <c r="AA88" s="53">
        <f t="shared" ca="1" si="1"/>
        <v>106</v>
      </c>
      <c r="AC88" s="421"/>
      <c r="AD88" s="216"/>
      <c r="AE88" s="216"/>
      <c r="AG88" s="216"/>
      <c r="AH88" s="216"/>
    </row>
    <row r="89" spans="2:34">
      <c r="B89" s="135">
        <v>10273</v>
      </c>
      <c r="C89" s="136" t="s">
        <v>92</v>
      </c>
      <c r="D89" s="211">
        <f>IF(Init!$R$9="Yes",'Staging Table'!F91,'Staging Table'!BS91)*Rates_previous!$E$76*100*12</f>
        <v>1979285.4460799997</v>
      </c>
      <c r="E89" s="211">
        <f>IF(Init!$R$9="Yes",'Staging Table'!F91,'Staging Table'!BS91)*Rates_previous!$E$77*100*12</f>
        <v>-200236.76639999999</v>
      </c>
      <c r="F89" s="212">
        <f>IF(Init!$R$9="Yes",SUMPRODUCT('Staging Table'!L91:AI91,LS_Demand_Rates_Restatement!$C$4:$Z$4)-IF(Init!$R$12="No",('Staging Table'!BH91*Rates_previous!$H$34), 0),SUMPRODUCT('Staging Table'!BY91:CV91,LS_Demand_Rates_Restatement!$C$4:$Z$4)-IF(Init!$R$12="No", 'Staging Table'!DU91*Rates_previous!$H$34, 0))</f>
        <v>-28913.870080217512</v>
      </c>
      <c r="G89" s="212">
        <f>IF(Init!$R$9="Yes",SUMPRODUCT('Staging Table'!AJ91:AU91,LS_Demand_Rates_Restatement!$C$10:$N$10),SUMPRODUCT(LS_Demand_Rates_Restatement!$C$10:$N$10,'Staging Table'!CW91:DH91))*1000</f>
        <v>250402.83263076923</v>
      </c>
      <c r="H89" s="213">
        <f>IF(Init!$R$9="Yes",'Staging Table'!BQ91,'Staging Table'!ED91)*IF(Init!$R$3=2020,Rates_previous!$C$88,Rates_previous!$D$88)</f>
        <v>0</v>
      </c>
      <c r="I89" s="211">
        <f>IF(Init!$R$9="Yes",IF('Staging Table'!$F$1=2020,(SUM('Staging Table'!AX91:BD91)*Rates_previous!$C$87),(SUM('Staging Table'!AX91:BD91)*Rates_previous!$D$87)),IF('Staging Table'!$F$1=2020,(SUM('Staging Table'!DK91:DQ91)*Rates_previous!$C$87),(SUM('Staging Table'!DK91:DQ91)*Rates_previous!$D$87)))</f>
        <v>24280.204484963881</v>
      </c>
      <c r="J89" s="213">
        <f>IF(Init!$R$9="Yes",IF('Staging Table'!D91=1,'Staging Table'!H91*-1*'Staging Table'!BS91/'Staging Table'!BR91,'Staging Table'!H91*SUM(D89:I89)*(-1)),IF('Staging Table'!D91=1,'Staging Table'!BU91*-1*'Staging Table'!BS91/'Staging Table'!BR91,'Staging Table'!BU91*SUM(D89:I89)*(-1)))</f>
        <v>-195355.11809653058</v>
      </c>
      <c r="K89" s="211">
        <f>IF(Init!$R$9="Yes",'Staging Table'!K91,'Staging Table'!BX91)*(-1)*Rates_previous!$H$32</f>
        <v>-105789.69774999999</v>
      </c>
      <c r="L89" s="211">
        <f>IF('Staging Table'!C91=1,"",SUM(D89:K89))</f>
        <v>1723673.0308689843</v>
      </c>
      <c r="M89" s="211">
        <f>IF('Staging Table'!C91=1,"",IF(Init!$R$9="Yes",(RT1SC!$C$3*'Staging Table'!F91*'Staging Table'!$F$2)+SUM('Staging Table'!L91:AI91)-IF(Init!$R$12="No",'Staging Table'!BH91, 0),X89))</f>
        <v>51386.399999999994</v>
      </c>
      <c r="N89" s="95">
        <f>IF('Staging Table'!C91=1,"",IF(M89=0, 0, L89/M89))</f>
        <v>33.543370052562246</v>
      </c>
      <c r="O89" s="211">
        <f>'Staging Table'!BS91*Rates_current!$E$76*100*12</f>
        <v>1997138.3468072722</v>
      </c>
      <c r="P89" s="211">
        <f>'Staging Table'!BS91*Rates_current!$E$77*100*12</f>
        <v>-329732.3331796584</v>
      </c>
      <c r="Q89" s="212">
        <f>SUMPRODUCT('Staging Table'!BY91:CV91, LS_Demand_Rates_Restatement!$C$5:$Z$5)-IF(Init!$R$12="No",('Staging Table'!DU91*Rates_current!$H$34), 0)</f>
        <v>-78952.770401475951</v>
      </c>
      <c r="R89" s="212">
        <f>SUMPRODUCT('Staging Table'!CW91:DH91, LS_Demand_Rates_Restatement!$C$11:$N$11)*1000</f>
        <v>229534.81454821941</v>
      </c>
      <c r="S89" s="213">
        <f>'Staging Table'!ED91*IF(Init!$R$15="Yes",IF(Init!$R$6=2022,Rates_current!$C$88,Rates_current!$D$88),Rates_current!$H$33)</f>
        <v>0</v>
      </c>
      <c r="T89" s="213">
        <v>0</v>
      </c>
      <c r="U89" s="213">
        <f>IF('Staging Table'!D91=1, 'Staging Table'!BU91*-1*'Staging Table'!BS91/'Staging Table'!BR91,SUM(O89:T89)*'Staging Table'!BU91*-1)</f>
        <v>-191886.85715685028</v>
      </c>
      <c r="V89" s="211">
        <f>'Staging Table'!BX91*Rates_current!$H$32*-1</f>
        <v>-103790.07249999999</v>
      </c>
      <c r="W89" s="211">
        <f>IF('Staging Table'!C91=1,"", SUM(O89:V89))</f>
        <v>1522311.1281175071</v>
      </c>
      <c r="X89" s="211">
        <f>IF('Staging Table'!C91=1,"", (RT1SC!$C$4*'Staging Table'!BS91*'Staging Table'!$BS$2)+SUM('Staging Table'!BY91:CV91)-IF(Init!$R$12="No",'Staging Table'!DU91, 0))</f>
        <v>47327.247513925475</v>
      </c>
      <c r="Y89" s="95">
        <f>IF('Staging Table'!C91=1,"",IF(X89=0, 0, W89/X89))</f>
        <v>32.165638360219141</v>
      </c>
      <c r="Z89" s="87">
        <f ca="1">IF('Staging Table'!C91=1,"",(Y89/N89-1)+(RAND()/100000000000000))</f>
        <v>-4.1073144713363069E-2</v>
      </c>
      <c r="AA89" s="53">
        <f t="shared" ca="1" si="1"/>
        <v>93</v>
      </c>
      <c r="AC89" s="421"/>
      <c r="AD89" s="216"/>
      <c r="AE89" s="216"/>
      <c r="AG89" s="216"/>
      <c r="AH89" s="216"/>
    </row>
    <row r="90" spans="2:34">
      <c r="B90" s="135">
        <v>10278</v>
      </c>
      <c r="C90" s="136" t="s">
        <v>93</v>
      </c>
      <c r="D90" s="211">
        <f>IF(Init!$R$9="Yes",'Staging Table'!F92,'Staging Table'!BS92)*Rates_previous!$E$76*100*12</f>
        <v>12062518.43544</v>
      </c>
      <c r="E90" s="211">
        <f>IF(Init!$R$9="Yes",'Staging Table'!F92,'Staging Table'!BS92)*Rates_previous!$E$77*100*12</f>
        <v>-1220319.0252</v>
      </c>
      <c r="F90" s="212">
        <f>IF(Init!$R$9="Yes",SUMPRODUCT('Staging Table'!L92:AI92,LS_Demand_Rates_Restatement!$C$4:$Z$4)-IF(Init!$R$12="No",('Staging Table'!BH92*Rates_previous!$H$34), 0),SUMPRODUCT('Staging Table'!BY92:CV92,LS_Demand_Rates_Restatement!$C$4:$Z$4)-IF(Init!$R$12="No", 'Staging Table'!DU92*Rates_previous!$H$34, 0))</f>
        <v>0</v>
      </c>
      <c r="G90" s="212">
        <f>IF(Init!$R$9="Yes",SUMPRODUCT('Staging Table'!AJ92:AU92,LS_Demand_Rates_Restatement!$C$10:$N$10),SUMPRODUCT(LS_Demand_Rates_Restatement!$C$10:$N$10,'Staging Table'!CW92:DH92))*1000</f>
        <v>0</v>
      </c>
      <c r="H90" s="213">
        <f>IF(Init!$R$9="Yes",'Staging Table'!BQ92,'Staging Table'!ED92)*IF(Init!$R$3=2020,Rates_previous!$C$88,Rates_previous!$D$88)</f>
        <v>28.640119283536915</v>
      </c>
      <c r="I90" s="211">
        <f>IF(Init!$R$9="Yes",IF('Staging Table'!$F$1=2020,(SUM('Staging Table'!AX92:BD92)*Rates_previous!$C$87),(SUM('Staging Table'!AX92:BD92)*Rates_previous!$D$87)),IF('Staging Table'!$F$1=2020,(SUM('Staging Table'!DK92:DQ92)*Rates_previous!$C$87),(SUM('Staging Table'!DK92:DQ92)*Rates_previous!$D$87)))</f>
        <v>147972.80240512209</v>
      </c>
      <c r="J90" s="213">
        <f>IF(Init!$R$9="Yes",IF('Staging Table'!D92=1,'Staging Table'!H92*-1*'Staging Table'!BS92/'Staging Table'!BR92,'Staging Table'!H92*SUM(D90:I90)*(-1)),IF('Staging Table'!D92=1,'Staging Table'!BU92*-1*'Staging Table'!BS92/'Staging Table'!BR92,'Staging Table'!BU92*SUM(D90:I90)*(-1)))</f>
        <v>-714363.05542968644</v>
      </c>
      <c r="K90" s="211">
        <f>IF(Init!$R$9="Yes",'Staging Table'!K92,'Staging Table'!BX92)*(-1)*Rates_previous!$H$32</f>
        <v>0</v>
      </c>
      <c r="L90" s="211" t="str">
        <f>IF('Staging Table'!C92=1,"",SUM(D90:K90))</f>
        <v/>
      </c>
      <c r="M90" s="211" t="str">
        <f>IF('Staging Table'!C92=1,"",IF(Init!$R$9="Yes",(RT1SC!$C$3*'Staging Table'!F92*'Staging Table'!$F$2)+SUM('Staging Table'!L92:AI92)-IF(Init!$R$12="No",'Staging Table'!BH92, 0),X90))</f>
        <v/>
      </c>
      <c r="N90" s="95" t="str">
        <f>IF('Staging Table'!C92=1,"",IF(M90=0, 0, L90/M90))</f>
        <v/>
      </c>
      <c r="O90" s="211">
        <f>'Staging Table'!BS92*Rates_current!$E$76*100*12</f>
        <v>12200577.633545486</v>
      </c>
      <c r="P90" s="211">
        <f>'Staging Table'!BS92*Rates_current!$E$77*100*12</f>
        <v>-2014344.6425130044</v>
      </c>
      <c r="Q90" s="212">
        <f>SUMPRODUCT('Staging Table'!BY92:CV92, LS_Demand_Rates_Restatement!$C$5:$Z$5)-IF(Init!$R$12="No",('Staging Table'!DU92*Rates_current!$H$34), 0)</f>
        <v>0</v>
      </c>
      <c r="R90" s="212">
        <f>SUMPRODUCT('Staging Table'!CW92:DH92, LS_Demand_Rates_Restatement!$C$11:$N$11)*1000</f>
        <v>0</v>
      </c>
      <c r="S90" s="213">
        <f>'Staging Table'!ED92*IF(Init!$R$15="Yes",IF(Init!$R$6=2022,Rates_current!$C$88,Rates_current!$D$88),Rates_current!$H$33)</f>
        <v>0</v>
      </c>
      <c r="T90" s="213">
        <v>0</v>
      </c>
      <c r="U90" s="213">
        <f>IF('Staging Table'!D92=1, 'Staging Table'!BU92*-1*'Staging Table'!BS92/'Staging Table'!BR92,SUM(O90:T90)*'Staging Table'!BU92*-1)</f>
        <v>-742994.33208268229</v>
      </c>
      <c r="V90" s="211">
        <f>'Staging Table'!BX92*Rates_current!$H$32*-1</f>
        <v>0</v>
      </c>
      <c r="W90" s="211" t="str">
        <f>IF('Staging Table'!C92=1,"", SUM(O90:V90))</f>
        <v/>
      </c>
      <c r="X90" s="211" t="str">
        <f>IF('Staging Table'!C92=1,"", (RT1SC!$C$4*'Staging Table'!BS92*'Staging Table'!$BS$2)+SUM('Staging Table'!BY92:CV92)-IF(Init!$R$12="No",'Staging Table'!DU92, 0))</f>
        <v/>
      </c>
      <c r="Y90" s="95" t="str">
        <f>IF('Staging Table'!C92=1,"",IF(X90=0, 0, W90/X90))</f>
        <v/>
      </c>
      <c r="Z90" s="87" t="str">
        <f ca="1">IF('Staging Table'!C92=1,"",(Y90/N90-1)+(RAND()/100000000000000))</f>
        <v/>
      </c>
      <c r="AA90" s="53" t="str">
        <f t="shared" ca="1" si="1"/>
        <v/>
      </c>
      <c r="AC90" s="421"/>
      <c r="AD90" s="216"/>
      <c r="AE90" s="216"/>
      <c r="AG90" s="216"/>
      <c r="AH90" s="216"/>
    </row>
    <row r="91" spans="2:34">
      <c r="B91" s="135">
        <v>10279</v>
      </c>
      <c r="C91" s="136" t="s">
        <v>94</v>
      </c>
      <c r="D91" s="211">
        <f>IF(Init!$R$9="Yes",'Staging Table'!F93,'Staging Table'!BS93)*Rates_previous!$E$76*100*12</f>
        <v>21796381.875599999</v>
      </c>
      <c r="E91" s="211">
        <f>IF(Init!$R$9="Yes",'Staging Table'!F93,'Staging Table'!BS93)*Rates_previous!$E$77*100*12</f>
        <v>-2205056.898</v>
      </c>
      <c r="F91" s="212">
        <f>IF(Init!$R$9="Yes",SUMPRODUCT('Staging Table'!L93:AI93,LS_Demand_Rates_Restatement!$C$4:$Z$4)-IF(Init!$R$12="No",('Staging Table'!BH93*Rates_previous!$H$34), 0),SUMPRODUCT('Staging Table'!BY93:CV93,LS_Demand_Rates_Restatement!$C$4:$Z$4)-IF(Init!$R$12="No", 'Staging Table'!DU93*Rates_previous!$H$34, 0))</f>
        <v>-2300420.8781673312</v>
      </c>
      <c r="G91" s="212">
        <f>IF(Init!$R$9="Yes",SUMPRODUCT('Staging Table'!AJ93:AU93,LS_Demand_Rates_Restatement!$C$10:$N$10),SUMPRODUCT(LS_Demand_Rates_Restatement!$C$10:$N$10,'Staging Table'!CW93:DH93))*1000</f>
        <v>0</v>
      </c>
      <c r="H91" s="213">
        <f>IF(Init!$R$9="Yes",'Staging Table'!BQ93,'Staging Table'!ED93)*IF(Init!$R$3=2020,Rates_previous!$C$88,Rates_previous!$D$88)</f>
        <v>0</v>
      </c>
      <c r="I91" s="211">
        <f>IF(Init!$R$9="Yes",IF('Staging Table'!$F$1=2020,(SUM('Staging Table'!AX93:BD93)*Rates_previous!$C$87),(SUM('Staging Table'!AX93:BD93)*Rates_previous!$D$87)),IF('Staging Table'!$F$1=2020,(SUM('Staging Table'!DK93:DQ93)*Rates_previous!$C$87),(SUM('Staging Table'!DK93:DQ93)*Rates_previous!$D$87)))</f>
        <v>267379.62936071533</v>
      </c>
      <c r="J91" s="213">
        <f>IF(Init!$R$9="Yes",IF('Staging Table'!D93=1,'Staging Table'!H93*-1*'Staging Table'!BS93/'Staging Table'!BR93,'Staging Table'!H93*SUM(D91:I91)*(-1)),IF('Staging Table'!D93=1,'Staging Table'!BU93*-1*'Staging Table'!BS93/'Staging Table'!BR93,'Staging Table'!BU93*SUM(D91:I91)*(-1)))</f>
        <v>0</v>
      </c>
      <c r="K91" s="211">
        <f>IF(Init!$R$9="Yes",'Staging Table'!K93,'Staging Table'!BX93)*(-1)*Rates_previous!$H$32</f>
        <v>0</v>
      </c>
      <c r="L91" s="211">
        <f>IF('Staging Table'!C93=1,"",SUM(D91:K91))</f>
        <v>17558283.728793386</v>
      </c>
      <c r="M91" s="211">
        <f>IF('Staging Table'!C93=1,"",IF(Init!$R$9="Yes",(RT1SC!$C$3*'Staging Table'!F93*'Staging Table'!$F$2)+SUM('Staging Table'!L93:AI93)-IF(Init!$R$12="No",'Staging Table'!BH93, 0),X91))</f>
        <v>439250.58924003597</v>
      </c>
      <c r="N91" s="95">
        <f>IF('Staging Table'!C93=1,"",IF(M91=0, 0, L91/M91))</f>
        <v>39.973273022061591</v>
      </c>
      <c r="O91" s="211">
        <f>'Staging Table'!BS93*Rates_current!$E$76*100*12</f>
        <v>21992982.44304695</v>
      </c>
      <c r="P91" s="211">
        <f>'Staging Table'!BS93*Rates_current!$E$77*100*12</f>
        <v>-3631094.1733797397</v>
      </c>
      <c r="Q91" s="212">
        <f>SUMPRODUCT('Staging Table'!BY93:CV93, LS_Demand_Rates_Restatement!$C$5:$Z$5)-IF(Init!$R$12="No",('Staging Table'!DU93*Rates_current!$H$34), 0)</f>
        <v>81737.273156133597</v>
      </c>
      <c r="R91" s="212">
        <f>SUMPRODUCT('Staging Table'!CW93:DH93, LS_Demand_Rates_Restatement!$C$11:$N$11)*1000</f>
        <v>0</v>
      </c>
      <c r="S91" s="213">
        <f>'Staging Table'!ED93*IF(Init!$R$15="Yes",IF(Init!$R$6=2022,Rates_current!$C$88,Rates_current!$D$88),Rates_current!$H$33)</f>
        <v>0</v>
      </c>
      <c r="T91" s="213">
        <v>0</v>
      </c>
      <c r="U91" s="213">
        <f>IF('Staging Table'!D93=1, 'Staging Table'!BU93*-1*'Staging Table'!BS93/'Staging Table'!BR93,SUM(O91:T91)*'Staging Table'!BU93*-1)</f>
        <v>0</v>
      </c>
      <c r="V91" s="211">
        <f>'Staging Table'!BX93*Rates_current!$H$32*-1</f>
        <v>0</v>
      </c>
      <c r="W91" s="211">
        <f>IF('Staging Table'!C93=1,"", SUM(O91:V91))</f>
        <v>18443625.542823341</v>
      </c>
      <c r="X91" s="211">
        <f>IF('Staging Table'!C93=1,"", (RT1SC!$C$4*'Staging Table'!BS93*'Staging Table'!$BS$2)+SUM('Staging Table'!BY93:CV93)-IF(Init!$R$12="No",'Staging Table'!DU93, 0))</f>
        <v>541184.04</v>
      </c>
      <c r="Y91" s="95">
        <f>IF('Staging Table'!C93=1,"",IF(X91=0, 0, W91/X91))</f>
        <v>34.080135738709771</v>
      </c>
      <c r="Z91" s="87">
        <f ca="1">IF('Staging Table'!C93=1,"",(Y91/N91-1)+(RAND()/100000000000000))</f>
        <v>-0.14742693899744608</v>
      </c>
      <c r="AA91" s="53">
        <f t="shared" ca="1" si="1"/>
        <v>117</v>
      </c>
      <c r="AC91" s="421"/>
      <c r="AD91" s="216"/>
      <c r="AE91" s="216"/>
      <c r="AG91" s="216"/>
      <c r="AH91" s="216"/>
    </row>
    <row r="92" spans="2:34">
      <c r="B92" s="135">
        <v>10284</v>
      </c>
      <c r="C92" s="136" t="s">
        <v>95</v>
      </c>
      <c r="D92" s="211">
        <f>IF(Init!$R$9="Yes",'Staging Table'!F94,'Staging Table'!BS94)*Rates_previous!$E$76*100*12</f>
        <v>3324477.0436800001</v>
      </c>
      <c r="E92" s="211">
        <f>IF(Init!$R$9="Yes",'Staging Table'!F94,'Staging Table'!BS94)*Rates_previous!$E$77*100*12</f>
        <v>-336324.67440000002</v>
      </c>
      <c r="F92" s="212">
        <f>IF(Init!$R$9="Yes",SUMPRODUCT('Staging Table'!L94:AI94,LS_Demand_Rates_Restatement!$C$4:$Z$4)-IF(Init!$R$12="No",('Staging Table'!BH94*Rates_previous!$H$34), 0),SUMPRODUCT('Staging Table'!BY94:CV94,LS_Demand_Rates_Restatement!$C$4:$Z$4)-IF(Init!$R$12="No", 'Staging Table'!DU94*Rates_previous!$H$34, 0))</f>
        <v>130016.88758468354</v>
      </c>
      <c r="G92" s="212">
        <f>IF(Init!$R$9="Yes",SUMPRODUCT('Staging Table'!AJ94:AU94,LS_Demand_Rates_Restatement!$C$10:$N$10),SUMPRODUCT(LS_Demand_Rates_Restatement!$C$10:$N$10,'Staging Table'!CW94:DH94))*1000</f>
        <v>244546.22495566239</v>
      </c>
      <c r="H92" s="213">
        <f>IF(Init!$R$9="Yes",'Staging Table'!BQ94,'Staging Table'!ED94)*IF(Init!$R$3=2020,Rates_previous!$C$88,Rates_previous!$D$88)</f>
        <v>38378.52576000007</v>
      </c>
      <c r="I92" s="211">
        <f>IF(Init!$R$9="Yes",IF('Staging Table'!$F$1=2020,(SUM('Staging Table'!AX94:BD94)*Rates_previous!$C$87),(SUM('Staging Table'!AX94:BD94)*Rates_previous!$D$87)),IF('Staging Table'!$F$1=2020,(SUM('Staging Table'!DK94:DQ94)*Rates_previous!$C$87),(SUM('Staging Table'!DK94:DQ94)*Rates_previous!$D$87)))</f>
        <v>40781.880443764989</v>
      </c>
      <c r="J92" s="213">
        <f>IF(Init!$R$9="Yes",IF('Staging Table'!D94=1,'Staging Table'!H94*-1*'Staging Table'!BS94/'Staging Table'!BR94,'Staging Table'!H94*SUM(D92:I92)*(-1)),IF('Staging Table'!D94=1,'Staging Table'!BU94*-1*'Staging Table'!BS94/'Staging Table'!BR94,'Staging Table'!BU94*SUM(D92:I92)*(-1)))</f>
        <v>-172093.79440120555</v>
      </c>
      <c r="K92" s="211">
        <f>IF(Init!$R$9="Yes",'Staging Table'!K94,'Staging Table'!BX94)*(-1)*Rates_previous!$H$32</f>
        <v>0</v>
      </c>
      <c r="L92" s="211">
        <f>IF('Staging Table'!C94=1,"",SUM(D92:K92))</f>
        <v>3269782.0936229052</v>
      </c>
      <c r="M92" s="211">
        <f>IF('Staging Table'!C94=1,"",IF(Init!$R$9="Yes",(RT1SC!$C$3*'Staging Table'!F94*'Staging Table'!$F$2)+SUM('Staging Table'!L94:AI94)-IF(Init!$R$12="No",'Staging Table'!BH94, 0),X92))</f>
        <v>88762.32</v>
      </c>
      <c r="N92" s="95">
        <f>IF('Staging Table'!C94=1,"",IF(M92=0, 0, L92/M92))</f>
        <v>36.837501471603098</v>
      </c>
      <c r="O92" s="211">
        <f>'Staging Table'!BS94*Rates_current!$E$76*100*12</f>
        <v>3449668.0017798534</v>
      </c>
      <c r="P92" s="211">
        <f>'Staging Table'!BS94*Rates_current!$E$77*100*12</f>
        <v>-569548.46455203975</v>
      </c>
      <c r="Q92" s="212">
        <f>SUMPRODUCT('Staging Table'!BY94:CV94, LS_Demand_Rates_Restatement!$C$5:$Z$5)-IF(Init!$R$12="No",('Staging Table'!DU94*Rates_current!$H$34), 0)</f>
        <v>77152.107579748175</v>
      </c>
      <c r="R92" s="212">
        <f>SUMPRODUCT('Staging Table'!CW94:DH94, LS_Demand_Rates_Restatement!$C$11:$N$11)*1000</f>
        <v>227876.3266214121</v>
      </c>
      <c r="S92" s="213">
        <f>'Staging Table'!ED94*IF(Init!$R$15="Yes",IF(Init!$R$6=2022,Rates_current!$C$88,Rates_current!$D$88),Rates_current!$H$33)</f>
        <v>0</v>
      </c>
      <c r="T92" s="213">
        <v>0</v>
      </c>
      <c r="U92" s="213">
        <f>IF('Staging Table'!D94=1, 'Staging Table'!BU94*-1*'Staging Table'!BS94/'Staging Table'!BR94,SUM(O92:T92)*'Staging Table'!BU94*-1)</f>
        <v>-160785.87515216539</v>
      </c>
      <c r="V92" s="211">
        <f>'Staging Table'!BX94*Rates_current!$H$32*-1</f>
        <v>0</v>
      </c>
      <c r="W92" s="211">
        <f>IF('Staging Table'!C94=1,"", SUM(O92:V92))</f>
        <v>3024362.0962768085</v>
      </c>
      <c r="X92" s="211">
        <f>IF('Staging Table'!C94=1,"", (RT1SC!$C$4*'Staging Table'!BS94*'Staging Table'!$BS$2)+SUM('Staging Table'!BY94:CV94)-IF(Init!$R$12="No",'Staging Table'!DU94, 0))</f>
        <v>84884.4</v>
      </c>
      <c r="Y92" s="95">
        <f>IF('Staging Table'!C94=1,"",IF(X92=0, 0, W92/X92))</f>
        <v>35.62918623771634</v>
      </c>
      <c r="Z92" s="87">
        <f ca="1">IF('Staging Table'!C94=1,"",(Y92/N92-1)+(RAND()/100000000000000))</f>
        <v>-3.2801226620050014E-2</v>
      </c>
      <c r="AA92" s="53">
        <f t="shared" ca="1" si="1"/>
        <v>20</v>
      </c>
      <c r="AC92" s="421"/>
      <c r="AD92" s="216"/>
      <c r="AE92" s="216"/>
      <c r="AG92" s="216"/>
      <c r="AH92" s="216"/>
    </row>
    <row r="93" spans="2:34">
      <c r="B93" s="135">
        <v>10285</v>
      </c>
      <c r="C93" s="136" t="s">
        <v>96</v>
      </c>
      <c r="D93" s="211">
        <f>IF(Init!$R$9="Yes",'Staging Table'!F95,'Staging Table'!BS95)*Rates_previous!$E$76*100*12</f>
        <v>2197225.4981999998</v>
      </c>
      <c r="E93" s="211">
        <f>IF(Init!$R$9="Yes",'Staging Table'!F95,'Staging Table'!BS95)*Rates_previous!$E$77*100*12</f>
        <v>-222284.93099999998</v>
      </c>
      <c r="F93" s="212">
        <f>IF(Init!$R$9="Yes",SUMPRODUCT('Staging Table'!L95:AI95,LS_Demand_Rates_Restatement!$C$4:$Z$4)-IF(Init!$R$12="No",('Staging Table'!BH95*Rates_previous!$H$34), 0),SUMPRODUCT('Staging Table'!BY95:CV95,LS_Demand_Rates_Restatement!$C$4:$Z$4)-IF(Init!$R$12="No", 'Staging Table'!DU95*Rates_previous!$H$34, 0))</f>
        <v>0</v>
      </c>
      <c r="G93" s="212">
        <f>IF(Init!$R$9="Yes",SUMPRODUCT('Staging Table'!AJ95:AU95,LS_Demand_Rates_Restatement!$C$10:$N$10),SUMPRODUCT(LS_Demand_Rates_Restatement!$C$10:$N$10,'Staging Table'!CW95:DH95))*1000</f>
        <v>0</v>
      </c>
      <c r="H93" s="213">
        <f>IF(Init!$R$9="Yes",'Staging Table'!BQ95,'Staging Table'!ED95)*IF(Init!$R$3=2020,Rates_previous!$C$88,Rates_previous!$D$88)</f>
        <v>0</v>
      </c>
      <c r="I93" s="211">
        <f>IF(Init!$R$9="Yes",IF('Staging Table'!$F$1=2020,(SUM('Staging Table'!AX95:BD95)*Rates_previous!$C$87),(SUM('Staging Table'!AX95:BD95)*Rates_previous!$D$87)),IF('Staging Table'!$F$1=2020,(SUM('Staging Table'!DK95:DQ95)*Rates_previous!$C$87),(SUM('Staging Table'!DK95:DQ95)*Rates_previous!$D$87)))</f>
        <v>26953.70922952583</v>
      </c>
      <c r="J93" s="213">
        <f>IF(Init!$R$9="Yes",IF('Staging Table'!D95=1,'Staging Table'!H95*-1*'Staging Table'!BS95/'Staging Table'!BR95,'Staging Table'!H95*SUM(D93:I93)*(-1)),IF('Staging Table'!D95=1,'Staging Table'!BU95*-1*'Staging Table'!BS95/'Staging Table'!BR95,'Staging Table'!BU95*SUM(D93:I93)*(-1)))</f>
        <v>-139480.61191633591</v>
      </c>
      <c r="K93" s="211">
        <f>IF(Init!$R$9="Yes",'Staging Table'!K95,'Staging Table'!BX95)*(-1)*Rates_previous!$H$32</f>
        <v>0</v>
      </c>
      <c r="L93" s="211" t="str">
        <f>IF('Staging Table'!C95=1,"",SUM(D93:K93))</f>
        <v/>
      </c>
      <c r="M93" s="211" t="str">
        <f>IF('Staging Table'!C95=1,"",IF(Init!$R$9="Yes",(RT1SC!$C$3*'Staging Table'!F95*'Staging Table'!$F$2)+SUM('Staging Table'!L95:AI95)-IF(Init!$R$12="No",'Staging Table'!BH95, 0),X93))</f>
        <v/>
      </c>
      <c r="N93" s="95" t="str">
        <f>IF('Staging Table'!C95=1,"",IF(M93=0, 0, L93/M93))</f>
        <v/>
      </c>
      <c r="O93" s="211">
        <f>'Staging Table'!BS95*Rates_current!$E$76*100*12</f>
        <v>2217044.1902297353</v>
      </c>
      <c r="P93" s="211">
        <f>'Staging Table'!BS95*Rates_current!$E$77*100*12</f>
        <v>-366039.31559149153</v>
      </c>
      <c r="Q93" s="212">
        <f>SUMPRODUCT('Staging Table'!BY95:CV95, LS_Demand_Rates_Restatement!$C$5:$Z$5)-IF(Init!$R$12="No",('Staging Table'!DU95*Rates_current!$H$34), 0)</f>
        <v>0</v>
      </c>
      <c r="R93" s="212">
        <f>SUMPRODUCT('Staging Table'!CW95:DH95, LS_Demand_Rates_Restatement!$C$11:$N$11)*1000</f>
        <v>0</v>
      </c>
      <c r="S93" s="213">
        <f>'Staging Table'!ED95*IF(Init!$R$15="Yes",IF(Init!$R$6=2022,Rates_current!$C$88,Rates_current!$D$88),Rates_current!$H$33)</f>
        <v>0</v>
      </c>
      <c r="T93" s="213">
        <v>0</v>
      </c>
      <c r="U93" s="213">
        <f>IF('Staging Table'!D95=1, 'Staging Table'!BU95*-1*'Staging Table'!BS95/'Staging Table'!BR95,SUM(O93:T93)*'Staging Table'!BU95*-1)</f>
        <v>-133876.86990700016</v>
      </c>
      <c r="V93" s="211">
        <f>'Staging Table'!BX95*Rates_current!$H$32*-1</f>
        <v>0</v>
      </c>
      <c r="W93" s="211" t="str">
        <f>IF('Staging Table'!C95=1,"", SUM(O93:V93))</f>
        <v/>
      </c>
      <c r="X93" s="211" t="str">
        <f>IF('Staging Table'!C95=1,"", (RT1SC!$C$4*'Staging Table'!BS95*'Staging Table'!$BS$2)+SUM('Staging Table'!BY95:CV95)-IF(Init!$R$12="No",'Staging Table'!DU95, 0))</f>
        <v/>
      </c>
      <c r="Y93" s="95" t="str">
        <f>IF('Staging Table'!C95=1,"",IF(X93=0, 0, W93/X93))</f>
        <v/>
      </c>
      <c r="Z93" s="87" t="str">
        <f ca="1">IF('Staging Table'!C95=1,"",(Y93/N93-1)+(RAND()/100000000000000))</f>
        <v/>
      </c>
      <c r="AA93" s="53" t="str">
        <f t="shared" ca="1" si="1"/>
        <v/>
      </c>
      <c r="AC93" s="421"/>
      <c r="AD93" s="216"/>
      <c r="AE93" s="216"/>
      <c r="AG93" s="216"/>
      <c r="AH93" s="216"/>
    </row>
    <row r="94" spans="2:34">
      <c r="B94" s="135">
        <v>10286</v>
      </c>
      <c r="C94" s="136" t="s">
        <v>97</v>
      </c>
      <c r="D94" s="211">
        <f>IF(Init!$R$9="Yes",'Staging Table'!F96,'Staging Table'!BS96)*Rates_previous!$E$76*100*12</f>
        <v>15451165.39632</v>
      </c>
      <c r="E94" s="211">
        <f>IF(Init!$R$9="Yes",'Staging Table'!F96,'Staging Table'!BS96)*Rates_previous!$E$77*100*12</f>
        <v>-1563135.5256000001</v>
      </c>
      <c r="F94" s="212">
        <f>IF(Init!$R$9="Yes",SUMPRODUCT('Staging Table'!L96:AI96,LS_Demand_Rates_Restatement!$C$4:$Z$4)-IF(Init!$R$12="No",('Staging Table'!BH96*Rates_previous!$H$34), 0),SUMPRODUCT('Staging Table'!BY96:CV96,LS_Demand_Rates_Restatement!$C$4:$Z$4)-IF(Init!$R$12="No", 'Staging Table'!DU96*Rates_previous!$H$34, 0))</f>
        <v>410127.74818795419</v>
      </c>
      <c r="G94" s="212">
        <f>IF(Init!$R$9="Yes",SUMPRODUCT('Staging Table'!AJ96:AU96,LS_Demand_Rates_Restatement!$C$10:$N$10),SUMPRODUCT(LS_Demand_Rates_Restatement!$C$10:$N$10,'Staging Table'!CW96:DH96))*1000</f>
        <v>0</v>
      </c>
      <c r="H94" s="213">
        <f>IF(Init!$R$9="Yes",'Staging Table'!BQ96,'Staging Table'!ED96)*IF(Init!$R$3=2020,Rates_previous!$C$88,Rates_previous!$D$88)</f>
        <v>0</v>
      </c>
      <c r="I94" s="211">
        <f>IF(Init!$R$9="Yes",IF('Staging Table'!$F$1=2020,(SUM('Staging Table'!AX96:BD96)*Rates_previous!$C$87),(SUM('Staging Table'!AX96:BD96)*Rates_previous!$D$87)),IF('Staging Table'!$F$1=2020,(SUM('Staging Table'!DK96:DQ96)*Rates_previous!$C$87),(SUM('Staging Table'!DK96:DQ96)*Rates_previous!$D$87)))</f>
        <v>189541.86527095005</v>
      </c>
      <c r="J94" s="213">
        <f>IF(Init!$R$9="Yes",IF('Staging Table'!D96=1,'Staging Table'!H96*-1*'Staging Table'!BS96/'Staging Table'!BR96,'Staging Table'!H96*SUM(D94:I94)*(-1)),IF('Staging Table'!D96=1,'Staging Table'!BU96*-1*'Staging Table'!BS96/'Staging Table'!BR96,'Staging Table'!BU96*SUM(D94:I94)*(-1)))</f>
        <v>0</v>
      </c>
      <c r="K94" s="211">
        <f>IF(Init!$R$9="Yes",'Staging Table'!K96,'Staging Table'!BX96)*(-1)*Rates_previous!$H$32</f>
        <v>-615584.55761000002</v>
      </c>
      <c r="L94" s="211">
        <f>IF('Staging Table'!C96=1,"",SUM(D94:K94))</f>
        <v>13872114.926568905</v>
      </c>
      <c r="M94" s="211">
        <f>IF('Staging Table'!C96=1,"",IF(Init!$R$9="Yes",(RT1SC!$C$3*'Staging Table'!F96*'Staging Table'!$F$2)+SUM('Staging Table'!L96:AI96)-IF(Init!$R$12="No",'Staging Table'!BH96, 0),X94))</f>
        <v>401147.72705677926</v>
      </c>
      <c r="N94" s="95">
        <f>IF('Staging Table'!C96=1,"",IF(M94=0, 0, L94/M94))</f>
        <v>34.581063261528634</v>
      </c>
      <c r="O94" s="211">
        <f>'Staging Table'!BS96*Rates_current!$E$76*100*12</f>
        <v>15590772.735468445</v>
      </c>
      <c r="P94" s="211">
        <f>'Staging Table'!BS96*Rates_current!$E$77*100*12</f>
        <v>-2574073.9885937958</v>
      </c>
      <c r="Q94" s="212">
        <f>SUMPRODUCT('Staging Table'!BY96:CV96, LS_Demand_Rates_Restatement!$C$5:$Z$5)-IF(Init!$R$12="No",('Staging Table'!DU96*Rates_current!$H$34), 0)</f>
        <v>484561.1023844516</v>
      </c>
      <c r="R94" s="212">
        <f>SUMPRODUCT('Staging Table'!CW96:DH96, LS_Demand_Rates_Restatement!$C$11:$N$11)*1000</f>
        <v>0</v>
      </c>
      <c r="S94" s="213">
        <f>'Staging Table'!ED96*IF(Init!$R$15="Yes",IF(Init!$R$6=2022,Rates_current!$C$88,Rates_current!$D$88),Rates_current!$H$33)</f>
        <v>0</v>
      </c>
      <c r="T94" s="213">
        <v>0</v>
      </c>
      <c r="U94" s="213">
        <f>IF('Staging Table'!D96=1, 'Staging Table'!BU96*-1*'Staging Table'!BS96/'Staging Table'!BR96,SUM(O94:T94)*'Staging Table'!BU96*-1)</f>
        <v>0</v>
      </c>
      <c r="V94" s="211">
        <f>'Staging Table'!BX96*Rates_current!$H$32*-1</f>
        <v>-603948.84590000007</v>
      </c>
      <c r="W94" s="211">
        <f>IF('Staging Table'!C96=1,"", SUM(O94:V94))</f>
        <v>12897311.003359102</v>
      </c>
      <c r="X94" s="211">
        <f>IF('Staging Table'!C96=1,"", (RT1SC!$C$4*'Staging Table'!BS96*'Staging Table'!$BS$2)+SUM('Staging Table'!BY96:CV96)-IF(Init!$R$12="No",'Staging Table'!DU96, 0))</f>
        <v>383644.21962510049</v>
      </c>
      <c r="Y94" s="95">
        <f>IF('Staging Table'!C96=1,"",IF(X94=0, 0, W94/X94))</f>
        <v>33.617894767090284</v>
      </c>
      <c r="Z94" s="87">
        <f ca="1">IF('Staging Table'!C96=1,"",(Y94/N94-1)+(RAND()/100000000000000))</f>
        <v>-2.785248351544245E-2</v>
      </c>
      <c r="AA94" s="53">
        <f t="shared" ca="1" si="1"/>
        <v>6</v>
      </c>
      <c r="AC94" s="421"/>
      <c r="AD94" s="216"/>
      <c r="AE94" s="216"/>
      <c r="AG94" s="216"/>
      <c r="AH94" s="216"/>
    </row>
    <row r="95" spans="2:34">
      <c r="B95" s="135">
        <v>10288</v>
      </c>
      <c r="C95" s="136" t="s">
        <v>98</v>
      </c>
      <c r="D95" s="211">
        <f>IF(Init!$R$9="Yes",'Staging Table'!F97,'Staging Table'!BS97)*Rates_previous!$E$76*100*12</f>
        <v>8190933.4310400002</v>
      </c>
      <c r="E95" s="211">
        <f>IF(Init!$R$9="Yes",'Staging Table'!F97,'Staging Table'!BS97)*Rates_previous!$E$77*100*12</f>
        <v>-828645.52320000005</v>
      </c>
      <c r="F95" s="212">
        <f>IF(Init!$R$9="Yes",SUMPRODUCT('Staging Table'!L97:AI97,LS_Demand_Rates_Restatement!$C$4:$Z$4)-IF(Init!$R$12="No",('Staging Table'!BH97*Rates_previous!$H$34), 0),SUMPRODUCT('Staging Table'!BY97:CV97,LS_Demand_Rates_Restatement!$C$4:$Z$4)-IF(Init!$R$12="No", 'Staging Table'!DU97*Rates_previous!$H$34, 0))</f>
        <v>0</v>
      </c>
      <c r="G95" s="212">
        <f>IF(Init!$R$9="Yes",SUMPRODUCT('Staging Table'!AJ97:AU97,LS_Demand_Rates_Restatement!$C$10:$N$10),SUMPRODUCT(LS_Demand_Rates_Restatement!$C$10:$N$10,'Staging Table'!CW97:DH97))*1000</f>
        <v>0</v>
      </c>
      <c r="H95" s="213">
        <f>IF(Init!$R$9="Yes",'Staging Table'!BQ97,'Staging Table'!ED97)*IF(Init!$R$3=2020,Rates_previous!$C$88,Rates_previous!$D$88)</f>
        <v>38.262537326641031</v>
      </c>
      <c r="I95" s="211">
        <f>IF(Init!$R$9="Yes",IF('Staging Table'!$F$1=2020,(SUM('Staging Table'!AX97:BD97)*Rates_previous!$C$87),(SUM('Staging Table'!AX97:BD97)*Rates_previous!$D$87)),IF('Staging Table'!$F$1=2020,(SUM('Staging Table'!DK97:DQ97)*Rates_previous!$C$87),(SUM('Staging Table'!DK97:DQ97)*Rates_previous!$D$87)))</f>
        <v>100479.46294065747</v>
      </c>
      <c r="J95" s="213">
        <f>IF(Init!$R$9="Yes",IF('Staging Table'!D97=1,'Staging Table'!H97*-1*'Staging Table'!BS97/'Staging Table'!BR97,'Staging Table'!H97*SUM(D95:I95)*(-1)),IF('Staging Table'!D97=1,'Staging Table'!BU97*-1*'Staging Table'!BS97/'Staging Table'!BR97,'Staging Table'!BU97*SUM(D95:I95)*(-1)))</f>
        <v>-410454.30983248918</v>
      </c>
      <c r="K95" s="211">
        <f>IF(Init!$R$9="Yes",'Staging Table'!K97,'Staging Table'!BX97)*(-1)*Rates_previous!$H$32</f>
        <v>0</v>
      </c>
      <c r="L95" s="211" t="str">
        <f>IF('Staging Table'!C97=1,"",SUM(D95:K95))</f>
        <v/>
      </c>
      <c r="M95" s="211" t="str">
        <f>IF('Staging Table'!C97=1,"",IF(Init!$R$9="Yes",(RT1SC!$C$3*'Staging Table'!F97*'Staging Table'!$F$2)+SUM('Staging Table'!L97:AI97)-IF(Init!$R$12="No",'Staging Table'!BH97, 0),X95))</f>
        <v/>
      </c>
      <c r="N95" s="95" t="str">
        <f>IF('Staging Table'!C97=1,"",IF(M95=0, 0, L95/M95))</f>
        <v/>
      </c>
      <c r="O95" s="211">
        <f>'Staging Table'!BS97*Rates_current!$E$76*100*12</f>
        <v>8399348.0543857738</v>
      </c>
      <c r="P95" s="211">
        <f>'Staging Table'!BS97*Rates_current!$E$77*100*12</f>
        <v>-1386752.5179656022</v>
      </c>
      <c r="Q95" s="212">
        <f>SUMPRODUCT('Staging Table'!BY97:CV97, LS_Demand_Rates_Restatement!$C$5:$Z$5)-IF(Init!$R$12="No",('Staging Table'!DU97*Rates_current!$H$34), 0)</f>
        <v>0</v>
      </c>
      <c r="R95" s="212">
        <f>SUMPRODUCT('Staging Table'!CW97:DH97, LS_Demand_Rates_Restatement!$C$11:$N$11)*1000</f>
        <v>0</v>
      </c>
      <c r="S95" s="213">
        <f>'Staging Table'!ED97*IF(Init!$R$15="Yes",IF(Init!$R$6=2022,Rates_current!$C$88,Rates_current!$D$88),Rates_current!$H$33)</f>
        <v>0</v>
      </c>
      <c r="T95" s="213">
        <v>0</v>
      </c>
      <c r="U95" s="213">
        <f>IF('Staging Table'!D97=1, 'Staging Table'!BU97*-1*'Staging Table'!BS97/'Staging Table'!BR97,SUM(O95:T95)*'Staging Table'!BU97*-1)</f>
        <v>-446185.82772204641</v>
      </c>
      <c r="V95" s="211">
        <f>'Staging Table'!BX97*Rates_current!$H$32*-1</f>
        <v>0</v>
      </c>
      <c r="W95" s="211" t="str">
        <f>IF('Staging Table'!C97=1,"", SUM(O95:V95))</f>
        <v/>
      </c>
      <c r="X95" s="211" t="str">
        <f>IF('Staging Table'!C97=1,"", (RT1SC!$C$4*'Staging Table'!BS97*'Staging Table'!$BS$2)+SUM('Staging Table'!BY97:CV97)-IF(Init!$R$12="No",'Staging Table'!DU97, 0))</f>
        <v/>
      </c>
      <c r="Y95" s="95" t="str">
        <f>IF('Staging Table'!C97=1,"",IF(X95=0, 0, W95/X95))</f>
        <v/>
      </c>
      <c r="Z95" s="87" t="str">
        <f ca="1">IF('Staging Table'!C97=1,"",(Y95/N95-1)+(RAND()/100000000000000))</f>
        <v/>
      </c>
      <c r="AA95" s="53" t="str">
        <f t="shared" ca="1" si="1"/>
        <v/>
      </c>
      <c r="AC95" s="421"/>
      <c r="AD95" s="216"/>
      <c r="AE95" s="216"/>
      <c r="AG95" s="216"/>
      <c r="AH95" s="216"/>
    </row>
    <row r="96" spans="2:34">
      <c r="B96" s="135">
        <v>10291</v>
      </c>
      <c r="C96" s="136" t="s">
        <v>99</v>
      </c>
      <c r="D96" s="211">
        <f>IF(Init!$R$9="Yes",'Staging Table'!F98,'Staging Table'!BS98)*Rates_previous!$E$76*100*12</f>
        <v>26648578.28136</v>
      </c>
      <c r="E96" s="211">
        <f>IF(Init!$R$9="Yes",'Staging Table'!F98,'Staging Table'!BS98)*Rates_previous!$E$77*100*12</f>
        <v>-2695935.1188000003</v>
      </c>
      <c r="F96" s="212">
        <f>IF(Init!$R$9="Yes",SUMPRODUCT('Staging Table'!L98:AI98,LS_Demand_Rates_Restatement!$C$4:$Z$4)-IF(Init!$R$12="No",('Staging Table'!BH98*Rates_previous!$H$34), 0),SUMPRODUCT('Staging Table'!BY98:CV98,LS_Demand_Rates_Restatement!$C$4:$Z$4)-IF(Init!$R$12="No", 'Staging Table'!DU98*Rates_previous!$H$34, 0))</f>
        <v>-163158.06185985051</v>
      </c>
      <c r="G96" s="212">
        <f>IF(Init!$R$9="Yes",SUMPRODUCT('Staging Table'!AJ98:AU98,LS_Demand_Rates_Restatement!$C$10:$N$10),SUMPRODUCT(LS_Demand_Rates_Restatement!$C$10:$N$10,'Staging Table'!CW98:DH98))*1000</f>
        <v>1533466.767705698</v>
      </c>
      <c r="H96" s="213">
        <f>IF(Init!$R$9="Yes",'Staging Table'!BQ98,'Staging Table'!ED98)*IF(Init!$R$3=2020,Rates_previous!$C$88,Rates_previous!$D$88)</f>
        <v>-308226.5410951447</v>
      </c>
      <c r="I96" s="211">
        <f>IF(Init!$R$9="Yes",IF('Staging Table'!$F$1=2020,(SUM('Staging Table'!AX98:BD98)*Rates_previous!$C$87),(SUM('Staging Table'!AX98:BD98)*Rates_previous!$D$87)),IF('Staging Table'!$F$1=2020,(SUM('Staging Table'!DK98:DQ98)*Rates_previous!$C$87),(SUM('Staging Table'!DK98:DQ98)*Rates_previous!$D$87)))</f>
        <v>326902.2824304828</v>
      </c>
      <c r="J96" s="213">
        <f>IF(Init!$R$9="Yes",IF('Staging Table'!D98=1,'Staging Table'!H98*-1*'Staging Table'!BS98/'Staging Table'!BR98,'Staging Table'!H98*SUM(D96:I96)*(-1)),IF('Staging Table'!D98=1,'Staging Table'!BU98*-1*'Staging Table'!BS98/'Staging Table'!BR98,'Staging Table'!BU98*SUM(D96:I96)*(-1)))</f>
        <v>-1272776.272869173</v>
      </c>
      <c r="K96" s="211">
        <f>IF(Init!$R$9="Yes",'Staging Table'!K98,'Staging Table'!BX98)*(-1)*Rates_previous!$H$32</f>
        <v>-402855.27710999991</v>
      </c>
      <c r="L96" s="211">
        <f>IF('Staging Table'!C98=1,"",SUM(D96:K96))</f>
        <v>23665996.059762012</v>
      </c>
      <c r="M96" s="211">
        <f>IF('Staging Table'!C98=1,"",IF(Init!$R$9="Yes",(RT1SC!$C$3*'Staging Table'!F98*'Staging Table'!$F$2)+SUM('Staging Table'!L98:AI98)-IF(Init!$R$12="No",'Staging Table'!BH98, 0),X96))</f>
        <v>672171.78196838161</v>
      </c>
      <c r="N96" s="95">
        <f>IF('Staging Table'!C98=1,"",IF(M96=0, 0, L96/M96))</f>
        <v>35.208255827786651</v>
      </c>
      <c r="O96" s="211">
        <f>'Staging Table'!BS98*Rates_current!$E$76*100*12</f>
        <v>26888945.037717607</v>
      </c>
      <c r="P96" s="211">
        <f>'Staging Table'!BS98*Rates_current!$E$77*100*12</f>
        <v>-4439429.3455934646</v>
      </c>
      <c r="Q96" s="212">
        <f>SUMPRODUCT('Staging Table'!BY98:CV98, LS_Demand_Rates_Restatement!$C$5:$Z$5)-IF(Init!$R$12="No",('Staging Table'!DU98*Rates_current!$H$34), 0)</f>
        <v>-702731.6053061483</v>
      </c>
      <c r="R96" s="212">
        <f>SUMPRODUCT('Staging Table'!CW98:DH98, LS_Demand_Rates_Restatement!$C$11:$N$11)*1000</f>
        <v>1409190.6986677882</v>
      </c>
      <c r="S96" s="213">
        <f>'Staging Table'!ED98*IF(Init!$R$15="Yes",IF(Init!$R$6=2022,Rates_current!$C$88,Rates_current!$D$88),Rates_current!$H$33)</f>
        <v>0</v>
      </c>
      <c r="T96" s="213">
        <v>0</v>
      </c>
      <c r="U96" s="213">
        <f>IF('Staging Table'!D98=1, 'Staging Table'!BU98*-1*'Staging Table'!BS98/'Staging Table'!BR98,SUM(O96:T96)*'Staging Table'!BU98*-1)</f>
        <v>-1230992.7362561608</v>
      </c>
      <c r="V96" s="211">
        <f>'Staging Table'!BX98*Rates_current!$H$32*-1</f>
        <v>-395240.55089999997</v>
      </c>
      <c r="W96" s="211">
        <f>IF('Staging Table'!C98=1,"", SUM(O96:V96))</f>
        <v>21529741.498329621</v>
      </c>
      <c r="X96" s="211">
        <f>IF('Staging Table'!C98=1,"", (RT1SC!$C$4*'Staging Table'!BS98*'Staging Table'!$BS$2)+SUM('Staging Table'!BY98:CV98)-IF(Init!$R$12="No",'Staging Table'!DU98, 0))</f>
        <v>630342.78984683088</v>
      </c>
      <c r="Y96" s="95">
        <f>IF('Staging Table'!C98=1,"",IF(X96=0, 0, W96/X96))</f>
        <v>34.155608416749253</v>
      </c>
      <c r="Z96" s="87">
        <f ca="1">IF('Staging Table'!C98=1,"",(Y96/N96-1)+(RAND()/100000000000000))</f>
        <v>-2.9897743761749102E-2</v>
      </c>
      <c r="AA96" s="53">
        <f t="shared" ca="1" si="1"/>
        <v>10</v>
      </c>
      <c r="AC96" s="421"/>
      <c r="AD96" s="216"/>
      <c r="AE96" s="216"/>
      <c r="AG96" s="216"/>
      <c r="AH96" s="216"/>
    </row>
    <row r="97" spans="2:34">
      <c r="B97" s="135">
        <v>10294</v>
      </c>
      <c r="C97" s="136" t="s">
        <v>100</v>
      </c>
      <c r="D97" s="211">
        <f>IF(Init!$R$9="Yes",'Staging Table'!F99,'Staging Table'!BS99)*Rates_previous!$E$76*100*12</f>
        <v>5455631.2938000001</v>
      </c>
      <c r="E97" s="211">
        <f>IF(Init!$R$9="Yes",'Staging Table'!F99,'Staging Table'!BS99)*Rates_previous!$E$77*100*12</f>
        <v>-551925.42900000012</v>
      </c>
      <c r="F97" s="212">
        <f>IF(Init!$R$9="Yes",SUMPRODUCT('Staging Table'!L99:AI99,LS_Demand_Rates_Restatement!$C$4:$Z$4)-IF(Init!$R$12="No",('Staging Table'!BH99*Rates_previous!$H$34), 0),SUMPRODUCT('Staging Table'!BY99:CV99,LS_Demand_Rates_Restatement!$C$4:$Z$4)-IF(Init!$R$12="No", 'Staging Table'!DU99*Rates_previous!$H$34, 0))</f>
        <v>70836.997805350766</v>
      </c>
      <c r="G97" s="212">
        <f>IF(Init!$R$9="Yes",SUMPRODUCT('Staging Table'!AJ99:AU99,LS_Demand_Rates_Restatement!$C$10:$N$10),SUMPRODUCT(LS_Demand_Rates_Restatement!$C$10:$N$10,'Staging Table'!CW99:DH99))*1000</f>
        <v>0</v>
      </c>
      <c r="H97" s="213">
        <f>IF(Init!$R$9="Yes",'Staging Table'!BQ99,'Staging Table'!ED99)*IF(Init!$R$3=2020,Rates_previous!$C$88,Rates_previous!$D$88)</f>
        <v>0</v>
      </c>
      <c r="I97" s="211">
        <f>IF(Init!$R$9="Yes",IF('Staging Table'!$F$1=2020,(SUM('Staging Table'!AX99:BD99)*Rates_previous!$C$87),(SUM('Staging Table'!AX99:BD99)*Rates_previous!$D$87)),IF('Staging Table'!$F$1=2020,(SUM('Staging Table'!DK99:DQ99)*Rates_previous!$C$87),(SUM('Staging Table'!DK99:DQ99)*Rates_previous!$D$87)))</f>
        <v>66925.083327611181</v>
      </c>
      <c r="J97" s="213">
        <f>IF(Init!$R$9="Yes",IF('Staging Table'!D99=1,'Staging Table'!H99*-1*'Staging Table'!BS99/'Staging Table'!BR99,'Staging Table'!H99*SUM(D97:I97)*(-1)),IF('Staging Table'!D99=1,'Staging Table'!BU99*-1*'Staging Table'!BS99/'Staging Table'!BR99,'Staging Table'!BU99*SUM(D97:I97)*(-1)))</f>
        <v>0</v>
      </c>
      <c r="K97" s="211">
        <f>IF(Init!$R$9="Yes",'Staging Table'!K99,'Staging Table'!BX99)*(-1)*Rates_previous!$H$32</f>
        <v>0</v>
      </c>
      <c r="L97" s="211">
        <f>IF('Staging Table'!C99=1,"",SUM(D97:K97))</f>
        <v>5041467.9459329611</v>
      </c>
      <c r="M97" s="211">
        <f>IF('Staging Table'!C99=1,"",IF(Init!$R$9="Yes",(RT1SC!$C$3*'Staging Table'!F99*'Staging Table'!$F$2)+SUM('Staging Table'!L99:AI99)-IF(Init!$R$12="No",'Staging Table'!BH99, 0),X97))</f>
        <v>141639.26915271778</v>
      </c>
      <c r="N97" s="95">
        <f>IF('Staging Table'!C99=1,"",IF(M97=0, 0, L97/M97))</f>
        <v>35.593716178365533</v>
      </c>
      <c r="O97" s="211">
        <f>'Staging Table'!BS99*Rates_current!$E$76*100*12</f>
        <v>5583018.474065816</v>
      </c>
      <c r="P97" s="211">
        <f>'Staging Table'!BS99*Rates_current!$E$77*100*12</f>
        <v>-921769.74648842798</v>
      </c>
      <c r="Q97" s="212">
        <f>SUMPRODUCT('Staging Table'!BY99:CV99, LS_Demand_Rates_Restatement!$C$5:$Z$5)-IF(Init!$R$12="No",('Staging Table'!DU99*Rates_current!$H$34), 0)</f>
        <v>51533.876619710252</v>
      </c>
      <c r="R97" s="212">
        <f>SUMPRODUCT('Staging Table'!CW99:DH99, LS_Demand_Rates_Restatement!$C$11:$N$11)*1000</f>
        <v>0</v>
      </c>
      <c r="S97" s="213">
        <f>'Staging Table'!ED99*IF(Init!$R$15="Yes",IF(Init!$R$6=2022,Rates_current!$C$88,Rates_current!$D$88),Rates_current!$H$33)</f>
        <v>0</v>
      </c>
      <c r="T97" s="213">
        <v>0</v>
      </c>
      <c r="U97" s="213">
        <f>IF('Staging Table'!D99=1, 'Staging Table'!BU99*-1*'Staging Table'!BS99/'Staging Table'!BR99,SUM(O97:T97)*'Staging Table'!BU99*-1)</f>
        <v>0</v>
      </c>
      <c r="V97" s="211">
        <f>'Staging Table'!BX99*Rates_current!$H$32*-1</f>
        <v>0</v>
      </c>
      <c r="W97" s="211">
        <f>IF('Staging Table'!C99=1,"", SUM(O97:V97))</f>
        <v>4712782.6041970989</v>
      </c>
      <c r="X97" s="211">
        <f>IF('Staging Table'!C99=1,"", (RT1SC!$C$4*'Staging Table'!BS99*'Staging Table'!$BS$2)+SUM('Staging Table'!BY99:CV99)-IF(Init!$R$12="No",'Staging Table'!DU99, 0))</f>
        <v>137383.85494894101</v>
      </c>
      <c r="Y97" s="95">
        <f>IF('Staging Table'!C99=1,"",IF(X97=0, 0, W97/X97))</f>
        <v>34.303758661806469</v>
      </c>
      <c r="Z97" s="87">
        <f ca="1">IF('Staging Table'!C99=1,"",(Y97/N97-1)+(RAND()/100000000000000))</f>
        <v>-3.6241158694829273E-2</v>
      </c>
      <c r="AA97" s="53">
        <f t="shared" ca="1" si="1"/>
        <v>52</v>
      </c>
      <c r="AC97" s="421"/>
      <c r="AD97" s="216"/>
      <c r="AE97" s="216"/>
      <c r="AG97" s="216"/>
      <c r="AH97" s="216"/>
    </row>
    <row r="98" spans="2:34">
      <c r="B98" s="135">
        <v>10304</v>
      </c>
      <c r="C98" s="136" t="s">
        <v>101</v>
      </c>
      <c r="D98" s="211">
        <f>IF(Init!$R$9="Yes",'Staging Table'!F100,'Staging Table'!BS100)*Rates_previous!$E$76*100*12</f>
        <v>4625700.3646799996</v>
      </c>
      <c r="E98" s="211">
        <f>IF(Init!$R$9="Yes",'Staging Table'!F100,'Staging Table'!BS100)*Rates_previous!$E$77*100*12</f>
        <v>-467964.47939999995</v>
      </c>
      <c r="F98" s="212">
        <f>IF(Init!$R$9="Yes",SUMPRODUCT('Staging Table'!L100:AI100,LS_Demand_Rates_Restatement!$C$4:$Z$4)-IF(Init!$R$12="No",('Staging Table'!BH100*Rates_previous!$H$34), 0),SUMPRODUCT('Staging Table'!BY100:CV100,LS_Demand_Rates_Restatement!$C$4:$Z$4)-IF(Init!$R$12="No", 'Staging Table'!DU100*Rates_previous!$H$34, 0))</f>
        <v>25881.31150778116</v>
      </c>
      <c r="G98" s="212">
        <f>IF(Init!$R$9="Yes",SUMPRODUCT('Staging Table'!AJ100:AU100,LS_Demand_Rates_Restatement!$C$10:$N$10),SUMPRODUCT(LS_Demand_Rates_Restatement!$C$10:$N$10,'Staging Table'!CW100:DH100))*1000</f>
        <v>203029.74064038464</v>
      </c>
      <c r="H98" s="213">
        <f>IF(Init!$R$9="Yes",'Staging Table'!BQ100,'Staging Table'!ED100)*IF(Init!$R$3=2020,Rates_previous!$C$88,Rates_previous!$D$88)</f>
        <v>-49310.419290501864</v>
      </c>
      <c r="I98" s="211">
        <f>IF(Init!$R$9="Yes",IF('Staging Table'!$F$1=2020,(SUM('Staging Table'!AX100:BD100)*Rates_previous!$C$87),(SUM('Staging Table'!AX100:BD100)*Rates_previous!$D$87)),IF('Staging Table'!$F$1=2020,(SUM('Staging Table'!DK100:DQ100)*Rates_previous!$C$87),(SUM('Staging Table'!DK100:DQ100)*Rates_previous!$D$87)))</f>
        <v>56744.190668930351</v>
      </c>
      <c r="J98" s="213">
        <f>IF(Init!$R$9="Yes",IF('Staging Table'!D100=1,'Staging Table'!H100*-1*'Staging Table'!BS100/'Staging Table'!BR100,'Staging Table'!H100*SUM(D98:I98)*(-1)),IF('Staging Table'!D100=1,'Staging Table'!BU100*-1*'Staging Table'!BS100/'Staging Table'!BR100,'Staging Table'!BU100*SUM(D98:I98)*(-1)))</f>
        <v>0</v>
      </c>
      <c r="K98" s="211">
        <f>IF(Init!$R$9="Yes",'Staging Table'!K100,'Staging Table'!BX100)*(-1)*Rates_previous!$H$32</f>
        <v>0</v>
      </c>
      <c r="L98" s="211">
        <f>IF('Staging Table'!C100=1,"",SUM(D98:K98))</f>
        <v>4394080.7088065939</v>
      </c>
      <c r="M98" s="211">
        <f>IF('Staging Table'!C100=1,"",IF(Init!$R$9="Yes",(RT1SC!$C$3*'Staging Table'!F100*'Staging Table'!$F$2)+SUM('Staging Table'!L100:AI100)-IF(Init!$R$12="No",'Staging Table'!BH100, 0),X98))</f>
        <v>116946.03450763079</v>
      </c>
      <c r="N98" s="95">
        <f>IF('Staging Table'!C100=1,"",IF(M98=0, 0, L98/M98))</f>
        <v>37.57357594301223</v>
      </c>
      <c r="O98" s="211">
        <f>'Staging Table'!BS100*Rates_current!$E$76*100*12</f>
        <v>4765266.1010335386</v>
      </c>
      <c r="P98" s="211">
        <f>'Staging Table'!BS100*Rates_current!$E$77*100*12</f>
        <v>-786756.86750876473</v>
      </c>
      <c r="Q98" s="212">
        <f>SUMPRODUCT('Staging Table'!BY100:CV100, LS_Demand_Rates_Restatement!$C$5:$Z$5)-IF(Init!$R$12="No",('Staging Table'!DU100*Rates_current!$H$34), 0)</f>
        <v>62217.706853440526</v>
      </c>
      <c r="R98" s="212">
        <f>SUMPRODUCT('Staging Table'!CW100:DH100, LS_Demand_Rates_Restatement!$C$11:$N$11)*1000</f>
        <v>184512.6065065171</v>
      </c>
      <c r="S98" s="213">
        <f>'Staging Table'!ED100*IF(Init!$R$15="Yes",IF(Init!$R$6=2022,Rates_current!$C$88,Rates_current!$D$88),Rates_current!$H$33)</f>
        <v>-1926.6296501148777</v>
      </c>
      <c r="T98" s="213">
        <v>0</v>
      </c>
      <c r="U98" s="213">
        <f>IF('Staging Table'!D100=1, 'Staging Table'!BU100*-1*'Staging Table'!BS100/'Staging Table'!BR100,SUM(O98:T98)*'Staging Table'!BU100*-1)</f>
        <v>0</v>
      </c>
      <c r="V98" s="211">
        <f>'Staging Table'!BX100*Rates_current!$H$32*-1</f>
        <v>0</v>
      </c>
      <c r="W98" s="211">
        <f>IF('Staging Table'!C100=1,"", SUM(O98:V98))</f>
        <v>4223312.9172346164</v>
      </c>
      <c r="X98" s="211">
        <f>IF('Staging Table'!C100=1,"", (RT1SC!$C$4*'Staging Table'!BS100*'Staging Table'!$BS$2)+SUM('Staging Table'!BY100:CV100)-IF(Init!$R$12="No",'Staging Table'!DU100, 0))</f>
        <v>116946.03599834452</v>
      </c>
      <c r="Y98" s="95">
        <f>IF('Staging Table'!C100=1,"",IF(X98=0, 0, W98/X98))</f>
        <v>36.113348188171173</v>
      </c>
      <c r="Z98" s="87">
        <f ca="1">IF('Staging Table'!C100=1,"",(Y98/N98-1)+(RAND()/100000000000000))</f>
        <v>-3.8863156305789251E-2</v>
      </c>
      <c r="AA98" s="53">
        <f t="shared" ca="1" si="1"/>
        <v>80</v>
      </c>
      <c r="AC98" s="421"/>
      <c r="AD98" s="216"/>
      <c r="AE98" s="216"/>
      <c r="AG98" s="216"/>
      <c r="AH98" s="216"/>
    </row>
    <row r="99" spans="2:34">
      <c r="B99" s="135">
        <v>10306</v>
      </c>
      <c r="C99" s="136" t="s">
        <v>102</v>
      </c>
      <c r="D99" s="211">
        <f>IF(Init!$R$9="Yes",'Staging Table'!F101,'Staging Table'!BS101)*Rates_previous!$E$76*100*12</f>
        <v>0</v>
      </c>
      <c r="E99" s="211">
        <f>IF(Init!$R$9="Yes",'Staging Table'!F101,'Staging Table'!BS101)*Rates_previous!$E$77*100*12</f>
        <v>0</v>
      </c>
      <c r="F99" s="212">
        <f>IF(Init!$R$9="Yes",SUMPRODUCT('Staging Table'!L101:AI101,LS_Demand_Rates_Restatement!$C$4:$Z$4)-IF(Init!$R$12="No",('Staging Table'!BH101*Rates_previous!$H$34), 0),SUMPRODUCT('Staging Table'!BY101:CV101,LS_Demand_Rates_Restatement!$C$4:$Z$4)-IF(Init!$R$12="No", 'Staging Table'!DU101*Rates_previous!$H$34, 0))</f>
        <v>0</v>
      </c>
      <c r="G99" s="212">
        <f>IF(Init!$R$9="Yes",SUMPRODUCT('Staging Table'!AJ101:AU101,LS_Demand_Rates_Restatement!$C$10:$N$10),SUMPRODUCT(LS_Demand_Rates_Restatement!$C$10:$N$10,'Staging Table'!CW101:DH101))*1000</f>
        <v>0</v>
      </c>
      <c r="H99" s="213">
        <f>IF(Init!$R$9="Yes",'Staging Table'!BQ101,'Staging Table'!ED101)*IF(Init!$R$3=2020,Rates_previous!$C$88,Rates_previous!$D$88)</f>
        <v>0</v>
      </c>
      <c r="I99" s="211">
        <f>IF(Init!$R$9="Yes",IF('Staging Table'!$F$1=2020,(SUM('Staging Table'!AX101:BD101)*Rates_previous!$C$87),(SUM('Staging Table'!AX101:BD101)*Rates_previous!$D$87)),IF('Staging Table'!$F$1=2020,(SUM('Staging Table'!DK101:DQ101)*Rates_previous!$C$87),(SUM('Staging Table'!DK101:DQ101)*Rates_previous!$D$87)))</f>
        <v>0</v>
      </c>
      <c r="J99" s="213">
        <v>0</v>
      </c>
      <c r="K99" s="211">
        <f>IF(Init!$R$9="Yes",'Staging Table'!K101,'Staging Table'!BX101)*(-1)*Rates_previous!$H$32</f>
        <v>0</v>
      </c>
      <c r="L99" s="211">
        <f>IF('Staging Table'!C101=1,"",SUM(D99:K99))</f>
        <v>0</v>
      </c>
      <c r="M99" s="211">
        <f>IF('Staging Table'!C101=1,"",IF(Init!$R$9="Yes",(RT1SC!$C$3*'Staging Table'!F101*'Staging Table'!$F$2)+SUM('Staging Table'!L101:AI101)-IF(Init!$R$12="No",'Staging Table'!BH101, 0),X99))</f>
        <v>0</v>
      </c>
      <c r="N99" s="95">
        <f>IF('Staging Table'!C101=1,"",IF(M99=0, 0, L99/M99))</f>
        <v>0</v>
      </c>
      <c r="O99" s="211">
        <f>'Staging Table'!BS101*Rates_current!$E$76*100*12</f>
        <v>0</v>
      </c>
      <c r="P99" s="211">
        <f>'Staging Table'!BS101*Rates_current!$E$77*100*12</f>
        <v>0</v>
      </c>
      <c r="Q99" s="212">
        <f>SUMPRODUCT('Staging Table'!BY101:CV101, LS_Demand_Rates_Restatement!$C$5:$Z$5)-IF(Init!$R$12="No",('Staging Table'!DU101*Rates_current!$H$34), 0)</f>
        <v>0</v>
      </c>
      <c r="R99" s="212">
        <f>SUMPRODUCT('Staging Table'!CW101:DH101, LS_Demand_Rates_Restatement!$C$11:$N$11)*1000</f>
        <v>0</v>
      </c>
      <c r="S99" s="213">
        <f>'Staging Table'!ED101*IF(Init!$R$15="Yes",IF(Init!$R$6=2022,Rates_current!$C$88,Rates_current!$D$88),Rates_current!$H$33)</f>
        <v>0</v>
      </c>
      <c r="T99" s="213">
        <v>0</v>
      </c>
      <c r="U99" s="213">
        <v>0</v>
      </c>
      <c r="V99" s="211">
        <f>'Staging Table'!BX101*Rates_current!$H$32*-1</f>
        <v>0</v>
      </c>
      <c r="W99" s="211">
        <v>0</v>
      </c>
      <c r="X99" s="211">
        <f>IF('Staging Table'!C101=1,"", (RT1SC!$C$4*'Staging Table'!BS101*'Staging Table'!$BS$2)+SUM('Staging Table'!BY101:CV101)-IF(Init!$R$12="No",'Staging Table'!DU101, 0))</f>
        <v>0</v>
      </c>
      <c r="Y99" s="95">
        <f>IF('Staging Table'!C101=1,"",IF(X99=0, 0, W99/X99))</f>
        <v>0</v>
      </c>
      <c r="Z99" s="87"/>
      <c r="AA99" s="53" t="str">
        <f t="shared" si="1"/>
        <v/>
      </c>
      <c r="AC99" s="421"/>
      <c r="AD99" s="216"/>
      <c r="AE99" s="216"/>
      <c r="AG99" s="216"/>
      <c r="AH99" s="216"/>
    </row>
    <row r="100" spans="2:34">
      <c r="B100" s="135">
        <v>10307</v>
      </c>
      <c r="C100" s="136" t="s">
        <v>103</v>
      </c>
      <c r="D100" s="211">
        <f>IF(Init!$R$9="Yes",'Staging Table'!F102,'Staging Table'!BS102)*Rates_previous!$E$76*100*12</f>
        <v>22820010.888119999</v>
      </c>
      <c r="E100" s="211">
        <f>IF(Init!$R$9="Yes",'Staging Table'!F102,'Staging Table'!BS102)*Rates_previous!$E$77*100*12</f>
        <v>-2308613.5445999997</v>
      </c>
      <c r="F100" s="212">
        <f>IF(Init!$R$9="Yes",SUMPRODUCT('Staging Table'!L102:AI102,LS_Demand_Rates_Restatement!$C$4:$Z$4)-IF(Init!$R$12="No",('Staging Table'!BH102*Rates_previous!$H$34), 0),SUMPRODUCT('Staging Table'!BY102:CV102,LS_Demand_Rates_Restatement!$C$4:$Z$4)-IF(Init!$R$12="No", 'Staging Table'!DU102*Rates_previous!$H$34, 0))</f>
        <v>608919.16724977782</v>
      </c>
      <c r="G100" s="212">
        <f>IF(Init!$R$9="Yes",SUMPRODUCT('Staging Table'!AJ102:AU102,LS_Demand_Rates_Restatement!$C$10:$N$10),SUMPRODUCT(LS_Demand_Rates_Restatement!$C$10:$N$10,'Staging Table'!CW102:DH102))*1000</f>
        <v>1437952.0998793798</v>
      </c>
      <c r="H100" s="213">
        <f>IF(Init!$R$9="Yes",'Staging Table'!BQ102,'Staging Table'!ED102)*IF(Init!$R$3=2020,Rates_previous!$C$88,Rates_previous!$D$88)</f>
        <v>79690.783979834145</v>
      </c>
      <c r="I100" s="211">
        <f>IF(Init!$R$9="Yes",IF('Staging Table'!$F$1=2020,(SUM('Staging Table'!AX102:BD102)*Rates_previous!$C$87),(SUM('Staging Table'!AX102:BD102)*Rates_previous!$D$87)),IF('Staging Table'!$F$1=2020,(SUM('Staging Table'!DK102:DQ102)*Rates_previous!$C$87),(SUM('Staging Table'!DK102:DQ102)*Rates_previous!$D$87)))</f>
        <v>279936.64673784544</v>
      </c>
      <c r="J100" s="213">
        <f>IF(Init!$R$9="Yes",IF('Staging Table'!D102=1,'Staging Table'!H102*-1*'Staging Table'!BS102/'Staging Table'!BR102,'Staging Table'!H102*SUM(D100:I100)*(-1)),IF('Staging Table'!D102=1,'Staging Table'!BU102*-1*'Staging Table'!BS102/'Staging Table'!BR102,'Staging Table'!BU102*SUM(D100:I100)*(-1)))</f>
        <v>0</v>
      </c>
      <c r="K100" s="211">
        <f>IF(Init!$R$9="Yes",'Staging Table'!K102,'Staging Table'!BX102)*(-1)*Rates_previous!$H$32</f>
        <v>0</v>
      </c>
      <c r="L100" s="211">
        <f>IF('Staging Table'!C102=1,"",SUM(D100:K100))</f>
        <v>22917896.041366834</v>
      </c>
      <c r="M100" s="211">
        <f>IF('Staging Table'!C102=1,"",IF(Init!$R$9="Yes",(RT1SC!$C$3*'Staging Table'!F102*'Staging Table'!$F$2)+SUM('Staging Table'!L102:AI102)-IF(Init!$R$12="No",'Staging Table'!BH102, 0),X100))</f>
        <v>597543.25923753728</v>
      </c>
      <c r="N100" s="95">
        <f>IF('Staging Table'!C102=1,"",IF(M100=0, 0, L100/M100))</f>
        <v>38.353534555155008</v>
      </c>
      <c r="O100" s="211">
        <f>'Staging Table'!BS102*Rates_current!$E$76*100*12</f>
        <v>24254151.688009217</v>
      </c>
      <c r="P100" s="211">
        <f>'Staging Table'!BS102*Rates_current!$E$77*100*12</f>
        <v>-4004418.6413853834</v>
      </c>
      <c r="Q100" s="212">
        <f>SUMPRODUCT('Staging Table'!BY102:CV102, LS_Demand_Rates_Restatement!$C$5:$Z$5)-IF(Init!$R$12="No",('Staging Table'!DU102*Rates_current!$H$34), 0)</f>
        <v>457012.47521297494</v>
      </c>
      <c r="R100" s="212">
        <f>SUMPRODUCT('Staging Table'!CW102:DH102, LS_Demand_Rates_Restatement!$C$11:$N$11)*1000</f>
        <v>1368245.7190946136</v>
      </c>
      <c r="S100" s="213">
        <f>'Staging Table'!ED102*IF(Init!$R$15="Yes",IF(Init!$R$6=2022,Rates_current!$C$88,Rates_current!$D$88),Rates_current!$H$33)</f>
        <v>4372.9730098172849</v>
      </c>
      <c r="T100" s="213">
        <v>0</v>
      </c>
      <c r="U100" s="213">
        <f>IF('Staging Table'!D102=1, 'Staging Table'!BU102*-1*'Staging Table'!BS102/'Staging Table'!BR102,SUM(O100:T100)*'Staging Table'!BU102*-1)</f>
        <v>0</v>
      </c>
      <c r="V100" s="211">
        <f>'Staging Table'!BX102*Rates_current!$H$32*-1</f>
        <v>0</v>
      </c>
      <c r="W100" s="211">
        <f>IF('Staging Table'!C102=1,"", SUM(O100:V100))</f>
        <v>22079364.213941239</v>
      </c>
      <c r="X100" s="211">
        <f>IF('Staging Table'!C102=1,"", (RT1SC!$C$4*'Staging Table'!BS102*'Staging Table'!$BS$2)+SUM('Staging Table'!BY102:CV102)-IF(Init!$R$12="No",'Staging Table'!DU102, 0))</f>
        <v>597543.26753024838</v>
      </c>
      <c r="Y100" s="95">
        <f>IF('Staging Table'!C102=1,"",IF(X100=0, 0, W100/X100))</f>
        <v>36.950235093768427</v>
      </c>
      <c r="Z100" s="87">
        <f ca="1">IF('Staging Table'!C102=1,"",(Y100/N100-1)+(RAND()/100000000000000))</f>
        <v>-3.6588530305290731E-2</v>
      </c>
      <c r="AA100" s="53">
        <f t="shared" ca="1" si="1"/>
        <v>60</v>
      </c>
      <c r="AC100" s="421"/>
      <c r="AD100" s="216"/>
      <c r="AE100" s="216"/>
      <c r="AG100" s="216"/>
      <c r="AH100" s="216"/>
    </row>
    <row r="101" spans="2:34">
      <c r="B101" s="135">
        <v>10326</v>
      </c>
      <c r="C101" s="136" t="s">
        <v>104</v>
      </c>
      <c r="D101" s="211">
        <f>IF(Init!$R$9="Yes",'Staging Table'!F103,'Staging Table'!BS103)*Rates_previous!$E$76*100*12</f>
        <v>9988166.4453599993</v>
      </c>
      <c r="E101" s="211">
        <f>IF(Init!$R$9="Yes",'Staging Table'!F103,'Staging Table'!BS103)*Rates_previous!$E$77*100*12</f>
        <v>-1010464.7387999999</v>
      </c>
      <c r="F101" s="212">
        <f>IF(Init!$R$9="Yes",SUMPRODUCT('Staging Table'!L103:AI103,LS_Demand_Rates_Restatement!$C$4:$Z$4)-IF(Init!$R$12="No",('Staging Table'!BH103*Rates_previous!$H$34), 0),SUMPRODUCT('Staging Table'!BY103:CV103,LS_Demand_Rates_Restatement!$C$4:$Z$4)-IF(Init!$R$12="No", 'Staging Table'!DU103*Rates_previous!$H$34, 0))</f>
        <v>-289634.27081753558</v>
      </c>
      <c r="G101" s="212">
        <f>IF(Init!$R$9="Yes",SUMPRODUCT('Staging Table'!AJ103:AU103,LS_Demand_Rates_Restatement!$C$10:$N$10),SUMPRODUCT(LS_Demand_Rates_Restatement!$C$10:$N$10,'Staging Table'!CW103:DH103))*1000</f>
        <v>367200.76135388168</v>
      </c>
      <c r="H101" s="213">
        <f>IF(Init!$R$9="Yes",'Staging Table'!BQ103,'Staging Table'!ED103)*IF(Init!$R$3=2020,Rates_previous!$C$88,Rates_previous!$D$88)</f>
        <v>-239705.11857775014</v>
      </c>
      <c r="I101" s="211">
        <f>IF(Init!$R$9="Yes",IF('Staging Table'!$F$1=2020,(SUM('Staging Table'!AX103:BD103)*Rates_previous!$C$87),(SUM('Staging Table'!AX103:BD103)*Rates_previous!$D$87)),IF('Staging Table'!$F$1=2020,(SUM('Staging Table'!DK103:DQ103)*Rates_previous!$C$87),(SUM('Staging Table'!DK103:DQ103)*Rates_previous!$D$87)))</f>
        <v>122526.40173932421</v>
      </c>
      <c r="J101" s="213">
        <f>IF(Init!$R$9="Yes",IF('Staging Table'!D103=1,'Staging Table'!H103*-1*'Staging Table'!BS103/'Staging Table'!BR103,'Staging Table'!H103*SUM(D101:I101)*(-1)),IF('Staging Table'!D103=1,'Staging Table'!BU103*-1*'Staging Table'!BS103/'Staging Table'!BR103,'Staging Table'!BU103*SUM(D101:I101)*(-1)))</f>
        <v>0</v>
      </c>
      <c r="K101" s="211">
        <f>IF(Init!$R$9="Yes",'Staging Table'!K103,'Staging Table'!BX103)*(-1)*Rates_previous!$H$32</f>
        <v>0</v>
      </c>
      <c r="L101" s="211">
        <f>IF('Staging Table'!C103=1,"",SUM(D101:K101))</f>
        <v>8938089.4802579191</v>
      </c>
      <c r="M101" s="211">
        <f>IF('Staging Table'!C103=1,"",IF(Init!$R$9="Yes",(RT1SC!$C$3*'Staging Table'!F103*'Staging Table'!$F$2)+SUM('Staging Table'!L103:AI103)-IF(Init!$R$12="No",'Staging Table'!BH103, 0),X101))</f>
        <v>244005.62373322158</v>
      </c>
      <c r="N101" s="95">
        <f>IF('Staging Table'!C103=1,"",IF(M101=0, 0, L101/M101))</f>
        <v>36.630669996484144</v>
      </c>
      <c r="O101" s="211">
        <f>'Staging Table'!BS103*Rates_current!$E$76*100*12</f>
        <v>10343488.373497993</v>
      </c>
      <c r="P101" s="211">
        <f>'Staging Table'!BS103*Rates_current!$E$77*100*12</f>
        <v>-1707734.74960435</v>
      </c>
      <c r="Q101" s="212">
        <f>SUMPRODUCT('Staging Table'!BY103:CV103, LS_Demand_Rates_Restatement!$C$5:$Z$5)-IF(Init!$R$12="No",('Staging Table'!DU103*Rates_current!$H$34), 0)</f>
        <v>-1067552.8623894108</v>
      </c>
      <c r="R101" s="212">
        <f>SUMPRODUCT('Staging Table'!CW103:DH103, LS_Demand_Rates_Restatement!$C$11:$N$11)*1000</f>
        <v>336576.96881241992</v>
      </c>
      <c r="S101" s="213">
        <f>'Staging Table'!ED103*IF(Init!$R$15="Yes",IF(Init!$R$6=2022,Rates_current!$C$88,Rates_current!$D$88),Rates_current!$H$33)</f>
        <v>-64253.816907745786</v>
      </c>
      <c r="T101" s="213">
        <v>0</v>
      </c>
      <c r="U101" s="213">
        <f>IF('Staging Table'!D103=1, 'Staging Table'!BU103*-1*'Staging Table'!BS103/'Staging Table'!BR103,SUM(O101:T101)*'Staging Table'!BU103*-1)</f>
        <v>0</v>
      </c>
      <c r="V101" s="211">
        <f>'Staging Table'!BX103*Rates_current!$H$32*-1</f>
        <v>0</v>
      </c>
      <c r="W101" s="211">
        <f>IF('Staging Table'!C103=1,"", SUM(O101:V101))</f>
        <v>7840523.9134089062</v>
      </c>
      <c r="X101" s="211">
        <f>IF('Staging Table'!C103=1,"", (RT1SC!$C$4*'Staging Table'!BS103*'Staging Table'!$BS$2)+SUM('Staging Table'!BY103:CV103)-IF(Init!$R$12="No",'Staging Table'!DU103, 0))</f>
        <v>217094.90702000886</v>
      </c>
      <c r="Y101" s="95">
        <f>IF('Staging Table'!C103=1,"",IF(X101=0, 0, W101/X101))</f>
        <v>36.115651081055866</v>
      </c>
      <c r="Z101" s="87">
        <f ca="1">IF('Staging Table'!C103=1,"",(Y101/N101-1)+(RAND()/100000000000000))</f>
        <v>-1.405977328499511E-2</v>
      </c>
      <c r="AA101" s="53">
        <f t="shared" ca="1" si="1"/>
        <v>3</v>
      </c>
      <c r="AC101" s="421"/>
      <c r="AD101" s="216"/>
      <c r="AE101" s="216"/>
      <c r="AG101" s="216"/>
      <c r="AH101" s="216"/>
    </row>
    <row r="102" spans="2:34">
      <c r="B102" s="135">
        <v>10331</v>
      </c>
      <c r="C102" s="136" t="s">
        <v>105</v>
      </c>
      <c r="D102" s="211">
        <f>IF(Init!$R$9="Yes",'Staging Table'!F104,'Staging Table'!BS104)*Rates_previous!$E$76*100*12</f>
        <v>12158297.978519998</v>
      </c>
      <c r="E102" s="211">
        <f>IF(Init!$R$9="Yes",'Staging Table'!F104,'Staging Table'!BS104)*Rates_previous!$E$77*100*12</f>
        <v>-1230008.6765999999</v>
      </c>
      <c r="F102" s="212">
        <f>IF(Init!$R$9="Yes",SUMPRODUCT('Staging Table'!L104:AI104,LS_Demand_Rates_Restatement!$C$4:$Z$4)-IF(Init!$R$12="No",('Staging Table'!BH104*Rates_previous!$H$34), 0),SUMPRODUCT('Staging Table'!BY104:CV104,LS_Demand_Rates_Restatement!$C$4:$Z$4)-IF(Init!$R$12="No", 'Staging Table'!DU104*Rates_previous!$H$34, 0))</f>
        <v>0</v>
      </c>
      <c r="G102" s="212">
        <f>IF(Init!$R$9="Yes",SUMPRODUCT('Staging Table'!AJ104:AU104,LS_Demand_Rates_Restatement!$C$10:$N$10),SUMPRODUCT(LS_Demand_Rates_Restatement!$C$10:$N$10,'Staging Table'!CW104:DH104))*1000</f>
        <v>0</v>
      </c>
      <c r="H102" s="213">
        <f>IF(Init!$R$9="Yes",'Staging Table'!BQ104,'Staging Table'!ED104)*IF(Init!$R$3=2020,Rates_previous!$C$88,Rates_previous!$D$88)</f>
        <v>40.722284444683467</v>
      </c>
      <c r="I102" s="211">
        <f>IF(Init!$R$9="Yes",IF('Staging Table'!$F$1=2020,(SUM('Staging Table'!AX104:BD104)*Rates_previous!$C$87),(SUM('Staging Table'!AX104:BD104)*Rates_previous!$D$87)),IF('Staging Table'!$F$1=2020,(SUM('Staging Table'!DK104:DQ104)*Rates_previous!$C$87),(SUM('Staging Table'!DK104:DQ104)*Rates_previous!$D$87)))</f>
        <v>149147.74505731236</v>
      </c>
      <c r="J102" s="213">
        <f>IF(Init!$R$9="Yes",IF('Staging Table'!D104=1,'Staging Table'!H104*-1*'Staging Table'!BS104/'Staging Table'!BR104,'Staging Table'!H104*SUM(D102:I102)*(-1)),IF('Staging Table'!D104=1,'Staging Table'!BU104*-1*'Staging Table'!BS104/'Staging Table'!BR104,'Staging Table'!BU104*SUM(D102:I102)*(-1)))</f>
        <v>-775423.44384832308</v>
      </c>
      <c r="K102" s="211">
        <f>IF(Init!$R$9="Yes",'Staging Table'!K104,'Staging Table'!BX104)*(-1)*Rates_previous!$H$32</f>
        <v>-1478594.99238</v>
      </c>
      <c r="L102" s="211" t="str">
        <f>IF('Staging Table'!C104=1,"",SUM(D102:K102))</f>
        <v/>
      </c>
      <c r="M102" s="211" t="str">
        <f>IF('Staging Table'!C104=1,"",IF(Init!$R$9="Yes",(RT1SC!$C$3*'Staging Table'!F104*'Staging Table'!$F$2)+SUM('Staging Table'!L104:AI104)-IF(Init!$R$12="No",'Staging Table'!BH104, 0),X102))</f>
        <v/>
      </c>
      <c r="N102" s="95" t="str">
        <f>IF('Staging Table'!C104=1,"",IF(M102=0, 0, L102/M102))</f>
        <v/>
      </c>
      <c r="O102" s="211">
        <f>'Staging Table'!BS104*Rates_current!$E$76*100*12</f>
        <v>12429596.260010537</v>
      </c>
      <c r="P102" s="211">
        <f>'Staging Table'!BS104*Rates_current!$E$77*100*12</f>
        <v>-2052156.1672712388</v>
      </c>
      <c r="Q102" s="212">
        <f>SUMPRODUCT('Staging Table'!BY104:CV104, LS_Demand_Rates_Restatement!$C$5:$Z$5)-IF(Init!$R$12="No",('Staging Table'!DU104*Rates_current!$H$34), 0)</f>
        <v>0</v>
      </c>
      <c r="R102" s="212">
        <f>SUMPRODUCT('Staging Table'!CW104:DH104, LS_Demand_Rates_Restatement!$C$11:$N$11)*1000</f>
        <v>0</v>
      </c>
      <c r="S102" s="213">
        <f>'Staging Table'!ED104*IF(Init!$R$15="Yes",IF(Init!$R$6=2022,Rates_current!$C$88,Rates_current!$D$88),Rates_current!$H$33)</f>
        <v>0</v>
      </c>
      <c r="T102" s="213">
        <v>0</v>
      </c>
      <c r="U102" s="213">
        <f>IF('Staging Table'!D104=1, 'Staging Table'!BU104*-1*'Staging Table'!BS104/'Staging Table'!BR104,SUM(O102:T102)*'Staging Table'!BU104*-1)</f>
        <v>-736677.87244049611</v>
      </c>
      <c r="V102" s="211">
        <f>'Staging Table'!BX104*Rates_current!$H$32*-1</f>
        <v>-1450646.7522000002</v>
      </c>
      <c r="W102" s="211" t="str">
        <f>IF('Staging Table'!C104=1,"", SUM(O102:V102))</f>
        <v/>
      </c>
      <c r="X102" s="211" t="str">
        <f>IF('Staging Table'!C104=1,"", (RT1SC!$C$4*'Staging Table'!BS104*'Staging Table'!$BS$2)+SUM('Staging Table'!BY104:CV104)-IF(Init!$R$12="No",'Staging Table'!DU104, 0))</f>
        <v/>
      </c>
      <c r="Y102" s="95" t="str">
        <f>IF('Staging Table'!C104=1,"",IF(X102=0, 0, W102/X102))</f>
        <v/>
      </c>
      <c r="Z102" s="87" t="str">
        <f ca="1">IF('Staging Table'!C104=1,"",(Y102/N102-1)+(RAND()/100000000000000))</f>
        <v/>
      </c>
      <c r="AA102" s="53" t="str">
        <f t="shared" ca="1" si="1"/>
        <v/>
      </c>
      <c r="AC102" s="421"/>
      <c r="AD102" s="216"/>
      <c r="AE102" s="216"/>
      <c r="AG102" s="216"/>
      <c r="AH102" s="216"/>
    </row>
    <row r="103" spans="2:34">
      <c r="B103" s="135">
        <v>10333</v>
      </c>
      <c r="C103" s="136" t="s">
        <v>106</v>
      </c>
      <c r="D103" s="211">
        <f>IF(Init!$R$9="Yes",'Staging Table'!F105,'Staging Table'!BS105)*Rates_previous!$E$76*100*12</f>
        <v>6185742.3517199997</v>
      </c>
      <c r="E103" s="211">
        <f>IF(Init!$R$9="Yes",'Staging Table'!F105,'Staging Table'!BS105)*Rates_previous!$E$77*100*12</f>
        <v>-625787.98259999999</v>
      </c>
      <c r="F103" s="212">
        <f>IF(Init!$R$9="Yes",SUMPRODUCT('Staging Table'!L105:AI105,LS_Demand_Rates_Restatement!$C$4:$Z$4)-IF(Init!$R$12="No",('Staging Table'!BH105*Rates_previous!$H$34), 0),SUMPRODUCT('Staging Table'!BY105:CV105,LS_Demand_Rates_Restatement!$C$4:$Z$4)-IF(Init!$R$12="No", 'Staging Table'!DU105*Rates_previous!$H$34, 0))</f>
        <v>0</v>
      </c>
      <c r="G103" s="212">
        <f>IF(Init!$R$9="Yes",SUMPRODUCT('Staging Table'!AJ105:AU105,LS_Demand_Rates_Restatement!$C$10:$N$10),SUMPRODUCT(LS_Demand_Rates_Restatement!$C$10:$N$10,'Staging Table'!CW105:DH105))*1000</f>
        <v>0</v>
      </c>
      <c r="H103" s="213">
        <f>IF(Init!$R$9="Yes",'Staging Table'!BQ105,'Staging Table'!ED105)*IF(Init!$R$3=2020,Rates_previous!$C$88,Rates_previous!$D$88)</f>
        <v>-41.627302355092837</v>
      </c>
      <c r="I103" s="211">
        <f>IF(Init!$R$9="Yes",IF('Staging Table'!$F$1=2020,(SUM('Staging Table'!AX105:BD105)*Rates_previous!$C$87),(SUM('Staging Table'!AX105:BD105)*Rates_previous!$D$87)),IF('Staging Table'!$F$1=2020,(SUM('Staging Table'!DK105:DQ105)*Rates_previous!$C$87),(SUM('Staging Table'!DK105:DQ105)*Rates_previous!$D$87)))</f>
        <v>75881.469996416301</v>
      </c>
      <c r="J103" s="213">
        <f>IF(Init!$R$9="Yes",IF('Staging Table'!D105=1,'Staging Table'!H105*-1*'Staging Table'!BS105/'Staging Table'!BR105,'Staging Table'!H105*SUM(D103:I103)*(-1)),IF('Staging Table'!D105=1,'Staging Table'!BU105*-1*'Staging Table'!BS105/'Staging Table'!BR105,'Staging Table'!BU105*SUM(D103:I103)*(-1)))</f>
        <v>-366326.62376791396</v>
      </c>
      <c r="K103" s="211">
        <f>IF(Init!$R$9="Yes",'Staging Table'!K105,'Staging Table'!BX105)*(-1)*Rates_previous!$H$32</f>
        <v>0</v>
      </c>
      <c r="L103" s="211" t="str">
        <f>IF('Staging Table'!C105=1,"",SUM(D103:K103))</f>
        <v/>
      </c>
      <c r="M103" s="211" t="str">
        <f>IF('Staging Table'!C105=1,"",IF(Init!$R$9="Yes",(RT1SC!$C$3*'Staging Table'!F105*'Staging Table'!$F$2)+SUM('Staging Table'!L105:AI105)-IF(Init!$R$12="No",'Staging Table'!BH105, 0),X103))</f>
        <v/>
      </c>
      <c r="N103" s="95" t="str">
        <f>IF('Staging Table'!C105=1,"",IF(M103=0, 0, L103/M103))</f>
        <v/>
      </c>
      <c r="O103" s="211">
        <f>'Staging Table'!BS105*Rates_current!$E$76*100*12</f>
        <v>6287100.869145805</v>
      </c>
      <c r="P103" s="211">
        <f>'Staging Table'!BS105*Rates_current!$E$77*100*12</f>
        <v>-1038015.4393577215</v>
      </c>
      <c r="Q103" s="212">
        <f>SUMPRODUCT('Staging Table'!BY105:CV105, LS_Demand_Rates_Restatement!$C$5:$Z$5)-IF(Init!$R$12="No",('Staging Table'!DU105*Rates_current!$H$34), 0)</f>
        <v>0</v>
      </c>
      <c r="R103" s="212">
        <f>SUMPRODUCT('Staging Table'!CW105:DH105, LS_Demand_Rates_Restatement!$C$11:$N$11)*1000</f>
        <v>0</v>
      </c>
      <c r="S103" s="213">
        <f>'Staging Table'!ED105*IF(Init!$R$15="Yes",IF(Init!$R$6=2022,Rates_current!$C$88,Rates_current!$D$88),Rates_current!$H$33)</f>
        <v>0</v>
      </c>
      <c r="T103" s="213">
        <v>0</v>
      </c>
      <c r="U103" s="213">
        <f>IF('Staging Table'!D105=1, 'Staging Table'!BU105*-1*'Staging Table'!BS105/'Staging Table'!BR105,SUM(O103:T103)*'Staging Table'!BU105*-1)</f>
        <v>-334864.36623258243</v>
      </c>
      <c r="V103" s="211">
        <f>'Staging Table'!BX105*Rates_current!$H$32*-1</f>
        <v>0</v>
      </c>
      <c r="W103" s="211" t="str">
        <f>IF('Staging Table'!C105=1,"", SUM(O103:V103))</f>
        <v/>
      </c>
      <c r="X103" s="211" t="str">
        <f>IF('Staging Table'!C105=1,"", (RT1SC!$C$4*'Staging Table'!BS105*'Staging Table'!$BS$2)+SUM('Staging Table'!BY105:CV105)-IF(Init!$R$12="No",'Staging Table'!DU105, 0))</f>
        <v/>
      </c>
      <c r="Y103" s="95" t="str">
        <f>IF('Staging Table'!C105=1,"",IF(X103=0, 0, W103/X103))</f>
        <v/>
      </c>
      <c r="Z103" s="87" t="str">
        <f ca="1">IF('Staging Table'!C105=1,"",(Y103/N103-1)+(RAND()/100000000000000))</f>
        <v/>
      </c>
      <c r="AA103" s="53" t="str">
        <f t="shared" ca="1" si="1"/>
        <v/>
      </c>
      <c r="AC103" s="421"/>
      <c r="AD103" s="216"/>
      <c r="AE103" s="216"/>
      <c r="AG103" s="216"/>
      <c r="AH103" s="216"/>
    </row>
    <row r="104" spans="2:34">
      <c r="B104" s="135">
        <v>10338</v>
      </c>
      <c r="C104" s="136" t="s">
        <v>107</v>
      </c>
      <c r="D104" s="211">
        <f>IF(Init!$R$9="Yes",'Staging Table'!F106,'Staging Table'!BS106)*Rates_previous!$E$76*100*12</f>
        <v>798558.96959999995</v>
      </c>
      <c r="E104" s="211">
        <f>IF(Init!$R$9="Yes",'Staging Table'!F106,'Staging Table'!BS106)*Rates_previous!$E$77*100*12</f>
        <v>-80787.167999999991</v>
      </c>
      <c r="F104" s="212">
        <f>IF(Init!$R$9="Yes",SUMPRODUCT('Staging Table'!L106:AI106,LS_Demand_Rates_Restatement!$C$4:$Z$4)-IF(Init!$R$12="No",('Staging Table'!BH106*Rates_previous!$H$34), 0),SUMPRODUCT('Staging Table'!BY106:CV106,LS_Demand_Rates_Restatement!$C$4:$Z$4)-IF(Init!$R$12="No", 'Staging Table'!DU106*Rates_previous!$H$34, 0))</f>
        <v>-9767.9626128054369</v>
      </c>
      <c r="G104" s="212">
        <f>IF(Init!$R$9="Yes",SUMPRODUCT('Staging Table'!AJ106:AU106,LS_Demand_Rates_Restatement!$C$10:$N$10),SUMPRODUCT(LS_Demand_Rates_Restatement!$C$10:$N$10,'Staging Table'!CW106:DH106))*1000</f>
        <v>23163.096405769236</v>
      </c>
      <c r="H104" s="213">
        <f>IF(Init!$R$9="Yes",'Staging Table'!BQ106,'Staging Table'!ED106)*IF(Init!$R$3=2020,Rates_previous!$C$88,Rates_previous!$D$88)</f>
        <v>0</v>
      </c>
      <c r="I104" s="211">
        <f>IF(Init!$R$9="Yes",IF('Staging Table'!$F$1=2020,(SUM('Staging Table'!AX106:BD106)*Rates_previous!$C$87),(SUM('Staging Table'!AX106:BD106)*Rates_previous!$D$87)),IF('Staging Table'!$F$1=2020,(SUM('Staging Table'!DK106:DQ106)*Rates_previous!$C$87),(SUM('Staging Table'!DK106:DQ106)*Rates_previous!$D$87)))</f>
        <v>9796.0479190056012</v>
      </c>
      <c r="J104" s="213">
        <f>IF(Init!$R$9="Yes",IF('Staging Table'!D106=1,'Staging Table'!H106*-1*'Staging Table'!BS106/'Staging Table'!BR106,'Staging Table'!H106*SUM(D104:I104)*(-1)),IF('Staging Table'!D106=1,'Staging Table'!BU106*-1*'Staging Table'!BS106/'Staging Table'!BR106,'Staging Table'!BU106*SUM(D104:I104)*(-1)))</f>
        <v>-26735.891035563884</v>
      </c>
      <c r="K104" s="211">
        <f>IF(Init!$R$9="Yes",'Staging Table'!K106,'Staging Table'!BX106)*(-1)*Rates_previous!$H$32</f>
        <v>-46164.383099999999</v>
      </c>
      <c r="L104" s="211">
        <f>IF('Staging Table'!C106=1,"",SUM(D104:K104))</f>
        <v>668062.70917640557</v>
      </c>
      <c r="M104" s="211">
        <f>IF('Staging Table'!C106=1,"",IF(Init!$R$9="Yes",(RT1SC!$C$3*'Staging Table'!F106*'Staging Table'!$F$2)+SUM('Staging Table'!L106:AI106)-IF(Init!$R$12="No",'Staging Table'!BH106, 0),X104))</f>
        <v>20730.239999999998</v>
      </c>
      <c r="N104" s="95">
        <f>IF('Staging Table'!C106=1,"",IF(M104=0, 0, L104/M104))</f>
        <v>32.226482142821581</v>
      </c>
      <c r="O104" s="211">
        <f>'Staging Table'!BS106*Rates_current!$E$76*100*12</f>
        <v>805522.05894880265</v>
      </c>
      <c r="P104" s="211">
        <f>'Staging Table'!BS106*Rates_current!$E$77*100*12</f>
        <v>-132993.62477791455</v>
      </c>
      <c r="Q104" s="212">
        <f>SUMPRODUCT('Staging Table'!BY106:CV106, LS_Demand_Rates_Restatement!$C$5:$Z$5)-IF(Init!$R$12="No",('Staging Table'!DU106*Rates_current!$H$34), 0)</f>
        <v>-9513.2024993138475</v>
      </c>
      <c r="R104" s="212">
        <f>SUMPRODUCT('Staging Table'!CW106:DH106, LS_Demand_Rates_Restatement!$C$11:$N$11)*1000</f>
        <v>23116.27978180199</v>
      </c>
      <c r="S104" s="213">
        <f>'Staging Table'!ED106*IF(Init!$R$15="Yes",IF(Init!$R$6=2022,Rates_current!$C$88,Rates_current!$D$88),Rates_current!$H$33)</f>
        <v>0</v>
      </c>
      <c r="T104" s="213">
        <v>0</v>
      </c>
      <c r="U104" s="213">
        <f>IF('Staging Table'!D106=1, 'Staging Table'!BU106*-1*'Staging Table'!BS106/'Staging Table'!BR106,SUM(O104:T104)*'Staging Table'!BU106*-1)</f>
        <v>-26975.307368098489</v>
      </c>
      <c r="V104" s="211">
        <f>'Staging Table'!BX106*Rates_current!$H$32*-1</f>
        <v>-45291.789000000004</v>
      </c>
      <c r="W104" s="211">
        <f>IF('Staging Table'!C106=1,"", SUM(O104:V104))</f>
        <v>613864.41508527764</v>
      </c>
      <c r="X104" s="211">
        <f>IF('Staging Table'!C106=1,"", (RT1SC!$C$4*'Staging Table'!BS106*'Staging Table'!$BS$2)+SUM('Staging Table'!BY106:CV106)-IF(Init!$R$12="No",'Staging Table'!DU106, 0))</f>
        <v>19823.879999999997</v>
      </c>
      <c r="Y104" s="95">
        <f>IF('Staging Table'!C106=1,"",IF(X104=0, 0, W104/X104))</f>
        <v>30.965906527141897</v>
      </c>
      <c r="Z104" s="87">
        <f ca="1">IF('Staging Table'!C106=1,"",(Y104/N104-1)+(RAND()/100000000000000))</f>
        <v>-3.9116140883536883E-2</v>
      </c>
      <c r="AA104" s="53">
        <f t="shared" ca="1" si="1"/>
        <v>81</v>
      </c>
      <c r="AC104" s="421"/>
      <c r="AD104" s="216"/>
      <c r="AE104" s="216"/>
      <c r="AG104" s="216"/>
      <c r="AH104" s="216"/>
    </row>
    <row r="105" spans="2:34">
      <c r="B105" s="135">
        <v>10342</v>
      </c>
      <c r="C105" s="136" t="s">
        <v>108</v>
      </c>
      <c r="D105" s="211">
        <f>IF(Init!$R$9="Yes",'Staging Table'!F107,'Staging Table'!BS107)*Rates_previous!$E$76*100*12</f>
        <v>12837548.435399998</v>
      </c>
      <c r="E105" s="211">
        <f>IF(Init!$R$9="Yes",'Staging Table'!F107,'Staging Table'!BS107)*Rates_previous!$E$77*100*12</f>
        <v>-1298725.8570000001</v>
      </c>
      <c r="F105" s="212">
        <f>IF(Init!$R$9="Yes",SUMPRODUCT('Staging Table'!L107:AI107,LS_Demand_Rates_Restatement!$C$4:$Z$4)-IF(Init!$R$12="No",('Staging Table'!BH107*Rates_previous!$H$34), 0),SUMPRODUCT('Staging Table'!BY107:CV107,LS_Demand_Rates_Restatement!$C$4:$Z$4)-IF(Init!$R$12="No", 'Staging Table'!DU107*Rates_previous!$H$34, 0))</f>
        <v>173386.61108153436</v>
      </c>
      <c r="G105" s="212">
        <f>IF(Init!$R$9="Yes",SUMPRODUCT('Staging Table'!AJ107:AU107,LS_Demand_Rates_Restatement!$C$10:$N$10),SUMPRODUCT(LS_Demand_Rates_Restatement!$C$10:$N$10,'Staging Table'!CW107:DH107))*1000</f>
        <v>779571.82654928754</v>
      </c>
      <c r="H105" s="213">
        <f>IF(Init!$R$9="Yes",'Staging Table'!BQ107,'Staging Table'!ED107)*IF(Init!$R$3=2020,Rates_previous!$C$88,Rates_previous!$D$88)</f>
        <v>-29132.243035373136</v>
      </c>
      <c r="I105" s="211">
        <f>IF(Init!$R$9="Yes",IF('Staging Table'!$F$1=2020,(SUM('Staging Table'!AX107:BD107)*Rates_previous!$C$87),(SUM('Staging Table'!AX107:BD107)*Rates_previous!$D$87)),IF('Staging Table'!$F$1=2020,(SUM('Staging Table'!DK107:DQ107)*Rates_previous!$C$87),(SUM('Staging Table'!DK107:DQ107)*Rates_previous!$D$87)))</f>
        <v>157480.21676937133</v>
      </c>
      <c r="J105" s="213">
        <f>IF(Init!$R$9="Yes",IF('Staging Table'!D107=1,'Staging Table'!H107*-1*'Staging Table'!BS107/'Staging Table'!BR107,'Staging Table'!H107*SUM(D105:I105)*(-1)),IF('Staging Table'!D107=1,'Staging Table'!BU107*-1*'Staging Table'!BS107/'Staging Table'!BR107,'Staging Table'!BU107*SUM(D105:I105)*(-1)))</f>
        <v>0</v>
      </c>
      <c r="K105" s="211">
        <f>IF(Init!$R$9="Yes",'Staging Table'!K107,'Staging Table'!BX107)*(-1)*Rates_previous!$H$32</f>
        <v>0</v>
      </c>
      <c r="L105" s="211">
        <f>IF('Staging Table'!C107=1,"",SUM(D105:K105))</f>
        <v>12620128.989764819</v>
      </c>
      <c r="M105" s="211">
        <f>IF('Staging Table'!C107=1,"",IF(Init!$R$9="Yes",(RT1SC!$C$3*'Staging Table'!F107*'Staging Table'!$F$2)+SUM('Staging Table'!L107:AI107)-IF(Init!$R$12="No",'Staging Table'!BH107, 0),X105))</f>
        <v>331431.01550987398</v>
      </c>
      <c r="N105" s="95">
        <f>IF('Staging Table'!C107=1,"",IF(M105=0, 0, L105/M105))</f>
        <v>38.077694600639575</v>
      </c>
      <c r="O105" s="211">
        <f>'Staging Table'!BS107*Rates_current!$E$76*100*12</f>
        <v>13138714.666771956</v>
      </c>
      <c r="P105" s="211">
        <f>'Staging Table'!BS107*Rates_current!$E$77*100*12</f>
        <v>-2169233.3177530169</v>
      </c>
      <c r="Q105" s="212">
        <f>SUMPRODUCT('Staging Table'!BY107:CV107, LS_Demand_Rates_Restatement!$C$5:$Z$5)-IF(Init!$R$12="No",('Staging Table'!DU107*Rates_current!$H$34), 0)</f>
        <v>125528.04061862864</v>
      </c>
      <c r="R105" s="212">
        <f>SUMPRODUCT('Staging Table'!CW107:DH107, LS_Demand_Rates_Restatement!$C$11:$N$11)*1000</f>
        <v>735364.78760687285</v>
      </c>
      <c r="S105" s="213">
        <f>'Staging Table'!ED107*IF(Init!$R$15="Yes",IF(Init!$R$6=2022,Rates_current!$C$88,Rates_current!$D$88),Rates_current!$H$33)</f>
        <v>0</v>
      </c>
      <c r="T105" s="213">
        <v>0</v>
      </c>
      <c r="U105" s="213">
        <f>IF('Staging Table'!D107=1, 'Staging Table'!BU107*-1*'Staging Table'!BS107/'Staging Table'!BR107,SUM(O105:T105)*'Staging Table'!BU107*-1)</f>
        <v>0</v>
      </c>
      <c r="V105" s="211">
        <f>'Staging Table'!BX107*Rates_current!$H$32*-1</f>
        <v>0</v>
      </c>
      <c r="W105" s="211">
        <f>IF('Staging Table'!C107=1,"", SUM(O105:V105))</f>
        <v>11830374.17724444</v>
      </c>
      <c r="X105" s="211">
        <f>IF('Staging Table'!C107=1,"", (RT1SC!$C$4*'Staging Table'!BS107*'Staging Table'!$BS$2)+SUM('Staging Table'!BY107:CV107)-IF(Init!$R$12="No",'Staging Table'!DU107, 0))</f>
        <v>321707.41953853861</v>
      </c>
      <c r="Y105" s="95">
        <f>IF('Staging Table'!C107=1,"",IF(X105=0, 0, W105/X105))</f>
        <v>36.773706351610059</v>
      </c>
      <c r="Z105" s="87">
        <f ca="1">IF('Staging Table'!C107=1,"",(Y105/N105-1)+(RAND()/100000000000000))</f>
        <v>-3.4245462145375778E-2</v>
      </c>
      <c r="AA105" s="53">
        <f t="shared" ca="1" si="1"/>
        <v>32</v>
      </c>
      <c r="AC105" s="421"/>
      <c r="AD105" s="216"/>
      <c r="AE105" s="216"/>
      <c r="AG105" s="216"/>
      <c r="AH105" s="216"/>
    </row>
    <row r="106" spans="2:34">
      <c r="B106" s="135">
        <v>10343</v>
      </c>
      <c r="C106" s="136" t="s">
        <v>109</v>
      </c>
      <c r="D106" s="211">
        <f>IF(Init!$R$9="Yes",'Staging Table'!F108,'Staging Table'!BS108)*Rates_previous!$E$76*100*12</f>
        <v>4085722.3947600005</v>
      </c>
      <c r="E106" s="211">
        <f>IF(Init!$R$9="Yes",'Staging Table'!F108,'Staging Table'!BS108)*Rates_previous!$E$77*100*12</f>
        <v>-413336.96580000001</v>
      </c>
      <c r="F106" s="212">
        <f>IF(Init!$R$9="Yes",SUMPRODUCT('Staging Table'!L108:AI108,LS_Demand_Rates_Restatement!$C$4:$Z$4)-IF(Init!$R$12="No",('Staging Table'!BH108*Rates_previous!$H$34), 0),SUMPRODUCT('Staging Table'!BY108:CV108,LS_Demand_Rates_Restatement!$C$4:$Z$4)-IF(Init!$R$12="No", 'Staging Table'!DU108*Rates_previous!$H$34, 0))</f>
        <v>-37600.572608490307</v>
      </c>
      <c r="G106" s="212">
        <f>IF(Init!$R$9="Yes",SUMPRODUCT('Staging Table'!AJ108:AU108,LS_Demand_Rates_Restatement!$C$10:$N$10),SUMPRODUCT(LS_Demand_Rates_Restatement!$C$10:$N$10,'Staging Table'!CW108:DH108))*1000</f>
        <v>0</v>
      </c>
      <c r="H106" s="213">
        <f>IF(Init!$R$9="Yes",'Staging Table'!BQ108,'Staging Table'!ED108)*IF(Init!$R$3=2020,Rates_previous!$C$88,Rates_previous!$D$88)</f>
        <v>-21462.719330718679</v>
      </c>
      <c r="I106" s="211">
        <f>IF(Init!$R$9="Yes",IF('Staging Table'!$F$1=2020,(SUM('Staging Table'!AX108:BD108)*Rates_previous!$C$87),(SUM('Staging Table'!AX108:BD108)*Rates_previous!$D$87)),IF('Staging Table'!$F$1=2020,(SUM('Staging Table'!DK108:DQ108)*Rates_previous!$C$87),(SUM('Staging Table'!DK108:DQ108)*Rates_previous!$D$87)))</f>
        <v>50120.196361793242</v>
      </c>
      <c r="J106" s="213">
        <f>IF(Init!$R$9="Yes",IF('Staging Table'!D108=1,'Staging Table'!H108*-1*'Staging Table'!BS108/'Staging Table'!BR108,'Staging Table'!H108*SUM(D106:I106)*(-1)),IF('Staging Table'!D108=1,'Staging Table'!BU108*-1*'Staging Table'!BS108/'Staging Table'!BR108,'Staging Table'!BU108*SUM(D106:I106)*(-1)))</f>
        <v>-256440.96333678096</v>
      </c>
      <c r="K106" s="211">
        <f>IF(Init!$R$9="Yes",'Staging Table'!K108,'Staging Table'!BX108)*(-1)*Rates_previous!$H$32</f>
        <v>-116717.89370999999</v>
      </c>
      <c r="L106" s="211">
        <f>IF('Staging Table'!C108=1,"",SUM(D106:K106))</f>
        <v>3290283.4763358035</v>
      </c>
      <c r="M106" s="211">
        <f>IF('Staging Table'!C108=1,"",IF(Init!$R$9="Yes",(RT1SC!$C$3*'Staging Table'!F108*'Staging Table'!$F$2)+SUM('Staging Table'!L108:AI108)-IF(Init!$R$12="No",'Staging Table'!BH108, 0),X106))</f>
        <v>104705.03998143559</v>
      </c>
      <c r="N106" s="95">
        <f>IF('Staging Table'!C108=1,"",IF(M106=0, 0, L106/M106))</f>
        <v>31.424308485237933</v>
      </c>
      <c r="O106" s="211">
        <f>'Staging Table'!BS108*Rates_current!$E$76*100*12</f>
        <v>4277732.2082550591</v>
      </c>
      <c r="P106" s="211">
        <f>'Staging Table'!BS108*Rates_current!$E$77*100*12</f>
        <v>-706263.85197631444</v>
      </c>
      <c r="Q106" s="212">
        <f>SUMPRODUCT('Staging Table'!BY108:CV108, LS_Demand_Rates_Restatement!$C$5:$Z$5)-IF(Init!$R$12="No",('Staging Table'!DU108*Rates_current!$H$34), 0)</f>
        <v>-33168.091755942565</v>
      </c>
      <c r="R106" s="212">
        <f>SUMPRODUCT('Staging Table'!CW108:DH108, LS_Demand_Rates_Restatement!$C$11:$N$11)*1000</f>
        <v>0</v>
      </c>
      <c r="S106" s="213">
        <f>'Staging Table'!ED108*IF(Init!$R$15="Yes",IF(Init!$R$6=2022,Rates_current!$C$88,Rates_current!$D$88),Rates_current!$H$33)</f>
        <v>-3391.7747397609501</v>
      </c>
      <c r="T106" s="213">
        <v>0</v>
      </c>
      <c r="U106" s="213">
        <f>IF('Staging Table'!D108=1, 'Staging Table'!BU108*-1*'Staging Table'!BS108/'Staging Table'!BR108,SUM(O106:T106)*'Staging Table'!BU108*-1)</f>
        <v>-247443.59428481292</v>
      </c>
      <c r="V106" s="211">
        <f>'Staging Table'!BX108*Rates_current!$H$32*-1</f>
        <v>-114511.70490000001</v>
      </c>
      <c r="W106" s="211">
        <f>IF('Staging Table'!C108=1,"", SUM(O106:V106))</f>
        <v>3172953.190598228</v>
      </c>
      <c r="X106" s="211">
        <f>IF('Staging Table'!C108=1,"", (RT1SC!$C$4*'Staging Table'!BS108*'Staging Table'!$BS$2)+SUM('Staging Table'!BY108:CV108)-IF(Init!$R$12="No",'Staging Table'!DU108, 0))</f>
        <v>104705.04138465451</v>
      </c>
      <c r="Y106" s="95">
        <f>IF('Staging Table'!C108=1,"",IF(X106=0, 0, W106/X106))</f>
        <v>30.303728919238587</v>
      </c>
      <c r="Z106" s="87">
        <f ca="1">IF('Staging Table'!C108=1,"",(Y106/N106-1)+(RAND()/100000000000000))</f>
        <v>-3.5659641214560112E-2</v>
      </c>
      <c r="AA106" s="53">
        <f t="shared" ca="1" si="1"/>
        <v>45</v>
      </c>
      <c r="AC106" s="421"/>
      <c r="AD106" s="216"/>
      <c r="AE106" s="216"/>
      <c r="AG106" s="216"/>
      <c r="AH106" s="216"/>
    </row>
    <row r="107" spans="2:34">
      <c r="B107" s="135">
        <v>10349</v>
      </c>
      <c r="C107" s="136" t="s">
        <v>110</v>
      </c>
      <c r="D107" s="211">
        <f>IF(Init!$R$9="Yes",'Staging Table'!F109,'Staging Table'!BS109)*Rates_previous!$E$76*100*12</f>
        <v>145299468.18324</v>
      </c>
      <c r="E107" s="211">
        <f>IF(Init!$R$9="Yes",'Staging Table'!F109,'Staging Table'!BS109)*Rates_previous!$E$77*100*12</f>
        <v>-14699393.524199998</v>
      </c>
      <c r="F107" s="212">
        <f>IF(Init!$R$9="Yes",SUMPRODUCT('Staging Table'!L109:AI109,LS_Demand_Rates_Restatement!$C$4:$Z$4)-IF(Init!$R$12="No",('Staging Table'!BH109*Rates_previous!$H$34), 0),SUMPRODUCT('Staging Table'!BY109:CV109,LS_Demand_Rates_Restatement!$C$4:$Z$4)-IF(Init!$R$12="No", 'Staging Table'!DU109*Rates_previous!$H$34, 0))</f>
        <v>9198775.0851027556</v>
      </c>
      <c r="G107" s="212">
        <f>IF(Init!$R$9="Yes",SUMPRODUCT('Staging Table'!AJ109:AU109,LS_Demand_Rates_Restatement!$C$10:$N$10),SUMPRODUCT(LS_Demand_Rates_Restatement!$C$10:$N$10,'Staging Table'!CW109:DH109))*1000</f>
        <v>0</v>
      </c>
      <c r="H107" s="213">
        <f>IF(Init!$R$9="Yes",'Staging Table'!BQ109,'Staging Table'!ED109)*IF(Init!$R$3=2020,Rates_previous!$C$88,Rates_previous!$D$88)</f>
        <v>0</v>
      </c>
      <c r="I107" s="211">
        <f>IF(Init!$R$9="Yes",IF('Staging Table'!$F$1=2020,(SUM('Staging Table'!AX109:BD109)*Rates_previous!$C$87),(SUM('Staging Table'!AX109:BD109)*Rates_previous!$D$87)),IF('Staging Table'!$F$1=2020,(SUM('Staging Table'!DK109:DQ109)*Rates_previous!$C$87),(SUM('Staging Table'!DK109:DQ109)*Rates_previous!$D$87)))</f>
        <v>1782411.3272962335</v>
      </c>
      <c r="J107" s="213">
        <f>IF(Init!$R$9="Yes",IF('Staging Table'!D109=1,'Staging Table'!H109*-1*'Staging Table'!BS109/'Staging Table'!BR109,'Staging Table'!H109*SUM(D107:I107)*(-1)),IF('Staging Table'!D109=1,'Staging Table'!BU109*-1*'Staging Table'!BS109/'Staging Table'!BR109,'Staging Table'!BU109*SUM(D107:I107)*(-1)))</f>
        <v>0</v>
      </c>
      <c r="K107" s="211">
        <f>IF(Init!$R$9="Yes",'Staging Table'!K109,'Staging Table'!BX109)*(-1)*Rates_previous!$H$32</f>
        <v>0</v>
      </c>
      <c r="L107" s="211">
        <f>IF('Staging Table'!C109=1,"",SUM(D107:K107))</f>
        <v>141581261.071439</v>
      </c>
      <c r="M107" s="211">
        <f>IF('Staging Table'!C109=1,"",IF(Init!$R$9="Yes",(RT1SC!$C$3*'Staging Table'!F109*'Staging Table'!$F$2)+SUM('Staging Table'!L109:AI109)-IF(Init!$R$12="No",'Staging Table'!BH109, 0),X107))</f>
        <v>3772288.9415907436</v>
      </c>
      <c r="N107" s="95">
        <f>IF('Staging Table'!C109=1,"",IF(M107=0, 0, L107/M107))</f>
        <v>37.531923790475958</v>
      </c>
      <c r="O107" s="211">
        <f>'Staging Table'!BS109*Rates_current!$E$76*100*12</f>
        <v>153300512.16418391</v>
      </c>
      <c r="P107" s="211">
        <f>'Staging Table'!BS109*Rates_current!$E$77*100*12</f>
        <v>-25310282.401988722</v>
      </c>
      <c r="Q107" s="212">
        <f>SUMPRODUCT('Staging Table'!BY109:CV109, LS_Demand_Rates_Restatement!$C$5:$Z$5)-IF(Init!$R$12="No",('Staging Table'!DU109*Rates_current!$H$34), 0)</f>
        <v>9104657.7226067428</v>
      </c>
      <c r="R107" s="212">
        <f>SUMPRODUCT('Staging Table'!CW109:DH109, LS_Demand_Rates_Restatement!$C$11:$N$11)*1000</f>
        <v>0</v>
      </c>
      <c r="S107" s="213">
        <f>'Staging Table'!ED109*IF(Init!$R$15="Yes",IF(Init!$R$6=2022,Rates_current!$C$88,Rates_current!$D$88),Rates_current!$H$33)</f>
        <v>0</v>
      </c>
      <c r="T107" s="213">
        <v>0</v>
      </c>
      <c r="U107" s="213">
        <f>IF('Staging Table'!D109=1, 'Staging Table'!BU109*-1*'Staging Table'!BS109/'Staging Table'!BR109,SUM(O107:T107)*'Staging Table'!BU109*-1)</f>
        <v>0</v>
      </c>
      <c r="V107" s="211">
        <f>'Staging Table'!BX109*Rates_current!$H$32*-1</f>
        <v>0</v>
      </c>
      <c r="W107" s="211">
        <f>IF('Staging Table'!C109=1,"", SUM(O107:V107))</f>
        <v>137094887.48480195</v>
      </c>
      <c r="X107" s="211">
        <f>IF('Staging Table'!C109=1,"", (RT1SC!$C$4*'Staging Table'!BS109*'Staging Table'!$BS$2)+SUM('Staging Table'!BY109:CV109)-IF(Init!$R$12="No",'Staging Table'!DU109, 0))</f>
        <v>3772292.7129691374</v>
      </c>
      <c r="Y107" s="95">
        <f>IF('Staging Table'!C109=1,"",IF(X107=0, 0, W107/X107))</f>
        <v>36.342590015210085</v>
      </c>
      <c r="Z107" s="87">
        <f ca="1">IF('Staging Table'!C109=1,"",(Y107/N107-1)+(RAND()/100000000000000))</f>
        <v>-3.1688590808854881E-2</v>
      </c>
      <c r="AA107" s="53">
        <f t="shared" ca="1" si="1"/>
        <v>13</v>
      </c>
      <c r="AC107" s="421"/>
      <c r="AD107" s="216"/>
      <c r="AE107" s="216"/>
      <c r="AG107" s="216"/>
      <c r="AH107" s="216"/>
    </row>
    <row r="108" spans="2:34">
      <c r="B108" s="135">
        <v>10352</v>
      </c>
      <c r="C108" s="136" t="s">
        <v>111</v>
      </c>
      <c r="D108" s="211">
        <f>IF(Init!$R$9="Yes",'Staging Table'!F110,'Staging Table'!BS110)*Rates_previous!$E$76*100*12</f>
        <v>5183027.9788800003</v>
      </c>
      <c r="E108" s="211">
        <f>IF(Init!$R$9="Yes",'Staging Table'!F110,'Staging Table'!BS110)*Rates_previous!$E$77*100*12</f>
        <v>-524347.19040000008</v>
      </c>
      <c r="F108" s="212">
        <f>IF(Init!$R$9="Yes",SUMPRODUCT('Staging Table'!L110:AI110,LS_Demand_Rates_Restatement!$C$4:$Z$4)-IF(Init!$R$12="No",('Staging Table'!BH110*Rates_previous!$H$34), 0),SUMPRODUCT('Staging Table'!BY110:CV110,LS_Demand_Rates_Restatement!$C$4:$Z$4)-IF(Init!$R$12="No", 'Staging Table'!DU110*Rates_previous!$H$34, 0))</f>
        <v>205944.54977456218</v>
      </c>
      <c r="G108" s="212">
        <f>IF(Init!$R$9="Yes",SUMPRODUCT('Staging Table'!AJ110:AU110,LS_Demand_Rates_Restatement!$C$10:$N$10),SUMPRODUCT(LS_Demand_Rates_Restatement!$C$10:$N$10,'Staging Table'!CW110:DH110))*1000</f>
        <v>210119.3268586538</v>
      </c>
      <c r="H108" s="213">
        <f>IF(Init!$R$9="Yes",'Staging Table'!BQ110,'Staging Table'!ED110)*IF(Init!$R$3=2020,Rates_previous!$C$88,Rates_previous!$D$88)</f>
        <v>69191.392319999752</v>
      </c>
      <c r="I108" s="211">
        <f>IF(Init!$R$9="Yes",IF('Staging Table'!$F$1=2020,(SUM('Staging Table'!AX110:BD110)*Rates_previous!$C$87),(SUM('Staging Table'!AX110:BD110)*Rates_previous!$D$87)),IF('Staging Table'!$F$1=2020,(SUM('Staging Table'!DK110:DQ110)*Rates_previous!$C$87),(SUM('Staging Table'!DK110:DQ110)*Rates_previous!$D$87)))</f>
        <v>63581.01577906969</v>
      </c>
      <c r="J108" s="213">
        <f>IF(Init!$R$9="Yes",IF('Staging Table'!D110=1,'Staging Table'!H110*-1*'Staging Table'!BS110/'Staging Table'!BR110,'Staging Table'!H110*SUM(D108:I108)*(-1)),IF('Staging Table'!D110=1,'Staging Table'!BU110*-1*'Staging Table'!BS110/'Staging Table'!BR110,'Staging Table'!BU110*SUM(D108:I108)*(-1)))</f>
        <v>-234338.26829455284</v>
      </c>
      <c r="K108" s="211">
        <f>IF(Init!$R$9="Yes",'Staging Table'!K110,'Staging Table'!BX110)*(-1)*Rates_previous!$H$32</f>
        <v>0</v>
      </c>
      <c r="L108" s="211">
        <f>IF('Staging Table'!C110=1,"",SUM(D108:K108))</f>
        <v>4973178.8049177323</v>
      </c>
      <c r="M108" s="211">
        <f>IF('Staging Table'!C110=1,"",IF(Init!$R$9="Yes",(RT1SC!$C$3*'Staging Table'!F110*'Staging Table'!$F$2)+SUM('Staging Table'!L110:AI110)-IF(Init!$R$12="No",'Staging Table'!BH110, 0),X108))</f>
        <v>138980.448</v>
      </c>
      <c r="N108" s="95">
        <f>IF('Staging Table'!C110=1,"",IF(M108=0, 0, L108/M108))</f>
        <v>35.783298129228449</v>
      </c>
      <c r="O108" s="211">
        <f>'Staging Table'!BS110*Rates_current!$E$76*100*12</f>
        <v>5401482.2434542514</v>
      </c>
      <c r="P108" s="211">
        <f>'Staging Table'!BS110*Rates_current!$E$77*100*12</f>
        <v>-891797.67921933555</v>
      </c>
      <c r="Q108" s="212">
        <f>SUMPRODUCT('Staging Table'!BY110:CV110, LS_Demand_Rates_Restatement!$C$5:$Z$5)-IF(Init!$R$12="No",('Staging Table'!DU110*Rates_current!$H$34), 0)</f>
        <v>108360.43570465466</v>
      </c>
      <c r="R108" s="212">
        <f>SUMPRODUCT('Staging Table'!CW110:DH110, LS_Demand_Rates_Restatement!$C$11:$N$11)*1000</f>
        <v>202089.36947102915</v>
      </c>
      <c r="S108" s="213">
        <f>'Staging Table'!ED110*IF(Init!$R$15="Yes",IF(Init!$R$6=2022,Rates_current!$C$88,Rates_current!$D$88),Rates_current!$H$33)</f>
        <v>0</v>
      </c>
      <c r="T108" s="213">
        <v>0</v>
      </c>
      <c r="U108" s="213">
        <f>IF('Staging Table'!D110=1, 'Staging Table'!BU110*-1*'Staging Table'!BS110/'Staging Table'!BR110,SUM(O108:T108)*'Staging Table'!BU110*-1)</f>
        <v>-243055.74415317012</v>
      </c>
      <c r="V108" s="211">
        <f>'Staging Table'!BX110*Rates_current!$H$32*-1</f>
        <v>0</v>
      </c>
      <c r="W108" s="211">
        <f>IF('Staging Table'!C110=1,"", SUM(O108:V108))</f>
        <v>4577078.6252574306</v>
      </c>
      <c r="X108" s="211">
        <f>IF('Staging Table'!C110=1,"", (RT1SC!$C$4*'Staging Table'!BS110*'Staging Table'!$BS$2)+SUM('Staging Table'!BY110:CV110)-IF(Init!$R$12="No",'Staging Table'!DU110, 0))</f>
        <v>132915.48000000001</v>
      </c>
      <c r="Y108" s="95">
        <f>IF('Staging Table'!C110=1,"",IF(X108=0, 0, W108/X108))</f>
        <v>34.436008697086528</v>
      </c>
      <c r="Z108" s="87">
        <f ca="1">IF('Staging Table'!C110=1,"",(Y108/N108-1)+(RAND()/100000000000000))</f>
        <v>-3.7651348606159422E-2</v>
      </c>
      <c r="AA108" s="53">
        <f t="shared" ca="1" si="1"/>
        <v>72</v>
      </c>
      <c r="AC108" s="421"/>
      <c r="AD108" s="216"/>
      <c r="AE108" s="216"/>
      <c r="AG108" s="216"/>
      <c r="AH108" s="216"/>
    </row>
    <row r="109" spans="2:34">
      <c r="B109" s="135">
        <v>10354</v>
      </c>
      <c r="C109" s="136" t="s">
        <v>112</v>
      </c>
      <c r="D109" s="211">
        <f>IF(Init!$R$9="Yes",'Staging Table'!F111,'Staging Table'!BS111)*Rates_previous!$E$76*100*12</f>
        <v>108936277.43687998</v>
      </c>
      <c r="E109" s="211">
        <f>IF(Init!$R$9="Yes",'Staging Table'!F111,'Staging Table'!BS111)*Rates_previous!$E$77*100*12</f>
        <v>-11020668.080399998</v>
      </c>
      <c r="F109" s="212">
        <f>IF(Init!$R$9="Yes",SUMPRODUCT('Staging Table'!L111:AI111,LS_Demand_Rates_Restatement!$C$4:$Z$4)-IF(Init!$R$12="No",('Staging Table'!BH111*Rates_previous!$H$34), 0),SUMPRODUCT('Staging Table'!BY111:CV111,LS_Demand_Rates_Restatement!$C$4:$Z$4)-IF(Init!$R$12="No", 'Staging Table'!DU111*Rates_previous!$H$34, 0))</f>
        <v>850042.58539934491</v>
      </c>
      <c r="G109" s="212">
        <f>IF(Init!$R$9="Yes",SUMPRODUCT('Staging Table'!AJ111:AU111,LS_Demand_Rates_Restatement!$C$10:$N$10),SUMPRODUCT(LS_Demand_Rates_Restatement!$C$10:$N$10,'Staging Table'!CW111:DH111))*1000</f>
        <v>0</v>
      </c>
      <c r="H109" s="213">
        <f>IF(Init!$R$9="Yes",'Staging Table'!BQ111,'Staging Table'!ED111)*IF(Init!$R$3=2020,Rates_previous!$C$88,Rates_previous!$D$88)</f>
        <v>0</v>
      </c>
      <c r="I109" s="211">
        <f>IF(Init!$R$9="Yes",IF('Staging Table'!$F$1=2020,(SUM('Staging Table'!AX111:BD111)*Rates_previous!$C$87),(SUM('Staging Table'!AX111:BD111)*Rates_previous!$D$87)),IF('Staging Table'!$F$1=2020,(SUM('Staging Table'!DK111:DQ111)*Rates_previous!$C$87),(SUM('Staging Table'!DK111:DQ111)*Rates_previous!$D$87)))</f>
        <v>1336338.3726367767</v>
      </c>
      <c r="J109" s="213">
        <f>IF(Init!$R$9="Yes",IF('Staging Table'!D111=1,'Staging Table'!H111*-1*'Staging Table'!BS111/'Staging Table'!BR111,'Staging Table'!H111*SUM(D109:I109)*(-1)),IF('Staging Table'!D111=1,'Staging Table'!BU111*-1*'Staging Table'!BS111/'Staging Table'!BR111,'Staging Table'!BU111*SUM(D109:I109)*(-1)))</f>
        <v>0</v>
      </c>
      <c r="K109" s="211">
        <f>IF(Init!$R$9="Yes",'Staging Table'!K111,'Staging Table'!BX111)*(-1)*Rates_previous!$H$32</f>
        <v>0</v>
      </c>
      <c r="L109" s="211">
        <f>IF('Staging Table'!C111=1,"",SUM(D109:K109))</f>
        <v>100101990.3145161</v>
      </c>
      <c r="M109" s="211">
        <f>IF('Staging Table'!C111=1,"",IF(Init!$R$9="Yes",(RT1SC!$C$3*'Staging Table'!F111*'Staging Table'!$F$2)+SUM('Staging Table'!L111:AI111)-IF(Init!$R$12="No",'Staging Table'!BH111, 0),X109))</f>
        <v>2828223.6379874884</v>
      </c>
      <c r="N109" s="95">
        <f>IF('Staging Table'!C111=1,"",IF(M109=0, 0, L109/M109))</f>
        <v>35.393944442719821</v>
      </c>
      <c r="O109" s="211">
        <f>'Staging Table'!BS111*Rates_current!$E$76*100*12</f>
        <v>120884184.5909763</v>
      </c>
      <c r="P109" s="211">
        <f>'Staging Table'!BS111*Rates_current!$E$77*100*12</f>
        <v>-19958268.936863806</v>
      </c>
      <c r="Q109" s="212">
        <f>SUMPRODUCT('Staging Table'!BY111:CV111, LS_Demand_Rates_Restatement!$C$5:$Z$5)-IF(Init!$R$12="No",('Staging Table'!DU111*Rates_current!$H$34), 0)</f>
        <v>461886.30475916539</v>
      </c>
      <c r="R109" s="212">
        <f>SUMPRODUCT('Staging Table'!CW111:DH111, LS_Demand_Rates_Restatement!$C$11:$N$11)*1000</f>
        <v>0</v>
      </c>
      <c r="S109" s="213">
        <f>'Staging Table'!ED111*IF(Init!$R$15="Yes",IF(Init!$R$6=2022,Rates_current!$C$88,Rates_current!$D$88),Rates_current!$H$33)</f>
        <v>0</v>
      </c>
      <c r="T109" s="213">
        <v>0</v>
      </c>
      <c r="U109" s="213">
        <f>IF('Staging Table'!D111=1, 'Staging Table'!BU111*-1*'Staging Table'!BS111/'Staging Table'!BR111,SUM(O109:T109)*'Staging Table'!BU111*-1)</f>
        <v>0</v>
      </c>
      <c r="V109" s="211">
        <f>'Staging Table'!BX111*Rates_current!$H$32*-1</f>
        <v>0</v>
      </c>
      <c r="W109" s="211">
        <f>IF('Staging Table'!C111=1,"", SUM(O109:V109))</f>
        <v>101387801.95887165</v>
      </c>
      <c r="X109" s="211">
        <f>IF('Staging Table'!C111=1,"", (RT1SC!$C$4*'Staging Table'!BS111*'Staging Table'!$BS$2)+SUM('Staging Table'!BY111:CV111)-IF(Init!$R$12="No",'Staging Table'!DU111, 0))</f>
        <v>2974621.3425851041</v>
      </c>
      <c r="Y109" s="95">
        <f>IF('Staging Table'!C111=1,"",IF(X109=0, 0, W109/X109))</f>
        <v>34.084271670948297</v>
      </c>
      <c r="Z109" s="87">
        <f ca="1">IF('Staging Table'!C111=1,"",(Y109/N109-1)+(RAND()/100000000000000))</f>
        <v>-3.7002735704997132E-2</v>
      </c>
      <c r="AA109" s="53">
        <f t="shared" ca="1" si="1"/>
        <v>65</v>
      </c>
      <c r="AC109" s="421"/>
      <c r="AD109" s="216"/>
      <c r="AE109" s="216"/>
      <c r="AG109" s="216"/>
      <c r="AH109" s="216"/>
    </row>
    <row r="110" spans="2:34">
      <c r="B110" s="135">
        <v>10360</v>
      </c>
      <c r="C110" s="136" t="s">
        <v>113</v>
      </c>
      <c r="D110" s="211">
        <f>IF(Init!$R$9="Yes",'Staging Table'!F112,'Staging Table'!BS112)*Rates_previous!$E$76*100*12</f>
        <v>2276606.0624400005</v>
      </c>
      <c r="E110" s="211">
        <f>IF(Init!$R$9="Yes",'Staging Table'!F112,'Staging Table'!BS112)*Rates_previous!$E$77*100*12</f>
        <v>-230315.56019999998</v>
      </c>
      <c r="F110" s="212">
        <f>IF(Init!$R$9="Yes",SUMPRODUCT('Staging Table'!L112:AI112,LS_Demand_Rates_Restatement!$C$4:$Z$4)-IF(Init!$R$12="No",('Staging Table'!BH112*Rates_previous!$H$34), 0),SUMPRODUCT('Staging Table'!BY112:CV112,LS_Demand_Rates_Restatement!$C$4:$Z$4)-IF(Init!$R$12="No", 'Staging Table'!DU112*Rates_previous!$H$34, 0))</f>
        <v>-79435.253321556651</v>
      </c>
      <c r="G110" s="212">
        <f>IF(Init!$R$9="Yes",SUMPRODUCT('Staging Table'!AJ112:AU112,LS_Demand_Rates_Restatement!$C$10:$N$10),SUMPRODUCT(LS_Demand_Rates_Restatement!$C$10:$N$10,'Staging Table'!CW112:DH112))*1000</f>
        <v>129638.73210676633</v>
      </c>
      <c r="H110" s="213">
        <f>IF(Init!$R$9="Yes",'Staging Table'!BQ112,'Staging Table'!ED112)*IF(Init!$R$3=2020,Rates_previous!$C$88,Rates_previous!$D$88)</f>
        <v>0</v>
      </c>
      <c r="I110" s="211">
        <f>IF(Init!$R$9="Yes",IF('Staging Table'!$F$1=2020,(SUM('Staging Table'!AX112:BD112)*Rates_previous!$C$87),(SUM('Staging Table'!AX112:BD112)*Rates_previous!$D$87)),IF('Staging Table'!$F$1=2020,(SUM('Staging Table'!DK112:DQ112)*Rates_previous!$C$87),(SUM('Staging Table'!DK112:DQ112)*Rates_previous!$D$87)))</f>
        <v>27927.483040522216</v>
      </c>
      <c r="J110" s="213">
        <f>IF(Init!$R$9="Yes",IF('Staging Table'!D112=1,'Staging Table'!H112*-1*'Staging Table'!BS112/'Staging Table'!BR112,'Staging Table'!H112*SUM(D110:I110)*(-1)),IF('Staging Table'!D112=1,'Staging Table'!BU112*-1*'Staging Table'!BS112/'Staging Table'!BR112,'Staging Table'!BU112*SUM(D110:I110)*(-1)))</f>
        <v>-101537.49578919609</v>
      </c>
      <c r="K110" s="211">
        <f>IF(Init!$R$9="Yes",'Staging Table'!K112,'Staging Table'!BX112)*(-1)*Rates_previous!$H$32</f>
        <v>-222303.76739999998</v>
      </c>
      <c r="L110" s="211">
        <f>IF('Staging Table'!C112=1,"",SUM(D110:K110))</f>
        <v>1800580.2008765363</v>
      </c>
      <c r="M110" s="211">
        <f>IF('Staging Table'!C112=1,"",IF(Init!$R$9="Yes",(RT1SC!$C$3*'Staging Table'!F112*'Staging Table'!$F$2)+SUM('Staging Table'!L112:AI112)-IF(Init!$R$12="No",'Staging Table'!BH112, 0),X110))</f>
        <v>59107.536</v>
      </c>
      <c r="N110" s="95">
        <f>IF('Staging Table'!C112=1,"",IF(M110=0, 0, L110/M110))</f>
        <v>30.462785673835842</v>
      </c>
      <c r="O110" s="211">
        <f>'Staging Table'!BS112*Rates_current!$E$76*100*12</f>
        <v>2297140.7569724862</v>
      </c>
      <c r="P110" s="211">
        <f>'Staging Table'!BS112*Rates_current!$E$77*100*12</f>
        <v>-379263.45095196302</v>
      </c>
      <c r="Q110" s="212">
        <f>SUMPRODUCT('Staging Table'!BY112:CV112, LS_Demand_Rates_Restatement!$C$5:$Z$5)-IF(Init!$R$12="No",('Staging Table'!DU112*Rates_current!$H$34), 0)</f>
        <v>-78013.175509657449</v>
      </c>
      <c r="R110" s="212">
        <f>SUMPRODUCT('Staging Table'!CW112:DH112, LS_Demand_Rates_Restatement!$C$11:$N$11)*1000</f>
        <v>123451.54570107721</v>
      </c>
      <c r="S110" s="213">
        <f>'Staging Table'!ED112*IF(Init!$R$15="Yes",IF(Init!$R$6=2022,Rates_current!$C$88,Rates_current!$D$88),Rates_current!$H$33)</f>
        <v>0</v>
      </c>
      <c r="T110" s="213">
        <v>0</v>
      </c>
      <c r="U110" s="213">
        <f>IF('Staging Table'!D112=1, 'Staging Table'!BU112*-1*'Staging Table'!BS112/'Staging Table'!BR112,SUM(O110:T110)*'Staging Table'!BU112*-1)</f>
        <v>-98658.666407135723</v>
      </c>
      <c r="V110" s="211">
        <f>'Staging Table'!BX112*Rates_current!$H$32*-1</f>
        <v>-218101.80600000001</v>
      </c>
      <c r="W110" s="211">
        <f>IF('Staging Table'!C112=1,"", SUM(O110:V110))</f>
        <v>1646555.203804807</v>
      </c>
      <c r="X110" s="211">
        <f>IF('Staging Table'!C112=1,"", (RT1SC!$C$4*'Staging Table'!BS112*'Staging Table'!$BS$2)+SUM('Staging Table'!BY112:CV112)-IF(Init!$R$12="No",'Staging Table'!DU112, 0))</f>
        <v>56528.280000000006</v>
      </c>
      <c r="Y110" s="95">
        <f>IF('Staging Table'!C112=1,"",IF(X110=0, 0, W110/X110))</f>
        <v>29.127990517397784</v>
      </c>
      <c r="Z110" s="87">
        <f ca="1">IF('Staging Table'!C112=1,"",(Y110/N110-1)+(RAND()/100000000000000))</f>
        <v>-4.3817238867435375E-2</v>
      </c>
      <c r="AA110" s="53">
        <f t="shared" ca="1" si="1"/>
        <v>102</v>
      </c>
      <c r="AC110" s="421"/>
      <c r="AD110" s="216"/>
      <c r="AE110" s="216"/>
      <c r="AG110" s="216"/>
      <c r="AH110" s="216"/>
    </row>
    <row r="111" spans="2:34">
      <c r="B111" s="135">
        <v>10363</v>
      </c>
      <c r="C111" s="136" t="s">
        <v>114</v>
      </c>
      <c r="D111" s="211">
        <f>IF(Init!$R$9="Yes",'Staging Table'!F113,'Staging Table'!BS113)*Rates_previous!$E$76*100*12</f>
        <v>32081631.270960003</v>
      </c>
      <c r="E111" s="211">
        <f>IF(Init!$R$9="Yes",'Staging Table'!F113,'Staging Table'!BS113)*Rates_previous!$E$77*100*12</f>
        <v>-3245576.3867999995</v>
      </c>
      <c r="F111" s="212">
        <f>IF(Init!$R$9="Yes",SUMPRODUCT('Staging Table'!L113:AI113,LS_Demand_Rates_Restatement!$C$4:$Z$4)-IF(Init!$R$12="No",('Staging Table'!BH113*Rates_previous!$H$34), 0),SUMPRODUCT('Staging Table'!BY113:CV113,LS_Demand_Rates_Restatement!$C$4:$Z$4)-IF(Init!$R$12="No", 'Staging Table'!DU113*Rates_previous!$H$34, 0))</f>
        <v>-265040.15669418033</v>
      </c>
      <c r="G111" s="212">
        <f>IF(Init!$R$9="Yes",SUMPRODUCT('Staging Table'!AJ113:AU113,LS_Demand_Rates_Restatement!$C$10:$N$10),SUMPRODUCT(LS_Demand_Rates_Restatement!$C$10:$N$10,'Staging Table'!CW113:DH113))*1000</f>
        <v>876353.87409230764</v>
      </c>
      <c r="H111" s="213">
        <f>IF(Init!$R$9="Yes",'Staging Table'!BQ113,'Staging Table'!ED113)*IF(Init!$R$3=2020,Rates_previous!$C$88,Rates_previous!$D$88)</f>
        <v>-602556.56534521678</v>
      </c>
      <c r="I111" s="211">
        <f>IF(Init!$R$9="Yes",IF('Staging Table'!$F$1=2020,(SUM('Staging Table'!AX113:BD113)*Rates_previous!$C$87),(SUM('Staging Table'!AX113:BD113)*Rates_previous!$D$87)),IF('Staging Table'!$F$1=2020,(SUM('Staging Table'!DK113:DQ113)*Rates_previous!$C$87),(SUM('Staging Table'!DK113:DQ113)*Rates_previous!$D$87)))</f>
        <v>393550.39416514582</v>
      </c>
      <c r="J111" s="213">
        <f>IF(Init!$R$9="Yes",IF('Staging Table'!D113=1,'Staging Table'!H113*-1*'Staging Table'!BS113/'Staging Table'!BR113,'Staging Table'!H113*SUM(D111:I111)*(-1)),IF('Staging Table'!D113=1,'Staging Table'!BU113*-1*'Staging Table'!BS113/'Staging Table'!BR113,'Staging Table'!BU113*SUM(D111:I111)*(-1)))</f>
        <v>0</v>
      </c>
      <c r="K111" s="211">
        <f>IF(Init!$R$9="Yes",'Staging Table'!K113,'Staging Table'!BX113)*(-1)*Rates_previous!$H$32</f>
        <v>0</v>
      </c>
      <c r="L111" s="211">
        <f>IF('Staging Table'!C113=1,"",SUM(D111:K111))</f>
        <v>29238362.430378061</v>
      </c>
      <c r="M111" s="211">
        <f>IF('Staging Table'!C113=1,"",IF(Init!$R$9="Yes",(RT1SC!$C$3*'Staging Table'!F113*'Staging Table'!$F$2)+SUM('Staging Table'!L113:AI113)-IF(Init!$R$12="No",'Staging Table'!BH113, 0),X111))</f>
        <v>794430.23326275754</v>
      </c>
      <c r="N111" s="95">
        <f>IF('Staging Table'!C113=1,"",IF(M111=0, 0, L111/M111))</f>
        <v>36.804191489912093</v>
      </c>
      <c r="O111" s="211">
        <f>'Staging Table'!BS113*Rates_current!$E$76*100*12</f>
        <v>32436951.240093477</v>
      </c>
      <c r="P111" s="211">
        <f>'Staging Table'!BS113*Rates_current!$E$77*100*12</f>
        <v>-5355418.482014142</v>
      </c>
      <c r="Q111" s="212">
        <f>SUMPRODUCT('Staging Table'!BY113:CV113, LS_Demand_Rates_Restatement!$C$5:$Z$5)-IF(Init!$R$12="No",('Staging Table'!DU113*Rates_current!$H$34), 0)</f>
        <v>282607.53951893217</v>
      </c>
      <c r="R111" s="212">
        <f>SUMPRODUCT('Staging Table'!CW113:DH113, LS_Demand_Rates_Restatement!$C$11:$N$11)*1000</f>
        <v>866462.18121299893</v>
      </c>
      <c r="S111" s="213">
        <f>'Staging Table'!ED113*IF(Init!$R$15="Yes",IF(Init!$R$6=2022,Rates_current!$C$88,Rates_current!$D$88),Rates_current!$H$33)</f>
        <v>-22941.077505887057</v>
      </c>
      <c r="T111" s="213">
        <v>0</v>
      </c>
      <c r="U111" s="213">
        <f>IF('Staging Table'!D113=1, 'Staging Table'!BU113*-1*'Staging Table'!BS113/'Staging Table'!BR113,SUM(O111:T111)*'Staging Table'!BU113*-1)</f>
        <v>0</v>
      </c>
      <c r="V111" s="211">
        <f>'Staging Table'!BX113*Rates_current!$H$32*-1</f>
        <v>0</v>
      </c>
      <c r="W111" s="211">
        <f>IF('Staging Table'!C113=1,"", SUM(O111:V111))</f>
        <v>28207661.401305381</v>
      </c>
      <c r="X111" s="211">
        <f>IF('Staging Table'!C113=1,"", (RT1SC!$C$4*'Staging Table'!BS113*'Staging Table'!$BS$2)+SUM('Staging Table'!BY113:CV113)-IF(Init!$R$12="No",'Staging Table'!DU113, 0))</f>
        <v>794430.24283046043</v>
      </c>
      <c r="Y111" s="95">
        <f>IF('Staging Table'!C113=1,"",IF(X111=0, 0, W111/X111))</f>
        <v>35.506781943251355</v>
      </c>
      <c r="Z111" s="87">
        <f ca="1">IF('Staging Table'!C113=1,"",(Y111/N111-1)+(RAND()/100000000000000))</f>
        <v>-3.525167906530418E-2</v>
      </c>
      <c r="AA111" s="53">
        <f t="shared" ca="1" si="1"/>
        <v>40</v>
      </c>
      <c r="AC111" s="421"/>
      <c r="AD111" s="216"/>
      <c r="AE111" s="216"/>
      <c r="AG111" s="216"/>
      <c r="AH111" s="216"/>
    </row>
    <row r="112" spans="2:34">
      <c r="B112" s="135">
        <v>10369</v>
      </c>
      <c r="C112" s="136" t="s">
        <v>115</v>
      </c>
      <c r="D112" s="211">
        <f>IF(Init!$R$9="Yes",'Staging Table'!F114,'Staging Table'!BS114)*Rates_previous!$E$76*100*12</f>
        <v>5530258.5308399983</v>
      </c>
      <c r="E112" s="211">
        <f>IF(Init!$R$9="Yes",'Staging Table'!F114,'Staging Table'!BS114)*Rates_previous!$E$77*100*12</f>
        <v>-559475.18220000004</v>
      </c>
      <c r="F112" s="212">
        <f>IF(Init!$R$9="Yes",SUMPRODUCT('Staging Table'!L114:AI114,LS_Demand_Rates_Restatement!$C$4:$Z$4)-IF(Init!$R$12="No",('Staging Table'!BH114*Rates_previous!$H$34), 0),SUMPRODUCT('Staging Table'!BY114:CV114,LS_Demand_Rates_Restatement!$C$4:$Z$4)-IF(Init!$R$12="No", 'Staging Table'!DU114*Rates_previous!$H$34, 0))</f>
        <v>-214202.67569697744</v>
      </c>
      <c r="G112" s="212">
        <f>IF(Init!$R$9="Yes",SUMPRODUCT('Staging Table'!AJ114:AU114,LS_Demand_Rates_Restatement!$C$10:$N$10),SUMPRODUCT(LS_Demand_Rates_Restatement!$C$10:$N$10,'Staging Table'!CW114:DH114))*1000</f>
        <v>322825.84962528473</v>
      </c>
      <c r="H112" s="213">
        <f>IF(Init!$R$9="Yes",'Staging Table'!BQ114,'Staging Table'!ED114)*IF(Init!$R$3=2020,Rates_previous!$C$88,Rates_previous!$D$88)</f>
        <v>0</v>
      </c>
      <c r="I112" s="211">
        <f>IF(Init!$R$9="Yes",IF('Staging Table'!$F$1=2020,(SUM('Staging Table'!AX114:BD114)*Rates_previous!$C$87),(SUM('Staging Table'!AX114:BD114)*Rates_previous!$D$87)),IF('Staging Table'!$F$1=2020,(SUM('Staging Table'!DK114:DQ114)*Rates_previous!$C$87),(SUM('Staging Table'!DK114:DQ114)*Rates_previous!$D$87)))</f>
        <v>67840.547329565874</v>
      </c>
      <c r="J112" s="213">
        <f>IF(Init!$R$9="Yes",IF('Staging Table'!D114=1,'Staging Table'!H114*-1*'Staging Table'!BS114/'Staging Table'!BR114,'Staging Table'!H114*SUM(D112:I112)*(-1)),IF('Staging Table'!D114=1,'Staging Table'!BU114*-1*'Staging Table'!BS114/'Staging Table'!BR114,'Staging Table'!BU114*SUM(D112:I112)*(-1)))</f>
        <v>-397098.53840317036</v>
      </c>
      <c r="K112" s="211">
        <f>IF(Init!$R$9="Yes",'Staging Table'!K114,'Staging Table'!BX114)*(-1)*Rates_previous!$H$32</f>
        <v>-513403.11011000001</v>
      </c>
      <c r="L112" s="211">
        <f>IF('Staging Table'!C114=1,"",SUM(D112:K112))</f>
        <v>4236745.4213847015</v>
      </c>
      <c r="M112" s="211">
        <f>IF('Staging Table'!C114=1,"",IF(Init!$R$9="Yes",(RT1SC!$C$3*'Staging Table'!F114*'Staging Table'!$F$2)+SUM('Staging Table'!L114:AI114)-IF(Init!$R$12="No",'Staging Table'!BH114, 0),X112))</f>
        <v>136981.85738910039</v>
      </c>
      <c r="N112" s="95">
        <f>IF('Staging Table'!C114=1,"",IF(M112=0, 0, L112/M112))</f>
        <v>30.929244953586227</v>
      </c>
      <c r="O112" s="211">
        <f>'Staging Table'!BS114*Rates_current!$E$76*100*12</f>
        <v>5579900.9430249305</v>
      </c>
      <c r="P112" s="211">
        <f>'Staging Table'!BS114*Rates_current!$E$77*100*12</f>
        <v>-921255.03463308001</v>
      </c>
      <c r="Q112" s="212">
        <f>SUMPRODUCT('Staging Table'!BY114:CV114, LS_Demand_Rates_Restatement!$C$5:$Z$5)-IF(Init!$R$12="No",('Staging Table'!DU114*Rates_current!$H$34), 0)</f>
        <v>-85692.618183255036</v>
      </c>
      <c r="R112" s="212">
        <f>SUMPRODUCT('Staging Table'!CW114:DH114, LS_Demand_Rates_Restatement!$C$11:$N$11)*1000</f>
        <v>295868.01859255682</v>
      </c>
      <c r="S112" s="213">
        <f>'Staging Table'!ED114*IF(Init!$R$15="Yes",IF(Init!$R$6=2022,Rates_current!$C$88,Rates_current!$D$88),Rates_current!$H$33)</f>
        <v>0</v>
      </c>
      <c r="T112" s="213">
        <v>0</v>
      </c>
      <c r="U112" s="213">
        <f>IF('Staging Table'!D114=1, 'Staging Table'!BU114*-1*'Staging Table'!BS114/'Staging Table'!BR114,SUM(O112:T112)*'Staging Table'!BU114*-1)</f>
        <v>-372890.08317750209</v>
      </c>
      <c r="V112" s="211">
        <f>'Staging Table'!BX114*Rates_current!$H$32*-1</f>
        <v>-503698.82090000005</v>
      </c>
      <c r="W112" s="211">
        <f>IF('Staging Table'!C114=1,"", SUM(O112:V112))</f>
        <v>3992232.4047236494</v>
      </c>
      <c r="X112" s="211">
        <f>IF('Staging Table'!C114=1,"", (RT1SC!$C$4*'Staging Table'!BS114*'Staging Table'!$BS$2)+SUM('Staging Table'!BY114:CV114)-IF(Init!$R$12="No",'Staging Table'!DU114, 0))</f>
        <v>137304.24</v>
      </c>
      <c r="Y112" s="95">
        <f>IF('Staging Table'!C114=1,"",IF(X112=0, 0, W112/X112))</f>
        <v>29.075812988176111</v>
      </c>
      <c r="Z112" s="87">
        <f ca="1">IF('Staging Table'!C114=1,"",(Y112/N112-1)+(RAND()/100000000000000))</f>
        <v>-5.9924901761788808E-2</v>
      </c>
      <c r="AA112" s="53">
        <f t="shared" ca="1" si="1"/>
        <v>111</v>
      </c>
      <c r="AC112" s="421"/>
      <c r="AD112" s="216"/>
      <c r="AE112" s="216"/>
      <c r="AG112" s="216"/>
      <c r="AH112" s="216"/>
    </row>
    <row r="113" spans="2:34">
      <c r="B113" s="135">
        <v>10370</v>
      </c>
      <c r="C113" s="136" t="s">
        <v>116</v>
      </c>
      <c r="D113" s="211">
        <f>IF(Init!$R$9="Yes",'Staging Table'!F115,'Staging Table'!BS115)*Rates_previous!$E$76*100*12</f>
        <v>51817445.805359989</v>
      </c>
      <c r="E113" s="211">
        <f>IF(Init!$R$9="Yes",'Staging Table'!F115,'Staging Table'!BS115)*Rates_previous!$E$77*100*12</f>
        <v>-5242173.5387999993</v>
      </c>
      <c r="F113" s="212">
        <f>IF(Init!$R$9="Yes",SUMPRODUCT('Staging Table'!L115:AI115,LS_Demand_Rates_Restatement!$C$4:$Z$4)-IF(Init!$R$12="No",('Staging Table'!BH115*Rates_previous!$H$34), 0),SUMPRODUCT('Staging Table'!BY115:CV115,LS_Demand_Rates_Restatement!$C$4:$Z$4)-IF(Init!$R$12="No", 'Staging Table'!DU115*Rates_previous!$H$34, 0))</f>
        <v>310427.65075471438</v>
      </c>
      <c r="G113" s="212">
        <f>IF(Init!$R$9="Yes",SUMPRODUCT('Staging Table'!AJ115:AU115,LS_Demand_Rates_Restatement!$C$10:$N$10),SUMPRODUCT(LS_Demand_Rates_Restatement!$C$10:$N$10,'Staging Table'!CW115:DH115))*1000</f>
        <v>0</v>
      </c>
      <c r="H113" s="213">
        <f>IF(Init!$R$9="Yes",'Staging Table'!BQ115,'Staging Table'!ED115)*IF(Init!$R$3=2020,Rates_previous!$C$88,Rates_previous!$D$88)</f>
        <v>0</v>
      </c>
      <c r="I113" s="211">
        <f>IF(Init!$R$9="Yes",IF('Staging Table'!$F$1=2020,(SUM('Staging Table'!AX115:BD115)*Rates_previous!$C$87),(SUM('Staging Table'!AX115:BD115)*Rates_previous!$D$87)),IF('Staging Table'!$F$1=2020,(SUM('Staging Table'!DK115:DQ115)*Rates_previous!$C$87),(SUM('Staging Table'!DK115:DQ115)*Rates_previous!$D$87)))</f>
        <v>635652.72130628419</v>
      </c>
      <c r="J113" s="213">
        <f>IF(Init!$R$9="Yes",IF('Staging Table'!D115=1,'Staging Table'!H115*-1*'Staging Table'!BS115/'Staging Table'!BR115,'Staging Table'!H115*SUM(D113:I113)*(-1)),IF('Staging Table'!D115=1,'Staging Table'!BU115*-1*'Staging Table'!BS115/'Staging Table'!BR115,'Staging Table'!BU115*SUM(D113:I113)*(-1)))</f>
        <v>0</v>
      </c>
      <c r="K113" s="211">
        <f>IF(Init!$R$9="Yes",'Staging Table'!K115,'Staging Table'!BX115)*(-1)*Rates_previous!$H$32</f>
        <v>0</v>
      </c>
      <c r="L113" s="211">
        <f>IF('Staging Table'!C115=1,"",SUM(D113:K113))</f>
        <v>47521352.638620988</v>
      </c>
      <c r="M113" s="211">
        <f>IF('Staging Table'!C115=1,"",IF(Init!$R$9="Yes",(RT1SC!$C$3*'Staging Table'!F115*'Staging Table'!$F$2)+SUM('Staging Table'!L115:AI115)-IF(Init!$R$12="No",'Staging Table'!BH115, 0),X113))</f>
        <v>1345292.9029668232</v>
      </c>
      <c r="N113" s="95">
        <f>IF('Staging Table'!C115=1,"",IF(M113=0, 0, L113/M113))</f>
        <v>35.324168092926399</v>
      </c>
      <c r="O113" s="211">
        <f>'Staging Table'!BS115*Rates_current!$E$76*100*12</f>
        <v>57910776.995329127</v>
      </c>
      <c r="P113" s="211">
        <f>'Staging Table'!BS115*Rates_current!$E$77*100*12</f>
        <v>-9561208.2384993993</v>
      </c>
      <c r="Q113" s="212">
        <f>SUMPRODUCT('Staging Table'!BY115:CV115, LS_Demand_Rates_Restatement!$C$5:$Z$5)-IF(Init!$R$12="No",('Staging Table'!DU115*Rates_current!$H$34), 0)</f>
        <v>166005.8353049678</v>
      </c>
      <c r="R113" s="212">
        <f>SUMPRODUCT('Staging Table'!CW115:DH115, LS_Demand_Rates_Restatement!$C$11:$N$11)*1000</f>
        <v>0</v>
      </c>
      <c r="S113" s="213">
        <f>'Staging Table'!ED115*IF(Init!$R$15="Yes",IF(Init!$R$6=2022,Rates_current!$C$88,Rates_current!$D$88),Rates_current!$H$33)</f>
        <v>0</v>
      </c>
      <c r="T113" s="213">
        <v>0</v>
      </c>
      <c r="U113" s="213">
        <f>IF('Staging Table'!D115=1, 'Staging Table'!BU115*-1*'Staging Table'!BS115/'Staging Table'!BR115,SUM(O113:T113)*'Staging Table'!BU115*-1)</f>
        <v>0</v>
      </c>
      <c r="V113" s="211">
        <f>'Staging Table'!BX115*Rates_current!$H$32*-1</f>
        <v>0</v>
      </c>
      <c r="W113" s="211">
        <f>IF('Staging Table'!C115=1,"", SUM(O113:V113))</f>
        <v>48515574.592134692</v>
      </c>
      <c r="X113" s="211">
        <f>IF('Staging Table'!C115=1,"", (RT1SC!$C$4*'Staging Table'!BS115*'Staging Table'!$BS$2)+SUM('Staging Table'!BY115:CV115)-IF(Init!$R$12="No",'Staging Table'!DU115, 0))</f>
        <v>1425023.335032956</v>
      </c>
      <c r="Y113" s="95">
        <f>IF('Staging Table'!C115=1,"",IF(X113=0, 0, W113/X113))</f>
        <v>34.045459747515423</v>
      </c>
      <c r="Z113" s="87">
        <f ca="1">IF('Staging Table'!C115=1,"",(Y113/N113-1)+(RAND()/100000000000000))</f>
        <v>-3.6199248685686088E-2</v>
      </c>
      <c r="AA113" s="53">
        <f t="shared" ca="1" si="1"/>
        <v>50</v>
      </c>
      <c r="AC113" s="421"/>
      <c r="AD113" s="216"/>
      <c r="AE113" s="216"/>
      <c r="AG113" s="216"/>
      <c r="AH113" s="216"/>
    </row>
    <row r="114" spans="2:34">
      <c r="B114" s="135">
        <v>10371</v>
      </c>
      <c r="C114" s="136" t="s">
        <v>117</v>
      </c>
      <c r="D114" s="211">
        <f>IF(Init!$R$9="Yes",'Staging Table'!F116,'Staging Table'!BS116)*Rates_previous!$E$76*100*12</f>
        <v>3712823.8759199996</v>
      </c>
      <c r="E114" s="211">
        <f>IF(Init!$R$9="Yes",'Staging Table'!F116,'Staging Table'!BS116)*Rates_previous!$E$77*100*12</f>
        <v>-375612.24359999999</v>
      </c>
      <c r="F114" s="212">
        <f>IF(Init!$R$9="Yes",SUMPRODUCT('Staging Table'!L116:AI116,LS_Demand_Rates_Restatement!$C$4:$Z$4)-IF(Init!$R$12="No",('Staging Table'!BH116*Rates_previous!$H$34), 0),SUMPRODUCT('Staging Table'!BY116:CV116,LS_Demand_Rates_Restatement!$C$4:$Z$4)-IF(Init!$R$12="No", 'Staging Table'!DU116*Rates_previous!$H$34, 0))</f>
        <v>61164.386433066815</v>
      </c>
      <c r="G114" s="212">
        <f>IF(Init!$R$9="Yes",SUMPRODUCT('Staging Table'!AJ116:AU116,LS_Demand_Rates_Restatement!$C$10:$N$10),SUMPRODUCT(LS_Demand_Rates_Restatement!$C$10:$N$10,'Staging Table'!CW116:DH116))*1000</f>
        <v>64343.034940384627</v>
      </c>
      <c r="H114" s="213">
        <f>IF(Init!$R$9="Yes",'Staging Table'!BQ116,'Staging Table'!ED116)*IF(Init!$R$3=2020,Rates_previous!$C$88,Rates_previous!$D$88)</f>
        <v>0</v>
      </c>
      <c r="I114" s="211">
        <f>IF(Init!$R$9="Yes",IF('Staging Table'!$F$1=2020,(SUM('Staging Table'!AX116:BD116)*Rates_previous!$C$87),(SUM('Staging Table'!AX116:BD116)*Rates_previous!$D$87)),IF('Staging Table'!$F$1=2020,(SUM('Staging Table'!DK116:DQ116)*Rates_previous!$C$87),(SUM('Staging Table'!DK116:DQ116)*Rates_previous!$D$87)))</f>
        <v>45545.791842471874</v>
      </c>
      <c r="J114" s="213">
        <f>IF(Init!$R$9="Yes",IF('Staging Table'!D116=1,'Staging Table'!H116*-1*'Staging Table'!BS116/'Staging Table'!BR116,'Staging Table'!H116*SUM(D114:I114)*(-1)),IF('Staging Table'!D116=1,'Staging Table'!BU116*-1*'Staging Table'!BS116/'Staging Table'!BR116,'Staging Table'!BU116*SUM(D114:I114)*(-1)))</f>
        <v>0</v>
      </c>
      <c r="K114" s="211">
        <f>IF(Init!$R$9="Yes",'Staging Table'!K116,'Staging Table'!BX116)*(-1)*Rates_previous!$H$32</f>
        <v>0</v>
      </c>
      <c r="L114" s="211">
        <f>IF('Staging Table'!C116=1,"",SUM(D114:K114))</f>
        <v>3508264.8455359228</v>
      </c>
      <c r="M114" s="211">
        <f>IF('Staging Table'!C116=1,"",IF(Init!$R$9="Yes",(RT1SC!$C$3*'Staging Table'!F116*'Staging Table'!$F$2)+SUM('Staging Table'!L116:AI116)-IF(Init!$R$12="No",'Staging Table'!BH116, 0),X114))</f>
        <v>96395.615999999995</v>
      </c>
      <c r="N114" s="95">
        <f>IF('Staging Table'!C116=1,"",IF(M114=0, 0, L114/M114))</f>
        <v>36.394443970729156</v>
      </c>
      <c r="O114" s="211">
        <f>'Staging Table'!BS116*Rates_current!$E$76*100*12</f>
        <v>3746552.8809041809</v>
      </c>
      <c r="P114" s="211">
        <f>'Staging Table'!BS116*Rates_current!$E$77*100*12</f>
        <v>-618564.87046899658</v>
      </c>
      <c r="Q114" s="212">
        <f>SUMPRODUCT('Staging Table'!BY116:CV116, LS_Demand_Rates_Restatement!$C$5:$Z$5)-IF(Init!$R$12="No",('Staging Table'!DU116*Rates_current!$H$34), 0)</f>
        <v>52173.116145556327</v>
      </c>
      <c r="R114" s="212">
        <f>SUMPRODUCT('Staging Table'!CW116:DH116, LS_Demand_Rates_Restatement!$C$11:$N$11)*1000</f>
        <v>51370.022622925571</v>
      </c>
      <c r="S114" s="213">
        <f>'Staging Table'!ED116*IF(Init!$R$15="Yes",IF(Init!$R$6=2022,Rates_current!$C$88,Rates_current!$D$88),Rates_current!$H$33)</f>
        <v>0</v>
      </c>
      <c r="T114" s="213">
        <v>0</v>
      </c>
      <c r="U114" s="213">
        <f>IF('Staging Table'!D116=1, 'Staging Table'!BU116*-1*'Staging Table'!BS116/'Staging Table'!BR116,SUM(O114:T114)*'Staging Table'!BU116*-1)</f>
        <v>0</v>
      </c>
      <c r="V114" s="211">
        <f>'Staging Table'!BX116*Rates_current!$H$32*-1</f>
        <v>0</v>
      </c>
      <c r="W114" s="211">
        <f>IF('Staging Table'!C116=1,"", SUM(O114:V114))</f>
        <v>3231531.1492036665</v>
      </c>
      <c r="X114" s="211">
        <f>IF('Staging Table'!C116=1,"", (RT1SC!$C$4*'Staging Table'!BS116*'Staging Table'!$BS$2)+SUM('Staging Table'!BY116:CV116)-IF(Init!$R$12="No",'Staging Table'!DU116, 0))</f>
        <v>92190.239999999991</v>
      </c>
      <c r="Y114" s="95">
        <f>IF('Staging Table'!C116=1,"",IF(X114=0, 0, W114/X114))</f>
        <v>35.05285536954527</v>
      </c>
      <c r="Z114" s="87">
        <f ca="1">IF('Staging Table'!C116=1,"",(Y114/N114-1)+(RAND()/100000000000000))</f>
        <v>-3.6862456320603677E-2</v>
      </c>
      <c r="AA114" s="53">
        <f t="shared" ca="1" si="1"/>
        <v>61</v>
      </c>
      <c r="AC114" s="421"/>
      <c r="AD114" s="216"/>
      <c r="AE114" s="216"/>
      <c r="AG114" s="216"/>
      <c r="AH114" s="216"/>
    </row>
    <row r="115" spans="2:34">
      <c r="B115" s="135">
        <v>10376</v>
      </c>
      <c r="C115" s="136" t="s">
        <v>118</v>
      </c>
      <c r="D115" s="211">
        <f>IF(Init!$R$9="Yes",'Staging Table'!F117,'Staging Table'!BS117)*Rates_previous!$E$76*100*12</f>
        <v>18441721.2042</v>
      </c>
      <c r="E115" s="211">
        <f>IF(Init!$R$9="Yes",'Staging Table'!F117,'Staging Table'!BS117)*Rates_previous!$E$77*100*12</f>
        <v>-1865678.6609999998</v>
      </c>
      <c r="F115" s="212">
        <f>IF(Init!$R$9="Yes",SUMPRODUCT('Staging Table'!L117:AI117,LS_Demand_Rates_Restatement!$C$4:$Z$4)-IF(Init!$R$12="No",('Staging Table'!BH117*Rates_previous!$H$34), 0),SUMPRODUCT('Staging Table'!BY117:CV117,LS_Demand_Rates_Restatement!$C$4:$Z$4)-IF(Init!$R$12="No", 'Staging Table'!DU117*Rates_previous!$H$34, 0))</f>
        <v>331732.56305383967</v>
      </c>
      <c r="G115" s="212">
        <f>IF(Init!$R$9="Yes",SUMPRODUCT('Staging Table'!AJ117:AU117,LS_Demand_Rates_Restatement!$C$10:$N$10),SUMPRODUCT(LS_Demand_Rates_Restatement!$C$10:$N$10,'Staging Table'!CW117:DH117))*1000</f>
        <v>534365.70926794875</v>
      </c>
      <c r="H115" s="213">
        <f>IF(Init!$R$9="Yes",'Staging Table'!BQ117,'Staging Table'!ED117)*IF(Init!$R$3=2020,Rates_previous!$C$88,Rates_previous!$D$88)</f>
        <v>61629.772945891033</v>
      </c>
      <c r="I115" s="211">
        <f>IF(Init!$R$9="Yes",IF('Staging Table'!$F$1=2020,(SUM('Staging Table'!AX117:BD117)*Rates_previous!$C$87),(SUM('Staging Table'!AX117:BD117)*Rates_previous!$D$87)),IF('Staging Table'!$F$1=2020,(SUM('Staging Table'!DK117:DQ117)*Rates_previous!$C$87),(SUM('Staging Table'!DK117:DQ117)*Rates_previous!$D$87)))</f>
        <v>226227.48162953556</v>
      </c>
      <c r="J115" s="213">
        <f>IF(Init!$R$9="Yes",IF('Staging Table'!D117=1,'Staging Table'!H117*-1*'Staging Table'!BS117/'Staging Table'!BR117,'Staging Table'!H117*SUM(D115:I115)*(-1)),IF('Staging Table'!D117=1,'Staging Table'!BU117*-1*'Staging Table'!BS117/'Staging Table'!BR117,'Staging Table'!BU117*SUM(D115:I115)*(-1)))</f>
        <v>0</v>
      </c>
      <c r="K115" s="211">
        <f>IF(Init!$R$9="Yes",'Staging Table'!K117,'Staging Table'!BX117)*(-1)*Rates_previous!$H$32</f>
        <v>0</v>
      </c>
      <c r="L115" s="211">
        <f>IF('Staging Table'!C117=1,"",SUM(D115:K115))</f>
        <v>17729998.070097215</v>
      </c>
      <c r="M115" s="211">
        <f>IF('Staging Table'!C117=1,"",IF(Init!$R$9="Yes",(RT1SC!$C$3*'Staging Table'!F117*'Staging Table'!$F$2)+SUM('Staging Table'!L117:AI117)-IF(Init!$R$12="No",'Staging Table'!BH117, 0),X115))</f>
        <v>482724.97797100194</v>
      </c>
      <c r="N115" s="95">
        <f>IF('Staging Table'!C117=1,"",IF(M115=0, 0, L115/M115))</f>
        <v>36.728984161168235</v>
      </c>
      <c r="O115" s="211">
        <f>'Staging Table'!BS117*Rates_current!$E$76*100*12</f>
        <v>19026531.75260435</v>
      </c>
      <c r="P115" s="211">
        <f>'Staging Table'!BS117*Rates_current!$E$77*100*12</f>
        <v>-3141326.0464065918</v>
      </c>
      <c r="Q115" s="212">
        <f>SUMPRODUCT('Staging Table'!BY117:CV117, LS_Demand_Rates_Restatement!$C$5:$Z$5)-IF(Init!$R$12="No",('Staging Table'!DU117*Rates_current!$H$34), 0)</f>
        <v>91131.165458541815</v>
      </c>
      <c r="R115" s="212">
        <f>SUMPRODUCT('Staging Table'!CW117:DH117, LS_Demand_Rates_Restatement!$C$11:$N$11)*1000</f>
        <v>529906.23500373936</v>
      </c>
      <c r="S115" s="213">
        <f>'Staging Table'!ED117*IF(Init!$R$15="Yes",IF(Init!$R$6=2022,Rates_current!$C$88,Rates_current!$D$88),Rates_current!$H$33)</f>
        <v>0</v>
      </c>
      <c r="T115" s="213">
        <v>0</v>
      </c>
      <c r="U115" s="213">
        <f>IF('Staging Table'!D117=1, 'Staging Table'!BU117*-1*'Staging Table'!BS117/'Staging Table'!BR117,SUM(O115:T115)*'Staging Table'!BU117*-1)</f>
        <v>0</v>
      </c>
      <c r="V115" s="211">
        <f>'Staging Table'!BX117*Rates_current!$H$32*-1</f>
        <v>0</v>
      </c>
      <c r="W115" s="211">
        <f>IF('Staging Table'!C117=1,"", SUM(O115:V115))</f>
        <v>16506243.10666004</v>
      </c>
      <c r="X115" s="211">
        <f>IF('Staging Table'!C117=1,"", (RT1SC!$C$4*'Staging Table'!BS117*'Staging Table'!$BS$2)+SUM('Staging Table'!BY117:CV117)-IF(Init!$R$12="No",'Staging Table'!DU117, 0))</f>
        <v>464162.54394990968</v>
      </c>
      <c r="Y115" s="95">
        <f>IF('Staging Table'!C117=1,"",IF(X115=0, 0, W115/X115))</f>
        <v>35.561342296592805</v>
      </c>
      <c r="Z115" s="87">
        <f ca="1">IF('Staging Table'!C117=1,"",(Y115/N115-1)+(RAND()/100000000000000))</f>
        <v>-3.1790747586474703E-2</v>
      </c>
      <c r="AA115" s="53">
        <f t="shared" ca="1" si="1"/>
        <v>14</v>
      </c>
      <c r="AC115" s="421"/>
      <c r="AD115" s="216"/>
      <c r="AE115" s="216"/>
      <c r="AG115" s="216"/>
      <c r="AH115" s="216"/>
    </row>
    <row r="116" spans="2:34">
      <c r="B116" s="135">
        <v>10378</v>
      </c>
      <c r="C116" s="136" t="s">
        <v>119</v>
      </c>
      <c r="D116" s="211">
        <f>IF(Init!$R$9="Yes",'Staging Table'!F118,'Staging Table'!BS118)*Rates_previous!$E$76*100*12</f>
        <v>643838.16924000008</v>
      </c>
      <c r="E116" s="211">
        <f>IF(Init!$R$9="Yes",'Staging Table'!F118,'Staging Table'!BS118)*Rates_previous!$E$77*100*12</f>
        <v>-65134.654200000004</v>
      </c>
      <c r="F116" s="212">
        <f>IF(Init!$R$9="Yes",SUMPRODUCT('Staging Table'!L118:AI118,LS_Demand_Rates_Restatement!$C$4:$Z$4)-IF(Init!$R$12="No",('Staging Table'!BH118*Rates_previous!$H$34), 0),SUMPRODUCT('Staging Table'!BY118:CV118,LS_Demand_Rates_Restatement!$C$4:$Z$4)-IF(Init!$R$12="No", 'Staging Table'!DU118*Rates_previous!$H$34, 0))</f>
        <v>39254.516813036782</v>
      </c>
      <c r="G116" s="212">
        <f>IF(Init!$R$9="Yes",SUMPRODUCT('Staging Table'!AJ118:AU118,LS_Demand_Rates_Restatement!$C$10:$N$10),SUMPRODUCT(LS_Demand_Rates_Restatement!$C$10:$N$10,'Staging Table'!CW118:DH118))*1000</f>
        <v>61737.519460256422</v>
      </c>
      <c r="H116" s="213">
        <f>IF(Init!$R$9="Yes",'Staging Table'!BQ118,'Staging Table'!ED118)*IF(Init!$R$3=2020,Rates_previous!$C$88,Rates_previous!$D$88)</f>
        <v>14718.646079999928</v>
      </c>
      <c r="I116" s="211">
        <f>IF(Init!$R$9="Yes",IF('Staging Table'!$F$1=2020,(SUM('Staging Table'!AX118:BD118)*Rates_previous!$C$87),(SUM('Staging Table'!AX118:BD118)*Rates_previous!$D$87)),IF('Staging Table'!$F$1=2020,(SUM('Staging Table'!DK118:DQ118)*Rates_previous!$C$87),(SUM('Staging Table'!DK118:DQ118)*Rates_previous!$D$87)))</f>
        <v>7898.0636346982665</v>
      </c>
      <c r="J116" s="213">
        <f>IF(Init!$R$9="Yes",IF('Staging Table'!D118=1,'Staging Table'!H118*-1*'Staging Table'!BS118/'Staging Table'!BR118,'Staging Table'!H118*SUM(D116:I116)*(-1)),IF('Staging Table'!D118=1,'Staging Table'!BU118*-1*'Staging Table'!BS118/'Staging Table'!BR118,'Staging Table'!BU118*SUM(D116:I116)*(-1)))</f>
        <v>0</v>
      </c>
      <c r="K116" s="211">
        <f>IF(Init!$R$9="Yes",'Staging Table'!K118,'Staging Table'!BX118)*(-1)*Rates_previous!$H$32</f>
        <v>0</v>
      </c>
      <c r="L116" s="211">
        <f>IF('Staging Table'!C118=1,"",SUM(D116:K116))</f>
        <v>702312.26102799154</v>
      </c>
      <c r="M116" s="211">
        <f>IF('Staging Table'!C118=1,"",IF(Init!$R$9="Yes",(RT1SC!$C$3*'Staging Table'!F118*'Staging Table'!$F$2)+SUM('Staging Table'!L118:AI118)-IF(Init!$R$12="No",'Staging Table'!BH118, 0),X116))</f>
        <v>17655.839999999997</v>
      </c>
      <c r="N116" s="95">
        <f>IF('Staging Table'!C118=1,"",IF(M116=0, 0, L116/M116))</f>
        <v>39.777901307895384</v>
      </c>
      <c r="O116" s="211">
        <f>'Staging Table'!BS118*Rates_current!$E$76*100*12</f>
        <v>668830.31330997637</v>
      </c>
      <c r="P116" s="211">
        <f>'Staging Table'!BS118*Rates_current!$E$77*100*12</f>
        <v>-110425.48958190047</v>
      </c>
      <c r="Q116" s="212">
        <f>SUMPRODUCT('Staging Table'!BY118:CV118, LS_Demand_Rates_Restatement!$C$5:$Z$5)-IF(Init!$R$12="No",('Staging Table'!DU118*Rates_current!$H$34), 0)</f>
        <v>33508.361139865352</v>
      </c>
      <c r="R116" s="212">
        <f>SUMPRODUCT('Staging Table'!CW118:DH118, LS_Demand_Rates_Restatement!$C$11:$N$11)*1000</f>
        <v>57506.51279604702</v>
      </c>
      <c r="S116" s="213">
        <f>'Staging Table'!ED118*IF(Init!$R$15="Yes",IF(Init!$R$6=2022,Rates_current!$C$88,Rates_current!$D$88),Rates_current!$H$33)</f>
        <v>2622.6563999999876</v>
      </c>
      <c r="T116" s="213">
        <v>0</v>
      </c>
      <c r="U116" s="213">
        <f>IF('Staging Table'!D118=1, 'Staging Table'!BU118*-1*'Staging Table'!BS118/'Staging Table'!BR118,SUM(O116:T116)*'Staging Table'!BU118*-1)</f>
        <v>0</v>
      </c>
      <c r="V116" s="211">
        <f>'Staging Table'!BX118*Rates_current!$H$32*-1</f>
        <v>0</v>
      </c>
      <c r="W116" s="211">
        <f>IF('Staging Table'!C118=1,"", SUM(O116:V116))</f>
        <v>652042.35406398831</v>
      </c>
      <c r="X116" s="211">
        <f>IF('Staging Table'!C118=1,"", (RT1SC!$C$4*'Staging Table'!BS118*'Staging Table'!$BS$2)+SUM('Staging Table'!BY118:CV118)-IF(Init!$R$12="No",'Staging Table'!DU118, 0))</f>
        <v>16889.28</v>
      </c>
      <c r="Y116" s="95">
        <f>IF('Staging Table'!C118=1,"",IF(X116=0, 0, W116/X116))</f>
        <v>38.606876910323493</v>
      </c>
      <c r="Z116" s="87">
        <f ca="1">IF('Staging Table'!C118=1,"",(Y116/N116-1)+(RAND()/100000000000000))</f>
        <v>-2.943906940960396E-2</v>
      </c>
      <c r="AA116" s="53">
        <f t="shared" ca="1" si="1"/>
        <v>8</v>
      </c>
      <c r="AC116" s="421"/>
      <c r="AD116" s="216"/>
      <c r="AE116" s="216"/>
      <c r="AG116" s="216"/>
      <c r="AH116" s="216"/>
    </row>
    <row r="117" spans="2:34">
      <c r="B117" s="135">
        <v>10379</v>
      </c>
      <c r="C117" s="136" t="s">
        <v>120</v>
      </c>
      <c r="D117" s="211">
        <f>IF(Init!$R$9="Yes",'Staging Table'!F119,'Staging Table'!BS119)*Rates_previous!$E$76*100*12</f>
        <v>1605673.9281600004</v>
      </c>
      <c r="E117" s="211">
        <f>IF(Init!$R$9="Yes",'Staging Table'!F119,'Staging Table'!BS119)*Rates_previous!$E$77*100*12</f>
        <v>-162439.91280000002</v>
      </c>
      <c r="F117" s="212">
        <f>IF(Init!$R$9="Yes",SUMPRODUCT('Staging Table'!L119:AI119,LS_Demand_Rates_Restatement!$C$4:$Z$4)-IF(Init!$R$12="No",('Staging Table'!BH119*Rates_previous!$H$34), 0),SUMPRODUCT('Staging Table'!BY119:CV119,LS_Demand_Rates_Restatement!$C$4:$Z$4)-IF(Init!$R$12="No", 'Staging Table'!DU119*Rates_previous!$H$34, 0))</f>
        <v>-17062.536766738987</v>
      </c>
      <c r="G117" s="212">
        <f>IF(Init!$R$9="Yes",SUMPRODUCT('Staging Table'!AJ119:AU119,LS_Demand_Rates_Restatement!$C$10:$N$10),SUMPRODUCT(LS_Demand_Rates_Restatement!$C$10:$N$10,'Staging Table'!CW119:DH119))*1000</f>
        <v>94517.415856517109</v>
      </c>
      <c r="H117" s="213">
        <f>IF(Init!$R$9="Yes",'Staging Table'!BQ119,'Staging Table'!ED119)*IF(Init!$R$3=2020,Rates_previous!$C$88,Rates_previous!$D$88)</f>
        <v>-37919.428356960911</v>
      </c>
      <c r="I117" s="211">
        <f>IF(Init!$R$9="Yes",IF('Staging Table'!$F$1=2020,(SUM('Staging Table'!AX119:BD119)*Rates_previous!$C$87),(SUM('Staging Table'!AX119:BD119)*Rates_previous!$D$87)),IF('Staging Table'!$F$1=2020,(SUM('Staging Table'!DK119:DQ119)*Rates_previous!$C$87),(SUM('Staging Table'!DK119:DQ119)*Rates_previous!$D$87)))</f>
        <v>19697.053494286261</v>
      </c>
      <c r="J117" s="213">
        <f>IF(Init!$R$9="Yes",IF('Staging Table'!D119=1,'Staging Table'!H119*-1*'Staging Table'!BS119/'Staging Table'!BR119,'Staging Table'!H119*SUM(D117:I117)*(-1)),IF('Staging Table'!D119=1,'Staging Table'!BU119*-1*'Staging Table'!BS119/'Staging Table'!BR119,'Staging Table'!BU119*SUM(D117:I117)*(-1)))</f>
        <v>0</v>
      </c>
      <c r="K117" s="211">
        <f>IF(Init!$R$9="Yes",'Staging Table'!K119,'Staging Table'!BX119)*(-1)*Rates_previous!$H$32</f>
        <v>0</v>
      </c>
      <c r="L117" s="211">
        <f>IF('Staging Table'!C119=1,"",SUM(D117:K117))</f>
        <v>1502466.5195871037</v>
      </c>
      <c r="M117" s="211">
        <f>IF('Staging Table'!C119=1,"",IF(Init!$R$9="Yes",(RT1SC!$C$3*'Staging Table'!F119*'Staging Table'!$F$2)+SUM('Staging Table'!L119:AI119)-IF(Init!$R$12="No",'Staging Table'!BH119, 0),X117))</f>
        <v>39267.444564689598</v>
      </c>
      <c r="N117" s="95">
        <f>IF('Staging Table'!C119=1,"",IF(M117=0, 0, L117/M117))</f>
        <v>38.262396146301924</v>
      </c>
      <c r="O117" s="211">
        <f>'Staging Table'!BS119*Rates_current!$E$76*100*12</f>
        <v>1618718.0404597851</v>
      </c>
      <c r="P117" s="211">
        <f>'Staging Table'!BS119*Rates_current!$E$77*100*12</f>
        <v>-267254.23258437729</v>
      </c>
      <c r="Q117" s="212">
        <f>SUMPRODUCT('Staging Table'!BY119:CV119, LS_Demand_Rates_Restatement!$C$5:$Z$5)-IF(Init!$R$12="No",('Staging Table'!DU119*Rates_current!$H$34), 0)</f>
        <v>8646.7196521610022</v>
      </c>
      <c r="R117" s="212">
        <f>SUMPRODUCT('Staging Table'!CW119:DH119, LS_Demand_Rates_Restatement!$C$11:$N$11)*1000</f>
        <v>88706.257051558074</v>
      </c>
      <c r="S117" s="213">
        <f>'Staging Table'!ED119*IF(Init!$R$15="Yes",IF(Init!$R$6=2022,Rates_current!$C$88,Rates_current!$D$88),Rates_current!$H$33)</f>
        <v>-3447.7200203636198</v>
      </c>
      <c r="T117" s="213">
        <v>0</v>
      </c>
      <c r="U117" s="213">
        <f>IF('Staging Table'!D119=1, 'Staging Table'!BU119*-1*'Staging Table'!BS119/'Staging Table'!BR119,SUM(O117:T117)*'Staging Table'!BU119*-1)</f>
        <v>0</v>
      </c>
      <c r="V117" s="211">
        <f>'Staging Table'!BX119*Rates_current!$H$32*-1</f>
        <v>0</v>
      </c>
      <c r="W117" s="211">
        <f>IF('Staging Table'!C119=1,"", SUM(O117:V117))</f>
        <v>1445369.0645587633</v>
      </c>
      <c r="X117" s="211">
        <f>IF('Staging Table'!C119=1,"", (RT1SC!$C$4*'Staging Table'!BS119*'Staging Table'!$BS$2)+SUM('Staging Table'!BY119:CV119)-IF(Init!$R$12="No",'Staging Table'!DU119, 0))</f>
        <v>39267.44503758369</v>
      </c>
      <c r="Y117" s="95">
        <f>IF('Staging Table'!C119=1,"",IF(X117=0, 0, W117/X117))</f>
        <v>36.808329728999951</v>
      </c>
      <c r="Z117" s="87">
        <f ca="1">IF('Staging Table'!C119=1,"",(Y117/N117-1)+(RAND()/100000000000000))</f>
        <v>-3.8002492362003225E-2</v>
      </c>
      <c r="AA117" s="53">
        <f t="shared" ca="1" si="1"/>
        <v>75</v>
      </c>
      <c r="AC117" s="421"/>
      <c r="AD117" s="216"/>
      <c r="AE117" s="216"/>
      <c r="AG117" s="216"/>
      <c r="AH117" s="216"/>
    </row>
    <row r="118" spans="2:34">
      <c r="B118" s="135">
        <v>10388</v>
      </c>
      <c r="C118" s="136" t="s">
        <v>121</v>
      </c>
      <c r="D118" s="211">
        <f>IF(Init!$R$9="Yes",'Staging Table'!F120,'Staging Table'!BS120)*Rates_previous!$E$76*100*12</f>
        <v>38105047.498799995</v>
      </c>
      <c r="E118" s="211">
        <f>IF(Init!$R$9="Yes",'Staging Table'!F120,'Staging Table'!BS120)*Rates_previous!$E$77*100*12</f>
        <v>-3854942.453999999</v>
      </c>
      <c r="F118" s="212">
        <f>IF(Init!$R$9="Yes",SUMPRODUCT('Staging Table'!L120:AI120,LS_Demand_Rates_Restatement!$C$4:$Z$4)-IF(Init!$R$12="No",('Staging Table'!BH120*Rates_previous!$H$34), 0),SUMPRODUCT('Staging Table'!BY120:CV120,LS_Demand_Rates_Restatement!$C$4:$Z$4)-IF(Init!$R$12="No", 'Staging Table'!DU120*Rates_previous!$H$34, 0))</f>
        <v>-1161533.9031669195</v>
      </c>
      <c r="G118" s="212">
        <f>IF(Init!$R$9="Yes",SUMPRODUCT('Staging Table'!AJ120:AU120,LS_Demand_Rates_Restatement!$C$10:$N$10),SUMPRODUCT(LS_Demand_Rates_Restatement!$C$10:$N$10,'Staging Table'!CW120:DH120))*1000</f>
        <v>0</v>
      </c>
      <c r="H118" s="213">
        <f>IF(Init!$R$9="Yes",'Staging Table'!BQ120,'Staging Table'!ED120)*IF(Init!$R$3=2020,Rates_previous!$C$88,Rates_previous!$D$88)</f>
        <v>0</v>
      </c>
      <c r="I118" s="211">
        <f>IF(Init!$R$9="Yes",IF('Staging Table'!$F$1=2020,(SUM('Staging Table'!AX120:BD120)*Rates_previous!$C$87),(SUM('Staging Table'!AX120:BD120)*Rates_previous!$D$87)),IF('Staging Table'!$F$1=2020,(SUM('Staging Table'!DK120:DQ120)*Rates_previous!$C$87),(SUM('Staging Table'!DK120:DQ120)*Rates_previous!$D$87)))</f>
        <v>467440.58418278804</v>
      </c>
      <c r="J118" s="213">
        <f>IF(Init!$R$9="Yes",IF('Staging Table'!D120=1,'Staging Table'!H120*-1*'Staging Table'!BS120/'Staging Table'!BR120,'Staging Table'!H120*SUM(D118:I118)*(-1)),IF('Staging Table'!D120=1,'Staging Table'!BU120*-1*'Staging Table'!BS120/'Staging Table'!BR120,'Staging Table'!BU120*SUM(D118:I118)*(-1)))</f>
        <v>-3608439.2137675453</v>
      </c>
      <c r="K118" s="211">
        <f>IF(Init!$R$9="Yes",'Staging Table'!K120,'Staging Table'!BX120)*(-1)*Rates_previous!$H$32</f>
        <v>-2541661.6639700001</v>
      </c>
      <c r="L118" s="211">
        <f>IF('Staging Table'!C120=1,"",SUM(D118:K118))</f>
        <v>27405910.848078325</v>
      </c>
      <c r="M118" s="211">
        <f>IF('Staging Table'!C120=1,"",IF(Init!$R$9="Yes",(RT1SC!$C$3*'Staging Table'!F120*'Staging Table'!$F$2)+SUM('Staging Table'!L120:AI120)-IF(Init!$R$12="No",'Staging Table'!BH120, 0),X118))</f>
        <v>989289.21600000001</v>
      </c>
      <c r="N118" s="95">
        <f>IF('Staging Table'!C120=1,"",IF(M118=0, 0, L118/M118))</f>
        <v>27.702627709709436</v>
      </c>
      <c r="O118" s="211">
        <f>'Staging Table'!BS120*Rates_current!$E$76*100*12</f>
        <v>38448750.137321085</v>
      </c>
      <c r="P118" s="211">
        <f>'Staging Table'!BS120*Rates_current!$E$77*100*12</f>
        <v>-6347980.9052226981</v>
      </c>
      <c r="Q118" s="212">
        <f>SUMPRODUCT('Staging Table'!BY120:CV120, LS_Demand_Rates_Restatement!$C$5:$Z$5)-IF(Init!$R$12="No",('Staging Table'!DU120*Rates_current!$H$34), 0)</f>
        <v>-1222372.1753839431</v>
      </c>
      <c r="R118" s="212">
        <f>SUMPRODUCT('Staging Table'!CW120:DH120, LS_Demand_Rates_Restatement!$C$11:$N$11)*1000</f>
        <v>0</v>
      </c>
      <c r="S118" s="213">
        <f>'Staging Table'!ED120*IF(Init!$R$15="Yes",IF(Init!$R$6=2022,Rates_current!$C$88,Rates_current!$D$88),Rates_current!$H$33)</f>
        <v>0</v>
      </c>
      <c r="T118" s="213">
        <v>0</v>
      </c>
      <c r="U118" s="213">
        <f>IF('Staging Table'!D120=1, 'Staging Table'!BU120*-1*'Staging Table'!BS120/'Staging Table'!BR120,SUM(O118:T118)*'Staging Table'!BU120*-1)</f>
        <v>-3160758.6269087601</v>
      </c>
      <c r="V118" s="211">
        <f>'Staging Table'!BX120*Rates_current!$H$32*-1</f>
        <v>-2493619.4543000003</v>
      </c>
      <c r="W118" s="211">
        <f>IF('Staging Table'!C120=1,"", SUM(O118:V118))</f>
        <v>25224018.97550568</v>
      </c>
      <c r="X118" s="211">
        <f>IF('Staging Table'!C120=1,"", (RT1SC!$C$4*'Staging Table'!BS120*'Staging Table'!$BS$2)+SUM('Staging Table'!BY120:CV120)-IF(Init!$R$12="No",'Staging Table'!DU120, 0))</f>
        <v>946108.45439789526</v>
      </c>
      <c r="Y118" s="95">
        <f>IF('Staging Table'!C120=1,"",IF(X118=0, 0, W118/X118))</f>
        <v>26.660811303666325</v>
      </c>
      <c r="Z118" s="87">
        <f ca="1">IF('Staging Table'!C120=1,"",(Y118/N118-1)+(RAND()/100000000000000))</f>
        <v>-3.760713304744747E-2</v>
      </c>
      <c r="AA118" s="53">
        <f t="shared" ca="1" si="1"/>
        <v>70</v>
      </c>
      <c r="AC118" s="421"/>
      <c r="AD118" s="216"/>
      <c r="AE118" s="216"/>
      <c r="AG118" s="216"/>
      <c r="AH118" s="216"/>
    </row>
    <row r="119" spans="2:34">
      <c r="B119" s="135">
        <v>10391</v>
      </c>
      <c r="C119" s="136" t="s">
        <v>122</v>
      </c>
      <c r="D119" s="211">
        <f>IF(Init!$R$9="Yes",'Staging Table'!F121,'Staging Table'!BS121)*Rates_previous!$E$76*100*12</f>
        <v>10088461.64928</v>
      </c>
      <c r="E119" s="211">
        <f>IF(Init!$R$9="Yes",'Staging Table'!F121,'Staging Table'!BS121)*Rates_previous!$E$77*100*12</f>
        <v>-1020611.2224000001</v>
      </c>
      <c r="F119" s="212">
        <f>IF(Init!$R$9="Yes",SUMPRODUCT('Staging Table'!L121:AI121,LS_Demand_Rates_Restatement!$C$4:$Z$4)-IF(Init!$R$12="No",('Staging Table'!BH121*Rates_previous!$H$34), 0),SUMPRODUCT('Staging Table'!BY121:CV121,LS_Demand_Rates_Restatement!$C$4:$Z$4)-IF(Init!$R$12="No", 'Staging Table'!DU121*Rates_previous!$H$34, 0))</f>
        <v>-699134.60421747994</v>
      </c>
      <c r="G119" s="212">
        <f>IF(Init!$R$9="Yes",SUMPRODUCT('Staging Table'!AJ121:AU121,LS_Demand_Rates_Restatement!$C$10:$N$10),SUMPRODUCT(LS_Demand_Rates_Restatement!$C$10:$N$10,'Staging Table'!CW121:DH121))*1000</f>
        <v>413517.19064042019</v>
      </c>
      <c r="H119" s="213">
        <f>IF(Init!$R$9="Yes",'Staging Table'!BQ121,'Staging Table'!ED121)*IF(Init!$R$3=2020,Rates_previous!$C$88,Rates_previous!$D$88)</f>
        <v>0</v>
      </c>
      <c r="I119" s="211">
        <f>IF(Init!$R$9="Yes",IF('Staging Table'!$F$1=2020,(SUM('Staging Table'!AX121:BD121)*Rates_previous!$C$87),(SUM('Staging Table'!AX121:BD121)*Rates_previous!$D$87)),IF('Staging Table'!$F$1=2020,(SUM('Staging Table'!DK121:DQ121)*Rates_previous!$C$87),(SUM('Staging Table'!DK121:DQ121)*Rates_previous!$D$87)))</f>
        <v>123756.73871010409</v>
      </c>
      <c r="J119" s="213">
        <f>IF(Init!$R$9="Yes",IF('Staging Table'!D121=1,'Staging Table'!H121*-1*'Staging Table'!BS121/'Staging Table'!BR121,'Staging Table'!H121*SUM(D119:I119)*(-1)),IF('Staging Table'!D121=1,'Staging Table'!BU121*-1*'Staging Table'!BS121/'Staging Table'!BR121,'Staging Table'!BU121*SUM(D119:I119)*(-1)))</f>
        <v>-320744.66010100499</v>
      </c>
      <c r="K119" s="211">
        <f>IF(Init!$R$9="Yes",'Staging Table'!K121,'Staging Table'!BX121)*(-1)*Rates_previous!$H$32</f>
        <v>-491841.39982999995</v>
      </c>
      <c r="L119" s="211">
        <f>IF('Staging Table'!C121=1,"",SUM(D119:K119))</f>
        <v>8093403.6920820391</v>
      </c>
      <c r="M119" s="211">
        <f>IF('Staging Table'!C121=1,"",IF(Init!$R$9="Yes",(RT1SC!$C$3*'Staging Table'!F121*'Staging Table'!$F$2)+SUM('Staging Table'!L121:AI121)-IF(Init!$R$12="No",'Staging Table'!BH121, 0),X119))</f>
        <v>232368.5518309568</v>
      </c>
      <c r="N119" s="95">
        <f>IF('Staging Table'!C121=1,"",IF(M119=0, 0, L119/M119))</f>
        <v>34.830030261452158</v>
      </c>
      <c r="O119" s="211">
        <f>'Staging Table'!BS121*Rates_current!$E$76*100*12</f>
        <v>10179698.08881147</v>
      </c>
      <c r="P119" s="211">
        <f>'Staging Table'!BS121*Rates_current!$E$77*100*12</f>
        <v>-1680692.5805887752</v>
      </c>
      <c r="Q119" s="212">
        <f>SUMPRODUCT('Staging Table'!BY121:CV121, LS_Demand_Rates_Restatement!$C$5:$Z$5)-IF(Init!$R$12="No",('Staging Table'!DU121*Rates_current!$H$34), 0)</f>
        <v>-149063.55777917296</v>
      </c>
      <c r="R119" s="212">
        <f>SUMPRODUCT('Staging Table'!CW121:DH121, LS_Demand_Rates_Restatement!$C$11:$N$11)*1000</f>
        <v>400495.48145792389</v>
      </c>
      <c r="S119" s="213">
        <f>'Staging Table'!ED121*IF(Init!$R$15="Yes",IF(Init!$R$6=2022,Rates_current!$C$88,Rates_current!$D$88),Rates_current!$H$33)</f>
        <v>0</v>
      </c>
      <c r="T119" s="213">
        <v>0</v>
      </c>
      <c r="U119" s="213">
        <f>IF('Staging Table'!D121=1, 'Staging Table'!BU121*-1*'Staging Table'!BS121/'Staging Table'!BR121,SUM(O119:T119)*'Staging Table'!BU121*-1)</f>
        <v>-298546.13598751713</v>
      </c>
      <c r="V119" s="211">
        <f>'Staging Table'!BX121*Rates_current!$H$32*-1</f>
        <v>-482544.66769999999</v>
      </c>
      <c r="W119" s="211">
        <f>IF('Staging Table'!C121=1,"", SUM(O119:V119))</f>
        <v>7969346.628213929</v>
      </c>
      <c r="X119" s="211">
        <f>IF('Staging Table'!C121=1,"", (RT1SC!$C$4*'Staging Table'!BS121*'Staging Table'!$BS$2)+SUM('Staging Table'!BY121:CV121)-IF(Init!$R$12="No",'Staging Table'!DU121, 0))</f>
        <v>250492.19999999998</v>
      </c>
      <c r="Y119" s="95">
        <f>IF('Staging Table'!C121=1,"",IF(X119=0, 0, W119/X119))</f>
        <v>31.814749633776739</v>
      </c>
      <c r="Z119" s="87">
        <f ca="1">IF('Staging Table'!C121=1,"",(Y119/N119-1)+(RAND()/100000000000000))</f>
        <v>-8.6571289345457006E-2</v>
      </c>
      <c r="AA119" s="53">
        <f t="shared" ca="1" si="1"/>
        <v>114</v>
      </c>
      <c r="AC119" s="421"/>
      <c r="AD119" s="216"/>
      <c r="AE119" s="216"/>
      <c r="AG119" s="216"/>
      <c r="AH119" s="216"/>
    </row>
    <row r="120" spans="2:34">
      <c r="B120" s="135">
        <v>10406</v>
      </c>
      <c r="C120" s="136" t="s">
        <v>123</v>
      </c>
      <c r="D120" s="211">
        <f>IF(Init!$R$9="Yes",'Staging Table'!F122,'Staging Table'!BS122)*Rates_previous!$E$76*100*12</f>
        <v>154245.46764000002</v>
      </c>
      <c r="E120" s="211">
        <f>IF(Init!$R$9="Yes",'Staging Table'!F122,'Staging Table'!BS122)*Rates_previous!$E$77*100*12</f>
        <v>-15604.426200000002</v>
      </c>
      <c r="F120" s="212">
        <f>IF(Init!$R$9="Yes",SUMPRODUCT('Staging Table'!L122:AI122,LS_Demand_Rates_Restatement!$C$4:$Z$4)-IF(Init!$R$12="No",('Staging Table'!BH122*Rates_previous!$H$34), 0),SUMPRODUCT('Staging Table'!BY122:CV122,LS_Demand_Rates_Restatement!$C$4:$Z$4)-IF(Init!$R$12="No", 'Staging Table'!DU122*Rates_previous!$H$34, 0))</f>
        <v>3916.8532744467739</v>
      </c>
      <c r="G120" s="212">
        <f>IF(Init!$R$9="Yes",SUMPRODUCT('Staging Table'!AJ122:AU122,LS_Demand_Rates_Restatement!$C$10:$N$10),SUMPRODUCT(LS_Demand_Rates_Restatement!$C$10:$N$10,'Staging Table'!CW122:DH122))*1000</f>
        <v>9309.4015690883189</v>
      </c>
      <c r="H120" s="213">
        <f>IF(Init!$R$9="Yes",'Staging Table'!BQ122,'Staging Table'!ED122)*IF(Init!$R$3=2020,Rates_previous!$C$88,Rates_previous!$D$88)</f>
        <v>0</v>
      </c>
      <c r="I120" s="211">
        <f>IF(Init!$R$9="Yes",IF('Staging Table'!$F$1=2020,(SUM('Staging Table'!AX122:BD122)*Rates_previous!$C$87),(SUM('Staging Table'!AX122:BD122)*Rates_previous!$D$87)),IF('Staging Table'!$F$1=2020,(SUM('Staging Table'!DK122:DQ122)*Rates_previous!$C$87),(SUM('Staging Table'!DK122:DQ122)*Rates_previous!$D$87)))</f>
        <v>1892.1533034031656</v>
      </c>
      <c r="J120" s="213">
        <f>IF(Init!$R$9="Yes",IF('Staging Table'!D122=1,'Staging Table'!H122*-1*'Staging Table'!BS122/'Staging Table'!BR122,'Staging Table'!H122*SUM(D120:I120)*(-1)),IF('Staging Table'!D122=1,'Staging Table'!BU122*-1*'Staging Table'!BS122/'Staging Table'!BR122,'Staging Table'!BU122*SUM(D120:I120)*(-1)))</f>
        <v>0</v>
      </c>
      <c r="K120" s="211">
        <f>IF(Init!$R$9="Yes",'Staging Table'!K122,'Staging Table'!BX122)*(-1)*Rates_previous!$H$32</f>
        <v>0</v>
      </c>
      <c r="L120" s="211">
        <f>IF('Staging Table'!C122=1,"",SUM(D120:K120))</f>
        <v>153759.44958693825</v>
      </c>
      <c r="M120" s="211">
        <f>IF('Staging Table'!C122=1,"",IF(Init!$R$9="Yes",(RT1SC!$C$3*'Staging Table'!F122*'Staging Table'!$F$2)+SUM('Staging Table'!L122:AI122)-IF(Init!$R$12="No",'Staging Table'!BH122, 0),X120))</f>
        <v>4005.5040000000004</v>
      </c>
      <c r="N120" s="95">
        <f>IF('Staging Table'!C122=1,"",IF(M120=0, 0, L120/M120))</f>
        <v>38.387041827180362</v>
      </c>
      <c r="O120" s="211">
        <f>'Staging Table'!BS122*Rates_current!$E$76*100*12</f>
        <v>155636.7419642075</v>
      </c>
      <c r="P120" s="211">
        <f>'Staging Table'!BS122*Rates_current!$E$77*100*12</f>
        <v>-25695.999547742351</v>
      </c>
      <c r="Q120" s="212">
        <f>SUMPRODUCT('Staging Table'!BY122:CV122, LS_Demand_Rates_Restatement!$C$5:$Z$5)-IF(Init!$R$12="No",('Staging Table'!DU122*Rates_current!$H$34), 0)</f>
        <v>3880.4481451715401</v>
      </c>
      <c r="R120" s="212">
        <f>SUMPRODUCT('Staging Table'!CW122:DH122, LS_Demand_Rates_Restatement!$C$11:$N$11)*1000</f>
        <v>8172.5408333333344</v>
      </c>
      <c r="S120" s="213">
        <f>'Staging Table'!ED122*IF(Init!$R$15="Yes",IF(Init!$R$6=2022,Rates_current!$C$88,Rates_current!$D$88),Rates_current!$H$33)</f>
        <v>0</v>
      </c>
      <c r="T120" s="213">
        <v>0</v>
      </c>
      <c r="U120" s="213">
        <f>IF('Staging Table'!D122=1, 'Staging Table'!BU122*-1*'Staging Table'!BS122/'Staging Table'!BR122,SUM(O120:T120)*'Staging Table'!BU122*-1)</f>
        <v>0</v>
      </c>
      <c r="V120" s="211">
        <f>'Staging Table'!BX122*Rates_current!$H$32*-1</f>
        <v>0</v>
      </c>
      <c r="W120" s="211">
        <f>IF('Staging Table'!C122=1,"", SUM(O120:V120))</f>
        <v>141993.73139497003</v>
      </c>
      <c r="X120" s="211">
        <f>IF('Staging Table'!C122=1,"", (RT1SC!$C$4*'Staging Table'!BS122*'Staging Table'!$BS$2)+SUM('Staging Table'!BY122:CV122)-IF(Init!$R$12="No",'Staging Table'!DU122, 0))</f>
        <v>3828.12</v>
      </c>
      <c r="Y120" s="95">
        <f>IF('Staging Table'!C122=1,"",IF(X120=0, 0, W120/X120))</f>
        <v>37.092288484940397</v>
      </c>
      <c r="Z120" s="87">
        <f ca="1">IF('Staging Table'!C122=1,"",(Y120/N120-1)+(RAND()/100000000000000))</f>
        <v>-3.3728916858684607E-2</v>
      </c>
      <c r="AA120" s="53">
        <f t="shared" ca="1" si="1"/>
        <v>29</v>
      </c>
      <c r="AC120" s="421"/>
      <c r="AD120" s="216"/>
      <c r="AE120" s="216"/>
      <c r="AG120" s="216"/>
      <c r="AH120" s="216"/>
    </row>
    <row r="121" spans="2:34">
      <c r="B121" s="135">
        <v>10408</v>
      </c>
      <c r="C121" s="136" t="s">
        <v>124</v>
      </c>
      <c r="D121" s="211">
        <f>IF(Init!$R$9="Yes",'Staging Table'!F123,'Staging Table'!BS123)*Rates_previous!$E$76*100*12</f>
        <v>502664.35140000004</v>
      </c>
      <c r="E121" s="211">
        <f>IF(Init!$R$9="Yes",'Staging Table'!F123,'Staging Table'!BS123)*Rates_previous!$E$77*100*12</f>
        <v>-50852.637000000002</v>
      </c>
      <c r="F121" s="212">
        <f>IF(Init!$R$9="Yes",SUMPRODUCT('Staging Table'!L123:AI123,LS_Demand_Rates_Restatement!$C$4:$Z$4)-IF(Init!$R$12="No",('Staging Table'!BH123*Rates_previous!$H$34), 0),SUMPRODUCT('Staging Table'!BY123:CV123,LS_Demand_Rates_Restatement!$C$4:$Z$4)-IF(Init!$R$12="No", 'Staging Table'!DU123*Rates_previous!$H$34, 0))</f>
        <v>4722.5122908782832</v>
      </c>
      <c r="G121" s="212">
        <f>IF(Init!$R$9="Yes",SUMPRODUCT('Staging Table'!AJ123:AU123,LS_Demand_Rates_Restatement!$C$10:$N$10),SUMPRODUCT(LS_Demand_Rates_Restatement!$C$10:$N$10,'Staging Table'!CW123:DH123))*1000</f>
        <v>27958.364312927359</v>
      </c>
      <c r="H121" s="213">
        <f>IF(Init!$R$9="Yes",'Staging Table'!BQ123,'Staging Table'!ED123)*IF(Init!$R$3=2020,Rates_previous!$C$88,Rates_previous!$D$88)</f>
        <v>4539.39551999999</v>
      </c>
      <c r="I121" s="211">
        <f>IF(Init!$R$9="Yes",IF('Staging Table'!$F$1=2020,(SUM('Staging Table'!AX123:BD123)*Rates_previous!$C$87),(SUM('Staging Table'!AX123:BD123)*Rates_previous!$D$87)),IF('Staging Table'!$F$1=2020,(SUM('Staging Table'!DK123:DQ123)*Rates_previous!$C$87),(SUM('Staging Table'!DK123:DQ123)*Rates_previous!$D$87)))</f>
        <v>6166.2623061597751</v>
      </c>
      <c r="J121" s="213">
        <f>IF(Init!$R$9="Yes",IF('Staging Table'!D123=1,'Staging Table'!H123*-1*'Staging Table'!BS123/'Staging Table'!BR123,'Staging Table'!H123*SUM(D121:I121)*(-1)),IF('Staging Table'!D123=1,'Staging Table'!BU123*-1*'Staging Table'!BS123/'Staging Table'!BR123,'Staging Table'!BU123*SUM(D121:I121)*(-1)))</f>
        <v>0</v>
      </c>
      <c r="K121" s="211">
        <f>IF(Init!$R$9="Yes",'Staging Table'!K123,'Staging Table'!BX123)*(-1)*Rates_previous!$H$32</f>
        <v>0</v>
      </c>
      <c r="L121" s="211">
        <f>IF('Staging Table'!C123=1,"",SUM(D121:K121))</f>
        <v>495198.24882996542</v>
      </c>
      <c r="M121" s="211">
        <f>IF('Staging Table'!C123=1,"",IF(Init!$R$9="Yes",(RT1SC!$C$3*'Staging Table'!F123*'Staging Table'!$F$2)+SUM('Staging Table'!L123:AI123)-IF(Init!$R$12="No",'Staging Table'!BH123, 0),X121))</f>
        <v>13342.895999999999</v>
      </c>
      <c r="N121" s="95">
        <f>IF('Staging Table'!C123=1,"",IF(M121=0, 0, L121/M121))</f>
        <v>37.113251038602527</v>
      </c>
      <c r="O121" s="211">
        <f>'Staging Table'!BS123*Rates_current!$E$76*100*12</f>
        <v>518709.20318733552</v>
      </c>
      <c r="P121" s="211">
        <f>'Staging Table'!BS123*Rates_current!$E$77*100*12</f>
        <v>-85640.134085927129</v>
      </c>
      <c r="Q121" s="212">
        <f>SUMPRODUCT('Staging Table'!BY123:CV123, LS_Demand_Rates_Restatement!$C$5:$Z$5)-IF(Init!$R$12="No",('Staging Table'!DU123*Rates_current!$H$34), 0)</f>
        <v>-1260.8363926052189</v>
      </c>
      <c r="R121" s="212">
        <f>SUMPRODUCT('Staging Table'!CW123:DH123, LS_Demand_Rates_Restatement!$C$11:$N$11)*1000</f>
        <v>25365.975915500367</v>
      </c>
      <c r="S121" s="213">
        <f>'Staging Table'!ED123*IF(Init!$R$15="Yes",IF(Init!$R$6=2022,Rates_current!$C$88,Rates_current!$D$88),Rates_current!$H$33)</f>
        <v>0</v>
      </c>
      <c r="T121" s="213">
        <v>0</v>
      </c>
      <c r="U121" s="213">
        <f>IF('Staging Table'!D123=1, 'Staging Table'!BU123*-1*'Staging Table'!BS123/'Staging Table'!BR123,SUM(O121:T121)*'Staging Table'!BU123*-1)</f>
        <v>0</v>
      </c>
      <c r="V121" s="211">
        <f>'Staging Table'!BX123*Rates_current!$H$32*-1</f>
        <v>0</v>
      </c>
      <c r="W121" s="211">
        <f>IF('Staging Table'!C123=1,"", SUM(O121:V121))</f>
        <v>457174.20862430352</v>
      </c>
      <c r="X121" s="211">
        <f>IF('Staging Table'!C123=1,"", (RT1SC!$C$4*'Staging Table'!BS123*'Staging Table'!$BS$2)+SUM('Staging Table'!BY123:CV123)-IF(Init!$R$12="No",'Staging Table'!DU123, 0))</f>
        <v>12763.320000000002</v>
      </c>
      <c r="Y121" s="95">
        <f>IF('Staging Table'!C123=1,"",IF(X121=0, 0, W121/X121))</f>
        <v>35.819379959470062</v>
      </c>
      <c r="Z121" s="87">
        <f ca="1">IF('Staging Table'!C123=1,"",(Y121/N121-1)+(RAND()/100000000000000))</f>
        <v>-3.4862779274892092E-2</v>
      </c>
      <c r="AA121" s="53">
        <f t="shared" ca="1" si="1"/>
        <v>36</v>
      </c>
      <c r="AC121" s="421"/>
      <c r="AD121" s="216"/>
      <c r="AE121" s="216"/>
      <c r="AG121" s="216"/>
      <c r="AH121" s="216"/>
    </row>
    <row r="122" spans="2:34">
      <c r="B122" s="135">
        <v>10409</v>
      </c>
      <c r="C122" s="136" t="s">
        <v>125</v>
      </c>
      <c r="D122" s="211">
        <f>IF(Init!$R$9="Yes",'Staging Table'!F124,'Staging Table'!BS124)*Rates_previous!$E$76*100*12</f>
        <v>6601896.1480800007</v>
      </c>
      <c r="E122" s="211">
        <f>IF(Init!$R$9="Yes",'Staging Table'!F124,'Staging Table'!BS124)*Rates_previous!$E$77*100*12</f>
        <v>-667888.6764</v>
      </c>
      <c r="F122" s="212">
        <f>IF(Init!$R$9="Yes",SUMPRODUCT('Staging Table'!L124:AI124,LS_Demand_Rates_Restatement!$C$4:$Z$4)-IF(Init!$R$12="No",('Staging Table'!BH124*Rates_previous!$H$34), 0),SUMPRODUCT('Staging Table'!BY124:CV124,LS_Demand_Rates_Restatement!$C$4:$Z$4)-IF(Init!$R$12="No", 'Staging Table'!DU124*Rates_previous!$H$34, 0))</f>
        <v>141703.27410025091</v>
      </c>
      <c r="G122" s="212">
        <f>IF(Init!$R$9="Yes",SUMPRODUCT('Staging Table'!AJ124:AU124,LS_Demand_Rates_Restatement!$C$10:$N$10),SUMPRODUCT(LS_Demand_Rates_Restatement!$C$10:$N$10,'Staging Table'!CW124:DH124))*1000</f>
        <v>269250.4900979345</v>
      </c>
      <c r="H122" s="213">
        <f>IF(Init!$R$9="Yes",'Staging Table'!BQ124,'Staging Table'!ED124)*IF(Init!$R$3=2020,Rates_previous!$C$88,Rates_previous!$D$88)</f>
        <v>110045.95199999973</v>
      </c>
      <c r="I122" s="211">
        <f>IF(Init!$R$9="Yes",IF('Staging Table'!$F$1=2020,(SUM('Staging Table'!AX124:BD124)*Rates_previous!$C$87),(SUM('Staging Table'!AX124:BD124)*Rates_previous!$D$87)),IF('Staging Table'!$F$1=2020,(SUM('Staging Table'!DK124:DQ124)*Rates_previous!$C$87),(SUM('Staging Table'!DK124:DQ124)*Rates_previous!$D$87)))</f>
        <v>80986.493778017146</v>
      </c>
      <c r="J122" s="213">
        <f>IF(Init!$R$9="Yes",IF('Staging Table'!D124=1,'Staging Table'!H124*-1*'Staging Table'!BS124/'Staging Table'!BR124,'Staging Table'!H124*SUM(D122:I122)*(-1)),IF('Staging Table'!D124=1,'Staging Table'!BU124*-1*'Staging Table'!BS124/'Staging Table'!BR124,'Staging Table'!BU124*SUM(D122:I122)*(-1)))</f>
        <v>0</v>
      </c>
      <c r="K122" s="211">
        <f>IF(Init!$R$9="Yes",'Staging Table'!K124,'Staging Table'!BX124)*(-1)*Rates_previous!$H$32</f>
        <v>0</v>
      </c>
      <c r="L122" s="211">
        <f>IF('Staging Table'!C124=1,"",SUM(D122:K122))</f>
        <v>6535993.6816562023</v>
      </c>
      <c r="M122" s="211">
        <f>IF('Staging Table'!C124=1,"",IF(Init!$R$9="Yes",(RT1SC!$C$3*'Staging Table'!F124*'Staging Table'!$F$2)+SUM('Staging Table'!L124:AI124)-IF(Init!$R$12="No",'Staging Table'!BH124, 0),X122))</f>
        <v>178429.39199999999</v>
      </c>
      <c r="N122" s="95">
        <f>IF('Staging Table'!C124=1,"",IF(M122=0, 0, L122/M122))</f>
        <v>36.630700852560224</v>
      </c>
      <c r="O122" s="211">
        <f>'Staging Table'!BS124*Rates_current!$E$76*100*12</f>
        <v>6934827.8954097871</v>
      </c>
      <c r="P122" s="211">
        <f>'Staging Table'!BS124*Rates_current!$E$77*100*12</f>
        <v>-1144956.7256111144</v>
      </c>
      <c r="Q122" s="212">
        <f>SUMPRODUCT('Staging Table'!BY124:CV124, LS_Demand_Rates_Restatement!$C$5:$Z$5)-IF(Init!$R$12="No",('Staging Table'!DU124*Rates_current!$H$34), 0)</f>
        <v>-879054.47050877998</v>
      </c>
      <c r="R122" s="212">
        <f>SUMPRODUCT('Staging Table'!CW124:DH124, LS_Demand_Rates_Restatement!$C$11:$N$11)*1000</f>
        <v>250189.73881379992</v>
      </c>
      <c r="S122" s="213">
        <f>'Staging Table'!ED124*IF(Init!$R$15="Yes",IF(Init!$R$6=2022,Rates_current!$C$88,Rates_current!$D$88),Rates_current!$H$33)</f>
        <v>0</v>
      </c>
      <c r="T122" s="213">
        <v>0</v>
      </c>
      <c r="U122" s="213">
        <f>IF('Staging Table'!D124=1, 'Staging Table'!BU124*-1*'Staging Table'!BS124/'Staging Table'!BR124,SUM(O122:T122)*'Staging Table'!BU124*-1)</f>
        <v>0</v>
      </c>
      <c r="V122" s="211">
        <f>'Staging Table'!BX124*Rates_current!$H$32*-1</f>
        <v>0</v>
      </c>
      <c r="W122" s="211">
        <f>IF('Staging Table'!C124=1,"", SUM(O122:V122))</f>
        <v>5161006.4381036917</v>
      </c>
      <c r="X122" s="211">
        <f>IF('Staging Table'!C124=1,"", (RT1SC!$C$4*'Staging Table'!BS124*'Staging Table'!$BS$2)+SUM('Staging Table'!BY124:CV124)-IF(Init!$R$12="No",'Staging Table'!DU124, 0))</f>
        <v>139239.65272931039</v>
      </c>
      <c r="Y122" s="95">
        <f>IF('Staging Table'!C124=1,"",IF(X122=0, 0, W122/X122))</f>
        <v>37.065637100783171</v>
      </c>
      <c r="Z122" s="87">
        <f ca="1">IF('Staging Table'!C124=1,"",(Y122/N122-1)+(RAND()/100000000000000))</f>
        <v>1.187354427024506E-2</v>
      </c>
      <c r="AA122" s="53">
        <f t="shared" ca="1" si="1"/>
        <v>1</v>
      </c>
      <c r="AC122" s="421"/>
      <c r="AD122" s="216"/>
      <c r="AE122" s="216"/>
      <c r="AG122" s="216"/>
      <c r="AH122" s="216"/>
    </row>
    <row r="123" spans="2:34">
      <c r="B123" s="135">
        <v>10426</v>
      </c>
      <c r="C123" s="136" t="s">
        <v>126</v>
      </c>
      <c r="D123" s="211">
        <f>IF(Init!$R$9="Yes",'Staging Table'!F125,'Staging Table'!BS125)*Rates_previous!$E$76*100*12</f>
        <v>10346329.649879999</v>
      </c>
      <c r="E123" s="211">
        <f>IF(Init!$R$9="Yes",'Staging Table'!F125,'Staging Table'!BS125)*Rates_previous!$E$77*100*12</f>
        <v>-1046698.7453999999</v>
      </c>
      <c r="F123" s="212">
        <f>IF(Init!$R$9="Yes",SUMPRODUCT('Staging Table'!L125:AI125,LS_Demand_Rates_Restatement!$C$4:$Z$4)-IF(Init!$R$12="No",('Staging Table'!BH125*Rates_previous!$H$34), 0),SUMPRODUCT('Staging Table'!BY125:CV125,LS_Demand_Rates_Restatement!$C$4:$Z$4)-IF(Init!$R$12="No", 'Staging Table'!DU125*Rates_previous!$H$34, 0))</f>
        <v>-2445753.5373095647</v>
      </c>
      <c r="G123" s="212">
        <f>IF(Init!$R$9="Yes",SUMPRODUCT('Staging Table'!AJ125:AU125,LS_Demand_Rates_Restatement!$C$10:$N$10),SUMPRODUCT(LS_Demand_Rates_Restatement!$C$10:$N$10,'Staging Table'!CW125:DH125))*1000</f>
        <v>622388.03468379623</v>
      </c>
      <c r="H123" s="213">
        <f>IF(Init!$R$9="Yes",'Staging Table'!BQ125,'Staging Table'!ED125)*IF(Init!$R$3=2020,Rates_previous!$C$88,Rates_previous!$D$88)</f>
        <v>-2036517.4459520767</v>
      </c>
      <c r="I123" s="211">
        <f>IF(Init!$R$9="Yes",IF('Staging Table'!$F$1=2020,(SUM('Staging Table'!AX125:BD125)*Rates_previous!$C$87),(SUM('Staging Table'!AX125:BD125)*Rates_previous!$D$87)),IF('Staging Table'!$F$1=2020,(SUM('Staging Table'!DK125:DQ125)*Rates_previous!$C$87),(SUM('Staging Table'!DK125:DQ125)*Rates_previous!$D$87)))</f>
        <v>126920.04585061634</v>
      </c>
      <c r="J123" s="213">
        <f>IF(Init!$R$9="Yes",IF('Staging Table'!D125=1,'Staging Table'!H125*-1*'Staging Table'!BS125/'Staging Table'!BR125,'Staging Table'!H125*SUM(D123:I123)*(-1)),IF('Staging Table'!D125=1,'Staging Table'!BU125*-1*'Staging Table'!BS125/'Staging Table'!BR125,'Staging Table'!BU125*SUM(D123:I123)*(-1)))</f>
        <v>0</v>
      </c>
      <c r="K123" s="211">
        <f>IF(Init!$R$9="Yes",'Staging Table'!K125,'Staging Table'!BX125)*(-1)*Rates_previous!$H$32</f>
        <v>0</v>
      </c>
      <c r="L123" s="211">
        <f>IF('Staging Table'!C125=1,"",SUM(D123:K123))</f>
        <v>5566668.0017527705</v>
      </c>
      <c r="M123" s="211">
        <f>IF('Staging Table'!C125=1,"",IF(Init!$R$9="Yes",(RT1SC!$C$3*'Staging Table'!F125*'Staging Table'!$F$2)+SUM('Staging Table'!L125:AI125)-IF(Init!$R$12="No",'Staging Table'!BH125, 0),X123))</f>
        <v>138568.90608224284</v>
      </c>
      <c r="N123" s="95">
        <f>IF('Staging Table'!C125=1,"",IF(M123=0, 0, L123/M123))</f>
        <v>40.172562222933799</v>
      </c>
      <c r="O123" s="211">
        <f>'Staging Table'!BS125*Rates_current!$E$76*100*12</f>
        <v>5831941.3371765204</v>
      </c>
      <c r="P123" s="211">
        <f>'Staging Table'!BS125*Rates_current!$E$77*100*12</f>
        <v>-962867.50847695861</v>
      </c>
      <c r="Q123" s="212">
        <f>SUMPRODUCT('Staging Table'!BY125:CV125, LS_Demand_Rates_Restatement!$C$5:$Z$5)-IF(Init!$R$12="No",('Staging Table'!DU125*Rates_current!$H$34), 0)</f>
        <v>-57847.181854225746</v>
      </c>
      <c r="R123" s="212">
        <f>SUMPRODUCT('Staging Table'!CW125:DH125, LS_Demand_Rates_Restatement!$C$11:$N$11)*1000</f>
        <v>577743.49495268892</v>
      </c>
      <c r="S123" s="213">
        <f>'Staging Table'!ED125*IF(Init!$R$15="Yes",IF(Init!$R$6=2022,Rates_current!$C$88,Rates_current!$D$88),Rates_current!$H$33)</f>
        <v>-30167.615786265822</v>
      </c>
      <c r="T123" s="213">
        <v>0</v>
      </c>
      <c r="U123" s="213">
        <f>IF('Staging Table'!D125=1, 'Staging Table'!BU125*-1*'Staging Table'!BS125/'Staging Table'!BR125,SUM(O123:T123)*'Staging Table'!BU125*-1)</f>
        <v>0</v>
      </c>
      <c r="V123" s="211">
        <f>'Staging Table'!BX125*Rates_current!$H$32*-1</f>
        <v>0</v>
      </c>
      <c r="W123" s="211">
        <f>IF('Staging Table'!C125=1,"", SUM(O123:V123))</f>
        <v>5358802.5260117594</v>
      </c>
      <c r="X123" s="211">
        <f>IF('Staging Table'!C125=1,"", (RT1SC!$C$4*'Staging Table'!BS125*'Staging Table'!$BS$2)+SUM('Staging Table'!BY125:CV125)-IF(Init!$R$12="No",'Staging Table'!DU125, 0))</f>
        <v>138568.9033410367</v>
      </c>
      <c r="Y123" s="95">
        <f>IF('Staging Table'!C125=1,"",IF(X123=0, 0, W123/X123))</f>
        <v>38.672475546862245</v>
      </c>
      <c r="Z123" s="87">
        <f ca="1">IF('Staging Table'!C125=1,"",(Y123/N123-1)+(RAND()/100000000000000))</f>
        <v>-3.7341075427223605E-2</v>
      </c>
      <c r="AA123" s="53">
        <f t="shared" ca="1" si="1"/>
        <v>66</v>
      </c>
      <c r="AC123" s="421"/>
      <c r="AD123" s="216"/>
      <c r="AE123" s="216"/>
      <c r="AG123" s="216"/>
      <c r="AH123" s="216"/>
    </row>
    <row r="124" spans="2:34">
      <c r="B124" s="135">
        <v>10434</v>
      </c>
      <c r="C124" s="136" t="s">
        <v>127</v>
      </c>
      <c r="D124" s="211">
        <f>IF(Init!$R$9="Yes",'Staging Table'!F126,'Staging Table'!BS126)*Rates_previous!$E$76*100*12</f>
        <v>9139459.8738000002</v>
      </c>
      <c r="E124" s="211">
        <f>IF(Init!$R$9="Yes",'Staging Table'!F126,'Staging Table'!BS126)*Rates_previous!$E$77*100*12</f>
        <v>-924604.32900000014</v>
      </c>
      <c r="F124" s="212">
        <f>IF(Init!$R$9="Yes",SUMPRODUCT('Staging Table'!L126:AI126,LS_Demand_Rates_Restatement!$C$4:$Z$4)-IF(Init!$R$12="No",('Staging Table'!BH126*Rates_previous!$H$34), 0),SUMPRODUCT('Staging Table'!BY126:CV126,LS_Demand_Rates_Restatement!$C$4:$Z$4)-IF(Init!$R$12="No", 'Staging Table'!DU126*Rates_previous!$H$34, 0))</f>
        <v>-197225.93416852804</v>
      </c>
      <c r="G124" s="212">
        <f>IF(Init!$R$9="Yes",SUMPRODUCT('Staging Table'!AJ126:AU126,LS_Demand_Rates_Restatement!$C$10:$N$10),SUMPRODUCT(LS_Demand_Rates_Restatement!$C$10:$N$10,'Staging Table'!CW126:DH126))*1000</f>
        <v>591229.61530409555</v>
      </c>
      <c r="H124" s="213">
        <f>IF(Init!$R$9="Yes",'Staging Table'!BQ126,'Staging Table'!ED126)*IF(Init!$R$3=2020,Rates_previous!$C$88,Rates_previous!$D$88)</f>
        <v>-102797.11172925225</v>
      </c>
      <c r="I124" s="211">
        <f>IF(Init!$R$9="Yes",IF('Staging Table'!$F$1=2020,(SUM('Staging Table'!AX126:BD126)*Rates_previous!$C$87),(SUM('Staging Table'!AX126:BD126)*Rates_previous!$D$87)),IF('Staging Table'!$F$1=2020,(SUM('Staging Table'!DK126:DQ126)*Rates_previous!$C$87),(SUM('Staging Table'!DK126:DQ126)*Rates_previous!$D$87)))</f>
        <v>112115.18533492867</v>
      </c>
      <c r="J124" s="213">
        <f>IF(Init!$R$9="Yes",IF('Staging Table'!D126=1,'Staging Table'!H126*-1*'Staging Table'!BS126/'Staging Table'!BR126,'Staging Table'!H126*SUM(D124:I124)*(-1)),IF('Staging Table'!D126=1,'Staging Table'!BU126*-1*'Staging Table'!BS126/'Staging Table'!BR126,'Staging Table'!BU126*SUM(D124:I124)*(-1)))</f>
        <v>0</v>
      </c>
      <c r="K124" s="211">
        <f>IF(Init!$R$9="Yes",'Staging Table'!K126,'Staging Table'!BX126)*(-1)*Rates_previous!$H$32</f>
        <v>0</v>
      </c>
      <c r="L124" s="211">
        <f>IF('Staging Table'!C126=1,"",SUM(D124:K124))</f>
        <v>8618177.2995412424</v>
      </c>
      <c r="M124" s="211">
        <f>IF('Staging Table'!C126=1,"",IF(Init!$R$9="Yes",(RT1SC!$C$3*'Staging Table'!F126*'Staging Table'!$F$2)+SUM('Staging Table'!L126:AI126)-IF(Init!$R$12="No",'Staging Table'!BH126, 0),X124))</f>
        <v>219518.28090617803</v>
      </c>
      <c r="N124" s="95">
        <f>IF('Staging Table'!C126=1,"",IF(M124=0, 0, L124/M124))</f>
        <v>39.259497040361055</v>
      </c>
      <c r="O124" s="211">
        <f>'Staging Table'!BS126*Rates_current!$E$76*100*12</f>
        <v>9221896.6290194131</v>
      </c>
      <c r="P124" s="211">
        <f>'Staging Table'!BS126*Rates_current!$E$77*100*12</f>
        <v>-1522557.2613381082</v>
      </c>
      <c r="Q124" s="212">
        <f>SUMPRODUCT('Staging Table'!BY126:CV126, LS_Demand_Rates_Restatement!$C$5:$Z$5)-IF(Init!$R$12="No",('Staging Table'!DU126*Rates_current!$H$34), 0)</f>
        <v>-97889.218358517988</v>
      </c>
      <c r="R124" s="212">
        <f>SUMPRODUCT('Staging Table'!CW126:DH126, LS_Demand_Rates_Restatement!$C$11:$N$11)*1000</f>
        <v>558963.35051071935</v>
      </c>
      <c r="S124" s="213">
        <f>'Staging Table'!ED126*IF(Init!$R$15="Yes",IF(Init!$R$6=2022,Rates_current!$C$88,Rates_current!$D$88),Rates_current!$H$33)</f>
        <v>0</v>
      </c>
      <c r="T124" s="213">
        <v>0</v>
      </c>
      <c r="U124" s="213">
        <f>IF('Staging Table'!D126=1, 'Staging Table'!BU126*-1*'Staging Table'!BS126/'Staging Table'!BR126,SUM(O124:T124)*'Staging Table'!BU126*-1)</f>
        <v>0</v>
      </c>
      <c r="V124" s="211">
        <f>'Staging Table'!BX126*Rates_current!$H$32*-1</f>
        <v>0</v>
      </c>
      <c r="W124" s="211">
        <f>IF('Staging Table'!C126=1,"", SUM(O124:V124))</f>
        <v>8160413.4998335065</v>
      </c>
      <c r="X124" s="211">
        <f>IF('Staging Table'!C126=1,"", (RT1SC!$C$4*'Staging Table'!BS126*'Staging Table'!$BS$2)+SUM('Staging Table'!BY126:CV126)-IF(Init!$R$12="No",'Staging Table'!DU126, 0))</f>
        <v>218322.48360818974</v>
      </c>
      <c r="Y124" s="95">
        <f>IF('Staging Table'!C126=1,"",IF(X124=0, 0, W124/X124))</f>
        <v>37.377797123627957</v>
      </c>
      <c r="Z124" s="87">
        <f ca="1">IF('Staging Table'!C126=1,"",(Y124/N124-1)+(RAND()/100000000000000))</f>
        <v>-4.792980192279582E-2</v>
      </c>
      <c r="AA124" s="53">
        <f t="shared" ca="1" si="1"/>
        <v>105</v>
      </c>
      <c r="AC124" s="421"/>
      <c r="AD124" s="216"/>
      <c r="AE124" s="216"/>
      <c r="AG124" s="216"/>
      <c r="AH124" s="216"/>
    </row>
    <row r="125" spans="2:34">
      <c r="B125" s="135">
        <v>10436</v>
      </c>
      <c r="C125" s="136" t="s">
        <v>128</v>
      </c>
      <c r="D125" s="211">
        <f>IF(Init!$R$9="Yes",'Staging Table'!F127,'Staging Table'!BS127)*Rates_previous!$E$76*100*12</f>
        <v>6445749.3495599991</v>
      </c>
      <c r="E125" s="211">
        <f>IF(Init!$R$9="Yes",'Staging Table'!F127,'Staging Table'!BS127)*Rates_previous!$E$77*100*12</f>
        <v>-652091.89980000001</v>
      </c>
      <c r="F125" s="212">
        <f>IF(Init!$R$9="Yes",SUMPRODUCT('Staging Table'!L127:AI127,LS_Demand_Rates_Restatement!$C$4:$Z$4)-IF(Init!$R$12="No",('Staging Table'!BH127*Rates_previous!$H$34), 0),SUMPRODUCT('Staging Table'!BY127:CV127,LS_Demand_Rates_Restatement!$C$4:$Z$4)-IF(Init!$R$12="No", 'Staging Table'!DU127*Rates_previous!$H$34, 0))</f>
        <v>-81297.877168344392</v>
      </c>
      <c r="G125" s="212">
        <f>IF(Init!$R$9="Yes",SUMPRODUCT('Staging Table'!AJ127:AU127,LS_Demand_Rates_Restatement!$C$10:$N$10),SUMPRODUCT(LS_Demand_Rates_Restatement!$C$10:$N$10,'Staging Table'!CW127:DH127))*1000</f>
        <v>359467.26962407411</v>
      </c>
      <c r="H125" s="213">
        <f>IF(Init!$R$9="Yes",'Staging Table'!BQ127,'Staging Table'!ED127)*IF(Init!$R$3=2020,Rates_previous!$C$88,Rates_previous!$D$88)</f>
        <v>0</v>
      </c>
      <c r="I125" s="211">
        <f>IF(Init!$R$9="Yes",IF('Staging Table'!$F$1=2020,(SUM('Staging Table'!AX127:BD127)*Rates_previous!$C$87),(SUM('Staging Table'!AX127:BD127)*Rates_previous!$D$87)),IF('Staging Table'!$F$1=2020,(SUM('Staging Table'!DK127:DQ127)*Rates_previous!$C$87),(SUM('Staging Table'!DK127:DQ127)*Rates_previous!$D$87)))</f>
        <v>79071.016550997287</v>
      </c>
      <c r="J125" s="213">
        <f>IF(Init!$R$9="Yes",IF('Staging Table'!D127=1,'Staging Table'!H127*-1*'Staging Table'!BS127/'Staging Table'!BR127,'Staging Table'!H127*SUM(D125:I125)*(-1)),IF('Staging Table'!D127=1,'Staging Table'!BU127*-1*'Staging Table'!BS127/'Staging Table'!BR127,'Staging Table'!BU127*SUM(D125:I125)*(-1)))</f>
        <v>-476713.14878209337</v>
      </c>
      <c r="K125" s="211">
        <f>IF(Init!$R$9="Yes",'Staging Table'!K127,'Staging Table'!BX127)*(-1)*Rates_previous!$H$32</f>
        <v>-431770.7963799999</v>
      </c>
      <c r="L125" s="211">
        <f>IF('Staging Table'!C127=1,"",SUM(D125:K125))</f>
        <v>5242413.913604633</v>
      </c>
      <c r="M125" s="211">
        <f>IF('Staging Table'!C127=1,"",IF(Init!$R$9="Yes",(RT1SC!$C$3*'Staging Table'!F127*'Staging Table'!$F$2)+SUM('Staging Table'!L127:AI127)-IF(Init!$R$12="No",'Staging Table'!BH127, 0),X125))</f>
        <v>167343.984</v>
      </c>
      <c r="N125" s="95">
        <f>IF('Staging Table'!C127=1,"",IF(M125=0, 0, L125/M125))</f>
        <v>31.327172858539289</v>
      </c>
      <c r="O125" s="211">
        <f>'Staging Table'!BS127*Rates_current!$E$76*100*12</f>
        <v>6503649.3714473154</v>
      </c>
      <c r="P125" s="211">
        <f>'Staging Table'!BS127*Rates_current!$E$77*100*12</f>
        <v>-1073768.1166945649</v>
      </c>
      <c r="Q125" s="212">
        <f>SUMPRODUCT('Staging Table'!BY127:CV127, LS_Demand_Rates_Restatement!$C$5:$Z$5)-IF(Init!$R$12="No",('Staging Table'!DU127*Rates_current!$H$34), 0)</f>
        <v>-73096.319351397629</v>
      </c>
      <c r="R125" s="212">
        <f>SUMPRODUCT('Staging Table'!CW127:DH127, LS_Demand_Rates_Restatement!$C$11:$N$11)*1000</f>
        <v>326391.13739384816</v>
      </c>
      <c r="S125" s="213">
        <f>'Staging Table'!ED127*IF(Init!$R$15="Yes",IF(Init!$R$6=2022,Rates_current!$C$88,Rates_current!$D$88),Rates_current!$H$33)</f>
        <v>0</v>
      </c>
      <c r="T125" s="213">
        <v>0</v>
      </c>
      <c r="U125" s="213">
        <f>IF('Staging Table'!D127=1, 'Staging Table'!BU127*-1*'Staging Table'!BS127/'Staging Table'!BR127,SUM(O125:T125)*'Staging Table'!BU127*-1)</f>
        <v>-462322.28277990292</v>
      </c>
      <c r="V125" s="211">
        <f>'Staging Table'!BX127*Rates_current!$H$32*-1</f>
        <v>-423609.51219999994</v>
      </c>
      <c r="W125" s="211">
        <f>IF('Staging Table'!C127=1,"", SUM(O125:V125))</f>
        <v>4797244.2778152982</v>
      </c>
      <c r="X125" s="211">
        <f>IF('Staging Table'!C127=1,"", (RT1SC!$C$4*'Staging Table'!BS127*'Staging Table'!$BS$2)+SUM('Staging Table'!BY127:CV127)-IF(Init!$R$12="No",'Staging Table'!DU127, 0))</f>
        <v>160036.43999999997</v>
      </c>
      <c r="Y125" s="95">
        <f>IF('Staging Table'!C127=1,"",IF(X125=0, 0, W125/X125))</f>
        <v>29.9759497137983</v>
      </c>
      <c r="Z125" s="87">
        <f ca="1">IF('Staging Table'!C127=1,"",(Y125/N125-1)+(RAND()/100000000000000))</f>
        <v>-4.3132623261035868E-2</v>
      </c>
      <c r="AA125" s="53">
        <f t="shared" ca="1" si="1"/>
        <v>101</v>
      </c>
      <c r="AC125" s="421"/>
      <c r="AD125" s="216"/>
      <c r="AE125" s="216"/>
      <c r="AG125" s="216"/>
      <c r="AH125" s="216"/>
    </row>
    <row r="126" spans="2:34">
      <c r="B126" s="135">
        <v>10440</v>
      </c>
      <c r="C126" s="136" t="s">
        <v>129</v>
      </c>
      <c r="D126" s="211">
        <f>IF(Init!$R$9="Yes",'Staging Table'!F128,'Staging Table'!BS128)*Rates_previous!$E$76*100*12</f>
        <v>1666278.8499599998</v>
      </c>
      <c r="E126" s="211">
        <f>IF(Init!$R$9="Yes",'Staging Table'!F128,'Staging Table'!BS128)*Rates_previous!$E$77*100*12</f>
        <v>-168571.08179999999</v>
      </c>
      <c r="F126" s="212">
        <f>IF(Init!$R$9="Yes",SUMPRODUCT('Staging Table'!L128:AI128,LS_Demand_Rates_Restatement!$C$4:$Z$4)-IF(Init!$R$12="No",('Staging Table'!BH128*Rates_previous!$H$34), 0),SUMPRODUCT('Staging Table'!BY128:CV128,LS_Demand_Rates_Restatement!$C$4:$Z$4)-IF(Init!$R$12="No", 'Staging Table'!DU128*Rates_previous!$H$34, 0))</f>
        <v>48040.184841055125</v>
      </c>
      <c r="G126" s="212">
        <f>IF(Init!$R$9="Yes",SUMPRODUCT('Staging Table'!AJ128:AU128,LS_Demand_Rates_Restatement!$C$10:$N$10),SUMPRODUCT(LS_Demand_Rates_Restatement!$C$10:$N$10,'Staging Table'!CW128:DH128))*1000</f>
        <v>68213.02052264956</v>
      </c>
      <c r="H126" s="213">
        <f>IF(Init!$R$9="Yes",'Staging Table'!BQ128,'Staging Table'!ED128)*IF(Init!$R$3=2020,Rates_previous!$C$88,Rates_previous!$D$88)</f>
        <v>7428.1017600000469</v>
      </c>
      <c r="I126" s="211">
        <f>IF(Init!$R$9="Yes",IF('Staging Table'!$F$1=2020,(SUM('Staging Table'!AX128:BD128)*Rates_previous!$C$87),(SUM('Staging Table'!AX128:BD128)*Rates_previous!$D$87)),IF('Staging Table'!$F$1=2020,(SUM('Staging Table'!DK128:DQ128)*Rates_previous!$C$87),(SUM('Staging Table'!DK128:DQ128)*Rates_previous!$D$87)))</f>
        <v>20440.503559567936</v>
      </c>
      <c r="J126" s="213">
        <f>IF(Init!$R$9="Yes",IF('Staging Table'!D128=1,'Staging Table'!H128*-1*'Staging Table'!BS128/'Staging Table'!BR128,'Staging Table'!H128*SUM(D126:I126)*(-1)),IF('Staging Table'!D128=1,'Staging Table'!BU128*-1*'Staging Table'!BS128/'Staging Table'!BR128,'Staging Table'!BU128*SUM(D126:I126)*(-1)))</f>
        <v>-90300.62683637999</v>
      </c>
      <c r="K126" s="211">
        <f>IF(Init!$R$9="Yes",'Staging Table'!K128,'Staging Table'!BX128)*(-1)*Rates_previous!$H$32</f>
        <v>0</v>
      </c>
      <c r="L126" s="211">
        <f>IF('Staging Table'!C128=1,"",SUM(D126:K126))</f>
        <v>1551528.9520068925</v>
      </c>
      <c r="M126" s="211">
        <f>IF('Staging Table'!C128=1,"",IF(Init!$R$9="Yes",(RT1SC!$C$3*'Staging Table'!F128*'Staging Table'!$F$2)+SUM('Staging Table'!L128:AI128)-IF(Init!$R$12="No",'Staging Table'!BH128, 0),X126))</f>
        <v>43735.536</v>
      </c>
      <c r="N126" s="95">
        <f>IF('Staging Table'!C128=1,"",IF(M126=0, 0, L126/M126))</f>
        <v>35.47524722246213</v>
      </c>
      <c r="O126" s="211">
        <f>'Staging Table'!BS128*Rates_current!$E$76*100*12</f>
        <v>1699773.8475228085</v>
      </c>
      <c r="P126" s="211">
        <f>'Staging Table'!BS128*Rates_current!$E$77*100*12</f>
        <v>-280636.7408234172</v>
      </c>
      <c r="Q126" s="212">
        <f>SUMPRODUCT('Staging Table'!BY128:CV128, LS_Demand_Rates_Restatement!$C$5:$Z$5)-IF(Init!$R$12="No",('Staging Table'!DU128*Rates_current!$H$34), 0)</f>
        <v>35531.741003121439</v>
      </c>
      <c r="R126" s="212">
        <f>SUMPRODUCT('Staging Table'!CW128:DH128, LS_Demand_Rates_Restatement!$C$11:$N$11)*1000</f>
        <v>62996.809722346858</v>
      </c>
      <c r="S126" s="213">
        <f>'Staging Table'!ED128*IF(Init!$R$15="Yes",IF(Init!$R$6=2022,Rates_current!$C$88,Rates_current!$D$88),Rates_current!$H$33)</f>
        <v>0</v>
      </c>
      <c r="T126" s="213">
        <v>0</v>
      </c>
      <c r="U126" s="213">
        <f>IF('Staging Table'!D128=1, 'Staging Table'!BU128*-1*'Staging Table'!BS128/'Staging Table'!BR128,SUM(O126:T126)*'Staging Table'!BU128*-1)</f>
        <v>-86023.832148759248</v>
      </c>
      <c r="V126" s="211">
        <f>'Staging Table'!BX128*Rates_current!$H$32*-1</f>
        <v>0</v>
      </c>
      <c r="W126" s="211">
        <f>IF('Staging Table'!C128=1,"", SUM(O126:V126))</f>
        <v>1431641.8252761005</v>
      </c>
      <c r="X126" s="211">
        <f>IF('Staging Table'!C128=1,"", (RT1SC!$C$4*'Staging Table'!BS128*'Staging Table'!$BS$2)+SUM('Staging Table'!BY128:CV128)-IF(Init!$R$12="No",'Staging Table'!DU128, 0))</f>
        <v>41829</v>
      </c>
      <c r="Y126" s="95">
        <f>IF('Staging Table'!C128=1,"",IF(X126=0, 0, W126/X126))</f>
        <v>34.226059080448984</v>
      </c>
      <c r="Z126" s="87">
        <f ca="1">IF('Staging Table'!C128=1,"",(Y126/N126-1)+(RAND()/100000000000000))</f>
        <v>-3.5212950995923115E-2</v>
      </c>
      <c r="AA126" s="53">
        <f t="shared" ca="1" si="1"/>
        <v>39</v>
      </c>
      <c r="AC126" s="421"/>
      <c r="AD126" s="216"/>
      <c r="AE126" s="216"/>
      <c r="AG126" s="216"/>
      <c r="AH126" s="216"/>
    </row>
    <row r="127" spans="2:34">
      <c r="B127" s="135">
        <v>10442</v>
      </c>
      <c r="C127" s="136" t="s">
        <v>130</v>
      </c>
      <c r="D127" s="211">
        <f>IF(Init!$R$9="Yes",'Staging Table'!F129,'Staging Table'!BS129)*Rates_previous!$E$76*100*12</f>
        <v>4253514.8449200001</v>
      </c>
      <c r="E127" s="211">
        <f>IF(Init!$R$9="Yes",'Staging Table'!F129,'Staging Table'!BS129)*Rates_previous!$E$77*100*12</f>
        <v>-430311.88859999995</v>
      </c>
      <c r="F127" s="212">
        <f>IF(Init!$R$9="Yes",SUMPRODUCT('Staging Table'!L129:AI129,LS_Demand_Rates_Restatement!$C$4:$Z$4)-IF(Init!$R$12="No",('Staging Table'!BH129*Rates_previous!$H$34), 0),SUMPRODUCT('Staging Table'!BY129:CV129,LS_Demand_Rates_Restatement!$C$4:$Z$4)-IF(Init!$R$12="No", 'Staging Table'!DU129*Rates_previous!$H$34, 0))</f>
        <v>-142415.94014015052</v>
      </c>
      <c r="G127" s="212">
        <f>IF(Init!$R$9="Yes",SUMPRODUCT('Staging Table'!AJ129:AU129,LS_Demand_Rates_Restatement!$C$10:$N$10),SUMPRODUCT(LS_Demand_Rates_Restatement!$C$10:$N$10,'Staging Table'!CW129:DH129))*1000</f>
        <v>231014.5482967236</v>
      </c>
      <c r="H127" s="213">
        <f>IF(Init!$R$9="Yes",'Staging Table'!BQ129,'Staging Table'!ED129)*IF(Init!$R$3=2020,Rates_previous!$C$88,Rates_previous!$D$88)</f>
        <v>-140222.20597015784</v>
      </c>
      <c r="I127" s="211">
        <f>IF(Init!$R$9="Yes",IF('Staging Table'!$F$1=2020,(SUM('Staging Table'!AX129:BD129)*Rates_previous!$C$87),(SUM('Staging Table'!AX129:BD129)*Rates_previous!$D$87)),IF('Staging Table'!$F$1=2020,(SUM('Staging Table'!DK129:DQ129)*Rates_previous!$C$87),(SUM('Staging Table'!DK129:DQ129)*Rates_previous!$D$87)))</f>
        <v>52178.532620965256</v>
      </c>
      <c r="J127" s="213">
        <f>IF(Init!$R$9="Yes",IF('Staging Table'!D129=1,'Staging Table'!H129*-1*'Staging Table'!BS129/'Staging Table'!BR129,'Staging Table'!H129*SUM(D127:I127)*(-1)),IF('Staging Table'!D129=1,'Staging Table'!BU129*-1*'Staging Table'!BS129/'Staging Table'!BR129,'Staging Table'!BU129*SUM(D127:I127)*(-1)))</f>
        <v>-267663.05237891665</v>
      </c>
      <c r="K127" s="211">
        <f>IF(Init!$R$9="Yes",'Staging Table'!K129,'Staging Table'!BX129)*(-1)*Rates_previous!$H$32</f>
        <v>-108137.29629999999</v>
      </c>
      <c r="L127" s="211">
        <f>IF('Staging Table'!C129=1,"",SUM(D127:K127))</f>
        <v>3447957.5424484634</v>
      </c>
      <c r="M127" s="211">
        <f>IF('Staging Table'!C129=1,"",IF(Init!$R$9="Yes",(RT1SC!$C$3*'Staging Table'!F129*'Staging Table'!$F$2)+SUM('Staging Table'!L129:AI129)-IF(Init!$R$12="No",'Staging Table'!BH129, 0),X127))</f>
        <v>101478.28414494521</v>
      </c>
      <c r="N127" s="95">
        <f>IF('Staging Table'!C129=1,"",IF(M127=0, 0, L127/M127))</f>
        <v>33.977294467490374</v>
      </c>
      <c r="O127" s="211">
        <f>'Staging Table'!BS129*Rates_current!$E$76*100*12</f>
        <v>4528573.552006308</v>
      </c>
      <c r="P127" s="211">
        <f>'Staging Table'!BS129*Rates_current!$E$77*100*12</f>
        <v>-747678.35972198227</v>
      </c>
      <c r="Q127" s="212">
        <f>SUMPRODUCT('Staging Table'!BY129:CV129, LS_Demand_Rates_Restatement!$C$5:$Z$5)-IF(Init!$R$12="No",('Staging Table'!DU129*Rates_current!$H$34), 0)</f>
        <v>-249424.48574941768</v>
      </c>
      <c r="R127" s="212">
        <f>SUMPRODUCT('Staging Table'!CW129:DH129, LS_Demand_Rates_Restatement!$C$11:$N$11)*1000</f>
        <v>218717.03609608265</v>
      </c>
      <c r="S127" s="213">
        <f>'Staging Table'!ED129*IF(Init!$R$15="Yes",IF(Init!$R$6=2022,Rates_current!$C$88,Rates_current!$D$88),Rates_current!$H$33)</f>
        <v>-60841.389970528595</v>
      </c>
      <c r="T127" s="213">
        <v>0</v>
      </c>
      <c r="U127" s="213">
        <f>IF('Staging Table'!D129=1, 'Staging Table'!BU129*-1*'Staging Table'!BS129/'Staging Table'!BR129,SUM(O127:T127)*'Staging Table'!BU129*-1)</f>
        <v>-258254.24468623238</v>
      </c>
      <c r="V127" s="211">
        <f>'Staging Table'!BX129*Rates_current!$H$32*-1</f>
        <v>-106093.29700000001</v>
      </c>
      <c r="W127" s="211">
        <f>IF('Staging Table'!C129=1,"", SUM(O127:V127))</f>
        <v>3324998.8109742301</v>
      </c>
      <c r="X127" s="211">
        <f>IF('Staging Table'!C129=1,"", (RT1SC!$C$4*'Staging Table'!BS129*'Staging Table'!$BS$2)+SUM('Staging Table'!BY129:CV129)-IF(Init!$R$12="No",'Staging Table'!DU129, 0))</f>
        <v>101478.28570040449</v>
      </c>
      <c r="Y127" s="95">
        <f>IF('Staging Table'!C129=1,"",IF(X127=0, 0, W127/X127))</f>
        <v>32.765618654523415</v>
      </c>
      <c r="Z127" s="87">
        <f ca="1">IF('Staging Table'!C129=1,"",(Y127/N127-1)+(RAND()/100000000000000))</f>
        <v>-3.5661338901662676E-2</v>
      </c>
      <c r="AA127" s="53">
        <f t="shared" ca="1" si="1"/>
        <v>46</v>
      </c>
      <c r="AC127" s="421"/>
      <c r="AD127" s="216"/>
      <c r="AE127" s="216"/>
      <c r="AG127" s="216"/>
      <c r="AH127" s="216"/>
    </row>
    <row r="128" spans="2:34">
      <c r="B128" s="135">
        <v>10446</v>
      </c>
      <c r="C128" s="136" t="s">
        <v>131</v>
      </c>
      <c r="D128" s="211">
        <f>IF(Init!$R$9="Yes",'Staging Table'!F130,'Staging Table'!BS130)*Rates_previous!$E$76*100*12</f>
        <v>31493644.696319997</v>
      </c>
      <c r="E128" s="211">
        <f>IF(Init!$R$9="Yes",'Staging Table'!F130,'Staging Table'!BS130)*Rates_previous!$E$77*100*12</f>
        <v>-3186092.0255999998</v>
      </c>
      <c r="F128" s="212">
        <f>IF(Init!$R$9="Yes",SUMPRODUCT('Staging Table'!L130:AI130,LS_Demand_Rates_Restatement!$C$4:$Z$4)-IF(Init!$R$12="No",('Staging Table'!BH130*Rates_previous!$H$34), 0),SUMPRODUCT('Staging Table'!BY130:CV130,LS_Demand_Rates_Restatement!$C$4:$Z$4)-IF(Init!$R$12="No", 'Staging Table'!DU130*Rates_previous!$H$34, 0))</f>
        <v>415727.35641854687</v>
      </c>
      <c r="G128" s="212">
        <f>IF(Init!$R$9="Yes",SUMPRODUCT('Staging Table'!AJ130:AU130,LS_Demand_Rates_Restatement!$C$10:$N$10),SUMPRODUCT(LS_Demand_Rates_Restatement!$C$10:$N$10,'Staging Table'!CW130:DH130))*1000</f>
        <v>1032304.9131688038</v>
      </c>
      <c r="H128" s="213">
        <f>IF(Init!$R$9="Yes",'Staging Table'!BQ130,'Staging Table'!ED130)*IF(Init!$R$3=2020,Rates_previous!$C$88,Rates_previous!$D$88)</f>
        <v>300012.7766399979</v>
      </c>
      <c r="I128" s="211">
        <f>IF(Init!$R$9="Yes",IF('Staging Table'!$F$1=2020,(SUM('Staging Table'!AX130:BD130)*Rates_previous!$C$87),(SUM('Staging Table'!AX130:BD130)*Rates_previous!$D$87)),IF('Staging Table'!$F$1=2020,(SUM('Staging Table'!DK130:DQ130)*Rates_previous!$C$87),(SUM('Staging Table'!DK130:DQ130)*Rates_previous!$D$87)))</f>
        <v>386337.47078668751</v>
      </c>
      <c r="J128" s="213">
        <f>IF(Init!$R$9="Yes",IF('Staging Table'!D130=1,'Staging Table'!H130*-1*'Staging Table'!BS130/'Staging Table'!BR130,'Staging Table'!H130*SUM(D128:I128)*(-1)),IF('Staging Table'!D130=1,'Staging Table'!BU130*-1*'Staging Table'!BS130/'Staging Table'!BR130,'Staging Table'!BU130*SUM(D128:I128)*(-1)))</f>
        <v>-1978725.7872027119</v>
      </c>
      <c r="K128" s="211">
        <f>IF(Init!$R$9="Yes",'Staging Table'!K130,'Staging Table'!BX130)*(-1)*Rates_previous!$H$32</f>
        <v>-79673.587400000004</v>
      </c>
      <c r="L128" s="211">
        <f>IF('Staging Table'!C130=1,"",SUM(D128:K128))</f>
        <v>28383535.813131317</v>
      </c>
      <c r="M128" s="211">
        <f>IF('Staging Table'!C130=1,"",IF(Init!$R$9="Yes",(RT1SC!$C$3*'Staging Table'!F130*'Staging Table'!$F$2)+SUM('Staging Table'!L130:AI130)-IF(Init!$R$12="No",'Staging Table'!BH130, 0),X128))</f>
        <v>836798.97599999991</v>
      </c>
      <c r="N128" s="95">
        <f>IF('Staging Table'!C130=1,"",IF(M128=0, 0, L128/M128))</f>
        <v>33.919180863255882</v>
      </c>
      <c r="O128" s="211">
        <f>'Staging Table'!BS130*Rates_current!$E$76*100*12</f>
        <v>32522083.818517663</v>
      </c>
      <c r="P128" s="211">
        <f>'Staging Table'!BS130*Rates_current!$E$77*100*12</f>
        <v>-5369474.0749870986</v>
      </c>
      <c r="Q128" s="212">
        <f>SUMPRODUCT('Staging Table'!BY130:CV130, LS_Demand_Rates_Restatement!$C$5:$Z$5)-IF(Init!$R$12="No",('Staging Table'!DU130*Rates_current!$H$34), 0)</f>
        <v>-350721.84028222889</v>
      </c>
      <c r="R128" s="212">
        <f>SUMPRODUCT('Staging Table'!CW130:DH130, LS_Demand_Rates_Restatement!$C$11:$N$11)*1000</f>
        <v>939588.544679799</v>
      </c>
      <c r="S128" s="213">
        <f>'Staging Table'!ED130*IF(Init!$R$15="Yes",IF(Init!$R$6=2022,Rates_current!$C$88,Rates_current!$D$88),Rates_current!$H$33)</f>
        <v>0</v>
      </c>
      <c r="T128" s="213">
        <v>0</v>
      </c>
      <c r="U128" s="213">
        <f>IF('Staging Table'!D130=1, 'Staging Table'!BU130*-1*'Staging Table'!BS130/'Staging Table'!BR130,SUM(O128:T128)*'Staging Table'!BU130*-1)</f>
        <v>-2141565.0941991969</v>
      </c>
      <c r="V128" s="211">
        <f>'Staging Table'!BX130*Rates_current!$H$32*-1</f>
        <v>-78167.606</v>
      </c>
      <c r="W128" s="211">
        <f>IF('Staging Table'!C130=1,"", SUM(O128:V128))</f>
        <v>25521743.74772894</v>
      </c>
      <c r="X128" s="211">
        <f>IF('Staging Table'!C130=1,"", (RT1SC!$C$4*'Staging Table'!BS130*'Staging Table'!$BS$2)+SUM('Staging Table'!BY130:CV130)-IF(Init!$R$12="No",'Staging Table'!DU130, 0))</f>
        <v>789043.11393762217</v>
      </c>
      <c r="Y128" s="95">
        <f>IF('Staging Table'!C130=1,"",IF(X128=0, 0, W128/X128))</f>
        <v>32.345182787751398</v>
      </c>
      <c r="Z128" s="87">
        <f ca="1">IF('Staging Table'!C130=1,"",(Y128/N128-1)+(RAND()/100000000000000))</f>
        <v>-4.6404365773159401E-2</v>
      </c>
      <c r="AA128" s="53">
        <f t="shared" ca="1" si="1"/>
        <v>104</v>
      </c>
      <c r="AC128" s="421"/>
      <c r="AD128" s="216"/>
      <c r="AE128" s="216"/>
      <c r="AG128" s="216"/>
      <c r="AH128" s="216"/>
    </row>
    <row r="129" spans="1:34">
      <c r="B129" s="135">
        <v>10448</v>
      </c>
      <c r="C129" s="136" t="s">
        <v>132</v>
      </c>
      <c r="D129" s="211">
        <f>IF(Init!$R$9="Yes",'Staging Table'!F131,'Staging Table'!BS131)*Rates_previous!$E$76*100*12</f>
        <v>2752651.7815200002</v>
      </c>
      <c r="E129" s="211">
        <f>IF(Init!$R$9="Yes",'Staging Table'!F131,'Staging Table'!BS131)*Rates_previous!$E$77*100*12</f>
        <v>-278475.2916</v>
      </c>
      <c r="F129" s="212">
        <f>IF(Init!$R$9="Yes",SUMPRODUCT('Staging Table'!L131:AI131,LS_Demand_Rates_Restatement!$C$4:$Z$4)-IF(Init!$R$12="No",('Staging Table'!BH131*Rates_previous!$H$34), 0),SUMPRODUCT('Staging Table'!BY131:CV131,LS_Demand_Rates_Restatement!$C$4:$Z$4)-IF(Init!$R$12="No", 'Staging Table'!DU131*Rates_previous!$H$34, 0))</f>
        <v>0</v>
      </c>
      <c r="G129" s="212">
        <f>IF(Init!$R$9="Yes",SUMPRODUCT('Staging Table'!AJ131:AU131,LS_Demand_Rates_Restatement!$C$10:$N$10),SUMPRODUCT(LS_Demand_Rates_Restatement!$C$10:$N$10,'Staging Table'!CW131:DH131))*1000</f>
        <v>0</v>
      </c>
      <c r="H129" s="213">
        <f>IF(Init!$R$9="Yes",'Staging Table'!BQ131,'Staging Table'!ED131)*IF(Init!$R$3=2020,Rates_previous!$C$88,Rates_previous!$D$88)</f>
        <v>-28.914793979895187</v>
      </c>
      <c r="I129" s="211">
        <f>IF(Init!$R$9="Yes",IF('Staging Table'!$F$1=2020,(SUM('Staging Table'!AX131:BD131)*Rates_previous!$C$87),(SUM('Staging Table'!AX131:BD131)*Rates_previous!$D$87)),IF('Staging Table'!$F$1=2020,(SUM('Staging Table'!DK131:DQ131)*Rates_previous!$C$87),(SUM('Staging Table'!DK131:DQ131)*Rates_previous!$D$87)))</f>
        <v>33767.210416048474</v>
      </c>
      <c r="J129" s="213">
        <f>IF(Init!$R$9="Yes",IF('Staging Table'!D131=1,'Staging Table'!H131*-1*'Staging Table'!BS131/'Staging Table'!BR131,'Staging Table'!H131*SUM(D129:I129)*(-1)),IF('Staging Table'!D131=1,'Staging Table'!BU131*-1*'Staging Table'!BS131/'Staging Table'!BR131,'Staging Table'!BU131*SUM(D129:I129)*(-1)))</f>
        <v>-175554.03498794482</v>
      </c>
      <c r="K129" s="211">
        <f>IF(Init!$R$9="Yes",'Staging Table'!K131,'Staging Table'!BX131)*(-1)*Rates_previous!$H$32</f>
        <v>0</v>
      </c>
      <c r="L129" s="211" t="str">
        <f>IF('Staging Table'!C131=1,"",SUM(D129:K129))</f>
        <v/>
      </c>
      <c r="M129" s="211" t="str">
        <f>IF('Staging Table'!C131=1,"",IF(Init!$R$9="Yes",(RT1SC!$C$3*'Staging Table'!F131*'Staging Table'!$F$2)+SUM('Staging Table'!L131:AI131)-IF(Init!$R$12="No",'Staging Table'!BH131, 0),X129))</f>
        <v/>
      </c>
      <c r="N129" s="95" t="str">
        <f>IF('Staging Table'!C131=1,"",IF(M129=0, 0, L129/M129))</f>
        <v/>
      </c>
      <c r="O129" s="211">
        <f>'Staging Table'!BS131*Rates_current!$E$76*100*12</f>
        <v>2879879.2515380085</v>
      </c>
      <c r="P129" s="211">
        <f>'Staging Table'!BS131*Rates_current!$E$77*100*12</f>
        <v>-475474.97468233877</v>
      </c>
      <c r="Q129" s="212">
        <f>SUMPRODUCT('Staging Table'!BY131:CV131, LS_Demand_Rates_Restatement!$C$5:$Z$5)-IF(Init!$R$12="No",('Staging Table'!DU131*Rates_current!$H$34), 0)</f>
        <v>0</v>
      </c>
      <c r="R129" s="212">
        <f>SUMPRODUCT('Staging Table'!CW131:DH131, LS_Demand_Rates_Restatement!$C$11:$N$11)*1000</f>
        <v>0</v>
      </c>
      <c r="S129" s="213">
        <f>'Staging Table'!ED131*IF(Init!$R$15="Yes",IF(Init!$R$6=2022,Rates_current!$C$88,Rates_current!$D$88),Rates_current!$H$33)</f>
        <v>0</v>
      </c>
      <c r="T129" s="213">
        <v>0</v>
      </c>
      <c r="U129" s="213">
        <f>IF('Staging Table'!D131=1, 'Staging Table'!BU131*-1*'Staging Table'!BS131/'Staging Table'!BR131,SUM(O129:T129)*'Staging Table'!BU131*-1)</f>
        <v>-171761.84421266118</v>
      </c>
      <c r="V129" s="211">
        <f>'Staging Table'!BX131*Rates_current!$H$32*-1</f>
        <v>0</v>
      </c>
      <c r="W129" s="211" t="str">
        <f>IF('Staging Table'!C131=1,"", SUM(O129:V129))</f>
        <v/>
      </c>
      <c r="X129" s="211" t="str">
        <f>IF('Staging Table'!C131=1,"", (RT1SC!$C$4*'Staging Table'!BS131*'Staging Table'!$BS$2)+SUM('Staging Table'!BY131:CV131)-IF(Init!$R$12="No",'Staging Table'!DU131, 0))</f>
        <v/>
      </c>
      <c r="Y129" s="95" t="str">
        <f>IF('Staging Table'!C131=1,"",IF(X129=0, 0, W129/X129))</f>
        <v/>
      </c>
      <c r="Z129" s="87" t="str">
        <f ca="1">IF('Staging Table'!C131=1,"",(Y129/N129-1)+(RAND()/100000000000000))</f>
        <v/>
      </c>
      <c r="AA129" s="53" t="str">
        <f t="shared" ca="1" si="1"/>
        <v/>
      </c>
      <c r="AC129" s="421"/>
      <c r="AD129" s="216"/>
      <c r="AE129" s="216"/>
      <c r="AG129" s="216"/>
      <c r="AH129" s="216"/>
    </row>
    <row r="130" spans="1:34">
      <c r="B130" s="135">
        <v>10451</v>
      </c>
      <c r="C130" s="136" t="s">
        <v>133</v>
      </c>
      <c r="D130" s="211">
        <f>IF(Init!$R$9="Yes",'Staging Table'!F132,'Staging Table'!BS132)*Rates_previous!$E$76*100*12</f>
        <v>8913439.1654399987</v>
      </c>
      <c r="E130" s="211">
        <f>IF(Init!$R$9="Yes",'Staging Table'!F132,'Staging Table'!BS132)*Rates_previous!$E$77*100*12</f>
        <v>-901738.67519999994</v>
      </c>
      <c r="F130" s="212">
        <f>IF(Init!$R$9="Yes",SUMPRODUCT('Staging Table'!L132:AI132,LS_Demand_Rates_Restatement!$C$4:$Z$4)-IF(Init!$R$12="No",('Staging Table'!BH132*Rates_previous!$H$34), 0),SUMPRODUCT('Staging Table'!BY132:CV132,LS_Demand_Rates_Restatement!$C$4:$Z$4)-IF(Init!$R$12="No", 'Staging Table'!DU132*Rates_previous!$H$34, 0))</f>
        <v>-82636.070897042373</v>
      </c>
      <c r="G130" s="212">
        <f>IF(Init!$R$9="Yes",SUMPRODUCT('Staging Table'!AJ132:AU132,LS_Demand_Rates_Restatement!$C$10:$N$10),SUMPRODUCT(LS_Demand_Rates_Restatement!$C$10:$N$10,'Staging Table'!CW132:DH132))*1000</f>
        <v>543833.9299534543</v>
      </c>
      <c r="H130" s="213">
        <f>IF(Init!$R$9="Yes",'Staging Table'!BQ132,'Staging Table'!ED132)*IF(Init!$R$3=2020,Rates_previous!$C$88,Rates_previous!$D$88)</f>
        <v>-9881.2769983924354</v>
      </c>
      <c r="I130" s="211">
        <f>IF(Init!$R$9="Yes",IF('Staging Table'!$F$1=2020,(SUM('Staging Table'!AX132:BD132)*Rates_previous!$C$87),(SUM('Staging Table'!AX132:BD132)*Rates_previous!$D$87)),IF('Staging Table'!$F$1=2020,(SUM('Staging Table'!DK132:DQ132)*Rates_previous!$C$87),(SUM('Staging Table'!DK132:DQ132)*Rates_previous!$D$87)))</f>
        <v>109342.55391499588</v>
      </c>
      <c r="J130" s="213">
        <f>IF(Init!$R$9="Yes",IF('Staging Table'!D132=1,'Staging Table'!H132*-1*'Staging Table'!BS132/'Staging Table'!BR132,'Staging Table'!H132*SUM(D130:I130)*(-1)),IF('Staging Table'!D132=1,'Staging Table'!BU132*-1*'Staging Table'!BS132/'Staging Table'!BR132,'Staging Table'!BU132*SUM(D130:I130)*(-1)))</f>
        <v>0</v>
      </c>
      <c r="K130" s="211">
        <f>IF(Init!$R$9="Yes",'Staging Table'!K132,'Staging Table'!BX132)*(-1)*Rates_previous!$H$32</f>
        <v>0</v>
      </c>
      <c r="L130" s="211">
        <f>IF('Staging Table'!C132=1,"",SUM(D130:K130))</f>
        <v>8572359.6262130123</v>
      </c>
      <c r="M130" s="211">
        <f>IF('Staging Table'!C132=1,"",IF(Init!$R$9="Yes",(RT1SC!$C$3*'Staging Table'!F132*'Staging Table'!$F$2)+SUM('Staging Table'!L132:AI132)-IF(Init!$R$12="No",'Staging Table'!BH132, 0),X130))</f>
        <v>230783.49168592639</v>
      </c>
      <c r="N130" s="95">
        <f>IF('Staging Table'!C132=1,"",IF(M130=0, 0, L130/M130))</f>
        <v>37.144596277619151</v>
      </c>
      <c r="O130" s="211">
        <f>'Staging Table'!BS132*Rates_current!$E$76*100*12</f>
        <v>9112063.6123482175</v>
      </c>
      <c r="P130" s="211">
        <f>'Staging Table'!BS132*Rates_current!$E$77*100*12</f>
        <v>-1504423.5667420125</v>
      </c>
      <c r="Q130" s="212">
        <f>SUMPRODUCT('Staging Table'!BY132:CV132, LS_Demand_Rates_Restatement!$C$5:$Z$5)-IF(Init!$R$12="No",('Staging Table'!DU132*Rates_current!$H$34), 0)</f>
        <v>-294519.23101206304</v>
      </c>
      <c r="R130" s="212">
        <f>SUMPRODUCT('Staging Table'!CW132:DH132, LS_Demand_Rates_Restatement!$C$11:$N$11)*1000</f>
        <v>476966.68566606118</v>
      </c>
      <c r="S130" s="213">
        <f>'Staging Table'!ED132*IF(Init!$R$15="Yes",IF(Init!$R$6=2022,Rates_current!$C$88,Rates_current!$D$88),Rates_current!$H$33)</f>
        <v>0</v>
      </c>
      <c r="T130" s="213">
        <v>0</v>
      </c>
      <c r="U130" s="213">
        <f>IF('Staging Table'!D132=1, 'Staging Table'!BU132*-1*'Staging Table'!BS132/'Staging Table'!BR132,SUM(O130:T130)*'Staging Table'!BU132*-1)</f>
        <v>0</v>
      </c>
      <c r="V130" s="211">
        <f>'Staging Table'!BX132*Rates_current!$H$32*-1</f>
        <v>0</v>
      </c>
      <c r="W130" s="211">
        <f>IF('Staging Table'!C132=1,"", SUM(O130:V130))</f>
        <v>7790087.5002602031</v>
      </c>
      <c r="X130" s="211">
        <f>IF('Staging Table'!C132=1,"", (RT1SC!$C$4*'Staging Table'!BS132*'Staging Table'!$BS$2)+SUM('Staging Table'!BY132:CV132)-IF(Init!$R$12="No",'Staging Table'!DU132, 0))</f>
        <v>216530.97446993593</v>
      </c>
      <c r="Y130" s="95">
        <f>IF('Staging Table'!C132=1,"",IF(X130=0, 0, W130/X130))</f>
        <v>35.976781240329252</v>
      </c>
      <c r="Z130" s="87">
        <f ca="1">IF('Staging Table'!C132=1,"",(Y130/N130-1)+(RAND()/100000000000000))</f>
        <v>-3.1439701984148395E-2</v>
      </c>
      <c r="AA130" s="53">
        <f t="shared" ca="1" si="1"/>
        <v>12</v>
      </c>
      <c r="AC130" s="421"/>
      <c r="AD130" s="216"/>
      <c r="AE130" s="216"/>
      <c r="AG130" s="216"/>
      <c r="AH130" s="216"/>
    </row>
    <row r="131" spans="1:34">
      <c r="B131" s="135">
        <v>10482</v>
      </c>
      <c r="C131" s="136" t="s">
        <v>134</v>
      </c>
      <c r="D131" s="211">
        <f>IF(Init!$R$9="Yes",'Staging Table'!F133,'Staging Table'!BS133)*Rates_previous!$E$76*100*12</f>
        <v>913114.15512000001</v>
      </c>
      <c r="E131" s="211">
        <f>IF(Init!$R$9="Yes",'Staging Table'!F133,'Staging Table'!BS133)*Rates_previous!$E$77*100*12</f>
        <v>-92376.279599999994</v>
      </c>
      <c r="F131" s="212">
        <f>IF(Init!$R$9="Yes",SUMPRODUCT('Staging Table'!L133:AI133,LS_Demand_Rates_Restatement!$C$4:$Z$4)-IF(Init!$R$12="No",('Staging Table'!BH133*Rates_previous!$H$34), 0),SUMPRODUCT('Staging Table'!BY133:CV133,LS_Demand_Rates_Restatement!$C$4:$Z$4)-IF(Init!$R$12="No", 'Staging Table'!DU133*Rates_previous!$H$34, 0))</f>
        <v>17118.499266573257</v>
      </c>
      <c r="G131" s="212">
        <f>IF(Init!$R$9="Yes",SUMPRODUCT('Staging Table'!AJ133:AU133,LS_Demand_Rates_Restatement!$C$10:$N$10),SUMPRODUCT(LS_Demand_Rates_Restatement!$C$10:$N$10,'Staging Table'!CW133:DH133))*1000</f>
        <v>33002.74459109686</v>
      </c>
      <c r="H131" s="213">
        <f>IF(Init!$R$9="Yes",'Staging Table'!BQ133,'Staging Table'!ED133)*IF(Init!$R$3=2020,Rates_previous!$C$88,Rates_previous!$D$88)</f>
        <v>14167.177454380748</v>
      </c>
      <c r="I131" s="211">
        <f>IF(Init!$R$9="Yes",IF('Staging Table'!$F$1=2020,(SUM('Staging Table'!AX133:BD133)*Rates_previous!$C$87),(SUM('Staging Table'!AX133:BD133)*Rates_previous!$D$87)),IF('Staging Table'!$F$1=2020,(SUM('Staging Table'!DK133:DQ133)*Rates_previous!$C$87),(SUM('Staging Table'!DK133:DQ133)*Rates_previous!$D$87)))</f>
        <v>11201.314316910572</v>
      </c>
      <c r="J131" s="213">
        <f>IF(Init!$R$9="Yes",IF('Staging Table'!D133=1,'Staging Table'!H133*-1*'Staging Table'!BS133/'Staging Table'!BR133,'Staging Table'!H133*SUM(D131:I131)*(-1)),IF('Staging Table'!D133=1,'Staging Table'!BU133*-1*'Staging Table'!BS133/'Staging Table'!BR133,'Staging Table'!BU133*SUM(D131:I131)*(-1)))</f>
        <v>0</v>
      </c>
      <c r="K131" s="211">
        <f>IF(Init!$R$9="Yes",'Staging Table'!K133,'Staging Table'!BX133)*(-1)*Rates_previous!$H$32</f>
        <v>0</v>
      </c>
      <c r="L131" s="211">
        <f>IF('Staging Table'!C133=1,"",SUM(D131:K131))</f>
        <v>896227.61114896147</v>
      </c>
      <c r="M131" s="211">
        <f>IF('Staging Table'!C133=1,"",IF(Init!$R$9="Yes",(RT1SC!$C$3*'Staging Table'!F133*'Staging Table'!$F$2)+SUM('Staging Table'!L133:AI133)-IF(Init!$R$12="No",'Staging Table'!BH133, 0),X131))</f>
        <v>24612.688889807199</v>
      </c>
      <c r="N131" s="95">
        <f>IF('Staging Table'!C133=1,"",IF(M131=0, 0, L131/M131))</f>
        <v>36.413234456480467</v>
      </c>
      <c r="O131" s="211">
        <f>'Staging Table'!BS133*Rates_current!$E$76*100*12</f>
        <v>998808.98348370439</v>
      </c>
      <c r="P131" s="211">
        <f>'Staging Table'!BS133*Rates_current!$E$77*100*12</f>
        <v>-164905.75980947132</v>
      </c>
      <c r="Q131" s="212">
        <f>SUMPRODUCT('Staging Table'!BY133:CV133, LS_Demand_Rates_Restatement!$C$5:$Z$5)-IF(Init!$R$12="No",('Staging Table'!DU133*Rates_current!$H$34), 0)</f>
        <v>-3011.5381738961401</v>
      </c>
      <c r="R131" s="212">
        <f>SUMPRODUCT('Staging Table'!CW133:DH133, LS_Demand_Rates_Restatement!$C$11:$N$11)*1000</f>
        <v>30523.182185835103</v>
      </c>
      <c r="S131" s="213">
        <f>'Staging Table'!ED133*IF(Init!$R$15="Yes",IF(Init!$R$6=2022,Rates_current!$C$88,Rates_current!$D$88),Rates_current!$H$33)</f>
        <v>196.3097618867159</v>
      </c>
      <c r="T131" s="213">
        <v>0</v>
      </c>
      <c r="U131" s="213">
        <f>IF('Staging Table'!D133=1, 'Staging Table'!BU133*-1*'Staging Table'!BS133/'Staging Table'!BR133,SUM(O131:T131)*'Staging Table'!BU133*-1)</f>
        <v>0</v>
      </c>
      <c r="V131" s="211">
        <f>'Staging Table'!BX133*Rates_current!$H$32*-1</f>
        <v>0</v>
      </c>
      <c r="W131" s="211">
        <f>IF('Staging Table'!C133=1,"", SUM(O131:V131))</f>
        <v>861611.17744805873</v>
      </c>
      <c r="X131" s="211">
        <f>IF('Staging Table'!C133=1,"", (RT1SC!$C$4*'Staging Table'!BS133*'Staging Table'!$BS$2)+SUM('Staging Table'!BY133:CV133)-IF(Init!$R$12="No",'Staging Table'!DU133, 0))</f>
        <v>24612.689257264603</v>
      </c>
      <c r="Y131" s="95">
        <f>IF('Staging Table'!C133=1,"",IF(X131=0, 0, W131/X131))</f>
        <v>35.006787289355159</v>
      </c>
      <c r="Z131" s="87">
        <f ca="1">IF('Staging Table'!C133=1,"",(Y131/N131-1)+(RAND()/100000000000000))</f>
        <v>-3.8624615146613535E-2</v>
      </c>
      <c r="AA131" s="53">
        <f t="shared" ca="1" si="1"/>
        <v>78</v>
      </c>
      <c r="AC131" s="421"/>
      <c r="AD131" s="216"/>
      <c r="AE131" s="216"/>
      <c r="AG131" s="216"/>
      <c r="AH131" s="216"/>
    </row>
    <row r="132" spans="1:34">
      <c r="B132" s="135">
        <v>10502</v>
      </c>
      <c r="C132" s="136" t="s">
        <v>135</v>
      </c>
      <c r="D132" s="211">
        <f>IF(Init!$R$9="Yes",'Staging Table'!F134,'Staging Table'!BS134)*Rates_previous!$E$76*100*12</f>
        <v>6295781.8763999995</v>
      </c>
      <c r="E132" s="211">
        <f>IF(Init!$R$9="Yes",'Staging Table'!F134,'Staging Table'!BS134)*Rates_previous!$E$77*100*12</f>
        <v>-636920.2620000001</v>
      </c>
      <c r="F132" s="212">
        <f>IF(Init!$R$9="Yes",SUMPRODUCT('Staging Table'!L134:AI134,LS_Demand_Rates_Restatement!$C$4:$Z$4)-IF(Init!$R$12="No",('Staging Table'!BH134*Rates_previous!$H$34), 0),SUMPRODUCT('Staging Table'!BY134:CV134,LS_Demand_Rates_Restatement!$C$4:$Z$4)-IF(Init!$R$12="No", 'Staging Table'!DU134*Rates_previous!$H$34, 0))</f>
        <v>-137839.16951337666</v>
      </c>
      <c r="G132" s="212">
        <f>IF(Init!$R$9="Yes",SUMPRODUCT('Staging Table'!AJ134:AU134,LS_Demand_Rates_Restatement!$C$10:$N$10),SUMPRODUCT(LS_Demand_Rates_Restatement!$C$10:$N$10,'Staging Table'!CW134:DH134))*1000</f>
        <v>424546.00119152415</v>
      </c>
      <c r="H132" s="213">
        <f>IF(Init!$R$9="Yes",'Staging Table'!BQ134,'Staging Table'!ED134)*IF(Init!$R$3=2020,Rates_previous!$C$88,Rates_previous!$D$88)</f>
        <v>-45822.504644584675</v>
      </c>
      <c r="I132" s="211">
        <f>IF(Init!$R$9="Yes",IF('Staging Table'!$F$1=2020,(SUM('Staging Table'!AX134:BD134)*Rates_previous!$C$87),(SUM('Staging Table'!AX134:BD134)*Rates_previous!$D$87)),IF('Staging Table'!$F$1=2020,(SUM('Staging Table'!DK134:DQ134)*Rates_previous!$C$87),(SUM('Staging Table'!DK134:DQ134)*Rates_previous!$D$87)))</f>
        <v>77231.342075731663</v>
      </c>
      <c r="J132" s="213">
        <f>IF(Init!$R$9="Yes",IF('Staging Table'!D134=1,'Staging Table'!H134*-1*'Staging Table'!BS134/'Staging Table'!BR134,'Staging Table'!H134*SUM(D132:I132)*(-1)),IF('Staging Table'!D134=1,'Staging Table'!BU134*-1*'Staging Table'!BS134/'Staging Table'!BR134,'Staging Table'!BU134*SUM(D132:I132)*(-1)))</f>
        <v>-420254.6092231865</v>
      </c>
      <c r="K132" s="211">
        <f>IF(Init!$R$9="Yes",'Staging Table'!K134,'Staging Table'!BX134)*(-1)*Rates_previous!$H$32</f>
        <v>-79877.53366999999</v>
      </c>
      <c r="L132" s="211">
        <f>IF('Staging Table'!C134=1,"",SUM(D132:K132))</f>
        <v>5476845.1406161068</v>
      </c>
      <c r="M132" s="211">
        <f>IF('Staging Table'!C134=1,"",IF(Init!$R$9="Yes",(RT1SC!$C$3*'Staging Table'!F134*'Staging Table'!$F$2)+SUM('Staging Table'!L134:AI134)-IF(Init!$R$12="No",'Staging Table'!BH134, 0),X132))</f>
        <v>160526.58613508398</v>
      </c>
      <c r="N132" s="95">
        <f>IF('Staging Table'!C134=1,"",IF(M132=0, 0, L132/M132))</f>
        <v>34.1179942368382</v>
      </c>
      <c r="O132" s="211">
        <f>'Staging Table'!BS134*Rates_current!$E$76*100*12</f>
        <v>6352808.8310844703</v>
      </c>
      <c r="P132" s="211">
        <f>'Staging Table'!BS134*Rates_current!$E$77*100*12</f>
        <v>-1048863.9815396653</v>
      </c>
      <c r="Q132" s="212">
        <f>SUMPRODUCT('Staging Table'!BY134:CV134, LS_Demand_Rates_Restatement!$C$5:$Z$5)-IF(Init!$R$12="No",('Staging Table'!DU134*Rates_current!$H$34), 0)</f>
        <v>-89602.125303432607</v>
      </c>
      <c r="R132" s="212">
        <f>SUMPRODUCT('Staging Table'!CW134:DH134, LS_Demand_Rates_Restatement!$C$11:$N$11)*1000</f>
        <v>384123.02239860222</v>
      </c>
      <c r="S132" s="213">
        <f>'Staging Table'!ED134*IF(Init!$R$15="Yes",IF(Init!$R$6=2022,Rates_current!$C$88,Rates_current!$D$88),Rates_current!$H$33)</f>
        <v>0</v>
      </c>
      <c r="T132" s="213">
        <v>0</v>
      </c>
      <c r="U132" s="213">
        <f>IF('Staging Table'!D134=1, 'Staging Table'!BU134*-1*'Staging Table'!BS134/'Staging Table'!BR134,SUM(O132:T132)*'Staging Table'!BU134*-1)</f>
        <v>-404498.1698579613</v>
      </c>
      <c r="V132" s="211">
        <f>'Staging Table'!BX134*Rates_current!$H$32*-1</f>
        <v>-78367.6973</v>
      </c>
      <c r="W132" s="211">
        <f>IF('Staging Table'!C134=1,"", SUM(O132:V132))</f>
        <v>5115599.8794820132</v>
      </c>
      <c r="X132" s="211">
        <f>IF('Staging Table'!C134=1,"", (RT1SC!$C$4*'Staging Table'!BS134*'Staging Table'!$BS$2)+SUM('Staging Table'!BY134:CV134)-IF(Init!$R$12="No",'Staging Table'!DU134, 0))</f>
        <v>156322.19999999998</v>
      </c>
      <c r="Y132" s="95">
        <f>IF('Staging Table'!C134=1,"",IF(X132=0, 0, W132/X132))</f>
        <v>32.724717791087983</v>
      </c>
      <c r="Z132" s="87">
        <f ca="1">IF('Staging Table'!C134=1,"",(Y132/N132-1)+(RAND()/100000000000000))</f>
        <v>-4.0836997511586037E-2</v>
      </c>
      <c r="AA132" s="53">
        <f t="shared" ref="AA132:AA138" ca="1" si="2">IF(Z132="","",RANK(Z132,$Z$4:$Z$138))</f>
        <v>91</v>
      </c>
      <c r="AC132" s="421"/>
      <c r="AD132" s="216"/>
      <c r="AE132" s="216"/>
      <c r="AG132" s="216"/>
      <c r="AH132" s="216"/>
    </row>
    <row r="133" spans="1:34">
      <c r="B133" s="155">
        <v>13927</v>
      </c>
      <c r="C133" s="156" t="s">
        <v>238</v>
      </c>
      <c r="D133" s="211">
        <f>IF(Init!$R$9="Yes",'Staging Table'!F135,'Staging Table'!BS135)*Rates_previous!$E$76*100*12</f>
        <v>1021490.0152799999</v>
      </c>
      <c r="E133" s="211">
        <f>IF(Init!$R$9="Yes",'Staging Table'!F135,'Staging Table'!BS135)*Rates_previous!$E$77*100*12</f>
        <v>-103340.2524</v>
      </c>
      <c r="F133" s="212">
        <f>IF(Init!$R$9="Yes",SUMPRODUCT('Staging Table'!L135:AI135,LS_Demand_Rates_Restatement!$C$4:$Z$4)-IF(Init!$R$12="No",('Staging Table'!BH135*Rates_previous!$H$34), 0),SUMPRODUCT('Staging Table'!BY135:CV135,LS_Demand_Rates_Restatement!$C$4:$Z$4)-IF(Init!$R$12="No", 'Staging Table'!DU135*Rates_previous!$H$34, 0))</f>
        <v>68532.378666775621</v>
      </c>
      <c r="G133" s="212">
        <f>IF(Init!$R$9="Yes",SUMPRODUCT('Staging Table'!AJ135:AU135,LS_Demand_Rates_Restatement!$C$10:$N$10),SUMPRODUCT(LS_Demand_Rates_Restatement!$C$10:$N$10,'Staging Table'!CW135:DH135))*1000</f>
        <v>7348.3291346153901</v>
      </c>
      <c r="H133" s="213">
        <f>IF(Init!$R$9="Yes",'Staging Table'!BQ135,'Staging Table'!ED135)*IF(Init!$R$3=2020,Rates_previous!$C$88,Rates_previous!$D$88)</f>
        <v>54703.558908227074</v>
      </c>
      <c r="I133" s="211">
        <f>IF(Init!$R$9="Yes",IF('Staging Table'!$F$1=2020,(SUM('Staging Table'!AX135:BD135)*Rates_previous!$C$87),(SUM('Staging Table'!AX135:BD135)*Rates_previous!$D$87)),IF('Staging Table'!$F$1=2020,(SUM('Staging Table'!DK135:DQ135)*Rates_previous!$C$87),(SUM('Staging Table'!DK135:DQ135)*Rates_previous!$D$87)))</f>
        <v>12530.777963061331</v>
      </c>
      <c r="J133" s="213">
        <f>IF(Init!$R$9="Yes",IF('Staging Table'!D135=1,'Staging Table'!H135*-1*'Staging Table'!BS135/'Staging Table'!BR135,'Staging Table'!H135*SUM(D133:I133)*(-1)),IF('Staging Table'!D135=1,'Staging Table'!BU135*-1*'Staging Table'!BS135/'Staging Table'!BR135,'Staging Table'!BU135*SUM(D133:I133)*(-1)))</f>
        <v>0</v>
      </c>
      <c r="K133" s="211">
        <f>IF(Init!$R$9="Yes",'Staging Table'!K135,'Staging Table'!BX135)*(-1)*Rates_previous!$H$32</f>
        <v>0</v>
      </c>
      <c r="L133" s="211">
        <f>IF('Staging Table'!C135=1,"",SUM(D133:K133))</f>
        <v>1061264.8075526794</v>
      </c>
      <c r="M133" s="211">
        <f>IF('Staging Table'!C135=1,"",IF(Init!$R$9="Yes",(RT1SC!$C$3*'Staging Table'!F135*'Staging Table'!$F$2)+SUM('Staging Table'!L135:AI135)-IF(Init!$R$12="No",'Staging Table'!BH135, 0),X133))</f>
        <v>30012.0989954168</v>
      </c>
      <c r="N133" s="95">
        <f>IF('Staging Table'!C135=1,"",IF(M133=0, 0, L133/M133))</f>
        <v>35.361232405462445</v>
      </c>
      <c r="O133" s="211">
        <f>'Staging Table'!BS135*Rates_current!$E$76*100*12</f>
        <v>1346053.9794223369</v>
      </c>
      <c r="P133" s="211">
        <f>'Staging Table'!BS135*Rates_current!$E$77*100*12</f>
        <v>-222236.74185127555</v>
      </c>
      <c r="Q133" s="212">
        <f>SUMPRODUCT('Staging Table'!BY135:CV135, LS_Demand_Rates_Restatement!$C$5:$Z$5)-IF(Init!$R$12="No",('Staging Table'!DU135*Rates_current!$H$34), 0)</f>
        <v>-89048.39457696749</v>
      </c>
      <c r="R133" s="212">
        <f>SUMPRODUCT('Staging Table'!CW135:DH135, LS_Demand_Rates_Restatement!$C$11:$N$11)*1000</f>
        <v>7475.854834259264</v>
      </c>
      <c r="S133" s="213">
        <f>'Staging Table'!ED135*IF(Init!$R$15="Yes",IF(Init!$R$6=2022,Rates_current!$C$88,Rates_current!$D$88),Rates_current!$H$33)</f>
        <v>-18998.802467435733</v>
      </c>
      <c r="T133" s="213">
        <v>0</v>
      </c>
      <c r="U133" s="213">
        <f>IF('Staging Table'!D135=1, 'Staging Table'!BU135*-1*'Staging Table'!BS135/'Staging Table'!BR135,SUM(O133:T133)*'Staging Table'!BU135*-1)</f>
        <v>0</v>
      </c>
      <c r="V133" s="211">
        <f>'Staging Table'!BX135*Rates_current!$H$32*-1</f>
        <v>0</v>
      </c>
      <c r="W133" s="211">
        <f>IF('Staging Table'!C135=1,"", SUM(O133:V133))</f>
        <v>1023245.8953609174</v>
      </c>
      <c r="X133" s="211">
        <f>IF('Staging Table'!C135=1,"", (RT1SC!$C$4*'Staging Table'!BS135*'Staging Table'!$BS$2)+SUM('Staging Table'!BY135:CV135)-IF(Init!$R$12="No",'Staging Table'!DU135, 0))</f>
        <v>30012.099694364035</v>
      </c>
      <c r="Y133" s="95">
        <f>IF('Staging Table'!C135=1,"",IF(X133=0, 0, W133/X133))</f>
        <v>34.09444543305554</v>
      </c>
      <c r="Z133" s="87">
        <f ca="1">IF('Staging Table'!C135=1,"",(Y133/N133-1)+(RAND()/100000000000000))</f>
        <v>-3.5824174844394471E-2</v>
      </c>
      <c r="AA133" s="53">
        <f t="shared" ca="1" si="2"/>
        <v>47</v>
      </c>
      <c r="AC133" s="421"/>
      <c r="AD133" s="216"/>
      <c r="AE133" s="216"/>
      <c r="AG133" s="216"/>
      <c r="AH133" s="216"/>
    </row>
    <row r="134" spans="1:34">
      <c r="B134" s="135">
        <v>10597</v>
      </c>
      <c r="C134" s="136" t="s">
        <v>136</v>
      </c>
      <c r="D134" s="211">
        <f>IF(Init!$R$9="Yes",'Staging Table'!F136,'Staging Table'!BS136)*Rates_previous!$E$76*100*12</f>
        <v>4160824.9645199999</v>
      </c>
      <c r="E134" s="211">
        <f>IF(Init!$R$9="Yes",'Staging Table'!F136,'Staging Table'!BS136)*Rates_previous!$E$77*100*12</f>
        <v>-420934.80660000001</v>
      </c>
      <c r="F134" s="212">
        <f>IF(Init!$R$9="Yes",SUMPRODUCT('Staging Table'!L136:AI136,LS_Demand_Rates_Restatement!$C$4:$Z$4)-IF(Init!$R$12="No",('Staging Table'!BH136*Rates_previous!$H$34), 0),SUMPRODUCT('Staging Table'!BY136:CV136,LS_Demand_Rates_Restatement!$C$4:$Z$4)-IF(Init!$R$12="No", 'Staging Table'!DU136*Rates_previous!$H$34, 0))</f>
        <v>52845.65749875542</v>
      </c>
      <c r="G134" s="212">
        <f>IF(Init!$R$9="Yes",SUMPRODUCT('Staging Table'!AJ136:AU136,LS_Demand_Rates_Restatement!$C$10:$N$10),SUMPRODUCT(LS_Demand_Rates_Restatement!$C$10:$N$10,'Staging Table'!CW136:DH136))*1000</f>
        <v>229715.7172985042</v>
      </c>
      <c r="H134" s="213">
        <f>IF(Init!$R$9="Yes",'Staging Table'!BQ136,'Staging Table'!ED136)*IF(Init!$R$3=2020,Rates_previous!$C$88,Rates_previous!$D$88)</f>
        <v>-3438.7628846319576</v>
      </c>
      <c r="I134" s="211">
        <f>IF(Init!$R$9="Yes",IF('Staging Table'!$F$1=2020,(SUM('Staging Table'!AX136:BD136)*Rates_previous!$C$87),(SUM('Staging Table'!AX136:BD136)*Rates_previous!$D$87)),IF('Staging Table'!$F$1=2020,(SUM('Staging Table'!DK136:DQ136)*Rates_previous!$C$87),(SUM('Staging Table'!DK136:DQ136)*Rates_previous!$D$87)))</f>
        <v>51041.491344652102</v>
      </c>
      <c r="J134" s="213">
        <f>IF(Init!$R$9="Yes",IF('Staging Table'!D136=1,'Staging Table'!H136*-1*'Staging Table'!BS136/'Staging Table'!BR136,'Staging Table'!H136*SUM(D134:I134)*(-1)),IF('Staging Table'!D136=1,'Staging Table'!BU136*-1*'Staging Table'!BS136/'Staging Table'!BR136,'Staging Table'!BU136*SUM(D134:I134)*(-1)))</f>
        <v>0</v>
      </c>
      <c r="K134" s="211">
        <f>IF(Init!$R$9="Yes",'Staging Table'!K136,'Staging Table'!BX136)*(-1)*Rates_previous!$H$32</f>
        <v>0</v>
      </c>
      <c r="L134" s="211">
        <f>IF('Staging Table'!C136=1,"",SUM(D134:K134))</f>
        <v>4070054.26117728</v>
      </c>
      <c r="M134" s="211">
        <f>IF('Staging Table'!C136=1,"",IF(Init!$R$9="Yes",(RT1SC!$C$3*'Staging Table'!F136*'Staging Table'!$F$2)+SUM('Staging Table'!L136:AI136)-IF(Init!$R$12="No",'Staging Table'!BH136, 0),X134))</f>
        <v>107806.0430546212</v>
      </c>
      <c r="N134" s="95">
        <f>IF('Staging Table'!C136=1,"",IF(M134=0, 0, L134/M134))</f>
        <v>37.75348900539035</v>
      </c>
      <c r="O134" s="211">
        <f>'Staging Table'!BS136*Rates_current!$E$76*100*12</f>
        <v>4381330.1628444847</v>
      </c>
      <c r="P134" s="211">
        <f>'Staging Table'!BS136*Rates_current!$E$77*100*12</f>
        <v>-723368.12286171457</v>
      </c>
      <c r="Q134" s="212">
        <f>SUMPRODUCT('Staging Table'!BY136:CV136, LS_Demand_Rates_Restatement!$C$5:$Z$5)-IF(Init!$R$12="No",('Staging Table'!DU136*Rates_current!$H$34), 0)</f>
        <v>50016.197279715874</v>
      </c>
      <c r="R134" s="212">
        <f>SUMPRODUCT('Staging Table'!CW136:DH136, LS_Demand_Rates_Restatement!$C$11:$N$11)*1000</f>
        <v>213305.69469840633</v>
      </c>
      <c r="S134" s="213">
        <f>'Staging Table'!ED136*IF(Init!$R$15="Yes",IF(Init!$R$6=2022,Rates_current!$C$88,Rates_current!$D$88),Rates_current!$H$33)</f>
        <v>-20.013212984249257</v>
      </c>
      <c r="T134" s="213">
        <v>0</v>
      </c>
      <c r="U134" s="213">
        <f>IF('Staging Table'!D136=1, 'Staging Table'!BU136*-1*'Staging Table'!BS136/'Staging Table'!BR136,SUM(O134:T134)*'Staging Table'!BU136*-1)</f>
        <v>0</v>
      </c>
      <c r="V134" s="211">
        <f>'Staging Table'!BX136*Rates_current!$H$32*-1</f>
        <v>0</v>
      </c>
      <c r="W134" s="211">
        <f>IF('Staging Table'!C136=1,"", SUM(O134:V134))</f>
        <v>3921263.918747908</v>
      </c>
      <c r="X134" s="211">
        <f>IF('Staging Table'!C136=1,"", (RT1SC!$C$4*'Staging Table'!BS136*'Staging Table'!$BS$2)+SUM('Staging Table'!BY136:CV136)-IF(Init!$R$12="No",'Staging Table'!DU136, 0))</f>
        <v>107806.04451505987</v>
      </c>
      <c r="Y134" s="95">
        <f>IF('Staging Table'!C136=1,"",IF(X134=0, 0, W134/X134))</f>
        <v>36.373321518165248</v>
      </c>
      <c r="Z134" s="87">
        <f ca="1">IF('Staging Table'!C136=1,"",(Y134/N134-1)+(RAND()/100000000000000))</f>
        <v>-3.6557349362544421E-2</v>
      </c>
      <c r="AA134" s="53">
        <f t="shared" ca="1" si="2"/>
        <v>59</v>
      </c>
      <c r="AC134" s="421"/>
      <c r="AD134" s="216"/>
      <c r="AE134" s="216"/>
      <c r="AG134" s="216"/>
      <c r="AH134" s="216"/>
    </row>
    <row r="135" spans="1:34">
      <c r="B135" s="135">
        <v>10706</v>
      </c>
      <c r="C135" s="136" t="s">
        <v>137</v>
      </c>
      <c r="D135" s="211">
        <f>IF(Init!$R$9="Yes",'Staging Table'!F137,'Staging Table'!BS137)*Rates_previous!$E$76*100*12</f>
        <v>5814982.8301200001</v>
      </c>
      <c r="E135" s="211">
        <f>IF(Init!$R$9="Yes",'Staging Table'!F137,'Staging Table'!BS137)*Rates_previous!$E$77*100*12</f>
        <v>-588279.65460000001</v>
      </c>
      <c r="F135" s="212">
        <f>IF(Init!$R$9="Yes",SUMPRODUCT('Staging Table'!L137:AI137,LS_Demand_Rates_Restatement!$C$4:$Z$4)-IF(Init!$R$12="No",('Staging Table'!BH137*Rates_previous!$H$34), 0),SUMPRODUCT('Staging Table'!BY137:CV137,LS_Demand_Rates_Restatement!$C$4:$Z$4)-IF(Init!$R$12="No", 'Staging Table'!DU137*Rates_previous!$H$34, 0))</f>
        <v>-1053323.3796771036</v>
      </c>
      <c r="G135" s="212">
        <f>IF(Init!$R$9="Yes",SUMPRODUCT('Staging Table'!AJ137:AU137,LS_Demand_Rates_Restatement!$C$10:$N$10),SUMPRODUCT(LS_Demand_Rates_Restatement!$C$10:$N$10,'Staging Table'!CW137:DH137))*1000</f>
        <v>362461.46137980773</v>
      </c>
      <c r="H135" s="213">
        <f>IF(Init!$R$9="Yes",'Staging Table'!BQ137,'Staging Table'!ED137)*IF(Init!$R$3=2020,Rates_previous!$C$88,Rates_previous!$D$88)</f>
        <v>-197191.75878171463</v>
      </c>
      <c r="I135" s="211">
        <f>IF(Init!$R$9="Yes",IF('Staging Table'!$F$1=2020,(SUM('Staging Table'!AX137:BD137)*Rates_previous!$C$87),(SUM('Staging Table'!AX137:BD137)*Rates_previous!$D$87)),IF('Staging Table'!$F$1=2020,(SUM('Staging Table'!DK137:DQ137)*Rates_previous!$C$87),(SUM('Staging Table'!DK137:DQ137)*Rates_previous!$D$87)))</f>
        <v>71333.304891163702</v>
      </c>
      <c r="J135" s="213">
        <f>IF(Init!$R$9="Yes",IF('Staging Table'!D137=1,'Staging Table'!H137*-1*'Staging Table'!BS137/'Staging Table'!BR137,'Staging Table'!H137*SUM(D135:I135)*(-1)),IF('Staging Table'!D137=1,'Staging Table'!BU137*-1*'Staging Table'!BS137/'Staging Table'!BR137,'Staging Table'!BU137*SUM(D135:I135)*(-1)))</f>
        <v>0</v>
      </c>
      <c r="K135" s="211">
        <f>IF(Init!$R$9="Yes",'Staging Table'!K137,'Staging Table'!BX137)*(-1)*Rates_previous!$H$32</f>
        <v>0</v>
      </c>
      <c r="L135" s="211">
        <f>IF('Staging Table'!C137=1,"",SUM(D135:K135))</f>
        <v>4409982.8033321528</v>
      </c>
      <c r="M135" s="211">
        <f>IF('Staging Table'!C137=1,"",IF(Init!$R$9="Yes",(RT1SC!$C$3*'Staging Table'!F137*'Staging Table'!$F$2)+SUM('Staging Table'!L137:AI137)-IF(Init!$R$12="No",'Staging Table'!BH137, 0),X135))</f>
        <v>97181.581666557177</v>
      </c>
      <c r="N135" s="95">
        <f>IF('Staging Table'!C137=1,"",IF(M135=0, 0, L135/M135))</f>
        <v>45.378792233114559</v>
      </c>
      <c r="O135" s="211">
        <f>'Staging Table'!BS137*Rates_current!$E$76*100*12</f>
        <v>5867433.2290266016</v>
      </c>
      <c r="P135" s="211">
        <f>'Staging Table'!BS137*Rates_current!$E$77*100*12</f>
        <v>-968727.30498399411</v>
      </c>
      <c r="Q135" s="212">
        <f>SUMPRODUCT('Staging Table'!BY137:CV137, LS_Demand_Rates_Restatement!$C$5:$Z$5)-IF(Init!$R$12="No",('Staging Table'!DU137*Rates_current!$H$34), 0)</f>
        <v>-204361.62183163932</v>
      </c>
      <c r="R135" s="212">
        <f>SUMPRODUCT('Staging Table'!CW137:DH137, LS_Demand_Rates_Restatement!$C$11:$N$11)*1000</f>
        <v>331878.83732225787</v>
      </c>
      <c r="S135" s="213">
        <f>'Staging Table'!ED137*IF(Init!$R$15="Yes",IF(Init!$R$6=2022,Rates_current!$C$88,Rates_current!$D$88),Rates_current!$H$33)</f>
        <v>-36683.07511329621</v>
      </c>
      <c r="T135" s="213">
        <v>0</v>
      </c>
      <c r="U135" s="213">
        <f>IF('Staging Table'!D137=1, 'Staging Table'!BU137*-1*'Staging Table'!BS137/'Staging Table'!BR137,SUM(O135:T135)*'Staging Table'!BU137*-1)</f>
        <v>0</v>
      </c>
      <c r="V135" s="211">
        <f>'Staging Table'!BX137*Rates_current!$H$32*-1</f>
        <v>0</v>
      </c>
      <c r="W135" s="211">
        <f>IF('Staging Table'!C137=1,"", SUM(O135:V135))</f>
        <v>4989540.0644199289</v>
      </c>
      <c r="X135" s="211">
        <f>IF('Staging Table'!C137=1,"", (RT1SC!$C$4*'Staging Table'!BS137*'Staging Table'!$BS$2)+SUM('Staging Table'!BY137:CV137)-IF(Init!$R$12="No",'Staging Table'!DU137, 0))</f>
        <v>138378.54338571258</v>
      </c>
      <c r="Y135" s="95">
        <f>IF('Staging Table'!C137=1,"",IF(X135=0, 0, W135/X135))</f>
        <v>36.057180125911728</v>
      </c>
      <c r="Z135" s="87">
        <f ca="1">IF('Staging Table'!C137=1,"",(Y135/N135-1)+(RAND()/100000000000000))</f>
        <v>-0.20541780969657636</v>
      </c>
      <c r="AA135" s="53">
        <f t="shared" ca="1" si="2"/>
        <v>118</v>
      </c>
      <c r="AC135" s="421"/>
      <c r="AD135" s="216"/>
      <c r="AE135" s="216"/>
      <c r="AG135" s="216"/>
      <c r="AH135" s="216"/>
    </row>
    <row r="136" spans="1:34">
      <c r="B136" s="135">
        <v>11680</v>
      </c>
      <c r="C136" s="136" t="s">
        <v>138</v>
      </c>
      <c r="D136" s="211">
        <f>IF(Init!$R$9="Yes",'Staging Table'!F138,'Staging Table'!BS138)*Rates_previous!$E$76*100*12</f>
        <v>2129728.25196</v>
      </c>
      <c r="E136" s="211">
        <f>IF(Init!$R$9="Yes",'Staging Table'!F138,'Staging Table'!BS138)*Rates_previous!$E$77*100*12</f>
        <v>-215456.49180000002</v>
      </c>
      <c r="F136" s="212">
        <f>IF(Init!$R$9="Yes",SUMPRODUCT('Staging Table'!L138:AI138,LS_Demand_Rates_Restatement!$C$4:$Z$4)-IF(Init!$R$12="No",('Staging Table'!BH138*Rates_previous!$H$34), 0),SUMPRODUCT('Staging Table'!BY138:CV138,LS_Demand_Rates_Restatement!$C$4:$Z$4)-IF(Init!$R$12="No", 'Staging Table'!DU138*Rates_previous!$H$34, 0))</f>
        <v>33061.29221860363</v>
      </c>
      <c r="G136" s="212">
        <f>IF(Init!$R$9="Yes",SUMPRODUCT('Staging Table'!AJ138:AU138,LS_Demand_Rates_Restatement!$C$10:$N$10),SUMPRODUCT(LS_Demand_Rates_Restatement!$C$10:$N$10,'Staging Table'!CW138:DH138))*1000</f>
        <v>44788.85069704413</v>
      </c>
      <c r="H136" s="213">
        <f>IF(Init!$R$9="Yes",'Staging Table'!BQ138,'Staging Table'!ED138)*IF(Init!$R$3=2020,Rates_previous!$C$88,Rates_previous!$D$88)</f>
        <v>0</v>
      </c>
      <c r="I136" s="211">
        <f>IF(Init!$R$9="Yes",IF('Staging Table'!$F$1=2020,(SUM('Staging Table'!AX138:BD138)*Rates_previous!$C$87),(SUM('Staging Table'!AX138:BD138)*Rates_previous!$D$87)),IF('Staging Table'!$F$1=2020,(SUM('Staging Table'!DK138:DQ138)*Rates_previous!$C$87),(SUM('Staging Table'!DK138:DQ138)*Rates_previous!$D$87)))</f>
        <v>26125.709941133689</v>
      </c>
      <c r="J136" s="213">
        <f>IF(Init!$R$9="Yes",IF('Staging Table'!D138=1,'Staging Table'!H138*-1*'Staging Table'!BS138/'Staging Table'!BR138,'Staging Table'!H138*SUM(D136:I136)*(-1)),IF('Staging Table'!D138=1,'Staging Table'!BU138*-1*'Staging Table'!BS138/'Staging Table'!BR138,'Staging Table'!BU138*SUM(D136:I136)*(-1)))</f>
        <v>0</v>
      </c>
      <c r="K136" s="211">
        <f>IF(Init!$R$9="Yes",'Staging Table'!K138,'Staging Table'!BX138)*(-1)*Rates_previous!$H$32</f>
        <v>0</v>
      </c>
      <c r="L136" s="211">
        <f>IF('Staging Table'!C138=1,"",SUM(D136:K136))</f>
        <v>2018247.6130167814</v>
      </c>
      <c r="M136" s="211">
        <f>IF('Staging Table'!C138=1,"",IF(Init!$R$9="Yes",(RT1SC!$C$3*'Staging Table'!F138*'Staging Table'!$F$2)+SUM('Staging Table'!L138:AI138)-IF(Init!$R$12="No",'Staging Table'!BH138, 0),X136))</f>
        <v>55295.28</v>
      </c>
      <c r="N136" s="95">
        <f>IF('Staging Table'!C138=1,"",IF(M136=0, 0, L136/M136))</f>
        <v>36.499455523451211</v>
      </c>
      <c r="O136" s="211">
        <f>'Staging Table'!BS138*Rates_current!$E$76*100*12</f>
        <v>2149177.9375704583</v>
      </c>
      <c r="P136" s="211">
        <f>'Staging Table'!BS138*Rates_current!$E$77*100*12</f>
        <v>-354834.43443276884</v>
      </c>
      <c r="Q136" s="212">
        <f>SUMPRODUCT('Staging Table'!BY138:CV138, LS_Demand_Rates_Restatement!$C$5:$Z$5)-IF(Init!$R$12="No",('Staging Table'!DU138*Rates_current!$H$34), 0)</f>
        <v>30841.898933881472</v>
      </c>
      <c r="R136" s="212">
        <f>SUMPRODUCT('Staging Table'!CW138:DH138, LS_Demand_Rates_Restatement!$C$11:$N$11)*1000</f>
        <v>40680.343949537026</v>
      </c>
      <c r="S136" s="213">
        <f>'Staging Table'!ED138*IF(Init!$R$15="Yes",IF(Init!$R$6=2022,Rates_current!$C$88,Rates_current!$D$88),Rates_current!$H$33)</f>
        <v>0</v>
      </c>
      <c r="T136" s="213">
        <v>0</v>
      </c>
      <c r="U136" s="213">
        <f>IF('Staging Table'!D138=1, 'Staging Table'!BU138*-1*'Staging Table'!BS138/'Staging Table'!BR138,SUM(O136:T136)*'Staging Table'!BU138*-1)</f>
        <v>0</v>
      </c>
      <c r="V136" s="211">
        <f>'Staging Table'!BX138*Rates_current!$H$32*-1</f>
        <v>0</v>
      </c>
      <c r="W136" s="211">
        <f>IF('Staging Table'!C138=1,"", SUM(O136:V136))</f>
        <v>1865865.746021108</v>
      </c>
      <c r="X136" s="211">
        <f>IF('Staging Table'!C138=1,"", (RT1SC!$C$4*'Staging Table'!BS138*'Staging Table'!$BS$2)+SUM('Staging Table'!BY138:CV138)-IF(Init!$R$12="No",'Staging Table'!DU138, 0))</f>
        <v>52884.12</v>
      </c>
      <c r="Y136" s="95">
        <f>IF('Staging Table'!C138=1,"",IF(X136=0, 0, W136/X136))</f>
        <v>35.282155513244959</v>
      </c>
      <c r="Z136" s="87">
        <f ca="1">IF('Staging Table'!C138=1,"",(Y136/N136-1)+(RAND()/100000000000000))</f>
        <v>-3.3351182716240164E-2</v>
      </c>
      <c r="AA136" s="53">
        <f t="shared" ca="1" si="2"/>
        <v>23</v>
      </c>
      <c r="AC136" s="421"/>
      <c r="AD136" s="216"/>
      <c r="AE136" s="216"/>
      <c r="AG136" s="216"/>
      <c r="AH136" s="216"/>
    </row>
    <row r="137" spans="1:34">
      <c r="B137" s="135">
        <v>12026</v>
      </c>
      <c r="C137" s="136" t="s">
        <v>139</v>
      </c>
      <c r="D137" s="211">
        <f>IF(Init!$R$9="Yes",'Staging Table'!F139,'Staging Table'!BS139)*Rates_previous!$E$76*100*12</f>
        <v>15050935.246080004</v>
      </c>
      <c r="E137" s="211">
        <f>IF(Init!$R$9="Yes",'Staging Table'!F139,'Staging Table'!BS139)*Rates_previous!$E$77*100*12</f>
        <v>-1522645.7664000001</v>
      </c>
      <c r="F137" s="212">
        <f>IF(Init!$R$9="Yes",SUMPRODUCT('Staging Table'!L139:AI139,LS_Demand_Rates_Restatement!$C$4:$Z$4)-IF(Init!$R$12="No",('Staging Table'!BH139*Rates_previous!$H$34), 0),SUMPRODUCT('Staging Table'!BY139:CV139,LS_Demand_Rates_Restatement!$C$4:$Z$4)-IF(Init!$R$12="No", 'Staging Table'!DU139*Rates_previous!$H$34, 0))</f>
        <v>363146.16014510347</v>
      </c>
      <c r="G137" s="212">
        <f>IF(Init!$R$9="Yes",SUMPRODUCT('Staging Table'!AJ139:AU139,LS_Demand_Rates_Restatement!$C$10:$N$10),SUMPRODUCT(LS_Demand_Rates_Restatement!$C$10:$N$10,'Staging Table'!CW139:DH139))*1000</f>
        <v>705936.95166249969</v>
      </c>
      <c r="H137" s="213">
        <f>IF(Init!$R$9="Yes",'Staging Table'!BQ139,'Staging Table'!ED139)*IF(Init!$R$3=2020,Rates_previous!$C$88,Rates_previous!$D$88)</f>
        <v>61763.290560000052</v>
      </c>
      <c r="I137" s="211">
        <f>IF(Init!$R$9="Yes",IF('Staging Table'!$F$1=2020,(SUM('Staging Table'!AX139:BD139)*Rates_previous!$C$87),(SUM('Staging Table'!AX139:BD139)*Rates_previous!$D$87)),IF('Staging Table'!$F$1=2020,(SUM('Staging Table'!DK139:DQ139)*Rates_previous!$C$87),(SUM('Staging Table'!DK139:DQ139)*Rates_previous!$D$87)))</f>
        <v>184632.1793496389</v>
      </c>
      <c r="J137" s="213">
        <f>IF(Init!$R$9="Yes",IF('Staging Table'!D139=1,'Staging Table'!H139*-1*'Staging Table'!BS139/'Staging Table'!BR139,'Staging Table'!H139*SUM(D137:I137)*(-1)),IF('Staging Table'!D139=1,'Staging Table'!BU139*-1*'Staging Table'!BS139/'Staging Table'!BR139,'Staging Table'!BU139*SUM(D137:I137)*(-1)))</f>
        <v>0</v>
      </c>
      <c r="K137" s="211">
        <f>IF(Init!$R$9="Yes",'Staging Table'!K139,'Staging Table'!BX139)*(-1)*Rates_previous!$H$32</f>
        <v>0</v>
      </c>
      <c r="L137" s="211">
        <f>IF('Staging Table'!C139=1,"",SUM(D137:K137))</f>
        <v>14843768.061397245</v>
      </c>
      <c r="M137" s="211">
        <f>IF('Staging Table'!C139=1,"",IF(Init!$R$9="Yes",(RT1SC!$C$3*'Staging Table'!F139*'Staging Table'!$F$2)+SUM('Staging Table'!L139:AI139)-IF(Init!$R$12="No",'Staging Table'!BH139, 0),X137))</f>
        <v>394700.25599999999</v>
      </c>
      <c r="N137" s="95">
        <f>IF('Staging Table'!C139=1,"",IF(M137=0, 0, L137/M137))</f>
        <v>37.607698084181749</v>
      </c>
      <c r="O137" s="211">
        <f>'Staging Table'!BS139*Rates_current!$E$76*100*12</f>
        <v>15340171.201797262</v>
      </c>
      <c r="P137" s="211">
        <f>'Staging Table'!BS139*Rates_current!$E$77*100*12</f>
        <v>-2532699.07406777</v>
      </c>
      <c r="Q137" s="212">
        <f>SUMPRODUCT('Staging Table'!BY139:CV139, LS_Demand_Rates_Restatement!$C$5:$Z$5)-IF(Init!$R$12="No",('Staging Table'!DU139*Rates_current!$H$34), 0)</f>
        <v>214020.41352636705</v>
      </c>
      <c r="R137" s="212">
        <f>SUMPRODUCT('Staging Table'!CW139:DH139, LS_Demand_Rates_Restatement!$C$11:$N$11)*1000</f>
        <v>654303.1429245458</v>
      </c>
      <c r="S137" s="213">
        <f>'Staging Table'!ED139*IF(Init!$R$15="Yes",IF(Init!$R$6=2022,Rates_current!$C$88,Rates_current!$D$88),Rates_current!$H$33)</f>
        <v>0</v>
      </c>
      <c r="T137" s="213">
        <v>0</v>
      </c>
      <c r="U137" s="213">
        <f>IF('Staging Table'!D139=1, 'Staging Table'!BU139*-1*'Staging Table'!BS139/'Staging Table'!BR139,SUM(O137:T137)*'Staging Table'!BU139*-1)</f>
        <v>0</v>
      </c>
      <c r="V137" s="211">
        <f>'Staging Table'!BX139*Rates_current!$H$32*-1</f>
        <v>0</v>
      </c>
      <c r="W137" s="211">
        <f>IF('Staging Table'!C139=1,"", SUM(O137:V137))</f>
        <v>13675795.684180405</v>
      </c>
      <c r="X137" s="211">
        <f>IF('Staging Table'!C139=1,"", (RT1SC!$C$4*'Staging Table'!BS139*'Staging Table'!$BS$2)+SUM('Staging Table'!BY139:CV139)-IF(Init!$R$12="No",'Staging Table'!DU139, 0))</f>
        <v>376338.5403096524</v>
      </c>
      <c r="Y137" s="95">
        <f>IF('Staging Table'!C139=1,"",IF(X137=0, 0, W137/X137))</f>
        <v>36.339078301488662</v>
      </c>
      <c r="Z137" s="87">
        <f ca="1">IF('Staging Table'!C139=1,"",(Y137/N137-1)+(RAND()/100000000000000))</f>
        <v>-3.3732981472389498E-2</v>
      </c>
      <c r="AA137" s="53">
        <f t="shared" ca="1" si="2"/>
        <v>30</v>
      </c>
      <c r="AC137" s="421"/>
      <c r="AD137" s="216"/>
      <c r="AE137" s="216"/>
      <c r="AG137" s="216"/>
      <c r="AH137" s="216"/>
    </row>
    <row r="138" spans="1:34">
      <c r="B138" s="135">
        <v>10298</v>
      </c>
      <c r="C138" s="136" t="s">
        <v>140</v>
      </c>
      <c r="D138" s="211">
        <f>IF(Init!$R$9="Yes",'Staging Table'!F140,'Staging Table'!BS140)*Rates_previous!$E$76*100*12</f>
        <v>144850754.09555998</v>
      </c>
      <c r="E138" s="211">
        <f>IF(Init!$R$9="Yes",'Staging Table'!F140,'Staging Table'!BS140)*Rates_previous!$E$77*100*12</f>
        <v>-14653998.829800002</v>
      </c>
      <c r="F138" s="212">
        <f>IF(Init!$R$9="Yes",SUMPRODUCT('Staging Table'!L140:AI140,LS_Demand_Rates_Restatement!$C$4:$Z$4)-IF(Init!$R$12="No",('Staging Table'!BH140*Rates_previous!$H$34), 0),SUMPRODUCT('Staging Table'!BY140:CV140,LS_Demand_Rates_Restatement!$C$4:$Z$4)-IF(Init!$R$12="No", 'Staging Table'!DU140*Rates_previous!$H$34, 0))</f>
        <v>2737901.5003183205</v>
      </c>
      <c r="G138" s="212">
        <f>IF(Init!$R$9="Yes",SUMPRODUCT('Staging Table'!AJ140:AU140,LS_Demand_Rates_Restatement!$C$10:$N$10),SUMPRODUCT(LS_Demand_Rates_Restatement!$C$10:$N$10,'Staging Table'!CW140:DH140))*1000</f>
        <v>8493359.9910981804</v>
      </c>
      <c r="H138" s="213">
        <f>IF(Init!$R$9="Yes",'Staging Table'!BQ140,'Staging Table'!ED140)*IF(Init!$R$3=2020,Rates_previous!$C$88,Rates_previous!$D$88)</f>
        <v>0</v>
      </c>
      <c r="I138" s="211">
        <f>IF(Init!$R$9="Yes",IF('Staging Table'!$F$1=2020,(SUM('Staging Table'!AX140:BD140)*Rates_previous!$C$87),(SUM('Staging Table'!AX140:BD140)*Rates_previous!$D$87)),IF('Staging Table'!$F$1=2020,(SUM('Staging Table'!DK140:DQ140)*Rates_previous!$C$87),(SUM('Staging Table'!DK140:DQ140)*Rates_previous!$D$87)))</f>
        <v>1776906.881322697</v>
      </c>
      <c r="J138" s="213">
        <f>IF(Init!$R$9="Yes",IF('Staging Table'!D140=1,'Staging Table'!H140*-1*'Staging Table'!BS140/'Staging Table'!BR140,'Staging Table'!H140*SUM(D138:I138)*(-1)),IF('Staging Table'!D140=1,'Staging Table'!BU140*-1*'Staging Table'!BS140/'Staging Table'!BR140,'Staging Table'!BU140*SUM(D138:I138)*(-1)))</f>
        <v>-9760402.0505440664</v>
      </c>
      <c r="K138" s="211">
        <f>IF(Init!$R$9="Yes",'Staging Table'!K140,'Staging Table'!BX140)*(-1)*Rates_previous!$H$32</f>
        <v>-2427338.4752099998</v>
      </c>
      <c r="L138" s="211">
        <f>IF('Staging Table'!C140=1,"",SUM(D138:K138))</f>
        <v>131017183.11274511</v>
      </c>
      <c r="M138" s="211">
        <f>IF('Staging Table'!C140=1,"",IF(Init!$R$9="Yes",(RT1SC!$C$3*'Staging Table'!F140*'Staging Table'!$F$2)+SUM('Staging Table'!L140:AI140)-IF(Init!$R$12="No",'Staging Table'!BH140, 0),X138))</f>
        <v>3804780.8160000001</v>
      </c>
      <c r="N138" s="95">
        <f>IF('Staging Table'!C140=1,"",IF(M138=0, 0, L138/M138))</f>
        <v>34.434883229485116</v>
      </c>
      <c r="O138" s="211">
        <f>'Staging Table'!BS140*Rates_current!$E$76*100*12</f>
        <v>147707421.66675523</v>
      </c>
      <c r="P138" s="211">
        <f>'Staging Table'!BS140*Rates_current!$E$77*100*12</f>
        <v>-24386849.740275323</v>
      </c>
      <c r="Q138" s="212">
        <f>SUMPRODUCT('Staging Table'!BY140:CV140, LS_Demand_Rates_Restatement!$C$5:$Z$5)-IF(Init!$R$12="No",('Staging Table'!DU140*Rates_current!$H$34), 0)</f>
        <v>1745456.24642759</v>
      </c>
      <c r="R138" s="212">
        <f>SUMPRODUCT('Staging Table'!CW140:DH140, LS_Demand_Rates_Restatement!$C$11:$N$11)*1000</f>
        <v>7880534.31204974</v>
      </c>
      <c r="S138" s="213">
        <f>'Staging Table'!ED140*IF(Init!$R$15="Yes",IF(Init!$R$6=2022,Rates_current!$C$88,Rates_current!$D$88),Rates_current!$H$33)</f>
        <v>0</v>
      </c>
      <c r="T138" s="213">
        <v>0</v>
      </c>
      <c r="U138" s="213">
        <f>IF('Staging Table'!D140=1, 'Staging Table'!BU140*-1*'Staging Table'!BS140/'Staging Table'!BR140,SUM(O138:T138)*'Staging Table'!BU140*-1)</f>
        <v>-9700641.6588256843</v>
      </c>
      <c r="V138" s="211">
        <f>'Staging Table'!BX140*Rates_current!$H$32*-1</f>
        <v>-2381457.1899000001</v>
      </c>
      <c r="W138" s="211">
        <f>IF('Staging Table'!C140=1,"", SUM(O138:V138))</f>
        <v>120864463.63623157</v>
      </c>
      <c r="X138" s="211">
        <f>IF('Staging Table'!C140=1,"", (RT1SC!$C$4*'Staging Table'!BS140*'Staging Table'!$BS$2)+SUM('Staging Table'!BY140:CV140)-IF(Init!$R$12="No",'Staging Table'!DU140, 0))</f>
        <v>3638737.56</v>
      </c>
      <c r="Y138" s="95">
        <f>IF('Staging Table'!C140=1,"",IF(X138=0, 0, W138/X138))</f>
        <v>33.216043103760299</v>
      </c>
      <c r="Z138" s="87">
        <f ca="1">IF('Staging Table'!C140=1,"",(Y138/N138-1)+(RAND()/100000000000000))</f>
        <v>-3.5395506283606409E-2</v>
      </c>
      <c r="AA138" s="53">
        <f t="shared" ca="1" si="2"/>
        <v>42</v>
      </c>
      <c r="AC138" s="421"/>
      <c r="AD138" s="216"/>
      <c r="AE138" s="216"/>
      <c r="AG138" s="216"/>
      <c r="AH138" s="216"/>
    </row>
    <row r="139" spans="1:34">
      <c r="B139" s="251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O139" s="251"/>
      <c r="P139" s="251"/>
      <c r="Q139" s="251"/>
      <c r="R139" s="251"/>
      <c r="S139" s="251"/>
      <c r="T139" s="251"/>
      <c r="U139" s="251"/>
      <c r="V139" s="251"/>
      <c r="W139" s="251"/>
      <c r="AD139" s="216"/>
      <c r="AE139" s="216"/>
      <c r="AG139" s="216"/>
      <c r="AH139" s="216"/>
    </row>
    <row r="140" spans="1:34">
      <c r="A140" s="18"/>
      <c r="B140" s="251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O140" s="251"/>
      <c r="P140" s="251"/>
      <c r="Q140" s="251"/>
      <c r="R140" s="251"/>
      <c r="S140" s="251"/>
      <c r="T140" s="251"/>
      <c r="U140" s="251"/>
      <c r="V140" s="251"/>
      <c r="W140" s="252"/>
      <c r="AD140" s="216"/>
      <c r="AE140" s="216"/>
      <c r="AG140" s="216"/>
      <c r="AH140" s="216"/>
    </row>
    <row r="141" spans="1:34">
      <c r="A141" s="18"/>
      <c r="D141" s="251"/>
      <c r="E141" s="251"/>
      <c r="F141" s="251"/>
      <c r="G141" s="251"/>
      <c r="H141" s="251"/>
      <c r="I141" s="251"/>
      <c r="J141" s="251"/>
      <c r="K141" s="251"/>
      <c r="L141" s="251"/>
      <c r="O141" s="251"/>
      <c r="P141" s="251"/>
      <c r="Q141" s="251"/>
      <c r="R141" s="251"/>
      <c r="S141" s="251"/>
      <c r="T141" s="251"/>
      <c r="U141" s="251"/>
      <c r="V141" s="251"/>
      <c r="W141" s="251"/>
      <c r="AD141" s="216"/>
      <c r="AE141" s="216"/>
      <c r="AG141" s="216"/>
      <c r="AH141" s="216"/>
    </row>
    <row r="142" spans="1:34">
      <c r="A142" s="18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O142" s="251"/>
      <c r="P142" s="251"/>
      <c r="Q142" s="251"/>
      <c r="R142" s="251"/>
      <c r="S142" s="251"/>
      <c r="T142" s="251"/>
      <c r="U142" s="251"/>
      <c r="V142" s="251"/>
      <c r="W142" s="251"/>
    </row>
    <row r="143" spans="1:34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O143" s="251"/>
      <c r="P143" s="251"/>
      <c r="Q143" s="251"/>
      <c r="R143" s="251"/>
      <c r="S143" s="96"/>
      <c r="T143" s="96"/>
      <c r="U143" s="251"/>
      <c r="V143" s="251"/>
      <c r="W143" s="251"/>
    </row>
    <row r="144" spans="1:34">
      <c r="B144" s="135"/>
      <c r="C144" s="136"/>
      <c r="G144" s="159"/>
    </row>
    <row r="145" spans="2:3">
      <c r="B145" s="135"/>
      <c r="C145" s="136"/>
    </row>
    <row r="146" spans="2:3">
      <c r="B146" s="135"/>
      <c r="C146" s="136"/>
    </row>
    <row r="147" spans="2:3">
      <c r="B147" s="135"/>
      <c r="C147" s="136"/>
    </row>
    <row r="148" spans="2:3">
      <c r="B148" s="135"/>
      <c r="C148" s="136"/>
    </row>
    <row r="149" spans="2:3">
      <c r="B149" s="135"/>
      <c r="C149" s="136"/>
    </row>
    <row r="150" spans="2:3">
      <c r="B150" s="135"/>
      <c r="C150" s="136"/>
    </row>
    <row r="151" spans="2:3">
      <c r="B151" s="135"/>
      <c r="C151" s="136"/>
    </row>
    <row r="152" spans="2:3">
      <c r="B152" s="135"/>
      <c r="C152" s="136"/>
    </row>
    <row r="153" spans="2:3">
      <c r="B153" s="135"/>
      <c r="C153" s="136"/>
    </row>
    <row r="154" spans="2:3">
      <c r="B154" s="135"/>
      <c r="C154" s="136"/>
    </row>
    <row r="155" spans="2:3">
      <c r="B155" s="135"/>
      <c r="C155" s="136"/>
    </row>
    <row r="156" spans="2:3">
      <c r="B156" s="135"/>
      <c r="C156" s="136"/>
    </row>
    <row r="157" spans="2:3">
      <c r="B157" s="135"/>
      <c r="C157" s="136"/>
    </row>
    <row r="158" spans="2:3">
      <c r="B158" s="135"/>
      <c r="C158" s="136"/>
    </row>
    <row r="159" spans="2:3">
      <c r="B159" s="135"/>
      <c r="C159" s="136"/>
    </row>
    <row r="160" spans="2:3">
      <c r="B160" s="135"/>
      <c r="C160" s="136"/>
    </row>
    <row r="161" spans="2:3">
      <c r="B161" s="135"/>
      <c r="C161" s="136"/>
    </row>
    <row r="162" spans="2:3">
      <c r="B162" s="135"/>
      <c r="C162" s="136"/>
    </row>
    <row r="163" spans="2:3">
      <c r="B163" s="135"/>
      <c r="C163" s="136"/>
    </row>
    <row r="164" spans="2:3">
      <c r="B164" s="135"/>
      <c r="C164" s="136"/>
    </row>
    <row r="165" spans="2:3">
      <c r="B165" s="135"/>
      <c r="C165" s="136"/>
    </row>
    <row r="166" spans="2:3">
      <c r="B166" s="135"/>
      <c r="C166" s="136"/>
    </row>
    <row r="167" spans="2:3">
      <c r="B167" s="135"/>
      <c r="C167" s="136"/>
    </row>
    <row r="168" spans="2:3">
      <c r="B168" s="152"/>
      <c r="C168" s="152"/>
    </row>
    <row r="169" spans="2:3">
      <c r="B169" s="152"/>
      <c r="C169" s="152"/>
    </row>
    <row r="170" spans="2:3">
      <c r="B170" s="152"/>
      <c r="C170" s="152"/>
    </row>
  </sheetData>
  <conditionalFormatting sqref="B2">
    <cfRule type="expression" dxfId="1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170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1" sqref="B1"/>
    </sheetView>
  </sheetViews>
  <sheetFormatPr defaultColWidth="9.109375" defaultRowHeight="14.4"/>
  <cols>
    <col min="1" max="1" width="9.5546875" style="251" customWidth="1"/>
    <col min="2" max="2" width="9.109375" style="153"/>
    <col min="3" max="3" width="28.44140625" style="153" bestFit="1" customWidth="1"/>
    <col min="4" max="19" width="12.6640625" style="244" customWidth="1"/>
    <col min="20" max="20" width="13.5546875" style="244" customWidth="1"/>
    <col min="21" max="25" width="12.6640625" style="244" customWidth="1"/>
    <col min="26" max="26" width="15" style="244" bestFit="1" customWidth="1"/>
    <col min="27" max="27" width="8.44140625" style="53" bestFit="1" customWidth="1"/>
    <col min="28" max="28" width="13.5546875" style="244" bestFit="1" customWidth="1"/>
    <col min="29" max="29" width="10.88671875" style="244" bestFit="1" customWidth="1"/>
    <col min="30" max="30" width="9.88671875" style="244" bestFit="1" customWidth="1"/>
    <col min="31" max="32" width="9.109375" style="244"/>
    <col min="33" max="33" width="9.88671875" style="244" bestFit="1" customWidth="1"/>
    <col min="34" max="16384" width="9.109375" style="244"/>
  </cols>
  <sheetData>
    <row r="1" spans="1:35" ht="15.6">
      <c r="B1" s="47" t="s">
        <v>214</v>
      </c>
      <c r="C1" s="48"/>
    </row>
    <row r="2" spans="1:35">
      <c r="A2" s="49" t="s">
        <v>0</v>
      </c>
      <c r="B2" s="50"/>
      <c r="C2" s="48"/>
      <c r="D2" s="245" t="s">
        <v>149</v>
      </c>
      <c r="O2" s="245" t="s">
        <v>150</v>
      </c>
    </row>
    <row r="3" spans="1:35" s="57" customFormat="1">
      <c r="A3" s="55" t="s">
        <v>1</v>
      </c>
      <c r="B3" s="56" t="s">
        <v>2</v>
      </c>
      <c r="C3" s="51" t="s">
        <v>3</v>
      </c>
      <c r="D3" s="209" t="s">
        <v>159</v>
      </c>
      <c r="E3" s="209" t="s">
        <v>258</v>
      </c>
      <c r="F3" s="209" t="s">
        <v>208</v>
      </c>
      <c r="G3" s="209" t="s">
        <v>203</v>
      </c>
      <c r="H3" s="210" t="s">
        <v>239</v>
      </c>
      <c r="I3" s="209" t="s">
        <v>295</v>
      </c>
      <c r="J3" s="210" t="s">
        <v>259</v>
      </c>
      <c r="K3" s="209" t="s">
        <v>215</v>
      </c>
      <c r="L3" s="209" t="s">
        <v>179</v>
      </c>
      <c r="M3" s="209" t="s">
        <v>216</v>
      </c>
      <c r="N3" s="209" t="s">
        <v>221</v>
      </c>
      <c r="O3" s="214" t="s">
        <v>159</v>
      </c>
      <c r="P3" s="214" t="s">
        <v>258</v>
      </c>
      <c r="Q3" s="215" t="s">
        <v>208</v>
      </c>
      <c r="R3" s="215" t="s">
        <v>203</v>
      </c>
      <c r="S3" s="214" t="s">
        <v>239</v>
      </c>
      <c r="T3" s="215" t="s">
        <v>295</v>
      </c>
      <c r="U3" s="214" t="s">
        <v>259</v>
      </c>
      <c r="V3" s="215" t="s">
        <v>215</v>
      </c>
      <c r="W3" s="214" t="s">
        <v>179</v>
      </c>
      <c r="X3" s="215" t="s">
        <v>216</v>
      </c>
      <c r="Y3" s="215" t="s">
        <v>221</v>
      </c>
      <c r="Z3" s="217" t="s">
        <v>222</v>
      </c>
      <c r="AA3" s="218" t="s">
        <v>224</v>
      </c>
      <c r="AB3" s="244"/>
      <c r="AC3" s="244"/>
      <c r="AD3" s="244"/>
      <c r="AE3" s="244"/>
      <c r="AF3" s="244"/>
      <c r="AG3" s="244"/>
      <c r="AH3" s="244"/>
      <c r="AI3" s="244"/>
    </row>
    <row r="4" spans="1:35">
      <c r="B4" s="135">
        <v>10005</v>
      </c>
      <c r="C4" s="136" t="s">
        <v>7</v>
      </c>
      <c r="D4" s="211">
        <f>IF(Init!$R$9="Yes",'Staging Table'!F6,'Staging Table'!BS6)*Rates_previous!$E$76*100*12</f>
        <v>183953.76264</v>
      </c>
      <c r="E4" s="211">
        <f>IF(Init!$R$9="Yes",'Staging Table'!F6,'Staging Table'!BS6)*Rates_previous!$E$77*100*12</f>
        <v>-18609.9012</v>
      </c>
      <c r="F4" s="212"/>
      <c r="G4" s="212">
        <f>IF(Init!$R$9="Yes",SUMPRODUCT('Staging Table'!AJ6:AU6,LS_Demand_Rates_Restatement!$C$10:$N$10),SUMPRODUCT(LS_Demand_Rates_Restatement!$C$10:$N$10,'Staging Table'!CW6:DH6))*1000</f>
        <v>13614.782483689463</v>
      </c>
      <c r="H4" s="213"/>
      <c r="I4" s="211">
        <f>IF(Init!$R$9="Yes",IF('Staging Table'!$F$1=2020,(SUM('Staging Table'!AX6:BD6)*Rates_previous!$C$87),(SUM('Staging Table'!AX6:BD6)*Rates_previous!$D$87)),IF('Staging Table'!$F$1=2020,(SUM('Staging Table'!DK6:DQ6)*Rates_previous!$C$87),(SUM('Staging Table'!DK6:DQ6)*Rates_previous!$D$87)))</f>
        <v>2256.5896099137904</v>
      </c>
      <c r="J4" s="213">
        <f>IF(Init!$R$9="Yes",IF('Staging Table'!D6=1,'Staging Table'!H6*-1*'Staging Table'!F6/'Staging Table'!E6,'Staging Table'!H6*SUM(D4:I4)*(-1)),IF('Staging Table'!D6=1,'Staging Table'!BU6*-1*'Staging Table'!BS6/'Staging Table'!BR6,'Staging Table'!BU6*SUM(D4:I4)*(-1)))</f>
        <v>-6342.5331736761145</v>
      </c>
      <c r="K4" s="211">
        <f>IF(Init!$R$9="Yes",'Staging Table'!K6,'Staging Table'!BX6)*(-1)*Rates_previous!$H$32</f>
        <v>0</v>
      </c>
      <c r="L4" s="211">
        <f>IF('Staging Table'!C6=1,"",SUM(D4:K4))</f>
        <v>174872.70035992714</v>
      </c>
      <c r="M4" s="211">
        <f>IF('Staging Table'!C6=1,"",IF(Init!$R$9="Yes",(RT1SC!$C$3*'Staging Table'!F6*'Staging Table'!$F$2),X4))</f>
        <v>4775.836457779199</v>
      </c>
      <c r="N4" s="95">
        <f>IF('Staging Table'!C6=1,"",IF(M4=0, 0, L4/M4))</f>
        <v>36.616140838550471</v>
      </c>
      <c r="O4" s="211">
        <f>'Staging Table'!BS6*Rates_current!$E$76*100*12</f>
        <v>186092.62213285826</v>
      </c>
      <c r="P4" s="211">
        <f>'Staging Table'!BS6*Rates_current!$E$77*100*12</f>
        <v>-30724.338442292861</v>
      </c>
      <c r="Q4" s="212"/>
      <c r="R4" s="212">
        <f>SUMPRODUCT('Staging Table'!CW6:DH6, LS_Demand_Rates_Restatement!$C$11:$N$11)*1000</f>
        <v>12498.881584357203</v>
      </c>
      <c r="S4" s="213"/>
      <c r="T4" s="213">
        <v>0</v>
      </c>
      <c r="U4" s="213">
        <f>IF('Staging Table'!D6=1, 'Staging Table'!BU6*-1*'Staging Table'!BS6/'Staging Table'!BR6,SUM(O4:T4)*'Staging Table'!BU6*-1)</f>
        <v>-4999.1034400705921</v>
      </c>
      <c r="V4" s="211">
        <f>'Staging Table'!BX6*Rates_current!$H$32*-1</f>
        <v>0</v>
      </c>
      <c r="W4" s="211">
        <f>IF('Staging Table'!C6=1,"",SUM(O4:V4))</f>
        <v>162868.06183485204</v>
      </c>
      <c r="X4" s="211">
        <f>IF('Staging Table'!C6=1,"",(RT1SC!$C$4*'Staging Table'!BS6*'Staging Table'!$BS$2))</f>
        <v>4579.2151755840005</v>
      </c>
      <c r="Y4" s="95">
        <f>IF('Staging Table'!C6=1,"",IF(X4=0, 0, W4/X4))</f>
        <v>35.566806884998805</v>
      </c>
      <c r="Z4" s="87">
        <f ca="1">IF('Staging Table'!C6=1,"",(Y4/N4-1)+(RAND()/100000000000))</f>
        <v>-2.8657688368000863E-2</v>
      </c>
      <c r="AA4" s="53">
        <f t="shared" ref="AA4:AA67" ca="1" si="0">IF(Z4="","",RANK(Z4,$Z$4:$Z$138))</f>
        <v>3</v>
      </c>
      <c r="AD4" s="216"/>
      <c r="AE4" s="216"/>
      <c r="AG4" s="216"/>
      <c r="AH4" s="216"/>
    </row>
    <row r="5" spans="1:35">
      <c r="B5" s="135">
        <v>10015</v>
      </c>
      <c r="C5" s="136" t="s">
        <v>8</v>
      </c>
      <c r="D5" s="211">
        <f>IF(Init!$R$9="Yes",'Staging Table'!F7,'Staging Table'!BS7)*Rates_previous!$E$76*100*12</f>
        <v>192747.41796000002</v>
      </c>
      <c r="E5" s="211">
        <f>IF(Init!$R$9="Yes",'Staging Table'!F7,'Staging Table'!BS7)*Rates_previous!$E$77*100*12</f>
        <v>-19499.521800000002</v>
      </c>
      <c r="F5" s="212"/>
      <c r="G5" s="212">
        <f>IF(Init!$R$9="Yes",SUMPRODUCT('Staging Table'!AJ7:AU7,LS_Demand_Rates_Restatement!$C$10:$N$10),SUMPRODUCT(LS_Demand_Rates_Restatement!$C$10:$N$10,'Staging Table'!CW7:DH7))*1000</f>
        <v>31702.992399145296</v>
      </c>
      <c r="H5" s="213"/>
      <c r="I5" s="211">
        <f>IF(Init!$R$9="Yes",IF('Staging Table'!$F$1=2020,(SUM('Staging Table'!AX7:BD7)*Rates_previous!$C$87),(SUM('Staging Table'!AX7:BD7)*Rates_previous!$D$87)),IF('Staging Table'!$F$1=2020,(SUM('Staging Table'!DK7:DQ7)*Rates_previous!$C$87),(SUM('Staging Table'!DK7:DQ7)*Rates_previous!$D$87)))</f>
        <v>2364.4627566409354</v>
      </c>
      <c r="J5" s="213">
        <f>IF(Init!$R$9="Yes",IF('Staging Table'!D7=1,'Staging Table'!H7*-1*'Staging Table'!F7/'Staging Table'!E7,'Staging Table'!H7*SUM(D5:I5)*(-1)),IF('Staging Table'!D7=1,'Staging Table'!BU7*-1*'Staging Table'!BS7/'Staging Table'!BR7,'Staging Table'!BU7*SUM(D5:I5)*(-1)))</f>
        <v>0</v>
      </c>
      <c r="K5" s="211">
        <f>IF(Init!$R$9="Yes",'Staging Table'!K7,'Staging Table'!BX7)*(-1)*Rates_previous!$H$32</f>
        <v>0</v>
      </c>
      <c r="L5" s="211">
        <f>IF('Staging Table'!C7=1,"",SUM(D5:K5))</f>
        <v>207315.35131578625</v>
      </c>
      <c r="M5" s="211">
        <f>IF('Staging Table'!C7=1,"",IF(Init!$R$9="Yes",(RT1SC!$C$3*'Staging Table'!F7*'Staging Table'!$F$2),X5))</f>
        <v>5004.1387173888006</v>
      </c>
      <c r="N5" s="95">
        <f>IF('Staging Table'!C7=1,"",IF(M5=0, 0, L5/M5))</f>
        <v>41.428777862490001</v>
      </c>
      <c r="O5" s="211">
        <f>'Staging Table'!BS7*Rates_current!$E$76*100*12</f>
        <v>194725.78501531042</v>
      </c>
      <c r="P5" s="211">
        <f>'Staging Table'!BS7*Rates_current!$E$77*100*12</f>
        <v>-32149.694349409532</v>
      </c>
      <c r="Q5" s="212"/>
      <c r="R5" s="212">
        <f>SUMPRODUCT('Staging Table'!CW7:DH7, LS_Demand_Rates_Restatement!$C$11:$N$11)*1000</f>
        <v>29890.395541835824</v>
      </c>
      <c r="S5" s="213"/>
      <c r="T5" s="213">
        <v>0</v>
      </c>
      <c r="U5" s="213">
        <f>IF('Staging Table'!D7=1, 'Staging Table'!BU7*-1*'Staging Table'!BS7/'Staging Table'!BR7,SUM(O5:T5)*'Staging Table'!BU7*-1)</f>
        <v>0</v>
      </c>
      <c r="V5" s="211">
        <f>'Staging Table'!BX7*Rates_current!$H$32*-1</f>
        <v>0</v>
      </c>
      <c r="W5" s="211">
        <f>IF('Staging Table'!C7=1,"",SUM(O5:V5))</f>
        <v>192466.48620773671</v>
      </c>
      <c r="X5" s="211">
        <f>IF('Staging Table'!C7=1,"",(RT1SC!$C$4*'Staging Table'!BS7*'Staging Table'!$BS$2))</f>
        <v>4791.6529930079996</v>
      </c>
      <c r="Y5" s="95">
        <f>IF('Staging Table'!C7=1,"",IF(X5=0, 0, W5/X5))</f>
        <v>40.167033482721855</v>
      </c>
      <c r="Z5" s="87">
        <f ca="1">IF('Staging Table'!C7=1,"",(Y5/N5-1)+(RAND()/100000000000))</f>
        <v>-3.0455747059414218E-2</v>
      </c>
      <c r="AA5" s="53">
        <f t="shared" ca="1" si="0"/>
        <v>4</v>
      </c>
      <c r="AD5" s="216"/>
      <c r="AE5" s="216"/>
      <c r="AG5" s="216"/>
      <c r="AH5" s="216"/>
    </row>
    <row r="6" spans="1:35">
      <c r="B6" s="135">
        <v>10024</v>
      </c>
      <c r="C6" s="136" t="s">
        <v>9</v>
      </c>
      <c r="D6" s="211">
        <f>IF(Init!$R$9="Yes",'Staging Table'!F8,'Staging Table'!BS8)*Rates_previous!$E$76*100*12</f>
        <v>35229284.542799994</v>
      </c>
      <c r="E6" s="211">
        <f>IF(Init!$R$9="Yes",'Staging Table'!F8,'Staging Table'!BS8)*Rates_previous!$E$77*100*12</f>
        <v>-3564012.4739999995</v>
      </c>
      <c r="F6" s="212"/>
      <c r="G6" s="212">
        <f>IF(Init!$R$9="Yes",SUMPRODUCT('Staging Table'!AJ8:AU8,LS_Demand_Rates_Restatement!$C$10:$N$10),SUMPRODUCT(LS_Demand_Rates_Restatement!$C$10:$N$10,'Staging Table'!CW8:DH8))*1000</f>
        <v>0</v>
      </c>
      <c r="H6" s="213"/>
      <c r="I6" s="211">
        <f>IF(Init!$R$9="Yes",IF('Staging Table'!$F$1=2020,(SUM('Staging Table'!AX8:BD8)*Rates_previous!$C$87),(SUM('Staging Table'!AX8:BD8)*Rates_previous!$D$87)),IF('Staging Table'!$F$1=2020,(SUM('Staging Table'!DK8:DQ8)*Rates_previous!$C$87),(SUM('Staging Table'!DK8:DQ8)*Rates_previous!$D$87)))</f>
        <v>432163.14971255948</v>
      </c>
      <c r="J6" s="213">
        <f>IF(Init!$R$9="Yes",IF('Staging Table'!D8=1,'Staging Table'!H8*-1*'Staging Table'!F8/'Staging Table'!E8,'Staging Table'!H8*SUM(D6:I6)*(-1)),IF('Staging Table'!D8=1,'Staging Table'!BU8*-1*'Staging Table'!BS8/'Staging Table'!BR8,'Staging Table'!BU8*SUM(D6:I6)*(-1)))</f>
        <v>0</v>
      </c>
      <c r="K6" s="211">
        <f>IF(Init!$R$9="Yes",'Staging Table'!K8,'Staging Table'!BX8)*(-1)*Rates_previous!$H$32</f>
        <v>-3468977.5120000001</v>
      </c>
      <c r="L6" s="211">
        <f>IF('Staging Table'!C8=1,"",SUM(D6:K6))</f>
        <v>28628457.706512555</v>
      </c>
      <c r="M6" s="211">
        <f>IF('Staging Table'!C8=1,"",IF(Init!$R$9="Yes",(RT1SC!$C$3*'Staging Table'!F8*'Staging Table'!$F$2),X6))</f>
        <v>914628.21464678377</v>
      </c>
      <c r="N6" s="95">
        <f>IF('Staging Table'!C8=1,"",IF(M6=0, 0, L6/M6))</f>
        <v>31.300650087170613</v>
      </c>
      <c r="O6" s="211">
        <f>'Staging Table'!BS8*Rates_current!$E$76*100*12</f>
        <v>35547048.168496877</v>
      </c>
      <c r="P6" s="211">
        <f>'Staging Table'!BS8*Rates_current!$E$77*100*12</f>
        <v>-5868902.947552925</v>
      </c>
      <c r="Q6" s="212"/>
      <c r="R6" s="212">
        <f>SUMPRODUCT('Staging Table'!CW8:DH8, LS_Demand_Rates_Restatement!$C$11:$N$11)*1000</f>
        <v>0</v>
      </c>
      <c r="S6" s="213"/>
      <c r="T6" s="213">
        <v>0</v>
      </c>
      <c r="U6" s="213">
        <f>IF('Staging Table'!D8=1, 'Staging Table'!BU8*-1*'Staging Table'!BS8/'Staging Table'!BR8,SUM(O6:T6)*'Staging Table'!BU8*-1)</f>
        <v>0</v>
      </c>
      <c r="V6" s="211">
        <f>'Staging Table'!BX8*Rates_current!$H$32*-1</f>
        <v>-3403407.2800000003</v>
      </c>
      <c r="W6" s="211">
        <f>IF('Staging Table'!C8=1,"",SUM(O6:V6))</f>
        <v>26274737.940943949</v>
      </c>
      <c r="X6" s="211">
        <f>IF('Staging Table'!C8=1,"",(RT1SC!$C$4*'Staging Table'!BS8*'Staging Table'!$BS$2))</f>
        <v>874712.71324331989</v>
      </c>
      <c r="Y6" s="95">
        <f>IF('Staging Table'!C8=1,"",IF(X6=0, 0, W6/X6))</f>
        <v>30.038134284707798</v>
      </c>
      <c r="Z6" s="87">
        <f ca="1">IF('Staging Table'!C8=1,"",(Y6/N6-1)+(RAND()/100000000000))</f>
        <v>-4.0335130385779863E-2</v>
      </c>
      <c r="AA6" s="53">
        <f t="shared" ca="1" si="0"/>
        <v>103</v>
      </c>
      <c r="AD6" s="216"/>
      <c r="AE6" s="216"/>
      <c r="AG6" s="216"/>
      <c r="AH6" s="216"/>
    </row>
    <row r="7" spans="1:35">
      <c r="B7" s="135">
        <v>10025</v>
      </c>
      <c r="C7" s="136" t="s">
        <v>10</v>
      </c>
      <c r="D7" s="211">
        <f>IF(Init!$R$9="Yes",'Staging Table'!F9,'Staging Table'!BS9)*Rates_previous!$E$76*100*12</f>
        <v>20078054.092799999</v>
      </c>
      <c r="E7" s="211">
        <f>IF(Init!$R$9="Yes",'Staging Table'!F9,'Staging Table'!BS9)*Rates_previous!$E$77*100*12</f>
        <v>-2031220.2240000002</v>
      </c>
      <c r="F7" s="212"/>
      <c r="G7" s="212">
        <f>IF(Init!$R$9="Yes",SUMPRODUCT('Staging Table'!AJ9:AU9,LS_Demand_Rates_Restatement!$C$10:$N$10),SUMPRODUCT(LS_Demand_Rates_Restatement!$C$10:$N$10,'Staging Table'!CW9:DH9))*1000</f>
        <v>1058751.3598123931</v>
      </c>
      <c r="H7" s="213"/>
      <c r="I7" s="211">
        <f>IF(Init!$R$9="Yes",IF('Staging Table'!$F$1=2020,(SUM('Staging Table'!AX9:BD9)*Rates_previous!$C$87),(SUM('Staging Table'!AX9:BD9)*Rates_previous!$D$87)),IF('Staging Table'!$F$1=2020,(SUM('Staging Table'!DK9:DQ9)*Rates_previous!$C$87),(SUM('Staging Table'!DK9:DQ9)*Rates_previous!$D$87)))</f>
        <v>246300.63339214082</v>
      </c>
      <c r="J7" s="213">
        <f>IF(Init!$R$9="Yes",IF('Staging Table'!D9=1,'Staging Table'!H9*-1*'Staging Table'!F9/'Staging Table'!E9,'Staging Table'!H9*SUM(D7:I7)*(-1)),IF('Staging Table'!D9=1,'Staging Table'!BU9*-1*'Staging Table'!BS9/'Staging Table'!BR9,'Staging Table'!BU9*SUM(D7:I7)*(-1)))</f>
        <v>-1301304.5092868889</v>
      </c>
      <c r="K7" s="211">
        <f>IF(Init!$R$9="Yes",'Staging Table'!K9,'Staging Table'!BX9)*(-1)*Rates_previous!$H$32</f>
        <v>-921028.52127000003</v>
      </c>
      <c r="L7" s="211">
        <f>IF('Staging Table'!C9=1,"",SUM(D7:K7))</f>
        <v>17129552.831447646</v>
      </c>
      <c r="M7" s="211">
        <f>IF('Staging Table'!C9=1,"",IF(Init!$R$9="Yes",(RT1SC!$C$3*'Staging Table'!F9*'Staging Table'!$F$2),X7))</f>
        <v>521269.59167078405</v>
      </c>
      <c r="N7" s="95">
        <f>IF('Staging Table'!C9=1,"",IF(M7=0, 0, L7/M7))</f>
        <v>32.861216355520853</v>
      </c>
      <c r="O7" s="211">
        <f>'Staging Table'!BS9*Rates_current!$E$76*100*12</f>
        <v>20259155.564154468</v>
      </c>
      <c r="P7" s="211">
        <f>'Staging Table'!BS9*Rates_current!$E$77*100*12</f>
        <v>-3344835.1953671398</v>
      </c>
      <c r="Q7" s="212"/>
      <c r="R7" s="212">
        <f>SUMPRODUCT('Staging Table'!CW9:DH9, LS_Demand_Rates_Restatement!$C$11:$N$11)*1000</f>
        <v>1011488.4145275818</v>
      </c>
      <c r="S7" s="213"/>
      <c r="T7" s="213">
        <v>0</v>
      </c>
      <c r="U7" s="213">
        <f>IF('Staging Table'!D9=1, 'Staging Table'!BU9*-1*'Staging Table'!BS9/'Staging Table'!BR9,SUM(O7:T7)*'Staging Table'!BU9*-1)</f>
        <v>-1259950.4138345132</v>
      </c>
      <c r="V7" s="211">
        <f>'Staging Table'!BX9*Rates_current!$H$32*-1</f>
        <v>-903619.34130000009</v>
      </c>
      <c r="W7" s="211">
        <f>IF('Staging Table'!C9=1,"",SUM(O7:V7))</f>
        <v>15762239.028180398</v>
      </c>
      <c r="X7" s="211">
        <f>IF('Staging Table'!C9=1,"",(RT1SC!$C$4*'Staging Table'!BS9*'Staging Table'!$BS$2))</f>
        <v>498520.74488832004</v>
      </c>
      <c r="Y7" s="95">
        <f>IF('Staging Table'!C9=1,"",IF(X7=0, 0, W7/X7))</f>
        <v>31.61802029263897</v>
      </c>
      <c r="Z7" s="87">
        <f ca="1">IF('Staging Table'!C9=1,"",(Y7/N7-1)+(RAND()/100000000000))</f>
        <v>-3.7831711680814901E-2</v>
      </c>
      <c r="AA7" s="53">
        <f t="shared" ca="1" si="0"/>
        <v>93</v>
      </c>
      <c r="AD7" s="216"/>
      <c r="AE7" s="216"/>
      <c r="AG7" s="216"/>
      <c r="AH7" s="216"/>
    </row>
    <row r="8" spans="1:35">
      <c r="B8" s="135">
        <v>10027</v>
      </c>
      <c r="C8" s="136" t="s">
        <v>11</v>
      </c>
      <c r="D8" s="211">
        <f>IF(Init!$R$9="Yes",'Staging Table'!F10,'Staging Table'!BS10)*Rates_previous!$E$76*100*12</f>
        <v>20594740.759440001</v>
      </c>
      <c r="E8" s="211">
        <f>IF(Init!$R$9="Yes",'Staging Table'!F10,'Staging Table'!BS10)*Rates_previous!$E$77*100*12</f>
        <v>-2083491.4452000002</v>
      </c>
      <c r="F8" s="212"/>
      <c r="G8" s="212">
        <f>IF(Init!$R$9="Yes",SUMPRODUCT('Staging Table'!AJ10:AU10,LS_Demand_Rates_Restatement!$C$10:$N$10),SUMPRODUCT(LS_Demand_Rates_Restatement!$C$10:$N$10,'Staging Table'!CW10:DH10))*1000</f>
        <v>1414923.6628561609</v>
      </c>
      <c r="H8" s="213"/>
      <c r="I8" s="211">
        <f>IF(Init!$R$9="Yes",IF('Staging Table'!$F$1=2020,(SUM('Staging Table'!AX10:BD10)*Rates_previous!$C$87),(SUM('Staging Table'!AX10:BD10)*Rates_previous!$D$87)),IF('Staging Table'!$F$1=2020,(SUM('Staging Table'!DK10:DQ10)*Rates_previous!$C$87),(SUM('Staging Table'!DK10:DQ10)*Rates_previous!$D$87)))</f>
        <v>252638.90963497359</v>
      </c>
      <c r="J8" s="213">
        <f>IF(Init!$R$9="Yes",IF('Staging Table'!D10=1,'Staging Table'!H10*-1*'Staging Table'!F10/'Staging Table'!E10,'Staging Table'!H10*SUM(D8:I8)*(-1)),IF('Staging Table'!D10=1,'Staging Table'!BU10*-1*'Staging Table'!BS10/'Staging Table'!BR10,'Staging Table'!BU10*SUM(D8:I8)*(-1)))</f>
        <v>-1512973.3026812691</v>
      </c>
      <c r="K8" s="211">
        <f>IF(Init!$R$9="Yes",'Staging Table'!K10,'Staging Table'!BX10)*(-1)*Rates_previous!$H$32</f>
        <v>-2329428.5893999999</v>
      </c>
      <c r="L8" s="211">
        <f>IF('Staging Table'!C10=1,"",SUM(D8:K8))</f>
        <v>16336409.994649865</v>
      </c>
      <c r="M8" s="211">
        <f>IF('Staging Table'!C10=1,"",IF(Init!$R$9="Yes",(RT1SC!$C$3*'Staging Table'!F10*'Staging Table'!$F$2),X8))</f>
        <v>534683.89200568316</v>
      </c>
      <c r="N8" s="95">
        <f>IF('Staging Table'!C10=1,"",IF(M8=0, 0, L8/M8))</f>
        <v>30.553398445143781</v>
      </c>
      <c r="O8" s="211">
        <f>'Staging Table'!BS10*Rates_current!$E$76*100*12</f>
        <v>20780502.678222552</v>
      </c>
      <c r="P8" s="211">
        <f>'Staging Table'!BS10*Rates_current!$E$77*100*12</f>
        <v>-3430910.8548691305</v>
      </c>
      <c r="Q8" s="212"/>
      <c r="R8" s="212">
        <f>SUMPRODUCT('Staging Table'!CW10:DH10, LS_Demand_Rates_Restatement!$C$11:$N$11)*1000</f>
        <v>1276589.6536403403</v>
      </c>
      <c r="S8" s="213"/>
      <c r="T8" s="213">
        <v>0</v>
      </c>
      <c r="U8" s="213">
        <f>IF('Staging Table'!D10=1, 'Staging Table'!BU10*-1*'Staging Table'!BS10/'Staging Table'!BR10,SUM(O8:T8)*'Staging Table'!BU10*-1)</f>
        <v>-1480221.9048811328</v>
      </c>
      <c r="V8" s="211">
        <f>'Staging Table'!BX10*Rates_current!$H$32*-1</f>
        <v>-2285397.986</v>
      </c>
      <c r="W8" s="211">
        <f>IF('Staging Table'!C10=1,"",SUM(O8:V8))</f>
        <v>14860561.586112628</v>
      </c>
      <c r="X8" s="211">
        <f>IF('Staging Table'!C10=1,"",(RT1SC!$C$4*'Staging Table'!BS10*'Staging Table'!$BS$2))</f>
        <v>511349.62864053604</v>
      </c>
      <c r="Y8" s="95">
        <f>IF('Staging Table'!C10=1,"",IF(X8=0, 0, W8/X8))</f>
        <v>29.061449845227465</v>
      </c>
      <c r="Z8" s="87">
        <f ca="1">IF('Staging Table'!C10=1,"",(Y8/N8-1)+(RAND()/100000000000))</f>
        <v>-4.8830855998358881E-2</v>
      </c>
      <c r="AA8" s="53">
        <f t="shared" ca="1" si="0"/>
        <v>115</v>
      </c>
      <c r="AD8" s="216"/>
      <c r="AE8" s="216"/>
      <c r="AG8" s="216"/>
      <c r="AH8" s="216"/>
    </row>
    <row r="9" spans="1:35">
      <c r="B9" s="135">
        <v>10029</v>
      </c>
      <c r="C9" s="136" t="s">
        <v>12</v>
      </c>
      <c r="D9" s="211">
        <f>IF(Init!$R$9="Yes",'Staging Table'!F11,'Staging Table'!BS11)*Rates_previous!$E$76*100*12</f>
        <v>5928587.3502000002</v>
      </c>
      <c r="E9" s="211">
        <f>IF(Init!$R$9="Yes",'Staging Table'!F11,'Staging Table'!BS11)*Rates_previous!$E$77*100*12</f>
        <v>-599772.59100000001</v>
      </c>
      <c r="F9" s="212"/>
      <c r="G9" s="212">
        <f>IF(Init!$R$9="Yes",SUMPRODUCT('Staging Table'!AJ11:AU11,LS_Demand_Rates_Restatement!$C$10:$N$10),SUMPRODUCT(LS_Demand_Rates_Restatement!$C$10:$N$10,'Staging Table'!CW11:DH11))*1000</f>
        <v>0</v>
      </c>
      <c r="H9" s="213"/>
      <c r="I9" s="211">
        <f>IF(Init!$R$9="Yes",IF('Staging Table'!$F$1=2020,(SUM('Staging Table'!AX11:BD11)*Rates_previous!$C$87),(SUM('Staging Table'!AX11:BD11)*Rates_previous!$D$87)),IF('Staging Table'!$F$1=2020,(SUM('Staging Table'!DK11:DQ11)*Rates_previous!$C$87),(SUM('Staging Table'!DK11:DQ11)*Rates_previous!$D$87)))</f>
        <v>72726.909327260335</v>
      </c>
      <c r="J9" s="213">
        <f>IF(Init!$R$9="Yes",IF('Staging Table'!D11=1,'Staging Table'!H11*-1*'Staging Table'!F11/'Staging Table'!E11,'Staging Table'!H11*SUM(D9:I9)*(-1)),IF('Staging Table'!D11=1,'Staging Table'!BU11*-1*'Staging Table'!BS11/'Staging Table'!BR11,'Staging Table'!BU11*SUM(D9:I9)*(-1)))</f>
        <v>-391470.74458499567</v>
      </c>
      <c r="K9" s="211">
        <f>IF(Init!$R$9="Yes",'Staging Table'!K11,'Staging Table'!BX11)*(-1)*Rates_previous!$H$32</f>
        <v>0</v>
      </c>
      <c r="L9" s="211" t="str">
        <f>IF('Staging Table'!C11=1,"",SUM(D9:K9))</f>
        <v/>
      </c>
      <c r="M9" s="211" t="str">
        <f>IF('Staging Table'!C11=1,"",IF(Init!$R$9="Yes",(RT1SC!$C$3*'Staging Table'!F11*'Staging Table'!$F$2),X9))</f>
        <v/>
      </c>
      <c r="N9" s="95" t="str">
        <f>IF('Staging Table'!C11=1,"",IF(M9=0, 0, L9/M9))</f>
        <v/>
      </c>
      <c r="O9" s="211">
        <f>'Staging Table'!BS11*Rates_current!$E$76*100*12</f>
        <v>5982062.4472991619</v>
      </c>
      <c r="P9" s="211">
        <f>'Staging Table'!BS11*Rates_current!$E$77*100*12</f>
        <v>-987652.8639729321</v>
      </c>
      <c r="Q9" s="212"/>
      <c r="R9" s="212">
        <f>SUMPRODUCT('Staging Table'!CW11:DH11, LS_Demand_Rates_Restatement!$C$11:$N$11)*1000</f>
        <v>0</v>
      </c>
      <c r="S9" s="213"/>
      <c r="T9" s="213">
        <v>0</v>
      </c>
      <c r="U9" s="213">
        <f>IF('Staging Table'!D11=1, 'Staging Table'!BU11*-1*'Staging Table'!BS11/'Staging Table'!BR11,SUM(O9:T9)*'Staging Table'!BU11*-1)</f>
        <v>-423356.75759258011</v>
      </c>
      <c r="V9" s="211">
        <f>'Staging Table'!BX11*Rates_current!$H$32*-1</f>
        <v>0</v>
      </c>
      <c r="W9" s="211" t="str">
        <f>IF('Staging Table'!C11=1,"",SUM(O9:V9))</f>
        <v/>
      </c>
      <c r="X9" s="211" t="str">
        <f>IF('Staging Table'!C11=1,"",(RT1SC!$C$4*'Staging Table'!BS11*'Staging Table'!$BS$2))</f>
        <v/>
      </c>
      <c r="Y9" s="95" t="str">
        <f>IF('Staging Table'!C11=1,"",IF(X9=0, 0, W9/X9))</f>
        <v/>
      </c>
      <c r="Z9" s="87" t="str">
        <f ca="1">IF('Staging Table'!C11=1,"",(Y9/N9-1)+(RAND()/100000000000))</f>
        <v/>
      </c>
      <c r="AA9" s="53" t="str">
        <f t="shared" ca="1" si="0"/>
        <v/>
      </c>
      <c r="AD9" s="216"/>
      <c r="AE9" s="216"/>
      <c r="AG9" s="216"/>
      <c r="AH9" s="216"/>
    </row>
    <row r="10" spans="1:35">
      <c r="B10" s="135">
        <v>10044</v>
      </c>
      <c r="C10" s="136" t="s">
        <v>13</v>
      </c>
      <c r="D10" s="211">
        <f>IF(Init!$R$9="Yes",'Staging Table'!F12,'Staging Table'!BS12)*Rates_previous!$E$76*100*12</f>
        <v>6835046.8472399991</v>
      </c>
      <c r="E10" s="211">
        <f>IF(Init!$R$9="Yes",'Staging Table'!F12,'Staging Table'!BS12)*Rates_previous!$E$77*100*12</f>
        <v>-691475.64419999986</v>
      </c>
      <c r="F10" s="212"/>
      <c r="G10" s="212">
        <f>IF(Init!$R$9="Yes",SUMPRODUCT('Staging Table'!AJ12:AU12,LS_Demand_Rates_Restatement!$C$10:$N$10),SUMPRODUCT(LS_Demand_Rates_Restatement!$C$10:$N$10,'Staging Table'!CW12:DH12))*1000</f>
        <v>355147.22493928077</v>
      </c>
      <c r="H10" s="213"/>
      <c r="I10" s="211">
        <f>IF(Init!$R$9="Yes",IF('Staging Table'!$F$1=2020,(SUM('Staging Table'!AX12:BD12)*Rates_previous!$C$87),(SUM('Staging Table'!AX12:BD12)*Rates_previous!$D$87)),IF('Staging Table'!$F$1=2020,(SUM('Staging Table'!DK12:DQ12)*Rates_previous!$C$87),(SUM('Staging Table'!DK12:DQ12)*Rates_previous!$D$87)))</f>
        <v>83846.589911512507</v>
      </c>
      <c r="J10" s="213">
        <f>IF(Init!$R$9="Yes",IF('Staging Table'!D12=1,'Staging Table'!H12*-1*'Staging Table'!F12/'Staging Table'!E12,'Staging Table'!H12*SUM(D10:I10)*(-1)),IF('Staging Table'!D12=1,'Staging Table'!BU12*-1*'Staging Table'!BS12/'Staging Table'!BR12,'Staging Table'!BU12*SUM(D10:I10)*(-1)))</f>
        <v>0</v>
      </c>
      <c r="K10" s="211">
        <f>IF(Init!$R$9="Yes",'Staging Table'!K12,'Staging Table'!BX12)*(-1)*Rates_previous!$H$32</f>
        <v>0</v>
      </c>
      <c r="L10" s="211">
        <f>IF('Staging Table'!C12=1,"",SUM(D10:K10))</f>
        <v>6582565.0178907923</v>
      </c>
      <c r="M10" s="211">
        <f>IF('Staging Table'!C12=1,"",IF(Init!$R$9="Yes",(RT1SC!$C$3*'Staging Table'!F12*'Staging Table'!$F$2),X10))</f>
        <v>177452.55903006718</v>
      </c>
      <c r="N10" s="95">
        <f>IF('Staging Table'!C12=1,"",IF(M10=0, 0, L10/M10))</f>
        <v>37.094787778041884</v>
      </c>
      <c r="O10" s="211">
        <f>'Staging Table'!BS12*Rates_current!$E$76*100*12</f>
        <v>6896698.0926789567</v>
      </c>
      <c r="P10" s="211">
        <f>'Staging Table'!BS12*Rates_current!$E$77*100*12</f>
        <v>-1138661.4036880156</v>
      </c>
      <c r="Q10" s="212"/>
      <c r="R10" s="212">
        <f>SUMPRODUCT('Staging Table'!CW12:DH12, LS_Demand_Rates_Restatement!$C$11:$N$11)*1000</f>
        <v>333275.32090185198</v>
      </c>
      <c r="S10" s="213"/>
      <c r="T10" s="213">
        <v>0</v>
      </c>
      <c r="U10" s="213">
        <f>IF('Staging Table'!D12=1, 'Staging Table'!BU12*-1*'Staging Table'!BS12/'Staging Table'!BR12,SUM(O10:T10)*'Staging Table'!BU12*-1)</f>
        <v>0</v>
      </c>
      <c r="V10" s="211">
        <f>'Staging Table'!BX12*Rates_current!$H$32*-1</f>
        <v>0</v>
      </c>
      <c r="W10" s="211">
        <f>IF('Staging Table'!C12=1,"",SUM(O10:V10))</f>
        <v>6091312.0098927934</v>
      </c>
      <c r="X10" s="211">
        <f>IF('Staging Table'!C12=1,"",(RT1SC!$C$4*'Staging Table'!BS12*'Staging Table'!$BS$2))</f>
        <v>169708.31086935601</v>
      </c>
      <c r="Y10" s="95">
        <f>IF('Staging Table'!C12=1,"",IF(X10=0, 0, W10/X10))</f>
        <v>35.892832700350048</v>
      </c>
      <c r="Z10" s="87">
        <f ca="1">IF('Staging Table'!C12=1,"",(Y10/N10-1)+(RAND()/100000000000))</f>
        <v>-3.2402263220134349E-2</v>
      </c>
      <c r="AA10" s="53">
        <f t="shared" ca="1" si="0"/>
        <v>18</v>
      </c>
      <c r="AD10" s="216"/>
      <c r="AE10" s="216"/>
      <c r="AG10" s="216"/>
      <c r="AH10" s="216"/>
    </row>
    <row r="11" spans="1:35">
      <c r="B11" s="135">
        <v>10046</v>
      </c>
      <c r="C11" s="136" t="s">
        <v>14</v>
      </c>
      <c r="D11" s="211">
        <f>IF(Init!$R$9="Yes",'Staging Table'!F13,'Staging Table'!BS13)*Rates_previous!$E$76*100*12</f>
        <v>27546957.122160003</v>
      </c>
      <c r="E11" s="211">
        <f>IF(Init!$R$9="Yes",'Staging Table'!F13,'Staging Table'!BS13)*Rates_previous!$E$77*100*12</f>
        <v>-2786820.6827999996</v>
      </c>
      <c r="F11" s="212"/>
      <c r="G11" s="212">
        <f>IF(Init!$R$9="Yes",SUMPRODUCT('Staging Table'!AJ13:AU13,LS_Demand_Rates_Restatement!$C$10:$N$10),SUMPRODUCT(LS_Demand_Rates_Restatement!$C$10:$N$10,'Staging Table'!CW13:DH13))*1000</f>
        <v>0</v>
      </c>
      <c r="H11" s="213"/>
      <c r="I11" s="211">
        <f>IF(Init!$R$9="Yes",IF('Staging Table'!$F$1=2020,(SUM('Staging Table'!AX13:BD13)*Rates_previous!$C$87),(SUM('Staging Table'!AX13:BD13)*Rates_previous!$D$87)),IF('Staging Table'!$F$1=2020,(SUM('Staging Table'!DK13:DQ13)*Rates_previous!$C$87),(SUM('Staging Table'!DK13:DQ13)*Rates_previous!$D$87)))</f>
        <v>337922.83633936406</v>
      </c>
      <c r="J11" s="213">
        <f>IF(Init!$R$9="Yes",IF('Staging Table'!D13=1,'Staging Table'!H13*-1*'Staging Table'!F13/'Staging Table'!E13,'Staging Table'!H13*SUM(D11:I11)*(-1)),IF('Staging Table'!D13=1,'Staging Table'!BU13*-1*'Staging Table'!BS13/'Staging Table'!BR13,'Staging Table'!BU13*SUM(D11:I11)*(-1)))</f>
        <v>-1815233.521229655</v>
      </c>
      <c r="K11" s="211">
        <f>IF(Init!$R$9="Yes",'Staging Table'!K13,'Staging Table'!BX13)*(-1)*Rates_previous!$H$32</f>
        <v>-456459.42726999999</v>
      </c>
      <c r="L11" s="211" t="str">
        <f>IF('Staging Table'!C13=1,"",SUM(D11:K11))</f>
        <v/>
      </c>
      <c r="M11" s="211" t="str">
        <f>IF('Staging Table'!C13=1,"",IF(Init!$R$9="Yes",(RT1SC!$C$3*'Staging Table'!F13*'Staging Table'!$F$2),X11))</f>
        <v/>
      </c>
      <c r="N11" s="95" t="str">
        <f>IF('Staging Table'!C13=1,"",IF(M11=0, 0, L11/M11))</f>
        <v/>
      </c>
      <c r="O11" s="211">
        <f>'Staging Table'!BS13*Rates_current!$E$76*100*12</f>
        <v>27795187.330295019</v>
      </c>
      <c r="P11" s="211">
        <f>'Staging Table'!BS13*Rates_current!$E$77*100*12</f>
        <v>-4589052.1226210743</v>
      </c>
      <c r="Q11" s="212"/>
      <c r="R11" s="212">
        <f>SUMPRODUCT('Staging Table'!CW13:DH13, LS_Demand_Rates_Restatement!$C$11:$N$11)*1000</f>
        <v>0</v>
      </c>
      <c r="S11" s="213"/>
      <c r="T11" s="213">
        <v>0</v>
      </c>
      <c r="U11" s="213">
        <f>IF('Staging Table'!D13=1, 'Staging Table'!BU13*-1*'Staging Table'!BS13/'Staging Table'!BR13,SUM(O11:T11)*'Staging Table'!BU13*-1)</f>
        <v>-1851390.5671177234</v>
      </c>
      <c r="V11" s="211">
        <f>'Staging Table'!BX13*Rates_current!$H$32*-1</f>
        <v>-447831.48130000004</v>
      </c>
      <c r="W11" s="211" t="str">
        <f>IF('Staging Table'!C13=1,"",SUM(O11:V11))</f>
        <v/>
      </c>
      <c r="X11" s="211" t="str">
        <f>IF('Staging Table'!C13=1,"",(RT1SC!$C$4*'Staging Table'!BS13*'Staging Table'!$BS$2))</f>
        <v/>
      </c>
      <c r="Y11" s="95" t="str">
        <f>IF('Staging Table'!C13=1,"",IF(X11=0, 0, W11/X11))</f>
        <v/>
      </c>
      <c r="Z11" s="87" t="str">
        <f ca="1">IF('Staging Table'!C13=1,"",(Y11/N11-1)+(RAND()/100000000000))</f>
        <v/>
      </c>
      <c r="AA11" s="53" t="str">
        <f t="shared" ca="1" si="0"/>
        <v/>
      </c>
      <c r="AD11" s="216"/>
      <c r="AE11" s="216"/>
      <c r="AG11" s="216"/>
      <c r="AH11" s="216"/>
    </row>
    <row r="12" spans="1:35">
      <c r="B12" s="135">
        <v>10047</v>
      </c>
      <c r="C12" s="136" t="s">
        <v>15</v>
      </c>
      <c r="D12" s="211">
        <f>IF(Init!$R$9="Yes",'Staging Table'!F14,'Staging Table'!BS14)*Rates_previous!$E$76*100*12</f>
        <v>52172044.014480002</v>
      </c>
      <c r="E12" s="211">
        <f>IF(Init!$R$9="Yes",'Staging Table'!F14,'Staging Table'!BS14)*Rates_previous!$E$77*100*12</f>
        <v>-5278046.8883999996</v>
      </c>
      <c r="F12" s="212"/>
      <c r="G12" s="212">
        <f>IF(Init!$R$9="Yes",SUMPRODUCT('Staging Table'!AJ14:AU14,LS_Demand_Rates_Restatement!$C$10:$N$10),SUMPRODUCT(LS_Demand_Rates_Restatement!$C$10:$N$10,'Staging Table'!CW14:DH14))*1000</f>
        <v>1170014.0882148857</v>
      </c>
      <c r="H12" s="213"/>
      <c r="I12" s="211">
        <f>IF(Init!$R$9="Yes",IF('Staging Table'!$F$1=2020,(SUM('Staging Table'!AX14:BD14)*Rates_previous!$C$87),(SUM('Staging Table'!AX14:BD14)*Rates_previous!$D$87)),IF('Staging Table'!$F$1=2020,(SUM('Staging Table'!DK14:DQ14)*Rates_previous!$C$87),(SUM('Staging Table'!DK14:DQ14)*Rates_previous!$D$87)))</f>
        <v>640002.63306079502</v>
      </c>
      <c r="J12" s="213">
        <f>IF(Init!$R$9="Yes",IF('Staging Table'!D14=1,'Staging Table'!H14*-1*'Staging Table'!F14/'Staging Table'!E14,'Staging Table'!H14*SUM(D12:I12)*(-1)),IF('Staging Table'!D14=1,'Staging Table'!BU14*-1*'Staging Table'!BS14/'Staging Table'!BR14,'Staging Table'!BU14*SUM(D12:I12)*(-1)))</f>
        <v>0</v>
      </c>
      <c r="K12" s="211">
        <f>IF(Init!$R$9="Yes",'Staging Table'!K14,'Staging Table'!BX14)*(-1)*Rates_previous!$H$32</f>
        <v>0</v>
      </c>
      <c r="L12" s="211">
        <f>IF('Staging Table'!C14=1,"",SUM(D12:K12))</f>
        <v>48704013.847355694</v>
      </c>
      <c r="M12" s="211">
        <f>IF('Staging Table'!C14=1,"",IF(Init!$R$9="Yes",(RT1SC!$C$3*'Staging Table'!F14*'Staging Table'!$F$2),X12))</f>
        <v>1354498.7952697342</v>
      </c>
      <c r="N12" s="95">
        <f>IF('Staging Table'!C14=1,"",IF(M12=0, 0, L12/M12))</f>
        <v>35.957221975717445</v>
      </c>
      <c r="O12" s="211">
        <f>'Staging Table'!BS14*Rates_current!$E$76*100*12</f>
        <v>53203305.123592012</v>
      </c>
      <c r="P12" s="211">
        <f>'Staging Table'!BS14*Rates_current!$E$77*100*12</f>
        <v>-8783993.3369243853</v>
      </c>
      <c r="Q12" s="212"/>
      <c r="R12" s="212">
        <f>SUMPRODUCT('Staging Table'!CW14:DH14, LS_Demand_Rates_Restatement!$C$11:$N$11)*1000</f>
        <v>1115645.3994901709</v>
      </c>
      <c r="S12" s="213"/>
      <c r="T12" s="213">
        <v>0</v>
      </c>
      <c r="U12" s="213">
        <f>IF('Staging Table'!D14=1, 'Staging Table'!BU14*-1*'Staging Table'!BS14/'Staging Table'!BR14,SUM(O12:T12)*'Staging Table'!BU14*-1)</f>
        <v>0</v>
      </c>
      <c r="V12" s="211">
        <f>'Staging Table'!BX14*Rates_current!$H$32*-1</f>
        <v>0</v>
      </c>
      <c r="W12" s="211">
        <f>IF('Staging Table'!C14=1,"",SUM(O12:V12))</f>
        <v>45534957.1861578</v>
      </c>
      <c r="X12" s="211">
        <f>IF('Staging Table'!C14=1,"",(RT1SC!$C$4*'Staging Table'!BS14*'Staging Table'!$BS$2))</f>
        <v>1309183.456178304</v>
      </c>
      <c r="Y12" s="95">
        <f>IF('Staging Table'!C14=1,"",IF(X12=0, 0, W12/X12))</f>
        <v>34.781188970322717</v>
      </c>
      <c r="Z12" s="87">
        <f ca="1">IF('Staging Table'!C14=1,"",(Y12/N12-1)+(RAND()/100000000000))</f>
        <v>-3.2706447842159592E-2</v>
      </c>
      <c r="AA12" s="53">
        <f t="shared" ca="1" si="0"/>
        <v>20</v>
      </c>
      <c r="AD12" s="216"/>
      <c r="AE12" s="216"/>
      <c r="AG12" s="216"/>
      <c r="AH12" s="216"/>
    </row>
    <row r="13" spans="1:35">
      <c r="B13" s="135">
        <v>10055</v>
      </c>
      <c r="C13" s="136" t="s">
        <v>16</v>
      </c>
      <c r="D13" s="211">
        <f>IF(Init!$R$9="Yes",'Staging Table'!F15,'Staging Table'!BS15)*Rates_previous!$E$76*100*12</f>
        <v>130241.16528</v>
      </c>
      <c r="E13" s="211">
        <f>IF(Init!$R$9="Yes",'Staging Table'!F15,'Staging Table'!BS15)*Rates_previous!$E$77*100*12</f>
        <v>-13176.002399999999</v>
      </c>
      <c r="F13" s="212"/>
      <c r="G13" s="212">
        <f>IF(Init!$R$9="Yes",SUMPRODUCT('Staging Table'!AJ15:AU15,LS_Demand_Rates_Restatement!$C$10:$N$10),SUMPRODUCT(LS_Demand_Rates_Restatement!$C$10:$N$10,'Staging Table'!CW15:DH15))*1000</f>
        <v>11425.880156374644</v>
      </c>
      <c r="H13" s="213"/>
      <c r="I13" s="211">
        <f>IF(Init!$R$9="Yes",IF('Staging Table'!$F$1=2020,(SUM('Staging Table'!AX15:BD15)*Rates_previous!$C$87),(SUM('Staging Table'!AX15:BD15)*Rates_previous!$D$87)),IF('Staging Table'!$F$1=2020,(SUM('Staging Table'!DK15:DQ15)*Rates_previous!$C$87),(SUM('Staging Table'!DK15:DQ15)*Rates_previous!$D$87)))</f>
        <v>1597.68876774258</v>
      </c>
      <c r="J13" s="213">
        <f>IF(Init!$R$9="Yes",IF('Staging Table'!D15=1,'Staging Table'!H15*-1*'Staging Table'!F15/'Staging Table'!E15,'Staging Table'!H15*SUM(D13:I13)*(-1)),IF('Staging Table'!D15=1,'Staging Table'!BU15*-1*'Staging Table'!BS15/'Staging Table'!BR15,'Staging Table'!BU15*SUM(D13:I13)*(-1)))</f>
        <v>0</v>
      </c>
      <c r="K13" s="211">
        <f>IF(Init!$R$9="Yes",'Staging Table'!K15,'Staging Table'!BX15)*(-1)*Rates_previous!$H$32</f>
        <v>0</v>
      </c>
      <c r="L13" s="211">
        <f>IF('Staging Table'!C15=1,"",SUM(D13:K13))</f>
        <v>130088.73180411723</v>
      </c>
      <c r="M13" s="211">
        <f>IF('Staging Table'!C15=1,"",IF(Init!$R$9="Yes",(RT1SC!$C$3*'Staging Table'!F15*'Staging Table'!$F$2),X13))</f>
        <v>3381.3415747583999</v>
      </c>
      <c r="N13" s="95">
        <f>IF('Staging Table'!C15=1,"",IF(M13=0, 0, L13/M13))</f>
        <v>38.47252013083363</v>
      </c>
      <c r="O13" s="211">
        <f>'Staging Table'!BS15*Rates_current!$E$76*100*12</f>
        <v>135252.8851584176</v>
      </c>
      <c r="P13" s="211">
        <f>'Staging Table'!BS15*Rates_current!$E$77*100*12</f>
        <v>-22330.575878161304</v>
      </c>
      <c r="Q13" s="212"/>
      <c r="R13" s="212">
        <f>SUMPRODUCT('Staging Table'!CW15:DH15, LS_Demand_Rates_Restatement!$C$11:$N$11)*1000</f>
        <v>10777.684237224001</v>
      </c>
      <c r="S13" s="213"/>
      <c r="T13" s="213">
        <v>0</v>
      </c>
      <c r="U13" s="213">
        <f>IF('Staging Table'!D15=1, 'Staging Table'!BU15*-1*'Staging Table'!BS15/'Staging Table'!BR15,SUM(O13:T13)*'Staging Table'!BU15*-1)</f>
        <v>0</v>
      </c>
      <c r="V13" s="211">
        <f>'Staging Table'!BX15*Rates_current!$H$32*-1</f>
        <v>0</v>
      </c>
      <c r="W13" s="211">
        <f>IF('Staging Table'!C15=1,"",SUM(O13:V13))</f>
        <v>123699.99351748031</v>
      </c>
      <c r="X13" s="211">
        <f>IF('Staging Table'!C15=1,"",(RT1SC!$C$4*'Staging Table'!BS15*'Staging Table'!$BS$2))</f>
        <v>3328.1924729760003</v>
      </c>
      <c r="Y13" s="95">
        <f>IF('Staging Table'!C15=1,"",IF(X13=0, 0, W13/X13))</f>
        <v>37.167319655305377</v>
      </c>
      <c r="Z13" s="87">
        <f ca="1">IF('Staging Table'!C15=1,"",(Y13/N13-1)+(RAND()/100000000000))</f>
        <v>-3.392552582672273E-2</v>
      </c>
      <c r="AA13" s="53">
        <f t="shared" ca="1" si="0"/>
        <v>54</v>
      </c>
      <c r="AD13" s="216"/>
      <c r="AE13" s="216"/>
      <c r="AG13" s="216"/>
      <c r="AH13" s="216"/>
    </row>
    <row r="14" spans="1:35">
      <c r="B14" s="135">
        <v>10057</v>
      </c>
      <c r="C14" s="136" t="s">
        <v>17</v>
      </c>
      <c r="D14" s="211">
        <f>IF(Init!$R$9="Yes",'Staging Table'!F16,'Staging Table'!BS16)*Rates_previous!$E$76*100*12</f>
        <v>6763746.9392400011</v>
      </c>
      <c r="E14" s="211">
        <f>IF(Init!$R$9="Yes",'Staging Table'!F16,'Staging Table'!BS16)*Rates_previous!$E$77*100*12</f>
        <v>-684262.50420000008</v>
      </c>
      <c r="F14" s="212"/>
      <c r="G14" s="212">
        <f>IF(Init!$R$9="Yes",SUMPRODUCT('Staging Table'!AJ16:AU16,LS_Demand_Rates_Restatement!$C$10:$N$10),SUMPRODUCT(LS_Demand_Rates_Restatement!$C$10:$N$10,'Staging Table'!CW16:DH16))*1000</f>
        <v>339209.65271193022</v>
      </c>
      <c r="H14" s="213"/>
      <c r="I14" s="211">
        <f>IF(Init!$R$9="Yes",IF('Staging Table'!$F$1=2020,(SUM('Staging Table'!AX16:BD16)*Rates_previous!$C$87),(SUM('Staging Table'!AX16:BD16)*Rates_previous!$D$87)),IF('Staging Table'!$F$1=2020,(SUM('Staging Table'!DK16:DQ16)*Rates_previous!$C$87),(SUM('Staging Table'!DK16:DQ16)*Rates_previous!$D$87)))</f>
        <v>82971.94277588703</v>
      </c>
      <c r="J14" s="213">
        <f>IF(Init!$R$9="Yes",IF('Staging Table'!D16=1,'Staging Table'!H16*-1*'Staging Table'!F16/'Staging Table'!E16,'Staging Table'!H16*SUM(D14:I14)*(-1)),IF('Staging Table'!D16=1,'Staging Table'!BU16*-1*'Staging Table'!BS16/'Staging Table'!BR16,'Staging Table'!BU16*SUM(D14:I14)*(-1)))</f>
        <v>0</v>
      </c>
      <c r="K14" s="211">
        <f>IF(Init!$R$9="Yes",'Staging Table'!K16,'Staging Table'!BX16)*(-1)*Rates_previous!$H$32</f>
        <v>0</v>
      </c>
      <c r="L14" s="211">
        <f>IF('Staging Table'!C16=1,"",SUM(D14:K14))</f>
        <v>6501666.030527818</v>
      </c>
      <c r="M14" s="211">
        <f>IF('Staging Table'!C16=1,"",IF(Init!$R$9="Yes",(RT1SC!$C$3*'Staging Table'!F16*'Staging Table'!$F$2),X14))</f>
        <v>175601.45962782719</v>
      </c>
      <c r="N14" s="95">
        <f>IF('Staging Table'!C16=1,"",IF(M14=0, 0, L14/M14))</f>
        <v>37.025125214263952</v>
      </c>
      <c r="O14" s="211">
        <f>'Staging Table'!BS16*Rates_current!$E$76*100*12</f>
        <v>7111328.1143399216</v>
      </c>
      <c r="P14" s="211">
        <f>'Staging Table'!BS16*Rates_current!$E$77*100*12</f>
        <v>-1174097.3352677221</v>
      </c>
      <c r="Q14" s="212"/>
      <c r="R14" s="212">
        <f>SUMPRODUCT('Staging Table'!CW16:DH16, LS_Demand_Rates_Restatement!$C$11:$N$11)*1000</f>
        <v>315579.93583209586</v>
      </c>
      <c r="S14" s="213"/>
      <c r="T14" s="213">
        <v>0</v>
      </c>
      <c r="U14" s="213">
        <f>IF('Staging Table'!D16=1, 'Staging Table'!BU16*-1*'Staging Table'!BS16/'Staging Table'!BR16,SUM(O14:T14)*'Staging Table'!BU16*-1)</f>
        <v>0</v>
      </c>
      <c r="V14" s="211">
        <f>'Staging Table'!BX16*Rates_current!$H$32*-1</f>
        <v>0</v>
      </c>
      <c r="W14" s="211">
        <f>IF('Staging Table'!C16=1,"",SUM(O14:V14))</f>
        <v>6252810.7149042953</v>
      </c>
      <c r="X14" s="211">
        <f>IF('Staging Table'!C16=1,"",(RT1SC!$C$4*'Staging Table'!BS16*'Staging Table'!$BS$2))</f>
        <v>174989.75105253601</v>
      </c>
      <c r="Y14" s="95">
        <f>IF('Staging Table'!C16=1,"",IF(X14=0, 0, W14/X14))</f>
        <v>35.732439627433124</v>
      </c>
      <c r="Z14" s="87">
        <f ca="1">IF('Staging Table'!C16=1,"",(Y14/N14-1)+(RAND()/100000000000))</f>
        <v>-3.4913739770810082E-2</v>
      </c>
      <c r="AA14" s="53">
        <f t="shared" ca="1" si="0"/>
        <v>66</v>
      </c>
      <c r="AD14" s="216"/>
      <c r="AE14" s="216"/>
      <c r="AG14" s="216"/>
      <c r="AH14" s="216"/>
    </row>
    <row r="15" spans="1:35">
      <c r="B15" s="135">
        <v>10059</v>
      </c>
      <c r="C15" s="136" t="s">
        <v>18</v>
      </c>
      <c r="D15" s="211">
        <f>IF(Init!$R$9="Yes",'Staging Table'!F17,'Staging Table'!BS17)*Rates_previous!$E$76*100*12</f>
        <v>2525442.7413599994</v>
      </c>
      <c r="E15" s="211">
        <f>IF(Init!$R$9="Yes",'Staging Table'!F17,'Staging Table'!BS17)*Rates_previous!$E$77*100*12</f>
        <v>-255489.41879999998</v>
      </c>
      <c r="F15" s="212"/>
      <c r="G15" s="212">
        <f>IF(Init!$R$9="Yes",SUMPRODUCT('Staging Table'!AJ17:AU17,LS_Demand_Rates_Restatement!$C$10:$N$10),SUMPRODUCT(LS_Demand_Rates_Restatement!$C$10:$N$10,'Staging Table'!CW17:DH17))*1000</f>
        <v>127996.08892186609</v>
      </c>
      <c r="H15" s="213"/>
      <c r="I15" s="211">
        <f>IF(Init!$R$9="Yes",IF('Staging Table'!$F$1=2020,(SUM('Staging Table'!AX17:BD17)*Rates_previous!$C$87),(SUM('Staging Table'!AX17:BD17)*Rates_previous!$D$87)),IF('Staging Table'!$F$1=2020,(SUM('Staging Table'!DK17:DQ17)*Rates_previous!$C$87),(SUM('Staging Table'!DK17:DQ17)*Rates_previous!$D$87)))</f>
        <v>30980.001543855207</v>
      </c>
      <c r="J15" s="213">
        <f>IF(Init!$R$9="Yes",IF('Staging Table'!D17=1,'Staging Table'!H17*-1*'Staging Table'!F17/'Staging Table'!E17,'Staging Table'!H17*SUM(D15:I15)*(-1)),IF('Staging Table'!D17=1,'Staging Table'!BU17*-1*'Staging Table'!BS17/'Staging Table'!BR17,'Staging Table'!BU17*SUM(D15:I15)*(-1)))</f>
        <v>0</v>
      </c>
      <c r="K15" s="211">
        <f>IF(Init!$R$9="Yes",'Staging Table'!K17,'Staging Table'!BX17)*(-1)*Rates_previous!$H$32</f>
        <v>0</v>
      </c>
      <c r="L15" s="211">
        <f>IF('Staging Table'!C17=1,"",SUM(D15:K15))</f>
        <v>2428929.4130257205</v>
      </c>
      <c r="M15" s="211">
        <f>IF('Staging Table'!C17=1,"",IF(Init!$R$9="Yes",(RT1SC!$C$3*'Staging Table'!F17*'Staging Table'!$F$2),X15))</f>
        <v>65565.94082734079</v>
      </c>
      <c r="N15" s="95">
        <f>IF('Staging Table'!C17=1,"",IF(M15=0, 0, L15/M15))</f>
        <v>37.045596881191472</v>
      </c>
      <c r="O15" s="211">
        <f>'Staging Table'!BS17*Rates_current!$E$76*100*12</f>
        <v>2594025.6360968137</v>
      </c>
      <c r="P15" s="211">
        <f>'Staging Table'!BS17*Rates_current!$E$77*100*12</f>
        <v>-428279.8568689198</v>
      </c>
      <c r="Q15" s="212"/>
      <c r="R15" s="212">
        <f>SUMPRODUCT('Staging Table'!CW17:DH17, LS_Demand_Rates_Restatement!$C$11:$N$11)*1000</f>
        <v>117839.2549646546</v>
      </c>
      <c r="S15" s="213"/>
      <c r="T15" s="213">
        <v>0</v>
      </c>
      <c r="U15" s="213">
        <f>IF('Staging Table'!D17=1, 'Staging Table'!BU17*-1*'Staging Table'!BS17/'Staging Table'!BR17,SUM(O15:T15)*'Staging Table'!BU17*-1)</f>
        <v>0</v>
      </c>
      <c r="V15" s="211">
        <f>'Staging Table'!BX17*Rates_current!$H$32*-1</f>
        <v>0</v>
      </c>
      <c r="W15" s="211">
        <f>IF('Staging Table'!C17=1,"",SUM(O15:V15))</f>
        <v>2283585.0341925486</v>
      </c>
      <c r="X15" s="211">
        <f>IF('Staging Table'!C17=1,"",(RT1SC!$C$4*'Staging Table'!BS17*'Staging Table'!$BS$2))</f>
        <v>63831.663085428001</v>
      </c>
      <c r="Y15" s="95">
        <f>IF('Staging Table'!C17=1,"",IF(X15=0, 0, W15/X15))</f>
        <v>35.775114164522897</v>
      </c>
      <c r="Z15" s="87">
        <f ca="1">IF('Staging Table'!C17=1,"",(Y15/N15-1)+(RAND()/100000000000))</f>
        <v>-3.4295107209170866E-2</v>
      </c>
      <c r="AA15" s="53">
        <f t="shared" ca="1" si="0"/>
        <v>58</v>
      </c>
      <c r="AD15" s="216"/>
      <c r="AE15" s="216"/>
      <c r="AG15" s="216"/>
      <c r="AH15" s="216"/>
    </row>
    <row r="16" spans="1:35">
      <c r="B16" s="135">
        <v>10061</v>
      </c>
      <c r="C16" s="136" t="s">
        <v>19</v>
      </c>
      <c r="D16" s="211">
        <f>IF(Init!$R$9="Yes",'Staging Table'!F18,'Staging Table'!BS18)*Rates_previous!$E$76*100*12</f>
        <v>2943497.8686000006</v>
      </c>
      <c r="E16" s="211">
        <f>IF(Init!$R$9="Yes",'Staging Table'!F18,'Staging Table'!BS18)*Rates_previous!$E$77*100*12</f>
        <v>-297782.46299999999</v>
      </c>
      <c r="F16" s="212"/>
      <c r="G16" s="212">
        <f>IF(Init!$R$9="Yes",SUMPRODUCT('Staging Table'!AJ18:AU18,LS_Demand_Rates_Restatement!$C$10:$N$10),SUMPRODUCT(LS_Demand_Rates_Restatement!$C$10:$N$10,'Staging Table'!CW18:DH18))*1000</f>
        <v>174341.62926171653</v>
      </c>
      <c r="H16" s="213"/>
      <c r="I16" s="211">
        <f>IF(Init!$R$9="Yes",IF('Staging Table'!$F$1=2020,(SUM('Staging Table'!AX18:BD18)*Rates_previous!$C$87),(SUM('Staging Table'!AX18:BD18)*Rates_previous!$D$87)),IF('Staging Table'!$F$1=2020,(SUM('Staging Table'!DK18:DQ18)*Rates_previous!$C$87),(SUM('Staging Table'!DK18:DQ18)*Rates_previous!$D$87)))</f>
        <v>36108.349249072729</v>
      </c>
      <c r="J16" s="213">
        <f>IF(Init!$R$9="Yes",IF('Staging Table'!D18=1,'Staging Table'!H18*-1*'Staging Table'!F18/'Staging Table'!E18,'Staging Table'!H18*SUM(D16:I16)*(-1)),IF('Staging Table'!D18=1,'Staging Table'!BU18*-1*'Staging Table'!BS18/'Staging Table'!BR18,'Staging Table'!BU18*SUM(D16:I16)*(-1)))</f>
        <v>0</v>
      </c>
      <c r="K16" s="211">
        <f>IF(Init!$R$9="Yes",'Staging Table'!K18,'Staging Table'!BX18)*(-1)*Rates_previous!$H$32</f>
        <v>0</v>
      </c>
      <c r="L16" s="211">
        <f>IF('Staging Table'!C18=1,"",SUM(D16:K16))</f>
        <v>2856165.3841107902</v>
      </c>
      <c r="M16" s="211">
        <f>IF('Staging Table'!C18=1,"",IF(Init!$R$9="Yes",(RT1SC!$C$3*'Staging Table'!F18*'Staging Table'!$F$2),X16))</f>
        <v>76419.553655807991</v>
      </c>
      <c r="N16" s="95">
        <f>IF('Staging Table'!C18=1,"",IF(M16=0, 0, L16/M16))</f>
        <v>37.374798038927274</v>
      </c>
      <c r="O16" s="211">
        <f>'Staging Table'!BS18*Rates_current!$E$76*100*12</f>
        <v>2970047.8416436207</v>
      </c>
      <c r="P16" s="211">
        <f>'Staging Table'!BS18*Rates_current!$E$77*100*12</f>
        <v>-490362.02526777971</v>
      </c>
      <c r="Q16" s="212"/>
      <c r="R16" s="212">
        <f>SUMPRODUCT('Staging Table'!CW18:DH18, LS_Demand_Rates_Restatement!$C$11:$N$11)*1000</f>
        <v>160610.00305070332</v>
      </c>
      <c r="S16" s="213"/>
      <c r="T16" s="213">
        <v>0</v>
      </c>
      <c r="U16" s="213">
        <f>IF('Staging Table'!D18=1, 'Staging Table'!BU18*-1*'Staging Table'!BS18/'Staging Table'!BR18,SUM(O16:T16)*'Staging Table'!BU18*-1)</f>
        <v>0</v>
      </c>
      <c r="V16" s="211">
        <f>'Staging Table'!BX18*Rates_current!$H$32*-1</f>
        <v>0</v>
      </c>
      <c r="W16" s="211">
        <f>IF('Staging Table'!C18=1,"",SUM(O16:V16))</f>
        <v>2640295.819426544</v>
      </c>
      <c r="X16" s="211">
        <f>IF('Staging Table'!C18=1,"",(RT1SC!$C$4*'Staging Table'!BS18*'Staging Table'!$BS$2))</f>
        <v>73084.51024434001</v>
      </c>
      <c r="Y16" s="95">
        <f>IF('Staging Table'!C18=1,"",IF(X16=0, 0, W16/X16))</f>
        <v>36.126613020999486</v>
      </c>
      <c r="Z16" s="87">
        <f ca="1">IF('Staging Table'!C18=1,"",(Y16/N16-1)+(RAND()/100000000000))</f>
        <v>-3.3396435116270884E-2</v>
      </c>
      <c r="AA16" s="53">
        <f t="shared" ca="1" si="0"/>
        <v>43</v>
      </c>
      <c r="AD16" s="216"/>
      <c r="AE16" s="216"/>
      <c r="AG16" s="216"/>
      <c r="AH16" s="216"/>
    </row>
    <row r="17" spans="2:34">
      <c r="B17" s="135">
        <v>10062</v>
      </c>
      <c r="C17" s="136" t="s">
        <v>20</v>
      </c>
      <c r="D17" s="211">
        <f>IF(Init!$R$9="Yes",'Staging Table'!F19,'Staging Table'!BS19)*Rates_previous!$E$76*100*12</f>
        <v>1790103.0235199998</v>
      </c>
      <c r="E17" s="211">
        <f>IF(Init!$R$9="Yes",'Staging Table'!F19,'Staging Table'!BS19)*Rates_previous!$E$77*100*12</f>
        <v>-181097.90159999998</v>
      </c>
      <c r="F17" s="212"/>
      <c r="G17" s="212">
        <f>IF(Init!$R$9="Yes",SUMPRODUCT('Staging Table'!AJ19:AU19,LS_Demand_Rates_Restatement!$C$10:$N$10),SUMPRODUCT(LS_Demand_Rates_Restatement!$C$10:$N$10,'Staging Table'!CW19:DH19))*1000</f>
        <v>91360.225321367558</v>
      </c>
      <c r="H17" s="213"/>
      <c r="I17" s="211">
        <f>IF(Init!$R$9="Yes",IF('Staging Table'!$F$1=2020,(SUM('Staging Table'!AX19:BD19)*Rates_previous!$C$87),(SUM('Staging Table'!AX19:BD19)*Rates_previous!$D$87)),IF('Staging Table'!$F$1=2020,(SUM('Staging Table'!DK19:DQ19)*Rates_previous!$C$87),(SUM('Staging Table'!DK19:DQ19)*Rates_previous!$D$87)))</f>
        <v>21959.474085104222</v>
      </c>
      <c r="J17" s="213">
        <f>IF(Init!$R$9="Yes",IF('Staging Table'!D19=1,'Staging Table'!H19*-1*'Staging Table'!F19/'Staging Table'!E19,'Staging Table'!H19*SUM(D17:I17)*(-1)),IF('Staging Table'!D19=1,'Staging Table'!BU19*-1*'Staging Table'!BS19/'Staging Table'!BR19,'Staging Table'!BU19*SUM(D17:I17)*(-1)))</f>
        <v>0</v>
      </c>
      <c r="K17" s="211">
        <f>IF(Init!$R$9="Yes",'Staging Table'!K19,'Staging Table'!BX19)*(-1)*Rates_previous!$H$32</f>
        <v>0</v>
      </c>
      <c r="L17" s="211">
        <f>IF('Staging Table'!C19=1,"",SUM(D17:K17))</f>
        <v>1722324.8213264716</v>
      </c>
      <c r="M17" s="211">
        <f>IF('Staging Table'!C19=1,"",IF(Init!$R$9="Yes",(RT1SC!$C$3*'Staging Table'!F19*'Staging Table'!$F$2),X17))</f>
        <v>46474.935658905597</v>
      </c>
      <c r="N17" s="95">
        <f>IF('Staging Table'!C19=1,"",IF(M17=0, 0, L17/M17))</f>
        <v>37.059219058788244</v>
      </c>
      <c r="O17" s="211">
        <f>'Staging Table'!BS19*Rates_current!$E$76*100*12</f>
        <v>1806249.5230730523</v>
      </c>
      <c r="P17" s="211">
        <f>'Staging Table'!BS19*Rates_current!$E$77*100*12</f>
        <v>-298216.13034452294</v>
      </c>
      <c r="Q17" s="212"/>
      <c r="R17" s="212">
        <f>SUMPRODUCT('Staging Table'!CW19:DH19, LS_Demand_Rates_Restatement!$C$11:$N$11)*1000</f>
        <v>81596.960503988681</v>
      </c>
      <c r="S17" s="213"/>
      <c r="T17" s="213">
        <v>0</v>
      </c>
      <c r="U17" s="213">
        <f>IF('Staging Table'!D19=1, 'Staging Table'!BU19*-1*'Staging Table'!BS19/'Staging Table'!BR19,SUM(O17:T17)*'Staging Table'!BU19*-1)</f>
        <v>0</v>
      </c>
      <c r="V17" s="211">
        <f>'Staging Table'!BX19*Rates_current!$H$32*-1</f>
        <v>0</v>
      </c>
      <c r="W17" s="211">
        <f>IF('Staging Table'!C19=1,"",SUM(O17:V17))</f>
        <v>1589630.3532325181</v>
      </c>
      <c r="X17" s="211">
        <f>IF('Staging Table'!C19=1,"",(RT1SC!$C$4*'Staging Table'!BS19*'Staging Table'!$BS$2))</f>
        <v>44446.712245488001</v>
      </c>
      <c r="Y17" s="95">
        <f>IF('Staging Table'!C19=1,"",IF(X17=0, 0, W17/X17))</f>
        <v>35.764858027128632</v>
      </c>
      <c r="Z17" s="87">
        <f ca="1">IF('Staging Table'!C19=1,"",(Y17/N17-1)+(RAND()/100000000000))</f>
        <v>-3.4926829664491892E-2</v>
      </c>
      <c r="AA17" s="53">
        <f t="shared" ca="1" si="0"/>
        <v>67</v>
      </c>
      <c r="AD17" s="216"/>
      <c r="AE17" s="216"/>
      <c r="AG17" s="216"/>
      <c r="AH17" s="216"/>
    </row>
    <row r="18" spans="2:34">
      <c r="B18" s="135">
        <v>10064</v>
      </c>
      <c r="C18" s="136" t="s">
        <v>21</v>
      </c>
      <c r="D18" s="211">
        <f>IF(Init!$R$9="Yes",'Staging Table'!F20,'Staging Table'!BS20)*Rates_previous!$E$76*100*12</f>
        <v>4703892.59712</v>
      </c>
      <c r="E18" s="211">
        <f>IF(Init!$R$9="Yes",'Staging Table'!F20,'Staging Table'!BS20)*Rates_previous!$E$77*100*12</f>
        <v>-475874.88959999999</v>
      </c>
      <c r="F18" s="212"/>
      <c r="G18" s="212">
        <f>IF(Init!$R$9="Yes",SUMPRODUCT('Staging Table'!AJ20:AU20,LS_Demand_Rates_Restatement!$C$10:$N$10),SUMPRODUCT(LS_Demand_Rates_Restatement!$C$10:$N$10,'Staging Table'!CW20:DH20))*1000</f>
        <v>172511.56886207263</v>
      </c>
      <c r="H18" s="213"/>
      <c r="I18" s="211">
        <f>IF(Init!$R$9="Yes",IF('Staging Table'!$F$1=2020,(SUM('Staging Table'!AX20:BD20)*Rates_previous!$C$87),(SUM('Staging Table'!AX20:BD20)*Rates_previous!$D$87)),IF('Staging Table'!$F$1=2020,(SUM('Staging Table'!DK20:DQ20)*Rates_previous!$C$87),(SUM('Staging Table'!DK20:DQ20)*Rates_previous!$D$87)))</f>
        <v>57703.387027666322</v>
      </c>
      <c r="J18" s="213">
        <f>IF(Init!$R$9="Yes",IF('Staging Table'!D20=1,'Staging Table'!H20*-1*'Staging Table'!F20/'Staging Table'!E20,'Staging Table'!H20*SUM(D18:I18)*(-1)),IF('Staging Table'!D20=1,'Staging Table'!BU20*-1*'Staging Table'!BS20/'Staging Table'!BR20,'Staging Table'!BU20*SUM(D18:I18)*(-1)))</f>
        <v>0</v>
      </c>
      <c r="K18" s="211">
        <f>IF(Init!$R$9="Yes",'Staging Table'!K20,'Staging Table'!BX20)*(-1)*Rates_previous!$H$32</f>
        <v>0</v>
      </c>
      <c r="L18" s="211">
        <f>IF('Staging Table'!C20=1,"",SUM(D18:K18))</f>
        <v>4458232.6634097379</v>
      </c>
      <c r="M18" s="211">
        <f>IF('Staging Table'!C20=1,"",IF(Init!$R$9="Yes",(RT1SC!$C$3*'Staging Table'!F20*'Staging Table'!$F$2),X18))</f>
        <v>122123.1978971136</v>
      </c>
      <c r="N18" s="95">
        <f>IF('Staging Table'!C20=1,"",IF(M18=0, 0, L18/M18))</f>
        <v>36.506026211053786</v>
      </c>
      <c r="O18" s="211">
        <f>'Staging Table'!BS20*Rates_current!$E$76*100*12</f>
        <v>4776057.5546366042</v>
      </c>
      <c r="P18" s="211">
        <f>'Staging Table'!BS20*Rates_current!$E$77*100*12</f>
        <v>-788538.56239266042</v>
      </c>
      <c r="Q18" s="212"/>
      <c r="R18" s="212">
        <f>SUMPRODUCT('Staging Table'!CW20:DH20, LS_Demand_Rates_Restatement!$C$11:$N$11)*1000</f>
        <v>161404.11457191061</v>
      </c>
      <c r="S18" s="213"/>
      <c r="T18" s="213">
        <v>0</v>
      </c>
      <c r="U18" s="213">
        <f>IF('Staging Table'!D20=1, 'Staging Table'!BU20*-1*'Staging Table'!BS20/'Staging Table'!BR20,SUM(O18:T18)*'Staging Table'!BU20*-1)</f>
        <v>0</v>
      </c>
      <c r="V18" s="211">
        <f>'Staging Table'!BX20*Rates_current!$H$32*-1</f>
        <v>0</v>
      </c>
      <c r="W18" s="211">
        <f>IF('Staging Table'!C20=1,"",SUM(O18:V18))</f>
        <v>4148923.1068158546</v>
      </c>
      <c r="X18" s="211">
        <f>IF('Staging Table'!C20=1,"",(RT1SC!$C$4*'Staging Table'!BS20*'Staging Table'!$BS$2))</f>
        <v>117525.32143934401</v>
      </c>
      <c r="Y18" s="95">
        <f>IF('Staging Table'!C20=1,"",IF(X18=0, 0, W18/X18))</f>
        <v>35.302376168842514</v>
      </c>
      <c r="Z18" s="87">
        <f ca="1">IF('Staging Table'!C20=1,"",(Y18/N18-1)+(RAND()/100000000000))</f>
        <v>-3.2971269867508458E-2</v>
      </c>
      <c r="AA18" s="53">
        <f t="shared" ca="1" si="0"/>
        <v>24</v>
      </c>
      <c r="AD18" s="216"/>
      <c r="AE18" s="216"/>
      <c r="AG18" s="216"/>
      <c r="AH18" s="216"/>
    </row>
    <row r="19" spans="2:34">
      <c r="B19" s="135">
        <v>10065</v>
      </c>
      <c r="C19" s="136" t="s">
        <v>22</v>
      </c>
      <c r="D19" s="211">
        <f>IF(Init!$R$9="Yes",'Staging Table'!F21,'Staging Table'!BS21)*Rates_previous!$E$76*100*12</f>
        <v>800222.63411999994</v>
      </c>
      <c r="E19" s="211">
        <f>IF(Init!$R$9="Yes",'Staging Table'!F21,'Staging Table'!BS21)*Rates_previous!$E$77*100*12</f>
        <v>-80955.474600000001</v>
      </c>
      <c r="F19" s="212"/>
      <c r="G19" s="212">
        <f>IF(Init!$R$9="Yes",SUMPRODUCT('Staging Table'!AJ21:AU21,LS_Demand_Rates_Restatement!$C$10:$N$10),SUMPRODUCT(LS_Demand_Rates_Restatement!$C$10:$N$10,'Staging Table'!CW21:DH21))*1000</f>
        <v>0</v>
      </c>
      <c r="H19" s="213"/>
      <c r="I19" s="211">
        <f>IF(Init!$R$9="Yes",IF('Staging Table'!$F$1=2020,(SUM('Staging Table'!AX21:BD21)*Rates_previous!$C$87),(SUM('Staging Table'!AX21:BD21)*Rates_previous!$D$87)),IF('Staging Table'!$F$1=2020,(SUM('Staging Table'!DK21:DQ21)*Rates_previous!$C$87),(SUM('Staging Table'!DK21:DQ21)*Rates_previous!$D$87)))</f>
        <v>9816.4563521701948</v>
      </c>
      <c r="J19" s="213">
        <f>IF(Init!$R$9="Yes",IF('Staging Table'!D21=1,'Staging Table'!H21*-1*'Staging Table'!F21/'Staging Table'!E21,'Staging Table'!H21*SUM(D19:I19)*(-1)),IF('Staging Table'!D21=1,'Staging Table'!BU21*-1*'Staging Table'!BS21/'Staging Table'!BR21,'Staging Table'!BU21*SUM(D19:I19)*(-1)))</f>
        <v>-41812.097598622604</v>
      </c>
      <c r="K19" s="211">
        <f>IF(Init!$R$9="Yes",'Staging Table'!K21,'Staging Table'!BX21)*(-1)*Rates_previous!$H$32</f>
        <v>0</v>
      </c>
      <c r="L19" s="211">
        <f>IF('Staging Table'!C21=1,"",SUM(D19:K19))</f>
        <v>687271.51827354764</v>
      </c>
      <c r="M19" s="211">
        <f>IF('Staging Table'!C21=1,"",IF(Init!$R$9="Yes",(RT1SC!$C$3*'Staging Table'!F21*'Staging Table'!$F$2),X19))</f>
        <v>20775.505624473601</v>
      </c>
      <c r="N19" s="95">
        <f>IF('Staging Table'!C21=1,"",IF(M19=0, 0, L19/M19))</f>
        <v>33.080856403511063</v>
      </c>
      <c r="O19" s="211">
        <f>'Staging Table'!BS21*Rates_current!$E$76*100*12</f>
        <v>807440.53958934755</v>
      </c>
      <c r="P19" s="211">
        <f>'Staging Table'!BS21*Rates_current!$E$77*100*12</f>
        <v>-133310.37053505162</v>
      </c>
      <c r="Q19" s="212"/>
      <c r="R19" s="212">
        <f>SUMPRODUCT('Staging Table'!CW21:DH21, LS_Demand_Rates_Restatement!$C$11:$N$11)*1000</f>
        <v>0</v>
      </c>
      <c r="S19" s="213"/>
      <c r="T19" s="213">
        <v>0</v>
      </c>
      <c r="U19" s="213">
        <f>IF('Staging Table'!D21=1, 'Staging Table'!BU21*-1*'Staging Table'!BS21/'Staging Table'!BR21,SUM(O19:T19)*'Staging Table'!BU21*-1)</f>
        <v>-58371.112257002933</v>
      </c>
      <c r="V19" s="211">
        <f>'Staging Table'!BX21*Rates_current!$H$32*-1</f>
        <v>0</v>
      </c>
      <c r="W19" s="211">
        <f>IF('Staging Table'!C21=1,"",SUM(O19:V19))</f>
        <v>615759.0567972929</v>
      </c>
      <c r="X19" s="211">
        <f>IF('Staging Table'!C21=1,"",(RT1SC!$C$4*'Staging Table'!BS21*'Staging Table'!$BS$2))</f>
        <v>19868.836979628002</v>
      </c>
      <c r="Y19" s="95">
        <f>IF('Staging Table'!C21=1,"",IF(X19=0, 0, W19/X19))</f>
        <v>30.991197795253214</v>
      </c>
      <c r="Z19" s="87">
        <f ca="1">IF('Staging Table'!C21=1,"",(Y19/N19-1)+(RAND()/100000000000))</f>
        <v>-6.3168213739427936E-2</v>
      </c>
      <c r="AA19" s="53">
        <f t="shared" ca="1" si="0"/>
        <v>117</v>
      </c>
      <c r="AD19" s="216"/>
      <c r="AE19" s="216"/>
      <c r="AG19" s="216"/>
      <c r="AH19" s="216"/>
    </row>
    <row r="20" spans="2:34">
      <c r="B20" s="135">
        <v>10066</v>
      </c>
      <c r="C20" s="136" t="s">
        <v>23</v>
      </c>
      <c r="D20" s="211">
        <f>IF(Init!$R$9="Yes",'Staging Table'!F22,'Staging Table'!BS22)*Rates_previous!$E$76*100*12</f>
        <v>8202103.7499600006</v>
      </c>
      <c r="E20" s="211">
        <f>IF(Init!$R$9="Yes",'Staging Table'!F22,'Staging Table'!BS22)*Rates_previous!$E$77*100*12</f>
        <v>-829775.58179999981</v>
      </c>
      <c r="F20" s="212"/>
      <c r="G20" s="212">
        <f>IF(Init!$R$9="Yes",SUMPRODUCT('Staging Table'!AJ22:AU22,LS_Demand_Rates_Restatement!$C$10:$N$10),SUMPRODUCT(LS_Demand_Rates_Restatement!$C$10:$N$10,'Staging Table'!CW22:DH22))*1000</f>
        <v>163078.12479326932</v>
      </c>
      <c r="H20" s="213"/>
      <c r="I20" s="211">
        <f>IF(Init!$R$9="Yes",IF('Staging Table'!$F$1=2020,(SUM('Staging Table'!AX22:BD22)*Rates_previous!$C$87),(SUM('Staging Table'!AX22:BD22)*Rates_previous!$D$87)),IF('Staging Table'!$F$1=2020,(SUM('Staging Table'!DK22:DQ22)*Rates_previous!$C$87),(SUM('Staging Table'!DK22:DQ22)*Rates_previous!$D$87)))</f>
        <v>100616.49099190545</v>
      </c>
      <c r="J20" s="213">
        <f>IF(Init!$R$9="Yes",IF('Staging Table'!D22=1,'Staging Table'!H22*-1*'Staging Table'!F22/'Staging Table'!E22,'Staging Table'!H22*SUM(D20:I20)*(-1)),IF('Staging Table'!D22=1,'Staging Table'!BU22*-1*'Staging Table'!BS22/'Staging Table'!BR22,'Staging Table'!BU22*SUM(D20:I20)*(-1)))</f>
        <v>0</v>
      </c>
      <c r="K20" s="211">
        <f>IF(Init!$R$9="Yes",'Staging Table'!K22,'Staging Table'!BX22)*(-1)*Rates_previous!$H$32</f>
        <v>0</v>
      </c>
      <c r="L20" s="211">
        <f>IF('Staging Table'!C22=1,"",SUM(D20:K20))</f>
        <v>7636022.7839451758</v>
      </c>
      <c r="M20" s="211">
        <f>IF('Staging Table'!C22=1,"",IF(Init!$R$9="Yes",(RT1SC!$C$3*'Staging Table'!F22*'Staging Table'!$F$2),X20))</f>
        <v>212944.30490234878</v>
      </c>
      <c r="N20" s="95">
        <f>IF('Staging Table'!C22=1,"",IF(M20=0, 0, L20/M20))</f>
        <v>35.859248677474021</v>
      </c>
      <c r="O20" s="211">
        <f>'Staging Table'!BS22*Rates_current!$E$76*100*12</f>
        <v>8276085.6732307617</v>
      </c>
      <c r="P20" s="211">
        <f>'Staging Table'!BS22*Rates_current!$E$77*100*12</f>
        <v>-1366401.6030695476</v>
      </c>
      <c r="Q20" s="212"/>
      <c r="R20" s="212">
        <f>SUMPRODUCT('Staging Table'!CW22:DH22, LS_Demand_Rates_Restatement!$C$11:$N$11)*1000</f>
        <v>149565.85901995181</v>
      </c>
      <c r="S20" s="213"/>
      <c r="T20" s="213">
        <v>0</v>
      </c>
      <c r="U20" s="213">
        <f>IF('Staging Table'!D22=1, 'Staging Table'!BU22*-1*'Staging Table'!BS22/'Staging Table'!BR22,SUM(O20:T20)*'Staging Table'!BU22*-1)</f>
        <v>0</v>
      </c>
      <c r="V20" s="211">
        <f>'Staging Table'!BX22*Rates_current!$H$32*-1</f>
        <v>0</v>
      </c>
      <c r="W20" s="211">
        <f>IF('Staging Table'!C22=1,"",SUM(O20:V20))</f>
        <v>7059249.929181166</v>
      </c>
      <c r="X20" s="211">
        <f>IF('Staging Table'!C22=1,"",(RT1SC!$C$4*'Staging Table'!BS22*'Staging Table'!$BS$2))</f>
        <v>203651.15325332401</v>
      </c>
      <c r="Y20" s="95">
        <f>IF('Staging Table'!C22=1,"",IF(X20=0, 0, W20/X20))</f>
        <v>34.663441951640138</v>
      </c>
      <c r="Z20" s="87">
        <f ca="1">IF('Staging Table'!C22=1,"",(Y20/N20-1)+(RAND()/100000000000))</f>
        <v>-3.3347233132171861E-2</v>
      </c>
      <c r="AA20" s="53">
        <f t="shared" ca="1" si="0"/>
        <v>42</v>
      </c>
      <c r="AD20" s="216"/>
      <c r="AE20" s="216"/>
      <c r="AG20" s="216"/>
      <c r="AH20" s="216"/>
    </row>
    <row r="21" spans="2:34">
      <c r="B21" s="135">
        <v>10067</v>
      </c>
      <c r="C21" s="136" t="s">
        <v>24</v>
      </c>
      <c r="D21" s="211">
        <f>IF(Init!$R$9="Yes",'Staging Table'!F23,'Staging Table'!BS23)*Rates_previous!$E$76*100*12</f>
        <v>5323013.4649200002</v>
      </c>
      <c r="E21" s="211">
        <f>IF(Init!$R$9="Yes",'Staging Table'!F23,'Staging Table'!BS23)*Rates_previous!$E$77*100*12</f>
        <v>-538508.98860000004</v>
      </c>
      <c r="F21" s="212"/>
      <c r="G21" s="212">
        <f>IF(Init!$R$9="Yes",SUMPRODUCT('Staging Table'!AJ23:AU23,LS_Demand_Rates_Restatement!$C$10:$N$10),SUMPRODUCT(LS_Demand_Rates_Restatement!$C$10:$N$10,'Staging Table'!CW23:DH23))*1000</f>
        <v>609092.8257963676</v>
      </c>
      <c r="H21" s="213"/>
      <c r="I21" s="211">
        <f>IF(Init!$R$9="Yes",IF('Staging Table'!$F$1=2020,(SUM('Staging Table'!AX23:BD23)*Rates_previous!$C$87),(SUM('Staging Table'!AX23:BD23)*Rates_previous!$D$87)),IF('Staging Table'!$F$1=2020,(SUM('Staging Table'!DK23:DQ23)*Rates_previous!$C$87),(SUM('Staging Table'!DK23:DQ23)*Rates_previous!$D$87)))</f>
        <v>65298.239655347745</v>
      </c>
      <c r="J21" s="213">
        <f>IF(Init!$R$9="Yes",IF('Staging Table'!D23=1,'Staging Table'!H23*-1*'Staging Table'!F23/'Staging Table'!E23,'Staging Table'!H23*SUM(D21:I21)*(-1)),IF('Staging Table'!D23=1,'Staging Table'!BU23*-1*'Staging Table'!BS23/'Staging Table'!BR23,'Staging Table'!BU23*SUM(D21:I21)*(-1)))</f>
        <v>0</v>
      </c>
      <c r="K21" s="211">
        <f>IF(Init!$R$9="Yes",'Staging Table'!K23,'Staging Table'!BX23)*(-1)*Rates_previous!$H$32</f>
        <v>0</v>
      </c>
      <c r="L21" s="211">
        <f>IF('Staging Table'!C23=1,"",SUM(D21:K21))</f>
        <v>5458895.5417717155</v>
      </c>
      <c r="M21" s="211">
        <f>IF('Staging Table'!C23=1,"",IF(Init!$R$9="Yes",(RT1SC!$C$3*'Staging Table'!F23*'Staging Table'!$F$2),X21))</f>
        <v>138196.91103989759</v>
      </c>
      <c r="N21" s="95">
        <f>IF('Staging Table'!C23=1,"",IF(M21=0, 0, L21/M21))</f>
        <v>39.500850639098054</v>
      </c>
      <c r="O21" s="211">
        <f>'Staging Table'!BS23*Rates_current!$E$76*100*12</f>
        <v>5371266.1733656693</v>
      </c>
      <c r="P21" s="211">
        <f>'Staging Table'!BS23*Rates_current!$E$77*100*12</f>
        <v>-886808.93354442716</v>
      </c>
      <c r="Q21" s="212"/>
      <c r="R21" s="212">
        <f>SUMPRODUCT('Staging Table'!CW23:DH23, LS_Demand_Rates_Restatement!$C$11:$N$11)*1000</f>
        <v>562669.01032548957</v>
      </c>
      <c r="S21" s="213"/>
      <c r="T21" s="213">
        <v>0</v>
      </c>
      <c r="U21" s="213">
        <f>IF('Staging Table'!D23=1, 'Staging Table'!BU23*-1*'Staging Table'!BS23/'Staging Table'!BR23,SUM(O21:T21)*'Staging Table'!BU23*-1)</f>
        <v>0</v>
      </c>
      <c r="V21" s="211">
        <f>'Staging Table'!BX23*Rates_current!$H$32*-1</f>
        <v>0</v>
      </c>
      <c r="W21" s="211">
        <f>IF('Staging Table'!C23=1,"",SUM(O21:V21))</f>
        <v>5047126.2501467317</v>
      </c>
      <c r="X21" s="211">
        <f>IF('Staging Table'!C23=1,"",(RT1SC!$C$4*'Staging Table'!BS23*'Staging Table'!$BS$2))</f>
        <v>132171.72874063201</v>
      </c>
      <c r="Y21" s="95">
        <f>IF('Staging Table'!C23=1,"",IF(X21=0, 0, W21/X21))</f>
        <v>38.186125718692765</v>
      </c>
      <c r="Z21" s="87">
        <f ca="1">IF('Staging Table'!C23=1,"",(Y21/N21-1)+(RAND()/100000000000))</f>
        <v>-3.3283458431979045E-2</v>
      </c>
      <c r="AA21" s="53">
        <f t="shared" ca="1" si="0"/>
        <v>41</v>
      </c>
      <c r="AD21" s="216"/>
      <c r="AE21" s="216"/>
      <c r="AG21" s="216"/>
      <c r="AH21" s="216"/>
    </row>
    <row r="22" spans="2:34">
      <c r="B22" s="135">
        <v>10068</v>
      </c>
      <c r="C22" s="136" t="s">
        <v>25</v>
      </c>
      <c r="D22" s="211">
        <f>IF(Init!$R$9="Yes",'Staging Table'!F24,'Staging Table'!BS24)*Rates_previous!$E$76*100*12</f>
        <v>864392.55132000009</v>
      </c>
      <c r="E22" s="211">
        <f>IF(Init!$R$9="Yes",'Staging Table'!F24,'Staging Table'!BS24)*Rates_previous!$E$77*100*12</f>
        <v>-87447.300599999988</v>
      </c>
      <c r="F22" s="212"/>
      <c r="G22" s="212">
        <f>IF(Init!$R$9="Yes",SUMPRODUCT('Staging Table'!AJ24:AU24,LS_Demand_Rates_Restatement!$C$10:$N$10),SUMPRODUCT(LS_Demand_Rates_Restatement!$C$10:$N$10,'Staging Table'!CW24:DH24))*1000</f>
        <v>37111.673373076919</v>
      </c>
      <c r="H22" s="213"/>
      <c r="I22" s="211">
        <f>IF(Init!$R$9="Yes",IF('Staging Table'!$F$1=2020,(SUM('Staging Table'!AX24:BD24)*Rates_previous!$C$87),(SUM('Staging Table'!AX24:BD24)*Rates_previous!$D$87)),IF('Staging Table'!$F$1=2020,(SUM('Staging Table'!DK24:DQ24)*Rates_previous!$C$87),(SUM('Staging Table'!DK24:DQ24)*Rates_previous!$D$87)))</f>
        <v>10603.638774233146</v>
      </c>
      <c r="J22" s="213">
        <f>IF(Init!$R$9="Yes",IF('Staging Table'!D24=1,'Staging Table'!H24*-1*'Staging Table'!F24/'Staging Table'!E24,'Staging Table'!H24*SUM(D22:I22)*(-1)),IF('Staging Table'!D24=1,'Staging Table'!BU24*-1*'Staging Table'!BS24/'Staging Table'!BR24,'Staging Table'!BU24*SUM(D22:I22)*(-1)))</f>
        <v>0</v>
      </c>
      <c r="K22" s="211">
        <f>IF(Init!$R$9="Yes",'Staging Table'!K24,'Staging Table'!BX24)*(-1)*Rates_previous!$H$32</f>
        <v>0</v>
      </c>
      <c r="L22" s="211">
        <f>IF('Staging Table'!C24=1,"",SUM(D22:K22))</f>
        <v>824660.56286731025</v>
      </c>
      <c r="M22" s="211">
        <f>IF('Staging Table'!C24=1,"",IF(Init!$R$9="Yes",(RT1SC!$C$3*'Staging Table'!F24*'Staging Table'!$F$2),X22))</f>
        <v>22441.495086489598</v>
      </c>
      <c r="N22" s="95">
        <f>IF('Staging Table'!C24=1,"",IF(M22=0, 0, L22/M22))</f>
        <v>36.747131137612072</v>
      </c>
      <c r="O22" s="211">
        <f>'Staging Table'!BS24*Rates_current!$E$76*100*12</f>
        <v>921590.13770177099</v>
      </c>
      <c r="P22" s="211">
        <f>'Staging Table'!BS24*Rates_current!$E$77*100*12</f>
        <v>-152156.74308470549</v>
      </c>
      <c r="Q22" s="212"/>
      <c r="R22" s="212">
        <f>SUMPRODUCT('Staging Table'!CW24:DH24, LS_Demand_Rates_Restatement!$C$11:$N$11)*1000</f>
        <v>35761.837758404559</v>
      </c>
      <c r="S22" s="213"/>
      <c r="T22" s="213">
        <v>0</v>
      </c>
      <c r="U22" s="213">
        <f>IF('Staging Table'!D24=1, 'Staging Table'!BU24*-1*'Staging Table'!BS24/'Staging Table'!BR24,SUM(O22:T22)*'Staging Table'!BU24*-1)</f>
        <v>0</v>
      </c>
      <c r="V22" s="211">
        <f>'Staging Table'!BX24*Rates_current!$H$32*-1</f>
        <v>0</v>
      </c>
      <c r="W22" s="211">
        <f>IF('Staging Table'!C24=1,"",SUM(O22:V22))</f>
        <v>805195.23237547011</v>
      </c>
      <c r="X22" s="211">
        <f>IF('Staging Table'!C24=1,"",(RT1SC!$C$4*'Staging Table'!BS24*'Staging Table'!$BS$2))</f>
        <v>22677.737010012002</v>
      </c>
      <c r="Y22" s="95">
        <f>IF('Staging Table'!C24=1,"",IF(X22=0, 0, W22/X22))</f>
        <v>35.505978044457621</v>
      </c>
      <c r="Z22" s="87">
        <f ca="1">IF('Staging Table'!C24=1,"",(Y22/N22-1)+(RAND()/100000000000))</f>
        <v>-3.3775509941760637E-2</v>
      </c>
      <c r="AA22" s="53">
        <f t="shared" ca="1" si="0"/>
        <v>50</v>
      </c>
      <c r="AD22" s="216"/>
      <c r="AE22" s="216"/>
      <c r="AG22" s="216"/>
      <c r="AH22" s="216"/>
    </row>
    <row r="23" spans="2:34">
      <c r="B23" s="135">
        <v>10070</v>
      </c>
      <c r="C23" s="136" t="s">
        <v>26</v>
      </c>
      <c r="D23" s="211">
        <f>IF(Init!$R$9="Yes",'Staging Table'!F25,'Staging Table'!BS25)*Rates_previous!$E$76*100*12</f>
        <v>120734.51088</v>
      </c>
      <c r="E23" s="211">
        <f>IF(Init!$R$9="Yes",'Staging Table'!F25,'Staging Table'!BS25)*Rates_previous!$E$77*100*12</f>
        <v>-12214.250400000001</v>
      </c>
      <c r="F23" s="212"/>
      <c r="G23" s="212">
        <f>IF(Init!$R$9="Yes",SUMPRODUCT('Staging Table'!AJ25:AU25,LS_Demand_Rates_Restatement!$C$10:$N$10),SUMPRODUCT(LS_Demand_Rates_Restatement!$C$10:$N$10,'Staging Table'!CW25:DH25))*1000</f>
        <v>7966.2733528490025</v>
      </c>
      <c r="H23" s="213"/>
      <c r="I23" s="211">
        <f>IF(Init!$R$9="Yes",IF('Staging Table'!$F$1=2020,(SUM('Staging Table'!AX25:BD25)*Rates_previous!$C$87),(SUM('Staging Table'!AX25:BD25)*Rates_previous!$D$87)),IF('Staging Table'!$F$1=2020,(SUM('Staging Table'!DK25:DQ25)*Rates_previous!$C$87),(SUM('Staging Table'!DK25:DQ25)*Rates_previous!$D$87)))</f>
        <v>1481.0691496591801</v>
      </c>
      <c r="J23" s="213">
        <f>IF(Init!$R$9="Yes",IF('Staging Table'!D25=1,'Staging Table'!H25*-1*'Staging Table'!F25/'Staging Table'!E25,'Staging Table'!H25*SUM(D23:I23)*(-1)),IF('Staging Table'!D25=1,'Staging Table'!BU25*-1*'Staging Table'!BS25/'Staging Table'!BR25,'Staging Table'!BU25*SUM(D23:I23)*(-1)))</f>
        <v>0</v>
      </c>
      <c r="K23" s="211">
        <f>IF(Init!$R$9="Yes",'Staging Table'!K25,'Staging Table'!BX25)*(-1)*Rates_previous!$H$32</f>
        <v>0</v>
      </c>
      <c r="L23" s="211">
        <f>IF('Staging Table'!C25=1,"",SUM(D23:K23))</f>
        <v>117967.60298250818</v>
      </c>
      <c r="M23" s="211">
        <f>IF('Staging Table'!C25=1,"",IF(Init!$R$9="Yes",(RT1SC!$C$3*'Staging Table'!F25*'Staging Table'!$F$2),X23))</f>
        <v>3134.5283211264</v>
      </c>
      <c r="N23" s="95">
        <f>IF('Staging Table'!C25=1,"",IF(M23=0, 0, L23/M23))</f>
        <v>37.634881837697435</v>
      </c>
      <c r="O23" s="211">
        <f>'Staging Table'!BS25*Rates_current!$E$76*100*12</f>
        <v>121823.5206746031</v>
      </c>
      <c r="P23" s="211">
        <f>'Staging Table'!BS25*Rates_current!$E$77*100*12</f>
        <v>-20113.355578202027</v>
      </c>
      <c r="Q23" s="212"/>
      <c r="R23" s="212">
        <f>SUMPRODUCT('Staging Table'!CW25:DH25, LS_Demand_Rates_Restatement!$C$11:$N$11)*1000</f>
        <v>7387.8607246705824</v>
      </c>
      <c r="S23" s="213"/>
      <c r="T23" s="213">
        <v>0</v>
      </c>
      <c r="U23" s="213">
        <f>IF('Staging Table'!D25=1, 'Staging Table'!BU25*-1*'Staging Table'!BS25/'Staging Table'!BR25,SUM(O23:T23)*'Staging Table'!BU25*-1)</f>
        <v>0</v>
      </c>
      <c r="V23" s="211">
        <f>'Staging Table'!BX25*Rates_current!$H$32*-1</f>
        <v>0</v>
      </c>
      <c r="W23" s="211">
        <f>IF('Staging Table'!C25=1,"",SUM(O23:V23))</f>
        <v>109098.02582107166</v>
      </c>
      <c r="X23" s="211">
        <f>IF('Staging Table'!C25=1,"",(RT1SC!$C$4*'Staging Table'!BS25*'Staging Table'!$BS$2))</f>
        <v>2997.7336458720001</v>
      </c>
      <c r="Y23" s="95">
        <f>IF('Staging Table'!C25=1,"",IF(X23=0, 0, W23/X23))</f>
        <v>36.393502128284155</v>
      </c>
      <c r="Z23" s="87">
        <f ca="1">IF('Staging Table'!C25=1,"",(Y23/N23-1)+(RAND()/100000000000))</f>
        <v>-3.2984817501332933E-2</v>
      </c>
      <c r="AA23" s="53">
        <f t="shared" ca="1" si="0"/>
        <v>25</v>
      </c>
      <c r="AD23" s="216"/>
      <c r="AE23" s="216"/>
      <c r="AG23" s="216"/>
      <c r="AH23" s="216"/>
    </row>
    <row r="24" spans="2:34">
      <c r="B24" s="135">
        <v>10071</v>
      </c>
      <c r="C24" s="136" t="s">
        <v>27</v>
      </c>
      <c r="D24" s="211">
        <f>IF(Init!$R$9="Yes",'Staging Table'!F26,'Staging Table'!BS26)*Rates_previous!$E$76*100*12</f>
        <v>630053.52035999997</v>
      </c>
      <c r="E24" s="211">
        <f>IF(Init!$R$9="Yes",'Staging Table'!F26,'Staging Table'!BS26)*Rates_previous!$E$77*100*12</f>
        <v>-63740.113799999992</v>
      </c>
      <c r="F24" s="212"/>
      <c r="G24" s="212">
        <f>IF(Init!$R$9="Yes",SUMPRODUCT('Staging Table'!AJ26:AU26,LS_Demand_Rates_Restatement!$C$10:$N$10),SUMPRODUCT(LS_Demand_Rates_Restatement!$C$10:$N$10,'Staging Table'!CW26:DH26))*1000</f>
        <v>21798.339839102558</v>
      </c>
      <c r="H24" s="213"/>
      <c r="I24" s="211">
        <f>IF(Init!$R$9="Yes",IF('Staging Table'!$F$1=2020,(SUM('Staging Table'!AX26:BD26)*Rates_previous!$C$87),(SUM('Staging Table'!AX26:BD26)*Rates_previous!$D$87)),IF('Staging Table'!$F$1=2020,(SUM('Staging Table'!DK26:DQ26)*Rates_previous!$C$87),(SUM('Staging Table'!DK26:DQ26)*Rates_previous!$D$87)))</f>
        <v>7728.9651884773348</v>
      </c>
      <c r="J24" s="213">
        <f>IF(Init!$R$9="Yes",IF('Staging Table'!D26=1,'Staging Table'!H26*-1*'Staging Table'!F26/'Staging Table'!E26,'Staging Table'!H26*SUM(D24:I24)*(-1)),IF('Staging Table'!D26=1,'Staging Table'!BU26*-1*'Staging Table'!BS26/'Staging Table'!BR26,'Staging Table'!BU26*SUM(D24:I24)*(-1)))</f>
        <v>0</v>
      </c>
      <c r="K24" s="211">
        <f>IF(Init!$R$9="Yes",'Staging Table'!K26,'Staging Table'!BX26)*(-1)*Rates_previous!$H$32</f>
        <v>0</v>
      </c>
      <c r="L24" s="211">
        <f>IF('Staging Table'!C26=1,"",SUM(D24:K24))</f>
        <v>595840.71158757992</v>
      </c>
      <c r="M24" s="211">
        <f>IF('Staging Table'!C26=1,"",IF(Init!$R$9="Yes",(RT1SC!$C$3*'Staging Table'!F26*'Staging Table'!$F$2),X24))</f>
        <v>16357.548384460799</v>
      </c>
      <c r="N24" s="95">
        <f>IF('Staging Table'!C26=1,"",IF(M24=0, 0, L24/M24))</f>
        <v>36.426039989807485</v>
      </c>
      <c r="O24" s="211">
        <f>'Staging Table'!BS26*Rates_current!$E$76*100*12</f>
        <v>650125.12706466322</v>
      </c>
      <c r="P24" s="211">
        <f>'Staging Table'!BS26*Rates_current!$E$77*100*12</f>
        <v>-107337.21844981436</v>
      </c>
      <c r="Q24" s="212"/>
      <c r="R24" s="212">
        <f>SUMPRODUCT('Staging Table'!CW26:DH26, LS_Demand_Rates_Restatement!$C$11:$N$11)*1000</f>
        <v>19851.546640509267</v>
      </c>
      <c r="S24" s="213"/>
      <c r="T24" s="213">
        <v>0</v>
      </c>
      <c r="U24" s="213">
        <f>IF('Staging Table'!D26=1, 'Staging Table'!BU26*-1*'Staging Table'!BS26/'Staging Table'!BR26,SUM(O24:T24)*'Staging Table'!BU26*-1)</f>
        <v>0</v>
      </c>
      <c r="V24" s="211">
        <f>'Staging Table'!BX26*Rates_current!$H$32*-1</f>
        <v>0</v>
      </c>
      <c r="W24" s="211">
        <f>IF('Staging Table'!C26=1,"",SUM(O24:V24))</f>
        <v>562639.45525535813</v>
      </c>
      <c r="X24" s="211">
        <f>IF('Staging Table'!C26=1,"",(RT1SC!$C$4*'Staging Table'!BS26*'Staging Table'!$BS$2))</f>
        <v>15997.747862124001</v>
      </c>
      <c r="Y24" s="95">
        <f>IF('Staging Table'!C26=1,"",IF(X24=0, 0, W24/X24))</f>
        <v>35.169916422264279</v>
      </c>
      <c r="Z24" s="87">
        <f ca="1">IF('Staging Table'!C26=1,"",(Y24/N24-1)+(RAND()/100000000000))</f>
        <v>-3.4484219742542337E-2</v>
      </c>
      <c r="AA24" s="53">
        <f t="shared" ca="1" si="0"/>
        <v>61</v>
      </c>
      <c r="AD24" s="216"/>
      <c r="AE24" s="216"/>
      <c r="AG24" s="216"/>
      <c r="AH24" s="216"/>
    </row>
    <row r="25" spans="2:34">
      <c r="B25" s="135">
        <v>10072</v>
      </c>
      <c r="C25" s="136" t="s">
        <v>28</v>
      </c>
      <c r="D25" s="211">
        <f>IF(Init!$R$9="Yes",'Staging Table'!F27,'Staging Table'!BS27)*Rates_previous!$E$76*100*12</f>
        <v>8071149.5855999999</v>
      </c>
      <c r="E25" s="211">
        <f>IF(Init!$R$9="Yes",'Staging Table'!F27,'Staging Table'!BS27)*Rates_previous!$E$77*100*12</f>
        <v>-816527.44800000009</v>
      </c>
      <c r="F25" s="212"/>
      <c r="G25" s="212">
        <f>IF(Init!$R$9="Yes",SUMPRODUCT('Staging Table'!AJ27:AU27,LS_Demand_Rates_Restatement!$C$10:$N$10),SUMPRODUCT(LS_Demand_Rates_Restatement!$C$10:$N$10,'Staging Table'!CW27:DH27))*1000</f>
        <v>435481.87075808411</v>
      </c>
      <c r="H25" s="213"/>
      <c r="I25" s="211">
        <f>IF(Init!$R$9="Yes",IF('Staging Table'!$F$1=2020,(SUM('Staging Table'!AX27:BD27)*Rates_previous!$C$87),(SUM('Staging Table'!AX27:BD27)*Rates_previous!$D$87)),IF('Staging Table'!$F$1=2020,(SUM('Staging Table'!DK27:DQ27)*Rates_previous!$C$87),(SUM('Staging Table'!DK27:DQ27)*Rates_previous!$D$87)))</f>
        <v>99010.055752806627</v>
      </c>
      <c r="J25" s="213">
        <f>IF(Init!$R$9="Yes",IF('Staging Table'!D27=1,'Staging Table'!H27*-1*'Staging Table'!F27/'Staging Table'!E27,'Staging Table'!H27*SUM(D25:I25)*(-1)),IF('Staging Table'!D27=1,'Staging Table'!BU27*-1*'Staging Table'!BS27/'Staging Table'!BR27,'Staging Table'!BU27*SUM(D25:I25)*(-1)))</f>
        <v>0</v>
      </c>
      <c r="K25" s="211">
        <f>IF(Init!$R$9="Yes",'Staging Table'!K27,'Staging Table'!BX27)*(-1)*Rates_previous!$H$32</f>
        <v>0</v>
      </c>
      <c r="L25" s="211">
        <f>IF('Staging Table'!C27=1,"",SUM(D25:K25))</f>
        <v>7789114.06411089</v>
      </c>
      <c r="M25" s="211">
        <f>IF('Staging Table'!C27=1,"",IF(Init!$R$9="Yes",(RT1SC!$C$3*'Staging Table'!F27*'Staging Table'!$F$2),X25))</f>
        <v>209544.45233356798</v>
      </c>
      <c r="N25" s="95">
        <f>IF('Staging Table'!C27=1,"",IF(M25=0, 0, L25/M25))</f>
        <v>37.17165487975609</v>
      </c>
      <c r="O25" s="211">
        <f>'Staging Table'!BS27*Rates_current!$E$76*100*12</f>
        <v>8143950.3191132303</v>
      </c>
      <c r="P25" s="211">
        <f>'Staging Table'!BS27*Rates_current!$E$77*100*12</f>
        <v>-1344585.7390467338</v>
      </c>
      <c r="Q25" s="212"/>
      <c r="R25" s="212">
        <f>SUMPRODUCT('Staging Table'!CW27:DH27, LS_Demand_Rates_Restatement!$C$11:$N$11)*1000</f>
        <v>394834.42129694641</v>
      </c>
      <c r="S25" s="213"/>
      <c r="T25" s="213">
        <v>0</v>
      </c>
      <c r="U25" s="213">
        <f>IF('Staging Table'!D27=1, 'Staging Table'!BU27*-1*'Staging Table'!BS27/'Staging Table'!BR27,SUM(O25:T25)*'Staging Table'!BU27*-1)</f>
        <v>0</v>
      </c>
      <c r="V25" s="211">
        <f>'Staging Table'!BX27*Rates_current!$H$32*-1</f>
        <v>0</v>
      </c>
      <c r="W25" s="211">
        <f>IF('Staging Table'!C27=1,"",SUM(O25:V25))</f>
        <v>7194199.0013634432</v>
      </c>
      <c r="X25" s="211">
        <f>IF('Staging Table'!C27=1,"",(RT1SC!$C$4*'Staging Table'!BS27*'Staging Table'!$BS$2))</f>
        <v>200399.67443664002</v>
      </c>
      <c r="Y25" s="95">
        <f>IF('Staging Table'!C27=1,"",IF(X25=0, 0, W25/X25))</f>
        <v>35.899254934358787</v>
      </c>
      <c r="Z25" s="87">
        <f ca="1">IF('Staging Table'!C27=1,"",(Y25/N25-1)+(RAND()/100000000000))</f>
        <v>-3.4230381972414473E-2</v>
      </c>
      <c r="AA25" s="53">
        <f t="shared" ca="1" si="0"/>
        <v>56</v>
      </c>
      <c r="AD25" s="216"/>
      <c r="AE25" s="216"/>
      <c r="AG25" s="216"/>
      <c r="AH25" s="216"/>
    </row>
    <row r="26" spans="2:34">
      <c r="B26" s="135">
        <v>10074</v>
      </c>
      <c r="C26" s="136" t="s">
        <v>29</v>
      </c>
      <c r="D26" s="211">
        <f>IF(Init!$R$9="Yes",'Staging Table'!F28,'Staging Table'!BS28)*Rates_previous!$E$76*100*12</f>
        <v>8979748.0798799992</v>
      </c>
      <c r="E26" s="211">
        <f>IF(Init!$R$9="Yes",'Staging Table'!F28,'Staging Table'!BS28)*Rates_previous!$E$77*100*12</f>
        <v>-908446.89539999992</v>
      </c>
      <c r="F26" s="212"/>
      <c r="G26" s="212">
        <f>IF(Init!$R$9="Yes",SUMPRODUCT('Staging Table'!AJ28:AU28,LS_Demand_Rates_Restatement!$C$10:$N$10),SUMPRODUCT(LS_Demand_Rates_Restatement!$C$10:$N$10,'Staging Table'!CW28:DH28))*1000</f>
        <v>506719.40336153843</v>
      </c>
      <c r="H26" s="213"/>
      <c r="I26" s="211">
        <f>IF(Init!$R$9="Yes",IF('Staging Table'!$F$1=2020,(SUM('Staging Table'!AX28:BD28)*Rates_previous!$C$87),(SUM('Staging Table'!AX28:BD28)*Rates_previous!$D$87)),IF('Staging Table'!$F$1=2020,(SUM('Staging Table'!DK28:DQ28)*Rates_previous!$C$87),(SUM('Staging Table'!DK28:DQ28)*Rates_previous!$D$87)))</f>
        <v>110155.97575112757</v>
      </c>
      <c r="J26" s="213">
        <f>IF(Init!$R$9="Yes",IF('Staging Table'!D28=1,'Staging Table'!H28*-1*'Staging Table'!F28/'Staging Table'!E28,'Staging Table'!H28*SUM(D26:I26)*(-1)),IF('Staging Table'!D28=1,'Staging Table'!BU28*-1*'Staging Table'!BS28/'Staging Table'!BR28,'Staging Table'!BU28*SUM(D26:I26)*(-1)))</f>
        <v>0</v>
      </c>
      <c r="K26" s="211">
        <f>IF(Init!$R$9="Yes",'Staging Table'!K28,'Staging Table'!BX28)*(-1)*Rates_previous!$H$32</f>
        <v>0</v>
      </c>
      <c r="L26" s="211">
        <f>IF('Staging Table'!C28=1,"",SUM(D26:K26))</f>
        <v>8688176.5635926649</v>
      </c>
      <c r="M26" s="211">
        <f>IF('Staging Table'!C28=1,"",IF(Init!$R$9="Yes",(RT1SC!$C$3*'Staging Table'!F28*'Staging Table'!$F$2),X26))</f>
        <v>233133.6290494464</v>
      </c>
      <c r="N26" s="95">
        <f>IF('Staging Table'!C28=1,"",IF(M26=0, 0, L26/M26))</f>
        <v>37.266938274915063</v>
      </c>
      <c r="O26" s="211">
        <f>'Staging Table'!BS28*Rates_current!$E$76*100*12</f>
        <v>9060744.2552136388</v>
      </c>
      <c r="P26" s="211">
        <f>'Staging Table'!BS28*Rates_current!$E$77*100*12</f>
        <v>-1495950.6177385966</v>
      </c>
      <c r="Q26" s="212"/>
      <c r="R26" s="212">
        <f>SUMPRODUCT('Staging Table'!CW28:DH28, LS_Demand_Rates_Restatement!$C$11:$N$11)*1000</f>
        <v>489805.32260905462</v>
      </c>
      <c r="S26" s="213"/>
      <c r="T26" s="213">
        <v>0</v>
      </c>
      <c r="U26" s="213">
        <f>IF('Staging Table'!D28=1, 'Staging Table'!BU28*-1*'Staging Table'!BS28/'Staging Table'!BR28,SUM(O26:T26)*'Staging Table'!BU28*-1)</f>
        <v>0</v>
      </c>
      <c r="V26" s="211">
        <f>'Staging Table'!BX28*Rates_current!$H$32*-1</f>
        <v>0</v>
      </c>
      <c r="W26" s="211">
        <f>IF('Staging Table'!C28=1,"",SUM(O26:V26))</f>
        <v>8054598.9600840965</v>
      </c>
      <c r="X26" s="211">
        <f>IF('Staging Table'!C28=1,"",(RT1SC!$C$4*'Staging Table'!BS28*'Staging Table'!$BS$2))</f>
        <v>222959.39043697203</v>
      </c>
      <c r="Y26" s="95">
        <f>IF('Staging Table'!C28=1,"",IF(X26=0, 0, W26/X26))</f>
        <v>36.125856571002046</v>
      </c>
      <c r="Z26" s="87">
        <f ca="1">IF('Staging Table'!C28=1,"",(Y26/N26-1)+(RAND()/100000000000))</f>
        <v>-3.061914277277537E-2</v>
      </c>
      <c r="AA26" s="53">
        <f t="shared" ca="1" si="0"/>
        <v>5</v>
      </c>
      <c r="AD26" s="216"/>
      <c r="AE26" s="216"/>
      <c r="AG26" s="216"/>
      <c r="AH26" s="216"/>
    </row>
    <row r="27" spans="2:34">
      <c r="B27" s="135">
        <v>10076</v>
      </c>
      <c r="C27" s="136" t="s">
        <v>30</v>
      </c>
      <c r="D27" s="211">
        <f>IF(Init!$R$9="Yes",'Staging Table'!F29,'Staging Table'!BS29)*Rates_previous!$E$76*100*12</f>
        <v>1621359.9079200001</v>
      </c>
      <c r="E27" s="211">
        <f>IF(Init!$R$9="Yes",'Staging Table'!F29,'Staging Table'!BS29)*Rates_previous!$E$77*100*12</f>
        <v>-164026.80359999998</v>
      </c>
      <c r="F27" s="212"/>
      <c r="G27" s="212">
        <f>IF(Init!$R$9="Yes",SUMPRODUCT('Staging Table'!AJ29:AU29,LS_Demand_Rates_Restatement!$C$10:$N$10),SUMPRODUCT(LS_Demand_Rates_Restatement!$C$10:$N$10,'Staging Table'!CW29:DH29))*1000</f>
        <v>49471.313257478592</v>
      </c>
      <c r="H27" s="213"/>
      <c r="I27" s="211">
        <f>IF(Init!$R$9="Yes",IF('Staging Table'!$F$1=2020,(SUM('Staging Table'!AX29:BD29)*Rates_previous!$C$87),(SUM('Staging Table'!AX29:BD29)*Rates_previous!$D$87)),IF('Staging Table'!$F$1=2020,(SUM('Staging Table'!DK29:DQ29)*Rates_previous!$C$87),(SUM('Staging Table'!DK29:DQ29)*Rates_previous!$D$87)))</f>
        <v>19889.47586412387</v>
      </c>
      <c r="J27" s="213">
        <f>IF(Init!$R$9="Yes",IF('Staging Table'!D29=1,'Staging Table'!H29*-1*'Staging Table'!F29/'Staging Table'!E29,'Staging Table'!H29*SUM(D27:I27)*(-1)),IF('Staging Table'!D29=1,'Staging Table'!BU29*-1*'Staging Table'!BS29/'Staging Table'!BR29,'Staging Table'!BU29*SUM(D27:I27)*(-1)))</f>
        <v>0</v>
      </c>
      <c r="K27" s="211">
        <f>IF(Init!$R$9="Yes",'Staging Table'!K29,'Staging Table'!BX29)*(-1)*Rates_previous!$H$32</f>
        <v>0</v>
      </c>
      <c r="L27" s="211">
        <f>IF('Staging Table'!C29=1,"",SUM(D27:K27))</f>
        <v>1526693.8934416026</v>
      </c>
      <c r="M27" s="211">
        <f>IF('Staging Table'!C29=1,"",IF(Init!$R$9="Yes",(RT1SC!$C$3*'Staging Table'!F29*'Staging Table'!$F$2),X27))</f>
        <v>42094.000406937601</v>
      </c>
      <c r="N27" s="95">
        <f>IF('Staging Table'!C29=1,"",IF(M27=0, 0, L27/M27))</f>
        <v>36.268681491008515</v>
      </c>
      <c r="O27" s="211">
        <f>'Staging Table'!BS29*Rates_current!$E$76*100*12</f>
        <v>1635744.5561446212</v>
      </c>
      <c r="P27" s="211">
        <f>'Staging Table'!BS29*Rates_current!$E$77*100*12</f>
        <v>-270065.35117896856</v>
      </c>
      <c r="Q27" s="212"/>
      <c r="R27" s="212">
        <f>SUMPRODUCT('Staging Table'!CW29:DH29, LS_Demand_Rates_Restatement!$C$11:$N$11)*1000</f>
        <v>47175.412745405934</v>
      </c>
      <c r="S27" s="213"/>
      <c r="T27" s="213">
        <v>0</v>
      </c>
      <c r="U27" s="213">
        <f>IF('Staging Table'!D29=1, 'Staging Table'!BU29*-1*'Staging Table'!BS29/'Staging Table'!BR29,SUM(O27:T27)*'Staging Table'!BU29*-1)</f>
        <v>0</v>
      </c>
      <c r="V27" s="211">
        <f>'Staging Table'!BX29*Rates_current!$H$32*-1</f>
        <v>0</v>
      </c>
      <c r="W27" s="211">
        <f>IF('Staging Table'!C29=1,"",SUM(O27:V27))</f>
        <v>1412854.6177110586</v>
      </c>
      <c r="X27" s="211">
        <f>IF('Staging Table'!C29=1,"",(RT1SC!$C$4*'Staging Table'!BS29*'Staging Table'!$BS$2))</f>
        <v>40251.065351364006</v>
      </c>
      <c r="Y27" s="95">
        <f>IF('Staging Table'!C29=1,"",IF(X27=0, 0, W27/X27))</f>
        <v>35.101049012686083</v>
      </c>
      <c r="Z27" s="87">
        <f ca="1">IF('Staging Table'!C29=1,"",(Y27/N27-1)+(RAND()/100000000000))</f>
        <v>-3.2193959921274287E-2</v>
      </c>
      <c r="AA27" s="53">
        <f t="shared" ca="1" si="0"/>
        <v>13</v>
      </c>
      <c r="AD27" s="216"/>
      <c r="AE27" s="216"/>
      <c r="AG27" s="216"/>
      <c r="AH27" s="216"/>
    </row>
    <row r="28" spans="2:34">
      <c r="B28" s="135">
        <v>10078</v>
      </c>
      <c r="C28" s="136" t="s">
        <v>31</v>
      </c>
      <c r="D28" s="211">
        <f>IF(Init!$R$9="Yes",'Staging Table'!F30,'Staging Table'!BS30)*Rates_previous!$E$76*100*12</f>
        <v>1251075.7190399999</v>
      </c>
      <c r="E28" s="211">
        <f>IF(Init!$R$9="Yes",'Staging Table'!F30,'Staging Table'!BS30)*Rates_previous!$E$77*100*12</f>
        <v>-126566.5632</v>
      </c>
      <c r="F28" s="212"/>
      <c r="G28" s="212">
        <f>IF(Init!$R$9="Yes",SUMPRODUCT('Staging Table'!AJ30:AU30,LS_Demand_Rates_Restatement!$C$10:$N$10),SUMPRODUCT(LS_Demand_Rates_Restatement!$C$10:$N$10,'Staging Table'!CW30:DH30))*1000</f>
        <v>121879.28779419517</v>
      </c>
      <c r="H28" s="213"/>
      <c r="I28" s="211">
        <f>IF(Init!$R$9="Yes",IF('Staging Table'!$F$1=2020,(SUM('Staging Table'!AX30:BD30)*Rates_previous!$C$87),(SUM('Staging Table'!AX30:BD30)*Rates_previous!$D$87)),IF('Staging Table'!$F$1=2020,(SUM('Staging Table'!DK30:DQ30)*Rates_previous!$C$87),(SUM('Staging Table'!DK30:DQ30)*Rates_previous!$D$87)))</f>
        <v>15347.141739775443</v>
      </c>
      <c r="J28" s="213">
        <f>IF(Init!$R$9="Yes",IF('Staging Table'!D30=1,'Staging Table'!H30*-1*'Staging Table'!F30/'Staging Table'!E30,'Staging Table'!H30*SUM(D28:I28)*(-1)),IF('Staging Table'!D30=1,'Staging Table'!BU30*-1*'Staging Table'!BS30/'Staging Table'!BR30,'Staging Table'!BU30*SUM(D28:I28)*(-1)))</f>
        <v>0</v>
      </c>
      <c r="K28" s="211">
        <f>IF(Init!$R$9="Yes",'Staging Table'!K30,'Staging Table'!BX30)*(-1)*Rates_previous!$H$32</f>
        <v>0</v>
      </c>
      <c r="L28" s="211">
        <f>IF('Staging Table'!C30=1,"",SUM(D28:K28))</f>
        <v>1261735.5853739704</v>
      </c>
      <c r="M28" s="211">
        <f>IF('Staging Table'!C30=1,"",IF(Init!$R$9="Yes",(RT1SC!$C$3*'Staging Table'!F30*'Staging Table'!$F$2),X28))</f>
        <v>32480.6241779712</v>
      </c>
      <c r="N28" s="95">
        <f>IF('Staging Table'!C30=1,"",IF(M28=0, 0, L28/M28))</f>
        <v>38.845792447230636</v>
      </c>
      <c r="O28" s="211">
        <f>'Staging Table'!BS30*Rates_current!$E$76*100*12</f>
        <v>1262360.2614785642</v>
      </c>
      <c r="P28" s="211">
        <f>'Staging Table'!BS30*Rates_current!$E$77*100*12</f>
        <v>-208418.7081961722</v>
      </c>
      <c r="Q28" s="212"/>
      <c r="R28" s="212">
        <f>SUMPRODUCT('Staging Table'!CW30:DH30, LS_Demand_Rates_Restatement!$C$11:$N$11)*1000</f>
        <v>109794.26040843128</v>
      </c>
      <c r="S28" s="213"/>
      <c r="T28" s="213">
        <v>0</v>
      </c>
      <c r="U28" s="213">
        <f>IF('Staging Table'!D30=1, 'Staging Table'!BU30*-1*'Staging Table'!BS30/'Staging Table'!BR30,SUM(O28:T28)*'Staging Table'!BU30*-1)</f>
        <v>0</v>
      </c>
      <c r="V28" s="211">
        <f>'Staging Table'!BX30*Rates_current!$H$32*-1</f>
        <v>0</v>
      </c>
      <c r="W28" s="211">
        <f>IF('Staging Table'!C30=1,"",SUM(O28:V28))</f>
        <v>1163735.8136908233</v>
      </c>
      <c r="X28" s="211">
        <f>IF('Staging Table'!C30=1,"",(RT1SC!$C$4*'Staging Table'!BS30*'Staging Table'!$BS$2))</f>
        <v>31063.129747776005</v>
      </c>
      <c r="Y28" s="95">
        <f>IF('Staging Table'!C30=1,"",IF(X28=0, 0, W28/X28))</f>
        <v>37.463572509918841</v>
      </c>
      <c r="Z28" s="87">
        <f ca="1">IF('Staging Table'!C30=1,"",(Y28/N28-1)+(RAND()/100000000000))</f>
        <v>-3.5582230408562759E-2</v>
      </c>
      <c r="AA28" s="53">
        <f t="shared" ca="1" si="0"/>
        <v>78</v>
      </c>
      <c r="AD28" s="216"/>
      <c r="AE28" s="216"/>
      <c r="AG28" s="216"/>
      <c r="AH28" s="216"/>
    </row>
    <row r="29" spans="2:34">
      <c r="B29" s="135">
        <v>10079</v>
      </c>
      <c r="C29" s="136" t="s">
        <v>32</v>
      </c>
      <c r="D29" s="211">
        <f>IF(Init!$R$9="Yes",'Staging Table'!F31,'Staging Table'!BS31)*Rates_previous!$E$76*100*12</f>
        <v>29303549.188919999</v>
      </c>
      <c r="E29" s="211">
        <f>IF(Init!$R$9="Yes",'Staging Table'!F31,'Staging Table'!BS31)*Rates_previous!$E$77*100*12</f>
        <v>-2964528.4086000002</v>
      </c>
      <c r="F29" s="212"/>
      <c r="G29" s="212">
        <f>IF(Init!$R$9="Yes",SUMPRODUCT('Staging Table'!AJ31:AU31,LS_Demand_Rates_Restatement!$C$10:$N$10),SUMPRODUCT(LS_Demand_Rates_Restatement!$C$10:$N$10,'Staging Table'!CW31:DH31))*1000</f>
        <v>2620044.582893305</v>
      </c>
      <c r="H29" s="213"/>
      <c r="I29" s="211">
        <f>IF(Init!$R$9="Yes",IF('Staging Table'!$F$1=2020,(SUM('Staging Table'!AX31:BD31)*Rates_previous!$C$87),(SUM('Staging Table'!AX31:BD31)*Rates_previous!$D$87)),IF('Staging Table'!$F$1=2020,(SUM('Staging Table'!DK31:DQ31)*Rates_previous!$C$87),(SUM('Staging Table'!DK31:DQ31)*Rates_previous!$D$87)))</f>
        <v>359471.22627072426</v>
      </c>
      <c r="J29" s="213">
        <f>IF(Init!$R$9="Yes",IF('Staging Table'!D31=1,'Staging Table'!H31*-1*'Staging Table'!F31/'Staging Table'!E31,'Staging Table'!H31*SUM(D29:I29)*(-1)),IF('Staging Table'!D31=1,'Staging Table'!BU31*-1*'Staging Table'!BS31/'Staging Table'!BR31,'Staging Table'!BU31*SUM(D29:I29)*(-1)))</f>
        <v>0</v>
      </c>
      <c r="K29" s="211">
        <f>IF(Init!$R$9="Yes",'Staging Table'!K31,'Staging Table'!BX31)*(-1)*Rates_previous!$H$32</f>
        <v>0</v>
      </c>
      <c r="L29" s="211">
        <f>IF('Staging Table'!C31=1,"",SUM(D29:K29))</f>
        <v>29318536.589484029</v>
      </c>
      <c r="M29" s="211">
        <f>IF('Staging Table'!C31=1,"",IF(Init!$R$9="Yes",(RT1SC!$C$3*'Staging Table'!F31*'Staging Table'!$F$2),X29))</f>
        <v>760783.34332661761</v>
      </c>
      <c r="N29" s="95">
        <f>IF('Staging Table'!C31=1,"",IF(M29=0, 0, L29/M29))</f>
        <v>38.537300857935669</v>
      </c>
      <c r="O29" s="211">
        <f>'Staging Table'!BS31*Rates_current!$E$76*100*12</f>
        <v>28908145.911891147</v>
      </c>
      <c r="P29" s="211">
        <f>'Staging Table'!BS31*Rates_current!$E$77*100*12</f>
        <v>-4772804.254980199</v>
      </c>
      <c r="Q29" s="212"/>
      <c r="R29" s="212">
        <f>SUMPRODUCT('Staging Table'!CW31:DH31, LS_Demand_Rates_Restatement!$C$11:$N$11)*1000</f>
        <v>2435759.4481922719</v>
      </c>
      <c r="S29" s="213"/>
      <c r="T29" s="213">
        <v>0</v>
      </c>
      <c r="U29" s="213">
        <f>IF('Staging Table'!D31=1, 'Staging Table'!BU31*-1*'Staging Table'!BS31/'Staging Table'!BR31,SUM(O29:T29)*'Staging Table'!BU31*-1)</f>
        <v>0</v>
      </c>
      <c r="V29" s="211">
        <f>'Staging Table'!BX31*Rates_current!$H$32*-1</f>
        <v>0</v>
      </c>
      <c r="W29" s="211">
        <f>IF('Staging Table'!C31=1,"",SUM(O29:V29))</f>
        <v>26571101.105103221</v>
      </c>
      <c r="X29" s="211">
        <f>IF('Staging Table'!C31=1,"",(RT1SC!$C$4*'Staging Table'!BS31*'Staging Table'!$BS$2))</f>
        <v>711348.031644264</v>
      </c>
      <c r="Y29" s="95">
        <f>IF('Staging Table'!C31=1,"",IF(X29=0, 0, W29/X29))</f>
        <v>37.353165993423438</v>
      </c>
      <c r="Z29" s="87">
        <f ca="1">IF('Staging Table'!C31=1,"",(Y29/N29-1)+(RAND()/100000000000))</f>
        <v>-3.0726979785395927E-2</v>
      </c>
      <c r="AA29" s="53">
        <f t="shared" ca="1" si="0"/>
        <v>6</v>
      </c>
      <c r="AD29" s="216"/>
      <c r="AE29" s="216"/>
      <c r="AG29" s="216"/>
      <c r="AH29" s="216"/>
    </row>
    <row r="30" spans="2:34">
      <c r="B30" s="135">
        <v>10080</v>
      </c>
      <c r="C30" s="136" t="s">
        <v>33</v>
      </c>
      <c r="D30" s="211">
        <f>IF(Init!$R$9="Yes",'Staging Table'!F32,'Staging Table'!BS32)*Rates_previous!$E$76*100*12</f>
        <v>2330793.9925199999</v>
      </c>
      <c r="E30" s="211">
        <f>IF(Init!$R$9="Yes",'Staging Table'!F32,'Staging Table'!BS32)*Rates_previous!$E$77*100*12</f>
        <v>-235797.5466</v>
      </c>
      <c r="F30" s="212"/>
      <c r="G30" s="212">
        <f>IF(Init!$R$9="Yes",SUMPRODUCT('Staging Table'!AJ32:AU32,LS_Demand_Rates_Restatement!$C$10:$N$10),SUMPRODUCT(LS_Demand_Rates_Restatement!$C$10:$N$10,'Staging Table'!CW32:DH32))*1000</f>
        <v>120720.28836923077</v>
      </c>
      <c r="H30" s="213"/>
      <c r="I30" s="211">
        <f>IF(Init!$R$9="Yes",IF('Staging Table'!$F$1=2020,(SUM('Staging Table'!AX32:BD32)*Rates_previous!$C$87),(SUM('Staging Table'!AX32:BD32)*Rates_previous!$D$87)),IF('Staging Table'!$F$1=2020,(SUM('Staging Table'!DK32:DQ32)*Rates_previous!$C$87),(SUM('Staging Table'!DK32:DQ32)*Rates_previous!$D$87)))</f>
        <v>28592.214863597594</v>
      </c>
      <c r="J30" s="213">
        <f>IF(Init!$R$9="Yes",IF('Staging Table'!D32=1,'Staging Table'!H32*-1*'Staging Table'!F32/'Staging Table'!E32,'Staging Table'!H32*SUM(D30:I30)*(-1)),IF('Staging Table'!D32=1,'Staging Table'!BU32*-1*'Staging Table'!BS32/'Staging Table'!BR32,'Staging Table'!BU32*SUM(D30:I30)*(-1)))</f>
        <v>0</v>
      </c>
      <c r="K30" s="211">
        <f>IF(Init!$R$9="Yes",'Staging Table'!K32,'Staging Table'!BX32)*(-1)*Rates_previous!$H$32</f>
        <v>0</v>
      </c>
      <c r="L30" s="211">
        <f>IF('Staging Table'!C32=1,"",SUM(D30:K30))</f>
        <v>2244308.9491528282</v>
      </c>
      <c r="M30" s="211">
        <f>IF('Staging Table'!C32=1,"",IF(Init!$R$9="Yes",(RT1SC!$C$3*'Staging Table'!F32*'Staging Table'!$F$2),X30))</f>
        <v>60512.439459225592</v>
      </c>
      <c r="N30" s="95">
        <f>IF('Staging Table'!C32=1,"",IF(M30=0, 0, L30/M30))</f>
        <v>37.088389911384837</v>
      </c>
      <c r="O30" s="211">
        <f>'Staging Table'!BS32*Rates_current!$E$76*100*12</f>
        <v>2442225.8554136967</v>
      </c>
      <c r="P30" s="211">
        <f>'Staging Table'!BS32*Rates_current!$E$77*100*12</f>
        <v>-403217.3488354517</v>
      </c>
      <c r="Q30" s="212"/>
      <c r="R30" s="212">
        <f>SUMPRODUCT('Staging Table'!CW32:DH32, LS_Demand_Rates_Restatement!$C$11:$N$11)*1000</f>
        <v>116424.17900875176</v>
      </c>
      <c r="S30" s="213"/>
      <c r="T30" s="213">
        <v>0</v>
      </c>
      <c r="U30" s="213">
        <f>IF('Staging Table'!D32=1, 'Staging Table'!BU32*-1*'Staging Table'!BS32/'Staging Table'!BR32,SUM(O30:T30)*'Staging Table'!BU32*-1)</f>
        <v>0</v>
      </c>
      <c r="V30" s="211">
        <f>'Staging Table'!BX32*Rates_current!$H$32*-1</f>
        <v>0</v>
      </c>
      <c r="W30" s="211">
        <f>IF('Staging Table'!C32=1,"",SUM(O30:V30))</f>
        <v>2155432.6855869968</v>
      </c>
      <c r="X30" s="211">
        <f>IF('Staging Table'!C32=1,"",(RT1SC!$C$4*'Staging Table'!BS32*'Staging Table'!$BS$2))</f>
        <v>60096.298129056006</v>
      </c>
      <c r="Y30" s="95">
        <f>IF('Staging Table'!C32=1,"",IF(X30=0, 0, W30/X30))</f>
        <v>35.866313777900821</v>
      </c>
      <c r="Z30" s="87">
        <f ca="1">IF('Staging Table'!C32=1,"",(Y30/N30-1)+(RAND()/100000000000))</f>
        <v>-3.2950369006349893E-2</v>
      </c>
      <c r="AA30" s="53">
        <f t="shared" ca="1" si="0"/>
        <v>23</v>
      </c>
      <c r="AD30" s="216"/>
      <c r="AE30" s="216"/>
      <c r="AG30" s="216"/>
      <c r="AH30" s="216"/>
    </row>
    <row r="31" spans="2:34">
      <c r="B31" s="135">
        <v>10081</v>
      </c>
      <c r="C31" s="136" t="s">
        <v>34</v>
      </c>
      <c r="D31" s="211">
        <f>IF(Init!$R$9="Yes",'Staging Table'!F33,'Staging Table'!BS33)*Rates_previous!$E$76*100*12</f>
        <v>3518650.4598000003</v>
      </c>
      <c r="E31" s="211">
        <f>IF(Init!$R$9="Yes",'Staging Table'!F33,'Staging Table'!BS33)*Rates_previous!$E$77*100*12</f>
        <v>-355968.45899999997</v>
      </c>
      <c r="F31" s="212"/>
      <c r="G31" s="212">
        <f>IF(Init!$R$9="Yes",SUMPRODUCT('Staging Table'!AJ33:AU33,LS_Demand_Rates_Restatement!$C$10:$N$10),SUMPRODUCT(LS_Demand_Rates_Restatement!$C$10:$N$10,'Staging Table'!CW33:DH33))*1000</f>
        <v>169942.1736408119</v>
      </c>
      <c r="H31" s="213"/>
      <c r="I31" s="211">
        <f>IF(Init!$R$9="Yes",IF('Staging Table'!$F$1=2020,(SUM('Staging Table'!AX33:BD33)*Rates_previous!$C$87),(SUM('Staging Table'!AX33:BD33)*Rates_previous!$D$87)),IF('Staging Table'!$F$1=2020,(SUM('Staging Table'!DK33:DQ33)*Rates_previous!$C$87),(SUM('Staging Table'!DK33:DQ33)*Rates_previous!$D$87)))</f>
        <v>43163.836143118431</v>
      </c>
      <c r="J31" s="213">
        <f>IF(Init!$R$9="Yes",IF('Staging Table'!D33=1,'Staging Table'!H33*-1*'Staging Table'!F33/'Staging Table'!E33,'Staging Table'!H33*SUM(D31:I31)*(-1)),IF('Staging Table'!D33=1,'Staging Table'!BU33*-1*'Staging Table'!BS33/'Staging Table'!BR33,'Staging Table'!BU33*SUM(D31:I31)*(-1)))</f>
        <v>0</v>
      </c>
      <c r="K31" s="211">
        <f>IF(Init!$R$9="Yes",'Staging Table'!K33,'Staging Table'!BX33)*(-1)*Rates_previous!$H$32</f>
        <v>0</v>
      </c>
      <c r="L31" s="211">
        <f>IF('Staging Table'!C33=1,"",SUM(D31:K31))</f>
        <v>3375788.0105839306</v>
      </c>
      <c r="M31" s="211">
        <f>IF('Staging Table'!C33=1,"",IF(Init!$R$9="Yes",(RT1SC!$C$3*'Staging Table'!F33*'Staging Table'!$F$2),X31))</f>
        <v>91351.755500544008</v>
      </c>
      <c r="N31" s="95">
        <f>IF('Staging Table'!C33=1,"",IF(M31=0, 0, L31/M31))</f>
        <v>36.953728935880463</v>
      </c>
      <c r="O31" s="211">
        <f>'Staging Table'!BS33*Rates_current!$E$76*100*12</f>
        <v>3283239.8062125808</v>
      </c>
      <c r="P31" s="211">
        <f>'Staging Table'!BS33*Rates_current!$E$77*100*12</f>
        <v>-542070.7701204014</v>
      </c>
      <c r="Q31" s="212"/>
      <c r="R31" s="212">
        <f>SUMPRODUCT('Staging Table'!CW33:DH33, LS_Demand_Rates_Restatement!$C$11:$N$11)*1000</f>
        <v>166183.44602279202</v>
      </c>
      <c r="S31" s="213"/>
      <c r="T31" s="213">
        <v>0</v>
      </c>
      <c r="U31" s="213">
        <f>IF('Staging Table'!D33=1, 'Staging Table'!BU33*-1*'Staging Table'!BS33/'Staging Table'!BR33,SUM(O31:T31)*'Staging Table'!BU33*-1)</f>
        <v>0</v>
      </c>
      <c r="V31" s="211">
        <f>'Staging Table'!BX33*Rates_current!$H$32*-1</f>
        <v>0</v>
      </c>
      <c r="W31" s="211">
        <f>IF('Staging Table'!C33=1,"",SUM(O31:V31))</f>
        <v>2907352.4821149716</v>
      </c>
      <c r="X31" s="211">
        <f>IF('Staging Table'!C33=1,"",(RT1SC!$C$4*'Staging Table'!BS33*'Staging Table'!$BS$2))</f>
        <v>80791.282176444001</v>
      </c>
      <c r="Y31" s="95">
        <f>IF('Staging Table'!C33=1,"",IF(X31=0, 0, W31/X31))</f>
        <v>35.985967839518423</v>
      </c>
      <c r="Z31" s="87">
        <f ca="1">IF('Staging Table'!C33=1,"",(Y31/N31-1)+(RAND()/100000000000))</f>
        <v>-2.6188455780329394E-2</v>
      </c>
      <c r="AA31" s="53">
        <f t="shared" ca="1" si="0"/>
        <v>2</v>
      </c>
      <c r="AD31" s="216"/>
      <c r="AE31" s="216"/>
      <c r="AG31" s="216"/>
      <c r="AH31" s="216"/>
    </row>
    <row r="32" spans="2:34">
      <c r="B32" s="135">
        <v>10082</v>
      </c>
      <c r="C32" s="136" t="s">
        <v>35</v>
      </c>
      <c r="D32" s="211">
        <f>IF(Init!$R$9="Yes",'Staging Table'!F34,'Staging Table'!BS34)*Rates_previous!$E$76*100*12</f>
        <v>31847.292240000002</v>
      </c>
      <c r="E32" s="211">
        <f>IF(Init!$R$9="Yes",'Staging Table'!F34,'Staging Table'!BS34)*Rates_previous!$E$77*100*12</f>
        <v>-3221.8692000000001</v>
      </c>
      <c r="F32" s="212"/>
      <c r="G32" s="212">
        <f>IF(Init!$R$9="Yes",SUMPRODUCT('Staging Table'!AJ34:AU34,LS_Demand_Rates_Restatement!$C$10:$N$10),SUMPRODUCT(LS_Demand_Rates_Restatement!$C$10:$N$10,'Staging Table'!CW34:DH34))*1000</f>
        <v>1240.9089314458686</v>
      </c>
      <c r="H32" s="213"/>
      <c r="I32" s="211">
        <f>IF(Init!$R$9="Yes",IF('Staging Table'!$F$1=2020,(SUM('Staging Table'!AX34:BD34)*Rates_previous!$C$87),(SUM('Staging Table'!AX34:BD34)*Rates_previous!$D$87)),IF('Staging Table'!$F$1=2020,(SUM('Staging Table'!DK34:DQ34)*Rates_previous!$C$87),(SUM('Staging Table'!DK34:DQ34)*Rates_previous!$D$87)))</f>
        <v>390.67572057939009</v>
      </c>
      <c r="J32" s="213">
        <f>IF(Init!$R$9="Yes",IF('Staging Table'!D34=1,'Staging Table'!H34*-1*'Staging Table'!F34/'Staging Table'!E34,'Staging Table'!H34*SUM(D32:I32)*(-1)),IF('Staging Table'!D34=1,'Staging Table'!BU34*-1*'Staging Table'!BS34/'Staging Table'!BR34,'Staging Table'!BU34*SUM(D32:I32)*(-1)))</f>
        <v>0</v>
      </c>
      <c r="K32" s="211">
        <f>IF(Init!$R$9="Yes",'Staging Table'!K34,'Staging Table'!BX34)*(-1)*Rates_previous!$H$32</f>
        <v>0</v>
      </c>
      <c r="L32" s="211">
        <f>IF('Staging Table'!C34=1,"",SUM(D32:K32))</f>
        <v>30257.007692025261</v>
      </c>
      <c r="M32" s="211">
        <f>IF('Staging Table'!C34=1,"",IF(Init!$R$9="Yes",(RT1SC!$C$3*'Staging Table'!F34*'Staging Table'!$F$2),X32))</f>
        <v>826.82439966719994</v>
      </c>
      <c r="N32" s="95">
        <f>IF('Staging Table'!C34=1,"",IF(M32=0, 0, L32/M32))</f>
        <v>36.594236580589332</v>
      </c>
      <c r="O32" s="211">
        <f>'Staging Table'!BS34*Rates_current!$E$76*100*12</f>
        <v>33813.2212896044</v>
      </c>
      <c r="P32" s="211">
        <f>'Staging Table'!BS34*Rates_current!$E$77*100*12</f>
        <v>-5582.643969540326</v>
      </c>
      <c r="Q32" s="212"/>
      <c r="R32" s="212">
        <f>SUMPRODUCT('Staging Table'!CW34:DH34, LS_Demand_Rates_Restatement!$C$11:$N$11)*1000</f>
        <v>1105.9940660167381</v>
      </c>
      <c r="S32" s="213"/>
      <c r="T32" s="213">
        <v>0</v>
      </c>
      <c r="U32" s="213">
        <f>IF('Staging Table'!D34=1, 'Staging Table'!BU34*-1*'Staging Table'!BS34/'Staging Table'!BR34,SUM(O32:T32)*'Staging Table'!BU34*-1)</f>
        <v>0</v>
      </c>
      <c r="V32" s="211">
        <f>'Staging Table'!BX34*Rates_current!$H$32*-1</f>
        <v>0</v>
      </c>
      <c r="W32" s="211">
        <f>IF('Staging Table'!C34=1,"",SUM(O32:V32))</f>
        <v>29336.571386080814</v>
      </c>
      <c r="X32" s="211">
        <f>IF('Staging Table'!C34=1,"",(RT1SC!$C$4*'Staging Table'!BS34*'Staging Table'!$BS$2))</f>
        <v>832.04811824400008</v>
      </c>
      <c r="Y32" s="95">
        <f>IF('Staging Table'!C34=1,"",IF(X32=0, 0, W32/X32))</f>
        <v>35.258263005262627</v>
      </c>
      <c r="Z32" s="87">
        <f ca="1">IF('Staging Table'!C34=1,"",(Y32/N32-1)+(RAND()/100000000000))</f>
        <v>-3.6507759141300888E-2</v>
      </c>
      <c r="AA32" s="53">
        <f t="shared" ca="1" si="0"/>
        <v>86</v>
      </c>
      <c r="AD32" s="216"/>
      <c r="AE32" s="216"/>
      <c r="AG32" s="216"/>
      <c r="AH32" s="216"/>
    </row>
    <row r="33" spans="2:34">
      <c r="B33" s="135">
        <v>10083</v>
      </c>
      <c r="C33" s="136" t="s">
        <v>36</v>
      </c>
      <c r="D33" s="211">
        <f>IF(Init!$R$9="Yes",'Staging Table'!F35,'Staging Table'!BS35)*Rates_previous!$E$76*100*12</f>
        <v>2814682.7014799993</v>
      </c>
      <c r="E33" s="211">
        <f>IF(Init!$R$9="Yes",'Staging Table'!F35,'Staging Table'!BS35)*Rates_previous!$E$77*100*12</f>
        <v>-284750.72339999996</v>
      </c>
      <c r="F33" s="212"/>
      <c r="G33" s="212">
        <f>IF(Init!$R$9="Yes",SUMPRODUCT('Staging Table'!AJ35:AU35,LS_Demand_Rates_Restatement!$C$10:$N$10),SUMPRODUCT(LS_Demand_Rates_Restatement!$C$10:$N$10,'Staging Table'!CW35:DH35))*1000</f>
        <v>170354.08419583333</v>
      </c>
      <c r="H33" s="213"/>
      <c r="I33" s="211">
        <f>IF(Init!$R$9="Yes",IF('Staging Table'!$F$1=2020,(SUM('Staging Table'!AX35:BD35)*Rates_previous!$C$87),(SUM('Staging Table'!AX35:BD35)*Rates_previous!$D$87)),IF('Staging Table'!$F$1=2020,(SUM('Staging Table'!DK35:DQ35)*Rates_previous!$C$87),(SUM('Staging Table'!DK35:DQ35)*Rates_previous!$D$87)))</f>
        <v>34528.153424042655</v>
      </c>
      <c r="J33" s="213">
        <f>IF(Init!$R$9="Yes",IF('Staging Table'!D35=1,'Staging Table'!H35*-1*'Staging Table'!F35/'Staging Table'!E35,'Staging Table'!H35*SUM(D33:I33)*(-1)),IF('Staging Table'!D35=1,'Staging Table'!BU35*-1*'Staging Table'!BS35/'Staging Table'!BR35,'Staging Table'!BU35*SUM(D33:I33)*(-1)))</f>
        <v>0</v>
      </c>
      <c r="K33" s="211">
        <f>IF(Init!$R$9="Yes",'Staging Table'!K35,'Staging Table'!BX35)*(-1)*Rates_previous!$H$32</f>
        <v>0</v>
      </c>
      <c r="L33" s="211">
        <f>IF('Staging Table'!C35=1,"",SUM(D33:K33))</f>
        <v>2734814.2156998753</v>
      </c>
      <c r="M33" s="211">
        <f>IF('Staging Table'!C35=1,"",IF(Init!$R$9="Yes",(RT1SC!$C$3*'Staging Table'!F35*'Staging Table'!$F$2),X33))</f>
        <v>73075.234069094382</v>
      </c>
      <c r="N33" s="95">
        <f>IF('Staging Table'!C35=1,"",IF(M33=0, 0, L33/M33))</f>
        <v>37.424638463888364</v>
      </c>
      <c r="O33" s="211">
        <f>'Staging Table'!BS35*Rates_current!$E$76*100*12</f>
        <v>2840070.7782467012</v>
      </c>
      <c r="P33" s="211">
        <f>'Staging Table'!BS35*Rates_current!$E$77*100*12</f>
        <v>-468902.50022174523</v>
      </c>
      <c r="Q33" s="212"/>
      <c r="R33" s="212">
        <f>SUMPRODUCT('Staging Table'!CW35:DH35, LS_Demand_Rates_Restatement!$C$11:$N$11)*1000</f>
        <v>162206.74575780804</v>
      </c>
      <c r="S33" s="213"/>
      <c r="T33" s="213">
        <v>0</v>
      </c>
      <c r="U33" s="213">
        <f>IF('Staging Table'!D35=1, 'Staging Table'!BU35*-1*'Staging Table'!BS35/'Staging Table'!BR35,SUM(O33:T33)*'Staging Table'!BU35*-1)</f>
        <v>0</v>
      </c>
      <c r="V33" s="211">
        <f>'Staging Table'!BX35*Rates_current!$H$32*-1</f>
        <v>0</v>
      </c>
      <c r="W33" s="211">
        <f>IF('Staging Table'!C35=1,"",SUM(O33:V33))</f>
        <v>2533375.0237827641</v>
      </c>
      <c r="X33" s="211">
        <f>IF('Staging Table'!C35=1,"",(RT1SC!$C$4*'Staging Table'!BS35*'Staging Table'!$BS$2))</f>
        <v>69886.140882011998</v>
      </c>
      <c r="Y33" s="95">
        <f>IF('Staging Table'!C35=1,"",IF(X33=0, 0, W33/X33))</f>
        <v>36.250034582104533</v>
      </c>
      <c r="Z33" s="87">
        <f ca="1">IF('Staging Table'!C35=1,"",(Y33/N33-1)+(RAND()/100000000000))</f>
        <v>-3.1385844454885806E-2</v>
      </c>
      <c r="AA33" s="53">
        <f t="shared" ca="1" si="0"/>
        <v>8</v>
      </c>
      <c r="AD33" s="216"/>
      <c r="AE33" s="216"/>
      <c r="AG33" s="216"/>
      <c r="AH33" s="216"/>
    </row>
    <row r="34" spans="2:34">
      <c r="B34" s="135">
        <v>10086</v>
      </c>
      <c r="C34" s="136" t="s">
        <v>37</v>
      </c>
      <c r="D34" s="211">
        <f>IF(Init!$R$9="Yes",'Staging Table'!F36,'Staging Table'!BS36)*Rates_previous!$E$76*100*12</f>
        <v>1310492.30904</v>
      </c>
      <c r="E34" s="211">
        <f>IF(Init!$R$9="Yes",'Staging Table'!F36,'Staging Table'!BS36)*Rates_previous!$E$77*100*12</f>
        <v>-132577.51319999999</v>
      </c>
      <c r="F34" s="212"/>
      <c r="G34" s="212">
        <f>IF(Init!$R$9="Yes",SUMPRODUCT('Staging Table'!AJ36:AU36,LS_Demand_Rates_Restatement!$C$10:$N$10),SUMPRODUCT(LS_Demand_Rates_Restatement!$C$10:$N$10,'Staging Table'!CW36:DH36))*1000</f>
        <v>80753.392624038461</v>
      </c>
      <c r="H34" s="213"/>
      <c r="I34" s="211">
        <f>IF(Init!$R$9="Yes",IF('Staging Table'!$F$1=2020,(SUM('Staging Table'!AX36:BD36)*Rates_previous!$C$87),(SUM('Staging Table'!AX36:BD36)*Rates_previous!$D$87)),IF('Staging Table'!$F$1=2020,(SUM('Staging Table'!DK36:DQ36)*Rates_previous!$C$87),(SUM('Staging Table'!DK36:DQ36)*Rates_previous!$D$87)))</f>
        <v>16076.01435279669</v>
      </c>
      <c r="J34" s="213">
        <f>IF(Init!$R$9="Yes",IF('Staging Table'!D36=1,'Staging Table'!H36*-1*'Staging Table'!F36/'Staging Table'!E36,'Staging Table'!H36*SUM(D34:I34)*(-1)),IF('Staging Table'!D36=1,'Staging Table'!BU36*-1*'Staging Table'!BS36/'Staging Table'!BR36,'Staging Table'!BU36*SUM(D34:I34)*(-1)))</f>
        <v>0</v>
      </c>
      <c r="K34" s="211">
        <f>IF(Init!$R$9="Yes",'Staging Table'!K36,'Staging Table'!BX36)*(-1)*Rates_previous!$H$32</f>
        <v>0</v>
      </c>
      <c r="L34" s="211">
        <f>IF('Staging Table'!C36=1,"",SUM(D34:K34))</f>
        <v>1274744.2028168351</v>
      </c>
      <c r="M34" s="211">
        <f>IF('Staging Table'!C36=1,"",IF(Init!$R$9="Yes",(RT1SC!$C$3*'Staging Table'!F36*'Staging Table'!$F$2),X34))</f>
        <v>34023.207013171195</v>
      </c>
      <c r="N34" s="95">
        <f>IF('Staging Table'!C36=1,"",IF(M34=0, 0, L34/M34))</f>
        <v>37.46690317357065</v>
      </c>
      <c r="O34" s="211">
        <f>'Staging Table'!BS36*Rates_current!$E$76*100*12</f>
        <v>1339579.1072604978</v>
      </c>
      <c r="P34" s="211">
        <f>'Staging Table'!BS36*Rates_current!$E$77*100*12</f>
        <v>-221167.72492093802</v>
      </c>
      <c r="Q34" s="212"/>
      <c r="R34" s="212">
        <f>SUMPRODUCT('Staging Table'!CW36:DH36, LS_Demand_Rates_Restatement!$C$11:$N$11)*1000</f>
        <v>73404.587627519606</v>
      </c>
      <c r="S34" s="213"/>
      <c r="T34" s="213">
        <v>0</v>
      </c>
      <c r="U34" s="213">
        <f>IF('Staging Table'!D36=1, 'Staging Table'!BU36*-1*'Staging Table'!BS36/'Staging Table'!BR36,SUM(O34:T34)*'Staging Table'!BU36*-1)</f>
        <v>0</v>
      </c>
      <c r="V34" s="211">
        <f>'Staging Table'!BX36*Rates_current!$H$32*-1</f>
        <v>0</v>
      </c>
      <c r="W34" s="211">
        <f>IF('Staging Table'!C36=1,"",SUM(O34:V34))</f>
        <v>1191815.9699670793</v>
      </c>
      <c r="X34" s="211">
        <f>IF('Staging Table'!C36=1,"",(RT1SC!$C$4*'Staging Table'!BS36*'Staging Table'!$BS$2))</f>
        <v>32963.268003624005</v>
      </c>
      <c r="Y34" s="95">
        <f>IF('Staging Table'!C36=1,"",IF(X34=0, 0, W34/X34))</f>
        <v>36.15588023117278</v>
      </c>
      <c r="Z34" s="87">
        <f ca="1">IF('Staging Table'!C36=1,"",(Y34/N34-1)+(RAND()/100000000000))</f>
        <v>-3.4991494659927354E-2</v>
      </c>
      <c r="AA34" s="53">
        <f t="shared" ca="1" si="0"/>
        <v>68</v>
      </c>
      <c r="AD34" s="216"/>
      <c r="AE34" s="216"/>
      <c r="AG34" s="216"/>
      <c r="AH34" s="216"/>
    </row>
    <row r="35" spans="2:34">
      <c r="B35" s="135">
        <v>10087</v>
      </c>
      <c r="C35" s="136" t="s">
        <v>38</v>
      </c>
      <c r="D35" s="211">
        <f>IF(Init!$R$9="Yes",'Staging Table'!F37,'Staging Table'!BS37)*Rates_previous!$E$76*100*12</f>
        <v>10376513.2776</v>
      </c>
      <c r="E35" s="211">
        <f>IF(Init!$R$9="Yes",'Staging Table'!F37,'Staging Table'!BS37)*Rates_previous!$E$77*100*12</f>
        <v>-1049752.308</v>
      </c>
      <c r="F35" s="212"/>
      <c r="G35" s="212">
        <f>IF(Init!$R$9="Yes",SUMPRODUCT('Staging Table'!AJ37:AU37,LS_Demand_Rates_Restatement!$C$10:$N$10),SUMPRODUCT(LS_Demand_Rates_Restatement!$C$10:$N$10,'Staging Table'!CW37:DH37))*1000</f>
        <v>0</v>
      </c>
      <c r="H35" s="213"/>
      <c r="I35" s="211">
        <f>IF(Init!$R$9="Yes",IF('Staging Table'!$F$1=2020,(SUM('Staging Table'!AX37:BD37)*Rates_previous!$C$87),(SUM('Staging Table'!AX37:BD37)*Rates_previous!$D$87)),IF('Staging Table'!$F$1=2020,(SUM('Staging Table'!DK37:DQ37)*Rates_previous!$C$87),(SUM('Staging Table'!DK37:DQ37)*Rates_previous!$D$87)))</f>
        <v>127290.31313803114</v>
      </c>
      <c r="J35" s="213">
        <f>IF(Init!$R$9="Yes",IF('Staging Table'!D37=1,'Staging Table'!H37*-1*'Staging Table'!F37/'Staging Table'!E37,'Staging Table'!H37*SUM(D35:I35)*(-1)),IF('Staging Table'!D37=1,'Staging Table'!BU37*-1*'Staging Table'!BS37/'Staging Table'!BR37,'Staging Table'!BU37*SUM(D35:I35)*(-1)))</f>
        <v>0</v>
      </c>
      <c r="K35" s="211">
        <f>IF(Init!$R$9="Yes",'Staging Table'!K37,'Staging Table'!BX37)*(-1)*Rates_previous!$H$32</f>
        <v>0</v>
      </c>
      <c r="L35" s="211">
        <f>IF('Staging Table'!C37=1,"",SUM(D35:K35))</f>
        <v>9454051.28273803</v>
      </c>
      <c r="M35" s="211">
        <f>IF('Staging Table'!C37=1,"",IF(Init!$R$9="Yes",(RT1SC!$C$3*'Staging Table'!F37*'Staging Table'!$F$2),X35))</f>
        <v>269396.66633932799</v>
      </c>
      <c r="N35" s="95">
        <f>IF('Staging Table'!C37=1,"",IF(M35=0, 0, L35/M35))</f>
        <v>35.09342343097093</v>
      </c>
      <c r="O35" s="211">
        <f>'Staging Table'!BS37*Rates_current!$E$76*100*12</f>
        <v>20030616.557849549</v>
      </c>
      <c r="P35" s="211">
        <f>'Staging Table'!BS37*Rates_current!$E$77*100*12</f>
        <v>-3307102.8570481902</v>
      </c>
      <c r="Q35" s="212"/>
      <c r="R35" s="212">
        <f>SUMPRODUCT('Staging Table'!CW37:DH37, LS_Demand_Rates_Restatement!$C$11:$N$11)*1000</f>
        <v>1720.5996634615576</v>
      </c>
      <c r="S35" s="213"/>
      <c r="T35" s="213">
        <v>0</v>
      </c>
      <c r="U35" s="213">
        <f>IF('Staging Table'!D37=1, 'Staging Table'!BU37*-1*'Staging Table'!BS37/'Staging Table'!BR37,SUM(O35:T35)*'Staging Table'!BU37*-1)</f>
        <v>0</v>
      </c>
      <c r="V35" s="211">
        <f>'Staging Table'!BX37*Rates_current!$H$32*-1</f>
        <v>0</v>
      </c>
      <c r="W35" s="211">
        <f>IF('Staging Table'!C37=1,"",SUM(O35:V35))</f>
        <v>16725234.300464818</v>
      </c>
      <c r="X35" s="211">
        <f>IF('Staging Table'!C37=1,"",(RT1SC!$C$4*'Staging Table'!BS37*'Staging Table'!$BS$2))</f>
        <v>492897.04377706797</v>
      </c>
      <c r="Y35" s="95">
        <f>IF('Staging Table'!C37=1,"",IF(X35=0, 0, W35/X35))</f>
        <v>33.932510879552893</v>
      </c>
      <c r="Z35" s="87">
        <f ca="1">IF('Staging Table'!C37=1,"",(Y35/N35-1)+(RAND()/100000000000))</f>
        <v>-3.3080629861834403E-2</v>
      </c>
      <c r="AA35" s="53">
        <f t="shared" ca="1" si="0"/>
        <v>27</v>
      </c>
      <c r="AD35" s="216"/>
      <c r="AE35" s="216"/>
      <c r="AG35" s="216"/>
      <c r="AH35" s="216"/>
    </row>
    <row r="36" spans="2:34">
      <c r="B36" s="135">
        <v>10089</v>
      </c>
      <c r="C36" s="136" t="s">
        <v>39</v>
      </c>
      <c r="D36" s="211">
        <f>IF(Init!$R$9="Yes",'Staging Table'!F38,'Staging Table'!BS38)*Rates_previous!$E$76*100*12</f>
        <v>34952640.89976</v>
      </c>
      <c r="E36" s="211">
        <f>IF(Init!$R$9="Yes",'Staging Table'!F38,'Staging Table'!BS38)*Rates_previous!$E$77*100*12</f>
        <v>-3536025.4908000003</v>
      </c>
      <c r="F36" s="212"/>
      <c r="G36" s="212">
        <f>IF(Init!$R$9="Yes",SUMPRODUCT('Staging Table'!AJ38:AU38,LS_Demand_Rates_Restatement!$C$10:$N$10),SUMPRODUCT(LS_Demand_Rates_Restatement!$C$10:$N$10,'Staging Table'!CW38:DH38))*1000</f>
        <v>1774559.2855835822</v>
      </c>
      <c r="H36" s="213"/>
      <c r="I36" s="211">
        <f>IF(Init!$R$9="Yes",IF('Staging Table'!$F$1=2020,(SUM('Staging Table'!AX38:BD38)*Rates_previous!$C$87),(SUM('Staging Table'!AX38:BD38)*Rates_previous!$D$87)),IF('Staging Table'!$F$1=2020,(SUM('Staging Table'!DK38:DQ38)*Rates_previous!$C$87),(SUM('Staging Table'!DK38:DQ38)*Rates_previous!$D$87)))</f>
        <v>428769.51882633276</v>
      </c>
      <c r="J36" s="213">
        <f>IF(Init!$R$9="Yes",IF('Staging Table'!D38=1,'Staging Table'!H38*-1*'Staging Table'!F38/'Staging Table'!E38,'Staging Table'!H38*SUM(D36:I36)*(-1)),IF('Staging Table'!D38=1,'Staging Table'!BU38*-1*'Staging Table'!BS38/'Staging Table'!BR38,'Staging Table'!BU38*SUM(D36:I36)*(-1)))</f>
        <v>0</v>
      </c>
      <c r="K36" s="211">
        <f>IF(Init!$R$9="Yes",'Staging Table'!K38,'Staging Table'!BX38)*(-1)*Rates_previous!$H$32</f>
        <v>0</v>
      </c>
      <c r="L36" s="211">
        <f>IF('Staging Table'!C38=1,"",SUM(D36:K36))</f>
        <v>33619944.213369913</v>
      </c>
      <c r="M36" s="211">
        <f>IF('Staging Table'!C38=1,"",IF(Init!$R$9="Yes",(RT1SC!$C$3*'Staging Table'!F38*'Staging Table'!$F$2),X36))</f>
        <v>907445.94896609278</v>
      </c>
      <c r="N36" s="95">
        <f>IF('Staging Table'!C38=1,"",IF(M36=0, 0, L36/M36))</f>
        <v>37.0489771337622</v>
      </c>
      <c r="O36" s="211">
        <f>'Staging Table'!BS38*Rates_current!$E$76*100*12</f>
        <v>35267909.23529759</v>
      </c>
      <c r="P36" s="211">
        <f>'Staging Table'!BS38*Rates_current!$E$77*100*12</f>
        <v>-5822816.4398894869</v>
      </c>
      <c r="Q36" s="212"/>
      <c r="R36" s="212">
        <f>SUMPRODUCT('Staging Table'!CW38:DH38, LS_Demand_Rates_Restatement!$C$11:$N$11)*1000</f>
        <v>1678680.3775312856</v>
      </c>
      <c r="S36" s="213"/>
      <c r="T36" s="213">
        <v>0</v>
      </c>
      <c r="U36" s="213">
        <f>IF('Staging Table'!D38=1, 'Staging Table'!BU38*-1*'Staging Table'!BS38/'Staging Table'!BR38,SUM(O36:T36)*'Staging Table'!BU38*-1)</f>
        <v>0</v>
      </c>
      <c r="V36" s="211">
        <f>'Staging Table'!BX38*Rates_current!$H$32*-1</f>
        <v>0</v>
      </c>
      <c r="W36" s="211">
        <f>IF('Staging Table'!C38=1,"",SUM(O36:V36))</f>
        <v>31123773.17293939</v>
      </c>
      <c r="X36" s="211">
        <f>IF('Staging Table'!C38=1,"",(RT1SC!$C$4*'Staging Table'!BS38*'Staging Table'!$BS$2))</f>
        <v>867843.89047994406</v>
      </c>
      <c r="Y36" s="95">
        <f>IF('Staging Table'!C38=1,"",IF(X36=0, 0, W36/X36))</f>
        <v>35.863331544256191</v>
      </c>
      <c r="Z36" s="87">
        <f ca="1">IF('Staging Table'!C38=1,"",(Y36/N36-1)+(RAND()/100000000000))</f>
        <v>-3.2002113981960026E-2</v>
      </c>
      <c r="AA36" s="53">
        <f t="shared" ca="1" si="0"/>
        <v>12</v>
      </c>
      <c r="AD36" s="216"/>
      <c r="AE36" s="216"/>
      <c r="AG36" s="216"/>
      <c r="AH36" s="216"/>
    </row>
    <row r="37" spans="2:34">
      <c r="B37" s="135">
        <v>10091</v>
      </c>
      <c r="C37" s="136" t="s">
        <v>40</v>
      </c>
      <c r="D37" s="211">
        <f>IF(Init!$R$9="Yes",'Staging Table'!F39,'Staging Table'!BS39)*Rates_previous!$E$76*100*12</f>
        <v>3171182.2414800003</v>
      </c>
      <c r="E37" s="211">
        <f>IF(Init!$R$9="Yes",'Staging Table'!F39,'Staging Table'!BS39)*Rates_previous!$E$77*100*12</f>
        <v>-320816.42339999997</v>
      </c>
      <c r="F37" s="212"/>
      <c r="G37" s="212">
        <f>IF(Init!$R$9="Yes",SUMPRODUCT('Staging Table'!AJ39:AU39,LS_Demand_Rates_Restatement!$C$10:$N$10),SUMPRODUCT(LS_Demand_Rates_Restatement!$C$10:$N$10,'Staging Table'!CW39:DH39))*1000</f>
        <v>194839.33722471516</v>
      </c>
      <c r="H37" s="213"/>
      <c r="I37" s="211">
        <f>IF(Init!$R$9="Yes",IF('Staging Table'!$F$1=2020,(SUM('Staging Table'!AX39:BD39)*Rates_previous!$C$87),(SUM('Staging Table'!AX39:BD39)*Rates_previous!$D$87)),IF('Staging Table'!$F$1=2020,(SUM('Staging Table'!DK39:DQ39)*Rates_previous!$C$87),(SUM('Staging Table'!DK39:DQ39)*Rates_previous!$D$87)))</f>
        <v>38901.389102170164</v>
      </c>
      <c r="J37" s="213">
        <f>IF(Init!$R$9="Yes",IF('Staging Table'!D39=1,'Staging Table'!H39*-1*'Staging Table'!F39/'Staging Table'!E39,'Staging Table'!H39*SUM(D37:I37)*(-1)),IF('Staging Table'!D39=1,'Staging Table'!BU39*-1*'Staging Table'!BS39/'Staging Table'!BR39,'Staging Table'!BU39*SUM(D37:I37)*(-1)))</f>
        <v>0</v>
      </c>
      <c r="K37" s="211">
        <f>IF(Init!$R$9="Yes",'Staging Table'!K39,'Staging Table'!BX39)*(-1)*Rates_previous!$H$32</f>
        <v>0</v>
      </c>
      <c r="L37" s="211">
        <f>IF('Staging Table'!C39=1,"",SUM(D37:K37))</f>
        <v>3084106.5444068862</v>
      </c>
      <c r="M37" s="211">
        <f>IF('Staging Table'!C39=1,"",IF(Init!$R$9="Yes",(RT1SC!$C$3*'Staging Table'!F39*'Staging Table'!$F$2),X37))</f>
        <v>82330.731080294398</v>
      </c>
      <c r="N37" s="95">
        <f>IF('Staging Table'!C39=1,"",IF(M37=0, 0, L37/M37))</f>
        <v>37.459967911605943</v>
      </c>
      <c r="O37" s="211">
        <f>'Staging Table'!BS39*Rates_current!$E$76*100*12</f>
        <v>3199785.8983488763</v>
      </c>
      <c r="P37" s="211">
        <f>'Staging Table'!BS39*Rates_current!$E$77*100*12</f>
        <v>-528292.32968494017</v>
      </c>
      <c r="Q37" s="212"/>
      <c r="R37" s="212">
        <f>SUMPRODUCT('Staging Table'!CW39:DH39, LS_Demand_Rates_Restatement!$C$11:$N$11)*1000</f>
        <v>182205.22775932169</v>
      </c>
      <c r="S37" s="213"/>
      <c r="T37" s="213">
        <v>0</v>
      </c>
      <c r="U37" s="213">
        <f>IF('Staging Table'!D39=1, 'Staging Table'!BU39*-1*'Staging Table'!BS39/'Staging Table'!BR39,SUM(O37:T37)*'Staging Table'!BU39*-1)</f>
        <v>0</v>
      </c>
      <c r="V37" s="211">
        <f>'Staging Table'!BX39*Rates_current!$H$32*-1</f>
        <v>0</v>
      </c>
      <c r="W37" s="211">
        <f>IF('Staging Table'!C39=1,"",SUM(O37:V37))</f>
        <v>2853698.7964232578</v>
      </c>
      <c r="X37" s="211">
        <f>IF('Staging Table'!C39=1,"",(RT1SC!$C$4*'Staging Table'!BS39*'Staging Table'!$BS$2))</f>
        <v>78737.716608012008</v>
      </c>
      <c r="Y37" s="95">
        <f>IF('Staging Table'!C39=1,"",IF(X37=0, 0, W37/X37))</f>
        <v>36.243098217212939</v>
      </c>
      <c r="Z37" s="87">
        <f ca="1">IF('Staging Table'!C39=1,"",(Y37/N37-1)+(RAND()/100000000000))</f>
        <v>-3.248453647964869E-2</v>
      </c>
      <c r="AA37" s="53">
        <f t="shared" ca="1" si="0"/>
        <v>19</v>
      </c>
      <c r="AD37" s="216"/>
      <c r="AE37" s="216"/>
      <c r="AG37" s="216"/>
      <c r="AH37" s="216"/>
    </row>
    <row r="38" spans="2:34">
      <c r="B38" s="135">
        <v>10094</v>
      </c>
      <c r="C38" s="136" t="s">
        <v>41</v>
      </c>
      <c r="D38" s="211">
        <f>IF(Init!$R$9="Yes",'Staging Table'!F40,'Staging Table'!BS40)*Rates_previous!$E$76*100*12</f>
        <v>1022203.0143599999</v>
      </c>
      <c r="E38" s="211">
        <f>IF(Init!$R$9="Yes",'Staging Table'!F40,'Staging Table'!BS40)*Rates_previous!$E$77*100*12</f>
        <v>-103412.38380000001</v>
      </c>
      <c r="F38" s="212"/>
      <c r="G38" s="212">
        <f>IF(Init!$R$9="Yes",SUMPRODUCT('Staging Table'!AJ40:AU40,LS_Demand_Rates_Restatement!$C$10:$N$10),SUMPRODUCT(LS_Demand_Rates_Restatement!$C$10:$N$10,'Staging Table'!CW40:DH40))*1000</f>
        <v>59244.351594195148</v>
      </c>
      <c r="H38" s="213"/>
      <c r="I38" s="211">
        <f>IF(Init!$R$9="Yes",IF('Staging Table'!$F$1=2020,(SUM('Staging Table'!AX40:BD40)*Rates_previous!$C$87),(SUM('Staging Table'!AX40:BD40)*Rates_previous!$D$87)),IF('Staging Table'!$F$1=2020,(SUM('Staging Table'!DK40:DQ40)*Rates_previous!$C$87),(SUM('Staging Table'!DK40:DQ40)*Rates_previous!$D$87)))</f>
        <v>12539.524434417584</v>
      </c>
      <c r="J38" s="213">
        <f>IF(Init!$R$9="Yes",IF('Staging Table'!D40=1,'Staging Table'!H40*-1*'Staging Table'!F40/'Staging Table'!E40,'Staging Table'!H40*SUM(D38:I38)*(-1)),IF('Staging Table'!D40=1,'Staging Table'!BU40*-1*'Staging Table'!BS40/'Staging Table'!BR40,'Staging Table'!BU40*SUM(D38:I38)*(-1)))</f>
        <v>0</v>
      </c>
      <c r="K38" s="211">
        <f>IF(Init!$R$9="Yes",'Staging Table'!K40,'Staging Table'!BX40)*(-1)*Rates_previous!$H$32</f>
        <v>0</v>
      </c>
      <c r="L38" s="211">
        <f>IF('Staging Table'!C40=1,"",SUM(D38:K38))</f>
        <v>990574.50658861268</v>
      </c>
      <c r="M38" s="211">
        <f>IF('Staging Table'!C40=1,"",IF(Init!$R$9="Yes",(RT1SC!$C$3*'Staging Table'!F40*'Staging Table'!$F$2),X38))</f>
        <v>26538.595096780798</v>
      </c>
      <c r="N38" s="95">
        <f>IF('Staging Table'!C40=1,"",IF(M38=0, 0, L38/M38))</f>
        <v>37.325808053372498</v>
      </c>
      <c r="O38" s="211">
        <f>'Staging Table'!BS40*Rates_current!$E$76*100*12</f>
        <v>1031423.1543729682</v>
      </c>
      <c r="P38" s="211">
        <f>'Staging Table'!BS40*Rates_current!$E$77*100*12</f>
        <v>-170290.437680801</v>
      </c>
      <c r="Q38" s="212"/>
      <c r="R38" s="212">
        <f>SUMPRODUCT('Staging Table'!CW40:DH40, LS_Demand_Rates_Restatement!$C$11:$N$11)*1000</f>
        <v>54463.338917298781</v>
      </c>
      <c r="S38" s="213"/>
      <c r="T38" s="213">
        <v>0</v>
      </c>
      <c r="U38" s="213">
        <f>IF('Staging Table'!D40=1, 'Staging Table'!BU40*-1*'Staging Table'!BS40/'Staging Table'!BR40,SUM(O38:T38)*'Staging Table'!BU40*-1)</f>
        <v>0</v>
      </c>
      <c r="V38" s="211">
        <f>'Staging Table'!BX40*Rates_current!$H$32*-1</f>
        <v>0</v>
      </c>
      <c r="W38" s="211">
        <f>IF('Staging Table'!C40=1,"",SUM(O38:V38))</f>
        <v>915596.05560946604</v>
      </c>
      <c r="X38" s="211">
        <f>IF('Staging Table'!C40=1,"",(RT1SC!$C$4*'Staging Table'!BS40*'Staging Table'!$BS$2))</f>
        <v>25380.418131684004</v>
      </c>
      <c r="Y38" s="95">
        <f>IF('Staging Table'!C40=1,"",IF(X38=0, 0, W38/X38))</f>
        <v>36.074900376305024</v>
      </c>
      <c r="Z38" s="87">
        <f ca="1">IF('Staging Table'!C40=1,"",(Y38/N38-1)+(RAND()/100000000000))</f>
        <v>-3.3513210886412195E-2</v>
      </c>
      <c r="AA38" s="53">
        <f t="shared" ca="1" si="0"/>
        <v>45</v>
      </c>
      <c r="AD38" s="216"/>
      <c r="AE38" s="216"/>
      <c r="AG38" s="216"/>
      <c r="AH38" s="216"/>
    </row>
    <row r="39" spans="2:34">
      <c r="B39" s="135">
        <v>10095</v>
      </c>
      <c r="C39" s="136" t="s">
        <v>42</v>
      </c>
      <c r="D39" s="211">
        <f>IF(Init!$R$9="Yes",'Staging Table'!F41,'Staging Table'!BS41)*Rates_previous!$E$76*100*12</f>
        <v>1225883.0848799997</v>
      </c>
      <c r="E39" s="211">
        <f>IF(Init!$R$9="Yes",'Staging Table'!F41,'Staging Table'!BS41)*Rates_previous!$E$77*100*12</f>
        <v>-124017.9204</v>
      </c>
      <c r="F39" s="212"/>
      <c r="G39" s="212">
        <f>IF(Init!$R$9="Yes",SUMPRODUCT('Staging Table'!AJ41:AU41,LS_Demand_Rates_Restatement!$C$10:$N$10),SUMPRODUCT(LS_Demand_Rates_Restatement!$C$10:$N$10,'Staging Table'!CW41:DH41))*1000</f>
        <v>38428.029075997183</v>
      </c>
      <c r="H39" s="213"/>
      <c r="I39" s="211">
        <f>IF(Init!$R$9="Yes",IF('Staging Table'!$F$1=2020,(SUM('Staging Table'!AX41:BD41)*Rates_previous!$C$87),(SUM('Staging Table'!AX41:BD41)*Rates_previous!$D$87)),IF('Staging Table'!$F$1=2020,(SUM('Staging Table'!DK41:DQ41)*Rates_previous!$C$87),(SUM('Staging Table'!DK41:DQ41)*Rates_previous!$D$87)))</f>
        <v>15038.099751854432</v>
      </c>
      <c r="J39" s="213">
        <f>IF(Init!$R$9="Yes",IF('Staging Table'!D41=1,'Staging Table'!H41*-1*'Staging Table'!F41/'Staging Table'!E41,'Staging Table'!H41*SUM(D39:I39)*(-1)),IF('Staging Table'!D41=1,'Staging Table'!BU41*-1*'Staging Table'!BS41/'Staging Table'!BR41,'Staging Table'!BU41*SUM(D39:I39)*(-1)))</f>
        <v>0</v>
      </c>
      <c r="K39" s="211">
        <f>IF(Init!$R$9="Yes",'Staging Table'!K41,'Staging Table'!BX41)*(-1)*Rates_previous!$H$32</f>
        <v>0</v>
      </c>
      <c r="L39" s="211">
        <f>IF('Staging Table'!C41=1,"",SUM(D39:K39))</f>
        <v>1155331.2933078515</v>
      </c>
      <c r="M39" s="211">
        <f>IF('Staging Table'!C41=1,"",IF(Init!$R$9="Yes",(RT1SC!$C$3*'Staging Table'!F41*'Staging Table'!$F$2),X39))</f>
        <v>31826.569055846398</v>
      </c>
      <c r="N39" s="95">
        <f>IF('Staging Table'!C41=1,"",IF(M39=0, 0, L39/M39))</f>
        <v>36.300843213121091</v>
      </c>
      <c r="O39" s="211">
        <f>'Staging Table'!BS41*Rates_current!$E$76*100*12</f>
        <v>1237180.2030714122</v>
      </c>
      <c r="P39" s="211">
        <f>'Staging Table'!BS41*Rates_current!$E$77*100*12</f>
        <v>-204261.4201337485</v>
      </c>
      <c r="Q39" s="212"/>
      <c r="R39" s="212">
        <f>SUMPRODUCT('Staging Table'!CW41:DH41, LS_Demand_Rates_Restatement!$C$11:$N$11)*1000</f>
        <v>33124.155512873956</v>
      </c>
      <c r="S39" s="213"/>
      <c r="T39" s="213">
        <v>0</v>
      </c>
      <c r="U39" s="213">
        <f>IF('Staging Table'!D41=1, 'Staging Table'!BU41*-1*'Staging Table'!BS41/'Staging Table'!BR41,SUM(O39:T39)*'Staging Table'!BU41*-1)</f>
        <v>0</v>
      </c>
      <c r="V39" s="211">
        <f>'Staging Table'!BX41*Rates_current!$H$32*-1</f>
        <v>0</v>
      </c>
      <c r="W39" s="211">
        <f>IF('Staging Table'!C41=1,"",SUM(O39:V39))</f>
        <v>1066042.9384505376</v>
      </c>
      <c r="X39" s="211">
        <f>IF('Staging Table'!C41=1,"",(RT1SC!$C$4*'Staging Table'!BS41*'Staging Table'!$BS$2))</f>
        <v>30443.519446956005</v>
      </c>
      <c r="Y39" s="95">
        <f>IF('Staging Table'!C41=1,"",IF(X39=0, 0, W39/X39))</f>
        <v>35.017072855455595</v>
      </c>
      <c r="Z39" s="87">
        <f ca="1">IF('Staging Table'!C41=1,"",(Y39/N39-1)+(RAND()/100000000000))</f>
        <v>-3.5364753093702565E-2</v>
      </c>
      <c r="AA39" s="53">
        <f t="shared" ca="1" si="0"/>
        <v>75</v>
      </c>
      <c r="AD39" s="216"/>
      <c r="AE39" s="216"/>
      <c r="AG39" s="216"/>
      <c r="AH39" s="216"/>
    </row>
    <row r="40" spans="2:34">
      <c r="B40" s="135">
        <v>10097</v>
      </c>
      <c r="C40" s="136" t="s">
        <v>43</v>
      </c>
      <c r="D40" s="211">
        <f>IF(Init!$R$9="Yes",'Staging Table'!F42,'Staging Table'!BS42)*Rates_previous!$E$76*100*12</f>
        <v>680438.78868</v>
      </c>
      <c r="E40" s="211">
        <f>IF(Init!$R$9="Yes",'Staging Table'!F42,'Staging Table'!BS42)*Rates_previous!$E$77*100*12</f>
        <v>-68837.399399999995</v>
      </c>
      <c r="F40" s="212"/>
      <c r="G40" s="212">
        <f>IF(Init!$R$9="Yes",SUMPRODUCT('Staging Table'!AJ42:AU42,LS_Demand_Rates_Restatement!$C$10:$N$10),SUMPRODUCT(LS_Demand_Rates_Restatement!$C$10:$N$10,'Staging Table'!CW42:DH42))*1000</f>
        <v>47949.462349928777</v>
      </c>
      <c r="H40" s="213"/>
      <c r="I40" s="211">
        <f>IF(Init!$R$9="Yes",IF('Staging Table'!$F$1=2020,(SUM('Staging Table'!AX42:BD42)*Rates_previous!$C$87),(SUM('Staging Table'!AX42:BD42)*Rates_previous!$D$87)),IF('Staging Table'!$F$1=2020,(SUM('Staging Table'!DK42:DQ42)*Rates_previous!$C$87),(SUM('Staging Table'!DK42:DQ42)*Rates_previous!$D$87)))</f>
        <v>8347.0491643193564</v>
      </c>
      <c r="J40" s="213">
        <f>IF(Init!$R$9="Yes",IF('Staging Table'!D42=1,'Staging Table'!H42*-1*'Staging Table'!F42/'Staging Table'!E42,'Staging Table'!H42*SUM(D40:I40)*(-1)),IF('Staging Table'!D42=1,'Staging Table'!BU42*-1*'Staging Table'!BS42/'Staging Table'!BR42,'Staging Table'!BU42*SUM(D40:I40)*(-1)))</f>
        <v>0</v>
      </c>
      <c r="K40" s="211">
        <f>IF(Init!$R$9="Yes",'Staging Table'!K42,'Staging Table'!BX42)*(-1)*Rates_previous!$H$32</f>
        <v>0</v>
      </c>
      <c r="L40" s="211">
        <f>IF('Staging Table'!C42=1,"",SUM(D40:K40))</f>
        <v>667897.90079424821</v>
      </c>
      <c r="M40" s="211">
        <f>IF('Staging Table'!C42=1,"",IF(Init!$R$9="Yes",(RT1SC!$C$3*'Staging Table'!F42*'Staging Table'!$F$2),X40))</f>
        <v>17665.6586287104</v>
      </c>
      <c r="N40" s="95">
        <f>IF('Staging Table'!C42=1,"",IF(M40=0, 0, L40/M40))</f>
        <v>37.807698814510886</v>
      </c>
      <c r="O40" s="211">
        <f>'Staging Table'!BS42*Rates_current!$E$76*100*12</f>
        <v>692091.89107658365</v>
      </c>
      <c r="P40" s="211">
        <f>'Staging Table'!BS42*Rates_current!$E$77*100*12</f>
        <v>-114266.03188718711</v>
      </c>
      <c r="Q40" s="212"/>
      <c r="R40" s="212">
        <f>SUMPRODUCT('Staging Table'!CW42:DH42, LS_Demand_Rates_Restatement!$C$11:$N$11)*1000</f>
        <v>43472.897563230057</v>
      </c>
      <c r="S40" s="213"/>
      <c r="T40" s="213">
        <v>0</v>
      </c>
      <c r="U40" s="213">
        <f>IF('Staging Table'!D42=1, 'Staging Table'!BU42*-1*'Staging Table'!BS42/'Staging Table'!BR42,SUM(O40:T40)*'Staging Table'!BU42*-1)</f>
        <v>0</v>
      </c>
      <c r="V40" s="211">
        <f>'Staging Table'!BX42*Rates_current!$H$32*-1</f>
        <v>0</v>
      </c>
      <c r="W40" s="211">
        <f>IF('Staging Table'!C42=1,"",SUM(O40:V40))</f>
        <v>621298.7567526265</v>
      </c>
      <c r="X40" s="211">
        <f>IF('Staging Table'!C42=1,"",(RT1SC!$C$4*'Staging Table'!BS42*'Staging Table'!$BS$2))</f>
        <v>17030.431696824002</v>
      </c>
      <c r="Y40" s="95">
        <f>IF('Staging Table'!C42=1,"",IF(X40=0, 0, W40/X40))</f>
        <v>36.481679843059545</v>
      </c>
      <c r="Z40" s="87">
        <f ca="1">IF('Staging Table'!C42=1,"",(Y40/N40-1)+(RAND()/100000000000))</f>
        <v>-3.5072723617093252E-2</v>
      </c>
      <c r="AA40" s="53">
        <f t="shared" ca="1" si="0"/>
        <v>70</v>
      </c>
      <c r="AD40" s="216"/>
      <c r="AE40" s="216"/>
      <c r="AG40" s="216"/>
      <c r="AH40" s="216"/>
    </row>
    <row r="41" spans="2:34">
      <c r="B41" s="135">
        <v>10101</v>
      </c>
      <c r="C41" s="136" t="s">
        <v>44</v>
      </c>
      <c r="D41" s="211">
        <f>IF(Init!$R$9="Yes",'Staging Table'!F43,'Staging Table'!BS43)*Rates_previous!$E$76*100*12</f>
        <v>25586922.651240002</v>
      </c>
      <c r="E41" s="211">
        <f>IF(Init!$R$9="Yes",'Staging Table'!F43,'Staging Table'!BS43)*Rates_previous!$E$77*100*12</f>
        <v>-2588531.4642000003</v>
      </c>
      <c r="F41" s="212"/>
      <c r="G41" s="212">
        <f>IF(Init!$R$9="Yes",SUMPRODUCT('Staging Table'!AJ43:AU43,LS_Demand_Rates_Restatement!$C$10:$N$10),SUMPRODUCT(LS_Demand_Rates_Restatement!$C$10:$N$10,'Staging Table'!CW43:DH43))*1000</f>
        <v>1544209.8139653837</v>
      </c>
      <c r="H41" s="213"/>
      <c r="I41" s="211">
        <f>IF(Init!$R$9="Yes",IF('Staging Table'!$F$1=2020,(SUM('Staging Table'!AX43:BD43)*Rates_previous!$C$87),(SUM('Staging Table'!AX43:BD43)*Rates_previous!$D$87)),IF('Staging Table'!$F$1=2020,(SUM('Staging Table'!DK43:DQ43)*Rates_previous!$C$87),(SUM('Staging Table'!DK43:DQ43)*Rates_previous!$D$87)))</f>
        <v>313878.78658101911</v>
      </c>
      <c r="J41" s="213">
        <f>IF(Init!$R$9="Yes",IF('Staging Table'!D43=1,'Staging Table'!H43*-1*'Staging Table'!F43/'Staging Table'!E43,'Staging Table'!H43*SUM(D41:I41)*(-1)),IF('Staging Table'!D43=1,'Staging Table'!BU43*-1*'Staging Table'!BS43/'Staging Table'!BR43,'Staging Table'!BU43*SUM(D41:I41)*(-1)))</f>
        <v>-1271501.3825888003</v>
      </c>
      <c r="K41" s="211">
        <f>IF(Init!$R$9="Yes",'Staging Table'!K43,'Staging Table'!BX43)*(-1)*Rates_previous!$H$32</f>
        <v>0</v>
      </c>
      <c r="L41" s="211">
        <f>IF('Staging Table'!C43=1,"",SUM(D41:K41))</f>
        <v>23584978.404997606</v>
      </c>
      <c r="M41" s="211">
        <f>IF('Staging Table'!C43=1,"",IF(Init!$R$9="Yes",(RT1SC!$C$3*'Staging Table'!F43*'Staging Table'!$F$2),X41))</f>
        <v>664291.70181918715</v>
      </c>
      <c r="N41" s="95">
        <f>IF('Staging Table'!C43=1,"",IF(M41=0, 0, L41/M41))</f>
        <v>35.503948552133465</v>
      </c>
      <c r="O41" s="211">
        <f>'Staging Table'!BS43*Rates_current!$E$76*100*12</f>
        <v>25817713.410053335</v>
      </c>
      <c r="P41" s="211">
        <f>'Staging Table'!BS43*Rates_current!$E$77*100*12</f>
        <v>-4262566.4334520716</v>
      </c>
      <c r="Q41" s="212"/>
      <c r="R41" s="212">
        <f>SUMPRODUCT('Staging Table'!CW43:DH43, LS_Demand_Rates_Restatement!$C$11:$N$11)*1000</f>
        <v>1445711.6904143242</v>
      </c>
      <c r="S41" s="213"/>
      <c r="T41" s="213">
        <v>0</v>
      </c>
      <c r="U41" s="213">
        <f>IF('Staging Table'!D43=1, 'Staging Table'!BU43*-1*'Staging Table'!BS43/'Staging Table'!BR43,SUM(O41:T41)*'Staging Table'!BU43*-1)</f>
        <v>-1217469.5780373968</v>
      </c>
      <c r="V41" s="211">
        <f>'Staging Table'!BX43*Rates_current!$H$32*-1</f>
        <v>0</v>
      </c>
      <c r="W41" s="211">
        <f>IF('Staging Table'!C43=1,"",SUM(O41:V41))</f>
        <v>21783389.088978194</v>
      </c>
      <c r="X41" s="211">
        <f>IF('Staging Table'!C43=1,"",(RT1SC!$C$4*'Staging Table'!BS43*'Staging Table'!$BS$2))</f>
        <v>635301.19405695598</v>
      </c>
      <c r="Y41" s="95">
        <f>IF('Staging Table'!C43=1,"",IF(X41=0, 0, W41/X41))</f>
        <v>34.288286080295435</v>
      </c>
      <c r="Z41" s="87">
        <f ca="1">IF('Staging Table'!C43=1,"",(Y41/N41-1)+(RAND()/100000000000))</f>
        <v>-3.4240204856984834E-2</v>
      </c>
      <c r="AA41" s="53">
        <f t="shared" ca="1" si="0"/>
        <v>57</v>
      </c>
      <c r="AD41" s="216"/>
      <c r="AE41" s="216"/>
      <c r="AG41" s="216"/>
      <c r="AH41" s="216"/>
    </row>
    <row r="42" spans="2:34">
      <c r="B42" s="135">
        <v>10103</v>
      </c>
      <c r="C42" s="136" t="s">
        <v>45</v>
      </c>
      <c r="D42" s="211">
        <f>IF(Init!$R$9="Yes",'Staging Table'!F44,'Staging Table'!BS44)*Rates_previous!$E$76*100*12</f>
        <v>51479484.241439983</v>
      </c>
      <c r="E42" s="211">
        <f>IF(Init!$R$9="Yes",'Staging Table'!F44,'Staging Table'!BS44)*Rates_previous!$E$77*100*12</f>
        <v>-5207983.2551999986</v>
      </c>
      <c r="F42" s="212"/>
      <c r="G42" s="212">
        <f>IF(Init!$R$9="Yes",SUMPRODUCT('Staging Table'!AJ44:AU44,LS_Demand_Rates_Restatement!$C$10:$N$10),SUMPRODUCT(LS_Demand_Rates_Restatement!$C$10:$N$10,'Staging Table'!CW44:DH44))*1000</f>
        <v>0</v>
      </c>
      <c r="H42" s="213"/>
      <c r="I42" s="211">
        <f>IF(Init!$R$9="Yes",IF('Staging Table'!$F$1=2020,(SUM('Staging Table'!AX44:BD44)*Rates_previous!$C$87),(SUM('Staging Table'!AX44:BD44)*Rates_previous!$D$87)),IF('Staging Table'!$F$1=2020,(SUM('Staging Table'!DK44:DQ44)*Rates_previous!$C$87),(SUM('Staging Table'!DK44:DQ44)*Rates_previous!$D$87)))</f>
        <v>631506.89388341922</v>
      </c>
      <c r="J42" s="213">
        <f>IF(Init!$R$9="Yes",IF('Staging Table'!D44=1,'Staging Table'!H44*-1*'Staging Table'!F44/'Staging Table'!E44,'Staging Table'!H44*SUM(D42:I42)*(-1)),IF('Staging Table'!D44=1,'Staging Table'!BU44*-1*'Staging Table'!BS44/'Staging Table'!BR44,'Staging Table'!BU44*SUM(D42:I42)*(-1)))</f>
        <v>0</v>
      </c>
      <c r="K42" s="211">
        <f>IF(Init!$R$9="Yes",'Staging Table'!K44,'Staging Table'!BX44)*(-1)*Rates_previous!$H$32</f>
        <v>0</v>
      </c>
      <c r="L42" s="211">
        <f>IF('Staging Table'!C44=1,"",SUM(D42:K42))</f>
        <v>46903007.880123407</v>
      </c>
      <c r="M42" s="211">
        <f>IF('Staging Table'!C44=1,"",IF(Init!$R$9="Yes",(RT1SC!$C$3*'Staging Table'!F44*'Staging Table'!$F$2),X42))</f>
        <v>1336518.4497426429</v>
      </c>
      <c r="N42" s="95">
        <f>IF('Staging Table'!C44=1,"",IF(M42=0, 0, L42/M42))</f>
        <v>35.09342343097093</v>
      </c>
      <c r="O42" s="211">
        <f>'Staging Table'!BS44*Rates_current!$E$76*100*12</f>
        <v>55824908.91889666</v>
      </c>
      <c r="P42" s="211">
        <f>'Staging Table'!BS44*Rates_current!$E$77*100*12</f>
        <v>-9216826.414052153</v>
      </c>
      <c r="Q42" s="212"/>
      <c r="R42" s="212">
        <f>SUMPRODUCT('Staging Table'!CW44:DH44, LS_Demand_Rates_Restatement!$C$11:$N$11)*1000</f>
        <v>0</v>
      </c>
      <c r="S42" s="213"/>
      <c r="T42" s="213">
        <v>0</v>
      </c>
      <c r="U42" s="213">
        <f>IF('Staging Table'!D44=1, 'Staging Table'!BU44*-1*'Staging Table'!BS44/'Staging Table'!BR44,SUM(O42:T42)*'Staging Table'!BU44*-1)</f>
        <v>0</v>
      </c>
      <c r="V42" s="211">
        <f>'Staging Table'!BX44*Rates_current!$H$32*-1</f>
        <v>0</v>
      </c>
      <c r="W42" s="211">
        <f>IF('Staging Table'!C44=1,"",SUM(O42:V42))</f>
        <v>46608082.504844509</v>
      </c>
      <c r="X42" s="211">
        <f>IF('Staging Table'!C44=1,"",(RT1SC!$C$4*'Staging Table'!BS44*'Staging Table'!$BS$2))</f>
        <v>1373693.7400693921</v>
      </c>
      <c r="Y42" s="95">
        <f>IF('Staging Table'!C44=1,"",IF(X42=0, 0, W42/X42))</f>
        <v>33.929020090380625</v>
      </c>
      <c r="Z42" s="87">
        <f ca="1">IF('Staging Table'!C44=1,"",(Y42/N42-1)+(RAND()/100000000000))</f>
        <v>-3.3180101183800749E-2</v>
      </c>
      <c r="AA42" s="53">
        <f t="shared" ca="1" si="0"/>
        <v>30</v>
      </c>
      <c r="AD42" s="216"/>
      <c r="AE42" s="216"/>
      <c r="AG42" s="216"/>
      <c r="AH42" s="216"/>
    </row>
    <row r="43" spans="2:34">
      <c r="B43" s="135">
        <v>10105</v>
      </c>
      <c r="C43" s="136" t="s">
        <v>46</v>
      </c>
      <c r="D43" s="211">
        <f>IF(Init!$R$9="Yes",'Staging Table'!F45,'Staging Table'!BS45)*Rates_previous!$E$76*100*12</f>
        <v>10727071.158600001</v>
      </c>
      <c r="E43" s="211">
        <f>IF(Init!$R$9="Yes",'Staging Table'!F45,'Staging Table'!BS45)*Rates_previous!$E$77*100*12</f>
        <v>-1085216.9130000002</v>
      </c>
      <c r="F43" s="212"/>
      <c r="G43" s="212">
        <f>IF(Init!$R$9="Yes",SUMPRODUCT('Staging Table'!AJ45:AU45,LS_Demand_Rates_Restatement!$C$10:$N$10),SUMPRODUCT(LS_Demand_Rates_Restatement!$C$10:$N$10,'Staging Table'!CW45:DH45))*1000</f>
        <v>0</v>
      </c>
      <c r="H43" s="213"/>
      <c r="I43" s="211">
        <f>IF(Init!$R$9="Yes",IF('Staging Table'!$F$1=2020,(SUM('Staging Table'!AX45:BD45)*Rates_previous!$C$87),(SUM('Staging Table'!AX45:BD45)*Rates_previous!$D$87)),IF('Staging Table'!$F$1=2020,(SUM('Staging Table'!DK45:DQ45)*Rates_previous!$C$87),(SUM('Staging Table'!DK45:DQ45)*Rates_previous!$D$87)))</f>
        <v>131590.66155485649</v>
      </c>
      <c r="J43" s="213">
        <f>IF(Init!$R$9="Yes",IF('Staging Table'!D45=1,'Staging Table'!H45*-1*'Staging Table'!F45/'Staging Table'!E45,'Staging Table'!H45*SUM(D43:I43)*(-1)),IF('Staging Table'!D45=1,'Staging Table'!BU45*-1*'Staging Table'!BS45/'Staging Table'!BR45,'Staging Table'!BU45*SUM(D43:I43)*(-1)))</f>
        <v>0</v>
      </c>
      <c r="K43" s="211">
        <f>IF(Init!$R$9="Yes",'Staging Table'!K45,'Staging Table'!BX45)*(-1)*Rates_previous!$H$32</f>
        <v>0</v>
      </c>
      <c r="L43" s="211">
        <f>IF('Staging Table'!C45=1,"",SUM(D43:K43))</f>
        <v>9773444.9071548562</v>
      </c>
      <c r="M43" s="211">
        <f>IF('Staging Table'!C45=1,"",IF(Init!$R$9="Yes",(RT1SC!$C$3*'Staging Table'!F45*'Staging Table'!$F$2),X43))</f>
        <v>278497.90506700799</v>
      </c>
      <c r="N43" s="95">
        <f>IF('Staging Table'!C45=1,"",IF(M43=0, 0, L43/M43))</f>
        <v>35.09342343097093</v>
      </c>
      <c r="O43" s="211">
        <f>'Staging Table'!BS45*Rates_current!$E$76*100*12</f>
        <v>12111368.283760145</v>
      </c>
      <c r="P43" s="211">
        <f>'Staging Table'!BS45*Rates_current!$E$77*100*12</f>
        <v>-1999615.964806132</v>
      </c>
      <c r="Q43" s="212"/>
      <c r="R43" s="212">
        <f>SUMPRODUCT('Staging Table'!CW45:DH45, LS_Demand_Rates_Restatement!$C$11:$N$11)*1000</f>
        <v>0</v>
      </c>
      <c r="S43" s="213"/>
      <c r="T43" s="213">
        <v>0</v>
      </c>
      <c r="U43" s="213">
        <f>IF('Staging Table'!D45=1, 'Staging Table'!BU45*-1*'Staging Table'!BS45/'Staging Table'!BR45,SUM(O43:T43)*'Staging Table'!BU45*-1)</f>
        <v>0</v>
      </c>
      <c r="V43" s="211">
        <f>'Staging Table'!BX45*Rates_current!$H$32*-1</f>
        <v>0</v>
      </c>
      <c r="W43" s="211">
        <f>IF('Staging Table'!C45=1,"",SUM(O43:V43))</f>
        <v>10111752.318954013</v>
      </c>
      <c r="X43" s="211">
        <f>IF('Staging Table'!C45=1,"",(RT1SC!$C$4*'Staging Table'!BS45*'Staging Table'!$BS$2))</f>
        <v>298026.65364393604</v>
      </c>
      <c r="Y43" s="95">
        <f>IF('Staging Table'!C45=1,"",IF(X43=0, 0, W43/X43))</f>
        <v>33.929020090380625</v>
      </c>
      <c r="Z43" s="87">
        <f ca="1">IF('Staging Table'!C45=1,"",(Y43/N43-1)+(RAND()/100000000000))</f>
        <v>-3.3180101189285917E-2</v>
      </c>
      <c r="AA43" s="53">
        <f t="shared" ca="1" si="0"/>
        <v>32</v>
      </c>
      <c r="AD43" s="216"/>
      <c r="AE43" s="216"/>
      <c r="AG43" s="216"/>
      <c r="AH43" s="216"/>
    </row>
    <row r="44" spans="2:34">
      <c r="B44" s="135">
        <v>10106</v>
      </c>
      <c r="C44" s="136" t="s">
        <v>47</v>
      </c>
      <c r="D44" s="211">
        <f>IF(Init!$R$9="Yes",'Staging Table'!F46,'Staging Table'!BS46)*Rates_previous!$E$76*100*12</f>
        <v>8011970.6619600002</v>
      </c>
      <c r="E44" s="211">
        <f>IF(Init!$R$9="Yes",'Staging Table'!F46,'Staging Table'!BS46)*Rates_previous!$E$77*100*12</f>
        <v>-810540.54180000001</v>
      </c>
      <c r="F44" s="212"/>
      <c r="G44" s="212">
        <f>IF(Init!$R$9="Yes",SUMPRODUCT('Staging Table'!AJ46:AU46,LS_Demand_Rates_Restatement!$C$10:$N$10),SUMPRODUCT(LS_Demand_Rates_Restatement!$C$10:$N$10,'Staging Table'!CW46:DH46))*1000</f>
        <v>0</v>
      </c>
      <c r="H44" s="213"/>
      <c r="I44" s="211">
        <f>IF(Init!$R$9="Yes",IF('Staging Table'!$F$1=2020,(SUM('Staging Table'!AX46:BD46)*Rates_previous!$C$87),(SUM('Staging Table'!AX46:BD46)*Rates_previous!$D$87)),IF('Staging Table'!$F$1=2020,(SUM('Staging Table'!DK46:DQ46)*Rates_previous!$C$87),(SUM('Staging Table'!DK46:DQ46)*Rates_previous!$D$87)))</f>
        <v>98284.098630237451</v>
      </c>
      <c r="J44" s="213">
        <f>IF(Init!$R$9="Yes",IF('Staging Table'!D46=1,'Staging Table'!H46*-1*'Staging Table'!F46/'Staging Table'!E46,'Staging Table'!H46*SUM(D44:I44)*(-1)),IF('Staging Table'!D46=1,'Staging Table'!BU46*-1*'Staging Table'!BS46/'Staging Table'!BR46,'Staging Table'!BU46*SUM(D44:I44)*(-1)))</f>
        <v>-510979.99531531672</v>
      </c>
      <c r="K44" s="211">
        <f>IF(Init!$R$9="Yes",'Staging Table'!K46,'Staging Table'!BX46)*(-1)*Rates_previous!$H$32</f>
        <v>0</v>
      </c>
      <c r="L44" s="211" t="str">
        <f>IF('Staging Table'!C46=1,"",SUM(D44:K44))</f>
        <v/>
      </c>
      <c r="M44" s="211" t="str">
        <f>IF('Staging Table'!C46=1,"",IF(Init!$R$9="Yes",(RT1SC!$C$3*'Staging Table'!F46*'Staging Table'!$F$2),X44))</f>
        <v/>
      </c>
      <c r="N44" s="95" t="str">
        <f>IF('Staging Table'!C46=1,"",IF(M44=0, 0, L44/M44))</f>
        <v/>
      </c>
      <c r="O44" s="211">
        <f>'Staging Table'!BS46*Rates_current!$E$76*100*12</f>
        <v>8108938.0474232845</v>
      </c>
      <c r="P44" s="211">
        <f>'Staging Table'!BS46*Rates_current!$E$77*100*12</f>
        <v>-1338805.1289789828</v>
      </c>
      <c r="Q44" s="212"/>
      <c r="R44" s="212">
        <f>SUMPRODUCT('Staging Table'!CW46:DH46, LS_Demand_Rates_Restatement!$C$11:$N$11)*1000</f>
        <v>0</v>
      </c>
      <c r="S44" s="213"/>
      <c r="T44" s="213">
        <v>0</v>
      </c>
      <c r="U44" s="213">
        <f>IF('Staging Table'!D46=1, 'Staging Table'!BU46*-1*'Staging Table'!BS46/'Staging Table'!BR46,SUM(O44:T44)*'Staging Table'!BU46*-1)</f>
        <v>-492821.56865147583</v>
      </c>
      <c r="V44" s="211">
        <f>'Staging Table'!BX46*Rates_current!$H$32*-1</f>
        <v>0</v>
      </c>
      <c r="W44" s="211" t="str">
        <f>IF('Staging Table'!C46=1,"",SUM(O44:V44))</f>
        <v/>
      </c>
      <c r="X44" s="211" t="str">
        <f>IF('Staging Table'!C46=1,"",(RT1SC!$C$4*'Staging Table'!BS46*'Staging Table'!$BS$2))</f>
        <v/>
      </c>
      <c r="Y44" s="95" t="str">
        <f>IF('Staging Table'!C46=1,"",IF(X44=0, 0, W44/X44))</f>
        <v/>
      </c>
      <c r="Z44" s="87" t="str">
        <f ca="1">IF('Staging Table'!C46=1,"",(Y44/N44-1)+(RAND()/100000000000))</f>
        <v/>
      </c>
      <c r="AA44" s="53" t="str">
        <f t="shared" ca="1" si="0"/>
        <v/>
      </c>
      <c r="AD44" s="216"/>
      <c r="AE44" s="216"/>
      <c r="AG44" s="216"/>
      <c r="AH44" s="216"/>
    </row>
    <row r="45" spans="2:34">
      <c r="B45" s="135">
        <v>10109</v>
      </c>
      <c r="C45" s="136" t="s">
        <v>48</v>
      </c>
      <c r="D45" s="211">
        <f>IF(Init!$R$9="Yes",'Staging Table'!F47,'Staging Table'!BS47)*Rates_previous!$E$76*100*12</f>
        <v>4078354.7376000001</v>
      </c>
      <c r="E45" s="211">
        <f>IF(Init!$R$9="Yes",'Staging Table'!F47,'Staging Table'!BS47)*Rates_previous!$E$77*100*12</f>
        <v>-412591.60800000001</v>
      </c>
      <c r="F45" s="212"/>
      <c r="G45" s="212">
        <f>IF(Init!$R$9="Yes",SUMPRODUCT('Staging Table'!AJ47:AU47,LS_Demand_Rates_Restatement!$C$10:$N$10),SUMPRODUCT(LS_Demand_Rates_Restatement!$C$10:$N$10,'Staging Table'!CW47:DH47))*1000</f>
        <v>590250.00475402421</v>
      </c>
      <c r="H45" s="213"/>
      <c r="I45" s="211">
        <f>IF(Init!$R$9="Yes",IF('Staging Table'!$F$1=2020,(SUM('Staging Table'!AX47:BD47)*Rates_previous!$C$87),(SUM('Staging Table'!AX47:BD47)*Rates_previous!$D$87)),IF('Staging Table'!$F$1=2020,(SUM('Staging Table'!DK47:DQ47)*Rates_previous!$C$87),(SUM('Staging Table'!DK47:DQ47)*Rates_previous!$D$87)))</f>
        <v>50029.816157778609</v>
      </c>
      <c r="J45" s="213">
        <f>IF(Init!$R$9="Yes",IF('Staging Table'!D47=1,'Staging Table'!H47*-1*'Staging Table'!F47/'Staging Table'!E47,'Staging Table'!H47*SUM(D45:I45)*(-1)),IF('Staging Table'!D47=1,'Staging Table'!BU47*-1*'Staging Table'!BS47/'Staging Table'!BR47,'Staging Table'!BU47*SUM(D45:I45)*(-1)))</f>
        <v>-341282.66079317703</v>
      </c>
      <c r="K45" s="211">
        <f>IF(Init!$R$9="Yes",'Staging Table'!K47,'Staging Table'!BX47)*(-1)*Rates_previous!$H$32</f>
        <v>-234424.72185000003</v>
      </c>
      <c r="L45" s="211">
        <f>IF('Staging Table'!C47=1,"",SUM(D45:K45))</f>
        <v>3730335.5678686262</v>
      </c>
      <c r="M45" s="211">
        <f>IF('Staging Table'!C47=1,"",IF(Init!$R$9="Yes",(RT1SC!$C$3*'Staging Table'!F47*'Staging Table'!$F$2),X45))</f>
        <v>105882.88580812799</v>
      </c>
      <c r="N45" s="95">
        <f>IF('Staging Table'!C47=1,"",IF(M45=0, 0, L45/M45))</f>
        <v>35.230769726359981</v>
      </c>
      <c r="O45" s="211">
        <f>'Staging Table'!BS47*Rates_current!$E$76*100*12</f>
        <v>4115380.7840489438</v>
      </c>
      <c r="P45" s="211">
        <f>'Staging Table'!BS47*Rates_current!$E$77*100*12</f>
        <v>-679459.24227859243</v>
      </c>
      <c r="Q45" s="212"/>
      <c r="R45" s="212">
        <f>SUMPRODUCT('Staging Table'!CW47:DH47, LS_Demand_Rates_Restatement!$C$11:$N$11)*1000</f>
        <v>549775.50097915775</v>
      </c>
      <c r="S45" s="213"/>
      <c r="T45" s="213">
        <v>0</v>
      </c>
      <c r="U45" s="213">
        <f>IF('Staging Table'!D47=1, 'Staging Table'!BU47*-1*'Staging Table'!BS47/'Staging Table'!BR47,SUM(O45:T45)*'Staging Table'!BU47*-1)</f>
        <v>-328909.64973194822</v>
      </c>
      <c r="V45" s="211">
        <f>'Staging Table'!BX47*Rates_current!$H$32*-1</f>
        <v>-229993.65150000004</v>
      </c>
      <c r="W45" s="211">
        <f>IF('Staging Table'!C47=1,"",SUM(O45:V45))</f>
        <v>3426793.7415175606</v>
      </c>
      <c r="X45" s="211">
        <f>IF('Staging Table'!C47=1,"",(RT1SC!$C$4*'Staging Table'!BS47*'Staging Table'!$BS$2))</f>
        <v>101267.92735592401</v>
      </c>
      <c r="Y45" s="95">
        <f>IF('Staging Table'!C47=1,"",IF(X45=0, 0, W45/X45))</f>
        <v>33.838884936130754</v>
      </c>
      <c r="Z45" s="87">
        <f ca="1">IF('Staging Table'!C47=1,"",(Y45/N45-1)+(RAND()/100000000000))</f>
        <v>-3.9507646321275923E-2</v>
      </c>
      <c r="AA45" s="53">
        <f t="shared" ca="1" si="0"/>
        <v>100</v>
      </c>
      <c r="AD45" s="216"/>
      <c r="AE45" s="216"/>
      <c r="AG45" s="216"/>
      <c r="AH45" s="216"/>
    </row>
    <row r="46" spans="2:34">
      <c r="B46" s="135">
        <v>10111</v>
      </c>
      <c r="C46" s="136" t="s">
        <v>49</v>
      </c>
      <c r="D46" s="211">
        <f>IF(Init!$R$9="Yes",'Staging Table'!F48,'Staging Table'!BS48)*Rates_previous!$E$76*100*12</f>
        <v>1030521.33696</v>
      </c>
      <c r="E46" s="211">
        <f>IF(Init!$R$9="Yes",'Staging Table'!F48,'Staging Table'!BS48)*Rates_previous!$E$77*100*12</f>
        <v>-104253.91680000001</v>
      </c>
      <c r="F46" s="212"/>
      <c r="G46" s="212">
        <f>IF(Init!$R$9="Yes",SUMPRODUCT('Staging Table'!AJ48:AU48,LS_Demand_Rates_Restatement!$C$10:$N$10),SUMPRODUCT(LS_Demand_Rates_Restatement!$C$10:$N$10,'Staging Table'!CW48:DH48))*1000</f>
        <v>62009.067817628194</v>
      </c>
      <c r="H46" s="213"/>
      <c r="I46" s="211">
        <f>IF(Init!$R$9="Yes",IF('Staging Table'!$F$1=2020,(SUM('Staging Table'!AX48:BD48)*Rates_previous!$C$87),(SUM('Staging Table'!AX48:BD48)*Rates_previous!$D$87)),IF('Staging Table'!$F$1=2020,(SUM('Staging Table'!DK48:DQ48)*Rates_previous!$C$87),(SUM('Staging Table'!DK48:DQ48)*Rates_previous!$D$87)))</f>
        <v>12641.566600240561</v>
      </c>
      <c r="J46" s="213">
        <f>IF(Init!$R$9="Yes",IF('Staging Table'!D48=1,'Staging Table'!H48*-1*'Staging Table'!F48/'Staging Table'!E48,'Staging Table'!H48*SUM(D46:I46)*(-1)),IF('Staging Table'!D48=1,'Staging Table'!BU48*-1*'Staging Table'!BS48/'Staging Table'!BR48,'Staging Table'!BU48*SUM(D46:I46)*(-1)))</f>
        <v>-70064.263820450811</v>
      </c>
      <c r="K46" s="211">
        <f>IF(Init!$R$9="Yes",'Staging Table'!K48,'Staging Table'!BX48)*(-1)*Rates_previous!$H$32</f>
        <v>-58079.180389999994</v>
      </c>
      <c r="L46" s="211">
        <f>IF('Staging Table'!C48=1,"",SUM(D46:K46))</f>
        <v>872774.61036741792</v>
      </c>
      <c r="M46" s="211">
        <f>IF('Staging Table'!C48=1,"",IF(Init!$R$9="Yes",(RT1SC!$C$3*'Staging Table'!F48*'Staging Table'!$F$2),X46))</f>
        <v>26754.556693708801</v>
      </c>
      <c r="N46" s="95">
        <f>IF('Staging Table'!C48=1,"",IF(M46=0, 0, L46/M46))</f>
        <v>32.621531366006394</v>
      </c>
      <c r="O46" s="211">
        <f>'Staging Table'!BS48*Rates_current!$E$76*100*12</f>
        <v>1085860.0425484306</v>
      </c>
      <c r="P46" s="211">
        <f>'Staging Table'!BS48*Rates_current!$E$77*100*12</f>
        <v>-179278.09853956453</v>
      </c>
      <c r="Q46" s="212"/>
      <c r="R46" s="212">
        <f>SUMPRODUCT('Staging Table'!CW48:DH48, LS_Demand_Rates_Restatement!$C$11:$N$11)*1000</f>
        <v>58376.782111369277</v>
      </c>
      <c r="S46" s="213"/>
      <c r="T46" s="213">
        <v>0</v>
      </c>
      <c r="U46" s="213">
        <f>IF('Staging Table'!D48=1, 'Staging Table'!BU48*-1*'Staging Table'!BS48/'Staging Table'!BR48,SUM(O46:T46)*'Staging Table'!BU48*-1)</f>
        <v>-67547.11082841648</v>
      </c>
      <c r="V46" s="211">
        <f>'Staging Table'!BX48*Rates_current!$H$32*-1</f>
        <v>-56981.374099999994</v>
      </c>
      <c r="W46" s="211">
        <f>IF('Staging Table'!C48=1,"",SUM(O46:V46))</f>
        <v>840430.24119181896</v>
      </c>
      <c r="X46" s="211">
        <f>IF('Staging Table'!C48=1,"",(RT1SC!$C$4*'Staging Table'!BS48*'Staging Table'!$BS$2))</f>
        <v>26719.956591552</v>
      </c>
      <c r="Y46" s="95">
        <f>IF('Staging Table'!C48=1,"",IF(X46=0, 0, W46/X46))</f>
        <v>31.453278687493686</v>
      </c>
      <c r="Z46" s="87">
        <f ca="1">IF('Staging Table'!C48=1,"",(Y46/N46-1)+(RAND()/100000000000))</f>
        <v>-3.5812318715651735E-2</v>
      </c>
      <c r="AA46" s="53">
        <f t="shared" ca="1" si="0"/>
        <v>80</v>
      </c>
      <c r="AD46" s="216"/>
      <c r="AE46" s="216"/>
      <c r="AG46" s="216"/>
      <c r="AH46" s="216"/>
    </row>
    <row r="47" spans="2:34">
      <c r="B47" s="135">
        <v>10112</v>
      </c>
      <c r="C47" s="136" t="s">
        <v>50</v>
      </c>
      <c r="D47" s="211">
        <f>IF(Init!$R$9="Yes",'Staging Table'!F49,'Staging Table'!BS49)*Rates_previous!$E$76*100*12</f>
        <v>18432452.216159999</v>
      </c>
      <c r="E47" s="211">
        <f>IF(Init!$R$9="Yes",'Staging Table'!F49,'Staging Table'!BS49)*Rates_previous!$E$77*100*12</f>
        <v>-1864740.9527999999</v>
      </c>
      <c r="F47" s="212"/>
      <c r="G47" s="212">
        <f>IF(Init!$R$9="Yes",SUMPRODUCT('Staging Table'!AJ49:AU49,LS_Demand_Rates_Restatement!$C$10:$N$10),SUMPRODUCT(LS_Demand_Rates_Restatement!$C$10:$N$10,'Staging Table'!CW49:DH49))*1000</f>
        <v>944785.3734074427</v>
      </c>
      <c r="H47" s="213"/>
      <c r="I47" s="211">
        <f>IF(Init!$R$9="Yes",IF('Staging Table'!$F$1=2020,(SUM('Staging Table'!AX49:BD49)*Rates_previous!$C$87),(SUM('Staging Table'!AX49:BD49)*Rates_previous!$D$87)),IF('Staging Table'!$F$1=2020,(SUM('Staging Table'!DK49:DQ49)*Rates_previous!$C$87),(SUM('Staging Table'!DK49:DQ49)*Rates_previous!$D$87)))</f>
        <v>226113.77750190429</v>
      </c>
      <c r="J47" s="213">
        <f>IF(Init!$R$9="Yes",IF('Staging Table'!D49=1,'Staging Table'!H49*-1*'Staging Table'!F49/'Staging Table'!E49,'Staging Table'!H49*SUM(D47:I47)*(-1)),IF('Staging Table'!D49=1,'Staging Table'!BU49*-1*'Staging Table'!BS49/'Staging Table'!BR49,'Staging Table'!BU49*SUM(D47:I47)*(-1)))</f>
        <v>0</v>
      </c>
      <c r="K47" s="211">
        <f>IF(Init!$R$9="Yes",'Staging Table'!K49,'Staging Table'!BX49)*(-1)*Rates_previous!$H$32</f>
        <v>0</v>
      </c>
      <c r="L47" s="211">
        <f>IF('Staging Table'!C49=1,"",SUM(D47:K47))</f>
        <v>17738610.414269347</v>
      </c>
      <c r="M47" s="211">
        <f>IF('Staging Table'!C49=1,"",IF(Init!$R$9="Yes",(RT1SC!$C$3*'Staging Table'!F49*'Staging Table'!$F$2),X47))</f>
        <v>478546.21746708476</v>
      </c>
      <c r="N47" s="95">
        <f>IF('Staging Table'!C49=1,"",IF(M47=0, 0, L47/M47))</f>
        <v>37.067705828203394</v>
      </c>
      <c r="O47" s="211">
        <f>'Staging Table'!BS49*Rates_current!$E$76*100*12</f>
        <v>19607111.956449255</v>
      </c>
      <c r="P47" s="211">
        <f>'Staging Table'!BS49*Rates_current!$E$77*100*12</f>
        <v>-3237181.2311601886</v>
      </c>
      <c r="Q47" s="212"/>
      <c r="R47" s="212">
        <f>SUMPRODUCT('Staging Table'!CW49:DH49, LS_Demand_Rates_Restatement!$C$11:$N$11)*1000</f>
        <v>868678.03595068539</v>
      </c>
      <c r="S47" s="213"/>
      <c r="T47" s="213">
        <v>0</v>
      </c>
      <c r="U47" s="213">
        <f>IF('Staging Table'!D49=1, 'Staging Table'!BU49*-1*'Staging Table'!BS49/'Staging Table'!BR49,SUM(O47:T47)*'Staging Table'!BU49*-1)</f>
        <v>0</v>
      </c>
      <c r="V47" s="211">
        <f>'Staging Table'!BX49*Rates_current!$H$32*-1</f>
        <v>0</v>
      </c>
      <c r="W47" s="211">
        <f>IF('Staging Table'!C49=1,"",SUM(O47:V47))</f>
        <v>17238608.761239752</v>
      </c>
      <c r="X47" s="211">
        <f>IF('Staging Table'!C49=1,"",(RT1SC!$C$4*'Staging Table'!BS49*'Staging Table'!$BS$2))</f>
        <v>482475.78862232406</v>
      </c>
      <c r="Y47" s="95">
        <f>IF('Staging Table'!C49=1,"",IF(X47=0, 0, W47/X47))</f>
        <v>35.729479422093689</v>
      </c>
      <c r="Z47" s="87">
        <f ca="1">IF('Staging Table'!C49=1,"",(Y47/N47-1)+(RAND()/100000000000))</f>
        <v>-3.6102218256471065E-2</v>
      </c>
      <c r="AA47" s="53">
        <f t="shared" ca="1" si="0"/>
        <v>84</v>
      </c>
      <c r="AD47" s="216"/>
      <c r="AE47" s="216"/>
      <c r="AG47" s="216"/>
      <c r="AH47" s="216"/>
    </row>
    <row r="48" spans="2:34">
      <c r="B48" s="135">
        <v>10113</v>
      </c>
      <c r="C48" s="136" t="s">
        <v>51</v>
      </c>
      <c r="D48" s="211">
        <f>IF(Init!$R$9="Yes",'Staging Table'!F50,'Staging Table'!BS50)*Rates_previous!$E$76*100*12</f>
        <v>12685441.965</v>
      </c>
      <c r="E48" s="211">
        <f>IF(Init!$R$9="Yes",'Staging Table'!F50,'Staging Table'!BS50)*Rates_previous!$E$77*100*12</f>
        <v>-1283337.8250000002</v>
      </c>
      <c r="F48" s="212"/>
      <c r="G48" s="212">
        <f>IF(Init!$R$9="Yes",SUMPRODUCT('Staging Table'!AJ50:AU50,LS_Demand_Rates_Restatement!$C$10:$N$10),SUMPRODUCT(LS_Demand_Rates_Restatement!$C$10:$N$10,'Staging Table'!CW50:DH50))*1000</f>
        <v>220324.54769230771</v>
      </c>
      <c r="H48" s="213"/>
      <c r="I48" s="211">
        <f>IF(Init!$R$9="Yes",IF('Staging Table'!$F$1=2020,(SUM('Staging Table'!AX50:BD50)*Rates_previous!$C$87),(SUM('Staging Table'!AX50:BD50)*Rates_previous!$D$87)),IF('Staging Table'!$F$1=2020,(SUM('Staging Table'!DK50:DQ50)*Rates_previous!$C$87),(SUM('Staging Table'!DK50:DQ50)*Rates_previous!$D$87)))</f>
        <v>155614.30288003691</v>
      </c>
      <c r="J48" s="213">
        <f>IF(Init!$R$9="Yes",IF('Staging Table'!D50=1,'Staging Table'!H50*-1*'Staging Table'!F50/'Staging Table'!E50,'Staging Table'!H50*SUM(D48:I48)*(-1)),IF('Staging Table'!D50=1,'Staging Table'!BU50*-1*'Staging Table'!BS50/'Staging Table'!BR50,'Staging Table'!BU50*SUM(D48:I48)*(-1)))</f>
        <v>-962382.9409161153</v>
      </c>
      <c r="K48" s="211">
        <f>IF(Init!$R$9="Yes",'Staging Table'!K50,'Staging Table'!BX50)*(-1)*Rates_previous!$H$32</f>
        <v>-1496027.7378199999</v>
      </c>
      <c r="L48" s="211">
        <f>IF('Staging Table'!C50=1,"",SUM(D48:K48))</f>
        <v>9319632.3118362315</v>
      </c>
      <c r="M48" s="211">
        <f>IF('Staging Table'!C50=1,"",IF(Init!$R$9="Yes",(RT1SC!$C$3*'Staging Table'!F50*'Staging Table'!$F$2),X48))</f>
        <v>329341.43531519995</v>
      </c>
      <c r="N48" s="95">
        <f>IF('Staging Table'!C50=1,"",IF(M48=0, 0, L48/M48))</f>
        <v>28.297782521402969</v>
      </c>
      <c r="O48" s="211">
        <f>'Staging Table'!BS50*Rates_current!$E$76*100*12</f>
        <v>12799863.02363571</v>
      </c>
      <c r="P48" s="211">
        <f>'Staging Table'!BS50*Rates_current!$E$77*100*12</f>
        <v>-2113288.0983986873</v>
      </c>
      <c r="Q48" s="212"/>
      <c r="R48" s="212">
        <f>SUMPRODUCT('Staging Table'!CW50:DH50, LS_Demand_Rates_Restatement!$C$11:$N$11)*1000</f>
        <v>233687.60500697998</v>
      </c>
      <c r="S48" s="213"/>
      <c r="T48" s="213">
        <v>0</v>
      </c>
      <c r="U48" s="213">
        <f>IF('Staging Table'!D50=1, 'Staging Table'!BU50*-1*'Staging Table'!BS50/'Staging Table'!BR50,SUM(O48:T48)*'Staging Table'!BU50*-1)</f>
        <v>-902887.48823273997</v>
      </c>
      <c r="V48" s="211">
        <f>'Staging Table'!BX50*Rates_current!$H$32*-1</f>
        <v>-1467749.9858000001</v>
      </c>
      <c r="W48" s="211">
        <f>IF('Staging Table'!C50=1,"",SUM(O48:V48))</f>
        <v>8549625.0562112629</v>
      </c>
      <c r="X48" s="211">
        <f>IF('Staging Table'!C50=1,"",(RT1SC!$C$4*'Staging Table'!BS50*'Staging Table'!$BS$2))</f>
        <v>314968.56958350004</v>
      </c>
      <c r="Y48" s="95">
        <f>IF('Staging Table'!C50=1,"",IF(X48=0, 0, W48/X48))</f>
        <v>27.144375286451261</v>
      </c>
      <c r="Z48" s="87">
        <f ca="1">IF('Staging Table'!C50=1,"",(Y48/N48-1)+(RAND()/100000000000))</f>
        <v>-4.0759633154963108E-2</v>
      </c>
      <c r="AA48" s="53">
        <f t="shared" ca="1" si="0"/>
        <v>104</v>
      </c>
      <c r="AD48" s="216"/>
      <c r="AE48" s="216"/>
      <c r="AG48" s="216"/>
      <c r="AH48" s="216"/>
    </row>
    <row r="49" spans="2:34">
      <c r="B49" s="135">
        <v>10116</v>
      </c>
      <c r="C49" s="136" t="s">
        <v>52</v>
      </c>
      <c r="D49" s="211">
        <f>IF(Init!$R$9="Yes",'Staging Table'!F51,'Staging Table'!BS51)*Rates_previous!$E$76*100*12</f>
        <v>76528.567919999987</v>
      </c>
      <c r="E49" s="211">
        <f>IF(Init!$R$9="Yes",'Staging Table'!F51,'Staging Table'!BS51)*Rates_previous!$E$77*100*12</f>
        <v>-7742.1035999999986</v>
      </c>
      <c r="F49" s="212"/>
      <c r="G49" s="212">
        <f>IF(Init!$R$9="Yes",SUMPRODUCT('Staging Table'!AJ51:AU51,LS_Demand_Rates_Restatement!$C$10:$N$10),SUMPRODUCT(LS_Demand_Rates_Restatement!$C$10:$N$10,'Staging Table'!CW51:DH51))*1000</f>
        <v>0</v>
      </c>
      <c r="H49" s="213"/>
      <c r="I49" s="211">
        <f>IF(Init!$R$9="Yes",IF('Staging Table'!$F$1=2020,(SUM('Staging Table'!AX51:BD51)*Rates_previous!$C$87),(SUM('Staging Table'!AX51:BD51)*Rates_previous!$D$87)),IF('Staging Table'!$F$1=2020,(SUM('Staging Table'!DK51:DQ51)*Rates_previous!$C$87),(SUM('Staging Table'!DK51:DQ51)*Rates_previous!$D$87)))</f>
        <v>938.78792557137001</v>
      </c>
      <c r="J49" s="213">
        <f>IF(Init!$R$9="Yes",IF('Staging Table'!D51=1,'Staging Table'!H51*-1*'Staging Table'!F51/'Staging Table'!E51,'Staging Table'!H51*SUM(D49:I49)*(-1)),IF('Staging Table'!D51=1,'Staging Table'!BU51*-1*'Staging Table'!BS51/'Staging Table'!BR51,'Staging Table'!BU51*SUM(D49:I49)*(-1)))</f>
        <v>0</v>
      </c>
      <c r="K49" s="211">
        <f>IF(Init!$R$9="Yes",'Staging Table'!K51,'Staging Table'!BX51)*(-1)*Rates_previous!$H$32</f>
        <v>0</v>
      </c>
      <c r="L49" s="211">
        <f>IF('Staging Table'!C51=1,"",SUM(D49:K49))</f>
        <v>69725.252245571348</v>
      </c>
      <c r="M49" s="211">
        <f>IF('Staging Table'!C51=1,"",IF(Init!$R$9="Yes",(RT1SC!$C$3*'Staging Table'!F51*'Staging Table'!$F$2),X49))</f>
        <v>1986.8466917375997</v>
      </c>
      <c r="N49" s="95">
        <f>IF('Staging Table'!C51=1,"",IF(M49=0, 0, L49/M49))</f>
        <v>35.093423430970923</v>
      </c>
      <c r="O49" s="211">
        <f>'Staging Table'!BS51*Rates_current!$E$76*100*12</f>
        <v>77218.845781933429</v>
      </c>
      <c r="P49" s="211">
        <f>'Staging Table'!BS51*Rates_current!$E$77*100*12</f>
        <v>-12749.016724765848</v>
      </c>
      <c r="Q49" s="212"/>
      <c r="R49" s="212">
        <f>SUMPRODUCT('Staging Table'!CW51:DH51, LS_Demand_Rates_Restatement!$C$11:$N$11)*1000</f>
        <v>0</v>
      </c>
      <c r="S49" s="213"/>
      <c r="T49" s="213">
        <v>0</v>
      </c>
      <c r="U49" s="213">
        <f>IF('Staging Table'!D51=1, 'Staging Table'!BU51*-1*'Staging Table'!BS51/'Staging Table'!BR51,SUM(O49:T49)*'Staging Table'!BU51*-1)</f>
        <v>0</v>
      </c>
      <c r="V49" s="211">
        <f>'Staging Table'!BX51*Rates_current!$H$32*-1</f>
        <v>0</v>
      </c>
      <c r="W49" s="211">
        <f>IF('Staging Table'!C51=1,"",SUM(O49:V49))</f>
        <v>64469.829057167583</v>
      </c>
      <c r="X49" s="211">
        <f>IF('Staging Table'!C51=1,"",(RT1SC!$C$4*'Staging Table'!BS51*'Staging Table'!$BS$2))</f>
        <v>1900.138255848</v>
      </c>
      <c r="Y49" s="95">
        <f>IF('Staging Table'!C51=1,"",IF(X49=0, 0, W49/X49))</f>
        <v>33.929020090380618</v>
      </c>
      <c r="Z49" s="87">
        <f ca="1">IF('Staging Table'!C51=1,"",(Y49/N49-1)+(RAND()/100000000000))</f>
        <v>-3.3180101190241035E-2</v>
      </c>
      <c r="AA49" s="53">
        <f t="shared" ca="1" si="0"/>
        <v>39</v>
      </c>
      <c r="AD49" s="216"/>
      <c r="AE49" s="216"/>
      <c r="AG49" s="216"/>
      <c r="AH49" s="216"/>
    </row>
    <row r="50" spans="2:34">
      <c r="B50" s="135">
        <v>10118</v>
      </c>
      <c r="C50" s="136" t="s">
        <v>53</v>
      </c>
      <c r="D50" s="211">
        <f>IF(Init!$R$9="Yes",'Staging Table'!F52,'Staging Table'!BS52)*Rates_previous!$E$76*100*12</f>
        <v>15371309.499360003</v>
      </c>
      <c r="E50" s="211">
        <f>IF(Init!$R$9="Yes",'Staging Table'!F52,'Staging Table'!BS52)*Rates_previous!$E$77*100*12</f>
        <v>-1555056.8088</v>
      </c>
      <c r="F50" s="212"/>
      <c r="G50" s="212">
        <f>IF(Init!$R$9="Yes",SUMPRODUCT('Staging Table'!AJ52:AU52,LS_Demand_Rates_Restatement!$C$10:$N$10),SUMPRODUCT(LS_Demand_Rates_Restatement!$C$10:$N$10,'Staging Table'!CW52:DH52))*1000</f>
        <v>0</v>
      </c>
      <c r="H50" s="213"/>
      <c r="I50" s="211">
        <f>IF(Init!$R$9="Yes",IF('Staging Table'!$F$1=2020,(SUM('Staging Table'!AX52:BD52)*Rates_previous!$C$87),(SUM('Staging Table'!AX52:BD52)*Rates_previous!$D$87)),IF('Staging Table'!$F$1=2020,(SUM('Staging Table'!DK52:DQ52)*Rates_previous!$C$87),(SUM('Staging Table'!DK52:DQ52)*Rates_previous!$D$87)))</f>
        <v>188562.2604790495</v>
      </c>
      <c r="J50" s="213">
        <f>IF(Init!$R$9="Yes",IF('Staging Table'!D52=1,'Staging Table'!H52*-1*'Staging Table'!F52/'Staging Table'!E52,'Staging Table'!H52*SUM(D50:I50)*(-1)),IF('Staging Table'!D52=1,'Staging Table'!BU52*-1*'Staging Table'!BS52/'Staging Table'!BR52,'Staging Table'!BU52*SUM(D50:I50)*(-1)))</f>
        <v>-941891.0058812917</v>
      </c>
      <c r="K50" s="211">
        <f>IF(Init!$R$9="Yes",'Staging Table'!K52,'Staging Table'!BX52)*(-1)*Rates_previous!$H$32</f>
        <v>0</v>
      </c>
      <c r="L50" s="211" t="str">
        <f>IF('Staging Table'!C52=1,"",SUM(D50:K50))</f>
        <v/>
      </c>
      <c r="M50" s="211" t="str">
        <f>IF('Staging Table'!C52=1,"",IF(Init!$R$9="Yes",(RT1SC!$C$3*'Staging Table'!F52*'Staging Table'!$F$2),X50))</f>
        <v/>
      </c>
      <c r="N50" s="95" t="str">
        <f>IF('Staging Table'!C52=1,"",IF(M50=0, 0, L50/M50))</f>
        <v/>
      </c>
      <c r="O50" s="211">
        <f>'Staging Table'!BS52*Rates_current!$E$76*100*12</f>
        <v>15509956.738485491</v>
      </c>
      <c r="P50" s="211">
        <f>'Staging Table'!BS52*Rates_current!$E$77*100*12</f>
        <v>-2560731.0735743977</v>
      </c>
      <c r="Q50" s="212"/>
      <c r="R50" s="212">
        <f>SUMPRODUCT('Staging Table'!CW52:DH52, LS_Demand_Rates_Restatement!$C$11:$N$11)*1000</f>
        <v>0</v>
      </c>
      <c r="S50" s="213"/>
      <c r="T50" s="213">
        <v>0</v>
      </c>
      <c r="U50" s="213">
        <f>IF('Staging Table'!D52=1, 'Staging Table'!BU52*-1*'Staging Table'!BS52/'Staging Table'!BR52,SUM(O50:T50)*'Staging Table'!BU52*-1)</f>
        <v>-959952.59856190044</v>
      </c>
      <c r="V50" s="211">
        <f>'Staging Table'!BX52*Rates_current!$H$32*-1</f>
        <v>0</v>
      </c>
      <c r="W50" s="211" t="str">
        <f>IF('Staging Table'!C52=1,"",SUM(O50:V50))</f>
        <v/>
      </c>
      <c r="X50" s="211" t="str">
        <f>IF('Staging Table'!C52=1,"",(RT1SC!$C$4*'Staging Table'!BS52*'Staging Table'!$BS$2))</f>
        <v/>
      </c>
      <c r="Y50" s="95" t="str">
        <f>IF('Staging Table'!C52=1,"",IF(X50=0, 0, W50/X50))</f>
        <v/>
      </c>
      <c r="Z50" s="87" t="str">
        <f ca="1">IF('Staging Table'!C52=1,"",(Y50/N50-1)+(RAND()/100000000000))</f>
        <v/>
      </c>
      <c r="AA50" s="53" t="str">
        <f t="shared" ca="1" si="0"/>
        <v/>
      </c>
      <c r="AD50" s="216"/>
      <c r="AE50" s="216"/>
      <c r="AG50" s="216"/>
      <c r="AH50" s="216"/>
    </row>
    <row r="51" spans="2:34">
      <c r="B51" s="135">
        <v>10121</v>
      </c>
      <c r="C51" s="136" t="s">
        <v>54</v>
      </c>
      <c r="D51" s="211">
        <f>IF(Init!$R$9="Yes",'Staging Table'!F53,'Staging Table'!BS53)*Rates_previous!$E$76*100*12</f>
        <v>13170281.339400001</v>
      </c>
      <c r="E51" s="211">
        <f>IF(Init!$R$9="Yes",'Staging Table'!F53,'Staging Table'!BS53)*Rates_previous!$E$77*100*12</f>
        <v>-1332387.1770000001</v>
      </c>
      <c r="F51" s="212"/>
      <c r="G51" s="212">
        <f>IF(Init!$R$9="Yes",SUMPRODUCT('Staging Table'!AJ53:AU53,LS_Demand_Rates_Restatement!$C$10:$N$10),SUMPRODUCT(LS_Demand_Rates_Restatement!$C$10:$N$10,'Staging Table'!CW53:DH53))*1000</f>
        <v>0</v>
      </c>
      <c r="H51" s="213"/>
      <c r="I51" s="211">
        <f>IF(Init!$R$9="Yes",IF('Staging Table'!$F$1=2020,(SUM('Staging Table'!AX53:BD53)*Rates_previous!$C$87),(SUM('Staging Table'!AX53:BD53)*Rates_previous!$D$87)),IF('Staging Table'!$F$1=2020,(SUM('Staging Table'!DK53:DQ53)*Rates_previous!$C$87),(SUM('Staging Table'!DK53:DQ53)*Rates_previous!$D$87)))</f>
        <v>161561.90340229031</v>
      </c>
      <c r="J51" s="213">
        <f>IF(Init!$R$9="Yes",IF('Staging Table'!D53=1,'Staging Table'!H53*-1*'Staging Table'!F53/'Staging Table'!E53,'Staging Table'!H53*SUM(D51:I51)*(-1)),IF('Staging Table'!D53=1,'Staging Table'!BU53*-1*'Staging Table'!BS53/'Staging Table'!BR53,'Staging Table'!BU53*SUM(D51:I51)*(-1)))</f>
        <v>-719967.36394813738</v>
      </c>
      <c r="K51" s="211">
        <f>IF(Init!$R$9="Yes",'Staging Table'!K53,'Staging Table'!BX53)*(-1)*Rates_previous!$H$32</f>
        <v>0</v>
      </c>
      <c r="L51" s="211" t="str">
        <f>IF('Staging Table'!C53=1,"",SUM(D51:K51))</f>
        <v/>
      </c>
      <c r="M51" s="211" t="str">
        <f>IF('Staging Table'!C53=1,"",IF(Init!$R$9="Yes",(RT1SC!$C$3*'Staging Table'!F53*'Staging Table'!$F$2),X51))</f>
        <v/>
      </c>
      <c r="N51" s="95" t="str">
        <f>IF('Staging Table'!C53=1,"",IF(M51=0, 0, L51/M51))</f>
        <v/>
      </c>
      <c r="O51" s="211">
        <f>'Staging Table'!BS53*Rates_current!$E$76*100*12</f>
        <v>13850950.604574263</v>
      </c>
      <c r="P51" s="211">
        <f>'Staging Table'!BS53*Rates_current!$E$77*100*12</f>
        <v>-2286825.1800901429</v>
      </c>
      <c r="Q51" s="212"/>
      <c r="R51" s="212">
        <f>SUMPRODUCT('Staging Table'!CW53:DH53, LS_Demand_Rates_Restatement!$C$11:$N$11)*1000</f>
        <v>0</v>
      </c>
      <c r="S51" s="213"/>
      <c r="T51" s="213">
        <v>0</v>
      </c>
      <c r="U51" s="213">
        <f>IF('Staging Table'!D53=1, 'Staging Table'!BU53*-1*'Staging Table'!BS53/'Staging Table'!BR53,SUM(O51:T51)*'Staging Table'!BU53*-1)</f>
        <v>-693847.52546904725</v>
      </c>
      <c r="V51" s="211">
        <f>'Staging Table'!BX53*Rates_current!$H$32*-1</f>
        <v>0</v>
      </c>
      <c r="W51" s="211" t="str">
        <f>IF('Staging Table'!C53=1,"",SUM(O51:V51))</f>
        <v/>
      </c>
      <c r="X51" s="211" t="str">
        <f>IF('Staging Table'!C53=1,"",(RT1SC!$C$4*'Staging Table'!BS53*'Staging Table'!$BS$2))</f>
        <v/>
      </c>
      <c r="Y51" s="95" t="str">
        <f>IF('Staging Table'!C53=1,"",IF(X51=0, 0, W51/X51))</f>
        <v/>
      </c>
      <c r="Z51" s="87" t="str">
        <f ca="1">IF('Staging Table'!C53=1,"",(Y51/N51-1)+(RAND()/100000000000))</f>
        <v/>
      </c>
      <c r="AA51" s="53" t="str">
        <f t="shared" ca="1" si="0"/>
        <v/>
      </c>
      <c r="AD51" s="216"/>
      <c r="AE51" s="216"/>
      <c r="AG51" s="216"/>
      <c r="AH51" s="216"/>
    </row>
    <row r="52" spans="2:34">
      <c r="B52" s="135">
        <v>10123</v>
      </c>
      <c r="C52" s="136" t="s">
        <v>55</v>
      </c>
      <c r="D52" s="211">
        <f>IF(Init!$R$9="Yes",'Staging Table'!F54,'Staging Table'!BS54)*Rates_previous!$E$76*100*12</f>
        <v>58287912.456359982</v>
      </c>
      <c r="E52" s="211">
        <f>IF(Init!$R$9="Yes",'Staging Table'!F54,'Staging Table'!BS54)*Rates_previous!$E$77*100*12</f>
        <v>-5896765.9937999984</v>
      </c>
      <c r="F52" s="212"/>
      <c r="G52" s="212">
        <f>IF(Init!$R$9="Yes",SUMPRODUCT('Staging Table'!AJ54:AU54,LS_Demand_Rates_Restatement!$C$10:$N$10),SUMPRODUCT(LS_Demand_Rates_Restatement!$C$10:$N$10,'Staging Table'!CW54:DH54))*1000</f>
        <v>0</v>
      </c>
      <c r="H52" s="213"/>
      <c r="I52" s="211">
        <f>IF(Init!$R$9="Yes",IF('Staging Table'!$F$1=2020,(SUM('Staging Table'!AX54:BD54)*Rates_previous!$C$87),(SUM('Staging Table'!AX54:BD54)*Rates_previous!$D$87)),IF('Staging Table'!$F$1=2020,(SUM('Staging Table'!DK54:DQ54)*Rates_previous!$C$87),(SUM('Staging Table'!DK54:DQ54)*Rates_previous!$D$87)))</f>
        <v>715026.94886429829</v>
      </c>
      <c r="J52" s="213">
        <f>IF(Init!$R$9="Yes",IF('Staging Table'!D54=1,'Staging Table'!H54*-1*'Staging Table'!F54/'Staging Table'!E54,'Staging Table'!H54*SUM(D52:I52)*(-1)),IF('Staging Table'!D54=1,'Staging Table'!BU54*-1*'Staging Table'!BS54/'Staging Table'!BR54,'Staging Table'!BU54*SUM(D52:I52)*(-1)))</f>
        <v>0</v>
      </c>
      <c r="K52" s="211">
        <f>IF(Init!$R$9="Yes",'Staging Table'!K54,'Staging Table'!BX54)*(-1)*Rates_previous!$H$32</f>
        <v>0</v>
      </c>
      <c r="L52" s="211">
        <f>IF('Staging Table'!C54=1,"",SUM(D52:K52))</f>
        <v>53106173.411424279</v>
      </c>
      <c r="M52" s="211">
        <f>IF('Staging Table'!C54=1,"",IF(Init!$R$9="Yes",(RT1SC!$C$3*'Staging Table'!F54*'Staging Table'!$F$2),X52))</f>
        <v>1513279.9316625404</v>
      </c>
      <c r="N52" s="95">
        <f>IF('Staging Table'!C54=1,"",IF(M52=0, 0, L52/M52))</f>
        <v>35.09342343097093</v>
      </c>
      <c r="O52" s="211">
        <f>'Staging Table'!BS54*Rates_current!$E$76*100*12</f>
        <v>65861920.010067582</v>
      </c>
      <c r="P52" s="211">
        <f>'Staging Table'!BS54*Rates_current!$E$77*100*12</f>
        <v>-10873961.028953858</v>
      </c>
      <c r="Q52" s="212"/>
      <c r="R52" s="212">
        <f>SUMPRODUCT('Staging Table'!CW54:DH54, LS_Demand_Rates_Restatement!$C$11:$N$11)*1000</f>
        <v>0</v>
      </c>
      <c r="S52" s="213"/>
      <c r="T52" s="213">
        <v>0</v>
      </c>
      <c r="U52" s="213">
        <f>IF('Staging Table'!D54=1, 'Staging Table'!BU54*-1*'Staging Table'!BS54/'Staging Table'!BR54,SUM(O52:T52)*'Staging Table'!BU54*-1)</f>
        <v>0</v>
      </c>
      <c r="V52" s="211">
        <f>'Staging Table'!BX54*Rates_current!$H$32*-1</f>
        <v>0</v>
      </c>
      <c r="W52" s="211">
        <f>IF('Staging Table'!C54=1,"",SUM(O52:V52))</f>
        <v>54987958.981113724</v>
      </c>
      <c r="X52" s="211">
        <f>IF('Staging Table'!C54=1,"",(RT1SC!$C$4*'Staging Table'!BS54*'Staging Table'!$BS$2))</f>
        <v>1620676.3070267276</v>
      </c>
      <c r="Y52" s="95">
        <f>IF('Staging Table'!C54=1,"",IF(X52=0, 0, W52/X52))</f>
        <v>33.929020090380625</v>
      </c>
      <c r="Z52" s="87">
        <f ca="1">IF('Staging Table'!C54=1,"",(Y52/N52-1)+(RAND()/100000000000))</f>
        <v>-3.3180101185988083E-2</v>
      </c>
      <c r="AA52" s="53">
        <f t="shared" ca="1" si="0"/>
        <v>31</v>
      </c>
      <c r="AD52" s="216"/>
      <c r="AE52" s="216"/>
      <c r="AG52" s="216"/>
      <c r="AH52" s="216"/>
    </row>
    <row r="53" spans="2:34">
      <c r="B53" s="135">
        <v>10136</v>
      </c>
      <c r="C53" s="136" t="s">
        <v>56</v>
      </c>
      <c r="D53" s="211">
        <f>IF(Init!$R$9="Yes",'Staging Table'!F55,'Staging Table'!BS55)*Rates_previous!$E$76*100*12</f>
        <v>6129653.0907599991</v>
      </c>
      <c r="E53" s="211">
        <f>IF(Init!$R$9="Yes",'Staging Table'!F55,'Staging Table'!BS55)*Rates_previous!$E$77*100*12</f>
        <v>-620113.64580000006</v>
      </c>
      <c r="F53" s="212"/>
      <c r="G53" s="212">
        <f>IF(Init!$R$9="Yes",SUMPRODUCT('Staging Table'!AJ55:AU55,LS_Demand_Rates_Restatement!$C$10:$N$10),SUMPRODUCT(LS_Demand_Rates_Restatement!$C$10:$N$10,'Staging Table'!CW55:DH55))*1000</f>
        <v>0</v>
      </c>
      <c r="H53" s="213"/>
      <c r="I53" s="211">
        <f>IF(Init!$R$9="Yes",IF('Staging Table'!$F$1=2020,(SUM('Staging Table'!AX55:BD55)*Rates_previous!$C$87),(SUM('Staging Table'!AX55:BD55)*Rates_previous!$D$87)),IF('Staging Table'!$F$1=2020,(SUM('Staging Table'!DK55:DQ55)*Rates_previous!$C$87),(SUM('Staging Table'!DK55:DQ55)*Rates_previous!$D$87)))</f>
        <v>75193.414249724243</v>
      </c>
      <c r="J53" s="213">
        <f>IF(Init!$R$9="Yes",IF('Staging Table'!D55=1,'Staging Table'!H55*-1*'Staging Table'!F55/'Staging Table'!E55,'Staging Table'!H55*SUM(D53:I53)*(-1)),IF('Staging Table'!D55=1,'Staging Table'!BU55*-1*'Staging Table'!BS55/'Staging Table'!BR55,'Staging Table'!BU55*SUM(D53:I53)*(-1)))</f>
        <v>-390931.30014468072</v>
      </c>
      <c r="K53" s="211">
        <f>IF(Init!$R$9="Yes",'Staging Table'!K55,'Staging Table'!BX55)*(-1)*Rates_previous!$H$32</f>
        <v>0</v>
      </c>
      <c r="L53" s="211" t="str">
        <f>IF('Staging Table'!C55=1,"",SUM(D53:K53))</f>
        <v/>
      </c>
      <c r="M53" s="211" t="str">
        <f>IF('Staging Table'!C55=1,"",IF(Init!$R$9="Yes",(RT1SC!$C$3*'Staging Table'!F55*'Staging Table'!$F$2),X53))</f>
        <v/>
      </c>
      <c r="N53" s="95" t="str">
        <f>IF('Staging Table'!C55=1,"",IF(M53=0, 0, L53/M53))</f>
        <v/>
      </c>
      <c r="O53" s="211">
        <f>'Staging Table'!BS55*Rates_current!$E$76*100*12</f>
        <v>6295014.6017880533</v>
      </c>
      <c r="P53" s="211">
        <f>'Staging Table'!BS55*Rates_current!$E$77*100*12</f>
        <v>-1039322.0156059118</v>
      </c>
      <c r="Q53" s="212"/>
      <c r="R53" s="212">
        <f>SUMPRODUCT('Staging Table'!CW55:DH55, LS_Demand_Rates_Restatement!$C$11:$N$11)*1000</f>
        <v>0</v>
      </c>
      <c r="S53" s="213"/>
      <c r="T53" s="213">
        <v>0</v>
      </c>
      <c r="U53" s="213">
        <f>IF('Staging Table'!D55=1, 'Staging Table'!BU55*-1*'Staging Table'!BS55/'Staging Table'!BR55,SUM(O53:T53)*'Staging Table'!BU55*-1)</f>
        <v>-379840.67003420898</v>
      </c>
      <c r="V53" s="211">
        <f>'Staging Table'!BX55*Rates_current!$H$32*-1</f>
        <v>0</v>
      </c>
      <c r="W53" s="211" t="str">
        <f>IF('Staging Table'!C55=1,"",SUM(O53:V53))</f>
        <v/>
      </c>
      <c r="X53" s="211" t="str">
        <f>IF('Staging Table'!C55=1,"",(RT1SC!$C$4*'Staging Table'!BS55*'Staging Table'!$BS$2))</f>
        <v/>
      </c>
      <c r="Y53" s="95" t="str">
        <f>IF('Staging Table'!C55=1,"",IF(X53=0, 0, W53/X53))</f>
        <v/>
      </c>
      <c r="Z53" s="87" t="str">
        <f ca="1">IF('Staging Table'!C55=1,"",(Y53/N53-1)+(RAND()/100000000000))</f>
        <v/>
      </c>
      <c r="AA53" s="53" t="str">
        <f t="shared" ca="1" si="0"/>
        <v/>
      </c>
      <c r="AD53" s="216"/>
      <c r="AE53" s="216"/>
      <c r="AG53" s="216"/>
      <c r="AH53" s="216"/>
    </row>
    <row r="54" spans="2:34">
      <c r="B54" s="135">
        <v>10142</v>
      </c>
      <c r="C54" s="136" t="s">
        <v>57</v>
      </c>
      <c r="D54" s="211">
        <f>IF(Init!$R$9="Yes",'Staging Table'!F56,'Staging Table'!BS56)*Rates_previous!$E$76*100*12</f>
        <v>904320.49979999999</v>
      </c>
      <c r="E54" s="211">
        <f>IF(Init!$R$9="Yes",'Staging Table'!F56,'Staging Table'!BS56)*Rates_previous!$E$77*100*12</f>
        <v>-91486.659</v>
      </c>
      <c r="F54" s="212"/>
      <c r="G54" s="212">
        <f>IF(Init!$R$9="Yes",SUMPRODUCT('Staging Table'!AJ56:AU56,LS_Demand_Rates_Restatement!$C$10:$N$10),SUMPRODUCT(LS_Demand_Rates_Restatement!$C$10:$N$10,'Staging Table'!CW56:DH56))*1000</f>
        <v>54076.077308618253</v>
      </c>
      <c r="H54" s="213"/>
      <c r="I54" s="211">
        <f>IF(Init!$R$9="Yes",IF('Staging Table'!$F$1=2020,(SUM('Staging Table'!AX56:BD56)*Rates_previous!$C$87),(SUM('Staging Table'!AX56:BD56)*Rates_previous!$D$87)),IF('Staging Table'!$F$1=2020,(SUM('Staging Table'!DK56:DQ56)*Rates_previous!$C$87),(SUM('Staging Table'!DK56:DQ56)*Rates_previous!$D$87)))</f>
        <v>11093.441170183425</v>
      </c>
      <c r="J54" s="213">
        <f>IF(Init!$R$9="Yes",IF('Staging Table'!D56=1,'Staging Table'!H56*-1*'Staging Table'!F56/'Staging Table'!E56,'Staging Table'!H56*SUM(D54:I54)*(-1)),IF('Staging Table'!D56=1,'Staging Table'!BU56*-1*'Staging Table'!BS56/'Staging Table'!BR56,'Staging Table'!BU56*SUM(D54:I54)*(-1)))</f>
        <v>-28941.592213264204</v>
      </c>
      <c r="K54" s="211">
        <f>IF(Init!$R$9="Yes",'Staging Table'!K56,'Staging Table'!BX56)*(-1)*Rates_previous!$H$32</f>
        <v>-64098.967239999998</v>
      </c>
      <c r="L54" s="211">
        <f>IF('Staging Table'!C56=1,"",SUM(D54:K54))</f>
        <v>784962.79982553748</v>
      </c>
      <c r="M54" s="211">
        <f>IF('Staging Table'!C56=1,"",IF(Init!$R$9="Yes",(RT1SC!$C$3*'Staging Table'!F56*'Staging Table'!$F$2),X54))</f>
        <v>23478.110751743996</v>
      </c>
      <c r="N54" s="95">
        <f>IF('Staging Table'!C56=1,"",IF(M54=0, 0, L54/M54))</f>
        <v>33.433814506017228</v>
      </c>
      <c r="O54" s="211">
        <f>'Staging Table'!BS56*Rates_current!$E$76*100*12</f>
        <v>912477.35465918249</v>
      </c>
      <c r="P54" s="211">
        <f>'Staging Table'!BS56*Rates_current!$E$77*100*12</f>
        <v>-150652.20073830453</v>
      </c>
      <c r="Q54" s="212"/>
      <c r="R54" s="212">
        <f>SUMPRODUCT('Staging Table'!CW56:DH56, LS_Demand_Rates_Restatement!$C$11:$N$11)*1000</f>
        <v>50999.805818402798</v>
      </c>
      <c r="S54" s="213"/>
      <c r="T54" s="213">
        <v>0</v>
      </c>
      <c r="U54" s="213">
        <f>IF('Staging Table'!D56=1, 'Staging Table'!BU56*-1*'Staging Table'!BS56/'Staging Table'!BR56,SUM(O54:T54)*'Staging Table'!BU56*-1)</f>
        <v>-28542.429331461281</v>
      </c>
      <c r="V54" s="211">
        <f>'Staging Table'!BX56*Rates_current!$H$32*-1</f>
        <v>-62887.375600000007</v>
      </c>
      <c r="W54" s="211">
        <f>IF('Staging Table'!C56=1,"",SUM(O54:V54))</f>
        <v>721395.1548078194</v>
      </c>
      <c r="X54" s="211">
        <f>IF('Staging Table'!C56=1,"",(RT1SC!$C$4*'Staging Table'!BS56*'Staging Table'!$BS$2))</f>
        <v>22453.49709162</v>
      </c>
      <c r="Y54" s="95">
        <f>IF('Staging Table'!C56=1,"",IF(X54=0, 0, W54/X54))</f>
        <v>32.128409746785302</v>
      </c>
      <c r="Z54" s="87">
        <f ca="1">IF('Staging Table'!C56=1,"",(Y54/N54-1)+(RAND()/100000000000))</f>
        <v>-3.9044445825682832E-2</v>
      </c>
      <c r="AA54" s="53">
        <f t="shared" ca="1" si="0"/>
        <v>99</v>
      </c>
      <c r="AD54" s="216"/>
      <c r="AE54" s="216"/>
      <c r="AG54" s="216"/>
      <c r="AH54" s="216"/>
    </row>
    <row r="55" spans="2:34">
      <c r="B55" s="135">
        <v>10144</v>
      </c>
      <c r="C55" s="136" t="s">
        <v>58</v>
      </c>
      <c r="D55" s="211">
        <f>IF(Init!$R$9="Yes",'Staging Table'!F57,'Staging Table'!BS57)*Rates_previous!$E$76*100*12</f>
        <v>1133430.87084</v>
      </c>
      <c r="E55" s="211">
        <f>IF(Init!$R$9="Yes",'Staging Table'!F57,'Staging Table'!BS57)*Rates_previous!$E$77*100*12</f>
        <v>-114664.88219999999</v>
      </c>
      <c r="F55" s="212"/>
      <c r="G55" s="212">
        <f>IF(Init!$R$9="Yes",SUMPRODUCT('Staging Table'!AJ57:AU57,LS_Demand_Rates_Restatement!$C$10:$N$10),SUMPRODUCT(LS_Demand_Rates_Restatement!$C$10:$N$10,'Staging Table'!CW57:DH57))*1000</f>
        <v>109037.01236221507</v>
      </c>
      <c r="H55" s="213"/>
      <c r="I55" s="211">
        <f>IF(Init!$R$9="Yes",IF('Staging Table'!$F$1=2020,(SUM('Staging Table'!AX57:BD57)*Rates_previous!$C$87),(SUM('Staging Table'!AX57:BD57)*Rates_previous!$D$87)),IF('Staging Table'!$F$1=2020,(SUM('Staging Table'!DK57:DQ57)*Rates_previous!$C$87),(SUM('Staging Table'!DK57:DQ57)*Rates_previous!$D$87)))</f>
        <v>13903.973965993366</v>
      </c>
      <c r="J55" s="213">
        <f>IF(Init!$R$9="Yes",IF('Staging Table'!D57=1,'Staging Table'!H57*-1*'Staging Table'!F57/'Staging Table'!E57,'Staging Table'!H57*SUM(D55:I55)*(-1)),IF('Staging Table'!D57=1,'Staging Table'!BU57*-1*'Staging Table'!BS57/'Staging Table'!BR57,'Staging Table'!BU57*SUM(D55:I55)*(-1)))</f>
        <v>0</v>
      </c>
      <c r="K55" s="211">
        <f>IF(Init!$R$9="Yes",'Staging Table'!K57,'Staging Table'!BX57)*(-1)*Rates_previous!$H$32</f>
        <v>0</v>
      </c>
      <c r="L55" s="211">
        <f>IF('Staging Table'!C57=1,"",SUM(D55:K55))</f>
        <v>1141706.9749682085</v>
      </c>
      <c r="M55" s="211">
        <f>IF('Staging Table'!C57=1,"",IF(Init!$R$9="Yes",(RT1SC!$C$3*'Staging Table'!F57*'Staging Table'!$F$2),X55))</f>
        <v>29426.310164275197</v>
      </c>
      <c r="N55" s="95">
        <f>IF('Staging Table'!C57=1,"",IF(M55=0, 0, L55/M55))</f>
        <v>38.798849349256493</v>
      </c>
      <c r="O55" s="211">
        <f>'Staging Table'!BS57*Rates_current!$E$76*100*12</f>
        <v>1143894.0819249148</v>
      </c>
      <c r="P55" s="211">
        <f>'Staging Table'!BS57*Rates_current!$E$77*100*12</f>
        <v>-188859.65769295997</v>
      </c>
      <c r="Q55" s="212"/>
      <c r="R55" s="212">
        <f>SUMPRODUCT('Staging Table'!CW57:DH57, LS_Demand_Rates_Restatement!$C$11:$N$11)*1000</f>
        <v>101316.63289644763</v>
      </c>
      <c r="S55" s="213"/>
      <c r="T55" s="213">
        <v>0</v>
      </c>
      <c r="U55" s="213">
        <f>IF('Staging Table'!D57=1, 'Staging Table'!BU57*-1*'Staging Table'!BS57/'Staging Table'!BR57,SUM(O55:T55)*'Staging Table'!BU57*-1)</f>
        <v>0</v>
      </c>
      <c r="V55" s="211">
        <f>'Staging Table'!BX57*Rates_current!$H$32*-1</f>
        <v>0</v>
      </c>
      <c r="W55" s="211">
        <f>IF('Staging Table'!C57=1,"",SUM(O55:V55))</f>
        <v>1056351.0571284024</v>
      </c>
      <c r="X55" s="211">
        <f>IF('Staging Table'!C57=1,"",(RT1SC!$C$4*'Staging Table'!BS57*'Staging Table'!$BS$2))</f>
        <v>28148.010808679999</v>
      </c>
      <c r="Y55" s="95">
        <f>IF('Staging Table'!C57=1,"",IF(X55=0, 0, W55/X55))</f>
        <v>37.528444347571998</v>
      </c>
      <c r="Z55" s="87">
        <f ca="1">IF('Staging Table'!C57=1,"",(Y55/N55-1)+(RAND()/100000000000))</f>
        <v>-3.2743367985243681E-2</v>
      </c>
      <c r="AA55" s="53">
        <f t="shared" ca="1" si="0"/>
        <v>21</v>
      </c>
      <c r="AD55" s="216"/>
      <c r="AE55" s="216"/>
      <c r="AG55" s="216"/>
      <c r="AH55" s="216"/>
    </row>
    <row r="56" spans="2:34">
      <c r="B56" s="135">
        <v>10156</v>
      </c>
      <c r="C56" s="136" t="s">
        <v>59</v>
      </c>
      <c r="D56" s="211">
        <f>IF(Init!$R$9="Yes",'Staging Table'!F58,'Staging Table'!BS58)*Rates_previous!$E$76*100*12</f>
        <v>10849469.333999999</v>
      </c>
      <c r="E56" s="211">
        <f>IF(Init!$R$9="Yes",'Staging Table'!F58,'Staging Table'!BS58)*Rates_previous!$E$77*100*12</f>
        <v>-1097599.47</v>
      </c>
      <c r="F56" s="212"/>
      <c r="G56" s="212">
        <f>IF(Init!$R$9="Yes",SUMPRODUCT('Staging Table'!AJ58:AU58,LS_Demand_Rates_Restatement!$C$10:$N$10),SUMPRODUCT(LS_Demand_Rates_Restatement!$C$10:$N$10,'Staging Table'!CW58:DH58))*1000</f>
        <v>588621.14286246418</v>
      </c>
      <c r="H56" s="213"/>
      <c r="I56" s="211">
        <f>IF(Init!$R$9="Yes",IF('Staging Table'!$F$1=2020,(SUM('Staging Table'!AX58:BD58)*Rates_previous!$C$87),(SUM('Staging Table'!AX58:BD58)*Rates_previous!$D$87)),IF('Staging Table'!$F$1=2020,(SUM('Staging Table'!DK58:DQ58)*Rates_previous!$C$87),(SUM('Staging Table'!DK58:DQ58)*Rates_previous!$D$87)))</f>
        <v>133092.13913768023</v>
      </c>
      <c r="J56" s="213">
        <f>IF(Init!$R$9="Yes",IF('Staging Table'!D58=1,'Staging Table'!H58*-1*'Staging Table'!F58/'Staging Table'!E58,'Staging Table'!H58*SUM(D56:I56)*(-1)),IF('Staging Table'!D58=1,'Staging Table'!BU58*-1*'Staging Table'!BS58/'Staging Table'!BR58,'Staging Table'!BU58*SUM(D56:I56)*(-1)))</f>
        <v>0</v>
      </c>
      <c r="K56" s="211">
        <f>IF(Init!$R$9="Yes",'Staging Table'!K58,'Staging Table'!BX58)*(-1)*Rates_previous!$H$32</f>
        <v>0</v>
      </c>
      <c r="L56" s="211">
        <f>IF('Staging Table'!C58=1,"",SUM(D56:K56))</f>
        <v>10473583.146000141</v>
      </c>
      <c r="M56" s="211">
        <f>IF('Staging Table'!C58=1,"",IF(Init!$R$9="Yes",(RT1SC!$C$3*'Staging Table'!F58*'Staging Table'!$F$2),X56))</f>
        <v>281675.62570752</v>
      </c>
      <c r="N56" s="95">
        <f>IF('Staging Table'!C58=1,"",IF(M56=0, 0, L56/M56))</f>
        <v>37.183136168393446</v>
      </c>
      <c r="O56" s="211">
        <f>'Staging Table'!BS58*Rates_current!$E$76*100*12</f>
        <v>10947569.965189576</v>
      </c>
      <c r="P56" s="211">
        <f>'Staging Table'!BS58*Rates_current!$E$77*100*12</f>
        <v>-1807470.0698828753</v>
      </c>
      <c r="Q56" s="212"/>
      <c r="R56" s="212">
        <f>SUMPRODUCT('Staging Table'!CW58:DH58, LS_Demand_Rates_Restatement!$C$11:$N$11)*1000</f>
        <v>556570.0859764599</v>
      </c>
      <c r="S56" s="213"/>
      <c r="T56" s="213">
        <v>0</v>
      </c>
      <c r="U56" s="213">
        <f>IF('Staging Table'!D58=1, 'Staging Table'!BU58*-1*'Staging Table'!BS58/'Staging Table'!BR58,SUM(O56:T56)*'Staging Table'!BU58*-1)</f>
        <v>0</v>
      </c>
      <c r="V56" s="211">
        <f>'Staging Table'!BX58*Rates_current!$H$32*-1</f>
        <v>0</v>
      </c>
      <c r="W56" s="211">
        <f>IF('Staging Table'!C58=1,"",SUM(O56:V56))</f>
        <v>9696669.9812831599</v>
      </c>
      <c r="X56" s="211">
        <f>IF('Staging Table'!C58=1,"",(RT1SC!$C$4*'Staging Table'!BS58*'Staging Table'!$BS$2))</f>
        <v>269388.855645084</v>
      </c>
      <c r="Y56" s="95">
        <f>IF('Staging Table'!C58=1,"",IF(X56=0, 0, W56/X56))</f>
        <v>35.995067272041815</v>
      </c>
      <c r="Z56" s="87">
        <f ca="1">IF('Staging Table'!C58=1,"",(Y56/N56-1)+(RAND()/100000000000))</f>
        <v>-3.1951820603154373E-2</v>
      </c>
      <c r="AA56" s="53">
        <f t="shared" ca="1" si="0"/>
        <v>11</v>
      </c>
      <c r="AD56" s="216"/>
      <c r="AE56" s="216"/>
      <c r="AG56" s="216"/>
      <c r="AH56" s="216"/>
    </row>
    <row r="57" spans="2:34">
      <c r="B57" s="135">
        <v>10157</v>
      </c>
      <c r="C57" s="136" t="s">
        <v>60</v>
      </c>
      <c r="D57" s="211">
        <f>IF(Init!$R$9="Yes",'Staging Table'!F59,'Staging Table'!BS59)*Rates_previous!$E$76*100*12</f>
        <v>8024091.6463200012</v>
      </c>
      <c r="E57" s="211">
        <f>IF(Init!$R$9="Yes",'Staging Table'!F59,'Staging Table'!BS59)*Rates_previous!$E$77*100*12</f>
        <v>-811766.77560000005</v>
      </c>
      <c r="F57" s="212"/>
      <c r="G57" s="212">
        <f>IF(Init!$R$9="Yes",SUMPRODUCT('Staging Table'!AJ59:AU59,LS_Demand_Rates_Restatement!$C$10:$N$10),SUMPRODUCT(LS_Demand_Rates_Restatement!$C$10:$N$10,'Staging Table'!CW59:DH59))*1000</f>
        <v>0</v>
      </c>
      <c r="H57" s="213"/>
      <c r="I57" s="211">
        <f>IF(Init!$R$9="Yes",IF('Staging Table'!$F$1=2020,(SUM('Staging Table'!AX59:BD59)*Rates_previous!$C$87),(SUM('Staging Table'!AX59:BD59)*Rates_previous!$D$87)),IF('Staging Table'!$F$1=2020,(SUM('Staging Table'!DK59:DQ59)*Rates_previous!$C$87),(SUM('Staging Table'!DK59:DQ59)*Rates_previous!$D$87)))</f>
        <v>98432.788643293781</v>
      </c>
      <c r="J57" s="213">
        <f>IF(Init!$R$9="Yes",IF('Staging Table'!D59=1,'Staging Table'!H59*-1*'Staging Table'!F59/'Staging Table'!E59,'Staging Table'!H59*SUM(D57:I57)*(-1)),IF('Staging Table'!D59=1,'Staging Table'!BU59*-1*'Staging Table'!BS59/'Staging Table'!BR59,'Staging Table'!BU59*SUM(D57:I57)*(-1)))</f>
        <v>-429529.84083005856</v>
      </c>
      <c r="K57" s="211">
        <f>IF(Init!$R$9="Yes",'Staging Table'!K59,'Staging Table'!BX59)*(-1)*Rates_previous!$H$32</f>
        <v>0</v>
      </c>
      <c r="L57" s="211">
        <f>IF('Staging Table'!C59=1,"",SUM(D57:K57))</f>
        <v>6881227.8185332362</v>
      </c>
      <c r="M57" s="211">
        <f>IF('Staging Table'!C59=1,"",IF(Init!$R$9="Yes",(RT1SC!$C$3*'Staging Table'!F59*'Staging Table'!$F$2),X57))</f>
        <v>208322.72672808962</v>
      </c>
      <c r="N57" s="95">
        <f>IF('Staging Table'!C59=1,"",IF(M57=0, 0, L57/M57))</f>
        <v>33.031575222778571</v>
      </c>
      <c r="O57" s="211">
        <f>'Staging Table'!BS59*Rates_current!$E$76*100*12</f>
        <v>8096707.7333398107</v>
      </c>
      <c r="P57" s="211">
        <f>'Staging Table'!BS59*Rates_current!$E$77*100*12</f>
        <v>-1336785.8747772344</v>
      </c>
      <c r="Q57" s="212"/>
      <c r="R57" s="212">
        <f>SUMPRODUCT('Staging Table'!CW59:DH59, LS_Demand_Rates_Restatement!$C$11:$N$11)*1000</f>
        <v>0</v>
      </c>
      <c r="S57" s="213"/>
      <c r="T57" s="213">
        <v>0</v>
      </c>
      <c r="U57" s="213">
        <f>IF('Staging Table'!D59=1, 'Staging Table'!BU59*-1*'Staging Table'!BS59/'Staging Table'!BR59,SUM(O57:T57)*'Staging Table'!BU59*-1)</f>
        <v>-429536.49124294991</v>
      </c>
      <c r="V57" s="211">
        <f>'Staging Table'!BX59*Rates_current!$H$32*-1</f>
        <v>0</v>
      </c>
      <c r="W57" s="211">
        <f>IF('Staging Table'!C59=1,"",SUM(O57:V57))</f>
        <v>6330385.3673196267</v>
      </c>
      <c r="X57" s="211">
        <f>IF('Staging Table'!C59=1,"",(RT1SC!$C$4*'Staging Table'!BS59*'Staging Table'!$BS$2))</f>
        <v>199237.16749129203</v>
      </c>
      <c r="Y57" s="95">
        <f>IF('Staging Table'!C59=1,"",IF(X57=0, 0, W57/X57))</f>
        <v>31.773114660427535</v>
      </c>
      <c r="Z57" s="87">
        <f ca="1">IF('Staging Table'!C59=1,"",(Y57/N57-1)+(RAND()/100000000000))</f>
        <v>-3.8098714748417181E-2</v>
      </c>
      <c r="AA57" s="53">
        <f t="shared" ca="1" si="0"/>
        <v>94</v>
      </c>
      <c r="AD57" s="216"/>
      <c r="AE57" s="216"/>
      <c r="AG57" s="216"/>
      <c r="AH57" s="216"/>
    </row>
    <row r="58" spans="2:34">
      <c r="B58" s="135">
        <v>10158</v>
      </c>
      <c r="C58" s="136" t="s">
        <v>61</v>
      </c>
      <c r="D58" s="211">
        <f>IF(Init!$R$9="Yes",'Staging Table'!F60,'Staging Table'!BS60)*Rates_previous!$E$76*100*12</f>
        <v>817334.61204000015</v>
      </c>
      <c r="E58" s="211">
        <f>IF(Init!$R$9="Yes",'Staging Table'!F60,'Staging Table'!BS60)*Rates_previous!$E$77*100*12</f>
        <v>-82686.628200000006</v>
      </c>
      <c r="F58" s="212"/>
      <c r="G58" s="212">
        <f>IF(Init!$R$9="Yes",SUMPRODUCT('Staging Table'!AJ60:AU60,LS_Demand_Rates_Restatement!$C$10:$N$10),SUMPRODUCT(LS_Demand_Rates_Restatement!$C$10:$N$10,'Staging Table'!CW60:DH60))*1000</f>
        <v>42787.472443945866</v>
      </c>
      <c r="H58" s="213"/>
      <c r="I58" s="211">
        <f>IF(Init!$R$9="Yes",IF('Staging Table'!$F$1=2020,(SUM('Staging Table'!AX60:BD60)*Rates_previous!$C$87),(SUM('Staging Table'!AX60:BD60)*Rates_previous!$D$87)),IF('Staging Table'!$F$1=2020,(SUM('Staging Table'!DK60:DQ60)*Rates_previous!$C$87),(SUM('Staging Table'!DK60:DQ60)*Rates_previous!$D$87)))</f>
        <v>10026.371664720316</v>
      </c>
      <c r="J58" s="213">
        <f>IF(Init!$R$9="Yes",IF('Staging Table'!D60=1,'Staging Table'!H60*-1*'Staging Table'!F60/'Staging Table'!E60,'Staging Table'!H60*SUM(D58:I58)*(-1)),IF('Staging Table'!D60=1,'Staging Table'!BU60*-1*'Staging Table'!BS60/'Staging Table'!BR60,'Staging Table'!BU60*SUM(D58:I58)*(-1)))</f>
        <v>0</v>
      </c>
      <c r="K58" s="211">
        <f>IF(Init!$R$9="Yes",'Staging Table'!K60,'Staging Table'!BX60)*(-1)*Rates_previous!$H$32</f>
        <v>0</v>
      </c>
      <c r="L58" s="211">
        <f>IF('Staging Table'!C60=1,"",SUM(D58:K58))</f>
        <v>787461.82794866629</v>
      </c>
      <c r="M58" s="211">
        <f>IF('Staging Table'!C60=1,"",IF(Init!$R$9="Yes",(RT1SC!$C$3*'Staging Table'!F60*'Staging Table'!$F$2),X58))</f>
        <v>21219.769481011197</v>
      </c>
      <c r="N58" s="95">
        <f>IF('Staging Table'!C60=1,"",IF(M58=0, 0, L58/M58))</f>
        <v>37.109820097401972</v>
      </c>
      <c r="O58" s="211">
        <f>'Staging Table'!BS60*Rates_current!$E$76*100*12</f>
        <v>844850.91207997373</v>
      </c>
      <c r="P58" s="211">
        <f>'Staging Table'!BS60*Rates_current!$E$77*100*12</f>
        <v>-139486.91279922391</v>
      </c>
      <c r="Q58" s="212"/>
      <c r="R58" s="212">
        <f>SUMPRODUCT('Staging Table'!CW60:DH60, LS_Demand_Rates_Restatement!$C$11:$N$11)*1000</f>
        <v>40203.194445877853</v>
      </c>
      <c r="S58" s="213"/>
      <c r="T58" s="213">
        <v>0</v>
      </c>
      <c r="U58" s="213">
        <f>IF('Staging Table'!D60=1, 'Staging Table'!BU60*-1*'Staging Table'!BS60/'Staging Table'!BR60,SUM(O58:T58)*'Staging Table'!BU60*-1)</f>
        <v>0</v>
      </c>
      <c r="V58" s="211">
        <f>'Staging Table'!BX60*Rates_current!$H$32*-1</f>
        <v>0</v>
      </c>
      <c r="W58" s="211">
        <f>IF('Staging Table'!C60=1,"",SUM(O58:V58))</f>
        <v>745567.19372662762</v>
      </c>
      <c r="X58" s="211">
        <f>IF('Staging Table'!C60=1,"",(RT1SC!$C$4*'Staging Table'!BS60*'Staging Table'!$BS$2))</f>
        <v>20789.400855132</v>
      </c>
      <c r="Y58" s="95">
        <f>IF('Staging Table'!C60=1,"",IF(X58=0, 0, W58/X58))</f>
        <v>35.862851407888435</v>
      </c>
      <c r="Z58" s="87">
        <f ca="1">IF('Staging Table'!C60=1,"",(Y58/N58-1)+(RAND()/100000000000))</f>
        <v>-3.3602121652817035E-2</v>
      </c>
      <c r="AA58" s="53">
        <f t="shared" ca="1" si="0"/>
        <v>49</v>
      </c>
      <c r="AD58" s="216"/>
      <c r="AE58" s="216"/>
      <c r="AG58" s="216"/>
      <c r="AH58" s="216"/>
    </row>
    <row r="59" spans="2:34">
      <c r="B59" s="135">
        <v>10170</v>
      </c>
      <c r="C59" s="136" t="s">
        <v>62</v>
      </c>
      <c r="D59" s="211">
        <f>IF(Init!$R$9="Yes",'Staging Table'!F61,'Staging Table'!BS61)*Rates_previous!$E$76*100*12</f>
        <v>33964424.174879998</v>
      </c>
      <c r="E59" s="211">
        <f>IF(Init!$R$9="Yes",'Staging Table'!F61,'Staging Table'!BS61)*Rates_previous!$E$77*100*12</f>
        <v>-3436051.3704000004</v>
      </c>
      <c r="F59" s="212"/>
      <c r="G59" s="212">
        <f>IF(Init!$R$9="Yes",SUMPRODUCT('Staging Table'!AJ61:AU61,LS_Demand_Rates_Restatement!$C$10:$N$10),SUMPRODUCT(LS_Demand_Rates_Restatement!$C$10:$N$10,'Staging Table'!CW61:DH61))*1000</f>
        <v>0</v>
      </c>
      <c r="H59" s="213"/>
      <c r="I59" s="211">
        <f>IF(Init!$R$9="Yes",IF('Staging Table'!$F$1=2020,(SUM('Staging Table'!AX61:BD61)*Rates_previous!$C$87),(SUM('Staging Table'!AX61:BD61)*Rates_previous!$D$87)),IF('Staging Table'!$F$1=2020,(SUM('Staging Table'!DK61:DQ61)*Rates_previous!$C$87),(SUM('Staging Table'!DK61:DQ61)*Rates_previous!$D$87)))</f>
        <v>416646.90952656325</v>
      </c>
      <c r="J59" s="213">
        <f>IF(Init!$R$9="Yes",IF('Staging Table'!D61=1,'Staging Table'!H61*-1*'Staging Table'!F61/'Staging Table'!E61,'Staging Table'!H61*SUM(D59:I59)*(-1)),IF('Staging Table'!D61=1,'Staging Table'!BU61*-1*'Staging Table'!BS61/'Staging Table'!BR61,'Staging Table'!BU61*SUM(D59:I59)*(-1)))</f>
        <v>0</v>
      </c>
      <c r="K59" s="211">
        <f>IF(Init!$R$9="Yes",'Staging Table'!K61,'Staging Table'!BX61)*(-1)*Rates_previous!$H$32</f>
        <v>0</v>
      </c>
      <c r="L59" s="211">
        <f>IF('Staging Table'!C61=1,"",SUM(D59:K59))</f>
        <v>30945019.714006562</v>
      </c>
      <c r="M59" s="211">
        <f>IF('Staging Table'!C61=1,"",IF(Init!$R$9="Yes",(RT1SC!$C$3*'Staging Table'!F61*'Staging Table'!$F$2),X59))</f>
        <v>881789.71125104639</v>
      </c>
      <c r="N59" s="95">
        <f>IF('Staging Table'!C61=1,"",IF(M59=0, 0, L59/M59))</f>
        <v>35.09342343097093</v>
      </c>
      <c r="O59" s="211">
        <f>'Staging Table'!BS61*Rates_current!$E$76*100*12</f>
        <v>37797186.149776012</v>
      </c>
      <c r="P59" s="211">
        <f>'Staging Table'!BS61*Rates_current!$E$77*100*12</f>
        <v>-6240406.1274550306</v>
      </c>
      <c r="Q59" s="212"/>
      <c r="R59" s="212">
        <f>SUMPRODUCT('Staging Table'!CW61:DH61, LS_Demand_Rates_Restatement!$C$11:$N$11)*1000</f>
        <v>0</v>
      </c>
      <c r="S59" s="213"/>
      <c r="T59" s="213">
        <v>0</v>
      </c>
      <c r="U59" s="213">
        <f>IF('Staging Table'!D61=1, 'Staging Table'!BU61*-1*'Staging Table'!BS61/'Staging Table'!BR61,SUM(O59:T59)*'Staging Table'!BU61*-1)</f>
        <v>0</v>
      </c>
      <c r="V59" s="211">
        <f>'Staging Table'!BX61*Rates_current!$H$32*-1</f>
        <v>0</v>
      </c>
      <c r="W59" s="211">
        <f>IF('Staging Table'!C61=1,"",SUM(O59:V59))</f>
        <v>31556780.022320982</v>
      </c>
      <c r="X59" s="211">
        <f>IF('Staging Table'!C61=1,"",(RT1SC!$C$4*'Staging Table'!BS61*'Staging Table'!$BS$2))</f>
        <v>930082.26993469195</v>
      </c>
      <c r="Y59" s="95">
        <f>IF('Staging Table'!C61=1,"",IF(X59=0, 0, W59/X59))</f>
        <v>33.929020090380625</v>
      </c>
      <c r="Z59" s="87">
        <f ca="1">IF('Staging Table'!C61=1,"",(Y59/N59-1)+(RAND()/100000000000))</f>
        <v>-3.3180101189287443E-2</v>
      </c>
      <c r="AA59" s="53">
        <f t="shared" ca="1" si="0"/>
        <v>33</v>
      </c>
      <c r="AD59" s="216"/>
      <c r="AE59" s="216"/>
      <c r="AG59" s="216"/>
      <c r="AH59" s="216"/>
    </row>
    <row r="60" spans="2:34">
      <c r="B60" s="135">
        <v>10172</v>
      </c>
      <c r="C60" s="136" t="s">
        <v>63</v>
      </c>
      <c r="D60" s="211">
        <f>IF(Init!$R$9="Yes",'Staging Table'!F62,'Staging Table'!BS62)*Rates_previous!$E$76*100*12</f>
        <v>1826941.30932</v>
      </c>
      <c r="E60" s="211">
        <f>IF(Init!$R$9="Yes",'Staging Table'!F62,'Staging Table'!BS62)*Rates_previous!$E$77*100*12</f>
        <v>-184824.69060000003</v>
      </c>
      <c r="F60" s="212"/>
      <c r="G60" s="212">
        <f>IF(Init!$R$9="Yes",SUMPRODUCT('Staging Table'!AJ62:AU62,LS_Demand_Rates_Restatement!$C$10:$N$10),SUMPRODUCT(LS_Demand_Rates_Restatement!$C$10:$N$10,'Staging Table'!CW62:DH62))*1000</f>
        <v>151813.67349159543</v>
      </c>
      <c r="H60" s="213"/>
      <c r="I60" s="211">
        <f>IF(Init!$R$9="Yes",IF('Staging Table'!$F$1=2020,(SUM('Staging Table'!AX62:BD62)*Rates_previous!$C$87),(SUM('Staging Table'!AX62:BD62)*Rates_previous!$D$87)),IF('Staging Table'!$F$1=2020,(SUM('Staging Table'!DK62:DQ62)*Rates_previous!$C$87),(SUM('Staging Table'!DK62:DQ62)*Rates_previous!$D$87)))</f>
        <v>22411.375105177398</v>
      </c>
      <c r="J60" s="213">
        <f>IF(Init!$R$9="Yes",IF('Staging Table'!D62=1,'Staging Table'!H62*-1*'Staging Table'!F62/'Staging Table'!E62,'Staging Table'!H62*SUM(D60:I60)*(-1)),IF('Staging Table'!D62=1,'Staging Table'!BU62*-1*'Staging Table'!BS62/'Staging Table'!BR62,'Staging Table'!BU62*SUM(D60:I60)*(-1)))</f>
        <v>0</v>
      </c>
      <c r="K60" s="211">
        <f>IF(Init!$R$9="Yes",'Staging Table'!K62,'Staging Table'!BX62)*(-1)*Rates_previous!$H$32</f>
        <v>0</v>
      </c>
      <c r="L60" s="211">
        <f>IF('Staging Table'!C62=1,"",SUM(D60:K60))</f>
        <v>1816341.6673167727</v>
      </c>
      <c r="M60" s="211">
        <f>IF('Staging Table'!C62=1,"",IF(Init!$R$9="Yes",(RT1SC!$C$3*'Staging Table'!F62*'Staging Table'!$F$2),X60))</f>
        <v>47431.337016729594</v>
      </c>
      <c r="N60" s="95">
        <f>IF('Staging Table'!C62=1,"",IF(M60=0, 0, L60/M60))</f>
        <v>38.294127502164393</v>
      </c>
      <c r="O60" s="211">
        <f>'Staging Table'!BS62*Rates_current!$E$76*100*12</f>
        <v>1947257.8501531044</v>
      </c>
      <c r="P60" s="211">
        <f>'Staging Table'!BS62*Rates_current!$E$77*100*12</f>
        <v>-321496.94349409535</v>
      </c>
      <c r="Q60" s="212"/>
      <c r="R60" s="212">
        <f>SUMPRODUCT('Staging Table'!CW62:DH62, LS_Demand_Rates_Restatement!$C$11:$N$11)*1000</f>
        <v>140839.75294556623</v>
      </c>
      <c r="S60" s="213"/>
      <c r="T60" s="213">
        <v>0</v>
      </c>
      <c r="U60" s="213">
        <f>IF('Staging Table'!D62=1, 'Staging Table'!BU62*-1*'Staging Table'!BS62/'Staging Table'!BR62,SUM(O60:T60)*'Staging Table'!BU62*-1)</f>
        <v>0</v>
      </c>
      <c r="V60" s="211">
        <f>'Staging Table'!BX62*Rates_current!$H$32*-1</f>
        <v>0</v>
      </c>
      <c r="W60" s="211">
        <f>IF('Staging Table'!C62=1,"",SUM(O60:V60))</f>
        <v>1766600.6596045753</v>
      </c>
      <c r="X60" s="211">
        <f>IF('Staging Table'!C62=1,"",(RT1SC!$C$4*'Staging Table'!BS62*'Staging Table'!$BS$2))</f>
        <v>47916.529930079996</v>
      </c>
      <c r="Y60" s="95">
        <f>IF('Staging Table'!C62=1,"",IF(X60=0, 0, W60/X60))</f>
        <v>36.868292887285584</v>
      </c>
      <c r="Z60" s="87">
        <f ca="1">IF('Staging Table'!C62=1,"",(Y60/N60-1)+(RAND()/100000000000))</f>
        <v>-3.7233766840273151E-2</v>
      </c>
      <c r="AA60" s="53">
        <f t="shared" ca="1" si="0"/>
        <v>89</v>
      </c>
      <c r="AD60" s="216"/>
      <c r="AE60" s="216"/>
      <c r="AG60" s="216"/>
      <c r="AH60" s="216"/>
    </row>
    <row r="61" spans="2:34">
      <c r="B61" s="135">
        <v>10173</v>
      </c>
      <c r="C61" s="136" t="s">
        <v>64</v>
      </c>
      <c r="D61" s="211">
        <f>IF(Init!$R$9="Yes",'Staging Table'!F63,'Staging Table'!BS63)*Rates_previous!$E$76*100*12</f>
        <v>11149641.946679998</v>
      </c>
      <c r="E61" s="211">
        <f>IF(Init!$R$9="Yes",'Staging Table'!F63,'Staging Table'!BS63)*Rates_previous!$E$77*100*12</f>
        <v>-1127966.7893999999</v>
      </c>
      <c r="F61" s="212"/>
      <c r="G61" s="212">
        <f>IF(Init!$R$9="Yes",SUMPRODUCT('Staging Table'!AJ63:AU63,LS_Demand_Rates_Restatement!$C$10:$N$10),SUMPRODUCT(LS_Demand_Rates_Restatement!$C$10:$N$10,'Staging Table'!CW63:DH63))*1000</f>
        <v>0</v>
      </c>
      <c r="H61" s="213"/>
      <c r="I61" s="211">
        <f>IF(Init!$R$9="Yes",IF('Staging Table'!$F$1=2020,(SUM('Staging Table'!AX63:BD63)*Rates_previous!$C$87),(SUM('Staging Table'!AX63:BD63)*Rates_previous!$D$87)),IF('Staging Table'!$F$1=2020,(SUM('Staging Table'!DK63:DQ63)*Rates_previous!$C$87),(SUM('Staging Table'!DK63:DQ63)*Rates_previous!$D$87)))</f>
        <v>136774.40357866362</v>
      </c>
      <c r="J61" s="213">
        <f>IF(Init!$R$9="Yes",IF('Staging Table'!D63=1,'Staging Table'!H63*-1*'Staging Table'!F63/'Staging Table'!E63,'Staging Table'!H63*SUM(D61:I61)*(-1)),IF('Staging Table'!D63=1,'Staging Table'!BU63*-1*'Staging Table'!BS63/'Staging Table'!BR63,'Staging Table'!BU63*SUM(D61:I61)*(-1)))</f>
        <v>-792355.36660894298</v>
      </c>
      <c r="K61" s="211">
        <f>IF(Init!$R$9="Yes",'Staging Table'!K63,'Staging Table'!BX63)*(-1)*Rates_previous!$H$32</f>
        <v>-492284.05555999995</v>
      </c>
      <c r="L61" s="211" t="str">
        <f>IF('Staging Table'!C63=1,"",SUM(D61:K61))</f>
        <v/>
      </c>
      <c r="M61" s="211" t="str">
        <f>IF('Staging Table'!C63=1,"",IF(Init!$R$9="Yes",(RT1SC!$C$3*'Staging Table'!F63*'Staging Table'!$F$2),X61))</f>
        <v/>
      </c>
      <c r="N61" s="95" t="str">
        <f>IF('Staging Table'!C63=1,"",IF(M61=0, 0, L61/M61))</f>
        <v/>
      </c>
      <c r="O61" s="211">
        <f>'Staging Table'!BS63*Rates_current!$E$76*100*12</f>
        <v>11250450.096315607</v>
      </c>
      <c r="P61" s="211">
        <f>'Staging Table'!BS63*Rates_current!$E$77*100*12</f>
        <v>-1857476.3062908857</v>
      </c>
      <c r="Q61" s="212"/>
      <c r="R61" s="212">
        <f>SUMPRODUCT('Staging Table'!CW63:DH63, LS_Demand_Rates_Restatement!$C$11:$N$11)*1000</f>
        <v>0</v>
      </c>
      <c r="S61" s="213"/>
      <c r="T61" s="213">
        <v>0</v>
      </c>
      <c r="U61" s="213">
        <f>IF('Staging Table'!D63=1, 'Staging Table'!BU63*-1*'Staging Table'!BS63/'Staging Table'!BR63,SUM(O61:T61)*'Staging Table'!BU63*-1)</f>
        <v>-796799.28217971965</v>
      </c>
      <c r="V61" s="211">
        <f>'Staging Table'!BX63*Rates_current!$H$32*-1</f>
        <v>-482978.95640000002</v>
      </c>
      <c r="W61" s="211" t="str">
        <f>IF('Staging Table'!C63=1,"",SUM(O61:V61))</f>
        <v/>
      </c>
      <c r="X61" s="211" t="str">
        <f>IF('Staging Table'!C63=1,"",(RT1SC!$C$4*'Staging Table'!BS63*'Staging Table'!$BS$2))</f>
        <v/>
      </c>
      <c r="Y61" s="95" t="str">
        <f>IF('Staging Table'!C63=1,"",IF(X61=0, 0, W61/X61))</f>
        <v/>
      </c>
      <c r="Z61" s="87" t="str">
        <f ca="1">IF('Staging Table'!C63=1,"",(Y61/N61-1)+(RAND()/100000000000))</f>
        <v/>
      </c>
      <c r="AA61" s="53" t="str">
        <f t="shared" ca="1" si="0"/>
        <v/>
      </c>
      <c r="AD61" s="216"/>
      <c r="AE61" s="216"/>
      <c r="AG61" s="216"/>
      <c r="AH61" s="216"/>
    </row>
    <row r="62" spans="2:34">
      <c r="B62" s="135">
        <v>10174</v>
      </c>
      <c r="C62" s="136" t="s">
        <v>65</v>
      </c>
      <c r="D62" s="211">
        <f>IF(Init!$R$9="Yes",'Staging Table'!F64,'Staging Table'!BS64)*Rates_previous!$E$76*100*12</f>
        <v>168267.78288000001</v>
      </c>
      <c r="E62" s="211">
        <f>IF(Init!$R$9="Yes",'Staging Table'!F64,'Staging Table'!BS64)*Rates_previous!$E$77*100*12</f>
        <v>-17023.010399999999</v>
      </c>
      <c r="F62" s="212"/>
      <c r="G62" s="212">
        <f>IF(Init!$R$9="Yes",SUMPRODUCT('Staging Table'!AJ64:AU64,LS_Demand_Rates_Restatement!$C$10:$N$10),SUMPRODUCT(LS_Demand_Rates_Restatement!$C$10:$N$10,'Staging Table'!CW64:DH64))*1000</f>
        <v>9702.6188298433044</v>
      </c>
      <c r="H62" s="213"/>
      <c r="I62" s="211">
        <f>IF(Init!$R$9="Yes",IF('Staging Table'!$F$1=2020,(SUM('Staging Table'!AX64:BD64)*Rates_previous!$C$87),(SUM('Staging Table'!AX64:BD64)*Rates_previous!$D$87)),IF('Staging Table'!$F$1=2020,(SUM('Staging Table'!DK64:DQ64)*Rates_previous!$C$87),(SUM('Staging Table'!DK64:DQ64)*Rates_previous!$D$87)))</f>
        <v>2064.1672400761804</v>
      </c>
      <c r="J62" s="213">
        <f>IF(Init!$R$9="Yes",IF('Staging Table'!D64=1,'Staging Table'!H64*-1*'Staging Table'!F64/'Staging Table'!E64,'Staging Table'!H64*SUM(D62:I62)*(-1)),IF('Staging Table'!D64=1,'Staging Table'!BU64*-1*'Staging Table'!BS64/'Staging Table'!BR64,'Staging Table'!BU64*SUM(D62:I62)*(-1)))</f>
        <v>0</v>
      </c>
      <c r="K62" s="211">
        <f>IF(Init!$R$9="Yes",'Staging Table'!K64,'Staging Table'!BX64)*(-1)*Rates_previous!$H$32</f>
        <v>0</v>
      </c>
      <c r="L62" s="211">
        <f>IF('Staging Table'!C64=1,"",SUM(D62:K62))</f>
        <v>163011.55854991949</v>
      </c>
      <c r="M62" s="211">
        <f>IF('Staging Table'!C64=1,"",IF(Init!$R$9="Yes",(RT1SC!$C$3*'Staging Table'!F64*'Staging Table'!$F$2),X62))</f>
        <v>4368.5945892864002</v>
      </c>
      <c r="N62" s="95">
        <f>IF('Staging Table'!C64=1,"",IF(M62=0, 0, L62/M62))</f>
        <v>37.314416620322518</v>
      </c>
      <c r="O62" s="211">
        <f>'Staging Table'!BS64*Rates_current!$E$76*100*12</f>
        <v>172183.63748890749</v>
      </c>
      <c r="P62" s="211">
        <f>'Staging Table'!BS64*Rates_current!$E$77*100*12</f>
        <v>-28427.931703049318</v>
      </c>
      <c r="Q62" s="212"/>
      <c r="R62" s="212">
        <f>SUMPRODUCT('Staging Table'!CW64:DH64, LS_Demand_Rates_Restatement!$C$11:$N$11)*1000</f>
        <v>9112.917106775285</v>
      </c>
      <c r="S62" s="213"/>
      <c r="T62" s="213">
        <v>0</v>
      </c>
      <c r="U62" s="213">
        <f>IF('Staging Table'!D64=1, 'Staging Table'!BU64*-1*'Staging Table'!BS64/'Staging Table'!BR64,SUM(O62:T62)*'Staging Table'!BU64*-1)</f>
        <v>0</v>
      </c>
      <c r="V62" s="211">
        <f>'Staging Table'!BX64*Rates_current!$H$32*-1</f>
        <v>0</v>
      </c>
      <c r="W62" s="211">
        <f>IF('Staging Table'!C64=1,"",SUM(O62:V62))</f>
        <v>152868.62289263346</v>
      </c>
      <c r="X62" s="211">
        <f>IF('Staging Table'!C64=1,"",(RT1SC!$C$4*'Staging Table'!BS64*'Staging Table'!$BS$2))</f>
        <v>4236.9542475119997</v>
      </c>
      <c r="Y62" s="95">
        <f>IF('Staging Table'!C64=1,"",IF(X62=0, 0, W62/X62))</f>
        <v>36.079838006841847</v>
      </c>
      <c r="Z62" s="87">
        <f ca="1">IF('Staging Table'!C64=1,"",(Y62/N62-1)+(RAND()/100000000000))</f>
        <v>-3.3085834509658629E-2</v>
      </c>
      <c r="AA62" s="53">
        <f t="shared" ca="1" si="0"/>
        <v>28</v>
      </c>
      <c r="AD62" s="216"/>
      <c r="AE62" s="216"/>
      <c r="AG62" s="216"/>
      <c r="AH62" s="216"/>
    </row>
    <row r="63" spans="2:34">
      <c r="B63" s="135">
        <v>10177</v>
      </c>
      <c r="C63" s="136" t="s">
        <v>66</v>
      </c>
      <c r="D63" s="211">
        <f>IF(Init!$R$9="Yes",'Staging Table'!F65,'Staging Table'!BS65)*Rates_previous!$E$76*100*12</f>
        <v>3111052.6524</v>
      </c>
      <c r="E63" s="211">
        <f>IF(Init!$R$9="Yes",'Staging Table'!F65,'Staging Table'!BS65)*Rates_previous!$E$77*100*12</f>
        <v>-314733.342</v>
      </c>
      <c r="F63" s="212"/>
      <c r="G63" s="212">
        <f>IF(Init!$R$9="Yes",SUMPRODUCT('Staging Table'!AJ65:AU65,LS_Demand_Rates_Restatement!$C$10:$N$10),SUMPRODUCT(LS_Demand_Rates_Restatement!$C$10:$N$10,'Staging Table'!CW65:DH65))*1000</f>
        <v>66439.040459615469</v>
      </c>
      <c r="H63" s="213"/>
      <c r="I63" s="211">
        <f>IF(Init!$R$9="Yes",IF('Staging Table'!$F$1=2020,(SUM('Staging Table'!AX65:BD65)*Rates_previous!$C$87),(SUM('Staging Table'!AX65:BD65)*Rates_previous!$D$87)),IF('Staging Table'!$F$1=2020,(SUM('Staging Table'!DK65:DQ65)*Rates_previous!$C$87),(SUM('Staging Table'!DK65:DQ65)*Rates_previous!$D$87)))</f>
        <v>38163.770017792653</v>
      </c>
      <c r="J63" s="213">
        <f>IF(Init!$R$9="Yes",IF('Staging Table'!D65=1,'Staging Table'!H65*-1*'Staging Table'!F65/'Staging Table'!E65,'Staging Table'!H65*SUM(D63:I63)*(-1)),IF('Staging Table'!D65=1,'Staging Table'!BU65*-1*'Staging Table'!BS65/'Staging Table'!BR65,'Staging Table'!BU65*SUM(D63:I63)*(-1)))</f>
        <v>-203064.54846141857</v>
      </c>
      <c r="K63" s="211">
        <f>IF(Init!$R$9="Yes",'Staging Table'!K65,'Staging Table'!BX65)*(-1)*Rates_previous!$H$32</f>
        <v>0</v>
      </c>
      <c r="L63" s="211">
        <f>IF('Staging Table'!C65=1,"",SUM(D63:K63))</f>
        <v>2697857.5724159894</v>
      </c>
      <c r="M63" s="211">
        <f>IF('Staging Table'!C65=1,"",IF(Init!$R$9="Yes",(RT1SC!$C$3*'Staging Table'!F65*'Staging Table'!$F$2),X63))</f>
        <v>80769.637251071996</v>
      </c>
      <c r="N63" s="95">
        <f>IF('Staging Table'!C65=1,"",IF(M63=0, 0, L63/M63))</f>
        <v>33.401878035303206</v>
      </c>
      <c r="O63" s="211">
        <f>'Staging Table'!BS65*Rates_current!$E$76*100*12</f>
        <v>3170768.8786606342</v>
      </c>
      <c r="P63" s="211">
        <f>'Staging Table'!BS65*Rates_current!$E$77*100*12</f>
        <v>-523501.55010824249</v>
      </c>
      <c r="Q63" s="212"/>
      <c r="R63" s="212">
        <f>SUMPRODUCT('Staging Table'!CW65:DH65, LS_Demand_Rates_Restatement!$C$11:$N$11)*1000</f>
        <v>61440.986680493283</v>
      </c>
      <c r="S63" s="213"/>
      <c r="T63" s="213">
        <v>0</v>
      </c>
      <c r="U63" s="213">
        <f>IF('Staging Table'!D65=1, 'Staging Table'!BU65*-1*'Staging Table'!BS65/'Staging Table'!BR65,SUM(O63:T63)*'Staging Table'!BU65*-1)</f>
        <v>-189609.58206630198</v>
      </c>
      <c r="V63" s="211">
        <f>'Staging Table'!BX65*Rates_current!$H$32*-1</f>
        <v>0</v>
      </c>
      <c r="W63" s="211">
        <f>IF('Staging Table'!C65=1,"",SUM(O63:V63))</f>
        <v>2519098.7331665829</v>
      </c>
      <c r="X63" s="211">
        <f>IF('Staging Table'!C65=1,"",(RT1SC!$C$4*'Staging Table'!BS65*'Staging Table'!$BS$2))</f>
        <v>78023.68949944801</v>
      </c>
      <c r="Y63" s="95">
        <f>IF('Staging Table'!C65=1,"",IF(X63=0, 0, W63/X63))</f>
        <v>32.286331873403711</v>
      </c>
      <c r="Z63" s="87">
        <f ca="1">IF('Staging Table'!C65=1,"",(Y63/N63-1)+(RAND()/100000000000))</f>
        <v>-3.3397707776194566E-2</v>
      </c>
      <c r="AA63" s="53">
        <f t="shared" ca="1" si="0"/>
        <v>44</v>
      </c>
      <c r="AD63" s="216"/>
      <c r="AE63" s="216"/>
      <c r="AG63" s="216"/>
      <c r="AH63" s="216"/>
    </row>
    <row r="64" spans="2:34">
      <c r="B64" s="135">
        <v>10179</v>
      </c>
      <c r="C64" s="136" t="s">
        <v>67</v>
      </c>
      <c r="D64" s="211">
        <f>IF(Init!$R$9="Yes",'Staging Table'!F66,'Staging Table'!BS66)*Rates_previous!$E$76*100*12</f>
        <v>56143448.890080005</v>
      </c>
      <c r="E64" s="211">
        <f>IF(Init!$R$9="Yes",'Staging Table'!F66,'Staging Table'!BS66)*Rates_previous!$E$77*100*12</f>
        <v>-5679818.7863999996</v>
      </c>
      <c r="F64" s="212"/>
      <c r="G64" s="212">
        <f>IF(Init!$R$9="Yes",SUMPRODUCT('Staging Table'!AJ66:AU66,LS_Demand_Rates_Restatement!$C$10:$N$10),SUMPRODUCT(LS_Demand_Rates_Restatement!$C$10:$N$10,'Staging Table'!CW66:DH66))*1000</f>
        <v>5266292.4666347224</v>
      </c>
      <c r="H64" s="213"/>
      <c r="I64" s="211">
        <f>IF(Init!$R$9="Yes",IF('Staging Table'!$F$1=2020,(SUM('Staging Table'!AX66:BD66)*Rates_previous!$C$87),(SUM('Staging Table'!AX66:BD66)*Rates_previous!$D$87)),IF('Staging Table'!$F$1=2020,(SUM('Staging Table'!DK66:DQ66)*Rates_previous!$C$87),(SUM('Staging Table'!DK66:DQ66)*Rates_previous!$D$87)))</f>
        <v>688720.47851513547</v>
      </c>
      <c r="J64" s="213">
        <f>IF(Init!$R$9="Yes",IF('Staging Table'!D66=1,'Staging Table'!H66*-1*'Staging Table'!F66/'Staging Table'!E66,'Staging Table'!H66*SUM(D64:I64)*(-1)),IF('Staging Table'!D66=1,'Staging Table'!BU66*-1*'Staging Table'!BS66/'Staging Table'!BR66,'Staging Table'!BU66*SUM(D64:I64)*(-1)))</f>
        <v>0</v>
      </c>
      <c r="K64" s="211">
        <f>IF(Init!$R$9="Yes",'Staging Table'!K66,'Staging Table'!BX66)*(-1)*Rates_previous!$H$32</f>
        <v>0</v>
      </c>
      <c r="L64" s="211">
        <f>IF('Staging Table'!C66=1,"",SUM(D64:K64))</f>
        <v>56418643.048829861</v>
      </c>
      <c r="M64" s="211">
        <f>IF('Staging Table'!C66=1,"",IF(Init!$R$9="Yes",(RT1SC!$C$3*'Staging Table'!F66*'Staging Table'!$F$2),X64))</f>
        <v>1457605.0319745024</v>
      </c>
      <c r="N64" s="95">
        <f>IF('Staging Table'!C66=1,"",IF(M64=0, 0, L64/M64))</f>
        <v>38.706399752478887</v>
      </c>
      <c r="O64" s="211">
        <f>'Staging Table'!BS66*Rates_current!$E$76*100*12</f>
        <v>56649855.594330966</v>
      </c>
      <c r="P64" s="211">
        <f>'Staging Table'!BS66*Rates_current!$E$77*100*12</f>
        <v>-9353027.0896210782</v>
      </c>
      <c r="Q64" s="212"/>
      <c r="R64" s="212">
        <f>SUMPRODUCT('Staging Table'!CW66:DH66, LS_Demand_Rates_Restatement!$C$11:$N$11)*1000</f>
        <v>4832783.6024852823</v>
      </c>
      <c r="S64" s="213"/>
      <c r="T64" s="213">
        <v>0</v>
      </c>
      <c r="U64" s="213">
        <f>IF('Staging Table'!D66=1, 'Staging Table'!BU66*-1*'Staging Table'!BS66/'Staging Table'!BR66,SUM(O64:T64)*'Staging Table'!BU66*-1)</f>
        <v>0</v>
      </c>
      <c r="V64" s="211">
        <f>'Staging Table'!BX66*Rates_current!$H$32*-1</f>
        <v>0</v>
      </c>
      <c r="W64" s="211">
        <f>IF('Staging Table'!C66=1,"",SUM(O64:V64))</f>
        <v>52129612.107195169</v>
      </c>
      <c r="X64" s="211">
        <f>IF('Staging Table'!C66=1,"",(RT1SC!$C$4*'Staging Table'!BS66*'Staging Table'!$BS$2))</f>
        <v>1393993.3537343519</v>
      </c>
      <c r="Y64" s="95">
        <f>IF('Staging Table'!C66=1,"",IF(X64=0, 0, W64/X64))</f>
        <v>37.395882819344713</v>
      </c>
      <c r="Z64" s="87">
        <f ca="1">IF('Staging Table'!C66=1,"",(Y64/N64-1)+(RAND()/100000000000))</f>
        <v>-3.3857887620256787E-2</v>
      </c>
      <c r="AA64" s="53">
        <f t="shared" ca="1" si="0"/>
        <v>53</v>
      </c>
      <c r="AD64" s="216"/>
      <c r="AE64" s="216"/>
      <c r="AG64" s="216"/>
      <c r="AH64" s="216"/>
    </row>
    <row r="65" spans="2:34">
      <c r="B65" s="135">
        <v>10183</v>
      </c>
      <c r="C65" s="136" t="s">
        <v>68</v>
      </c>
      <c r="D65" s="211">
        <f>IF(Init!$R$9="Yes",'Staging Table'!F67,'Staging Table'!BS67)*Rates_previous!$E$76*100*12</f>
        <v>20981186.260799997</v>
      </c>
      <c r="E65" s="211">
        <f>IF(Init!$R$9="Yes",'Staging Table'!F67,'Staging Table'!BS67)*Rates_previous!$E$77*100*12</f>
        <v>-2122586.6639999999</v>
      </c>
      <c r="F65" s="212"/>
      <c r="G65" s="212">
        <f>IF(Init!$R$9="Yes",SUMPRODUCT('Staging Table'!AJ67:AU67,LS_Demand_Rates_Restatement!$C$10:$N$10),SUMPRODUCT(LS_Demand_Rates_Restatement!$C$10:$N$10,'Staging Table'!CW67:DH67))*1000</f>
        <v>0</v>
      </c>
      <c r="H65" s="213"/>
      <c r="I65" s="211">
        <f>IF(Init!$R$9="Yes",IF('Staging Table'!$F$1=2020,(SUM('Staging Table'!AX67:BD67)*Rates_previous!$C$87),(SUM('Staging Table'!AX67:BD67)*Rates_previous!$D$87)),IF('Staging Table'!$F$1=2020,(SUM('Staging Table'!DK67:DQ67)*Rates_previous!$C$87),(SUM('Staging Table'!DK67:DQ67)*Rates_previous!$D$87)))</f>
        <v>257379.49711006379</v>
      </c>
      <c r="J65" s="213">
        <f>IF(Init!$R$9="Yes",IF('Staging Table'!D67=1,'Staging Table'!H67*-1*'Staging Table'!F67/'Staging Table'!E67,'Staging Table'!H67*SUM(D65:I65)*(-1)),IF('Staging Table'!D67=1,'Staging Table'!BU67*-1*'Staging Table'!BS67/'Staging Table'!BR67,'Staging Table'!BU67*SUM(D65:I65)*(-1)))</f>
        <v>0</v>
      </c>
      <c r="K65" s="211">
        <f>IF(Init!$R$9="Yes",'Staging Table'!K67,'Staging Table'!BX67)*(-1)*Rates_previous!$H$32</f>
        <v>-1048864.5141699999</v>
      </c>
      <c r="L65" s="211">
        <f>IF('Staging Table'!C67=1,"",SUM(D65:K65))</f>
        <v>18067114.579740062</v>
      </c>
      <c r="M65" s="211">
        <f>IF('Staging Table'!C67=1,"",IF(Init!$R$9="Yes",(RT1SC!$C$3*'Staging Table'!F67*'Staging Table'!$F$2),X65))</f>
        <v>544716.85076582397</v>
      </c>
      <c r="N65" s="95">
        <f>IF('Staging Table'!C67=1,"",IF(M65=0, 0, L65/M65))</f>
        <v>33.167901000931565</v>
      </c>
      <c r="O65" s="211">
        <f>'Staging Table'!BS67*Rates_current!$E$76*100*12</f>
        <v>21170673.678493369</v>
      </c>
      <c r="P65" s="211">
        <f>'Staging Table'!BS67*Rates_current!$E$77*100*12</f>
        <v>-3495329.0232268749</v>
      </c>
      <c r="Q65" s="212"/>
      <c r="R65" s="212">
        <f>SUMPRODUCT('Staging Table'!CW67:DH67, LS_Demand_Rates_Restatement!$C$11:$N$11)*1000</f>
        <v>0</v>
      </c>
      <c r="S65" s="213"/>
      <c r="T65" s="213">
        <v>0</v>
      </c>
      <c r="U65" s="213">
        <f>IF('Staging Table'!D67=1, 'Staging Table'!BU67*-1*'Staging Table'!BS67/'Staging Table'!BR67,SUM(O65:T65)*'Staging Table'!BU67*-1)</f>
        <v>0</v>
      </c>
      <c r="V65" s="211">
        <f>'Staging Table'!BX67*Rates_current!$H$32*-1</f>
        <v>-1029038.9923</v>
      </c>
      <c r="W65" s="211">
        <f>IF('Staging Table'!C67=1,"",SUM(O65:V65))</f>
        <v>16646305.662966494</v>
      </c>
      <c r="X65" s="211">
        <f>IF('Staging Table'!C67=1,"",(RT1SC!$C$4*'Staging Table'!BS67*'Staging Table'!$BS$2))</f>
        <v>520950.63777800399</v>
      </c>
      <c r="Y65" s="95">
        <f>IF('Staging Table'!C67=1,"",IF(X65=0, 0, W65/X65))</f>
        <v>31.953710113433221</v>
      </c>
      <c r="Z65" s="87">
        <f ca="1">IF('Staging Table'!C67=1,"",(Y65/N65-1)+(RAND()/100000000000))</f>
        <v>-3.6607408091355653E-2</v>
      </c>
      <c r="AA65" s="53">
        <f t="shared" ca="1" si="0"/>
        <v>87</v>
      </c>
      <c r="AD65" s="216"/>
      <c r="AE65" s="216"/>
      <c r="AG65" s="216"/>
      <c r="AH65" s="216"/>
    </row>
    <row r="66" spans="2:34">
      <c r="B66" s="135">
        <v>10186</v>
      </c>
      <c r="C66" s="136" t="s">
        <v>69</v>
      </c>
      <c r="D66" s="211">
        <f>IF(Init!$R$9="Yes",'Staging Table'!F68,'Staging Table'!BS68)*Rates_previous!$E$76*100*12</f>
        <v>6025079.8923599999</v>
      </c>
      <c r="E66" s="211">
        <f>IF(Init!$R$9="Yes",'Staging Table'!F68,'Staging Table'!BS68)*Rates_previous!$E$77*100*12</f>
        <v>-609534.37380000006</v>
      </c>
      <c r="F66" s="212"/>
      <c r="G66" s="212">
        <f>IF(Init!$R$9="Yes",SUMPRODUCT('Staging Table'!AJ68:AU68,LS_Demand_Rates_Restatement!$C$10:$N$10),SUMPRODUCT(LS_Demand_Rates_Restatement!$C$10:$N$10,'Staging Table'!CW68:DH68))*1000</f>
        <v>360493.90152660257</v>
      </c>
      <c r="H66" s="213"/>
      <c r="I66" s="211">
        <f>IF(Init!$R$9="Yes",IF('Staging Table'!$F$1=2020,(SUM('Staging Table'!AX68:BD68)*Rates_previous!$C$87),(SUM('Staging Table'!AX68:BD68)*Rates_previous!$D$87)),IF('Staging Table'!$F$1=2020,(SUM('Staging Table'!DK68:DQ68)*Rates_previous!$C$87),(SUM('Staging Table'!DK68:DQ68)*Rates_previous!$D$87)))</f>
        <v>73910.59845080685</v>
      </c>
      <c r="J66" s="213">
        <f>IF(Init!$R$9="Yes",IF('Staging Table'!D68=1,'Staging Table'!H68*-1*'Staging Table'!F68/'Staging Table'!E68,'Staging Table'!H68*SUM(D66:I66)*(-1)),IF('Staging Table'!D68=1,'Staging Table'!BU68*-1*'Staging Table'!BS68/'Staging Table'!BR68,'Staging Table'!BU68*SUM(D66:I66)*(-1)))</f>
        <v>-409496.50129761873</v>
      </c>
      <c r="K66" s="211">
        <f>IF(Init!$R$9="Yes",'Staging Table'!K68,'Staging Table'!BX68)*(-1)*Rates_previous!$H$32</f>
        <v>0</v>
      </c>
      <c r="L66" s="211">
        <f>IF('Staging Table'!C68=1,"",SUM(D66:K66))</f>
        <v>5440453.5172397904</v>
      </c>
      <c r="M66" s="211">
        <f>IF('Staging Table'!C68=1,"",IF(Init!$R$9="Yes",(RT1SC!$C$3*'Staging Table'!F68*'Staging Table'!$F$2),X66))</f>
        <v>156424.06982062082</v>
      </c>
      <c r="N66" s="95">
        <f>IF('Staging Table'!C68=1,"",IF(M66=0, 0, L66/M66))</f>
        <v>34.780155787268711</v>
      </c>
      <c r="O66" s="211">
        <f>'Staging Table'!BS68*Rates_current!$E$76*100*12</f>
        <v>6461922.4175154632</v>
      </c>
      <c r="P66" s="211">
        <f>'Staging Table'!BS68*Rates_current!$E$77*100*12</f>
        <v>-1066878.8964768343</v>
      </c>
      <c r="Q66" s="212"/>
      <c r="R66" s="212">
        <f>SUMPRODUCT('Staging Table'!CW68:DH68, LS_Demand_Rates_Restatement!$C$11:$N$11)*1000</f>
        <v>337914.27682721691</v>
      </c>
      <c r="S66" s="213"/>
      <c r="T66" s="213">
        <v>0</v>
      </c>
      <c r="U66" s="213">
        <f>IF('Staging Table'!D68=1, 'Staging Table'!BU68*-1*'Staging Table'!BS68/'Staging Table'!BR68,SUM(O66:T66)*'Staging Table'!BU68*-1)</f>
        <v>-401307.04585060925</v>
      </c>
      <c r="V66" s="211">
        <f>'Staging Table'!BX68*Rates_current!$H$32*-1</f>
        <v>0</v>
      </c>
      <c r="W66" s="211">
        <f>IF('Staging Table'!C68=1,"",SUM(O66:V66))</f>
        <v>5331650.7520152368</v>
      </c>
      <c r="X66" s="211">
        <f>IF('Staging Table'!C68=1,"",(RT1SC!$C$4*'Staging Table'!BS68*'Staging Table'!$BS$2))</f>
        <v>159009.70634186402</v>
      </c>
      <c r="Y66" s="95">
        <f>IF('Staging Table'!C68=1,"",IF(X66=0, 0, W66/X66))</f>
        <v>33.530347767276652</v>
      </c>
      <c r="Z66" s="87">
        <f ca="1">IF('Staging Table'!C68=1,"",(Y66/N66-1)+(RAND()/100000000000))</f>
        <v>-3.593451471069084E-2</v>
      </c>
      <c r="AA66" s="53">
        <f t="shared" ca="1" si="0"/>
        <v>82</v>
      </c>
      <c r="AD66" s="216"/>
      <c r="AE66" s="216"/>
      <c r="AG66" s="216"/>
      <c r="AH66" s="216"/>
    </row>
    <row r="67" spans="2:34">
      <c r="B67" s="135">
        <v>10190</v>
      </c>
      <c r="C67" s="136" t="s">
        <v>70</v>
      </c>
      <c r="D67" s="211">
        <f>IF(Init!$R$9="Yes",'Staging Table'!F69,'Staging Table'!BS69)*Rates_previous!$E$76*100*12</f>
        <v>1747085.41236</v>
      </c>
      <c r="E67" s="211">
        <f>IF(Init!$R$9="Yes",'Staging Table'!F69,'Staging Table'!BS69)*Rates_previous!$E$77*100*12</f>
        <v>-176745.97380000004</v>
      </c>
      <c r="F67" s="212"/>
      <c r="G67" s="212">
        <f>IF(Init!$R$9="Yes",SUMPRODUCT('Staging Table'!AJ69:AU69,LS_Demand_Rates_Restatement!$C$10:$N$10),SUMPRODUCT(LS_Demand_Rates_Restatement!$C$10:$N$10,'Staging Table'!CW69:DH69))*1000</f>
        <v>182191.46226193022</v>
      </c>
      <c r="H67" s="213"/>
      <c r="I67" s="211">
        <f>IF(Init!$R$9="Yes",IF('Staging Table'!$F$1=2020,(SUM('Staging Table'!AX69:BD69)*Rates_previous!$C$87),(SUM('Staging Table'!AX69:BD69)*Rates_previous!$D$87)),IF('Staging Table'!$F$1=2020,(SUM('Staging Table'!DK69:DQ69)*Rates_previous!$C$87),(SUM('Staging Table'!DK69:DQ69)*Rates_previous!$D$87)))</f>
        <v>21431.770313276837</v>
      </c>
      <c r="J67" s="213">
        <f>IF(Init!$R$9="Yes",IF('Staging Table'!D69=1,'Staging Table'!H69*-1*'Staging Table'!F69/'Staging Table'!E69,'Staging Table'!H69*SUM(D67:I67)*(-1)),IF('Staging Table'!D69=1,'Staging Table'!BU69*-1*'Staging Table'!BS69/'Staging Table'!BR69,'Staging Table'!BU69*SUM(D67:I67)*(-1)))</f>
        <v>0</v>
      </c>
      <c r="K67" s="211">
        <f>IF(Init!$R$9="Yes",'Staging Table'!K69,'Staging Table'!BX69)*(-1)*Rates_previous!$H$32</f>
        <v>0</v>
      </c>
      <c r="L67" s="211">
        <f>IF('Staging Table'!C69=1,"",SUM(D67:K67))</f>
        <v>1773962.6711352072</v>
      </c>
      <c r="M67" s="211">
        <f>IF('Staging Table'!C69=1,"",IF(Init!$R$9="Yes",(RT1SC!$C$3*'Staging Table'!F69*'Staging Table'!$F$2),X67))</f>
        <v>45358.105686220799</v>
      </c>
      <c r="N67" s="95">
        <f>IF('Staging Table'!C69=1,"",IF(M67=0, 0, L67/M67))</f>
        <v>39.110157805247894</v>
      </c>
      <c r="O67" s="211">
        <f>'Staging Table'!BS69*Rates_current!$E$76*100*12</f>
        <v>1762843.898580723</v>
      </c>
      <c r="P67" s="211">
        <f>'Staging Table'!BS69*Rates_current!$E$77*100*12</f>
        <v>-291049.75758929743</v>
      </c>
      <c r="Q67" s="212"/>
      <c r="R67" s="212">
        <f>SUMPRODUCT('Staging Table'!CW69:DH69, LS_Demand_Rates_Restatement!$C$11:$N$11)*1000</f>
        <v>168359.64744088319</v>
      </c>
      <c r="S67" s="213"/>
      <c r="T67" s="213">
        <v>0</v>
      </c>
      <c r="U67" s="213">
        <f>IF('Staging Table'!D69=1, 'Staging Table'!BU69*-1*'Staging Table'!BS69/'Staging Table'!BR69,SUM(O67:T67)*'Staging Table'!BU69*-1)</f>
        <v>0</v>
      </c>
      <c r="V67" s="211">
        <f>'Staging Table'!BX69*Rates_current!$H$32*-1</f>
        <v>0</v>
      </c>
      <c r="W67" s="211">
        <f>IF('Staging Table'!C69=1,"",SUM(O67:V67))</f>
        <v>1640153.7884323087</v>
      </c>
      <c r="X67" s="211">
        <f>IF('Staging Table'!C69=1,"",(RT1SC!$C$4*'Staging Table'!BS69*'Staging Table'!$BS$2))</f>
        <v>43378.622107884003</v>
      </c>
      <c r="Y67" s="95">
        <f>IF('Staging Table'!C69=1,"",IF(X67=0, 0, W67/X67))</f>
        <v>37.810186417475279</v>
      </c>
      <c r="Z67" s="87"/>
      <c r="AA67" s="53" t="str">
        <f t="shared" si="0"/>
        <v/>
      </c>
      <c r="AD67" s="216"/>
      <c r="AE67" s="216"/>
      <c r="AG67" s="216"/>
      <c r="AH67" s="216"/>
    </row>
    <row r="68" spans="2:34">
      <c r="B68" s="135">
        <v>10191</v>
      </c>
      <c r="C68" s="136" t="s">
        <v>71</v>
      </c>
      <c r="D68" s="211">
        <f>IF(Init!$R$9="Yes",'Staging Table'!F70,'Staging Table'!BS70)*Rates_previous!$E$76*100*12</f>
        <v>20581431.443280004</v>
      </c>
      <c r="E68" s="211">
        <f>IF(Init!$R$9="Yes",'Staging Table'!F70,'Staging Table'!BS70)*Rates_previous!$E$77*100*12</f>
        <v>-2082144.9924000003</v>
      </c>
      <c r="F68" s="212"/>
      <c r="G68" s="212">
        <f>IF(Init!$R$9="Yes",SUMPRODUCT('Staging Table'!AJ70:AU70,LS_Demand_Rates_Restatement!$C$10:$N$10),SUMPRODUCT(LS_Demand_Rates_Restatement!$C$10:$N$10,'Staging Table'!CW70:DH70))*1000</f>
        <v>0</v>
      </c>
      <c r="H68" s="213"/>
      <c r="I68" s="211">
        <f>IF(Init!$R$9="Yes",IF('Staging Table'!$F$1=2020,(SUM('Staging Table'!AX70:BD70)*Rates_previous!$C$87),(SUM('Staging Table'!AX70:BD70)*Rates_previous!$D$87)),IF('Staging Table'!$F$1=2020,(SUM('Staging Table'!DK70:DQ70)*Rates_previous!$C$87),(SUM('Staging Table'!DK70:DQ70)*Rates_previous!$D$87)))</f>
        <v>252475.6421696569</v>
      </c>
      <c r="J68" s="213">
        <f>IF(Init!$R$9="Yes",IF('Staging Table'!D70=1,'Staging Table'!H70*-1*'Staging Table'!F70/'Staging Table'!E70,'Staging Table'!H70*SUM(D68:I68)*(-1)),IF('Staging Table'!D70=1,'Staging Table'!BU70*-1*'Staging Table'!BS70/'Staging Table'!BR70,'Staging Table'!BU70*SUM(D68:I68)*(-1)))</f>
        <v>0</v>
      </c>
      <c r="K68" s="211">
        <f>IF(Init!$R$9="Yes",'Staging Table'!K70,'Staging Table'!BX70)*(-1)*Rates_previous!$H$32</f>
        <v>0</v>
      </c>
      <c r="L68" s="211">
        <f>IF('Staging Table'!C70=1,"",SUM(D68:K68))</f>
        <v>18751762.09304966</v>
      </c>
      <c r="M68" s="211">
        <f>IF('Staging Table'!C70=1,"",IF(Init!$R$9="Yes",(RT1SC!$C$3*'Staging Table'!F70*'Staging Table'!$F$2),X68))</f>
        <v>534338.35345059843</v>
      </c>
      <c r="N68" s="95">
        <f>IF('Staging Table'!C70=1,"",IF(M68=0, 0, L68/M68))</f>
        <v>35.093423430970937</v>
      </c>
      <c r="O68" s="211">
        <f>'Staging Table'!BS70*Rates_current!$E$76*100*12</f>
        <v>21339020.354701191</v>
      </c>
      <c r="P68" s="211">
        <f>'Staging Table'!BS70*Rates_current!$E$77*100*12</f>
        <v>-3523123.4634156511</v>
      </c>
      <c r="Q68" s="212"/>
      <c r="R68" s="212">
        <f>SUMPRODUCT('Staging Table'!CW70:DH70, LS_Demand_Rates_Restatement!$C$11:$N$11)*1000</f>
        <v>0</v>
      </c>
      <c r="S68" s="213"/>
      <c r="T68" s="213">
        <v>0</v>
      </c>
      <c r="U68" s="213">
        <f>IF('Staging Table'!D70=1, 'Staging Table'!BU70*-1*'Staging Table'!BS70/'Staging Table'!BR70,SUM(O68:T68)*'Staging Table'!BU70*-1)</f>
        <v>0</v>
      </c>
      <c r="V68" s="211">
        <f>'Staging Table'!BX70*Rates_current!$H$32*-1</f>
        <v>0</v>
      </c>
      <c r="W68" s="211">
        <f>IF('Staging Table'!C70=1,"",SUM(O68:V68))</f>
        <v>17815896.891285539</v>
      </c>
      <c r="X68" s="211">
        <f>IF('Staging Table'!C70=1,"",(RT1SC!$C$4*'Staging Table'!BS70*'Staging Table'!$BS$2))</f>
        <v>525093.17521777202</v>
      </c>
      <c r="Y68" s="95">
        <f>IF('Staging Table'!C70=1,"",IF(X68=0, 0, W68/X68))</f>
        <v>33.929020090380618</v>
      </c>
      <c r="Z68" s="87">
        <f ca="1">IF('Staging Table'!C70=1,"",(Y68/N68-1)+(RAND()/100000000000))</f>
        <v>-3.3180101189770252E-2</v>
      </c>
      <c r="AA68" s="53">
        <f t="shared" ref="AA68:AA131" ca="1" si="1">IF(Z68="","",RANK(Z68,$Z$4:$Z$138))</f>
        <v>36</v>
      </c>
      <c r="AD68" s="216"/>
      <c r="AE68" s="216"/>
      <c r="AG68" s="216"/>
      <c r="AH68" s="216"/>
    </row>
    <row r="69" spans="2:34">
      <c r="B69" s="135">
        <v>10197</v>
      </c>
      <c r="C69" s="136" t="s">
        <v>72</v>
      </c>
      <c r="D69" s="211">
        <f>IF(Init!$R$9="Yes",'Staging Table'!F71,'Staging Table'!BS71)*Rates_previous!$E$76*100*12</f>
        <v>7657372.4528400004</v>
      </c>
      <c r="E69" s="211">
        <f>IF(Init!$R$9="Yes",'Staging Table'!F71,'Staging Table'!BS71)*Rates_previous!$E$77*100*12</f>
        <v>-774667.19219999993</v>
      </c>
      <c r="F69" s="212"/>
      <c r="G69" s="212">
        <f>IF(Init!$R$9="Yes",SUMPRODUCT('Staging Table'!AJ71:AU71,LS_Demand_Rates_Restatement!$C$10:$N$10),SUMPRODUCT(LS_Demand_Rates_Restatement!$C$10:$N$10,'Staging Table'!CW71:DH71))*1000</f>
        <v>469584.80047044152</v>
      </c>
      <c r="H69" s="213"/>
      <c r="I69" s="211">
        <f>IF(Init!$R$9="Yes",IF('Staging Table'!$F$1=2020,(SUM('Staging Table'!AX71:BD71)*Rates_previous!$C$87),(SUM('Staging Table'!AX71:BD71)*Rates_previous!$D$87)),IF('Staging Table'!$F$1=2020,(SUM('Staging Table'!DK71:DQ71)*Rates_previous!$C$87),(SUM('Staging Table'!DK71:DQ71)*Rates_previous!$D$87)))</f>
        <v>93934.186875726635</v>
      </c>
      <c r="J69" s="213">
        <f>IF(Init!$R$9="Yes",IF('Staging Table'!D71=1,'Staging Table'!H71*-1*'Staging Table'!F71/'Staging Table'!E71,'Staging Table'!H71*SUM(D69:I69)*(-1)),IF('Staging Table'!D71=1,'Staging Table'!BU71*-1*'Staging Table'!BS71/'Staging Table'!BR71,'Staging Table'!BU71*SUM(D69:I69)*(-1)))</f>
        <v>-579204.51364803349</v>
      </c>
      <c r="K69" s="211">
        <f>IF(Init!$R$9="Yes",'Staging Table'!K71,'Staging Table'!BX71)*(-1)*Rates_previous!$H$32</f>
        <v>-1109880.1675499999</v>
      </c>
      <c r="L69" s="211">
        <f>IF('Staging Table'!C71=1,"",SUM(D69:K69))</f>
        <v>5757139.566788137</v>
      </c>
      <c r="M69" s="211">
        <f>IF('Staging Table'!C71=1,"",IF(Init!$R$9="Yes",(RT1SC!$C$3*'Staging Table'!F71*'Staging Table'!$F$2),X69))</f>
        <v>198801.90546923521</v>
      </c>
      <c r="N69" s="95">
        <f>IF('Staging Table'!C71=1,"",IF(M69=0, 0, L69/M69))</f>
        <v>28.959176991787235</v>
      </c>
      <c r="O69" s="211">
        <f>'Staging Table'!BS71*Rates_current!$E$76*100*12</f>
        <v>7726440.9697146397</v>
      </c>
      <c r="P69" s="211">
        <f>'Staging Table'!BS71*Rates_current!$E$77*100*12</f>
        <v>-1275653.9436497856</v>
      </c>
      <c r="Q69" s="212"/>
      <c r="R69" s="212">
        <f>SUMPRODUCT('Staging Table'!CW71:DH71, LS_Demand_Rates_Restatement!$C$11:$N$11)*1000</f>
        <v>463446.00113591517</v>
      </c>
      <c r="S69" s="213"/>
      <c r="T69" s="213">
        <v>0</v>
      </c>
      <c r="U69" s="213">
        <f>IF('Staging Table'!D71=1, 'Staging Table'!BU71*-1*'Staging Table'!BS71/'Staging Table'!BR71,SUM(O69:T69)*'Staging Table'!BU71*-1)</f>
        <v>-594782.05082495965</v>
      </c>
      <c r="V69" s="211">
        <f>'Staging Table'!BX71*Rates_current!$H$32*-1</f>
        <v>-1088901.3344999999</v>
      </c>
      <c r="W69" s="211">
        <f>IF('Staging Table'!C71=1,"",SUM(O69:V69))</f>
        <v>5230549.64187581</v>
      </c>
      <c r="X69" s="211">
        <f>IF('Staging Table'!C71=1,"",(RT1SC!$C$4*'Staging Table'!BS71*'Staging Table'!$BS$2))</f>
        <v>190125.94554399603</v>
      </c>
      <c r="Y69" s="95">
        <f>IF('Staging Table'!C71=1,"",IF(X69=0, 0, W69/X69))</f>
        <v>27.510972407842338</v>
      </c>
      <c r="Z69" s="87">
        <f ca="1">IF('Staging Table'!C71=1,"",(Y69/N69-1)+(RAND()/100000000000))</f>
        <v>-5.0008485536086694E-2</v>
      </c>
      <c r="AA69" s="53">
        <f t="shared" ca="1" si="1"/>
        <v>116</v>
      </c>
      <c r="AD69" s="216"/>
      <c r="AE69" s="216"/>
      <c r="AG69" s="216"/>
      <c r="AH69" s="216"/>
    </row>
    <row r="70" spans="2:34">
      <c r="B70" s="135">
        <v>10202</v>
      </c>
      <c r="C70" s="136" t="s">
        <v>73</v>
      </c>
      <c r="D70" s="211">
        <f>IF(Init!$R$9="Yes",'Staging Table'!F72,'Staging Table'!BS72)*Rates_previous!$E$76*100*12</f>
        <v>4408235.6452799998</v>
      </c>
      <c r="E70" s="211">
        <f>IF(Init!$R$9="Yes",'Staging Table'!F72,'Staging Table'!BS72)*Rates_previous!$E$77*100*12</f>
        <v>-445964.40240000002</v>
      </c>
      <c r="F70" s="212"/>
      <c r="G70" s="212">
        <f>IF(Init!$R$9="Yes",SUMPRODUCT('Staging Table'!AJ72:AU72,LS_Demand_Rates_Restatement!$C$10:$N$10),SUMPRODUCT(LS_Demand_Rates_Restatement!$C$10:$N$10,'Staging Table'!CW72:DH72))*1000</f>
        <v>219537.48193301281</v>
      </c>
      <c r="H70" s="213"/>
      <c r="I70" s="211">
        <f>IF(Init!$R$9="Yes",IF('Staging Table'!$F$1=2020,(SUM('Staging Table'!AX72:BD72)*Rates_previous!$C$87),(SUM('Staging Table'!AX72:BD72)*Rates_previous!$D$87)),IF('Staging Table'!$F$1=2020,(SUM('Staging Table'!DK72:DQ72)*Rates_previous!$C$87),(SUM('Staging Table'!DK72:DQ72)*Rates_previous!$D$87)))</f>
        <v>54076.516905272591</v>
      </c>
      <c r="J70" s="213">
        <f>IF(Init!$R$9="Yes",IF('Staging Table'!D72=1,'Staging Table'!H72*-1*'Staging Table'!F72/'Staging Table'!E72,'Staging Table'!H72*SUM(D70:I70)*(-1)),IF('Staging Table'!D72=1,'Staging Table'!BU72*-1*'Staging Table'!BS72/'Staging Table'!BR72,'Staging Table'!BU72*SUM(D70:I70)*(-1)))</f>
        <v>0</v>
      </c>
      <c r="K70" s="211">
        <f>IF(Init!$R$9="Yes",'Staging Table'!K72,'Staging Table'!BX72)*(-1)*Rates_previous!$H$32</f>
        <v>0</v>
      </c>
      <c r="L70" s="211">
        <f>IF('Staging Table'!C72=1,"",SUM(D70:K70))</f>
        <v>4235885.2417182848</v>
      </c>
      <c r="M70" s="211">
        <f>IF('Staging Table'!C72=1,"",IF(Init!$R$9="Yes",(RT1SC!$C$3*'Staging Table'!F72*'Staging Table'!$F$2),X70))</f>
        <v>114447.30570915841</v>
      </c>
      <c r="N70" s="95">
        <f>IF('Staging Table'!C72=1,"",IF(M70=0, 0, L70/M70))</f>
        <v>37.011664149462952</v>
      </c>
      <c r="O70" s="211">
        <f>'Staging Table'!BS72*Rates_current!$E$76*100*12</f>
        <v>4448237.175183489</v>
      </c>
      <c r="P70" s="211">
        <f>'Staging Table'!BS72*Rates_current!$E$77*100*12</f>
        <v>-734414.63114186889</v>
      </c>
      <c r="Q70" s="212"/>
      <c r="R70" s="212">
        <f>SUMPRODUCT('Staging Table'!CW72:DH72, LS_Demand_Rates_Restatement!$C$11:$N$11)*1000</f>
        <v>201606.45127552538</v>
      </c>
      <c r="S70" s="213"/>
      <c r="T70" s="213">
        <v>0</v>
      </c>
      <c r="U70" s="213">
        <f>IF('Staging Table'!D72=1, 'Staging Table'!BU72*-1*'Staging Table'!BS72/'Staging Table'!BR72,SUM(O70:T70)*'Staging Table'!BU72*-1)</f>
        <v>0</v>
      </c>
      <c r="V70" s="211">
        <f>'Staging Table'!BX72*Rates_current!$H$32*-1</f>
        <v>0</v>
      </c>
      <c r="W70" s="211">
        <f>IF('Staging Table'!C72=1,"",SUM(O70:V70))</f>
        <v>3915428.9953171453</v>
      </c>
      <c r="X70" s="211">
        <f>IF('Staging Table'!C72=1,"",(RT1SC!$C$4*'Staging Table'!BS72*'Staging Table'!$BS$2))</f>
        <v>109458.58542771601</v>
      </c>
      <c r="Y70" s="95">
        <f>IF('Staging Table'!C72=1,"",IF(X70=0, 0, W70/X70))</f>
        <v>35.770871512886551</v>
      </c>
      <c r="Z70" s="87">
        <f ca="1">IF('Staging Table'!C72=1,"",(Y70/N70-1)+(RAND()/100000000000))</f>
        <v>-3.3524367651964405E-2</v>
      </c>
      <c r="AA70" s="53">
        <f t="shared" ca="1" si="1"/>
        <v>46</v>
      </c>
      <c r="AD70" s="216"/>
      <c r="AE70" s="216"/>
      <c r="AG70" s="216"/>
      <c r="AH70" s="216"/>
    </row>
    <row r="71" spans="2:34">
      <c r="B71" s="135">
        <v>10203</v>
      </c>
      <c r="C71" s="136" t="s">
        <v>74</v>
      </c>
      <c r="D71" s="211">
        <f>IF(Init!$R$9="Yes",'Staging Table'!F73,'Staging Table'!BS73)*Rates_previous!$E$76*100*12</f>
        <v>2090988.63528</v>
      </c>
      <c r="E71" s="211">
        <f>IF(Init!$R$9="Yes",'Staging Table'!F73,'Staging Table'!BS73)*Rates_previous!$E$77*100*12</f>
        <v>-211537.35240000003</v>
      </c>
      <c r="F71" s="212"/>
      <c r="G71" s="212">
        <f>IF(Init!$R$9="Yes",SUMPRODUCT('Staging Table'!AJ73:AU73,LS_Demand_Rates_Restatement!$C$10:$N$10),SUMPRODUCT(LS_Demand_Rates_Restatement!$C$10:$N$10,'Staging Table'!CW73:DH73))*1000</f>
        <v>149368.18784871793</v>
      </c>
      <c r="H71" s="213"/>
      <c r="I71" s="211">
        <f>IF(Init!$R$9="Yes",IF('Staging Table'!$F$1=2020,(SUM('Staging Table'!AX73:BD73)*Rates_previous!$C$87),(SUM('Staging Table'!AX73:BD73)*Rates_previous!$D$87)),IF('Staging Table'!$F$1=2020,(SUM('Staging Table'!DK73:DQ73)*Rates_previous!$C$87),(SUM('Staging Table'!DK73:DQ73)*Rates_previous!$D$87)))</f>
        <v>25650.484997443837</v>
      </c>
      <c r="J71" s="213">
        <f>IF(Init!$R$9="Yes",IF('Staging Table'!D73=1,'Staging Table'!H73*-1*'Staging Table'!F73/'Staging Table'!E73,'Staging Table'!H73*SUM(D71:I71)*(-1)),IF('Staging Table'!D73=1,'Staging Table'!BU73*-1*'Staging Table'!BS73/'Staging Table'!BR73,'Staging Table'!BU73*SUM(D71:I71)*(-1)))</f>
        <v>-148978.99125552143</v>
      </c>
      <c r="K71" s="211">
        <f>IF(Init!$R$9="Yes",'Staging Table'!K73,'Staging Table'!BX73)*(-1)*Rates_previous!$H$32</f>
        <v>0</v>
      </c>
      <c r="L71" s="211">
        <f>IF('Staging Table'!C73=1,"",SUM(D71:K71))</f>
        <v>1905490.9644706403</v>
      </c>
      <c r="M71" s="211">
        <f>IF('Staging Table'!C73=1,"",IF(Init!$R$9="Yes",(RT1SC!$C$3*'Staging Table'!F73*'Staging Table'!$F$2),X71))</f>
        <v>54286.575136358399</v>
      </c>
      <c r="N71" s="95">
        <f>IF('Staging Table'!C73=1,"",IF(M71=0, 0, L71/M71))</f>
        <v>35.100592728209129</v>
      </c>
      <c r="O71" s="211">
        <f>'Staging Table'!BS73*Rates_current!$E$76*100*12</f>
        <v>2110088.8945193551</v>
      </c>
      <c r="P71" s="211">
        <f>'Staging Table'!BS73*Rates_current!$E$77*100*12</f>
        <v>-348380.73963110161</v>
      </c>
      <c r="Q71" s="212"/>
      <c r="R71" s="212">
        <f>SUMPRODUCT('Staging Table'!CW73:DH73, LS_Demand_Rates_Restatement!$C$11:$N$11)*1000</f>
        <v>138068.77627656693</v>
      </c>
      <c r="S71" s="213"/>
      <c r="T71" s="213">
        <v>0</v>
      </c>
      <c r="U71" s="213">
        <f>IF('Staging Table'!D73=1, 'Staging Table'!BU73*-1*'Staging Table'!BS73/'Staging Table'!BR73,SUM(O71:T71)*'Staging Table'!BU73*-1)</f>
        <v>-145235.01354481053</v>
      </c>
      <c r="V71" s="211">
        <f>'Staging Table'!BX73*Rates_current!$H$32*-1</f>
        <v>0</v>
      </c>
      <c r="W71" s="211">
        <f>IF('Staging Table'!C73=1,"",SUM(O71:V71))</f>
        <v>1754541.9176200102</v>
      </c>
      <c r="X71" s="211">
        <f>IF('Staging Table'!C73=1,"",(RT1SC!$C$4*'Staging Table'!BS73*'Staging Table'!$BS$2))</f>
        <v>51923.343208715996</v>
      </c>
      <c r="Y71" s="95">
        <f>IF('Staging Table'!C73=1,"",IF(X71=0, 0, W71/X71))</f>
        <v>33.791004376726804</v>
      </c>
      <c r="Z71" s="87">
        <f ca="1">IF('Staging Table'!C73=1,"",(Y71/N71-1)+(RAND()/100000000000))</f>
        <v>-3.7309579400411706E-2</v>
      </c>
      <c r="AA71" s="53">
        <f t="shared" ca="1" si="1"/>
        <v>90</v>
      </c>
      <c r="AD71" s="216"/>
      <c r="AE71" s="216"/>
      <c r="AG71" s="216"/>
      <c r="AH71" s="216"/>
    </row>
    <row r="72" spans="2:34">
      <c r="B72" s="135">
        <v>10204</v>
      </c>
      <c r="C72" s="136" t="s">
        <v>75</v>
      </c>
      <c r="D72" s="211">
        <f>IF(Init!$R$9="Yes",'Staging Table'!F74,'Staging Table'!BS74)*Rates_previous!$E$76*100*12</f>
        <v>8216601.3979199994</v>
      </c>
      <c r="E72" s="211">
        <f>IF(Init!$R$9="Yes",'Staging Table'!F74,'Staging Table'!BS74)*Rates_previous!$E$77*100*12</f>
        <v>-831242.25359999994</v>
      </c>
      <c r="F72" s="212"/>
      <c r="G72" s="212">
        <f>IF(Init!$R$9="Yes",SUMPRODUCT('Staging Table'!AJ74:AU74,LS_Demand_Rates_Restatement!$C$10:$N$10),SUMPRODUCT(LS_Demand_Rates_Restatement!$C$10:$N$10,'Staging Table'!CW74:DH74))*1000</f>
        <v>0</v>
      </c>
      <c r="H72" s="213"/>
      <c r="I72" s="211">
        <f>IF(Init!$R$9="Yes",IF('Staging Table'!$F$1=2020,(SUM('Staging Table'!AX74:BD74)*Rates_previous!$C$87),(SUM('Staging Table'!AX74:BD74)*Rates_previous!$D$87)),IF('Staging Table'!$F$1=2020,(SUM('Staging Table'!DK74:DQ74)*Rates_previous!$C$87),(SUM('Staging Table'!DK74:DQ74)*Rates_previous!$D$87)))</f>
        <v>100794.33590948263</v>
      </c>
      <c r="J72" s="213">
        <f>IF(Init!$R$9="Yes",IF('Staging Table'!D74=1,'Staging Table'!H74*-1*'Staging Table'!F74/'Staging Table'!E74,'Staging Table'!H74*SUM(D72:I72)*(-1)),IF('Staging Table'!D74=1,'Staging Table'!BU74*-1*'Staging Table'!BS74/'Staging Table'!BR74,'Staging Table'!BU74*SUM(D72:I72)*(-1)))</f>
        <v>0</v>
      </c>
      <c r="K72" s="211">
        <f>IF(Init!$R$9="Yes",'Staging Table'!K74,'Staging Table'!BX74)*(-1)*Rates_previous!$H$32</f>
        <v>0</v>
      </c>
      <c r="L72" s="211">
        <f>IF('Staging Table'!C74=1,"",SUM(D72:K72))</f>
        <v>7486153.480229483</v>
      </c>
      <c r="M72" s="211">
        <f>IF('Staging Table'!C74=1,"",IF(Init!$R$9="Yes",(RT1SC!$C$3*'Staging Table'!F74*'Staging Table'!$F$2),X72))</f>
        <v>213320.69511413758</v>
      </c>
      <c r="N72" s="95">
        <f>IF('Staging Table'!C74=1,"",IF(M72=0, 0, L72/M72))</f>
        <v>35.093423430970937</v>
      </c>
      <c r="O72" s="211">
        <f>'Staging Table'!BS74*Rates_current!$E$76*100*12</f>
        <v>9270098.4551131018</v>
      </c>
      <c r="P72" s="211">
        <f>'Staging Table'!BS74*Rates_current!$E$77*100*12</f>
        <v>-1530515.4984861759</v>
      </c>
      <c r="Q72" s="212"/>
      <c r="R72" s="212">
        <f>SUMPRODUCT('Staging Table'!CW74:DH74, LS_Demand_Rates_Restatement!$C$11:$N$11)*1000</f>
        <v>0</v>
      </c>
      <c r="S72" s="213"/>
      <c r="T72" s="213">
        <v>0</v>
      </c>
      <c r="U72" s="213">
        <f>IF('Staging Table'!D74=1, 'Staging Table'!BU74*-1*'Staging Table'!BS74/'Staging Table'!BR74,SUM(O72:T72)*'Staging Table'!BU74*-1)</f>
        <v>0</v>
      </c>
      <c r="V72" s="211">
        <f>'Staging Table'!BX74*Rates_current!$H$32*-1</f>
        <v>0</v>
      </c>
      <c r="W72" s="211">
        <f>IF('Staging Table'!C74=1,"",SUM(O72:V72))</f>
        <v>7739582.9566269256</v>
      </c>
      <c r="X72" s="211">
        <f>IF('Staging Table'!C74=1,"",(RT1SC!$C$4*'Staging Table'!BS74*'Staging Table'!$BS$2))</f>
        <v>228111.00750950398</v>
      </c>
      <c r="Y72" s="95">
        <f>IF('Staging Table'!C74=1,"",IF(X72=0, 0, W72/X72))</f>
        <v>33.929020090380625</v>
      </c>
      <c r="Z72" s="87">
        <f ca="1">IF('Staging Table'!C74=1,"",(Y72/N72-1)+(RAND()/100000000000))</f>
        <v>-3.3180101189849813E-2</v>
      </c>
      <c r="AA72" s="53">
        <f t="shared" ca="1" si="1"/>
        <v>37</v>
      </c>
      <c r="AD72" s="216"/>
      <c r="AE72" s="216"/>
      <c r="AG72" s="216"/>
      <c r="AH72" s="216"/>
    </row>
    <row r="73" spans="2:34">
      <c r="B73" s="135">
        <v>10209</v>
      </c>
      <c r="C73" s="136" t="s">
        <v>76</v>
      </c>
      <c r="D73" s="211">
        <f>IF(Init!$R$9="Yes",'Staging Table'!F75,'Staging Table'!BS75)*Rates_previous!$E$76*100*12</f>
        <v>35300584.450800002</v>
      </c>
      <c r="E73" s="211">
        <f>IF(Init!$R$9="Yes",'Staging Table'!F75,'Staging Table'!BS75)*Rates_previous!$E$77*100*12</f>
        <v>-3571225.6140000001</v>
      </c>
      <c r="F73" s="212"/>
      <c r="G73" s="212">
        <f>IF(Init!$R$9="Yes",SUMPRODUCT('Staging Table'!AJ75:AU75,LS_Demand_Rates_Restatement!$C$10:$N$10),SUMPRODUCT(LS_Demand_Rates_Restatement!$C$10:$N$10,'Staging Table'!CW75:DH75))*1000</f>
        <v>4290769.7695188029</v>
      </c>
      <c r="H73" s="213"/>
      <c r="I73" s="211">
        <f>IF(Init!$R$9="Yes",IF('Staging Table'!$F$1=2020,(SUM('Staging Table'!AX75:BD75)*Rates_previous!$C$87),(SUM('Staging Table'!AX75:BD75)*Rates_previous!$D$87)),IF('Staging Table'!$F$1=2020,(SUM('Staging Table'!DK75:DQ75)*Rates_previous!$C$87),(SUM('Staging Table'!DK75:DQ75)*Rates_previous!$D$87)))</f>
        <v>433037.79684818507</v>
      </c>
      <c r="J73" s="213">
        <f>IF(Init!$R$9="Yes",IF('Staging Table'!D75=1,'Staging Table'!H75*-1*'Staging Table'!F75/'Staging Table'!E75,'Staging Table'!H75*SUM(D73:I73)*(-1)),IF('Staging Table'!D75=1,'Staging Table'!BU75*-1*'Staging Table'!BS75/'Staging Table'!BR75,'Staging Table'!BU75*SUM(D73:I73)*(-1)))</f>
        <v>-2695895.6944790995</v>
      </c>
      <c r="K73" s="211">
        <f>IF(Init!$R$9="Yes",'Staging Table'!K75,'Staging Table'!BX75)*(-1)*Rates_previous!$H$32</f>
        <v>-667852.10811000003</v>
      </c>
      <c r="L73" s="211">
        <f>IF('Staging Table'!C75=1,"",SUM(D73:K73))</f>
        <v>33089418.600577887</v>
      </c>
      <c r="M73" s="211">
        <f>IF('Staging Table'!C75=1,"",IF(Init!$R$9="Yes",(RT1SC!$C$3*'Staging Table'!F75*'Staging Table'!$F$2),X73))</f>
        <v>916479.3140490239</v>
      </c>
      <c r="N73" s="95">
        <f>IF('Staging Table'!C75=1,"",IF(M73=0, 0, L73/M73))</f>
        <v>36.104926857964941</v>
      </c>
      <c r="O73" s="211">
        <f>'Staging Table'!BS75*Rates_current!$E$76*100*12</f>
        <v>35618991.192517318</v>
      </c>
      <c r="P73" s="211">
        <f>'Staging Table'!BS75*Rates_current!$E$77*100*12</f>
        <v>-5880780.9134455649</v>
      </c>
      <c r="Q73" s="212"/>
      <c r="R73" s="212">
        <f>SUMPRODUCT('Staging Table'!CW75:DH75, LS_Demand_Rates_Restatement!$C$11:$N$11)*1000</f>
        <v>4000999.2528873216</v>
      </c>
      <c r="S73" s="213"/>
      <c r="T73" s="213">
        <v>0</v>
      </c>
      <c r="U73" s="213">
        <f>IF('Staging Table'!D75=1, 'Staging Table'!BU75*-1*'Staging Table'!BS75/'Staging Table'!BR75,SUM(O73:T73)*'Staging Table'!BU75*-1)</f>
        <v>-2779472.8704863037</v>
      </c>
      <c r="V73" s="211">
        <f>'Staging Table'!BX75*Rates_current!$H$32*-1</f>
        <v>-655228.44090000005</v>
      </c>
      <c r="W73" s="211">
        <f>IF('Staging Table'!C75=1,"",SUM(O73:V73))</f>
        <v>30304508.220572766</v>
      </c>
      <c r="X73" s="211">
        <f>IF('Staging Table'!C75=1,"",(RT1SC!$C$4*'Staging Table'!BS75*'Staging Table'!$BS$2))</f>
        <v>876483.02838852012</v>
      </c>
      <c r="Y73" s="95">
        <f>IF('Staging Table'!C75=1,"",IF(X73=0, 0, W73/X73))</f>
        <v>34.575122665284098</v>
      </c>
      <c r="Z73" s="87">
        <f ca="1">IF('Staging Table'!C75=1,"",(Y73/N73-1)+(RAND()/100000000000))</f>
        <v>-4.2371064714621896E-2</v>
      </c>
      <c r="AA73" s="53">
        <f t="shared" ca="1" si="1"/>
        <v>108</v>
      </c>
      <c r="AD73" s="216"/>
      <c r="AE73" s="216"/>
      <c r="AG73" s="216"/>
      <c r="AH73" s="216"/>
    </row>
    <row r="74" spans="2:34">
      <c r="B74" s="135">
        <v>10230</v>
      </c>
      <c r="C74" s="136" t="s">
        <v>77</v>
      </c>
      <c r="D74" s="211">
        <f>IF(Init!$R$9="Yes",'Staging Table'!F76,'Staging Table'!BS76)*Rates_previous!$E$76*100*12</f>
        <v>3265298.1200400004</v>
      </c>
      <c r="E74" s="211">
        <f>IF(Init!$R$9="Yes",'Staging Table'!F76,'Staging Table'!BS76)*Rates_previous!$E$77*100*12</f>
        <v>-330337.76819999999</v>
      </c>
      <c r="F74" s="212"/>
      <c r="G74" s="212">
        <f>IF(Init!$R$9="Yes",SUMPRODUCT('Staging Table'!AJ76:AU76,LS_Demand_Rates_Restatement!$C$10:$N$10),SUMPRODUCT(LS_Demand_Rates_Restatement!$C$10:$N$10,'Staging Table'!CW76:DH76))*1000</f>
        <v>429577.59650552005</v>
      </c>
      <c r="H74" s="213"/>
      <c r="I74" s="211">
        <f>IF(Init!$R$9="Yes",IF('Staging Table'!$F$1=2020,(SUM('Staging Table'!AX76:BD76)*Rates_previous!$C$87),(SUM('Staging Table'!AX76:BD76)*Rates_previous!$D$87)),IF('Staging Table'!$F$1=2020,(SUM('Staging Table'!DK76:DQ76)*Rates_previous!$C$87),(SUM('Staging Table'!DK76:DQ76)*Rates_previous!$D$87)))</f>
        <v>40055.92332119582</v>
      </c>
      <c r="J74" s="213">
        <f>IF(Init!$R$9="Yes",IF('Staging Table'!D76=1,'Staging Table'!H76*-1*'Staging Table'!F76/'Staging Table'!E76,'Staging Table'!H76*SUM(D74:I74)*(-1)),IF('Staging Table'!D76=1,'Staging Table'!BU76*-1*'Staging Table'!BS76/'Staging Table'!BR76,'Staging Table'!BU76*SUM(D74:I74)*(-1)))</f>
        <v>-298080.99510332872</v>
      </c>
      <c r="K74" s="211">
        <f>IF(Init!$R$9="Yes",'Staging Table'!K76,'Staging Table'!BX76)*(-1)*Rates_previous!$H$32</f>
        <v>0</v>
      </c>
      <c r="L74" s="211">
        <f>IF('Staging Table'!C76=1,"",SUM(D74:K74))</f>
        <v>3106512.8765633879</v>
      </c>
      <c r="M74" s="211">
        <f>IF('Staging Table'!C76=1,"",IF(Init!$R$9="Yes",(RT1SC!$C$3*'Staging Table'!F76*'Staging Table'!$F$2),X74))</f>
        <v>84774.182291251185</v>
      </c>
      <c r="N74" s="95">
        <f>IF('Staging Table'!C76=1,"",IF(M74=0, 0, L74/M74))</f>
        <v>36.644563151203457</v>
      </c>
      <c r="O74" s="211">
        <f>'Staging Table'!BS76*Rates_current!$E$76*100*12</f>
        <v>3294750.69005585</v>
      </c>
      <c r="P74" s="211">
        <f>'Staging Table'!BS76*Rates_current!$E$77*100*12</f>
        <v>-543971.24466322362</v>
      </c>
      <c r="Q74" s="212"/>
      <c r="R74" s="212">
        <f>SUMPRODUCT('Staging Table'!CW76:DH76, LS_Demand_Rates_Restatement!$C$11:$N$11)*1000</f>
        <v>399806.69039730227</v>
      </c>
      <c r="S74" s="213"/>
      <c r="T74" s="213">
        <v>0</v>
      </c>
      <c r="U74" s="213">
        <f>IF('Staging Table'!D76=1, 'Staging Table'!BU76*-1*'Staging Table'!BS76/'Staging Table'!BR76,SUM(O74:T74)*'Staging Table'!BU76*-1)</f>
        <v>-292863.23637169914</v>
      </c>
      <c r="V74" s="211">
        <f>'Staging Table'!BX76*Rates_current!$H$32*-1</f>
        <v>0</v>
      </c>
      <c r="W74" s="211">
        <f>IF('Staging Table'!C76=1,"",SUM(O74:V74))</f>
        <v>2857722.8994182292</v>
      </c>
      <c r="X74" s="211">
        <f>IF('Staging Table'!C76=1,"",(RT1SC!$C$4*'Staging Table'!BS76*'Staging Table'!$BS$2))</f>
        <v>81074.532599675993</v>
      </c>
      <c r="Y74" s="95">
        <f>IF('Staging Table'!C76=1,"",IF(X74=0, 0, W74/X74))</f>
        <v>35.248095891331104</v>
      </c>
      <c r="Z74" s="87">
        <f ca="1">IF('Staging Table'!C76=1,"",(Y74/N74-1)+(RAND()/100000000000))</f>
        <v>-3.8108443369200717E-2</v>
      </c>
      <c r="AA74" s="53">
        <f t="shared" ca="1" si="1"/>
        <v>95</v>
      </c>
      <c r="AD74" s="216"/>
      <c r="AE74" s="216"/>
      <c r="AG74" s="216"/>
      <c r="AH74" s="216"/>
    </row>
    <row r="75" spans="2:34">
      <c r="B75" s="135">
        <v>10231</v>
      </c>
      <c r="C75" s="136" t="s">
        <v>78</v>
      </c>
      <c r="D75" s="211">
        <f>IF(Init!$R$9="Yes",'Staging Table'!F77,'Staging Table'!BS77)*Rates_previous!$E$76*100*12</f>
        <v>12337498.413959999</v>
      </c>
      <c r="E75" s="211">
        <f>IF(Init!$R$9="Yes",'Staging Table'!F77,'Staging Table'!BS77)*Rates_previous!$E$77*100*12</f>
        <v>-1248137.7017999999</v>
      </c>
      <c r="F75" s="212"/>
      <c r="G75" s="212">
        <f>IF(Init!$R$9="Yes",SUMPRODUCT('Staging Table'!AJ77:AU77,LS_Demand_Rates_Restatement!$C$10:$N$10),SUMPRODUCT(LS_Demand_Rates_Restatement!$C$10:$N$10,'Staging Table'!CW77:DH77))*1000</f>
        <v>896777.0413330486</v>
      </c>
      <c r="H75" s="213"/>
      <c r="I75" s="211">
        <f>IF(Init!$R$9="Yes",IF('Staging Table'!$F$1=2020,(SUM('Staging Table'!AX77:BD77)*Rates_previous!$C$87),(SUM('Staging Table'!AX77:BD77)*Rates_previous!$D$87)),IF('Staging Table'!$F$1=2020,(SUM('Staging Table'!DK77:DQ77)*Rates_previous!$C$87),(SUM('Staging Table'!DK77:DQ77)*Rates_previous!$D$87)))</f>
        <v>151346.02485818442</v>
      </c>
      <c r="J75" s="213">
        <f>IF(Init!$R$9="Yes",IF('Staging Table'!D77=1,'Staging Table'!H77*-1*'Staging Table'!F77/'Staging Table'!E77,'Staging Table'!H77*SUM(D75:I75)*(-1)),IF('Staging Table'!D77=1,'Staging Table'!BU77*-1*'Staging Table'!BS77/'Staging Table'!BR77,'Staging Table'!BU77*SUM(D75:I75)*(-1)))</f>
        <v>-1030755.7970912823</v>
      </c>
      <c r="K75" s="211">
        <f>IF(Init!$R$9="Yes",'Staging Table'!K77,'Staging Table'!BX77)*(-1)*Rates_previous!$H$32</f>
        <v>-240339.61918999997</v>
      </c>
      <c r="L75" s="211">
        <f>IF('Staging Table'!C77=1,"",SUM(D75:K75))</f>
        <v>10866388.36206995</v>
      </c>
      <c r="M75" s="211">
        <f>IF('Staging Table'!C77=1,"",IF(Init!$R$9="Yes",(RT1SC!$C$3*'Staging Table'!F77*'Staging Table'!$F$2),X75))</f>
        <v>320308.07023226877</v>
      </c>
      <c r="N75" s="95">
        <f>IF('Staging Table'!C77=1,"",IF(M75=0, 0, L75/M75))</f>
        <v>33.924803562365057</v>
      </c>
      <c r="O75" s="211">
        <f>'Staging Table'!BS77*Rates_current!$E$76*100*12</f>
        <v>12448781.066415986</v>
      </c>
      <c r="P75" s="211">
        <f>'Staging Table'!BS77*Rates_current!$E$77*100*12</f>
        <v>-2055323.6248426088</v>
      </c>
      <c r="Q75" s="212"/>
      <c r="R75" s="212">
        <f>SUMPRODUCT('Staging Table'!CW77:DH77, LS_Demand_Rates_Restatement!$C$11:$N$11)*1000</f>
        <v>123891.74447849917</v>
      </c>
      <c r="S75" s="213"/>
      <c r="T75" s="213">
        <v>0</v>
      </c>
      <c r="U75" s="213">
        <f>IF('Staging Table'!D77=1, 'Staging Table'!BU77*-1*'Staging Table'!BS77/'Staging Table'!BR77,SUM(O75:T75)*'Staging Table'!BU77*-1)</f>
        <v>-948411.11353852134</v>
      </c>
      <c r="V75" s="211">
        <f>'Staging Table'!BX77*Rates_current!$H$32*-1</f>
        <v>-235796.74609999999</v>
      </c>
      <c r="W75" s="211">
        <f>IF('Staging Table'!C77=1,"",SUM(O75:V75))</f>
        <v>9333141.3264133576</v>
      </c>
      <c r="X75" s="211">
        <f>IF('Staging Table'!C77=1,"",(RT1SC!$C$4*'Staging Table'!BS77*'Staging Table'!$BS$2))</f>
        <v>306329.43167492398</v>
      </c>
      <c r="Y75" s="95">
        <f>IF('Staging Table'!C77=1,"",IF(X75=0, 0, W75/X75))</f>
        <v>30.467661156103549</v>
      </c>
      <c r="Z75" s="87">
        <f ca="1">IF('Staging Table'!C77=1,"",(Y75/N75-1)+(RAND()/100000000000))</f>
        <v>-0.10190604050543306</v>
      </c>
      <c r="AA75" s="53">
        <f t="shared" ca="1" si="1"/>
        <v>118</v>
      </c>
      <c r="AD75" s="216"/>
      <c r="AE75" s="216"/>
      <c r="AG75" s="216"/>
      <c r="AH75" s="216"/>
    </row>
    <row r="76" spans="2:34">
      <c r="B76" s="135">
        <v>10234</v>
      </c>
      <c r="C76" s="136" t="s">
        <v>79</v>
      </c>
      <c r="D76" s="211">
        <f>IF(Init!$R$9="Yes",'Staging Table'!F78,'Staging Table'!BS78)*Rates_previous!$E$76*100*12</f>
        <v>17163551.520120002</v>
      </c>
      <c r="E76" s="211">
        <f>IF(Init!$R$9="Yes",'Staging Table'!F78,'Staging Table'!BS78)*Rates_previous!$E$77*100*12</f>
        <v>-1736371.1046000002</v>
      </c>
      <c r="F76" s="212"/>
      <c r="G76" s="212">
        <f>IF(Init!$R$9="Yes",SUMPRODUCT('Staging Table'!AJ78:AU78,LS_Demand_Rates_Restatement!$C$10:$N$10),SUMPRODUCT(LS_Demand_Rates_Restatement!$C$10:$N$10,'Staging Table'!CW78:DH78))*1000</f>
        <v>1351749.309472614</v>
      </c>
      <c r="H76" s="213"/>
      <c r="I76" s="211">
        <f>IF(Init!$R$9="Yes",IF('Staging Table'!$F$1=2020,(SUM('Staging Table'!AX78:BD78)*Rates_previous!$C$87),(SUM('Staging Table'!AX78:BD78)*Rates_previous!$D$87)),IF('Staging Table'!$F$1=2020,(SUM('Staging Table'!DK78:DQ78)*Rates_previous!$C$87),(SUM('Staging Table'!DK78:DQ78)*Rates_previous!$D$87)))</f>
        <v>210547.97397822249</v>
      </c>
      <c r="J76" s="213">
        <f>IF(Init!$R$9="Yes",IF('Staging Table'!D78=1,'Staging Table'!H78*-1*'Staging Table'!F78/'Staging Table'!E78,'Staging Table'!H78*SUM(D76:I76)*(-1)),IF('Staging Table'!D78=1,'Staging Table'!BU78*-1*'Staging Table'!BS78/'Staging Table'!BR78,'Staging Table'!BU78*SUM(D76:I76)*(-1)))</f>
        <v>-920407.10611674981</v>
      </c>
      <c r="K76" s="211">
        <f>IF(Init!$R$9="Yes",'Staging Table'!K78,'Staging Table'!BX78)*(-1)*Rates_previous!$H$32</f>
        <v>0</v>
      </c>
      <c r="L76" s="211">
        <f>IF('Staging Table'!C78=1,"",SUM(D76:K76))</f>
        <v>16069070.592854086</v>
      </c>
      <c r="M76" s="211">
        <f>IF('Staging Table'!C78=1,"",IF(Init!$R$9="Yes",(RT1SC!$C$3*'Staging Table'!F78*'Staging Table'!$F$2),X76))</f>
        <v>445602.8184385536</v>
      </c>
      <c r="N76" s="95">
        <f>IF('Staging Table'!C78=1,"",IF(M76=0, 0, L76/M76))</f>
        <v>36.061420457711783</v>
      </c>
      <c r="O76" s="211">
        <f>'Staging Table'!BS78*Rates_current!$E$76*100*12</f>
        <v>17318364.552279156</v>
      </c>
      <c r="P76" s="211">
        <f>'Staging Table'!BS78*Rates_current!$E$77*100*12</f>
        <v>-2859303.5428957003</v>
      </c>
      <c r="Q76" s="212"/>
      <c r="R76" s="212">
        <f>SUMPRODUCT('Staging Table'!CW78:DH78, LS_Demand_Rates_Restatement!$C$11:$N$11)*1000</f>
        <v>1273445.6579748576</v>
      </c>
      <c r="S76" s="213"/>
      <c r="T76" s="213">
        <v>0</v>
      </c>
      <c r="U76" s="213">
        <f>IF('Staging Table'!D78=1, 'Staging Table'!BU78*-1*'Staging Table'!BS78/'Staging Table'!BR78,SUM(O76:T76)*'Staging Table'!BU78*-1)</f>
        <v>-1045431.6652983859</v>
      </c>
      <c r="V76" s="211">
        <f>'Staging Table'!BX78*Rates_current!$H$32*-1</f>
        <v>0</v>
      </c>
      <c r="W76" s="211">
        <f>IF('Staging Table'!C78=1,"",SUM(O76:V76))</f>
        <v>14687075.002059927</v>
      </c>
      <c r="X76" s="211">
        <f>IF('Staging Table'!C78=1,"",(RT1SC!$C$4*'Staging Table'!BS78*'Staging Table'!$BS$2))</f>
        <v>426156.16280302801</v>
      </c>
      <c r="Y76" s="95">
        <f>IF('Staging Table'!C78=1,"",IF(X76=0, 0, W76/X76))</f>
        <v>34.46406806710521</v>
      </c>
      <c r="Z76" s="87">
        <f ca="1">IF('Staging Table'!C78=1,"",(Y76/N76-1)+(RAND()/100000000000))</f>
        <v>-4.4295326418271559E-2</v>
      </c>
      <c r="AA76" s="53">
        <f t="shared" ca="1" si="1"/>
        <v>111</v>
      </c>
      <c r="AD76" s="216"/>
      <c r="AE76" s="216"/>
      <c r="AG76" s="216"/>
      <c r="AH76" s="216"/>
    </row>
    <row r="77" spans="2:34">
      <c r="B77" s="135">
        <v>10235</v>
      </c>
      <c r="C77" s="136" t="s">
        <v>80</v>
      </c>
      <c r="D77" s="211">
        <f>IF(Init!$R$9="Yes",'Staging Table'!F79,'Staging Table'!BS79)*Rates_previous!$E$76*100*12</f>
        <v>10634381.278200001</v>
      </c>
      <c r="E77" s="211">
        <f>IF(Init!$R$9="Yes",'Staging Table'!F79,'Staging Table'!BS79)*Rates_previous!$E$77*100*12</f>
        <v>-1075839.831</v>
      </c>
      <c r="F77" s="212"/>
      <c r="G77" s="212">
        <f>IF(Init!$R$9="Yes",SUMPRODUCT('Staging Table'!AJ79:AU79,LS_Demand_Rates_Restatement!$C$10:$N$10),SUMPRODUCT(LS_Demand_Rates_Restatement!$C$10:$N$10,'Staging Table'!CW79:DH79))*1000</f>
        <v>536284.30148664524</v>
      </c>
      <c r="H77" s="213"/>
      <c r="I77" s="211">
        <f>IF(Init!$R$9="Yes",IF('Staging Table'!$F$1=2020,(SUM('Staging Table'!AX79:BD79)*Rates_previous!$C$87),(SUM('Staging Table'!AX79:BD79)*Rates_previous!$D$87)),IF('Staging Table'!$F$1=2020,(SUM('Staging Table'!DK79:DQ79)*Rates_previous!$C$87),(SUM('Staging Table'!DK79:DQ79)*Rates_previous!$D$87)))</f>
        <v>130453.62027854336</v>
      </c>
      <c r="J77" s="213">
        <f>IF(Init!$R$9="Yes",IF('Staging Table'!D79=1,'Staging Table'!H79*-1*'Staging Table'!F79/'Staging Table'!E79,'Staging Table'!H79*SUM(D77:I77)*(-1)),IF('Staging Table'!D79=1,'Staging Table'!BU79*-1*'Staging Table'!BS79/'Staging Table'!BR79,'Staging Table'!BU79*SUM(D77:I77)*(-1)))</f>
        <v>0</v>
      </c>
      <c r="K77" s="211">
        <f>IF(Init!$R$9="Yes",'Staging Table'!K79,'Staging Table'!BX79)*(-1)*Rates_previous!$H$32</f>
        <v>0</v>
      </c>
      <c r="L77" s="211">
        <f>IF('Staging Table'!C79=1,"",SUM(D77:K77))</f>
        <v>10225279.368965188</v>
      </c>
      <c r="M77" s="211">
        <f>IF('Staging Table'!C79=1,"",IF(Init!$R$9="Yes",(RT1SC!$C$3*'Staging Table'!F79*'Staging Table'!$F$2),X77))</f>
        <v>276091.47584409598</v>
      </c>
      <c r="N77" s="95">
        <f>IF('Staging Table'!C79=1,"",IF(M77=0, 0, L77/M77))</f>
        <v>37.035838711439332</v>
      </c>
      <c r="O77" s="211">
        <f>'Staging Table'!BS79*Rates_current!$E$76*100*12</f>
        <v>10920471.426141882</v>
      </c>
      <c r="P77" s="211">
        <f>'Staging Table'!BS79*Rates_current!$E$77*100*12</f>
        <v>-1802996.0360633146</v>
      </c>
      <c r="Q77" s="212"/>
      <c r="R77" s="212">
        <f>SUMPRODUCT('Staging Table'!CW79:DH79, LS_Demand_Rates_Restatement!$C$11:$N$11)*1000</f>
        <v>490324.52277326386</v>
      </c>
      <c r="S77" s="213"/>
      <c r="T77" s="213">
        <v>0</v>
      </c>
      <c r="U77" s="213">
        <f>IF('Staging Table'!D79=1, 'Staging Table'!BU79*-1*'Staging Table'!BS79/'Staging Table'!BR79,SUM(O77:T77)*'Staging Table'!BU79*-1)</f>
        <v>0</v>
      </c>
      <c r="V77" s="211">
        <f>'Staging Table'!BX79*Rates_current!$H$32*-1</f>
        <v>0</v>
      </c>
      <c r="W77" s="211">
        <f>IF('Staging Table'!C79=1,"",SUM(O77:V77))</f>
        <v>9607799.9128518309</v>
      </c>
      <c r="X77" s="211">
        <f>IF('Staging Table'!C79=1,"",(RT1SC!$C$4*'Staging Table'!BS79*'Staging Table'!$BS$2))</f>
        <v>268722.03694039205</v>
      </c>
      <c r="Y77" s="95">
        <f>IF('Staging Table'!C79=1,"",IF(X77=0, 0, W77/X77))</f>
        <v>35.753673283531391</v>
      </c>
      <c r="Z77" s="87">
        <f ca="1">IF('Staging Table'!C79=1,"",(Y77/N77-1)+(RAND()/100000000000))</f>
        <v>-3.4619586662122927E-2</v>
      </c>
      <c r="AA77" s="53">
        <f t="shared" ca="1" si="1"/>
        <v>63</v>
      </c>
      <c r="AD77" s="216"/>
      <c r="AE77" s="216"/>
      <c r="AG77" s="216"/>
      <c r="AH77" s="216"/>
    </row>
    <row r="78" spans="2:34">
      <c r="B78" s="135">
        <v>10236</v>
      </c>
      <c r="C78" s="136" t="s">
        <v>81</v>
      </c>
      <c r="D78" s="211">
        <f>IF(Init!$R$9="Yes",'Staging Table'!F80,'Staging Table'!BS80)*Rates_previous!$E$76*100*12</f>
        <v>9283248.0216000006</v>
      </c>
      <c r="E78" s="211">
        <f>IF(Init!$R$9="Yes",'Staging Table'!F80,'Staging Table'!BS80)*Rates_previous!$E$77*100*12</f>
        <v>-939150.82799999998</v>
      </c>
      <c r="F78" s="212"/>
      <c r="G78" s="212">
        <f>IF(Init!$R$9="Yes",SUMPRODUCT('Staging Table'!AJ80:AU80,LS_Demand_Rates_Restatement!$C$10:$N$10),SUMPRODUCT(LS_Demand_Rates_Restatement!$C$10:$N$10,'Staging Table'!CW80:DH80))*1000</f>
        <v>0</v>
      </c>
      <c r="H78" s="213"/>
      <c r="I78" s="211">
        <f>IF(Init!$R$9="Yes",IF('Staging Table'!$F$1=2020,(SUM('Staging Table'!AX80:BD80)*Rates_previous!$C$87),(SUM('Staging Table'!AX80:BD80)*Rates_previous!$D$87)),IF('Staging Table'!$F$1=2020,(SUM('Staging Table'!DK80:DQ80)*Rates_previous!$C$87),(SUM('Staging Table'!DK80:DQ80)*Rates_previous!$D$87)))</f>
        <v>113879.05705844011</v>
      </c>
      <c r="J78" s="213">
        <f>IF(Init!$R$9="Yes",IF('Staging Table'!D80=1,'Staging Table'!H80*-1*'Staging Table'!F80/'Staging Table'!E80,'Staging Table'!H80*SUM(D78:I78)*(-1)),IF('Staging Table'!D80=1,'Staging Table'!BU80*-1*'Staging Table'!BS80/'Staging Table'!BR80,'Staging Table'!BU80*SUM(D78:I78)*(-1)))</f>
        <v>-549768.45629279874</v>
      </c>
      <c r="K78" s="211">
        <f>IF(Init!$R$9="Yes",'Staging Table'!K80,'Staging Table'!BX80)*(-1)*Rates_previous!$H$32</f>
        <v>0</v>
      </c>
      <c r="L78" s="211" t="str">
        <f>IF('Staging Table'!C80=1,"",SUM(D78:K78))</f>
        <v/>
      </c>
      <c r="M78" s="211" t="str">
        <f>IF('Staging Table'!C80=1,"",IF(Init!$R$9="Yes",(RT1SC!$C$3*'Staging Table'!F80*'Staging Table'!$F$2),X78))</f>
        <v/>
      </c>
      <c r="N78" s="95" t="str">
        <f>IF('Staging Table'!C80=1,"",IF(M78=0, 0, L78/M78))</f>
        <v/>
      </c>
      <c r="O78" s="211">
        <f>'Staging Table'!BS80*Rates_current!$E$76*100*12</f>
        <v>9747080.7043685876</v>
      </c>
      <c r="P78" s="211">
        <f>'Staging Table'!BS80*Rates_current!$E$77*100*12</f>
        <v>-1609266.4123543729</v>
      </c>
      <c r="Q78" s="212"/>
      <c r="R78" s="212">
        <f>SUMPRODUCT('Staging Table'!CW80:DH80, LS_Demand_Rates_Restatement!$C$11:$N$11)*1000</f>
        <v>0</v>
      </c>
      <c r="S78" s="213"/>
      <c r="T78" s="213">
        <v>0</v>
      </c>
      <c r="U78" s="213">
        <f>IF('Staging Table'!D80=1, 'Staging Table'!BU80*-1*'Staging Table'!BS80/'Staging Table'!BR80,SUM(O78:T78)*'Staging Table'!BU80*-1)</f>
        <v>-528957.92898092396</v>
      </c>
      <c r="V78" s="211">
        <f>'Staging Table'!BX80*Rates_current!$H$32*-1</f>
        <v>0</v>
      </c>
      <c r="W78" s="211" t="str">
        <f>IF('Staging Table'!C80=1,"",SUM(O78:V78))</f>
        <v/>
      </c>
      <c r="X78" s="211" t="str">
        <f>IF('Staging Table'!C80=1,"",(RT1SC!$C$4*'Staging Table'!BS80*'Staging Table'!$BS$2))</f>
        <v/>
      </c>
      <c r="Y78" s="95" t="str">
        <f>IF('Staging Table'!C80=1,"",IF(X78=0, 0, W78/X78))</f>
        <v/>
      </c>
      <c r="Z78" s="87" t="str">
        <f ca="1">IF('Staging Table'!C80=1,"",(Y78/N78-1)+(RAND()/100000000000))</f>
        <v/>
      </c>
      <c r="AA78" s="53" t="str">
        <f t="shared" ca="1" si="1"/>
        <v/>
      </c>
      <c r="AD78" s="216"/>
      <c r="AE78" s="216"/>
      <c r="AG78" s="216"/>
      <c r="AH78" s="216"/>
    </row>
    <row r="79" spans="2:34">
      <c r="B79" s="135">
        <v>10237</v>
      </c>
      <c r="C79" s="136" t="s">
        <v>82</v>
      </c>
      <c r="D79" s="211">
        <f>IF(Init!$R$9="Yes",'Staging Table'!F81,'Staging Table'!BS81)*Rates_previous!$E$76*100*12</f>
        <v>12576590.772119999</v>
      </c>
      <c r="E79" s="211">
        <f>IF(Init!$R$9="Yes",'Staging Table'!F81,'Staging Table'!BS81)*Rates_previous!$E$77*100*12</f>
        <v>-1272325.7646000001</v>
      </c>
      <c r="F79" s="212"/>
      <c r="G79" s="212">
        <f>IF(Init!$R$9="Yes",SUMPRODUCT('Staging Table'!AJ81:AU81,LS_Demand_Rates_Restatement!$C$10:$N$10),SUMPRODUCT(LS_Demand_Rates_Restatement!$C$10:$N$10,'Staging Table'!CW81:DH81))*1000</f>
        <v>0</v>
      </c>
      <c r="H79" s="213"/>
      <c r="I79" s="211">
        <f>IF(Init!$R$9="Yes",IF('Staging Table'!$F$1=2020,(SUM('Staging Table'!AX81:BD81)*Rates_previous!$C$87),(SUM('Staging Table'!AX81:BD81)*Rates_previous!$D$87)),IF('Staging Table'!$F$1=2020,(SUM('Staging Table'!DK81:DQ81)*Rates_previous!$C$87),(SUM('Staging Table'!DK81:DQ81)*Rates_previous!$D$87)))</f>
        <v>154279.00825298196</v>
      </c>
      <c r="J79" s="213">
        <f>IF(Init!$R$9="Yes",IF('Staging Table'!D81=1,'Staging Table'!H81*-1*'Staging Table'!F81/'Staging Table'!E81,'Staging Table'!H81*SUM(D79:I79)*(-1)),IF('Staging Table'!D81=1,'Staging Table'!BU81*-1*'Staging Table'!BS81/'Staging Table'!BR81,'Staging Table'!BU81*SUM(D79:I79)*(-1)))</f>
        <v>-639415.97019434092</v>
      </c>
      <c r="K79" s="211">
        <f>IF(Init!$R$9="Yes",'Staging Table'!K81,'Staging Table'!BX81)*(-1)*Rates_previous!$H$32</f>
        <v>0</v>
      </c>
      <c r="L79" s="211">
        <f>IF('Staging Table'!C81=1,"",SUM(D79:K79))</f>
        <v>10819128.04557864</v>
      </c>
      <c r="M79" s="211">
        <f>IF('Staging Table'!C81=1,"",IF(Init!$R$9="Yes",(RT1SC!$C$3*'Staging Table'!F81*'Staging Table'!$F$2),X79))</f>
        <v>326515.4235611136</v>
      </c>
      <c r="N79" s="95">
        <f>IF('Staging Table'!C81=1,"",IF(M79=0, 0, L79/M79))</f>
        <v>33.13512093113615</v>
      </c>
      <c r="O79" s="211">
        <f>'Staging Table'!BS81*Rates_current!$E$76*100*12</f>
        <v>14320019.121187497</v>
      </c>
      <c r="P79" s="211">
        <f>'Staging Table'!BS81*Rates_current!$E$77*100*12</f>
        <v>-2364269.5177101493</v>
      </c>
      <c r="Q79" s="212"/>
      <c r="R79" s="212">
        <f>SUMPRODUCT('Staging Table'!CW81:DH81, LS_Demand_Rates_Restatement!$C$11:$N$11)*1000</f>
        <v>0</v>
      </c>
      <c r="S79" s="213"/>
      <c r="T79" s="213">
        <v>0</v>
      </c>
      <c r="U79" s="213">
        <f>IF('Staging Table'!D81=1, 'Staging Table'!BU81*-1*'Staging Table'!BS81/'Staging Table'!BR81,SUM(O79:T79)*'Staging Table'!BU81*-1)</f>
        <v>-690060.47688139603</v>
      </c>
      <c r="V79" s="211">
        <f>'Staging Table'!BX81*Rates_current!$H$32*-1</f>
        <v>0</v>
      </c>
      <c r="W79" s="211">
        <f>IF('Staging Table'!C81=1,"",SUM(O79:V79))</f>
        <v>11265689.126595952</v>
      </c>
      <c r="X79" s="211">
        <f>IF('Staging Table'!C81=1,"",(RT1SC!$C$4*'Staging Table'!BS81*'Staging Table'!$BS$2))</f>
        <v>352375.32860157604</v>
      </c>
      <c r="Y79" s="95">
        <f>IF('Staging Table'!C81=1,"",IF(X79=0, 0, W79/X79))</f>
        <v>31.970709105272942</v>
      </c>
      <c r="Z79" s="87">
        <f ca="1">IF('Staging Table'!C81=1,"",(Y79/N79-1)+(RAND()/100000000000))</f>
        <v>-3.5141318126177254E-2</v>
      </c>
      <c r="AA79" s="53">
        <f t="shared" ca="1" si="1"/>
        <v>72</v>
      </c>
      <c r="AD79" s="216"/>
      <c r="AE79" s="216"/>
      <c r="AG79" s="216"/>
      <c r="AH79" s="216"/>
    </row>
    <row r="80" spans="2:34">
      <c r="B80" s="135">
        <v>10239</v>
      </c>
      <c r="C80" s="136" t="s">
        <v>83</v>
      </c>
      <c r="D80" s="211">
        <f>IF(Init!$R$9="Yes",'Staging Table'!F82,'Staging Table'!BS82)*Rates_previous!$E$76*100*12</f>
        <v>4711735.5870000003</v>
      </c>
      <c r="E80" s="211">
        <f>IF(Init!$R$9="Yes",'Staging Table'!F82,'Staging Table'!BS82)*Rates_previous!$E$77*100*12</f>
        <v>-476668.33500000002</v>
      </c>
      <c r="F80" s="212"/>
      <c r="G80" s="212">
        <f>IF(Init!$R$9="Yes",SUMPRODUCT('Staging Table'!AJ82:AU82,LS_Demand_Rates_Restatement!$C$10:$N$10),SUMPRODUCT(LS_Demand_Rates_Restatement!$C$10:$N$10,'Staging Table'!CW82:DH82))*1000</f>
        <v>0</v>
      </c>
      <c r="H80" s="213"/>
      <c r="I80" s="211">
        <f>IF(Init!$R$9="Yes",IF('Staging Table'!$F$1=2020,(SUM('Staging Table'!AX82:BD82)*Rates_previous!$C$87),(SUM('Staging Table'!AX82:BD82)*Rates_previous!$D$87)),IF('Staging Table'!$F$1=2020,(SUM('Staging Table'!DK82:DQ82)*Rates_previous!$C$87),(SUM('Staging Table'!DK82:DQ82)*Rates_previous!$D$87)))</f>
        <v>57799.598212585137</v>
      </c>
      <c r="J80" s="213">
        <f>IF(Init!$R$9="Yes",IF('Staging Table'!D82=1,'Staging Table'!H82*-1*'Staging Table'!F82/'Staging Table'!E82,'Staging Table'!H82*SUM(D80:I80)*(-1)),IF('Staging Table'!D82=1,'Staging Table'!BU82*-1*'Staging Table'!BS82/'Staging Table'!BR82,'Staging Table'!BU82*SUM(D80:I80)*(-1)))</f>
        <v>-300716.46342951182</v>
      </c>
      <c r="K80" s="211">
        <f>IF(Init!$R$9="Yes",'Staging Table'!K82,'Staging Table'!BX82)*(-1)*Rates_previous!$H$32</f>
        <v>0</v>
      </c>
      <c r="L80" s="211" t="str">
        <f>IF('Staging Table'!C82=1,"",SUM(D80:K80))</f>
        <v/>
      </c>
      <c r="M80" s="211" t="str">
        <f>IF('Staging Table'!C82=1,"",IF(Init!$R$9="Yes",(RT1SC!$C$3*'Staging Table'!F82*'Staging Table'!$F$2),X80))</f>
        <v/>
      </c>
      <c r="N80" s="95" t="str">
        <f>IF('Staging Table'!C82=1,"",IF(M80=0, 0, L80/M80))</f>
        <v/>
      </c>
      <c r="O80" s="211">
        <f>'Staging Table'!BS82*Rates_current!$E$76*100*12</f>
        <v>4754234.8373504058</v>
      </c>
      <c r="P80" s="211">
        <f>'Staging Table'!BS82*Rates_current!$E$77*100*12</f>
        <v>-784935.57940522663</v>
      </c>
      <c r="Q80" s="212"/>
      <c r="R80" s="212">
        <f>SUMPRODUCT('Staging Table'!CW82:DH82, LS_Demand_Rates_Restatement!$C$11:$N$11)*1000</f>
        <v>0</v>
      </c>
      <c r="S80" s="213"/>
      <c r="T80" s="213">
        <v>0</v>
      </c>
      <c r="U80" s="213">
        <f>IF('Staging Table'!D82=1, 'Staging Table'!BU82*-1*'Staging Table'!BS82/'Staging Table'!BR82,SUM(O80:T80)*'Staging Table'!BU82*-1)</f>
        <v>-304939.0749276806</v>
      </c>
      <c r="V80" s="211">
        <f>'Staging Table'!BX82*Rates_current!$H$32*-1</f>
        <v>0</v>
      </c>
      <c r="W80" s="211" t="str">
        <f>IF('Staging Table'!C82=1,"",SUM(O80:V80))</f>
        <v/>
      </c>
      <c r="X80" s="211" t="str">
        <f>IF('Staging Table'!C82=1,"",(RT1SC!$C$4*'Staging Table'!BS82*'Staging Table'!$BS$2))</f>
        <v/>
      </c>
      <c r="Y80" s="95" t="str">
        <f>IF('Staging Table'!C82=1,"",IF(X80=0, 0, W80/X80))</f>
        <v/>
      </c>
      <c r="Z80" s="87" t="str">
        <f ca="1">IF('Staging Table'!C82=1,"",(Y80/N80-1)+(RAND()/100000000000))</f>
        <v/>
      </c>
      <c r="AA80" s="53" t="str">
        <f t="shared" ca="1" si="1"/>
        <v/>
      </c>
      <c r="AD80" s="216"/>
      <c r="AE80" s="216"/>
      <c r="AG80" s="216"/>
      <c r="AH80" s="216"/>
    </row>
    <row r="81" spans="2:34">
      <c r="B81" s="135">
        <v>10242</v>
      </c>
      <c r="C81" s="136" t="s">
        <v>84</v>
      </c>
      <c r="D81" s="211">
        <f>IF(Init!$R$9="Yes",'Staging Table'!F83,'Staging Table'!BS83)*Rates_previous!$E$76*100*12</f>
        <v>3205643.8636800004</v>
      </c>
      <c r="E81" s="211">
        <f>IF(Init!$R$9="Yes",'Staging Table'!F83,'Staging Table'!BS83)*Rates_previous!$E$77*100*12</f>
        <v>-324302.77439999999</v>
      </c>
      <c r="F81" s="212"/>
      <c r="G81" s="212">
        <f>IF(Init!$R$9="Yes",SUMPRODUCT('Staging Table'!AJ83:AU83,LS_Demand_Rates_Restatement!$C$10:$N$10),SUMPRODUCT(LS_Demand_Rates_Restatement!$C$10:$N$10,'Staging Table'!CW83:DH83))*1000</f>
        <v>175495.64823985039</v>
      </c>
      <c r="H81" s="213"/>
      <c r="I81" s="211">
        <f>IF(Init!$R$9="Yes",IF('Staging Table'!$F$1=2020,(SUM('Staging Table'!AX83:BD83)*Rates_previous!$C$87),(SUM('Staging Table'!AX83:BD83)*Rates_previous!$D$87)),IF('Staging Table'!$F$1=2020,(SUM('Staging Table'!DK83:DQ83)*Rates_previous!$C$87),(SUM('Staging Table'!DK83:DQ83)*Rates_previous!$D$87)))</f>
        <v>39324.135217722491</v>
      </c>
      <c r="J81" s="213">
        <f>IF(Init!$R$9="Yes",IF('Staging Table'!D83=1,'Staging Table'!H83*-1*'Staging Table'!F83/'Staging Table'!E83,'Staging Table'!H83*SUM(D81:I81)*(-1)),IF('Staging Table'!D83=1,'Staging Table'!BU83*-1*'Staging Table'!BS83/'Staging Table'!BR83,'Staging Table'!BU83*SUM(D81:I81)*(-1)))</f>
        <v>-226841.57427395211</v>
      </c>
      <c r="K81" s="211">
        <f>IF(Init!$R$9="Yes",'Staging Table'!K83,'Staging Table'!BX83)*(-1)*Rates_previous!$H$32</f>
        <v>-417279.31234</v>
      </c>
      <c r="L81" s="211">
        <f>IF('Staging Table'!C83=1,"",SUM(D81:K81))</f>
        <v>2452039.986123621</v>
      </c>
      <c r="M81" s="211">
        <f>IF('Staging Table'!C83=1,"",IF(Init!$R$9="Yes",(RT1SC!$C$3*'Staging Table'!F83*'Staging Table'!$F$2),X81))</f>
        <v>83225.429124710397</v>
      </c>
      <c r="N81" s="95">
        <f>IF('Staging Table'!C83=1,"",IF(M81=0, 0, L81/M81))</f>
        <v>29.462629534169476</v>
      </c>
      <c r="O81" s="211">
        <f>'Staging Table'!BS83*Rates_current!$E$76*100*12</f>
        <v>3234798.1700388212</v>
      </c>
      <c r="P81" s="211">
        <f>'Staging Table'!BS83*Rates_current!$E$77*100*12</f>
        <v>-534072.93975269119</v>
      </c>
      <c r="Q81" s="212"/>
      <c r="R81" s="212">
        <f>SUMPRODUCT('Staging Table'!CW83:DH83, LS_Demand_Rates_Restatement!$C$11:$N$11)*1000</f>
        <v>166406.47377817842</v>
      </c>
      <c r="S81" s="213"/>
      <c r="T81" s="213">
        <v>0</v>
      </c>
      <c r="U81" s="213">
        <f>IF('Staging Table'!D83=1, 'Staging Table'!BU83*-1*'Staging Table'!BS83/'Staging Table'!BR83,SUM(O81:T81)*'Staging Table'!BU83*-1)</f>
        <v>-212868.83189875938</v>
      </c>
      <c r="V81" s="211">
        <f>'Staging Table'!BX83*Rates_current!$H$32*-1</f>
        <v>-409391.94459999999</v>
      </c>
      <c r="W81" s="211">
        <f>IF('Staging Table'!C83=1,"",SUM(O81:V81))</f>
        <v>2244870.9275655486</v>
      </c>
      <c r="X81" s="211">
        <f>IF('Staging Table'!C83=1,"",(RT1SC!$C$4*'Staging Table'!BS83*'Staging Table'!$BS$2))</f>
        <v>79599.269978676006</v>
      </c>
      <c r="Y81" s="95">
        <f>IF('Staging Table'!C83=1,"",IF(X81=0, 0, W81/X81))</f>
        <v>28.202154720350215</v>
      </c>
      <c r="Z81" s="87">
        <f ca="1">IF('Staging Table'!C83=1,"",(Y81/N81-1)+(RAND()/100000000000))</f>
        <v>-4.2782156022750976E-2</v>
      </c>
      <c r="AA81" s="53">
        <f t="shared" ca="1" si="1"/>
        <v>109</v>
      </c>
      <c r="AD81" s="216"/>
      <c r="AE81" s="216"/>
      <c r="AG81" s="216"/>
      <c r="AH81" s="216"/>
    </row>
    <row r="82" spans="2:34">
      <c r="B82" s="135">
        <v>10244</v>
      </c>
      <c r="C82" s="136" t="s">
        <v>85</v>
      </c>
      <c r="D82" s="211">
        <f>IF(Init!$R$9="Yes",'Staging Table'!F84,'Staging Table'!BS84)*Rates_previous!$E$76*100*12</f>
        <v>28955605.637879997</v>
      </c>
      <c r="E82" s="211">
        <f>IF(Init!$R$9="Yes",'Staging Table'!F84,'Staging Table'!BS84)*Rates_previous!$E$77*100*12</f>
        <v>-2929328.2853999999</v>
      </c>
      <c r="F82" s="212"/>
      <c r="G82" s="212">
        <f>IF(Init!$R$9="Yes",SUMPRODUCT('Staging Table'!AJ84:AU84,LS_Demand_Rates_Restatement!$C$10:$N$10),SUMPRODUCT(LS_Demand_Rates_Restatement!$C$10:$N$10,'Staging Table'!CW84:DH84))*1000</f>
        <v>2251964.0692417389</v>
      </c>
      <c r="H82" s="213"/>
      <c r="I82" s="211">
        <f>IF(Init!$R$9="Yes",IF('Staging Table'!$F$1=2020,(SUM('Staging Table'!AX84:BD84)*Rates_previous!$C$87),(SUM('Staging Table'!AX84:BD84)*Rates_previous!$D$87)),IF('Staging Table'!$F$1=2020,(SUM('Staging Table'!DK84:DQ84)*Rates_previous!$C$87),(SUM('Staging Table'!DK84:DQ84)*Rates_previous!$D$87)))</f>
        <v>355202.94824887183</v>
      </c>
      <c r="J82" s="213">
        <f>IF(Init!$R$9="Yes",IF('Staging Table'!D84=1,'Staging Table'!H84*-1*'Staging Table'!F84/'Staging Table'!E84,'Staging Table'!H84*SUM(D82:I82)*(-1)),IF('Staging Table'!D84=1,'Staging Table'!BU84*-1*'Staging Table'!BS84/'Staging Table'!BR84,'Staging Table'!BU84*SUM(D82:I82)*(-1)))</f>
        <v>-1777569.0577249131</v>
      </c>
      <c r="K82" s="211">
        <f>IF(Init!$R$9="Yes",'Staging Table'!K84,'Staging Table'!BX84)*(-1)*Rates_previous!$H$32</f>
        <v>0</v>
      </c>
      <c r="L82" s="211">
        <f>IF('Staging Table'!C84=1,"",SUM(D82:K82))</f>
        <v>26855875.312245697</v>
      </c>
      <c r="M82" s="211">
        <f>IF('Staging Table'!C84=1,"",IF(Init!$R$9="Yes",(RT1SC!$C$3*'Staging Table'!F84*'Staging Table'!$F$2),X82))</f>
        <v>751749.97824368638</v>
      </c>
      <c r="N82" s="95">
        <f>IF('Staging Table'!C84=1,"",IF(M82=0, 0, L82/M82))</f>
        <v>35.724477671404905</v>
      </c>
      <c r="O82" s="211">
        <f>'Staging Table'!BS84*Rates_current!$E$76*100*12</f>
        <v>29216781.484938815</v>
      </c>
      <c r="P82" s="211">
        <f>'Staging Table'!BS84*Rates_current!$E$77*100*12</f>
        <v>-4823760.7286596205</v>
      </c>
      <c r="Q82" s="212"/>
      <c r="R82" s="212">
        <f>SUMPRODUCT('Staging Table'!CW84:DH84, LS_Demand_Rates_Restatement!$C$11:$N$11)*1000</f>
        <v>2046589.4547575235</v>
      </c>
      <c r="S82" s="213"/>
      <c r="T82" s="213">
        <v>0</v>
      </c>
      <c r="U82" s="213">
        <f>IF('Staging Table'!D84=1, 'Staging Table'!BU84*-1*'Staging Table'!BS84/'Staging Table'!BR84,SUM(O82:T82)*'Staging Table'!BU84*-1)</f>
        <v>-1896940.7953289628</v>
      </c>
      <c r="V82" s="211">
        <f>'Staging Table'!BX84*Rates_current!$H$32*-1</f>
        <v>0</v>
      </c>
      <c r="W82" s="211">
        <f>IF('Staging Table'!C84=1,"",SUM(O82:V82))</f>
        <v>24542669.415707752</v>
      </c>
      <c r="X82" s="211">
        <f>IF('Staging Table'!C84=1,"",(RT1SC!$C$4*'Staging Table'!BS84*'Staging Table'!$BS$2))</f>
        <v>718942.68361717195</v>
      </c>
      <c r="Y82" s="95">
        <f>IF('Staging Table'!C84=1,"",IF(X82=0, 0, W82/X82))</f>
        <v>34.137171119438527</v>
      </c>
      <c r="Z82" s="87">
        <f ca="1">IF('Staging Table'!C84=1,"",(Y82/N82-1)+(RAND()/100000000000))</f>
        <v>-4.4431903699552348E-2</v>
      </c>
      <c r="AA82" s="53">
        <f t="shared" ca="1" si="1"/>
        <v>112</v>
      </c>
      <c r="AD82" s="216"/>
      <c r="AE82" s="216"/>
      <c r="AG82" s="216"/>
      <c r="AH82" s="216"/>
    </row>
    <row r="83" spans="2:34">
      <c r="B83" s="135">
        <v>10246</v>
      </c>
      <c r="C83" s="136" t="s">
        <v>86</v>
      </c>
      <c r="D83" s="211">
        <f>IF(Init!$R$9="Yes",'Staging Table'!F85,'Staging Table'!BS85)*Rates_previous!$E$76*100*12</f>
        <v>2972255.49816</v>
      </c>
      <c r="E83" s="211">
        <f>IF(Init!$R$9="Yes",'Staging Table'!F85,'Staging Table'!BS85)*Rates_previous!$E$77*100*12</f>
        <v>-300691.76279999997</v>
      </c>
      <c r="F83" s="212"/>
      <c r="G83" s="212">
        <f>IF(Init!$R$9="Yes",SUMPRODUCT('Staging Table'!AJ85:AU85,LS_Demand_Rates_Restatement!$C$10:$N$10),SUMPRODUCT(LS_Demand_Rates_Restatement!$C$10:$N$10,'Staging Table'!CW85:DH85))*1000</f>
        <v>232621.21651759263</v>
      </c>
      <c r="H83" s="213"/>
      <c r="I83" s="211">
        <f>IF(Init!$R$9="Yes",IF('Staging Table'!$F$1=2020,(SUM('Staging Table'!AX85:BD85)*Rates_previous!$C$87),(SUM('Staging Table'!AX85:BD85)*Rates_previous!$D$87)),IF('Staging Table'!$F$1=2020,(SUM('Staging Table'!DK85:DQ85)*Rates_previous!$C$87),(SUM('Staging Table'!DK85:DQ85)*Rates_previous!$D$87)))</f>
        <v>36461.12359377501</v>
      </c>
      <c r="J83" s="213">
        <f>IF(Init!$R$9="Yes",IF('Staging Table'!D85=1,'Staging Table'!H85*-1*'Staging Table'!F85/'Staging Table'!E85,'Staging Table'!H85*SUM(D83:I83)*(-1)),IF('Staging Table'!D85=1,'Staging Table'!BU85*-1*'Staging Table'!BS85/'Staging Table'!BR85,'Staging Table'!BU85*SUM(D83:I83)*(-1)))</f>
        <v>-161735.53415092523</v>
      </c>
      <c r="K83" s="211">
        <f>IF(Init!$R$9="Yes",'Staging Table'!K85,'Staging Table'!BX85)*(-1)*Rates_previous!$H$32</f>
        <v>0</v>
      </c>
      <c r="L83" s="211">
        <f>IF('Staging Table'!C85=1,"",SUM(D83:K83))</f>
        <v>2778910.5413204422</v>
      </c>
      <c r="M83" s="211">
        <f>IF('Staging Table'!C85=1,"",IF(Init!$R$9="Yes",(RT1SC!$C$3*'Staging Table'!F85*'Staging Table'!$F$2),X83))</f>
        <v>77166.163748044797</v>
      </c>
      <c r="N83" s="95">
        <f>IF('Staging Table'!C85=1,"",IF(M83=0, 0, L83/M83))</f>
        <v>36.012034372913256</v>
      </c>
      <c r="O83" s="211">
        <f>'Staging Table'!BS85*Rates_current!$E$76*100*12</f>
        <v>3051823.0789468479</v>
      </c>
      <c r="P83" s="211">
        <f>'Staging Table'!BS85*Rates_current!$E$77*100*12</f>
        <v>-503863.31316574605</v>
      </c>
      <c r="Q83" s="212"/>
      <c r="R83" s="212">
        <f>SUMPRODUCT('Staging Table'!CW85:DH85, LS_Demand_Rates_Restatement!$C$11:$N$11)*1000</f>
        <v>217408.61504458691</v>
      </c>
      <c r="S83" s="213"/>
      <c r="T83" s="213">
        <v>0</v>
      </c>
      <c r="U83" s="213">
        <f>IF('Staging Table'!D85=1, 'Staging Table'!BU85*-1*'Staging Table'!BS85/'Staging Table'!BR85,SUM(O83:T83)*'Staging Table'!BU85*-1)</f>
        <v>-171308.97465168632</v>
      </c>
      <c r="V83" s="211">
        <f>'Staging Table'!BX85*Rates_current!$H$32*-1</f>
        <v>0</v>
      </c>
      <c r="W83" s="211">
        <f>IF('Staging Table'!C85=1,"",SUM(O83:V83))</f>
        <v>2594059.4061740022</v>
      </c>
      <c r="X83" s="211">
        <f>IF('Staging Table'!C85=1,"",(RT1SC!$C$4*'Staging Table'!BS85*'Staging Table'!$BS$2))</f>
        <v>75096.768459384009</v>
      </c>
      <c r="Y83" s="95">
        <f>IF('Staging Table'!C85=1,"",IF(X83=0, 0, W83/X83))</f>
        <v>34.542889919118103</v>
      </c>
      <c r="Z83" s="87">
        <f ca="1">IF('Staging Table'!C85=1,"",(Y83/N83-1)+(RAND()/100000000000))</f>
        <v>-4.0795930557252974E-2</v>
      </c>
      <c r="AA83" s="53">
        <f t="shared" ca="1" si="1"/>
        <v>105</v>
      </c>
      <c r="AD83" s="216"/>
      <c r="AE83" s="216"/>
      <c r="AG83" s="216"/>
      <c r="AH83" s="216"/>
    </row>
    <row r="84" spans="2:34">
      <c r="B84" s="135">
        <v>10247</v>
      </c>
      <c r="C84" s="136" t="s">
        <v>87</v>
      </c>
      <c r="D84" s="211">
        <f>IF(Init!$R$9="Yes",'Staging Table'!F86,'Staging Table'!BS86)*Rates_previous!$E$76*100*12</f>
        <v>26804249.747160003</v>
      </c>
      <c r="E84" s="211">
        <f>IF(Init!$R$9="Yes",'Staging Table'!F86,'Staging Table'!BS86)*Rates_previous!$E$77*100*12</f>
        <v>-2711683.8078000001</v>
      </c>
      <c r="F84" s="212"/>
      <c r="G84" s="212">
        <f>IF(Init!$R$9="Yes",SUMPRODUCT('Staging Table'!AJ86:AU86,LS_Demand_Rates_Restatement!$C$10:$N$10),SUMPRODUCT(LS_Demand_Rates_Restatement!$C$10:$N$10,'Staging Table'!CW86:DH86))*1000</f>
        <v>1343676.6143567304</v>
      </c>
      <c r="H84" s="213"/>
      <c r="I84" s="211">
        <f>IF(Init!$R$9="Yes",IF('Staging Table'!$F$1=2020,(SUM('Staging Table'!AX86:BD86)*Rates_previous!$C$87),(SUM('Staging Table'!AX86:BD86)*Rates_previous!$D$87)),IF('Staging Table'!$F$1=2020,(SUM('Staging Table'!DK86:DQ86)*Rates_previous!$C$87),(SUM('Staging Table'!DK86:DQ86)*Rates_previous!$D$87)))</f>
        <v>328811.92867659847</v>
      </c>
      <c r="J84" s="213">
        <f>IF(Init!$R$9="Yes",IF('Staging Table'!D86=1,'Staging Table'!H86*-1*'Staging Table'!F86/'Staging Table'!E86,'Staging Table'!H86*SUM(D84:I84)*(-1)),IF('Staging Table'!D86=1,'Staging Table'!BU86*-1*'Staging Table'!BS86/'Staging Table'!BR86,'Staging Table'!BU86*SUM(D84:I84)*(-1)))</f>
        <v>-1288252.7241196667</v>
      </c>
      <c r="K84" s="211">
        <f>IF(Init!$R$9="Yes",'Staging Table'!K86,'Staging Table'!BX86)*(-1)*Rates_previous!$H$32</f>
        <v>0</v>
      </c>
      <c r="L84" s="211">
        <f>IF('Staging Table'!C86=1,"",SUM(D84:K84))</f>
        <v>24476801.758273665</v>
      </c>
      <c r="M84" s="211">
        <f>IF('Staging Table'!C86=1,"",IF(Init!$R$9="Yes",(RT1SC!$C$3*'Staging Table'!F86*'Staging Table'!$F$2),X84))</f>
        <v>695896.13894676475</v>
      </c>
      <c r="N84" s="95">
        <f>IF('Staging Table'!C86=1,"",IF(M84=0, 0, L84/M84))</f>
        <v>35.173067342088117</v>
      </c>
      <c r="O84" s="211">
        <f>'Staging Table'!BS86*Rates_current!$E$76*100*12</f>
        <v>27142424.29234961</v>
      </c>
      <c r="P84" s="211">
        <f>'Staging Table'!BS86*Rates_current!$E$77*100*12</f>
        <v>-4481279.378755196</v>
      </c>
      <c r="Q84" s="212"/>
      <c r="R84" s="212">
        <f>SUMPRODUCT('Staging Table'!CW86:DH86, LS_Demand_Rates_Restatement!$C$11:$N$11)*1000</f>
        <v>1297115.3365778488</v>
      </c>
      <c r="S84" s="213"/>
      <c r="T84" s="213">
        <v>0</v>
      </c>
      <c r="U84" s="213">
        <f>IF('Staging Table'!D86=1, 'Staging Table'!BU86*-1*'Staging Table'!BS86/'Staging Table'!BR86,SUM(O84:T84)*'Staging Table'!BU86*-1)</f>
        <v>-1223837.1045111211</v>
      </c>
      <c r="V84" s="211">
        <f>'Staging Table'!BX86*Rates_current!$H$32*-1</f>
        <v>0</v>
      </c>
      <c r="W84" s="211">
        <f>IF('Staging Table'!C86=1,"",SUM(O84:V84))</f>
        <v>22734423.145661142</v>
      </c>
      <c r="X84" s="211">
        <f>IF('Staging Table'!C86=1,"",(RT1SC!$C$4*'Staging Table'!BS86*'Staging Table'!$BS$2))</f>
        <v>667898.59693057206</v>
      </c>
      <c r="Y84" s="95">
        <f>IF('Staging Table'!C86=1,"",IF(X84=0, 0, W84/X84))</f>
        <v>34.038734697363616</v>
      </c>
      <c r="Z84" s="87">
        <f ca="1">IF('Staging Table'!C86=1,"",(Y84/N84-1)+(RAND()/100000000000))</f>
        <v>-3.2250034764702951E-2</v>
      </c>
      <c r="AA84" s="53">
        <f t="shared" ca="1" si="1"/>
        <v>15</v>
      </c>
      <c r="AD84" s="216"/>
      <c r="AE84" s="216"/>
      <c r="AG84" s="216"/>
      <c r="AH84" s="216"/>
    </row>
    <row r="85" spans="2:34">
      <c r="B85" s="135">
        <v>10256</v>
      </c>
      <c r="C85" s="136" t="s">
        <v>88</v>
      </c>
      <c r="D85" s="211">
        <f>IF(Init!$R$9="Yes",'Staging Table'!F87,'Staging Table'!BS87)*Rates_previous!$E$76*100*12</f>
        <v>15674809.44108</v>
      </c>
      <c r="E85" s="211">
        <f>IF(Init!$R$9="Yes",'Staging Table'!F87,'Staging Table'!BS87)*Rates_previous!$E$77*100*12</f>
        <v>-1585760.7413999999</v>
      </c>
      <c r="F85" s="212"/>
      <c r="G85" s="212">
        <f>IF(Init!$R$9="Yes",SUMPRODUCT('Staging Table'!AJ87:AU87,LS_Demand_Rates_Restatement!$C$10:$N$10),SUMPRODUCT(LS_Demand_Rates_Restatement!$C$10:$N$10,'Staging Table'!CW87:DH87))*1000</f>
        <v>1365653.2459650284</v>
      </c>
      <c r="H85" s="213"/>
      <c r="I85" s="211">
        <f>IF(Init!$R$9="Yes",IF('Staging Table'!$F$1=2020,(SUM('Staging Table'!AX87:BD87)*Rates_previous!$C$87),(SUM('Staging Table'!AX87:BD87)*Rates_previous!$D$87)),IF('Staging Table'!$F$1=2020,(SUM('Staging Table'!DK87:DQ87)*Rates_previous!$C$87),(SUM('Staging Table'!DK87:DQ87)*Rates_previous!$D$87)))</f>
        <v>192285.341786362</v>
      </c>
      <c r="J85" s="213">
        <f>IF(Init!$R$9="Yes",IF('Staging Table'!D87=1,'Staging Table'!H87*-1*'Staging Table'!F87/'Staging Table'!E87,'Staging Table'!H87*SUM(D85:I85)*(-1)),IF('Staging Table'!D87=1,'Staging Table'!BU87*-1*'Staging Table'!BS87/'Staging Table'!BR87,'Staging Table'!BU87*SUM(D85:I85)*(-1)))</f>
        <v>-1017054.1736830404</v>
      </c>
      <c r="K85" s="211">
        <f>IF(Init!$R$9="Yes",'Staging Table'!K87,'Staging Table'!BX87)*(-1)*Rates_previous!$H$32</f>
        <v>-460946.27854000003</v>
      </c>
      <c r="L85" s="211">
        <f>IF('Staging Table'!C87=1,"",SUM(D85:K85))</f>
        <v>14168986.835208351</v>
      </c>
      <c r="M85" s="211">
        <f>IF('Staging Table'!C87=1,"",IF(Init!$R$9="Yes",(RT1SC!$C$3*'Staging Table'!F87*'Staging Table'!$F$2),X85))</f>
        <v>406951.8629197824</v>
      </c>
      <c r="N85" s="95">
        <f>IF('Staging Table'!C87=1,"",IF(M85=0, 0, L85/M85))</f>
        <v>34.817353417549818</v>
      </c>
      <c r="O85" s="211">
        <f>'Staging Table'!BS87*Rates_current!$E$76*100*12</f>
        <v>15873988.440028891</v>
      </c>
      <c r="P85" s="211">
        <f>'Staging Table'!BS87*Rates_current!$E$77*100*12</f>
        <v>-2620833.5809911513</v>
      </c>
      <c r="Q85" s="212"/>
      <c r="R85" s="212">
        <f>SUMPRODUCT('Staging Table'!CW87:DH87, LS_Demand_Rates_Restatement!$C$11:$N$11)*1000</f>
        <v>1267125.8029766651</v>
      </c>
      <c r="S85" s="213"/>
      <c r="T85" s="213">
        <v>0</v>
      </c>
      <c r="U85" s="213">
        <f>IF('Staging Table'!D87=1, 'Staging Table'!BU87*-1*'Staging Table'!BS87/'Staging Table'!BR87,SUM(O85:T85)*'Staging Table'!BU87*-1)</f>
        <v>-998389.37251320167</v>
      </c>
      <c r="V85" s="211">
        <f>'Staging Table'!BX87*Rates_current!$H$32*-1</f>
        <v>-452233.52260000008</v>
      </c>
      <c r="W85" s="211">
        <f>IF('Staging Table'!C87=1,"",SUM(O85:V85))</f>
        <v>13069657.766901204</v>
      </c>
      <c r="X85" s="211">
        <f>IF('Staging Table'!C87=1,"",(RT1SC!$C$4*'Staging Table'!BS87*'Staging Table'!$BS$2))</f>
        <v>390614.13573789602</v>
      </c>
      <c r="Y85" s="95">
        <f>IF('Staging Table'!C87=1,"",IF(X85=0, 0, W85/X85))</f>
        <v>33.459254469149599</v>
      </c>
      <c r="Z85" s="87">
        <f ca="1">IF('Staging Table'!C87=1,"",(Y85/N85-1)+(RAND()/100000000000))</f>
        <v>-3.9006380865432094E-2</v>
      </c>
      <c r="AA85" s="53">
        <f t="shared" ca="1" si="1"/>
        <v>98</v>
      </c>
      <c r="AD85" s="216"/>
      <c r="AE85" s="216"/>
      <c r="AG85" s="216"/>
      <c r="AH85" s="216"/>
    </row>
    <row r="86" spans="2:34">
      <c r="B86" s="135">
        <v>10258</v>
      </c>
      <c r="C86" s="136" t="s">
        <v>89</v>
      </c>
      <c r="D86" s="211">
        <f>IF(Init!$R$9="Yes",'Staging Table'!F88,'Staging Table'!BS88)*Rates_previous!$E$76*100*12</f>
        <v>12772665.51912</v>
      </c>
      <c r="E86" s="211">
        <f>IF(Init!$R$9="Yes",'Staging Table'!F88,'Staging Table'!BS88)*Rates_previous!$E$77*100*12</f>
        <v>-1292161.8995999999</v>
      </c>
      <c r="F86" s="212"/>
      <c r="G86" s="212">
        <f>IF(Init!$R$9="Yes",SUMPRODUCT('Staging Table'!AJ88:AU88,LS_Demand_Rates_Restatement!$C$10:$N$10),SUMPRODUCT(LS_Demand_Rates_Restatement!$C$10:$N$10,'Staging Table'!CW88:DH88))*1000</f>
        <v>944353.9366862179</v>
      </c>
      <c r="H86" s="213"/>
      <c r="I86" s="211">
        <f>IF(Init!$R$9="Yes",IF('Staging Table'!$F$1=2020,(SUM('Staging Table'!AX88:BD88)*Rates_previous!$C$87),(SUM('Staging Table'!AX88:BD88)*Rates_previous!$D$87)),IF('Staging Table'!$F$1=2020,(SUM('Staging Table'!DK88:DQ88)*Rates_previous!$C$87),(SUM('Staging Table'!DK88:DQ88)*Rates_previous!$D$87)))</f>
        <v>156684.28787595211</v>
      </c>
      <c r="J86" s="213">
        <f>IF(Init!$R$9="Yes",IF('Staging Table'!D88=1,'Staging Table'!H88*-1*'Staging Table'!F88/'Staging Table'!E88,'Staging Table'!H88*SUM(D86:I86)*(-1)),IF('Staging Table'!D88=1,'Staging Table'!BU88*-1*'Staging Table'!BS88/'Staging Table'!BR88,'Staging Table'!BU88*SUM(D86:I86)*(-1)))</f>
        <v>-758771.85548520251</v>
      </c>
      <c r="K86" s="211">
        <f>IF(Init!$R$9="Yes",'Staging Table'!K88,'Staging Table'!BX88)*(-1)*Rates_previous!$H$32</f>
        <v>-204279.81442000001</v>
      </c>
      <c r="L86" s="211">
        <f>IF('Staging Table'!C88=1,"",SUM(D86:K86))</f>
        <v>11618490.174176969</v>
      </c>
      <c r="M86" s="211">
        <f>IF('Staging Table'!C88=1,"",IF(Init!$R$9="Yes",(RT1SC!$C$3*'Staging Table'!F88*'Staging Table'!$F$2),X86))</f>
        <v>331605.94691727357</v>
      </c>
      <c r="N86" s="95">
        <f>IF('Staging Table'!C88=1,"",IF(M86=0, 0, L86/M86))</f>
        <v>35.03703803320348</v>
      </c>
      <c r="O86" s="211">
        <f>'Staging Table'!BS88*Rates_current!$E$76*100*12</f>
        <v>12887633.512940638</v>
      </c>
      <c r="P86" s="211">
        <f>'Staging Table'!BS88*Rates_current!$E$77*100*12</f>
        <v>-2127779.2167877071</v>
      </c>
      <c r="Q86" s="212"/>
      <c r="R86" s="212">
        <f>SUMPRODUCT('Staging Table'!CW88:DH88, LS_Demand_Rates_Restatement!$C$11:$N$11)*1000</f>
        <v>870440.07770648145</v>
      </c>
      <c r="S86" s="213"/>
      <c r="T86" s="213">
        <v>0</v>
      </c>
      <c r="U86" s="213">
        <f>IF('Staging Table'!D88=1, 'Staging Table'!BU88*-1*'Staging Table'!BS88/'Staging Table'!BR88,SUM(O86:T86)*'Staging Table'!BU88*-1)</f>
        <v>-685853.8990349978</v>
      </c>
      <c r="V86" s="211">
        <f>'Staging Table'!BX88*Rates_current!$H$32*-1</f>
        <v>-200418.53980000003</v>
      </c>
      <c r="W86" s="211">
        <f>IF('Staging Table'!C88=1,"",SUM(O86:V86))</f>
        <v>10744021.935024416</v>
      </c>
      <c r="X86" s="211">
        <f>IF('Staging Table'!C88=1,"",(RT1SC!$C$4*'Staging Table'!BS88*'Staging Table'!$BS$2))</f>
        <v>317128.35406064399</v>
      </c>
      <c r="Y86" s="95">
        <f>IF('Staging Table'!C88=1,"",IF(X86=0, 0, W86/X86))</f>
        <v>33.87909594791342</v>
      </c>
      <c r="Z86" s="87">
        <f ca="1">IF('Staging Table'!C88=1,"",(Y86/N86-1)+(RAND()/100000000000))</f>
        <v>-3.304908605639801E-2</v>
      </c>
      <c r="AA86" s="53">
        <f t="shared" ca="1" si="1"/>
        <v>26</v>
      </c>
      <c r="AD86" s="216"/>
      <c r="AE86" s="216"/>
      <c r="AG86" s="216"/>
      <c r="AH86" s="216"/>
    </row>
    <row r="87" spans="2:34">
      <c r="B87" s="135">
        <v>10259</v>
      </c>
      <c r="C87" s="136" t="s">
        <v>90</v>
      </c>
      <c r="D87" s="211">
        <f>IF(Init!$R$9="Yes",'Staging Table'!F89,'Staging Table'!BS89)*Rates_previous!$E$76*100*12</f>
        <v>9081944.6146799996</v>
      </c>
      <c r="E87" s="211">
        <f>IF(Init!$R$9="Yes",'Staging Table'!F89,'Staging Table'!BS89)*Rates_previous!$E$77*100*12</f>
        <v>-918785.72940000007</v>
      </c>
      <c r="F87" s="212"/>
      <c r="G87" s="212">
        <f>IF(Init!$R$9="Yes",SUMPRODUCT('Staging Table'!AJ89:AU89,LS_Demand_Rates_Restatement!$C$10:$N$10),SUMPRODUCT(LS_Demand_Rates_Restatement!$C$10:$N$10,'Staging Table'!CW89:DH89))*1000</f>
        <v>509489.77999700827</v>
      </c>
      <c r="H87" s="213"/>
      <c r="I87" s="211">
        <f>IF(Init!$R$9="Yes",IF('Staging Table'!$F$1=2020,(SUM('Staging Table'!AX89:BD89)*Rates_previous!$C$87),(SUM('Staging Table'!AX89:BD89)*Rates_previous!$D$87)),IF('Staging Table'!$F$1=2020,(SUM('Staging Table'!DK89:DQ89)*Rates_previous!$C$87),(SUM('Staging Table'!DK89:DQ89)*Rates_previous!$D$87)))</f>
        <v>111409.63664552411</v>
      </c>
      <c r="J87" s="213">
        <f>IF(Init!$R$9="Yes",IF('Staging Table'!D89=1,'Staging Table'!H89*-1*'Staging Table'!F89/'Staging Table'!E89,'Staging Table'!H89*SUM(D87:I87)*(-1)),IF('Staging Table'!D89=1,'Staging Table'!BU89*-1*'Staging Table'!BS89/'Staging Table'!BR89,'Staging Table'!BU89*SUM(D87:I87)*(-1)))</f>
        <v>-573239.73216081643</v>
      </c>
      <c r="K87" s="211">
        <f>IF(Init!$R$9="Yes",'Staging Table'!K89,'Staging Table'!BX89)*(-1)*Rates_previous!$H$32</f>
        <v>0</v>
      </c>
      <c r="L87" s="211">
        <f>IF('Staging Table'!C89=1,"",SUM(D87:K87))</f>
        <v>8210818.5697617158</v>
      </c>
      <c r="M87" s="211">
        <f>IF('Staging Table'!C89=1,"",IF(Init!$R$9="Yes",(RT1SC!$C$3*'Staging Table'!F89*'Staging Table'!$F$2),X87))</f>
        <v>235786.8715259904</v>
      </c>
      <c r="N87" s="95">
        <f>IF('Staging Table'!C89=1,"",IF(M87=0, 0, L87/M87))</f>
        <v>34.823052346477446</v>
      </c>
      <c r="O87" s="211">
        <f>'Staging Table'!BS89*Rates_current!$E$76*100*12</f>
        <v>9163622.7795628607</v>
      </c>
      <c r="P87" s="211">
        <f>'Staging Table'!BS89*Rates_current!$E$77*100*12</f>
        <v>-1512936.1089650705</v>
      </c>
      <c r="Q87" s="212"/>
      <c r="R87" s="212">
        <f>SUMPRODUCT('Staging Table'!CW89:DH89, LS_Demand_Rates_Restatement!$C$11:$N$11)*1000</f>
        <v>469889.39236656838</v>
      </c>
      <c r="S87" s="213"/>
      <c r="T87" s="213">
        <v>0</v>
      </c>
      <c r="U87" s="213">
        <f>IF('Staging Table'!D89=1, 'Staging Table'!BU89*-1*'Staging Table'!BS89/'Staging Table'!BR89,SUM(O87:T87)*'Staging Table'!BU89*-1)</f>
        <v>-594727.06542170444</v>
      </c>
      <c r="V87" s="211">
        <f>'Staging Table'!BX89*Rates_current!$H$32*-1</f>
        <v>0</v>
      </c>
      <c r="W87" s="211">
        <f>IF('Staging Table'!C89=1,"",SUM(O87:V87))</f>
        <v>7525848.9975426542</v>
      </c>
      <c r="X87" s="211">
        <f>IF('Staging Table'!C89=1,"",(RT1SC!$C$4*'Staging Table'!BS89*'Staging Table'!$BS$2))</f>
        <v>225490.94109460799</v>
      </c>
      <c r="Y87" s="95">
        <f>IF('Staging Table'!C89=1,"",IF(X87=0, 0, W87/X87))</f>
        <v>33.375393978177932</v>
      </c>
      <c r="Z87" s="87">
        <f ca="1">IF('Staging Table'!C89=1,"",(Y87/N87-1)+(RAND()/100000000000))</f>
        <v>-4.1571840222658238E-2</v>
      </c>
      <c r="AA87" s="53">
        <f t="shared" ca="1" si="1"/>
        <v>107</v>
      </c>
      <c r="AD87" s="216"/>
      <c r="AE87" s="216"/>
      <c r="AG87" s="216"/>
      <c r="AH87" s="216"/>
    </row>
    <row r="88" spans="2:34">
      <c r="B88" s="135">
        <v>10260</v>
      </c>
      <c r="C88" s="136" t="s">
        <v>91</v>
      </c>
      <c r="D88" s="211">
        <f>IF(Init!$R$9="Yes",'Staging Table'!F90,'Staging Table'!BS90)*Rates_previous!$E$76*100*12</f>
        <v>8846179.5855599996</v>
      </c>
      <c r="E88" s="211">
        <f>IF(Init!$R$9="Yes",'Staging Table'!F90,'Staging Table'!BS90)*Rates_previous!$E$77*100*12</f>
        <v>-894934.27980000002</v>
      </c>
      <c r="F88" s="212"/>
      <c r="G88" s="212">
        <f>IF(Init!$R$9="Yes",SUMPRODUCT('Staging Table'!AJ90:AU90,LS_Demand_Rates_Restatement!$C$10:$N$10),SUMPRODUCT(LS_Demand_Rates_Restatement!$C$10:$N$10,'Staging Table'!CW90:DH90))*1000</f>
        <v>586553.09222699434</v>
      </c>
      <c r="H88" s="213"/>
      <c r="I88" s="211">
        <f>IF(Init!$R$9="Yes",IF('Staging Table'!$F$1=2020,(SUM('Staging Table'!AX90:BD90)*Rates_previous!$C$87),(SUM('Staging Table'!AX90:BD90)*Rates_previous!$D$87)),IF('Staging Table'!$F$1=2020,(SUM('Staging Table'!DK90:DQ90)*Rates_previous!$C$87),(SUM('Staging Table'!DK90:DQ90)*Rates_previous!$D$87)))</f>
        <v>108517.47011705578</v>
      </c>
      <c r="J88" s="213">
        <f>IF(Init!$R$9="Yes",IF('Staging Table'!D90=1,'Staging Table'!H90*-1*'Staging Table'!F90/'Staging Table'!E90,'Staging Table'!H90*SUM(D88:I88)*(-1)),IF('Staging Table'!D90=1,'Staging Table'!BU90*-1*'Staging Table'!BS90/'Staging Table'!BR90,'Staging Table'!BU90*SUM(D88:I88)*(-1)))</f>
        <v>0</v>
      </c>
      <c r="K88" s="211">
        <f>IF(Init!$R$9="Yes",'Staging Table'!K90,'Staging Table'!BX90)*(-1)*Rates_previous!$H$32</f>
        <v>0</v>
      </c>
      <c r="L88" s="211">
        <f>IF('Staging Table'!C90=1,"",SUM(D88:K88))</f>
        <v>8646315.8681040499</v>
      </c>
      <c r="M88" s="211">
        <f>IF('Staging Table'!C90=1,"",IF(Init!$R$9="Yes",(RT1SC!$C$3*'Staging Table'!F90*'Staging Table'!$F$2),X88))</f>
        <v>229665.90283591679</v>
      </c>
      <c r="N88" s="95">
        <f>IF('Staging Table'!C90=1,"",IF(M88=0, 0, L88/M88))</f>
        <v>37.647364111691189</v>
      </c>
      <c r="O88" s="211">
        <f>'Staging Table'!BS90*Rates_current!$E$76*100*12</f>
        <v>8925731.1801352892</v>
      </c>
      <c r="P88" s="211">
        <f>'Staging Table'!BS90*Rates_current!$E$77*100*12</f>
        <v>-1473659.6350800775</v>
      </c>
      <c r="Q88" s="212"/>
      <c r="R88" s="212">
        <f>SUMPRODUCT('Staging Table'!CW90:DH90, LS_Demand_Rates_Restatement!$C$11:$N$11)*1000</f>
        <v>537177.63324700855</v>
      </c>
      <c r="S88" s="213"/>
      <c r="T88" s="213">
        <v>0</v>
      </c>
      <c r="U88" s="213">
        <f>IF('Staging Table'!D90=1, 'Staging Table'!BU90*-1*'Staging Table'!BS90/'Staging Table'!BR90,SUM(O88:T88)*'Staging Table'!BU90*-1)</f>
        <v>0</v>
      </c>
      <c r="V88" s="211">
        <f>'Staging Table'!BX90*Rates_current!$H$32*-1</f>
        <v>0</v>
      </c>
      <c r="W88" s="211">
        <f>IF('Staging Table'!C90=1,"",SUM(O88:V88))</f>
        <v>7989249.1783022201</v>
      </c>
      <c r="X88" s="211">
        <f>IF('Staging Table'!C90=1,"",(RT1SC!$C$4*'Staging Table'!BS90*'Staging Table'!$BS$2))</f>
        <v>219637.09901447999</v>
      </c>
      <c r="Y88" s="95">
        <f>IF('Staging Table'!C90=1,"",IF(X88=0, 0, W88/X88))</f>
        <v>36.374770993380828</v>
      </c>
      <c r="Z88" s="87">
        <f ca="1">IF('Staging Table'!C90=1,"",(Y88/N88-1)+(RAND()/100000000000))</f>
        <v>-3.3802980579748218E-2</v>
      </c>
      <c r="AA88" s="53">
        <f t="shared" ca="1" si="1"/>
        <v>52</v>
      </c>
      <c r="AD88" s="216"/>
      <c r="AE88" s="216"/>
      <c r="AG88" s="216"/>
      <c r="AH88" s="216"/>
    </row>
    <row r="89" spans="2:34">
      <c r="B89" s="135">
        <v>10273</v>
      </c>
      <c r="C89" s="136" t="s">
        <v>92</v>
      </c>
      <c r="D89" s="211">
        <f>IF(Init!$R$9="Yes",'Staging Table'!F91,'Staging Table'!BS91)*Rates_previous!$E$76*100*12</f>
        <v>1979285.4460799997</v>
      </c>
      <c r="E89" s="211">
        <f>IF(Init!$R$9="Yes",'Staging Table'!F91,'Staging Table'!BS91)*Rates_previous!$E$77*100*12</f>
        <v>-200236.76639999999</v>
      </c>
      <c r="F89" s="212"/>
      <c r="G89" s="212">
        <f>IF(Init!$R$9="Yes",SUMPRODUCT('Staging Table'!AJ91:AU91,LS_Demand_Rates_Restatement!$C$10:$N$10),SUMPRODUCT(LS_Demand_Rates_Restatement!$C$10:$N$10,'Staging Table'!CW91:DH91))*1000</f>
        <v>250402.83263076923</v>
      </c>
      <c r="H89" s="213"/>
      <c r="I89" s="211">
        <f>IF(Init!$R$9="Yes",IF('Staging Table'!$F$1=2020,(SUM('Staging Table'!AX91:BD91)*Rates_previous!$C$87),(SUM('Staging Table'!AX91:BD91)*Rates_previous!$D$87)),IF('Staging Table'!$F$1=2020,(SUM('Staging Table'!DK91:DQ91)*Rates_previous!$C$87),(SUM('Staging Table'!DK91:DQ91)*Rates_previous!$D$87)))</f>
        <v>24280.204484963881</v>
      </c>
      <c r="J89" s="213">
        <f>IF(Init!$R$9="Yes",IF('Staging Table'!D91=1,'Staging Table'!H91*-1*'Staging Table'!F91/'Staging Table'!E91,'Staging Table'!H91*SUM(D89:I89)*(-1)),IF('Staging Table'!D91=1,'Staging Table'!BU91*-1*'Staging Table'!BS91/'Staging Table'!BR91,'Staging Table'!BU91*SUM(D89:I89)*(-1)))</f>
        <v>-198144.73816695379</v>
      </c>
      <c r="K89" s="211">
        <f>IF(Init!$R$9="Yes",'Staging Table'!K91,'Staging Table'!BX91)*(-1)*Rates_previous!$H$32</f>
        <v>-105789.69774999999</v>
      </c>
      <c r="L89" s="211">
        <f>IF('Staging Table'!C91=1,"",SUM(D89:K89))</f>
        <v>1749797.2808787788</v>
      </c>
      <c r="M89" s="211">
        <f>IF('Staging Table'!C91=1,"",IF(Init!$R$9="Yes",(RT1SC!$C$3*'Staging Table'!F91*'Staging Table'!$F$2),X89))</f>
        <v>51386.5194061824</v>
      </c>
      <c r="N89" s="95">
        <f>IF('Staging Table'!C91=1,"",IF(M89=0, 0, L89/M89))</f>
        <v>34.051679333398432</v>
      </c>
      <c r="O89" s="211">
        <f>'Staging Table'!BS91*Rates_current!$E$76*100*12</f>
        <v>1997138.3468072722</v>
      </c>
      <c r="P89" s="211">
        <f>'Staging Table'!BS91*Rates_current!$E$77*100*12</f>
        <v>-329732.3331796584</v>
      </c>
      <c r="Q89" s="212"/>
      <c r="R89" s="212">
        <f>SUMPRODUCT('Staging Table'!CW91:DH91, LS_Demand_Rates_Restatement!$C$11:$N$11)*1000</f>
        <v>229534.81454821941</v>
      </c>
      <c r="S89" s="213"/>
      <c r="T89" s="213">
        <v>0</v>
      </c>
      <c r="U89" s="213">
        <f>IF('Staging Table'!D91=1, 'Staging Table'!BU91*-1*'Staging Table'!BS91/'Staging Table'!BR91,SUM(O89:T89)*'Staging Table'!BU91*-1)</f>
        <v>-200220.24466804921</v>
      </c>
      <c r="V89" s="211">
        <f>'Staging Table'!BX91*Rates_current!$H$32*-1</f>
        <v>-103790.07249999999</v>
      </c>
      <c r="W89" s="211">
        <f>IF('Staging Table'!C91=1,"",SUM(O89:V89))</f>
        <v>1592930.5110077839</v>
      </c>
      <c r="X89" s="211">
        <f>IF('Staging Table'!C91=1,"",(RT1SC!$C$4*'Staging Table'!BS91*'Staging Table'!$BS$2))</f>
        <v>49143.948430751996</v>
      </c>
      <c r="Y89" s="95">
        <f>IF('Staging Table'!C91=1,"",IF(X89=0, 0, W89/X89))</f>
        <v>32.413563864376066</v>
      </c>
      <c r="Z89" s="87">
        <f ca="1">IF('Staging Table'!C91=1,"",(Y89/N89-1)+(RAND()/100000000000))</f>
        <v>-4.8106745424727627E-2</v>
      </c>
      <c r="AA89" s="53">
        <f t="shared" ca="1" si="1"/>
        <v>114</v>
      </c>
      <c r="AD89" s="216"/>
      <c r="AE89" s="216"/>
      <c r="AG89" s="216"/>
      <c r="AH89" s="216"/>
    </row>
    <row r="90" spans="2:34">
      <c r="B90" s="135">
        <v>10278</v>
      </c>
      <c r="C90" s="136" t="s">
        <v>93</v>
      </c>
      <c r="D90" s="211">
        <f>IF(Init!$R$9="Yes",'Staging Table'!F92,'Staging Table'!BS92)*Rates_previous!$E$76*100*12</f>
        <v>12062518.43544</v>
      </c>
      <c r="E90" s="211">
        <f>IF(Init!$R$9="Yes",'Staging Table'!F92,'Staging Table'!BS92)*Rates_previous!$E$77*100*12</f>
        <v>-1220319.0252</v>
      </c>
      <c r="F90" s="212"/>
      <c r="G90" s="212">
        <f>IF(Init!$R$9="Yes",SUMPRODUCT('Staging Table'!AJ92:AU92,LS_Demand_Rates_Restatement!$C$10:$N$10),SUMPRODUCT(LS_Demand_Rates_Restatement!$C$10:$N$10,'Staging Table'!CW92:DH92))*1000</f>
        <v>0</v>
      </c>
      <c r="H90" s="213"/>
      <c r="I90" s="211">
        <f>IF(Init!$R$9="Yes",IF('Staging Table'!$F$1=2020,(SUM('Staging Table'!AX92:BD92)*Rates_previous!$C$87),(SUM('Staging Table'!AX92:BD92)*Rates_previous!$D$87)),IF('Staging Table'!$F$1=2020,(SUM('Staging Table'!DK92:DQ92)*Rates_previous!$C$87),(SUM('Staging Table'!DK92:DQ92)*Rates_previous!$D$87)))</f>
        <v>147972.80240512209</v>
      </c>
      <c r="J90" s="213">
        <f>IF(Init!$R$9="Yes",IF('Staging Table'!D92=1,'Staging Table'!H92*-1*'Staging Table'!F92/'Staging Table'!E92,'Staging Table'!H92*SUM(D90:I90)*(-1)),IF('Staging Table'!D92=1,'Staging Table'!BU92*-1*'Staging Table'!BS92/'Staging Table'!BR92,'Staging Table'!BU92*SUM(D90:I90)*(-1)))</f>
        <v>-714361.193821933</v>
      </c>
      <c r="K90" s="211">
        <f>IF(Init!$R$9="Yes",'Staging Table'!K92,'Staging Table'!BX92)*(-1)*Rates_previous!$H$32</f>
        <v>0</v>
      </c>
      <c r="L90" s="211" t="str">
        <f>IF('Staging Table'!C92=1,"",SUM(D90:K90))</f>
        <v/>
      </c>
      <c r="M90" s="211" t="str">
        <f>IF('Staging Table'!C92=1,"",IF(Init!$R$9="Yes",(RT1SC!$C$3*'Staging Table'!F92*'Staging Table'!$F$2),X90))</f>
        <v/>
      </c>
      <c r="N90" s="95" t="str">
        <f>IF('Staging Table'!C92=1,"",IF(M90=0, 0, L90/M90))</f>
        <v/>
      </c>
      <c r="O90" s="211">
        <f>'Staging Table'!BS92*Rates_current!$E$76*100*12</f>
        <v>12200577.633545486</v>
      </c>
      <c r="P90" s="211">
        <f>'Staging Table'!BS92*Rates_current!$E$77*100*12</f>
        <v>-2014344.6425130044</v>
      </c>
      <c r="Q90" s="212"/>
      <c r="R90" s="212">
        <f>SUMPRODUCT('Staging Table'!CW92:DH92, LS_Demand_Rates_Restatement!$C$11:$N$11)*1000</f>
        <v>0</v>
      </c>
      <c r="S90" s="213"/>
      <c r="T90" s="213">
        <v>0</v>
      </c>
      <c r="U90" s="213">
        <f>IF('Staging Table'!D92=1, 'Staging Table'!BU92*-1*'Staging Table'!BS92/'Staging Table'!BR92,SUM(O90:T90)*'Staging Table'!BU92*-1)</f>
        <v>-742994.33208268229</v>
      </c>
      <c r="V90" s="211">
        <f>'Staging Table'!BX92*Rates_current!$H$32*-1</f>
        <v>0</v>
      </c>
      <c r="W90" s="211" t="str">
        <f>IF('Staging Table'!C92=1,"",SUM(O90:V90))</f>
        <v/>
      </c>
      <c r="X90" s="211" t="str">
        <f>IF('Staging Table'!C92=1,"",(RT1SC!$C$4*'Staging Table'!BS92*'Staging Table'!$BS$2))</f>
        <v/>
      </c>
      <c r="Y90" s="95" t="str">
        <f>IF('Staging Table'!C92=1,"",IF(X90=0, 0, W90/X90))</f>
        <v/>
      </c>
      <c r="Z90" s="87" t="str">
        <f ca="1">IF('Staging Table'!C92=1,"",(Y90/N90-1)+(RAND()/100000000000))</f>
        <v/>
      </c>
      <c r="AA90" s="53" t="str">
        <f t="shared" ca="1" si="1"/>
        <v/>
      </c>
      <c r="AD90" s="216"/>
      <c r="AE90" s="216"/>
      <c r="AG90" s="216"/>
      <c r="AH90" s="216"/>
    </row>
    <row r="91" spans="2:34">
      <c r="B91" s="135">
        <v>10279</v>
      </c>
      <c r="C91" s="136" t="s">
        <v>94</v>
      </c>
      <c r="D91" s="211">
        <f>IF(Init!$R$9="Yes",'Staging Table'!F93,'Staging Table'!BS93)*Rates_previous!$E$76*100*12</f>
        <v>21796381.875599999</v>
      </c>
      <c r="E91" s="211">
        <f>IF(Init!$R$9="Yes",'Staging Table'!F93,'Staging Table'!BS93)*Rates_previous!$E$77*100*12</f>
        <v>-2205056.898</v>
      </c>
      <c r="F91" s="212"/>
      <c r="G91" s="212">
        <f>IF(Init!$R$9="Yes",SUMPRODUCT('Staging Table'!AJ93:AU93,LS_Demand_Rates_Restatement!$C$10:$N$10),SUMPRODUCT(LS_Demand_Rates_Restatement!$C$10:$N$10,'Staging Table'!CW93:DH93))*1000</f>
        <v>0</v>
      </c>
      <c r="H91" s="213"/>
      <c r="I91" s="211">
        <f>IF(Init!$R$9="Yes",IF('Staging Table'!$F$1=2020,(SUM('Staging Table'!AX93:BD93)*Rates_previous!$C$87),(SUM('Staging Table'!AX93:BD93)*Rates_previous!$D$87)),IF('Staging Table'!$F$1=2020,(SUM('Staging Table'!DK93:DQ93)*Rates_previous!$C$87),(SUM('Staging Table'!DK93:DQ93)*Rates_previous!$D$87)))</f>
        <v>267379.62936071533</v>
      </c>
      <c r="J91" s="213">
        <f>IF(Init!$R$9="Yes",IF('Staging Table'!D93=1,'Staging Table'!H93*-1*'Staging Table'!F93/'Staging Table'!E93,'Staging Table'!H93*SUM(D91:I91)*(-1)),IF('Staging Table'!D93=1,'Staging Table'!BU93*-1*'Staging Table'!BS93/'Staging Table'!BR93,'Staging Table'!BU93*SUM(D91:I91)*(-1)))</f>
        <v>0</v>
      </c>
      <c r="K91" s="211">
        <f>IF(Init!$R$9="Yes",'Staging Table'!K93,'Staging Table'!BX93)*(-1)*Rates_previous!$H$32</f>
        <v>0</v>
      </c>
      <c r="L91" s="211">
        <f>IF('Staging Table'!C93=1,"",SUM(D91:K91))</f>
        <v>19858704.606960718</v>
      </c>
      <c r="M91" s="211">
        <f>IF('Staging Table'!C93=1,"",IF(Init!$R$9="Yes",(RT1SC!$C$3*'Staging Table'!F93*'Staging Table'!$F$2),X91))</f>
        <v>565881.08726476796</v>
      </c>
      <c r="N91" s="95">
        <f>IF('Staging Table'!C93=1,"",IF(M91=0, 0, L91/M91))</f>
        <v>35.093423430970937</v>
      </c>
      <c r="O91" s="211">
        <f>'Staging Table'!BS93*Rates_current!$E$76*100*12</f>
        <v>21992982.44304695</v>
      </c>
      <c r="P91" s="211">
        <f>'Staging Table'!BS93*Rates_current!$E$77*100*12</f>
        <v>-3631094.1733797397</v>
      </c>
      <c r="Q91" s="212"/>
      <c r="R91" s="212">
        <f>SUMPRODUCT('Staging Table'!CW93:DH93, LS_Demand_Rates_Restatement!$C$11:$N$11)*1000</f>
        <v>0</v>
      </c>
      <c r="S91" s="213"/>
      <c r="T91" s="213">
        <v>0</v>
      </c>
      <c r="U91" s="213">
        <f>IF('Staging Table'!D93=1, 'Staging Table'!BU93*-1*'Staging Table'!BS93/'Staging Table'!BR93,SUM(O91:T91)*'Staging Table'!BU93*-1)</f>
        <v>0</v>
      </c>
      <c r="V91" s="211">
        <f>'Staging Table'!BX93*Rates_current!$H$32*-1</f>
        <v>0</v>
      </c>
      <c r="W91" s="211">
        <f>IF('Staging Table'!C93=1,"",SUM(O91:V91))</f>
        <v>18361888.269667208</v>
      </c>
      <c r="X91" s="211">
        <f>IF('Staging Table'!C93=1,"",(RT1SC!$C$4*'Staging Table'!BS93*'Staging Table'!$BS$2))</f>
        <v>541185.33988764009</v>
      </c>
      <c r="Y91" s="95">
        <f>IF('Staging Table'!C93=1,"",IF(X91=0, 0, W91/X91))</f>
        <v>33.929020090380625</v>
      </c>
      <c r="Z91" s="87">
        <f ca="1">IF('Staging Table'!C93=1,"",(Y91/N91-1)+(RAND()/100000000000))</f>
        <v>-3.3180101182284191E-2</v>
      </c>
      <c r="AA91" s="53">
        <f t="shared" ca="1" si="1"/>
        <v>29</v>
      </c>
      <c r="AD91" s="216"/>
      <c r="AE91" s="216"/>
      <c r="AG91" s="216"/>
      <c r="AH91" s="216"/>
    </row>
    <row r="92" spans="2:34">
      <c r="B92" s="135">
        <v>10284</v>
      </c>
      <c r="C92" s="136" t="s">
        <v>95</v>
      </c>
      <c r="D92" s="211">
        <f>IF(Init!$R$9="Yes",'Staging Table'!F94,'Staging Table'!BS94)*Rates_previous!$E$76*100*12</f>
        <v>3324477.0436800001</v>
      </c>
      <c r="E92" s="211">
        <f>IF(Init!$R$9="Yes",'Staging Table'!F94,'Staging Table'!BS94)*Rates_previous!$E$77*100*12</f>
        <v>-336324.67440000002</v>
      </c>
      <c r="F92" s="212"/>
      <c r="G92" s="212">
        <f>IF(Init!$R$9="Yes",SUMPRODUCT('Staging Table'!AJ94:AU94,LS_Demand_Rates_Restatement!$C$10:$N$10),SUMPRODUCT(LS_Demand_Rates_Restatement!$C$10:$N$10,'Staging Table'!CW94:DH94))*1000</f>
        <v>244546.22495566239</v>
      </c>
      <c r="H92" s="213"/>
      <c r="I92" s="211">
        <f>IF(Init!$R$9="Yes",IF('Staging Table'!$F$1=2020,(SUM('Staging Table'!AX94:BD94)*Rates_previous!$C$87),(SUM('Staging Table'!AX94:BD94)*Rates_previous!$D$87)),IF('Staging Table'!$F$1=2020,(SUM('Staging Table'!DK94:DQ94)*Rates_previous!$C$87),(SUM('Staging Table'!DK94:DQ94)*Rates_previous!$D$87)))</f>
        <v>40781.880443764989</v>
      </c>
      <c r="J92" s="213">
        <f>IF(Init!$R$9="Yes",IF('Staging Table'!D94=1,'Staging Table'!H94*-1*'Staging Table'!F94/'Staging Table'!E94,'Staging Table'!H94*SUM(D92:I92)*(-1)),IF('Staging Table'!D94=1,'Staging Table'!BU94*-1*'Staging Table'!BS94/'Staging Table'!BR94,'Staging Table'!BU94*SUM(D92:I92)*(-1)))</f>
        <v>-163674.02373397138</v>
      </c>
      <c r="K92" s="211">
        <f>IF(Init!$R$9="Yes",'Staging Table'!K94,'Staging Table'!BX94)*(-1)*Rates_previous!$H$32</f>
        <v>0</v>
      </c>
      <c r="L92" s="211">
        <f>IF('Staging Table'!C94=1,"",SUM(D92:K92))</f>
        <v>3109806.450945456</v>
      </c>
      <c r="M92" s="211">
        <f>IF('Staging Table'!C94=1,"",IF(Init!$R$9="Yes",(RT1SC!$C$3*'Staging Table'!F94*'Staging Table'!$F$2),X92))</f>
        <v>86310.594795110403</v>
      </c>
      <c r="N92" s="95">
        <f>IF('Staging Table'!C94=1,"",IF(M92=0, 0, L92/M92))</f>
        <v>36.030413859708801</v>
      </c>
      <c r="O92" s="211">
        <f>'Staging Table'!BS94*Rates_current!$E$76*100*12</f>
        <v>3449668.0017798534</v>
      </c>
      <c r="P92" s="211">
        <f>'Staging Table'!BS94*Rates_current!$E$77*100*12</f>
        <v>-569548.46455203975</v>
      </c>
      <c r="Q92" s="212"/>
      <c r="R92" s="212">
        <f>SUMPRODUCT('Staging Table'!CW94:DH94, LS_Demand_Rates_Restatement!$C$11:$N$11)*1000</f>
        <v>227876.3266214121</v>
      </c>
      <c r="S92" s="213"/>
      <c r="T92" s="213">
        <v>0</v>
      </c>
      <c r="U92" s="213">
        <f>IF('Staging Table'!D94=1, 'Staging Table'!BU94*-1*'Staging Table'!BS94/'Staging Table'!BR94,SUM(O92:T92)*'Staging Table'!BU94*-1)</f>
        <v>-156891.24631598027</v>
      </c>
      <c r="V92" s="211">
        <f>'Staging Table'!BX94*Rates_current!$H$32*-1</f>
        <v>0</v>
      </c>
      <c r="W92" s="211">
        <f>IF('Staging Table'!C94=1,"",SUM(O92:V92))</f>
        <v>2951104.6175332456</v>
      </c>
      <c r="X92" s="211">
        <f>IF('Staging Table'!C94=1,"",(RT1SC!$C$4*'Staging Table'!BS94*'Staging Table'!$BS$2))</f>
        <v>84886.611212340023</v>
      </c>
      <c r="Y92" s="95">
        <f>IF('Staging Table'!C94=1,"",IF(X92=0, 0, W92/X92))</f>
        <v>34.765254206593198</v>
      </c>
      <c r="Z92" s="87">
        <f ca="1">IF('Staging Table'!C94=1,"",(Y92/N92-1)+(RAND()/100000000000))</f>
        <v>-3.511365863642614E-2</v>
      </c>
      <c r="AA92" s="53">
        <f t="shared" ca="1" si="1"/>
        <v>71</v>
      </c>
      <c r="AD92" s="216"/>
      <c r="AE92" s="216"/>
      <c r="AG92" s="216"/>
      <c r="AH92" s="216"/>
    </row>
    <row r="93" spans="2:34">
      <c r="B93" s="135">
        <v>10285</v>
      </c>
      <c r="C93" s="136" t="s">
        <v>96</v>
      </c>
      <c r="D93" s="211">
        <f>IF(Init!$R$9="Yes",'Staging Table'!F95,'Staging Table'!BS95)*Rates_previous!$E$76*100*12</f>
        <v>2197225.4981999998</v>
      </c>
      <c r="E93" s="211">
        <f>IF(Init!$R$9="Yes",'Staging Table'!F95,'Staging Table'!BS95)*Rates_previous!$E$77*100*12</f>
        <v>-222284.93099999998</v>
      </c>
      <c r="F93" s="212"/>
      <c r="G93" s="212">
        <f>IF(Init!$R$9="Yes",SUMPRODUCT('Staging Table'!AJ95:AU95,LS_Demand_Rates_Restatement!$C$10:$N$10),SUMPRODUCT(LS_Demand_Rates_Restatement!$C$10:$N$10,'Staging Table'!CW95:DH95))*1000</f>
        <v>0</v>
      </c>
      <c r="H93" s="213"/>
      <c r="I93" s="211">
        <f>IF(Init!$R$9="Yes",IF('Staging Table'!$F$1=2020,(SUM('Staging Table'!AX95:BD95)*Rates_previous!$C$87),(SUM('Staging Table'!AX95:BD95)*Rates_previous!$D$87)),IF('Staging Table'!$F$1=2020,(SUM('Staging Table'!DK95:DQ95)*Rates_previous!$C$87),(SUM('Staging Table'!DK95:DQ95)*Rates_previous!$D$87)))</f>
        <v>26953.70922952583</v>
      </c>
      <c r="J93" s="213">
        <f>IF(Init!$R$9="Yes",IF('Staging Table'!D95=1,'Staging Table'!H95*-1*'Staging Table'!F95/'Staging Table'!E95,'Staging Table'!H95*SUM(D93:I93)*(-1)),IF('Staging Table'!D95=1,'Staging Table'!BU95*-1*'Staging Table'!BS95/'Staging Table'!BR95,'Staging Table'!BU95*SUM(D93:I93)*(-1)))</f>
        <v>-139480.61191633591</v>
      </c>
      <c r="K93" s="211">
        <f>IF(Init!$R$9="Yes",'Staging Table'!K95,'Staging Table'!BX95)*(-1)*Rates_previous!$H$32</f>
        <v>0</v>
      </c>
      <c r="L93" s="211" t="str">
        <f>IF('Staging Table'!C95=1,"",SUM(D93:K93))</f>
        <v/>
      </c>
      <c r="M93" s="211" t="str">
        <f>IF('Staging Table'!C95=1,"",IF(Init!$R$9="Yes",(RT1SC!$C$3*'Staging Table'!F95*'Staging Table'!$F$2),X93))</f>
        <v/>
      </c>
      <c r="N93" s="95" t="str">
        <f>IF('Staging Table'!C95=1,"",IF(M93=0, 0, L93/M93))</f>
        <v/>
      </c>
      <c r="O93" s="211">
        <f>'Staging Table'!BS95*Rates_current!$E$76*100*12</f>
        <v>2217044.1902297353</v>
      </c>
      <c r="P93" s="211">
        <f>'Staging Table'!BS95*Rates_current!$E$77*100*12</f>
        <v>-366039.31559149153</v>
      </c>
      <c r="Q93" s="212"/>
      <c r="R93" s="212">
        <f>SUMPRODUCT('Staging Table'!CW95:DH95, LS_Demand_Rates_Restatement!$C$11:$N$11)*1000</f>
        <v>0</v>
      </c>
      <c r="S93" s="213"/>
      <c r="T93" s="213">
        <v>0</v>
      </c>
      <c r="U93" s="213">
        <f>IF('Staging Table'!D95=1, 'Staging Table'!BU95*-1*'Staging Table'!BS95/'Staging Table'!BR95,SUM(O93:T93)*'Staging Table'!BU95*-1)</f>
        <v>-133876.86990700016</v>
      </c>
      <c r="V93" s="211">
        <f>'Staging Table'!BX95*Rates_current!$H$32*-1</f>
        <v>0</v>
      </c>
      <c r="W93" s="211" t="str">
        <f>IF('Staging Table'!C95=1,"",SUM(O93:V93))</f>
        <v/>
      </c>
      <c r="X93" s="211" t="str">
        <f>IF('Staging Table'!C95=1,"",(RT1SC!$C$4*'Staging Table'!BS95*'Staging Table'!$BS$2))</f>
        <v/>
      </c>
      <c r="Y93" s="95" t="str">
        <f>IF('Staging Table'!C95=1,"",IF(X93=0, 0, W93/X93))</f>
        <v/>
      </c>
      <c r="Z93" s="87" t="str">
        <f ca="1">IF('Staging Table'!C95=1,"",(Y93/N93-1)+(RAND()/100000000000))</f>
        <v/>
      </c>
      <c r="AA93" s="53" t="str">
        <f t="shared" ca="1" si="1"/>
        <v/>
      </c>
      <c r="AD93" s="216"/>
      <c r="AE93" s="216"/>
      <c r="AG93" s="216"/>
      <c r="AH93" s="216"/>
    </row>
    <row r="94" spans="2:34">
      <c r="B94" s="135">
        <v>10286</v>
      </c>
      <c r="C94" s="136" t="s">
        <v>97</v>
      </c>
      <c r="D94" s="211">
        <f>IF(Init!$R$9="Yes",'Staging Table'!F96,'Staging Table'!BS96)*Rates_previous!$E$76*100*12</f>
        <v>15451165.39632</v>
      </c>
      <c r="E94" s="211">
        <f>IF(Init!$R$9="Yes",'Staging Table'!F96,'Staging Table'!BS96)*Rates_previous!$E$77*100*12</f>
        <v>-1563135.5256000001</v>
      </c>
      <c r="F94" s="212"/>
      <c r="G94" s="212">
        <f>IF(Init!$R$9="Yes",SUMPRODUCT('Staging Table'!AJ96:AU96,LS_Demand_Rates_Restatement!$C$10:$N$10),SUMPRODUCT(LS_Demand_Rates_Restatement!$C$10:$N$10,'Staging Table'!CW96:DH96))*1000</f>
        <v>0</v>
      </c>
      <c r="H94" s="213"/>
      <c r="I94" s="211">
        <f>IF(Init!$R$9="Yes",IF('Staging Table'!$F$1=2020,(SUM('Staging Table'!AX96:BD96)*Rates_previous!$C$87),(SUM('Staging Table'!AX96:BD96)*Rates_previous!$D$87)),IF('Staging Table'!$F$1=2020,(SUM('Staging Table'!DK96:DQ96)*Rates_previous!$C$87),(SUM('Staging Table'!DK96:DQ96)*Rates_previous!$D$87)))</f>
        <v>189541.86527095005</v>
      </c>
      <c r="J94" s="213">
        <f>IF(Init!$R$9="Yes",IF('Staging Table'!D96=1,'Staging Table'!H96*-1*'Staging Table'!F96/'Staging Table'!E96,'Staging Table'!H96*SUM(D94:I94)*(-1)),IF('Staging Table'!D96=1,'Staging Table'!BU96*-1*'Staging Table'!BS96/'Staging Table'!BR96,'Staging Table'!BU96*SUM(D94:I94)*(-1)))</f>
        <v>0</v>
      </c>
      <c r="K94" s="211">
        <f>IF(Init!$R$9="Yes",'Staging Table'!K96,'Staging Table'!BX96)*(-1)*Rates_previous!$H$32</f>
        <v>-615584.55761000002</v>
      </c>
      <c r="L94" s="211">
        <f>IF('Staging Table'!C96=1,"",SUM(D94:K94))</f>
        <v>13461987.178380951</v>
      </c>
      <c r="M94" s="211">
        <f>IF('Staging Table'!C96=1,"",IF(Init!$R$9="Yes",(RT1SC!$C$3*'Staging Table'!F96*'Staging Table'!$F$2),X94))</f>
        <v>401145.58112808963</v>
      </c>
      <c r="N94" s="95">
        <f>IF('Staging Table'!C96=1,"",IF(M94=0, 0, L94/M94))</f>
        <v>33.558856962909957</v>
      </c>
      <c r="O94" s="211">
        <f>'Staging Table'!BS96*Rates_current!$E$76*100*12</f>
        <v>15590772.735468445</v>
      </c>
      <c r="P94" s="211">
        <f>'Staging Table'!BS96*Rates_current!$E$77*100*12</f>
        <v>-2574073.9885937958</v>
      </c>
      <c r="Q94" s="212"/>
      <c r="R94" s="212">
        <f>SUMPRODUCT('Staging Table'!CW96:DH96, LS_Demand_Rates_Restatement!$C$11:$N$11)*1000</f>
        <v>0</v>
      </c>
      <c r="S94" s="213"/>
      <c r="T94" s="213">
        <v>0</v>
      </c>
      <c r="U94" s="213">
        <f>IF('Staging Table'!D96=1, 'Staging Table'!BU96*-1*'Staging Table'!BS96/'Staging Table'!BR96,SUM(O94:T94)*'Staging Table'!BU96*-1)</f>
        <v>0</v>
      </c>
      <c r="V94" s="211">
        <f>'Staging Table'!BX96*Rates_current!$H$32*-1</f>
        <v>-603948.84590000007</v>
      </c>
      <c r="W94" s="211">
        <f>IF('Staging Table'!C96=1,"",SUM(O94:V94))</f>
        <v>12412749.90097465</v>
      </c>
      <c r="X94" s="211">
        <f>IF('Staging Table'!C96=1,"",(RT1SC!$C$4*'Staging Table'!BS96*'Staging Table'!$BS$2))</f>
        <v>383644.99511629198</v>
      </c>
      <c r="Y94" s="95">
        <f>IF('Staging Table'!C96=1,"",IF(X94=0, 0, W94/X94))</f>
        <v>32.354781266498861</v>
      </c>
      <c r="Z94" s="87">
        <f ca="1">IF('Staging Table'!C96=1,"",(Y94/N94-1)+(RAND()/100000000000))</f>
        <v>-3.5879520501535617E-2</v>
      </c>
      <c r="AA94" s="53">
        <f t="shared" ca="1" si="1"/>
        <v>81</v>
      </c>
      <c r="AD94" s="216"/>
      <c r="AE94" s="216"/>
      <c r="AG94" s="216"/>
      <c r="AH94" s="216"/>
    </row>
    <row r="95" spans="2:34">
      <c r="B95" s="135">
        <v>10288</v>
      </c>
      <c r="C95" s="136" t="s">
        <v>98</v>
      </c>
      <c r="D95" s="211">
        <f>IF(Init!$R$9="Yes",'Staging Table'!F97,'Staging Table'!BS97)*Rates_previous!$E$76*100*12</f>
        <v>8190933.4310400002</v>
      </c>
      <c r="E95" s="211">
        <f>IF(Init!$R$9="Yes",'Staging Table'!F97,'Staging Table'!BS97)*Rates_previous!$E$77*100*12</f>
        <v>-828645.52320000005</v>
      </c>
      <c r="F95" s="212"/>
      <c r="G95" s="212">
        <f>IF(Init!$R$9="Yes",SUMPRODUCT('Staging Table'!AJ97:AU97,LS_Demand_Rates_Restatement!$C$10:$N$10),SUMPRODUCT(LS_Demand_Rates_Restatement!$C$10:$N$10,'Staging Table'!CW97:DH97))*1000</f>
        <v>0</v>
      </c>
      <c r="H95" s="213"/>
      <c r="I95" s="211">
        <f>IF(Init!$R$9="Yes",IF('Staging Table'!$F$1=2020,(SUM('Staging Table'!AX97:BD97)*Rates_previous!$C$87),(SUM('Staging Table'!AX97:BD97)*Rates_previous!$D$87)),IF('Staging Table'!$F$1=2020,(SUM('Staging Table'!DK97:DQ97)*Rates_previous!$C$87),(SUM('Staging Table'!DK97:DQ97)*Rates_previous!$D$87)))</f>
        <v>100479.46294065747</v>
      </c>
      <c r="J95" s="213">
        <f>IF(Init!$R$9="Yes",IF('Staging Table'!D97=1,'Staging Table'!H97*-1*'Staging Table'!F97/'Staging Table'!E97,'Staging Table'!H97*SUM(D95:I95)*(-1)),IF('Staging Table'!D97=1,'Staging Table'!BU97*-1*'Staging Table'!BS97/'Staging Table'!BR97,'Staging Table'!BU97*SUM(D95:I95)*(-1)))</f>
        <v>-410452.20539293619</v>
      </c>
      <c r="K95" s="211">
        <f>IF(Init!$R$9="Yes",'Staging Table'!K97,'Staging Table'!BX97)*(-1)*Rates_previous!$H$32</f>
        <v>0</v>
      </c>
      <c r="L95" s="211" t="str">
        <f>IF('Staging Table'!C97=1,"",SUM(D95:K95))</f>
        <v/>
      </c>
      <c r="M95" s="211" t="str">
        <f>IF('Staging Table'!C97=1,"",IF(Init!$R$9="Yes",(RT1SC!$C$3*'Staging Table'!F97*'Staging Table'!$F$2),X95))</f>
        <v/>
      </c>
      <c r="N95" s="95" t="str">
        <f>IF('Staging Table'!C97=1,"",IF(M95=0, 0, L95/M95))</f>
        <v/>
      </c>
      <c r="O95" s="211">
        <f>'Staging Table'!BS97*Rates_current!$E$76*100*12</f>
        <v>8399348.0543857738</v>
      </c>
      <c r="P95" s="211">
        <f>'Staging Table'!BS97*Rates_current!$E$77*100*12</f>
        <v>-1386752.5179656022</v>
      </c>
      <c r="Q95" s="212"/>
      <c r="R95" s="212">
        <f>SUMPRODUCT('Staging Table'!CW97:DH97, LS_Demand_Rates_Restatement!$C$11:$N$11)*1000</f>
        <v>0</v>
      </c>
      <c r="S95" s="213"/>
      <c r="T95" s="213">
        <v>0</v>
      </c>
      <c r="U95" s="213">
        <f>IF('Staging Table'!D97=1, 'Staging Table'!BU97*-1*'Staging Table'!BS97/'Staging Table'!BR97,SUM(O95:T95)*'Staging Table'!BU97*-1)</f>
        <v>-446185.82772204641</v>
      </c>
      <c r="V95" s="211">
        <f>'Staging Table'!BX97*Rates_current!$H$32*-1</f>
        <v>0</v>
      </c>
      <c r="W95" s="211" t="str">
        <f>IF('Staging Table'!C97=1,"",SUM(O95:V95))</f>
        <v/>
      </c>
      <c r="X95" s="211" t="str">
        <f>IF('Staging Table'!C97=1,"",(RT1SC!$C$4*'Staging Table'!BS97*'Staging Table'!$BS$2))</f>
        <v/>
      </c>
      <c r="Y95" s="95" t="str">
        <f>IF('Staging Table'!C97=1,"",IF(X95=0, 0, W95/X95))</f>
        <v/>
      </c>
      <c r="Z95" s="87" t="str">
        <f ca="1">IF('Staging Table'!C97=1,"",(Y95/N95-1)+(RAND()/100000000000))</f>
        <v/>
      </c>
      <c r="AA95" s="53" t="str">
        <f t="shared" ca="1" si="1"/>
        <v/>
      </c>
      <c r="AD95" s="216"/>
      <c r="AE95" s="216"/>
      <c r="AG95" s="216"/>
      <c r="AH95" s="216"/>
    </row>
    <row r="96" spans="2:34">
      <c r="B96" s="135">
        <v>10291</v>
      </c>
      <c r="C96" s="136" t="s">
        <v>99</v>
      </c>
      <c r="D96" s="211">
        <f>IF(Init!$R$9="Yes",'Staging Table'!F98,'Staging Table'!BS98)*Rates_previous!$E$76*100*12</f>
        <v>26648578.28136</v>
      </c>
      <c r="E96" s="211">
        <f>IF(Init!$R$9="Yes",'Staging Table'!F98,'Staging Table'!BS98)*Rates_previous!$E$77*100*12</f>
        <v>-2695935.1188000003</v>
      </c>
      <c r="F96" s="212"/>
      <c r="G96" s="212">
        <f>IF(Init!$R$9="Yes",SUMPRODUCT('Staging Table'!AJ98:AU98,LS_Demand_Rates_Restatement!$C$10:$N$10),SUMPRODUCT(LS_Demand_Rates_Restatement!$C$10:$N$10,'Staging Table'!CW98:DH98))*1000</f>
        <v>1533466.767705698</v>
      </c>
      <c r="H96" s="213"/>
      <c r="I96" s="211">
        <f>IF(Init!$R$9="Yes",IF('Staging Table'!$F$1=2020,(SUM('Staging Table'!AX98:BD98)*Rates_previous!$C$87),(SUM('Staging Table'!AX98:BD98)*Rates_previous!$D$87)),IF('Staging Table'!$F$1=2020,(SUM('Staging Table'!DK98:DQ98)*Rates_previous!$C$87),(SUM('Staging Table'!DK98:DQ98)*Rates_previous!$D$87)))</f>
        <v>326902.2824304828</v>
      </c>
      <c r="J96" s="213">
        <f>IF(Init!$R$9="Yes",IF('Staging Table'!D98=1,'Staging Table'!H98*-1*'Staging Table'!F98/'Staging Table'!E98,'Staging Table'!H98*SUM(D96:I96)*(-1)),IF('Staging Table'!D98=1,'Staging Table'!BU98*-1*'Staging Table'!BS98/'Staging Table'!BR98,'Staging Table'!BU98*SUM(D96:I96)*(-1)))</f>
        <v>-1296451.4348310016</v>
      </c>
      <c r="K96" s="211">
        <f>IF(Init!$R$9="Yes",'Staging Table'!K98,'Staging Table'!BX98)*(-1)*Rates_previous!$H$32</f>
        <v>-402855.27710999991</v>
      </c>
      <c r="L96" s="211">
        <f>IF('Staging Table'!C98=1,"",SUM(D96:K96))</f>
        <v>24113705.50075518</v>
      </c>
      <c r="M96" s="211">
        <f>IF('Staging Table'!C98=1,"",IF(Init!$R$9="Yes",(RT1SC!$C$3*'Staging Table'!F98*'Staging Table'!$F$2),X96))</f>
        <v>691854.57191854075</v>
      </c>
      <c r="N96" s="95">
        <f>IF('Staging Table'!C98=1,"",IF(M96=0, 0, L96/M96))</f>
        <v>34.853719957196923</v>
      </c>
      <c r="O96" s="211">
        <f>'Staging Table'!BS98*Rates_current!$E$76*100*12</f>
        <v>26888945.037717607</v>
      </c>
      <c r="P96" s="211">
        <f>'Staging Table'!BS98*Rates_current!$E$77*100*12</f>
        <v>-4439429.3455934646</v>
      </c>
      <c r="Q96" s="212"/>
      <c r="R96" s="212">
        <f>SUMPRODUCT('Staging Table'!CW98:DH98, LS_Demand_Rates_Restatement!$C$11:$N$11)*1000</f>
        <v>1409190.6986677882</v>
      </c>
      <c r="S96" s="213"/>
      <c r="T96" s="213">
        <v>0</v>
      </c>
      <c r="U96" s="213">
        <f>IF('Staging Table'!D98=1, 'Staging Table'!BU98*-1*'Staging Table'!BS98/'Staging Table'!BR98,SUM(O96:T96)*'Staging Table'!BU98*-1)</f>
        <v>-1268350.589237229</v>
      </c>
      <c r="V96" s="211">
        <f>'Staging Table'!BX98*Rates_current!$H$32*-1</f>
        <v>-395240.55089999997</v>
      </c>
      <c r="W96" s="211">
        <f>IF('Staging Table'!C98=1,"",SUM(O96:V96))</f>
        <v>22195115.250654701</v>
      </c>
      <c r="X96" s="211">
        <f>IF('Staging Table'!C98=1,"",(RT1SC!$C$4*'Staging Table'!BS98*'Staging Table'!$BS$2))</f>
        <v>661661.18656898395</v>
      </c>
      <c r="Y96" s="95">
        <f>IF('Staging Table'!C98=1,"",IF(X96=0, 0, W96/X96))</f>
        <v>33.544532611541761</v>
      </c>
      <c r="Z96" s="87">
        <f ca="1">IF('Staging Table'!C98=1,"",(Y96/N96-1)+(RAND()/100000000000))</f>
        <v>-3.756234189961441E-2</v>
      </c>
      <c r="AA96" s="53">
        <f t="shared" ca="1" si="1"/>
        <v>92</v>
      </c>
      <c r="AD96" s="216"/>
      <c r="AE96" s="216"/>
      <c r="AG96" s="216"/>
      <c r="AH96" s="216"/>
    </row>
    <row r="97" spans="2:34">
      <c r="B97" s="135">
        <v>10294</v>
      </c>
      <c r="C97" s="136" t="s">
        <v>100</v>
      </c>
      <c r="D97" s="211">
        <f>IF(Init!$R$9="Yes",'Staging Table'!F99,'Staging Table'!BS99)*Rates_previous!$E$76*100*12</f>
        <v>5455631.2938000001</v>
      </c>
      <c r="E97" s="211">
        <f>IF(Init!$R$9="Yes",'Staging Table'!F99,'Staging Table'!BS99)*Rates_previous!$E$77*100*12</f>
        <v>-551925.42900000012</v>
      </c>
      <c r="F97" s="212"/>
      <c r="G97" s="212">
        <f>IF(Init!$R$9="Yes",SUMPRODUCT('Staging Table'!AJ99:AU99,LS_Demand_Rates_Restatement!$C$10:$N$10),SUMPRODUCT(LS_Demand_Rates_Restatement!$C$10:$N$10,'Staging Table'!CW99:DH99))*1000</f>
        <v>0</v>
      </c>
      <c r="H97" s="213"/>
      <c r="I97" s="211">
        <f>IF(Init!$R$9="Yes",IF('Staging Table'!$F$1=2020,(SUM('Staging Table'!AX99:BD99)*Rates_previous!$C$87),(SUM('Staging Table'!AX99:BD99)*Rates_previous!$D$87)),IF('Staging Table'!$F$1=2020,(SUM('Staging Table'!DK99:DQ99)*Rates_previous!$C$87),(SUM('Staging Table'!DK99:DQ99)*Rates_previous!$D$87)))</f>
        <v>66925.083327611181</v>
      </c>
      <c r="J97" s="213">
        <f>IF(Init!$R$9="Yes",IF('Staging Table'!D99=1,'Staging Table'!H99*-1*'Staging Table'!F99/'Staging Table'!E99,'Staging Table'!H99*SUM(D97:I97)*(-1)),IF('Staging Table'!D99=1,'Staging Table'!BU99*-1*'Staging Table'!BS99/'Staging Table'!BR99,'Staging Table'!BU99*SUM(D97:I97)*(-1)))</f>
        <v>0</v>
      </c>
      <c r="K97" s="211">
        <f>IF(Init!$R$9="Yes",'Staging Table'!K99,'Staging Table'!BX99)*(-1)*Rates_previous!$H$32</f>
        <v>0</v>
      </c>
      <c r="L97" s="211">
        <f>IF('Staging Table'!C99=1,"",SUM(D97:K97))</f>
        <v>4970630.9481276106</v>
      </c>
      <c r="M97" s="211">
        <f>IF('Staging Table'!C99=1,"",IF(Init!$R$9="Yes",(RT1SC!$C$3*'Staging Table'!F99*'Staging Table'!$F$2),X97))</f>
        <v>141639.95592806401</v>
      </c>
      <c r="N97" s="95">
        <f>IF('Staging Table'!C99=1,"",IF(M97=0, 0, L97/M97))</f>
        <v>35.093423430970923</v>
      </c>
      <c r="O97" s="211">
        <f>'Staging Table'!BS99*Rates_current!$E$76*100*12</f>
        <v>5583018.474065816</v>
      </c>
      <c r="P97" s="211">
        <f>'Staging Table'!BS99*Rates_current!$E$77*100*12</f>
        <v>-921769.74648842798</v>
      </c>
      <c r="Q97" s="212"/>
      <c r="R97" s="212">
        <f>SUMPRODUCT('Staging Table'!CW99:DH99, LS_Demand_Rates_Restatement!$C$11:$N$11)*1000</f>
        <v>0</v>
      </c>
      <c r="S97" s="213"/>
      <c r="T97" s="213">
        <v>0</v>
      </c>
      <c r="U97" s="213">
        <f>IF('Staging Table'!D99=1, 'Staging Table'!BU99*-1*'Staging Table'!BS99/'Staging Table'!BR99,SUM(O97:T97)*'Staging Table'!BU99*-1)</f>
        <v>0</v>
      </c>
      <c r="V97" s="211">
        <f>'Staging Table'!BX99*Rates_current!$H$32*-1</f>
        <v>0</v>
      </c>
      <c r="W97" s="211">
        <f>IF('Staging Table'!C99=1,"",SUM(O97:V97))</f>
        <v>4661248.7275773883</v>
      </c>
      <c r="X97" s="211">
        <f>IF('Staging Table'!C99=1,"",(RT1SC!$C$4*'Staging Table'!BS99*'Staging Table'!$BS$2))</f>
        <v>137382.35631800402</v>
      </c>
      <c r="Y97" s="95">
        <f>IF('Staging Table'!C99=1,"",IF(X97=0, 0, W97/X97))</f>
        <v>33.929020090380625</v>
      </c>
      <c r="Z97" s="87">
        <f ca="1">IF('Staging Table'!C99=1,"",(Y97/N97-1)+(RAND()/100000000000))</f>
        <v>-3.3180101190719215E-2</v>
      </c>
      <c r="AA97" s="53">
        <f t="shared" ca="1" si="1"/>
        <v>40</v>
      </c>
      <c r="AD97" s="216"/>
      <c r="AE97" s="216"/>
      <c r="AG97" s="216"/>
      <c r="AH97" s="216"/>
    </row>
    <row r="98" spans="2:34">
      <c r="B98" s="135">
        <v>10304</v>
      </c>
      <c r="C98" s="136" t="s">
        <v>101</v>
      </c>
      <c r="D98" s="211">
        <f>IF(Init!$R$9="Yes",'Staging Table'!F100,'Staging Table'!BS100)*Rates_previous!$E$76*100*12</f>
        <v>4625700.3646799996</v>
      </c>
      <c r="E98" s="211">
        <f>IF(Init!$R$9="Yes",'Staging Table'!F100,'Staging Table'!BS100)*Rates_previous!$E$77*100*12</f>
        <v>-467964.47939999995</v>
      </c>
      <c r="F98" s="212"/>
      <c r="G98" s="212">
        <f>IF(Init!$R$9="Yes",SUMPRODUCT('Staging Table'!AJ100:AU100,LS_Demand_Rates_Restatement!$C$10:$N$10),SUMPRODUCT(LS_Demand_Rates_Restatement!$C$10:$N$10,'Staging Table'!CW100:DH100))*1000</f>
        <v>203029.74064038464</v>
      </c>
      <c r="H98" s="213"/>
      <c r="I98" s="211">
        <f>IF(Init!$R$9="Yes",IF('Staging Table'!$F$1=2020,(SUM('Staging Table'!AX100:BD100)*Rates_previous!$C$87),(SUM('Staging Table'!AX100:BD100)*Rates_previous!$D$87)),IF('Staging Table'!$F$1=2020,(SUM('Staging Table'!DK100:DQ100)*Rates_previous!$C$87),(SUM('Staging Table'!DK100:DQ100)*Rates_previous!$D$87)))</f>
        <v>56744.190668930351</v>
      </c>
      <c r="J98" s="213">
        <f>IF(Init!$R$9="Yes",IF('Staging Table'!D100=1,'Staging Table'!H100*-1*'Staging Table'!F100/'Staging Table'!E100,'Staging Table'!H100*SUM(D98:I98)*(-1)),IF('Staging Table'!D100=1,'Staging Table'!BU100*-1*'Staging Table'!BS100/'Staging Table'!BR100,'Staging Table'!BU100*SUM(D98:I98)*(-1)))</f>
        <v>0</v>
      </c>
      <c r="K98" s="211">
        <f>IF(Init!$R$9="Yes",'Staging Table'!K100,'Staging Table'!BX100)*(-1)*Rates_previous!$H$32</f>
        <v>0</v>
      </c>
      <c r="L98" s="211">
        <f>IF('Staging Table'!C100=1,"",SUM(D98:K98))</f>
        <v>4417509.8165893145</v>
      </c>
      <c r="M98" s="211">
        <f>IF('Staging Table'!C100=1,"",IF(Init!$R$9="Yes",(RT1SC!$C$3*'Staging Table'!F100*'Staging Table'!$F$2),X98))</f>
        <v>120093.15888599039</v>
      </c>
      <c r="N98" s="95">
        <f>IF('Staging Table'!C100=1,"",IF(M98=0, 0, L98/M98))</f>
        <v>36.78402548127697</v>
      </c>
      <c r="O98" s="211">
        <f>'Staging Table'!BS100*Rates_current!$E$76*100*12</f>
        <v>4765266.1010335386</v>
      </c>
      <c r="P98" s="211">
        <f>'Staging Table'!BS100*Rates_current!$E$77*100*12</f>
        <v>-786756.86750876473</v>
      </c>
      <c r="Q98" s="212"/>
      <c r="R98" s="212">
        <f>SUMPRODUCT('Staging Table'!CW100:DH100, LS_Demand_Rates_Restatement!$C$11:$N$11)*1000</f>
        <v>184512.6065065171</v>
      </c>
      <c r="S98" s="213"/>
      <c r="T98" s="213">
        <v>0</v>
      </c>
      <c r="U98" s="213">
        <f>IF('Staging Table'!D100=1, 'Staging Table'!BU100*-1*'Staging Table'!BS100/'Staging Table'!BR100,SUM(O98:T98)*'Staging Table'!BU100*-1)</f>
        <v>0</v>
      </c>
      <c r="V98" s="211">
        <f>'Staging Table'!BX100*Rates_current!$H$32*-1</f>
        <v>0</v>
      </c>
      <c r="W98" s="211">
        <f>IF('Staging Table'!C100=1,"",SUM(O98:V98))</f>
        <v>4163021.8400312909</v>
      </c>
      <c r="X98" s="211">
        <f>IF('Staging Table'!C100=1,"",(RT1SC!$C$4*'Staging Table'!BS100*'Staging Table'!$BS$2))</f>
        <v>117259.774167564</v>
      </c>
      <c r="Y98" s="95">
        <f>IF('Staging Table'!C100=1,"",IF(X98=0, 0, W98/X98))</f>
        <v>35.502557203311177</v>
      </c>
      <c r="Z98" s="87">
        <f ca="1">IF('Staging Table'!C100=1,"",(Y98/N98-1)+(RAND()/100000000000))</f>
        <v>-3.4837630220499127E-2</v>
      </c>
      <c r="AA98" s="53">
        <f t="shared" ca="1" si="1"/>
        <v>65</v>
      </c>
      <c r="AD98" s="216"/>
      <c r="AE98" s="216"/>
      <c r="AG98" s="216"/>
      <c r="AH98" s="216"/>
    </row>
    <row r="99" spans="2:34">
      <c r="B99" s="135">
        <v>10306</v>
      </c>
      <c r="C99" s="136" t="s">
        <v>102</v>
      </c>
      <c r="D99" s="211">
        <f>IF(Init!$R$9="Yes",'Staging Table'!F101,'Staging Table'!BS101)*Rates_previous!$E$76*100*12</f>
        <v>0</v>
      </c>
      <c r="E99" s="211">
        <f>IF(Init!$R$9="Yes",'Staging Table'!F101,'Staging Table'!BS101)*Rates_previous!$E$77*100*12</f>
        <v>0</v>
      </c>
      <c r="F99" s="212"/>
      <c r="G99" s="212">
        <f>IF(Init!$R$9="Yes",SUMPRODUCT('Staging Table'!AJ101:AU101,LS_Demand_Rates_Restatement!$C$10:$N$10),SUMPRODUCT(LS_Demand_Rates_Restatement!$C$10:$N$10,'Staging Table'!CW101:DH101))*1000</f>
        <v>0</v>
      </c>
      <c r="H99" s="213"/>
      <c r="I99" s="211">
        <f>IF(Init!$R$9="Yes",IF('Staging Table'!$F$1=2020,(SUM('Staging Table'!AX101:BD101)*Rates_previous!$C$87),(SUM('Staging Table'!AX101:BD101)*Rates_previous!$D$87)),IF('Staging Table'!$F$1=2020,(SUM('Staging Table'!DK101:DQ101)*Rates_previous!$C$87),(SUM('Staging Table'!DK101:DQ101)*Rates_previous!$D$87)))</f>
        <v>0</v>
      </c>
      <c r="J99" s="213">
        <v>0</v>
      </c>
      <c r="K99" s="211">
        <f>IF(Init!$R$9="Yes",'Staging Table'!K101,'Staging Table'!BX101)*(-1)*Rates_previous!$H$32</f>
        <v>0</v>
      </c>
      <c r="L99" s="211">
        <v>0</v>
      </c>
      <c r="M99" s="211">
        <f>IF('Staging Table'!C101=1,"",IF(Init!$R$9="Yes",(RT1SC!$C$3*'Staging Table'!F101*'Staging Table'!$F$2),X99))</f>
        <v>0</v>
      </c>
      <c r="N99" s="95">
        <f>IF('Staging Table'!C101=1,"",IF(M99=0, 0, L99/M99))</f>
        <v>0</v>
      </c>
      <c r="O99" s="211">
        <f>'Staging Table'!BS101*Rates_current!$E$76*100*12</f>
        <v>0</v>
      </c>
      <c r="P99" s="211">
        <f>'Staging Table'!BS101*Rates_current!$E$77*100*12</f>
        <v>0</v>
      </c>
      <c r="Q99" s="212"/>
      <c r="R99" s="212">
        <f>SUMPRODUCT('Staging Table'!CW101:DH101, LS_Demand_Rates_Restatement!$C$11:$N$11)*1000</f>
        <v>0</v>
      </c>
      <c r="S99" s="213"/>
      <c r="T99" s="213">
        <v>0</v>
      </c>
      <c r="U99" s="213">
        <v>0</v>
      </c>
      <c r="V99" s="211">
        <f>'Staging Table'!BX101*Rates_current!$H$32*-1</f>
        <v>0</v>
      </c>
      <c r="W99" s="211">
        <f>IF('Staging Table'!C101=1,"",SUM(O99:V99))</f>
        <v>0</v>
      </c>
      <c r="X99" s="211">
        <f>IF('Staging Table'!C101=1,"",(RT1SC!$C$4*'Staging Table'!BS101*'Staging Table'!$BS$2))</f>
        <v>0</v>
      </c>
      <c r="Y99" s="95">
        <f>IF('Staging Table'!C101=1,"",IF(X99=0, 0, W99/X99))</f>
        <v>0</v>
      </c>
      <c r="Z99" s="87"/>
      <c r="AA99" s="53" t="str">
        <f t="shared" si="1"/>
        <v/>
      </c>
      <c r="AD99" s="216"/>
      <c r="AE99" s="216"/>
      <c r="AG99" s="216"/>
      <c r="AH99" s="216"/>
    </row>
    <row r="100" spans="2:34">
      <c r="B100" s="135">
        <v>10307</v>
      </c>
      <c r="C100" s="136" t="s">
        <v>103</v>
      </c>
      <c r="D100" s="211">
        <f>IF(Init!$R$9="Yes",'Staging Table'!F102,'Staging Table'!BS102)*Rates_previous!$E$76*100*12</f>
        <v>22820010.888119999</v>
      </c>
      <c r="E100" s="211">
        <f>IF(Init!$R$9="Yes",'Staging Table'!F102,'Staging Table'!BS102)*Rates_previous!$E$77*100*12</f>
        <v>-2308613.5445999997</v>
      </c>
      <c r="F100" s="212"/>
      <c r="G100" s="212">
        <f>IF(Init!$R$9="Yes",SUMPRODUCT('Staging Table'!AJ102:AU102,LS_Demand_Rates_Restatement!$C$10:$N$10),SUMPRODUCT(LS_Demand_Rates_Restatement!$C$10:$N$10,'Staging Table'!CW102:DH102))*1000</f>
        <v>1437952.0998793798</v>
      </c>
      <c r="H100" s="213"/>
      <c r="I100" s="211">
        <f>IF(Init!$R$9="Yes",IF('Staging Table'!$F$1=2020,(SUM('Staging Table'!AX102:BD102)*Rates_previous!$C$87),(SUM('Staging Table'!AX102:BD102)*Rates_previous!$D$87)),IF('Staging Table'!$F$1=2020,(SUM('Staging Table'!DK102:DQ102)*Rates_previous!$C$87),(SUM('Staging Table'!DK102:DQ102)*Rates_previous!$D$87)))</f>
        <v>279936.64673784544</v>
      </c>
      <c r="J100" s="213">
        <f>IF(Init!$R$9="Yes",IF('Staging Table'!D102=1,'Staging Table'!H102*-1*'Staging Table'!F102/'Staging Table'!E102,'Staging Table'!H102*SUM(D100:I100)*(-1)),IF('Staging Table'!D102=1,'Staging Table'!BU102*-1*'Staging Table'!BS102/'Staging Table'!BR102,'Staging Table'!BU102*SUM(D100:I100)*(-1)))</f>
        <v>0</v>
      </c>
      <c r="K100" s="211">
        <f>IF(Init!$R$9="Yes",'Staging Table'!K102,'Staging Table'!BX102)*(-1)*Rates_previous!$H$32</f>
        <v>0</v>
      </c>
      <c r="L100" s="211">
        <f>IF('Staging Table'!C102=1,"",SUM(D100:K100))</f>
        <v>22229286.090137225</v>
      </c>
      <c r="M100" s="211">
        <f>IF('Staging Table'!C102=1,"",IF(Init!$R$9="Yes",(RT1SC!$C$3*'Staging Table'!F102*'Staging Table'!$F$2),X100))</f>
        <v>592456.70434959361</v>
      </c>
      <c r="N100" s="95">
        <f>IF('Staging Table'!C102=1,"",IF(M100=0, 0, L100/M100))</f>
        <v>37.52052416140824</v>
      </c>
      <c r="O100" s="211">
        <f>'Staging Table'!BS102*Rates_current!$E$76*100*12</f>
        <v>24254151.688009217</v>
      </c>
      <c r="P100" s="211">
        <f>'Staging Table'!BS102*Rates_current!$E$77*100*12</f>
        <v>-4004418.6413853834</v>
      </c>
      <c r="Q100" s="212"/>
      <c r="R100" s="212">
        <f>SUMPRODUCT('Staging Table'!CW102:DH102, LS_Demand_Rates_Restatement!$C$11:$N$11)*1000</f>
        <v>1368245.7190946136</v>
      </c>
      <c r="S100" s="213"/>
      <c r="T100" s="213">
        <v>0</v>
      </c>
      <c r="U100" s="213">
        <f>IF('Staging Table'!D102=1, 'Staging Table'!BU102*-1*'Staging Table'!BS102/'Staging Table'!BR102,SUM(O100:T100)*'Staging Table'!BU102*-1)</f>
        <v>0</v>
      </c>
      <c r="V100" s="211">
        <f>'Staging Table'!BX102*Rates_current!$H$32*-1</f>
        <v>0</v>
      </c>
      <c r="W100" s="211">
        <f>IF('Staging Table'!C102=1,"",SUM(O100:V100))</f>
        <v>21617978.765718445</v>
      </c>
      <c r="X100" s="211">
        <f>IF('Staging Table'!C102=1,"",(RT1SC!$C$4*'Staging Table'!BS102*'Staging Table'!$BS$2))</f>
        <v>596826.34490127605</v>
      </c>
      <c r="Y100" s="95">
        <f>IF('Staging Table'!C102=1,"",IF(X100=0, 0, W100/X100))</f>
        <v>36.221555818375244</v>
      </c>
      <c r="Z100" s="87">
        <f ca="1">IF('Staging Table'!C102=1,"",(Y100/N100-1)+(RAND()/100000000000))</f>
        <v>-3.4620207794142516E-2</v>
      </c>
      <c r="AA100" s="53">
        <f t="shared" ca="1" si="1"/>
        <v>64</v>
      </c>
      <c r="AD100" s="216"/>
      <c r="AE100" s="216"/>
      <c r="AG100" s="216"/>
      <c r="AH100" s="216"/>
    </row>
    <row r="101" spans="2:34">
      <c r="B101" s="135">
        <v>10326</v>
      </c>
      <c r="C101" s="136" t="s">
        <v>104</v>
      </c>
      <c r="D101" s="211">
        <f>IF(Init!$R$9="Yes",'Staging Table'!F103,'Staging Table'!BS103)*Rates_previous!$E$76*100*12</f>
        <v>9988166.4453599993</v>
      </c>
      <c r="E101" s="211">
        <f>IF(Init!$R$9="Yes",'Staging Table'!F103,'Staging Table'!BS103)*Rates_previous!$E$77*100*12</f>
        <v>-1010464.7387999999</v>
      </c>
      <c r="F101" s="212"/>
      <c r="G101" s="212">
        <f>IF(Init!$R$9="Yes",SUMPRODUCT('Staging Table'!AJ103:AU103,LS_Demand_Rates_Restatement!$C$10:$N$10),SUMPRODUCT(LS_Demand_Rates_Restatement!$C$10:$N$10,'Staging Table'!CW103:DH103))*1000</f>
        <v>367200.76135388168</v>
      </c>
      <c r="H101" s="213"/>
      <c r="I101" s="211">
        <f>IF(Init!$R$9="Yes",IF('Staging Table'!$F$1=2020,(SUM('Staging Table'!AX103:BD103)*Rates_previous!$C$87),(SUM('Staging Table'!AX103:BD103)*Rates_previous!$D$87)),IF('Staging Table'!$F$1=2020,(SUM('Staging Table'!DK103:DQ103)*Rates_previous!$C$87),(SUM('Staging Table'!DK103:DQ103)*Rates_previous!$D$87)))</f>
        <v>122526.40173932421</v>
      </c>
      <c r="J101" s="213">
        <f>IF(Init!$R$9="Yes",IF('Staging Table'!D103=1,'Staging Table'!H103*-1*'Staging Table'!F103/'Staging Table'!E103,'Staging Table'!H103*SUM(D101:I101)*(-1)),IF('Staging Table'!D103=1,'Staging Table'!BU103*-1*'Staging Table'!BS103/'Staging Table'!BR103,'Staging Table'!BU103*SUM(D101:I101)*(-1)))</f>
        <v>0</v>
      </c>
      <c r="K101" s="211">
        <f>IF(Init!$R$9="Yes",'Staging Table'!K103,'Staging Table'!BX103)*(-1)*Rates_previous!$H$32</f>
        <v>0</v>
      </c>
      <c r="L101" s="211">
        <f>IF('Staging Table'!C103=1,"",SUM(D101:K101))</f>
        <v>9467428.8696532045</v>
      </c>
      <c r="M101" s="211">
        <f>IF('Staging Table'!C103=1,"",IF(Init!$R$9="Yes",(RT1SC!$C$3*'Staging Table'!F103*'Staging Table'!$F$2),X101))</f>
        <v>259314.34492846078</v>
      </c>
      <c r="N101" s="95">
        <f>IF('Staging Table'!C103=1,"",IF(M101=0, 0, L101/M101))</f>
        <v>36.50946835303332</v>
      </c>
      <c r="O101" s="211">
        <f>'Staging Table'!BS103*Rates_current!$E$76*100*12</f>
        <v>10343488.373497993</v>
      </c>
      <c r="P101" s="211">
        <f>'Staging Table'!BS103*Rates_current!$E$77*100*12</f>
        <v>-1707734.74960435</v>
      </c>
      <c r="Q101" s="212"/>
      <c r="R101" s="212">
        <f>SUMPRODUCT('Staging Table'!CW103:DH103, LS_Demand_Rates_Restatement!$C$11:$N$11)*1000</f>
        <v>336576.96881241992</v>
      </c>
      <c r="S101" s="213"/>
      <c r="T101" s="213">
        <v>0</v>
      </c>
      <c r="U101" s="213">
        <f>IF('Staging Table'!D103=1, 'Staging Table'!BU103*-1*'Staging Table'!BS103/'Staging Table'!BR103,SUM(O101:T101)*'Staging Table'!BU103*-1)</f>
        <v>0</v>
      </c>
      <c r="V101" s="211">
        <f>'Staging Table'!BX103*Rates_current!$H$32*-1</f>
        <v>0</v>
      </c>
      <c r="W101" s="211">
        <f>IF('Staging Table'!C103=1,"",SUM(O101:V101))</f>
        <v>8972330.5927060619</v>
      </c>
      <c r="X101" s="211">
        <f>IF('Staging Table'!C103=1,"",(RT1SC!$C$4*'Staging Table'!BS103*'Staging Table'!$BS$2))</f>
        <v>254524.10947588799</v>
      </c>
      <c r="Y101" s="95">
        <f>IF('Staging Table'!C103=1,"",IF(X101=0, 0, W101/X101))</f>
        <v>35.251397642375579</v>
      </c>
      <c r="Z101" s="87">
        <f ca="1">IF('Staging Table'!C103=1,"",(Y101/N101-1)+(RAND()/100000000000))</f>
        <v>-3.4458751855104067E-2</v>
      </c>
      <c r="AA101" s="53">
        <f t="shared" ca="1" si="1"/>
        <v>60</v>
      </c>
      <c r="AD101" s="216"/>
      <c r="AE101" s="216"/>
      <c r="AG101" s="216"/>
      <c r="AH101" s="216"/>
    </row>
    <row r="102" spans="2:34">
      <c r="B102" s="135">
        <v>10331</v>
      </c>
      <c r="C102" s="136" t="s">
        <v>105</v>
      </c>
      <c r="D102" s="211">
        <f>IF(Init!$R$9="Yes",'Staging Table'!F104,'Staging Table'!BS104)*Rates_previous!$E$76*100*12</f>
        <v>12158297.978519998</v>
      </c>
      <c r="E102" s="211">
        <f>IF(Init!$R$9="Yes",'Staging Table'!F104,'Staging Table'!BS104)*Rates_previous!$E$77*100*12</f>
        <v>-1230008.6765999999</v>
      </c>
      <c r="F102" s="212"/>
      <c r="G102" s="212">
        <f>IF(Init!$R$9="Yes",SUMPRODUCT('Staging Table'!AJ104:AU104,LS_Demand_Rates_Restatement!$C$10:$N$10),SUMPRODUCT(LS_Demand_Rates_Restatement!$C$10:$N$10,'Staging Table'!CW104:DH104))*1000</f>
        <v>0</v>
      </c>
      <c r="H102" s="213"/>
      <c r="I102" s="211">
        <f>IF(Init!$R$9="Yes",IF('Staging Table'!$F$1=2020,(SUM('Staging Table'!AX104:BD104)*Rates_previous!$C$87),(SUM('Staging Table'!AX104:BD104)*Rates_previous!$D$87)),IF('Staging Table'!$F$1=2020,(SUM('Staging Table'!DK104:DQ104)*Rates_previous!$C$87),(SUM('Staging Table'!DK104:DQ104)*Rates_previous!$D$87)))</f>
        <v>149147.74505731236</v>
      </c>
      <c r="J102" s="213">
        <f>IF(Init!$R$9="Yes",IF('Staging Table'!D104=1,'Staging Table'!H104*-1*'Staging Table'!F104/'Staging Table'!E104,'Staging Table'!H104*SUM(D102:I102)*(-1)),IF('Staging Table'!D104=1,'Staging Table'!BU104*-1*'Staging Table'!BS104/'Staging Table'!BR104,'Staging Table'!BU104*SUM(D102:I102)*(-1)))</f>
        <v>-775420.59328841185</v>
      </c>
      <c r="K102" s="211">
        <f>IF(Init!$R$9="Yes",'Staging Table'!K104,'Staging Table'!BX104)*(-1)*Rates_previous!$H$32</f>
        <v>-1478594.99238</v>
      </c>
      <c r="L102" s="211" t="str">
        <f>IF('Staging Table'!C104=1,"",SUM(D102:K102))</f>
        <v/>
      </c>
      <c r="M102" s="211" t="str">
        <f>IF('Staging Table'!C104=1,"",IF(Init!$R$9="Yes",(RT1SC!$C$3*'Staging Table'!F104*'Staging Table'!$F$2),X102))</f>
        <v/>
      </c>
      <c r="N102" s="95" t="str">
        <f>IF('Staging Table'!C104=1,"",IF(M102=0, 0, L102/M102))</f>
        <v/>
      </c>
      <c r="O102" s="211">
        <f>'Staging Table'!BS104*Rates_current!$E$76*100*12</f>
        <v>12429596.260010537</v>
      </c>
      <c r="P102" s="211">
        <f>'Staging Table'!BS104*Rates_current!$E$77*100*12</f>
        <v>-2052156.1672712388</v>
      </c>
      <c r="Q102" s="212"/>
      <c r="R102" s="212">
        <f>SUMPRODUCT('Staging Table'!CW104:DH104, LS_Demand_Rates_Restatement!$C$11:$N$11)*1000</f>
        <v>0</v>
      </c>
      <c r="S102" s="213"/>
      <c r="T102" s="213">
        <v>0</v>
      </c>
      <c r="U102" s="213">
        <f>IF('Staging Table'!D104=1, 'Staging Table'!BU104*-1*'Staging Table'!BS104/'Staging Table'!BR104,SUM(O102:T102)*'Staging Table'!BU104*-1)</f>
        <v>-736677.87244049611</v>
      </c>
      <c r="V102" s="211">
        <f>'Staging Table'!BX104*Rates_current!$H$32*-1</f>
        <v>-1450646.7522000002</v>
      </c>
      <c r="W102" s="211" t="str">
        <f>IF('Staging Table'!C104=1,"",SUM(O102:V102))</f>
        <v/>
      </c>
      <c r="X102" s="211" t="str">
        <f>IF('Staging Table'!C104=1,"",(RT1SC!$C$4*'Staging Table'!BS104*'Staging Table'!$BS$2))</f>
        <v/>
      </c>
      <c r="Y102" s="95" t="str">
        <f>IF('Staging Table'!C104=1,"",IF(X102=0, 0, W102/X102))</f>
        <v/>
      </c>
      <c r="Z102" s="87" t="str">
        <f ca="1">IF('Staging Table'!C104=1,"",(Y102/N102-1)+(RAND()/100000000000))</f>
        <v/>
      </c>
      <c r="AA102" s="53" t="str">
        <f t="shared" ca="1" si="1"/>
        <v/>
      </c>
      <c r="AD102" s="216"/>
      <c r="AE102" s="216"/>
      <c r="AG102" s="216"/>
      <c r="AH102" s="216"/>
    </row>
    <row r="103" spans="2:34">
      <c r="B103" s="135">
        <v>10333</v>
      </c>
      <c r="C103" s="136" t="s">
        <v>106</v>
      </c>
      <c r="D103" s="211">
        <f>IF(Init!$R$9="Yes",'Staging Table'!F105,'Staging Table'!BS105)*Rates_previous!$E$76*100*12</f>
        <v>6185742.3517199997</v>
      </c>
      <c r="E103" s="211">
        <f>IF(Init!$R$9="Yes",'Staging Table'!F105,'Staging Table'!BS105)*Rates_previous!$E$77*100*12</f>
        <v>-625787.98259999999</v>
      </c>
      <c r="F103" s="212"/>
      <c r="G103" s="212">
        <f>IF(Init!$R$9="Yes",SUMPRODUCT('Staging Table'!AJ105:AU105,LS_Demand_Rates_Restatement!$C$10:$N$10),SUMPRODUCT(LS_Demand_Rates_Restatement!$C$10:$N$10,'Staging Table'!CW105:DH105))*1000</f>
        <v>0</v>
      </c>
      <c r="H103" s="213"/>
      <c r="I103" s="211">
        <f>IF(Init!$R$9="Yes",IF('Staging Table'!$F$1=2020,(SUM('Staging Table'!AX105:BD105)*Rates_previous!$C$87),(SUM('Staging Table'!AX105:BD105)*Rates_previous!$D$87)),IF('Staging Table'!$F$1=2020,(SUM('Staging Table'!DK105:DQ105)*Rates_previous!$C$87),(SUM('Staging Table'!DK105:DQ105)*Rates_previous!$D$87)))</f>
        <v>75881.469996416301</v>
      </c>
      <c r="J103" s="213">
        <f>IF(Init!$R$9="Yes",IF('Staging Table'!D105=1,'Staging Table'!H105*-1*'Staging Table'!F105/'Staging Table'!E105,'Staging Table'!H105*SUM(D103:I103)*(-1)),IF('Staging Table'!D105=1,'Staging Table'!BU105*-1*'Staging Table'!BS105/'Staging Table'!BR105,'Staging Table'!BU105*SUM(D103:I103)*(-1)))</f>
        <v>-366329.32954256702</v>
      </c>
      <c r="K103" s="211">
        <f>IF(Init!$R$9="Yes",'Staging Table'!K105,'Staging Table'!BX105)*(-1)*Rates_previous!$H$32</f>
        <v>0</v>
      </c>
      <c r="L103" s="211" t="str">
        <f>IF('Staging Table'!C105=1,"",SUM(D103:K103))</f>
        <v/>
      </c>
      <c r="M103" s="211" t="str">
        <f>IF('Staging Table'!C105=1,"",IF(Init!$R$9="Yes",(RT1SC!$C$3*'Staging Table'!F105*'Staging Table'!$F$2),X103))</f>
        <v/>
      </c>
      <c r="N103" s="95" t="str">
        <f>IF('Staging Table'!C105=1,"",IF(M103=0, 0, L103/M103))</f>
        <v/>
      </c>
      <c r="O103" s="211">
        <f>'Staging Table'!BS105*Rates_current!$E$76*100*12</f>
        <v>6287100.869145805</v>
      </c>
      <c r="P103" s="211">
        <f>'Staging Table'!BS105*Rates_current!$E$77*100*12</f>
        <v>-1038015.4393577215</v>
      </c>
      <c r="Q103" s="212"/>
      <c r="R103" s="212">
        <f>SUMPRODUCT('Staging Table'!CW105:DH105, LS_Demand_Rates_Restatement!$C$11:$N$11)*1000</f>
        <v>0</v>
      </c>
      <c r="S103" s="213"/>
      <c r="T103" s="213">
        <v>0</v>
      </c>
      <c r="U103" s="213">
        <f>IF('Staging Table'!D105=1, 'Staging Table'!BU105*-1*'Staging Table'!BS105/'Staging Table'!BR105,SUM(O103:T103)*'Staging Table'!BU105*-1)</f>
        <v>-334864.36623258243</v>
      </c>
      <c r="V103" s="211">
        <f>'Staging Table'!BX105*Rates_current!$H$32*-1</f>
        <v>0</v>
      </c>
      <c r="W103" s="211" t="str">
        <f>IF('Staging Table'!C105=1,"",SUM(O103:V103))</f>
        <v/>
      </c>
      <c r="X103" s="211" t="str">
        <f>IF('Staging Table'!C105=1,"",(RT1SC!$C$4*'Staging Table'!BS105*'Staging Table'!$BS$2))</f>
        <v/>
      </c>
      <c r="Y103" s="95" t="str">
        <f>IF('Staging Table'!C105=1,"",IF(X103=0, 0, W103/X103))</f>
        <v/>
      </c>
      <c r="Z103" s="87" t="str">
        <f ca="1">IF('Staging Table'!C105=1,"",(Y103/N103-1)+(RAND()/100000000000))</f>
        <v/>
      </c>
      <c r="AA103" s="53" t="str">
        <f t="shared" ca="1" si="1"/>
        <v/>
      </c>
      <c r="AD103" s="216"/>
      <c r="AE103" s="216"/>
      <c r="AG103" s="216"/>
      <c r="AH103" s="216"/>
    </row>
    <row r="104" spans="2:34">
      <c r="B104" s="135">
        <v>10338</v>
      </c>
      <c r="C104" s="136" t="s">
        <v>107</v>
      </c>
      <c r="D104" s="211">
        <f>IF(Init!$R$9="Yes",'Staging Table'!F106,'Staging Table'!BS106)*Rates_previous!$E$76*100*12</f>
        <v>798558.96959999995</v>
      </c>
      <c r="E104" s="211">
        <f>IF(Init!$R$9="Yes",'Staging Table'!F106,'Staging Table'!BS106)*Rates_previous!$E$77*100*12</f>
        <v>-80787.167999999991</v>
      </c>
      <c r="F104" s="212"/>
      <c r="G104" s="212">
        <f>IF(Init!$R$9="Yes",SUMPRODUCT('Staging Table'!AJ106:AU106,LS_Demand_Rates_Restatement!$C$10:$N$10),SUMPRODUCT(LS_Demand_Rates_Restatement!$C$10:$N$10,'Staging Table'!CW106:DH106))*1000</f>
        <v>23163.096405769236</v>
      </c>
      <c r="H104" s="213"/>
      <c r="I104" s="211">
        <f>IF(Init!$R$9="Yes",IF('Staging Table'!$F$1=2020,(SUM('Staging Table'!AX106:BD106)*Rates_previous!$C$87),(SUM('Staging Table'!AX106:BD106)*Rates_previous!$D$87)),IF('Staging Table'!$F$1=2020,(SUM('Staging Table'!DK106:DQ106)*Rates_previous!$C$87),(SUM('Staging Table'!DK106:DQ106)*Rates_previous!$D$87)))</f>
        <v>9796.0479190056012</v>
      </c>
      <c r="J104" s="213">
        <f>IF(Init!$R$9="Yes",IF('Staging Table'!D106=1,'Staging Table'!H106*-1*'Staging Table'!F106/'Staging Table'!E106,'Staging Table'!H106*SUM(D104:I104)*(-1)),IF('Staging Table'!D106=1,'Staging Table'!BU106*-1*'Staging Table'!BS106/'Staging Table'!BR106,'Staging Table'!BU106*SUM(D104:I104)*(-1)))</f>
        <v>-27088.344788230599</v>
      </c>
      <c r="K104" s="211">
        <f>IF(Init!$R$9="Yes",'Staging Table'!K106,'Staging Table'!BX106)*(-1)*Rates_previous!$H$32</f>
        <v>-46164.383099999999</v>
      </c>
      <c r="L104" s="211">
        <f>IF('Staging Table'!C106=1,"",SUM(D104:K104))</f>
        <v>677478.21803654428</v>
      </c>
      <c r="M104" s="211">
        <f>IF('Staging Table'!C106=1,"",IF(Init!$R$9="Yes",(RT1SC!$C$3*'Staging Table'!F106*'Staging Table'!$F$2),X104))</f>
        <v>20732.313305087999</v>
      </c>
      <c r="N104" s="95">
        <f>IF('Staging Table'!C106=1,"",IF(M104=0, 0, L104/M104))</f>
        <v>32.677405944385455</v>
      </c>
      <c r="O104" s="211">
        <f>'Staging Table'!BS106*Rates_current!$E$76*100*12</f>
        <v>805522.05894880265</v>
      </c>
      <c r="P104" s="211">
        <f>'Staging Table'!BS106*Rates_current!$E$77*100*12</f>
        <v>-132993.62477791455</v>
      </c>
      <c r="Q104" s="212"/>
      <c r="R104" s="212">
        <f>SUMPRODUCT('Staging Table'!CW106:DH106, LS_Demand_Rates_Restatement!$C$11:$N$11)*1000</f>
        <v>23116.27978180199</v>
      </c>
      <c r="S104" s="213"/>
      <c r="T104" s="213">
        <v>0</v>
      </c>
      <c r="U104" s="213">
        <f>IF('Staging Table'!D106=1, 'Staging Table'!BU106*-1*'Staging Table'!BS106/'Staging Table'!BR106,SUM(O104:T104)*'Staging Table'!BU106*-1)</f>
        <v>-27349.319575948226</v>
      </c>
      <c r="V104" s="211">
        <f>'Staging Table'!BX106*Rates_current!$H$32*-1</f>
        <v>-45291.789000000004</v>
      </c>
      <c r="W104" s="211">
        <f>IF('Staging Table'!C106=1,"",SUM(O104:V104))</f>
        <v>623003.60537674185</v>
      </c>
      <c r="X104" s="211">
        <f>IF('Staging Table'!C106=1,"",(RT1SC!$C$4*'Staging Table'!BS106*'Staging Table'!$BS$2))</f>
        <v>19821.628575756</v>
      </c>
      <c r="Y104" s="95">
        <f>IF('Staging Table'!C106=1,"",IF(X104=0, 0, W104/X104))</f>
        <v>31.43049538011941</v>
      </c>
      <c r="Z104" s="87">
        <f ca="1">IF('Staging Table'!C106=1,"",(Y104/N104-1)+(RAND()/100000000000))</f>
        <v>-3.8158186924147679E-2</v>
      </c>
      <c r="AA104" s="53">
        <f t="shared" ca="1" si="1"/>
        <v>96</v>
      </c>
      <c r="AD104" s="216"/>
      <c r="AE104" s="216"/>
      <c r="AG104" s="216"/>
      <c r="AH104" s="216"/>
    </row>
    <row r="105" spans="2:34">
      <c r="B105" s="135">
        <v>10342</v>
      </c>
      <c r="C105" s="136" t="s">
        <v>108</v>
      </c>
      <c r="D105" s="211">
        <f>IF(Init!$R$9="Yes",'Staging Table'!F107,'Staging Table'!BS107)*Rates_previous!$E$76*100*12</f>
        <v>12837548.435399998</v>
      </c>
      <c r="E105" s="211">
        <f>IF(Init!$R$9="Yes",'Staging Table'!F107,'Staging Table'!BS107)*Rates_previous!$E$77*100*12</f>
        <v>-1298725.8570000001</v>
      </c>
      <c r="F105" s="212"/>
      <c r="G105" s="212">
        <f>IF(Init!$R$9="Yes",SUMPRODUCT('Staging Table'!AJ107:AU107,LS_Demand_Rates_Restatement!$C$10:$N$10),SUMPRODUCT(LS_Demand_Rates_Restatement!$C$10:$N$10,'Staging Table'!CW107:DH107))*1000</f>
        <v>779571.82654928754</v>
      </c>
      <c r="H105" s="213"/>
      <c r="I105" s="211">
        <f>IF(Init!$R$9="Yes",IF('Staging Table'!$F$1=2020,(SUM('Staging Table'!AX107:BD107)*Rates_previous!$C$87),(SUM('Staging Table'!AX107:BD107)*Rates_previous!$D$87)),IF('Staging Table'!$F$1=2020,(SUM('Staging Table'!DK107:DQ107)*Rates_previous!$C$87),(SUM('Staging Table'!DK107:DQ107)*Rates_previous!$D$87)))</f>
        <v>157480.21676937133</v>
      </c>
      <c r="J105" s="213">
        <f>IF(Init!$R$9="Yes",IF('Staging Table'!D107=1,'Staging Table'!H107*-1*'Staging Table'!F107/'Staging Table'!E107,'Staging Table'!H107*SUM(D105:I105)*(-1)),IF('Staging Table'!D107=1,'Staging Table'!BU107*-1*'Staging Table'!BS107/'Staging Table'!BR107,'Staging Table'!BU107*SUM(D105:I105)*(-1)))</f>
        <v>0</v>
      </c>
      <c r="K105" s="211">
        <f>IF(Init!$R$9="Yes",'Staging Table'!K107,'Staging Table'!BX107)*(-1)*Rates_previous!$H$32</f>
        <v>0</v>
      </c>
      <c r="L105" s="211">
        <f>IF('Staging Table'!C107=1,"",SUM(D105:K105))</f>
        <v>12475874.621718656</v>
      </c>
      <c r="M105" s="211">
        <f>IF('Staging Table'!C107=1,"",IF(Init!$R$9="Yes",(RT1SC!$C$3*'Staging Table'!F107*'Staging Table'!$F$2),X105))</f>
        <v>333290.44737331197</v>
      </c>
      <c r="N105" s="95">
        <f>IF('Staging Table'!C107=1,"",IF(M105=0, 0, L105/M105))</f>
        <v>37.432439843511865</v>
      </c>
      <c r="O105" s="211">
        <f>'Staging Table'!BS107*Rates_current!$E$76*100*12</f>
        <v>13138714.666771956</v>
      </c>
      <c r="P105" s="211">
        <f>'Staging Table'!BS107*Rates_current!$E$77*100*12</f>
        <v>-2169233.3177530169</v>
      </c>
      <c r="Q105" s="212"/>
      <c r="R105" s="212">
        <f>SUMPRODUCT('Staging Table'!CW107:DH107, LS_Demand_Rates_Restatement!$C$11:$N$11)*1000</f>
        <v>735364.78760687285</v>
      </c>
      <c r="S105" s="213"/>
      <c r="T105" s="213">
        <v>0</v>
      </c>
      <c r="U105" s="213">
        <f>IF('Staging Table'!D107=1, 'Staging Table'!BU107*-1*'Staging Table'!BS107/'Staging Table'!BR107,SUM(O105:T105)*'Staging Table'!BU107*-1)</f>
        <v>0</v>
      </c>
      <c r="V105" s="211">
        <f>'Staging Table'!BX107*Rates_current!$H$32*-1</f>
        <v>0</v>
      </c>
      <c r="W105" s="211">
        <f>IF('Staging Table'!C107=1,"",SUM(O105:V105))</f>
        <v>11704846.136625811</v>
      </c>
      <c r="X105" s="211">
        <f>IF('Staging Table'!C107=1,"",(RT1SC!$C$4*'Staging Table'!BS107*'Staging Table'!$BS$2))</f>
        <v>323306.75391739205</v>
      </c>
      <c r="Y105" s="95">
        <f>IF('Staging Table'!C107=1,"",IF(X105=0, 0, W105/X105))</f>
        <v>36.203531150532385</v>
      </c>
      <c r="Z105" s="87">
        <f ca="1">IF('Staging Table'!C107=1,"",(Y105/N105-1)+(RAND()/100000000000))</f>
        <v>-3.2830045221974559E-2</v>
      </c>
      <c r="AA105" s="53">
        <f t="shared" ca="1" si="1"/>
        <v>22</v>
      </c>
      <c r="AD105" s="216"/>
      <c r="AE105" s="216"/>
      <c r="AG105" s="216"/>
      <c r="AH105" s="216"/>
    </row>
    <row r="106" spans="2:34">
      <c r="B106" s="135">
        <v>10343</v>
      </c>
      <c r="C106" s="136" t="s">
        <v>109</v>
      </c>
      <c r="D106" s="211">
        <f>IF(Init!$R$9="Yes",'Staging Table'!F108,'Staging Table'!BS108)*Rates_previous!$E$76*100*12</f>
        <v>4085722.3947600005</v>
      </c>
      <c r="E106" s="211">
        <f>IF(Init!$R$9="Yes",'Staging Table'!F108,'Staging Table'!BS108)*Rates_previous!$E$77*100*12</f>
        <v>-413336.96580000001</v>
      </c>
      <c r="F106" s="212"/>
      <c r="G106" s="212">
        <f>IF(Init!$R$9="Yes",SUMPRODUCT('Staging Table'!AJ108:AU108,LS_Demand_Rates_Restatement!$C$10:$N$10),SUMPRODUCT(LS_Demand_Rates_Restatement!$C$10:$N$10,'Staging Table'!CW108:DH108))*1000</f>
        <v>0</v>
      </c>
      <c r="H106" s="213"/>
      <c r="I106" s="211">
        <f>IF(Init!$R$9="Yes",IF('Staging Table'!$F$1=2020,(SUM('Staging Table'!AX108:BD108)*Rates_previous!$C$87),(SUM('Staging Table'!AX108:BD108)*Rates_previous!$D$87)),IF('Staging Table'!$F$1=2020,(SUM('Staging Table'!DK108:DQ108)*Rates_previous!$C$87),(SUM('Staging Table'!DK108:DQ108)*Rates_previous!$D$87)))</f>
        <v>50120.196361793242</v>
      </c>
      <c r="J106" s="213">
        <f>IF(Init!$R$9="Yes",IF('Staging Table'!D108=1,'Staging Table'!H108*-1*'Staging Table'!F108/'Staging Table'!E108,'Staging Table'!H108*SUM(D106:I106)*(-1)),IF('Staging Table'!D108=1,'Staging Table'!BU108*-1*'Staging Table'!BS108/'Staging Table'!BR108,'Staging Table'!BU108*SUM(D106:I106)*(-1)))</f>
        <v>-260575.3937725256</v>
      </c>
      <c r="K106" s="211">
        <f>IF(Init!$R$9="Yes",'Staging Table'!K108,'Staging Table'!BX108)*(-1)*Rates_previous!$H$32</f>
        <v>-116717.89370999999</v>
      </c>
      <c r="L106" s="211">
        <f>IF('Staging Table'!C108=1,"",SUM(D106:K106))</f>
        <v>3345212.3378392681</v>
      </c>
      <c r="M106" s="211">
        <f>IF('Staging Table'!C108=1,"",IF(Init!$R$9="Yes",(RT1SC!$C$3*'Staging Table'!F108*'Staging Table'!$F$2),X106))</f>
        <v>106074.1660796928</v>
      </c>
      <c r="N106" s="95">
        <f>IF('Staging Table'!C108=1,"",IF(M106=0, 0, L106/M106))</f>
        <v>31.536541473501028</v>
      </c>
      <c r="O106" s="211">
        <f>'Staging Table'!BS108*Rates_current!$E$76*100*12</f>
        <v>4277732.2082550591</v>
      </c>
      <c r="P106" s="211">
        <f>'Staging Table'!BS108*Rates_current!$E$77*100*12</f>
        <v>-706263.85197631444</v>
      </c>
      <c r="Q106" s="212"/>
      <c r="R106" s="212">
        <f>SUMPRODUCT('Staging Table'!CW108:DH108, LS_Demand_Rates_Restatement!$C$11:$N$11)*1000</f>
        <v>0</v>
      </c>
      <c r="S106" s="213"/>
      <c r="T106" s="213">
        <v>0</v>
      </c>
      <c r="U106" s="213">
        <f>IF('Staging Table'!D108=1, 'Staging Table'!BU108*-1*'Staging Table'!BS108/'Staging Table'!BR108,SUM(O106:T106)*'Staging Table'!BU108*-1)</f>
        <v>-250002.78493951214</v>
      </c>
      <c r="V106" s="211">
        <f>'Staging Table'!BX108*Rates_current!$H$32*-1</f>
        <v>-114511.70490000001</v>
      </c>
      <c r="W106" s="211">
        <f>IF('Staging Table'!C108=1,"",SUM(O106:V106))</f>
        <v>3206953.8664392326</v>
      </c>
      <c r="X106" s="211">
        <f>IF('Staging Table'!C108=1,"",(RT1SC!$C$4*'Staging Table'!BS108*'Staging Table'!$BS$2))</f>
        <v>105262.93853359202</v>
      </c>
      <c r="Y106" s="95">
        <f>IF('Staging Table'!C108=1,"",IF(X106=0, 0, W106/X106))</f>
        <v>30.466125220471721</v>
      </c>
      <c r="Z106" s="87">
        <f ca="1">IF('Staging Table'!C108=1,"",(Y106/N106-1)+(RAND()/100000000000))</f>
        <v>-3.3942093930437407E-2</v>
      </c>
      <c r="AA106" s="53">
        <f t="shared" ca="1" si="1"/>
        <v>55</v>
      </c>
      <c r="AD106" s="216"/>
      <c r="AE106" s="216"/>
      <c r="AG106" s="216"/>
      <c r="AH106" s="216"/>
    </row>
    <row r="107" spans="2:34">
      <c r="B107" s="135">
        <v>10349</v>
      </c>
      <c r="C107" s="136" t="s">
        <v>110</v>
      </c>
      <c r="D107" s="211">
        <f>IF(Init!$R$9="Yes",'Staging Table'!F109,'Staging Table'!BS109)*Rates_previous!$E$76*100*12</f>
        <v>145299468.18324</v>
      </c>
      <c r="E107" s="211">
        <f>IF(Init!$R$9="Yes",'Staging Table'!F109,'Staging Table'!BS109)*Rates_previous!$E$77*100*12</f>
        <v>-14699393.524199998</v>
      </c>
      <c r="F107" s="212"/>
      <c r="G107" s="212">
        <f>IF(Init!$R$9="Yes",SUMPRODUCT('Staging Table'!AJ109:AU109,LS_Demand_Rates_Restatement!$C$10:$N$10),SUMPRODUCT(LS_Demand_Rates_Restatement!$C$10:$N$10,'Staging Table'!CW109:DH109))*1000</f>
        <v>0</v>
      </c>
      <c r="H107" s="213"/>
      <c r="I107" s="211">
        <f>IF(Init!$R$9="Yes",IF('Staging Table'!$F$1=2020,(SUM('Staging Table'!AX109:BD109)*Rates_previous!$C$87),(SUM('Staging Table'!AX109:BD109)*Rates_previous!$D$87)),IF('Staging Table'!$F$1=2020,(SUM('Staging Table'!DK109:DQ109)*Rates_previous!$C$87),(SUM('Staging Table'!DK109:DQ109)*Rates_previous!$D$87)))</f>
        <v>1782411.3272962335</v>
      </c>
      <c r="J107" s="213">
        <f>IF(Init!$R$9="Yes",IF('Staging Table'!D109=1,'Staging Table'!H109*-1*'Staging Table'!F109/'Staging Table'!E109,'Staging Table'!H109*SUM(D107:I107)*(-1)),IF('Staging Table'!D109=1,'Staging Table'!BU109*-1*'Staging Table'!BS109/'Staging Table'!BR109,'Staging Table'!BU109*SUM(D107:I107)*(-1)))</f>
        <v>0</v>
      </c>
      <c r="K107" s="211">
        <f>IF(Init!$R$9="Yes",'Staging Table'!K109,'Staging Table'!BX109)*(-1)*Rates_previous!$H$32</f>
        <v>0</v>
      </c>
      <c r="L107" s="211">
        <f>IF('Staging Table'!C109=1,"",SUM(D107:K107))</f>
        <v>132382485.98633623</v>
      </c>
      <c r="M107" s="211">
        <f>IF('Staging Table'!C109=1,"",IF(Init!$R$9="Yes",(RT1SC!$C$3*'Staging Table'!F109*'Staging Table'!$F$2),X107))</f>
        <v>3772287.5981801469</v>
      </c>
      <c r="N107" s="95">
        <f>IF('Staging Table'!C109=1,"",IF(M107=0, 0, L107/M107))</f>
        <v>35.09342343097093</v>
      </c>
      <c r="O107" s="211">
        <f>'Staging Table'!BS109*Rates_current!$E$76*100*12</f>
        <v>153300512.16418391</v>
      </c>
      <c r="P107" s="211">
        <f>'Staging Table'!BS109*Rates_current!$E$77*100*12</f>
        <v>-25310282.401988722</v>
      </c>
      <c r="Q107" s="212"/>
      <c r="R107" s="212">
        <f>SUMPRODUCT('Staging Table'!CW109:DH109, LS_Demand_Rates_Restatement!$C$11:$N$11)*1000</f>
        <v>0</v>
      </c>
      <c r="S107" s="213"/>
      <c r="T107" s="213">
        <v>0</v>
      </c>
      <c r="U107" s="213">
        <f>IF('Staging Table'!D109=1, 'Staging Table'!BU109*-1*'Staging Table'!BS109/'Staging Table'!BR109,SUM(O107:T107)*'Staging Table'!BU109*-1)</f>
        <v>0</v>
      </c>
      <c r="V107" s="211">
        <f>'Staging Table'!BX109*Rates_current!$H$32*-1</f>
        <v>0</v>
      </c>
      <c r="W107" s="211">
        <f>IF('Staging Table'!C109=1,"",SUM(O107:V107))</f>
        <v>127990229.7621952</v>
      </c>
      <c r="X107" s="211">
        <f>IF('Staging Table'!C109=1,"",(RT1SC!$C$4*'Staging Table'!BS109*'Staging Table'!$BS$2))</f>
        <v>3772293.7303008726</v>
      </c>
      <c r="Y107" s="95">
        <f>IF('Staging Table'!C109=1,"",IF(X107=0, 0, W107/X107))</f>
        <v>33.929020090380632</v>
      </c>
      <c r="Z107" s="87">
        <f ca="1">IF('Staging Table'!C109=1,"",(Y107/N107-1)+(RAND()/100000000000))</f>
        <v>-3.3180101189624771E-2</v>
      </c>
      <c r="AA107" s="53">
        <f t="shared" ca="1" si="1"/>
        <v>35</v>
      </c>
      <c r="AD107" s="216"/>
      <c r="AE107" s="216"/>
      <c r="AG107" s="216"/>
      <c r="AH107" s="216"/>
    </row>
    <row r="108" spans="2:34">
      <c r="B108" s="135">
        <v>10352</v>
      </c>
      <c r="C108" s="136" t="s">
        <v>111</v>
      </c>
      <c r="D108" s="211">
        <f>IF(Init!$R$9="Yes",'Staging Table'!F110,'Staging Table'!BS110)*Rates_previous!$E$76*100*12</f>
        <v>5183027.9788800003</v>
      </c>
      <c r="E108" s="211">
        <f>IF(Init!$R$9="Yes",'Staging Table'!F110,'Staging Table'!BS110)*Rates_previous!$E$77*100*12</f>
        <v>-524347.19040000008</v>
      </c>
      <c r="F108" s="212"/>
      <c r="G108" s="212">
        <f>IF(Init!$R$9="Yes",SUMPRODUCT('Staging Table'!AJ110:AU110,LS_Demand_Rates_Restatement!$C$10:$N$10),SUMPRODUCT(LS_Demand_Rates_Restatement!$C$10:$N$10,'Staging Table'!CW110:DH110))*1000</f>
        <v>210119.3268586538</v>
      </c>
      <c r="H108" s="213"/>
      <c r="I108" s="211">
        <f>IF(Init!$R$9="Yes",IF('Staging Table'!$F$1=2020,(SUM('Staging Table'!AX110:BD110)*Rates_previous!$C$87),(SUM('Staging Table'!AX110:BD110)*Rates_previous!$D$87)),IF('Staging Table'!$F$1=2020,(SUM('Staging Table'!DK110:DQ110)*Rates_previous!$C$87),(SUM('Staging Table'!DK110:DQ110)*Rates_previous!$D$87)))</f>
        <v>63581.01577906969</v>
      </c>
      <c r="J108" s="213">
        <f>IF(Init!$R$9="Yes",IF('Staging Table'!D110=1,'Staging Table'!H110*-1*'Staging Table'!F110/'Staging Table'!E110,'Staging Table'!H110*SUM(D108:I108)*(-1)),IF('Staging Table'!D110=1,'Staging Table'!BU110*-1*'Staging Table'!BS110/'Staging Table'!BR110,'Staging Table'!BU110*SUM(D108:I108)*(-1)))</f>
        <v>-221957.15090029757</v>
      </c>
      <c r="K108" s="211">
        <f>IF(Init!$R$9="Yes",'Staging Table'!K110,'Staging Table'!BX110)*(-1)*Rates_previous!$H$32</f>
        <v>0</v>
      </c>
      <c r="L108" s="211">
        <f>IF('Staging Table'!C110=1,"",SUM(D108:K108))</f>
        <v>4710423.9802174261</v>
      </c>
      <c r="M108" s="211">
        <f>IF('Staging Table'!C110=1,"",IF(Init!$R$9="Yes",(RT1SC!$C$3*'Staging Table'!F110*'Staging Table'!$F$2),X108))</f>
        <v>134562.58588016641</v>
      </c>
      <c r="N108" s="95">
        <f>IF('Staging Table'!C110=1,"",IF(M108=0, 0, L108/M108))</f>
        <v>35.005450804967843</v>
      </c>
      <c r="O108" s="211">
        <f>'Staging Table'!BS110*Rates_current!$E$76*100*12</f>
        <v>5401482.2434542514</v>
      </c>
      <c r="P108" s="211">
        <f>'Staging Table'!BS110*Rates_current!$E$77*100*12</f>
        <v>-891797.67921933555</v>
      </c>
      <c r="Q108" s="212"/>
      <c r="R108" s="212">
        <f>SUMPRODUCT('Staging Table'!CW110:DH110, LS_Demand_Rates_Restatement!$C$11:$N$11)*1000</f>
        <v>202089.36947102915</v>
      </c>
      <c r="S108" s="213"/>
      <c r="T108" s="213">
        <v>0</v>
      </c>
      <c r="U108" s="213">
        <f>IF('Staging Table'!D110=1, 'Staging Table'!BU110*-1*'Staging Table'!BS110/'Staging Table'!BR110,SUM(O108:T108)*'Staging Table'!BU110*-1)</f>
        <v>-237591.65864881163</v>
      </c>
      <c r="V108" s="211">
        <f>'Staging Table'!BX110*Rates_current!$H$32*-1</f>
        <v>0</v>
      </c>
      <c r="W108" s="211">
        <f>IF('Staging Table'!C110=1,"",SUM(O108:V108))</f>
        <v>4474182.2750571342</v>
      </c>
      <c r="X108" s="211">
        <f>IF('Staging Table'!C110=1,"",(RT1SC!$C$4*'Staging Table'!BS110*'Staging Table'!$BS$2))</f>
        <v>132915.26110161599</v>
      </c>
      <c r="Y108" s="95">
        <f>IF('Staging Table'!C110=1,"",IF(X108=0, 0, W108/X108))</f>
        <v>33.661915403653651</v>
      </c>
      <c r="Z108" s="87">
        <f ca="1">IF('Staging Table'!C110=1,"",(Y108/N108-1)+(RAND()/100000000000))</f>
        <v>-3.8380748435782507E-2</v>
      </c>
      <c r="AA108" s="53">
        <f t="shared" ca="1" si="1"/>
        <v>97</v>
      </c>
      <c r="AD108" s="216"/>
      <c r="AE108" s="216"/>
      <c r="AG108" s="216"/>
      <c r="AH108" s="216"/>
    </row>
    <row r="109" spans="2:34">
      <c r="B109" s="135">
        <v>10354</v>
      </c>
      <c r="C109" s="136" t="s">
        <v>112</v>
      </c>
      <c r="D109" s="211">
        <f>IF(Init!$R$9="Yes",'Staging Table'!F111,'Staging Table'!BS111)*Rates_previous!$E$76*100*12</f>
        <v>108936277.43687998</v>
      </c>
      <c r="E109" s="211">
        <f>IF(Init!$R$9="Yes",'Staging Table'!F111,'Staging Table'!BS111)*Rates_previous!$E$77*100*12</f>
        <v>-11020668.080399998</v>
      </c>
      <c r="F109" s="212"/>
      <c r="G109" s="212">
        <f>IF(Init!$R$9="Yes",SUMPRODUCT('Staging Table'!AJ111:AU111,LS_Demand_Rates_Restatement!$C$10:$N$10),SUMPRODUCT(LS_Demand_Rates_Restatement!$C$10:$N$10,'Staging Table'!CW111:DH111))*1000</f>
        <v>0</v>
      </c>
      <c r="H109" s="213"/>
      <c r="I109" s="211">
        <f>IF(Init!$R$9="Yes",IF('Staging Table'!$F$1=2020,(SUM('Staging Table'!AX111:BD111)*Rates_previous!$C$87),(SUM('Staging Table'!AX111:BD111)*Rates_previous!$D$87)),IF('Staging Table'!$F$1=2020,(SUM('Staging Table'!DK111:DQ111)*Rates_previous!$C$87),(SUM('Staging Table'!DK111:DQ111)*Rates_previous!$D$87)))</f>
        <v>1336338.3726367767</v>
      </c>
      <c r="J109" s="213">
        <f>IF(Init!$R$9="Yes",IF('Staging Table'!D111=1,'Staging Table'!H111*-1*'Staging Table'!F111/'Staging Table'!E111,'Staging Table'!H111*SUM(D109:I109)*(-1)),IF('Staging Table'!D111=1,'Staging Table'!BU111*-1*'Staging Table'!BS111/'Staging Table'!BR111,'Staging Table'!BU111*SUM(D109:I109)*(-1)))</f>
        <v>0</v>
      </c>
      <c r="K109" s="211">
        <f>IF(Init!$R$9="Yes",'Staging Table'!K111,'Staging Table'!BX111)*(-1)*Rates_previous!$H$32</f>
        <v>0</v>
      </c>
      <c r="L109" s="211">
        <f>IF('Staging Table'!C111=1,"",SUM(D109:K109))</f>
        <v>99251947.729116753</v>
      </c>
      <c r="M109" s="211">
        <f>IF('Staging Table'!C111=1,"",IF(Init!$R$9="Yes",(RT1SC!$C$3*'Staging Table'!F111*'Staging Table'!$F$2),X109))</f>
        <v>2828220.7327064057</v>
      </c>
      <c r="N109" s="95">
        <f>IF('Staging Table'!C111=1,"",IF(M109=0, 0, L109/M109))</f>
        <v>35.09342343097093</v>
      </c>
      <c r="O109" s="211">
        <f>'Staging Table'!BS111*Rates_current!$E$76*100*12</f>
        <v>120884184.5909763</v>
      </c>
      <c r="P109" s="211">
        <f>'Staging Table'!BS111*Rates_current!$E$77*100*12</f>
        <v>-19958268.936863806</v>
      </c>
      <c r="Q109" s="212"/>
      <c r="R109" s="212">
        <f>SUMPRODUCT('Staging Table'!CW111:DH111, LS_Demand_Rates_Restatement!$C$11:$N$11)*1000</f>
        <v>0</v>
      </c>
      <c r="S109" s="213"/>
      <c r="T109" s="213">
        <v>0</v>
      </c>
      <c r="U109" s="213">
        <f>IF('Staging Table'!D111=1, 'Staging Table'!BU111*-1*'Staging Table'!BS111/'Staging Table'!BR111,SUM(O109:T109)*'Staging Table'!BU111*-1)</f>
        <v>0</v>
      </c>
      <c r="V109" s="211">
        <f>'Staging Table'!BX111*Rates_current!$H$32*-1</f>
        <v>0</v>
      </c>
      <c r="W109" s="211">
        <f>IF('Staging Table'!C111=1,"",SUM(O109:V109))</f>
        <v>100925915.65411249</v>
      </c>
      <c r="X109" s="211">
        <f>IF('Staging Table'!C111=1,"",(RT1SC!$C$4*'Staging Table'!BS111*'Staging Table'!$BS$2))</f>
        <v>2974619.2311261725</v>
      </c>
      <c r="Y109" s="95">
        <f>IF('Staging Table'!C111=1,"",IF(X109=0, 0, W109/X109))</f>
        <v>33.929020090380632</v>
      </c>
      <c r="Z109" s="87">
        <f ca="1">IF('Staging Table'!C111=1,"",(Y109/N109-1)+(RAND()/100000000000))</f>
        <v>-3.3180101189340241E-2</v>
      </c>
      <c r="AA109" s="53">
        <f t="shared" ca="1" si="1"/>
        <v>34</v>
      </c>
      <c r="AD109" s="216"/>
      <c r="AE109" s="216"/>
      <c r="AG109" s="216"/>
      <c r="AH109" s="216"/>
    </row>
    <row r="110" spans="2:34">
      <c r="B110" s="135">
        <v>10360</v>
      </c>
      <c r="C110" s="136" t="s">
        <v>113</v>
      </c>
      <c r="D110" s="211">
        <f>IF(Init!$R$9="Yes",'Staging Table'!F112,'Staging Table'!BS112)*Rates_previous!$E$76*100*12</f>
        <v>2276606.0624400005</v>
      </c>
      <c r="E110" s="211">
        <f>IF(Init!$R$9="Yes",'Staging Table'!F112,'Staging Table'!BS112)*Rates_previous!$E$77*100*12</f>
        <v>-230315.56019999998</v>
      </c>
      <c r="F110" s="212"/>
      <c r="G110" s="212">
        <f>IF(Init!$R$9="Yes",SUMPRODUCT('Staging Table'!AJ112:AU112,LS_Demand_Rates_Restatement!$C$10:$N$10),SUMPRODUCT(LS_Demand_Rates_Restatement!$C$10:$N$10,'Staging Table'!CW112:DH112))*1000</f>
        <v>129638.73210676633</v>
      </c>
      <c r="H110" s="213"/>
      <c r="I110" s="211">
        <f>IF(Init!$R$9="Yes",IF('Staging Table'!$F$1=2020,(SUM('Staging Table'!AX112:BD112)*Rates_previous!$C$87),(SUM('Staging Table'!AX112:BD112)*Rates_previous!$D$87)),IF('Staging Table'!$F$1=2020,(SUM('Staging Table'!DK112:DQ112)*Rates_previous!$C$87),(SUM('Staging Table'!DK112:DQ112)*Rates_previous!$D$87)))</f>
        <v>27927.483040522216</v>
      </c>
      <c r="J110" s="213">
        <f>IF(Init!$R$9="Yes",IF('Staging Table'!D112=1,'Staging Table'!H112*-1*'Staging Table'!F112/'Staging Table'!E112,'Staging Table'!H112*SUM(D110:I110)*(-1)),IF('Staging Table'!D112=1,'Staging Table'!BU112*-1*'Staging Table'!BS112/'Staging Table'!BR112,'Staging Table'!BU112*SUM(D110:I110)*(-1)))</f>
        <v>-105334.13258470992</v>
      </c>
      <c r="K110" s="211">
        <f>IF(Init!$R$9="Yes",'Staging Table'!K112,'Staging Table'!BX112)*(-1)*Rates_previous!$H$32</f>
        <v>-222303.76739999998</v>
      </c>
      <c r="L110" s="211">
        <f>IF('Staging Table'!C112=1,"",SUM(D110:K110))</f>
        <v>1876218.8174025791</v>
      </c>
      <c r="M110" s="211">
        <f>IF('Staging Table'!C112=1,"",IF(Init!$R$9="Yes",(RT1SC!$C$3*'Staging Table'!F112*'Staging Table'!$F$2),X110))</f>
        <v>59105.603913523199</v>
      </c>
      <c r="N110" s="95">
        <f>IF('Staging Table'!C112=1,"",IF(M110=0, 0, L110/M110))</f>
        <v>31.743501346296295</v>
      </c>
      <c r="O110" s="211">
        <f>'Staging Table'!BS112*Rates_current!$E$76*100*12</f>
        <v>2297140.7569724862</v>
      </c>
      <c r="P110" s="211">
        <f>'Staging Table'!BS112*Rates_current!$E$77*100*12</f>
        <v>-379263.45095196302</v>
      </c>
      <c r="Q110" s="212"/>
      <c r="R110" s="212">
        <f>SUMPRODUCT('Staging Table'!CW112:DH112, LS_Demand_Rates_Restatement!$C$11:$N$11)*1000</f>
        <v>123451.54570107721</v>
      </c>
      <c r="S110" s="213"/>
      <c r="T110" s="213">
        <v>0</v>
      </c>
      <c r="U110" s="213">
        <f>IF('Staging Table'!D112=1, 'Staging Table'!BU112*-1*'Staging Table'!BS112/'Staging Table'!BR112,SUM(O110:T110)*'Staging Table'!BU112*-1)</f>
        <v>-102578.91008023608</v>
      </c>
      <c r="V110" s="211">
        <f>'Staging Table'!BX112*Rates_current!$H$32*-1</f>
        <v>-218101.80600000001</v>
      </c>
      <c r="W110" s="211">
        <f>IF('Staging Table'!C112=1,"",SUM(O110:V110))</f>
        <v>1720648.1356413641</v>
      </c>
      <c r="X110" s="211">
        <f>IF('Staging Table'!C112=1,"",(RT1SC!$C$4*'Staging Table'!BS112*'Staging Table'!$BS$2))</f>
        <v>56526.162586236009</v>
      </c>
      <c r="Y110" s="95">
        <f>IF('Staging Table'!C112=1,"",IF(X110=0, 0, W110/X110))</f>
        <v>30.439853988254601</v>
      </c>
      <c r="Z110" s="87">
        <f ca="1">IF('Staging Table'!C112=1,"",(Y110/N110-1)+(RAND()/100000000000))</f>
        <v>-4.1068165219230846E-2</v>
      </c>
      <c r="AA110" s="53">
        <f t="shared" ca="1" si="1"/>
        <v>106</v>
      </c>
      <c r="AD110" s="216"/>
      <c r="AE110" s="216"/>
      <c r="AG110" s="216"/>
      <c r="AH110" s="216"/>
    </row>
    <row r="111" spans="2:34">
      <c r="B111" s="135">
        <v>10363</v>
      </c>
      <c r="C111" s="136" t="s">
        <v>114</v>
      </c>
      <c r="D111" s="211">
        <f>IF(Init!$R$9="Yes",'Staging Table'!F113,'Staging Table'!BS113)*Rates_previous!$E$76*100*12</f>
        <v>32081631.270960003</v>
      </c>
      <c r="E111" s="211">
        <f>IF(Init!$R$9="Yes",'Staging Table'!F113,'Staging Table'!BS113)*Rates_previous!$E$77*100*12</f>
        <v>-3245576.3867999995</v>
      </c>
      <c r="F111" s="212"/>
      <c r="G111" s="212">
        <f>IF(Init!$R$9="Yes",SUMPRODUCT('Staging Table'!AJ113:AU113,LS_Demand_Rates_Restatement!$C$10:$N$10),SUMPRODUCT(LS_Demand_Rates_Restatement!$C$10:$N$10,'Staging Table'!CW113:DH113))*1000</f>
        <v>876353.87409230764</v>
      </c>
      <c r="H111" s="213"/>
      <c r="I111" s="211">
        <f>IF(Init!$R$9="Yes",IF('Staging Table'!$F$1=2020,(SUM('Staging Table'!AX113:BD113)*Rates_previous!$C$87),(SUM('Staging Table'!AX113:BD113)*Rates_previous!$D$87)),IF('Staging Table'!$F$1=2020,(SUM('Staging Table'!DK113:DQ113)*Rates_previous!$C$87),(SUM('Staging Table'!DK113:DQ113)*Rates_previous!$D$87)))</f>
        <v>393550.39416514582</v>
      </c>
      <c r="J111" s="213">
        <f>IF(Init!$R$9="Yes",IF('Staging Table'!D113=1,'Staging Table'!H113*-1*'Staging Table'!F113/'Staging Table'!E113,'Staging Table'!H113*SUM(D111:I111)*(-1)),IF('Staging Table'!D113=1,'Staging Table'!BU113*-1*'Staging Table'!BS113/'Staging Table'!BR113,'Staging Table'!BU113*SUM(D111:I111)*(-1)))</f>
        <v>0</v>
      </c>
      <c r="K111" s="211">
        <f>IF(Init!$R$9="Yes",'Staging Table'!K113,'Staging Table'!BX113)*(-1)*Rates_previous!$H$32</f>
        <v>0</v>
      </c>
      <c r="L111" s="211">
        <f>IF('Staging Table'!C113=1,"",SUM(D111:K111))</f>
        <v>30105959.152417459</v>
      </c>
      <c r="M111" s="211">
        <f>IF('Staging Table'!C113=1,"",IF(Init!$R$9="Yes",(RT1SC!$C$3*'Staging Table'!F113*'Staging Table'!$F$2),X111))</f>
        <v>832908.34636922868</v>
      </c>
      <c r="N111" s="95">
        <f>IF('Staging Table'!C113=1,"",IF(M111=0, 0, L111/M111))</f>
        <v>36.145584665652365</v>
      </c>
      <c r="O111" s="211">
        <f>'Staging Table'!BS113*Rates_current!$E$76*100*12</f>
        <v>32436951.240093477</v>
      </c>
      <c r="P111" s="211">
        <f>'Staging Table'!BS113*Rates_current!$E$77*100*12</f>
        <v>-5355418.482014142</v>
      </c>
      <c r="Q111" s="212"/>
      <c r="R111" s="212">
        <f>SUMPRODUCT('Staging Table'!CW113:DH113, LS_Demand_Rates_Restatement!$C$11:$N$11)*1000</f>
        <v>866462.18121299893</v>
      </c>
      <c r="S111" s="213"/>
      <c r="T111" s="213">
        <v>0</v>
      </c>
      <c r="U111" s="213">
        <f>IF('Staging Table'!D113=1, 'Staging Table'!BU113*-1*'Staging Table'!BS113/'Staging Table'!BR113,SUM(O111:T111)*'Staging Table'!BU113*-1)</f>
        <v>0</v>
      </c>
      <c r="V111" s="211">
        <f>'Staging Table'!BX113*Rates_current!$H$32*-1</f>
        <v>0</v>
      </c>
      <c r="W111" s="211">
        <f>IF('Staging Table'!C113=1,"",SUM(O111:V111))</f>
        <v>27947994.939292334</v>
      </c>
      <c r="X111" s="211">
        <f>IF('Staging Table'!C113=1,"",(RT1SC!$C$4*'Staging Table'!BS113*'Staging Table'!$BS$2))</f>
        <v>798181.98951632401</v>
      </c>
      <c r="Y111" s="95">
        <f>IF('Staging Table'!C113=1,"",IF(X111=0, 0, W111/X111))</f>
        <v>35.014564731319027</v>
      </c>
      <c r="Z111" s="87">
        <f ca="1">IF('Staging Table'!C113=1,"",(Y111/N111-1)+(RAND()/100000000000))</f>
        <v>-3.1290680299335336E-2</v>
      </c>
      <c r="AA111" s="53">
        <f t="shared" ca="1" si="1"/>
        <v>7</v>
      </c>
      <c r="AD111" s="216"/>
      <c r="AE111" s="216"/>
      <c r="AG111" s="216"/>
      <c r="AH111" s="216"/>
    </row>
    <row r="112" spans="2:34">
      <c r="B112" s="135">
        <v>10369</v>
      </c>
      <c r="C112" s="136" t="s">
        <v>115</v>
      </c>
      <c r="D112" s="211">
        <f>IF(Init!$R$9="Yes",'Staging Table'!F114,'Staging Table'!BS114)*Rates_previous!$E$76*100*12</f>
        <v>5530258.5308399983</v>
      </c>
      <c r="E112" s="211">
        <f>IF(Init!$R$9="Yes",'Staging Table'!F114,'Staging Table'!BS114)*Rates_previous!$E$77*100*12</f>
        <v>-559475.18220000004</v>
      </c>
      <c r="F112" s="212"/>
      <c r="G112" s="212">
        <f>IF(Init!$R$9="Yes",SUMPRODUCT('Staging Table'!AJ114:AU114,LS_Demand_Rates_Restatement!$C$10:$N$10),SUMPRODUCT(LS_Demand_Rates_Restatement!$C$10:$N$10,'Staging Table'!CW114:DH114))*1000</f>
        <v>322825.84962528473</v>
      </c>
      <c r="H112" s="213"/>
      <c r="I112" s="211">
        <f>IF(Init!$R$9="Yes",IF('Staging Table'!$F$1=2020,(SUM('Staging Table'!AX114:BD114)*Rates_previous!$C$87),(SUM('Staging Table'!AX114:BD114)*Rates_previous!$D$87)),IF('Staging Table'!$F$1=2020,(SUM('Staging Table'!DK114:DQ114)*Rates_previous!$C$87),(SUM('Staging Table'!DK114:DQ114)*Rates_previous!$D$87)))</f>
        <v>67840.547329565874</v>
      </c>
      <c r="J112" s="213">
        <f>IF(Init!$R$9="Yes",IF('Staging Table'!D114=1,'Staging Table'!H114*-1*'Staging Table'!F114/'Staging Table'!E114,'Staging Table'!H114*SUM(D112:I112)*(-1)),IF('Staging Table'!D114=1,'Staging Table'!BU114*-1*'Staging Table'!BS114/'Staging Table'!BR114,'Staging Table'!BU114*SUM(D112:I112)*(-1)))</f>
        <v>-413623.79322118044</v>
      </c>
      <c r="K112" s="211">
        <f>IF(Init!$R$9="Yes",'Staging Table'!K114,'Staging Table'!BX114)*(-1)*Rates_previous!$H$32</f>
        <v>-513403.11011000001</v>
      </c>
      <c r="L112" s="211">
        <f>IF('Staging Table'!C114=1,"",SUM(D112:K112))</f>
        <v>4434422.8422636688</v>
      </c>
      <c r="M112" s="211">
        <f>IF('Staging Table'!C114=1,"",IF(Init!$R$9="Yes",(RT1SC!$C$3*'Staging Table'!F114*'Staging Table'!$F$2),X112))</f>
        <v>143577.43996907517</v>
      </c>
      <c r="N112" s="95">
        <f>IF('Staging Table'!C114=1,"",IF(M112=0, 0, L112/M112))</f>
        <v>30.885234081474007</v>
      </c>
      <c r="O112" s="211">
        <f>'Staging Table'!BS114*Rates_current!$E$76*100*12</f>
        <v>5579900.9430249305</v>
      </c>
      <c r="P112" s="211">
        <f>'Staging Table'!BS114*Rates_current!$E$77*100*12</f>
        <v>-921255.03463308001</v>
      </c>
      <c r="Q112" s="212"/>
      <c r="R112" s="212">
        <f>SUMPRODUCT('Staging Table'!CW114:DH114, LS_Demand_Rates_Restatement!$C$11:$N$11)*1000</f>
        <v>295868.01859255682</v>
      </c>
      <c r="S112" s="213"/>
      <c r="T112" s="213">
        <v>0</v>
      </c>
      <c r="U112" s="213">
        <f>IF('Staging Table'!D114=1, 'Staging Table'!BU114*-1*'Staging Table'!BS114/'Staging Table'!BR114,SUM(O112:T112)*'Staging Table'!BU114*-1)</f>
        <v>-379453.05304133549</v>
      </c>
      <c r="V112" s="211">
        <f>'Staging Table'!BX114*Rates_current!$H$32*-1</f>
        <v>-503698.82090000005</v>
      </c>
      <c r="W112" s="211">
        <f>IF('Staging Table'!C114=1,"",SUM(O112:V112))</f>
        <v>4071362.0530430716</v>
      </c>
      <c r="X112" s="211">
        <f>IF('Staging Table'!C114=1,"",(RT1SC!$C$4*'Staging Table'!BS114*'Staging Table'!$BS$2))</f>
        <v>137305.64266171199</v>
      </c>
      <c r="Y112" s="95">
        <f>IF('Staging Table'!C114=1,"",IF(X112=0, 0, W112/X112))</f>
        <v>29.651818921047013</v>
      </c>
      <c r="Z112" s="87">
        <f ca="1">IF('Staging Table'!C114=1,"",(Y112/N112-1)+(RAND()/100000000000))</f>
        <v>-3.99354318332504E-2</v>
      </c>
      <c r="AA112" s="53">
        <f t="shared" ca="1" si="1"/>
        <v>102</v>
      </c>
      <c r="AD112" s="216"/>
      <c r="AE112" s="216"/>
      <c r="AG112" s="216"/>
      <c r="AH112" s="216"/>
    </row>
    <row r="113" spans="2:34">
      <c r="B113" s="135">
        <v>10370</v>
      </c>
      <c r="C113" s="136" t="s">
        <v>116</v>
      </c>
      <c r="D113" s="211">
        <f>IF(Init!$R$9="Yes",'Staging Table'!F115,'Staging Table'!BS115)*Rates_previous!$E$76*100*12</f>
        <v>51817445.805359989</v>
      </c>
      <c r="E113" s="211">
        <f>IF(Init!$R$9="Yes",'Staging Table'!F115,'Staging Table'!BS115)*Rates_previous!$E$77*100*12</f>
        <v>-5242173.5387999993</v>
      </c>
      <c r="F113" s="212"/>
      <c r="G113" s="212">
        <f>IF(Init!$R$9="Yes",SUMPRODUCT('Staging Table'!AJ115:AU115,LS_Demand_Rates_Restatement!$C$10:$N$10),SUMPRODUCT(LS_Demand_Rates_Restatement!$C$10:$N$10,'Staging Table'!CW115:DH115))*1000</f>
        <v>0</v>
      </c>
      <c r="H113" s="213"/>
      <c r="I113" s="211">
        <f>IF(Init!$R$9="Yes",IF('Staging Table'!$F$1=2020,(SUM('Staging Table'!AX115:BD115)*Rates_previous!$C$87),(SUM('Staging Table'!AX115:BD115)*Rates_previous!$D$87)),IF('Staging Table'!$F$1=2020,(SUM('Staging Table'!DK115:DQ115)*Rates_previous!$C$87),(SUM('Staging Table'!DK115:DQ115)*Rates_previous!$D$87)))</f>
        <v>635652.72130628419</v>
      </c>
      <c r="J113" s="213">
        <f>IF(Init!$R$9="Yes",IF('Staging Table'!D115=1,'Staging Table'!H115*-1*'Staging Table'!F115/'Staging Table'!E115,'Staging Table'!H115*SUM(D113:I113)*(-1)),IF('Staging Table'!D115=1,'Staging Table'!BU115*-1*'Staging Table'!BS115/'Staging Table'!BR115,'Staging Table'!BU115*SUM(D113:I113)*(-1)))</f>
        <v>0</v>
      </c>
      <c r="K113" s="211">
        <f>IF(Init!$R$9="Yes",'Staging Table'!K115,'Staging Table'!BX115)*(-1)*Rates_previous!$H$32</f>
        <v>0</v>
      </c>
      <c r="L113" s="211">
        <f>IF('Staging Table'!C115=1,"",SUM(D113:K113))</f>
        <v>47210924.987866275</v>
      </c>
      <c r="M113" s="211">
        <f>IF('Staging Table'!C115=1,"",IF(Init!$R$9="Yes",(RT1SC!$C$3*'Staging Table'!F115*'Staging Table'!$F$2),X113))</f>
        <v>1345292.6609092606</v>
      </c>
      <c r="N113" s="95">
        <f>IF('Staging Table'!C115=1,"",IF(M113=0, 0, L113/M113))</f>
        <v>35.09342343097093</v>
      </c>
      <c r="O113" s="211">
        <f>'Staging Table'!BS115*Rates_current!$E$76*100*12</f>
        <v>57910776.995329127</v>
      </c>
      <c r="P113" s="211">
        <f>'Staging Table'!BS115*Rates_current!$E$77*100*12</f>
        <v>-9561208.2384993993</v>
      </c>
      <c r="Q113" s="212"/>
      <c r="R113" s="212">
        <f>SUMPRODUCT('Staging Table'!CW115:DH115, LS_Demand_Rates_Restatement!$C$11:$N$11)*1000</f>
        <v>0</v>
      </c>
      <c r="S113" s="213"/>
      <c r="T113" s="213">
        <v>0</v>
      </c>
      <c r="U113" s="213">
        <f>IF('Staging Table'!D115=1, 'Staging Table'!BU115*-1*'Staging Table'!BS115/'Staging Table'!BR115,SUM(O113:T113)*'Staging Table'!BU115*-1)</f>
        <v>0</v>
      </c>
      <c r="V113" s="211">
        <f>'Staging Table'!BX115*Rates_current!$H$32*-1</f>
        <v>0</v>
      </c>
      <c r="W113" s="211">
        <f>IF('Staging Table'!C115=1,"",SUM(O113:V113))</f>
        <v>48349568.756829724</v>
      </c>
      <c r="X113" s="211">
        <f>IF('Staging Table'!C115=1,"",(RT1SC!$C$4*'Staging Table'!BS115*'Staging Table'!$BS$2))</f>
        <v>1425021.077179224</v>
      </c>
      <c r="Y113" s="95">
        <f>IF('Staging Table'!C115=1,"",IF(X113=0, 0, W113/X113))</f>
        <v>33.929020090380618</v>
      </c>
      <c r="Z113" s="87">
        <f ca="1">IF('Staging Table'!C115=1,"",(Y113/N113-1)+(RAND()/100000000000))</f>
        <v>-3.3180101190235817E-2</v>
      </c>
      <c r="AA113" s="53">
        <f t="shared" ca="1" si="1"/>
        <v>38</v>
      </c>
      <c r="AD113" s="216"/>
      <c r="AE113" s="216"/>
      <c r="AG113" s="216"/>
      <c r="AH113" s="216"/>
    </row>
    <row r="114" spans="2:34">
      <c r="B114" s="135">
        <v>10371</v>
      </c>
      <c r="C114" s="136" t="s">
        <v>117</v>
      </c>
      <c r="D114" s="211">
        <f>IF(Init!$R$9="Yes",'Staging Table'!F116,'Staging Table'!BS116)*Rates_previous!$E$76*100*12</f>
        <v>3712823.8759199996</v>
      </c>
      <c r="E114" s="211">
        <f>IF(Init!$R$9="Yes",'Staging Table'!F116,'Staging Table'!BS116)*Rates_previous!$E$77*100*12</f>
        <v>-375612.24359999999</v>
      </c>
      <c r="F114" s="212"/>
      <c r="G114" s="212">
        <f>IF(Init!$R$9="Yes",SUMPRODUCT('Staging Table'!AJ116:AU116,LS_Demand_Rates_Restatement!$C$10:$N$10),SUMPRODUCT(LS_Demand_Rates_Restatement!$C$10:$N$10,'Staging Table'!CW116:DH116))*1000</f>
        <v>64343.034940384627</v>
      </c>
      <c r="H114" s="213"/>
      <c r="I114" s="211">
        <f>IF(Init!$R$9="Yes",IF('Staging Table'!$F$1=2020,(SUM('Staging Table'!AX116:BD116)*Rates_previous!$C$87),(SUM('Staging Table'!AX116:BD116)*Rates_previous!$D$87)),IF('Staging Table'!$F$1=2020,(SUM('Staging Table'!DK116:DQ116)*Rates_previous!$C$87),(SUM('Staging Table'!DK116:DQ116)*Rates_previous!$D$87)))</f>
        <v>45545.791842471874</v>
      </c>
      <c r="J114" s="213">
        <f>IF(Init!$R$9="Yes",IF('Staging Table'!D116=1,'Staging Table'!H116*-1*'Staging Table'!F116/'Staging Table'!E116,'Staging Table'!H116*SUM(D114:I114)*(-1)),IF('Staging Table'!D116=1,'Staging Table'!BU116*-1*'Staging Table'!BS116/'Staging Table'!BR116,'Staging Table'!BU116*SUM(D114:I114)*(-1)))</f>
        <v>0</v>
      </c>
      <c r="K114" s="211">
        <f>IF(Init!$R$9="Yes",'Staging Table'!K116,'Staging Table'!BX116)*(-1)*Rates_previous!$H$32</f>
        <v>0</v>
      </c>
      <c r="L114" s="211">
        <f>IF('Staging Table'!C116=1,"",SUM(D114:K114))</f>
        <v>3447100.459102856</v>
      </c>
      <c r="M114" s="211">
        <f>IF('Staging Table'!C116=1,"",IF(Init!$R$9="Yes",(RT1SC!$C$3*'Staging Table'!F116*'Staging Table'!$F$2),X114))</f>
        <v>96392.916205977584</v>
      </c>
      <c r="N114" s="95">
        <f>IF('Staging Table'!C116=1,"",IF(M114=0, 0, L114/M114))</f>
        <v>35.760931350358838</v>
      </c>
      <c r="O114" s="211">
        <f>'Staging Table'!BS116*Rates_current!$E$76*100*12</f>
        <v>3746552.8809041809</v>
      </c>
      <c r="P114" s="211">
        <f>'Staging Table'!BS116*Rates_current!$E$77*100*12</f>
        <v>-618564.87046899658</v>
      </c>
      <c r="Q114" s="212"/>
      <c r="R114" s="212">
        <f>SUMPRODUCT('Staging Table'!CW116:DH116, LS_Demand_Rates_Restatement!$C$11:$N$11)*1000</f>
        <v>51370.022622925571</v>
      </c>
      <c r="S114" s="213"/>
      <c r="T114" s="213">
        <v>0</v>
      </c>
      <c r="U114" s="213">
        <f>IF('Staging Table'!D116=1, 'Staging Table'!BU116*-1*'Staging Table'!BS116/'Staging Table'!BR116,SUM(O114:T114)*'Staging Table'!BU116*-1)</f>
        <v>0</v>
      </c>
      <c r="V114" s="211">
        <f>'Staging Table'!BX116*Rates_current!$H$32*-1</f>
        <v>0</v>
      </c>
      <c r="W114" s="211">
        <f>IF('Staging Table'!C116=1,"",SUM(O114:V114))</f>
        <v>3179358.0330581102</v>
      </c>
      <c r="X114" s="211">
        <f>IF('Staging Table'!C116=1,"",(RT1SC!$C$4*'Staging Table'!BS116*'Staging Table'!$BS$2))</f>
        <v>92192.111711531994</v>
      </c>
      <c r="Y114" s="95">
        <f>IF('Staging Table'!C116=1,"",IF(X114=0, 0, W114/X114))</f>
        <v>34.48622635965085</v>
      </c>
      <c r="Z114" s="87">
        <f ca="1">IF('Staging Table'!C116=1,"",(Y114/N114-1)+(RAND()/100000000000))</f>
        <v>-3.5645184349239724E-2</v>
      </c>
      <c r="AA114" s="53">
        <f t="shared" ca="1" si="1"/>
        <v>79</v>
      </c>
      <c r="AD114" s="216"/>
      <c r="AE114" s="216"/>
      <c r="AG114" s="216"/>
      <c r="AH114" s="216"/>
    </row>
    <row r="115" spans="2:34">
      <c r="B115" s="135">
        <v>10376</v>
      </c>
      <c r="C115" s="136" t="s">
        <v>118</v>
      </c>
      <c r="D115" s="211">
        <f>IF(Init!$R$9="Yes",'Staging Table'!F117,'Staging Table'!BS117)*Rates_previous!$E$76*100*12</f>
        <v>18441721.2042</v>
      </c>
      <c r="E115" s="211">
        <f>IF(Init!$R$9="Yes",'Staging Table'!F117,'Staging Table'!BS117)*Rates_previous!$E$77*100*12</f>
        <v>-1865678.6609999998</v>
      </c>
      <c r="F115" s="212"/>
      <c r="G115" s="212">
        <f>IF(Init!$R$9="Yes",SUMPRODUCT('Staging Table'!AJ117:AU117,LS_Demand_Rates_Restatement!$C$10:$N$10),SUMPRODUCT(LS_Demand_Rates_Restatement!$C$10:$N$10,'Staging Table'!CW117:DH117))*1000</f>
        <v>534365.70926794875</v>
      </c>
      <c r="H115" s="213"/>
      <c r="I115" s="211">
        <f>IF(Init!$R$9="Yes",IF('Staging Table'!$F$1=2020,(SUM('Staging Table'!AX117:BD117)*Rates_previous!$C$87),(SUM('Staging Table'!AX117:BD117)*Rates_previous!$D$87)),IF('Staging Table'!$F$1=2020,(SUM('Staging Table'!DK117:DQ117)*Rates_previous!$C$87),(SUM('Staging Table'!DK117:DQ117)*Rates_previous!$D$87)))</f>
        <v>226227.48162953556</v>
      </c>
      <c r="J115" s="213">
        <f>IF(Init!$R$9="Yes",IF('Staging Table'!D117=1,'Staging Table'!H117*-1*'Staging Table'!F117/'Staging Table'!E117,'Staging Table'!H117*SUM(D115:I115)*(-1)),IF('Staging Table'!D117=1,'Staging Table'!BU117*-1*'Staging Table'!BS117/'Staging Table'!BR117,'Staging Table'!BU117*SUM(D115:I115)*(-1)))</f>
        <v>0</v>
      </c>
      <c r="K115" s="211">
        <f>IF(Init!$R$9="Yes",'Staging Table'!K117,'Staging Table'!BX117)*(-1)*Rates_previous!$H$32</f>
        <v>0</v>
      </c>
      <c r="L115" s="211">
        <f>IF('Staging Table'!C117=1,"",SUM(D115:K115))</f>
        <v>17336635.734097484</v>
      </c>
      <c r="M115" s="211">
        <f>IF('Staging Table'!C117=1,"",IF(Init!$R$9="Yes",(RT1SC!$C$3*'Staging Table'!F117*'Staging Table'!$F$2),X115))</f>
        <v>478786.86038937594</v>
      </c>
      <c r="N115" s="95">
        <f>IF('Staging Table'!C117=1,"",IF(M115=0, 0, L115/M115))</f>
        <v>36.20950608376841</v>
      </c>
      <c r="O115" s="211">
        <f>'Staging Table'!BS117*Rates_current!$E$76*100*12</f>
        <v>19026531.75260435</v>
      </c>
      <c r="P115" s="211">
        <f>'Staging Table'!BS117*Rates_current!$E$77*100*12</f>
        <v>-3141326.0464065918</v>
      </c>
      <c r="Q115" s="212"/>
      <c r="R115" s="212">
        <f>SUMPRODUCT('Staging Table'!CW117:DH117, LS_Demand_Rates_Restatement!$C$11:$N$11)*1000</f>
        <v>529906.23500373936</v>
      </c>
      <c r="S115" s="213"/>
      <c r="T115" s="213">
        <v>0</v>
      </c>
      <c r="U115" s="213">
        <f>IF('Staging Table'!D117=1, 'Staging Table'!BU117*-1*'Staging Table'!BS117/'Staging Table'!BR117,SUM(O115:T115)*'Staging Table'!BU117*-1)</f>
        <v>0</v>
      </c>
      <c r="V115" s="211">
        <f>'Staging Table'!BX117*Rates_current!$H$32*-1</f>
        <v>0</v>
      </c>
      <c r="W115" s="211">
        <f>IF('Staging Table'!C117=1,"",SUM(O115:V115))</f>
        <v>16415111.941201499</v>
      </c>
      <c r="X115" s="211">
        <f>IF('Staging Table'!C117=1,"",(RT1SC!$C$4*'Staging Table'!BS117*'Staging Table'!$BS$2))</f>
        <v>468189.34540056007</v>
      </c>
      <c r="Y115" s="95">
        <f>IF('Staging Table'!C117=1,"",IF(X115=0, 0, W115/X115))</f>
        <v>35.060840453679113</v>
      </c>
      <c r="Z115" s="87">
        <f ca="1">IF('Staging Table'!C117=1,"",(Y115/N115-1)+(RAND()/100000000000))</f>
        <v>-3.1722764377740631E-2</v>
      </c>
      <c r="AA115" s="53">
        <f t="shared" ca="1" si="1"/>
        <v>9</v>
      </c>
      <c r="AD115" s="216"/>
      <c r="AE115" s="216"/>
      <c r="AG115" s="216"/>
      <c r="AH115" s="216"/>
    </row>
    <row r="116" spans="2:34">
      <c r="B116" s="135">
        <v>10378</v>
      </c>
      <c r="C116" s="136" t="s">
        <v>119</v>
      </c>
      <c r="D116" s="211">
        <f>IF(Init!$R$9="Yes",'Staging Table'!F118,'Staging Table'!BS118)*Rates_previous!$E$76*100*12</f>
        <v>643838.16924000008</v>
      </c>
      <c r="E116" s="211">
        <f>IF(Init!$R$9="Yes",'Staging Table'!F118,'Staging Table'!BS118)*Rates_previous!$E$77*100*12</f>
        <v>-65134.654200000004</v>
      </c>
      <c r="F116" s="212"/>
      <c r="G116" s="212">
        <f>IF(Init!$R$9="Yes",SUMPRODUCT('Staging Table'!AJ118:AU118,LS_Demand_Rates_Restatement!$C$10:$N$10),SUMPRODUCT(LS_Demand_Rates_Restatement!$C$10:$N$10,'Staging Table'!CW118:DH118))*1000</f>
        <v>61737.519460256422</v>
      </c>
      <c r="H116" s="213"/>
      <c r="I116" s="211">
        <f>IF(Init!$R$9="Yes",IF('Staging Table'!$F$1=2020,(SUM('Staging Table'!AX118:BD118)*Rates_previous!$C$87),(SUM('Staging Table'!AX118:BD118)*Rates_previous!$D$87)),IF('Staging Table'!$F$1=2020,(SUM('Staging Table'!DK118:DQ118)*Rates_previous!$C$87),(SUM('Staging Table'!DK118:DQ118)*Rates_previous!$D$87)))</f>
        <v>7898.0636346982665</v>
      </c>
      <c r="J116" s="213">
        <f>IF(Init!$R$9="Yes",IF('Staging Table'!D118=1,'Staging Table'!H118*-1*'Staging Table'!F118/'Staging Table'!E118,'Staging Table'!H118*SUM(D116:I116)*(-1)),IF('Staging Table'!D118=1,'Staging Table'!BU118*-1*'Staging Table'!BS118/'Staging Table'!BR118,'Staging Table'!BU118*SUM(D116:I116)*(-1)))</f>
        <v>0</v>
      </c>
      <c r="K116" s="211">
        <f>IF(Init!$R$9="Yes",'Staging Table'!K118,'Staging Table'!BX118)*(-1)*Rates_previous!$H$32</f>
        <v>0</v>
      </c>
      <c r="L116" s="211">
        <f>IF('Staging Table'!C118=1,"",SUM(D116:K116))</f>
        <v>648339.09813495481</v>
      </c>
      <c r="M116" s="211">
        <f>IF('Staging Table'!C118=1,"",IF(Init!$R$9="Yes",(RT1SC!$C$3*'Staging Table'!F118*'Staging Table'!$F$2),X116))</f>
        <v>16715.427602227202</v>
      </c>
      <c r="N116" s="95">
        <f>IF('Staging Table'!C118=1,"",IF(M116=0, 0, L116/M116))</f>
        <v>38.786868847349652</v>
      </c>
      <c r="O116" s="211">
        <f>'Staging Table'!BS118*Rates_current!$E$76*100*12</f>
        <v>668830.31330997637</v>
      </c>
      <c r="P116" s="211">
        <f>'Staging Table'!BS118*Rates_current!$E$77*100*12</f>
        <v>-110425.48958190047</v>
      </c>
      <c r="Q116" s="212"/>
      <c r="R116" s="212">
        <f>SUMPRODUCT('Staging Table'!CW118:DH118, LS_Demand_Rates_Restatement!$C$11:$N$11)*1000</f>
        <v>57506.51279604702</v>
      </c>
      <c r="S116" s="213"/>
      <c r="T116" s="213">
        <v>0</v>
      </c>
      <c r="U116" s="213">
        <f>IF('Staging Table'!D118=1, 'Staging Table'!BU118*-1*'Staging Table'!BS118/'Staging Table'!BR118,SUM(O116:T116)*'Staging Table'!BU118*-1)</f>
        <v>0</v>
      </c>
      <c r="V116" s="211">
        <f>'Staging Table'!BX118*Rates_current!$H$32*-1</f>
        <v>0</v>
      </c>
      <c r="W116" s="211">
        <f>IF('Staging Table'!C118=1,"",SUM(O116:V116))</f>
        <v>615911.33652412298</v>
      </c>
      <c r="X116" s="211">
        <f>IF('Staging Table'!C118=1,"",(RT1SC!$C$4*'Staging Table'!BS118*'Staging Table'!$BS$2))</f>
        <v>16458.029799876003</v>
      </c>
      <c r="Y116" s="95">
        <f>IF('Staging Table'!C118=1,"",IF(X116=0, 0, W116/X116))</f>
        <v>37.423151131295398</v>
      </c>
      <c r="Z116" s="87">
        <f ca="1">IF('Staging Table'!C118=1,"",(Y116/N116-1)+(RAND()/100000000000))</f>
        <v>-3.5159262825110574E-2</v>
      </c>
      <c r="AA116" s="53">
        <f t="shared" ca="1" si="1"/>
        <v>73</v>
      </c>
      <c r="AD116" s="216"/>
      <c r="AE116" s="216"/>
      <c r="AG116" s="216"/>
      <c r="AH116" s="216"/>
    </row>
    <row r="117" spans="2:34">
      <c r="B117" s="135">
        <v>10379</v>
      </c>
      <c r="C117" s="136" t="s">
        <v>120</v>
      </c>
      <c r="D117" s="211">
        <f>IF(Init!$R$9="Yes",'Staging Table'!F119,'Staging Table'!BS119)*Rates_previous!$E$76*100*12</f>
        <v>1605673.9281600004</v>
      </c>
      <c r="E117" s="211">
        <f>IF(Init!$R$9="Yes",'Staging Table'!F119,'Staging Table'!BS119)*Rates_previous!$E$77*100*12</f>
        <v>-162439.91280000002</v>
      </c>
      <c r="F117" s="212"/>
      <c r="G117" s="212">
        <f>IF(Init!$R$9="Yes",SUMPRODUCT('Staging Table'!AJ119:AU119,LS_Demand_Rates_Restatement!$C$10:$N$10),SUMPRODUCT(LS_Demand_Rates_Restatement!$C$10:$N$10,'Staging Table'!CW119:DH119))*1000</f>
        <v>94517.415856517109</v>
      </c>
      <c r="H117" s="213"/>
      <c r="I117" s="211">
        <f>IF(Init!$R$9="Yes",IF('Staging Table'!$F$1=2020,(SUM('Staging Table'!AX119:BD119)*Rates_previous!$C$87),(SUM('Staging Table'!AX119:BD119)*Rates_previous!$D$87)),IF('Staging Table'!$F$1=2020,(SUM('Staging Table'!DK119:DQ119)*Rates_previous!$C$87),(SUM('Staging Table'!DK119:DQ119)*Rates_previous!$D$87)))</f>
        <v>19697.053494286261</v>
      </c>
      <c r="J117" s="213">
        <f>IF(Init!$R$9="Yes",IF('Staging Table'!D119=1,'Staging Table'!H119*-1*'Staging Table'!F119/'Staging Table'!E119,'Staging Table'!H119*SUM(D117:I117)*(-1)),IF('Staging Table'!D119=1,'Staging Table'!BU119*-1*'Staging Table'!BS119/'Staging Table'!BR119,'Staging Table'!BU119*SUM(D117:I117)*(-1)))</f>
        <v>0</v>
      </c>
      <c r="K117" s="211">
        <f>IF(Init!$R$9="Yes",'Staging Table'!K119,'Staging Table'!BX119)*(-1)*Rates_previous!$H$32</f>
        <v>0</v>
      </c>
      <c r="L117" s="211">
        <f>IF('Staging Table'!C119=1,"",SUM(D117:K117))</f>
        <v>1557448.4847108037</v>
      </c>
      <c r="M117" s="211">
        <f>IF('Staging Table'!C119=1,"",IF(Init!$R$9="Yes",(RT1SC!$C$3*'Staging Table'!F119*'Staging Table'!$F$2),X117))</f>
        <v>41686.758538444803</v>
      </c>
      <c r="N117" s="95">
        <f>IF('Staging Table'!C119=1,"",IF(M117=0, 0, L117/M117))</f>
        <v>37.360748096412365</v>
      </c>
      <c r="O117" s="211">
        <f>'Staging Table'!BS119*Rates_current!$E$76*100*12</f>
        <v>1618718.0404597851</v>
      </c>
      <c r="P117" s="211">
        <f>'Staging Table'!BS119*Rates_current!$E$77*100*12</f>
        <v>-267254.23258437729</v>
      </c>
      <c r="Q117" s="212"/>
      <c r="R117" s="212">
        <f>SUMPRODUCT('Staging Table'!CW119:DH119, LS_Demand_Rates_Restatement!$C$11:$N$11)*1000</f>
        <v>88706.257051558074</v>
      </c>
      <c r="S117" s="213"/>
      <c r="T117" s="213">
        <v>0</v>
      </c>
      <c r="U117" s="213">
        <f>IF('Staging Table'!D119=1, 'Staging Table'!BU119*-1*'Staging Table'!BS119/'Staging Table'!BR119,SUM(O117:T117)*'Staging Table'!BU119*-1)</f>
        <v>0</v>
      </c>
      <c r="V117" s="211">
        <f>'Staging Table'!BX119*Rates_current!$H$32*-1</f>
        <v>0</v>
      </c>
      <c r="W117" s="211">
        <f>IF('Staging Table'!C119=1,"",SUM(O117:V117))</f>
        <v>1440170.0649269659</v>
      </c>
      <c r="X117" s="211">
        <f>IF('Staging Table'!C119=1,"",(RT1SC!$C$4*'Staging Table'!BS119*'Staging Table'!$BS$2))</f>
        <v>39832.090767000002</v>
      </c>
      <c r="Y117" s="95">
        <f>IF('Staging Table'!C119=1,"",IF(X117=0, 0, W117/X117))</f>
        <v>36.156024883336393</v>
      </c>
      <c r="Z117" s="87">
        <f ca="1">IF('Staging Table'!C119=1,"",(Y117/N117-1)+(RAND()/100000000000))</f>
        <v>-3.2245692989725627E-2</v>
      </c>
      <c r="AA117" s="53">
        <f t="shared" ca="1" si="1"/>
        <v>14</v>
      </c>
      <c r="AD117" s="216"/>
      <c r="AE117" s="216"/>
      <c r="AG117" s="216"/>
      <c r="AH117" s="216"/>
    </row>
    <row r="118" spans="2:34">
      <c r="B118" s="135">
        <v>10388</v>
      </c>
      <c r="C118" s="136" t="s">
        <v>121</v>
      </c>
      <c r="D118" s="211">
        <f>IF(Init!$R$9="Yes",'Staging Table'!F120,'Staging Table'!BS120)*Rates_previous!$E$76*100*12</f>
        <v>38105047.498799995</v>
      </c>
      <c r="E118" s="211">
        <f>IF(Init!$R$9="Yes",'Staging Table'!F120,'Staging Table'!BS120)*Rates_previous!$E$77*100*12</f>
        <v>-3854942.453999999</v>
      </c>
      <c r="F118" s="212"/>
      <c r="G118" s="212">
        <f>IF(Init!$R$9="Yes",SUMPRODUCT('Staging Table'!AJ120:AU120,LS_Demand_Rates_Restatement!$C$10:$N$10),SUMPRODUCT(LS_Demand_Rates_Restatement!$C$10:$N$10,'Staging Table'!CW120:DH120))*1000</f>
        <v>0</v>
      </c>
      <c r="H118" s="213"/>
      <c r="I118" s="211">
        <f>IF(Init!$R$9="Yes",IF('Staging Table'!$F$1=2020,(SUM('Staging Table'!AX120:BD120)*Rates_previous!$C$87),(SUM('Staging Table'!AX120:BD120)*Rates_previous!$D$87)),IF('Staging Table'!$F$1=2020,(SUM('Staging Table'!DK120:DQ120)*Rates_previous!$C$87),(SUM('Staging Table'!DK120:DQ120)*Rates_previous!$D$87)))</f>
        <v>467440.58418278804</v>
      </c>
      <c r="J118" s="213">
        <f>IF(Init!$R$9="Yes",IF('Staging Table'!D120=1,'Staging Table'!H120*-1*'Staging Table'!F120/'Staging Table'!E120,'Staging Table'!H120*SUM(D118:I118)*(-1)),IF('Staging Table'!D120=1,'Staging Table'!BU120*-1*'Staging Table'!BS120/'Staging Table'!BR120,'Staging Table'!BU120*SUM(D118:I118)*(-1)))</f>
        <v>-3733344.5368004204</v>
      </c>
      <c r="K118" s="211">
        <f>IF(Init!$R$9="Yes",'Staging Table'!K120,'Staging Table'!BX120)*(-1)*Rates_previous!$H$32</f>
        <v>-2541661.6639700001</v>
      </c>
      <c r="L118" s="211">
        <f>IF('Staging Table'!C120=1,"",SUM(D118:K118))</f>
        <v>28442539.428212367</v>
      </c>
      <c r="M118" s="211">
        <f>IF('Staging Table'!C120=1,"",IF(Init!$R$9="Yes",(RT1SC!$C$3*'Staging Table'!F120*'Staging Table'!$F$2),X118))</f>
        <v>989289.2238704639</v>
      </c>
      <c r="N118" s="95">
        <f>IF('Staging Table'!C120=1,"",IF(M118=0, 0, L118/M118))</f>
        <v>28.750479376430157</v>
      </c>
      <c r="O118" s="211">
        <f>'Staging Table'!BS120*Rates_current!$E$76*100*12</f>
        <v>38448750.137321085</v>
      </c>
      <c r="P118" s="211">
        <f>'Staging Table'!BS120*Rates_current!$E$77*100*12</f>
        <v>-6347980.9052226981</v>
      </c>
      <c r="Q118" s="212"/>
      <c r="R118" s="212">
        <f>SUMPRODUCT('Staging Table'!CW120:DH120, LS_Demand_Rates_Restatement!$C$11:$N$11)*1000</f>
        <v>0</v>
      </c>
      <c r="S118" s="213"/>
      <c r="T118" s="213">
        <v>0</v>
      </c>
      <c r="U118" s="213">
        <f>IF('Staging Table'!D120=1, 'Staging Table'!BU120*-1*'Staging Table'!BS120/'Staging Table'!BR120,SUM(O118:T118)*'Staging Table'!BU120*-1)</f>
        <v>-3285882.4599737246</v>
      </c>
      <c r="V118" s="211">
        <f>'Staging Table'!BX120*Rates_current!$H$32*-1</f>
        <v>-2493619.4543000003</v>
      </c>
      <c r="W118" s="211">
        <f>IF('Staging Table'!C120=1,"",SUM(O118:V118))</f>
        <v>26321267.317824662</v>
      </c>
      <c r="X118" s="211">
        <f>IF('Staging Table'!C120=1,"",(RT1SC!$C$4*'Staging Table'!BS120*'Staging Table'!$BS$2))</f>
        <v>946115.42409971997</v>
      </c>
      <c r="Y118" s="95">
        <f>IF('Staging Table'!C120=1,"",IF(X118=0, 0, W118/X118))</f>
        <v>27.820355368237202</v>
      </c>
      <c r="Z118" s="87">
        <f ca="1">IF('Staging Table'!C120=1,"",(Y118/N118-1)+(RAND()/100000000000))</f>
        <v>-3.2351599985998208E-2</v>
      </c>
      <c r="AA118" s="53">
        <f t="shared" ca="1" si="1"/>
        <v>16</v>
      </c>
      <c r="AD118" s="216"/>
      <c r="AE118" s="216"/>
      <c r="AG118" s="216"/>
      <c r="AH118" s="216"/>
    </row>
    <row r="119" spans="2:34">
      <c r="B119" s="135">
        <v>10391</v>
      </c>
      <c r="C119" s="136" t="s">
        <v>122</v>
      </c>
      <c r="D119" s="211">
        <f>IF(Init!$R$9="Yes",'Staging Table'!F121,'Staging Table'!BS121)*Rates_previous!$E$76*100*12</f>
        <v>10088461.64928</v>
      </c>
      <c r="E119" s="211">
        <f>IF(Init!$R$9="Yes",'Staging Table'!F121,'Staging Table'!BS121)*Rates_previous!$E$77*100*12</f>
        <v>-1020611.2224000001</v>
      </c>
      <c r="F119" s="212"/>
      <c r="G119" s="212">
        <f>IF(Init!$R$9="Yes",SUMPRODUCT('Staging Table'!AJ121:AU121,LS_Demand_Rates_Restatement!$C$10:$N$10),SUMPRODUCT(LS_Demand_Rates_Restatement!$C$10:$N$10,'Staging Table'!CW121:DH121))*1000</f>
        <v>413517.19064042019</v>
      </c>
      <c r="H119" s="213"/>
      <c r="I119" s="211">
        <f>IF(Init!$R$9="Yes",IF('Staging Table'!$F$1=2020,(SUM('Staging Table'!AX121:BD121)*Rates_previous!$C$87),(SUM('Staging Table'!AX121:BD121)*Rates_previous!$D$87)),IF('Staging Table'!$F$1=2020,(SUM('Staging Table'!DK121:DQ121)*Rates_previous!$C$87),(SUM('Staging Table'!DK121:DQ121)*Rates_previous!$D$87)))</f>
        <v>123756.73871010409</v>
      </c>
      <c r="J119" s="213">
        <f>IF(Init!$R$9="Yes",IF('Staging Table'!D121=1,'Staging Table'!H121*-1*'Staging Table'!F121/'Staging Table'!E121,'Staging Table'!H121*SUM(D119:I119)*(-1)),IF('Staging Table'!D121=1,'Staging Table'!BU121*-1*'Staging Table'!BS121/'Staging Table'!BR121,'Staging Table'!BU121*SUM(D119:I119)*(-1)))</f>
        <v>-345923.63484032574</v>
      </c>
      <c r="K119" s="211">
        <f>IF(Init!$R$9="Yes",'Staging Table'!K121,'Staging Table'!BX121)*(-1)*Rates_previous!$H$32</f>
        <v>-491841.39982999995</v>
      </c>
      <c r="L119" s="211">
        <f>IF('Staging Table'!C121=1,"",SUM(D119:K119))</f>
        <v>8767359.3215601966</v>
      </c>
      <c r="M119" s="211">
        <f>IF('Staging Table'!C121=1,"",IF(Init!$R$9="Yes",(RT1SC!$C$3*'Staging Table'!F121*'Staging Table'!$F$2),X119))</f>
        <v>261918.2247542784</v>
      </c>
      <c r="N119" s="95">
        <f>IF('Staging Table'!C121=1,"",IF(M119=0, 0, L119/M119))</f>
        <v>33.473651288624133</v>
      </c>
      <c r="O119" s="211">
        <f>'Staging Table'!BS121*Rates_current!$E$76*100*12</f>
        <v>10179698.08881147</v>
      </c>
      <c r="P119" s="211">
        <f>'Staging Table'!BS121*Rates_current!$E$77*100*12</f>
        <v>-1680692.5805887752</v>
      </c>
      <c r="Q119" s="212"/>
      <c r="R119" s="212">
        <f>SUMPRODUCT('Staging Table'!CW121:DH121, LS_Demand_Rates_Restatement!$C$11:$N$11)*1000</f>
        <v>400495.48145792389</v>
      </c>
      <c r="S119" s="213"/>
      <c r="T119" s="213">
        <v>0</v>
      </c>
      <c r="U119" s="213">
        <f>IF('Staging Table'!D121=1, 'Staging Table'!BU121*-1*'Staging Table'!BS121/'Staging Table'!BR121,SUM(O119:T119)*'Staging Table'!BU121*-1)</f>
        <v>-303631.86450541753</v>
      </c>
      <c r="V119" s="211">
        <f>'Staging Table'!BX121*Rates_current!$H$32*-1</f>
        <v>-482544.66769999999</v>
      </c>
      <c r="W119" s="211">
        <f>IF('Staging Table'!C121=1,"",SUM(O119:V119))</f>
        <v>8113324.4574752022</v>
      </c>
      <c r="X119" s="211">
        <f>IF('Staging Table'!C121=1,"",(RT1SC!$C$4*'Staging Table'!BS121*'Staging Table'!$BS$2))</f>
        <v>250493.69199531601</v>
      </c>
      <c r="Y119" s="95">
        <f>IF('Staging Table'!C121=1,"",IF(X119=0, 0, W119/X119))</f>
        <v>32.389336405432971</v>
      </c>
      <c r="Z119" s="87">
        <f ca="1">IF('Staging Table'!C121=1,"",(Y119/N119-1)+(RAND()/100000000000))</f>
        <v>-3.2393086540806679E-2</v>
      </c>
      <c r="AA119" s="53">
        <f t="shared" ca="1" si="1"/>
        <v>17</v>
      </c>
      <c r="AD119" s="216"/>
      <c r="AE119" s="216"/>
      <c r="AG119" s="216"/>
      <c r="AH119" s="216"/>
    </row>
    <row r="120" spans="2:34">
      <c r="B120" s="135">
        <v>10406</v>
      </c>
      <c r="C120" s="136" t="s">
        <v>123</v>
      </c>
      <c r="D120" s="211">
        <f>IF(Init!$R$9="Yes",'Staging Table'!F122,'Staging Table'!BS122)*Rates_previous!$E$76*100*12</f>
        <v>154245.46764000002</v>
      </c>
      <c r="E120" s="211">
        <f>IF(Init!$R$9="Yes",'Staging Table'!F122,'Staging Table'!BS122)*Rates_previous!$E$77*100*12</f>
        <v>-15604.426200000002</v>
      </c>
      <c r="F120" s="212"/>
      <c r="G120" s="212">
        <f>IF(Init!$R$9="Yes",SUMPRODUCT('Staging Table'!AJ122:AU122,LS_Demand_Rates_Restatement!$C$10:$N$10),SUMPRODUCT(LS_Demand_Rates_Restatement!$C$10:$N$10,'Staging Table'!CW122:DH122))*1000</f>
        <v>9309.4015690883189</v>
      </c>
      <c r="H120" s="213"/>
      <c r="I120" s="211">
        <f>IF(Init!$R$9="Yes",IF('Staging Table'!$F$1=2020,(SUM('Staging Table'!AX122:BD122)*Rates_previous!$C$87),(SUM('Staging Table'!AX122:BD122)*Rates_previous!$D$87)),IF('Staging Table'!$F$1=2020,(SUM('Staging Table'!DK122:DQ122)*Rates_previous!$C$87),(SUM('Staging Table'!DK122:DQ122)*Rates_previous!$D$87)))</f>
        <v>1892.1533034031656</v>
      </c>
      <c r="J120" s="213">
        <f>IF(Init!$R$9="Yes",IF('Staging Table'!D122=1,'Staging Table'!H122*-1*'Staging Table'!F122/'Staging Table'!E122,'Staging Table'!H122*SUM(D120:I120)*(-1)),IF('Staging Table'!D122=1,'Staging Table'!BU122*-1*'Staging Table'!BS122/'Staging Table'!BR122,'Staging Table'!BU122*SUM(D120:I120)*(-1)))</f>
        <v>0</v>
      </c>
      <c r="K120" s="211">
        <f>IF(Init!$R$9="Yes",'Staging Table'!K122,'Staging Table'!BX122)*(-1)*Rates_previous!$H$32</f>
        <v>0</v>
      </c>
      <c r="L120" s="211">
        <f>IF('Staging Table'!C122=1,"",SUM(D120:K120))</f>
        <v>149842.59631249149</v>
      </c>
      <c r="M120" s="211">
        <f>IF('Staging Table'!C122=1,"",IF(Init!$R$9="Yes",(RT1SC!$C$3*'Staging Table'!F122*'Staging Table'!$F$2),X120))</f>
        <v>4004.5450401792004</v>
      </c>
      <c r="N120" s="95">
        <f>IF('Staging Table'!C122=1,"",IF(M120=0, 0, L120/M120))</f>
        <v>37.418132349383228</v>
      </c>
      <c r="O120" s="211">
        <f>'Staging Table'!BS122*Rates_current!$E$76*100*12</f>
        <v>155636.7419642075</v>
      </c>
      <c r="P120" s="211">
        <f>'Staging Table'!BS122*Rates_current!$E$77*100*12</f>
        <v>-25695.999547742351</v>
      </c>
      <c r="Q120" s="212"/>
      <c r="R120" s="212">
        <f>SUMPRODUCT('Staging Table'!CW122:DH122, LS_Demand_Rates_Restatement!$C$11:$N$11)*1000</f>
        <v>8172.5408333333344</v>
      </c>
      <c r="S120" s="213"/>
      <c r="T120" s="213">
        <v>0</v>
      </c>
      <c r="U120" s="213">
        <f>IF('Staging Table'!D122=1, 'Staging Table'!BU122*-1*'Staging Table'!BS122/'Staging Table'!BR122,SUM(O120:T120)*'Staging Table'!BU122*-1)</f>
        <v>0</v>
      </c>
      <c r="V120" s="211">
        <f>'Staging Table'!BX122*Rates_current!$H$32*-1</f>
        <v>0</v>
      </c>
      <c r="W120" s="211">
        <f>IF('Staging Table'!C122=1,"",SUM(O120:V120))</f>
        <v>138113.28324979849</v>
      </c>
      <c r="X120" s="211">
        <f>IF('Staging Table'!C122=1,"",(RT1SC!$C$4*'Staging Table'!BS122*'Staging Table'!$BS$2))</f>
        <v>3829.7817641160004</v>
      </c>
      <c r="Y120" s="95">
        <f>IF('Staging Table'!C122=1,"",IF(X120=0, 0, W120/X120))</f>
        <v>36.062964355797476</v>
      </c>
      <c r="Z120" s="87">
        <f ca="1">IF('Staging Table'!C122=1,"",(Y120/N120-1)+(RAND()/100000000000))</f>
        <v>-3.6216879577181879E-2</v>
      </c>
      <c r="AA120" s="53">
        <f t="shared" ca="1" si="1"/>
        <v>85</v>
      </c>
      <c r="AD120" s="216"/>
      <c r="AE120" s="216"/>
      <c r="AG120" s="216"/>
      <c r="AH120" s="216"/>
    </row>
    <row r="121" spans="2:34">
      <c r="B121" s="135">
        <v>10408</v>
      </c>
      <c r="C121" s="136" t="s">
        <v>124</v>
      </c>
      <c r="D121" s="211">
        <f>IF(Init!$R$9="Yes",'Staging Table'!F123,'Staging Table'!BS123)*Rates_previous!$E$76*100*12</f>
        <v>502664.35140000004</v>
      </c>
      <c r="E121" s="211">
        <f>IF(Init!$R$9="Yes",'Staging Table'!F123,'Staging Table'!BS123)*Rates_previous!$E$77*100*12</f>
        <v>-50852.637000000002</v>
      </c>
      <c r="F121" s="212"/>
      <c r="G121" s="212">
        <f>IF(Init!$R$9="Yes",SUMPRODUCT('Staging Table'!AJ123:AU123,LS_Demand_Rates_Restatement!$C$10:$N$10),SUMPRODUCT(LS_Demand_Rates_Restatement!$C$10:$N$10,'Staging Table'!CW123:DH123))*1000</f>
        <v>27958.364312927359</v>
      </c>
      <c r="H121" s="213"/>
      <c r="I121" s="211">
        <f>IF(Init!$R$9="Yes",IF('Staging Table'!$F$1=2020,(SUM('Staging Table'!AX123:BD123)*Rates_previous!$C$87),(SUM('Staging Table'!AX123:BD123)*Rates_previous!$D$87)),IF('Staging Table'!$F$1=2020,(SUM('Staging Table'!DK123:DQ123)*Rates_previous!$C$87),(SUM('Staging Table'!DK123:DQ123)*Rates_previous!$D$87)))</f>
        <v>6166.2623061597751</v>
      </c>
      <c r="J121" s="213">
        <f>IF(Init!$R$9="Yes",IF('Staging Table'!D123=1,'Staging Table'!H123*-1*'Staging Table'!F123/'Staging Table'!E123,'Staging Table'!H123*SUM(D121:I121)*(-1)),IF('Staging Table'!D123=1,'Staging Table'!BU123*-1*'Staging Table'!BS123/'Staging Table'!BR123,'Staging Table'!BU123*SUM(D121:I121)*(-1)))</f>
        <v>0</v>
      </c>
      <c r="K121" s="211">
        <f>IF(Init!$R$9="Yes",'Staging Table'!K123,'Staging Table'!BX123)*(-1)*Rates_previous!$H$32</f>
        <v>0</v>
      </c>
      <c r="L121" s="211">
        <f>IF('Staging Table'!C123=1,"",SUM(D121:K121))</f>
        <v>485936.34101908718</v>
      </c>
      <c r="M121" s="211">
        <f>IF('Staging Table'!C123=1,"",IF(Init!$R$9="Yes",(RT1SC!$C$3*'Staging Table'!F123*'Staging Table'!$F$2),X121))</f>
        <v>13050.250785791999</v>
      </c>
      <c r="N121" s="95">
        <f>IF('Staging Table'!C123=1,"",IF(M121=0, 0, L121/M121))</f>
        <v>37.23578565617553</v>
      </c>
      <c r="O121" s="211">
        <f>'Staging Table'!BS123*Rates_current!$E$76*100*12</f>
        <v>518709.20318733552</v>
      </c>
      <c r="P121" s="211">
        <f>'Staging Table'!BS123*Rates_current!$E$77*100*12</f>
        <v>-85640.134085927129</v>
      </c>
      <c r="Q121" s="212"/>
      <c r="R121" s="212">
        <f>SUMPRODUCT('Staging Table'!CW123:DH123, LS_Demand_Rates_Restatement!$C$11:$N$11)*1000</f>
        <v>25365.975915500367</v>
      </c>
      <c r="S121" s="213"/>
      <c r="T121" s="213">
        <v>0</v>
      </c>
      <c r="U121" s="213">
        <f>IF('Staging Table'!D123=1, 'Staging Table'!BU123*-1*'Staging Table'!BS123/'Staging Table'!BR123,SUM(O121:T121)*'Staging Table'!BU123*-1)</f>
        <v>0</v>
      </c>
      <c r="V121" s="211">
        <f>'Staging Table'!BX123*Rates_current!$H$32*-1</f>
        <v>0</v>
      </c>
      <c r="W121" s="211">
        <f>IF('Staging Table'!C123=1,"",SUM(O121:V121))</f>
        <v>458435.04501690873</v>
      </c>
      <c r="X121" s="211">
        <f>IF('Staging Table'!C123=1,"",(RT1SC!$C$4*'Staging Table'!BS123*'Staging Table'!$BS$2))</f>
        <v>12763.972196892</v>
      </c>
      <c r="Y121" s="95">
        <f>IF('Staging Table'!C123=1,"",IF(X121=0, 0, W121/X121))</f>
        <v>35.916330586221164</v>
      </c>
      <c r="Z121" s="87">
        <f ca="1">IF('Staging Table'!C123=1,"",(Y121/N121-1)+(RAND()/100000000000))</f>
        <v>-3.5435134414052862E-2</v>
      </c>
      <c r="AA121" s="53">
        <f t="shared" ca="1" si="1"/>
        <v>77</v>
      </c>
      <c r="AD121" s="216"/>
      <c r="AE121" s="216"/>
      <c r="AG121" s="216"/>
      <c r="AH121" s="216"/>
    </row>
    <row r="122" spans="2:34">
      <c r="B122" s="135">
        <v>10409</v>
      </c>
      <c r="C122" s="136" t="s">
        <v>125</v>
      </c>
      <c r="D122" s="211">
        <f>IF(Init!$R$9="Yes",'Staging Table'!F124,'Staging Table'!BS124)*Rates_previous!$E$76*100*12</f>
        <v>6601896.1480800007</v>
      </c>
      <c r="E122" s="211">
        <f>IF(Init!$R$9="Yes",'Staging Table'!F124,'Staging Table'!BS124)*Rates_previous!$E$77*100*12</f>
        <v>-667888.6764</v>
      </c>
      <c r="F122" s="212"/>
      <c r="G122" s="212">
        <f>IF(Init!$R$9="Yes",SUMPRODUCT('Staging Table'!AJ124:AU124,LS_Demand_Rates_Restatement!$C$10:$N$10),SUMPRODUCT(LS_Demand_Rates_Restatement!$C$10:$N$10,'Staging Table'!CW124:DH124))*1000</f>
        <v>269250.4900979345</v>
      </c>
      <c r="H122" s="213"/>
      <c r="I122" s="211">
        <f>IF(Init!$R$9="Yes",IF('Staging Table'!$F$1=2020,(SUM('Staging Table'!AX124:BD124)*Rates_previous!$C$87),(SUM('Staging Table'!AX124:BD124)*Rates_previous!$D$87)),IF('Staging Table'!$F$1=2020,(SUM('Staging Table'!DK124:DQ124)*Rates_previous!$C$87),(SUM('Staging Table'!DK124:DQ124)*Rates_previous!$D$87)))</f>
        <v>80986.493778017146</v>
      </c>
      <c r="J122" s="213">
        <f>IF(Init!$R$9="Yes",IF('Staging Table'!D124=1,'Staging Table'!H124*-1*'Staging Table'!F124/'Staging Table'!E124,'Staging Table'!H124*SUM(D122:I122)*(-1)),IF('Staging Table'!D124=1,'Staging Table'!BU124*-1*'Staging Table'!BS124/'Staging Table'!BR124,'Staging Table'!BU124*SUM(D122:I122)*(-1)))</f>
        <v>0</v>
      </c>
      <c r="K122" s="211">
        <f>IF(Init!$R$9="Yes",'Staging Table'!K124,'Staging Table'!BX124)*(-1)*Rates_previous!$H$32</f>
        <v>0</v>
      </c>
      <c r="L122" s="211">
        <f>IF('Staging Table'!C124=1,"",SUM(D122:K122))</f>
        <v>6284244.4555559522</v>
      </c>
      <c r="M122" s="211">
        <f>IF('Staging Table'!C124=1,"",IF(Init!$R$9="Yes",(RT1SC!$C$3*'Staging Table'!F124*'Staging Table'!$F$2),X122))</f>
        <v>171399.46398474238</v>
      </c>
      <c r="N122" s="95">
        <f>IF('Staging Table'!C124=1,"",IF(M122=0, 0, L122/M122))</f>
        <v>36.66431801744352</v>
      </c>
      <c r="O122" s="211">
        <f>'Staging Table'!BS124*Rates_current!$E$76*100*12</f>
        <v>6934827.8954097871</v>
      </c>
      <c r="P122" s="211">
        <f>'Staging Table'!BS124*Rates_current!$E$77*100*12</f>
        <v>-1144956.7256111144</v>
      </c>
      <c r="Q122" s="212"/>
      <c r="R122" s="212">
        <f>SUMPRODUCT('Staging Table'!CW124:DH124, LS_Demand_Rates_Restatement!$C$11:$N$11)*1000</f>
        <v>250189.73881379992</v>
      </c>
      <c r="S122" s="213"/>
      <c r="T122" s="213">
        <v>0</v>
      </c>
      <c r="U122" s="213">
        <f>IF('Staging Table'!D124=1, 'Staging Table'!BU124*-1*'Staging Table'!BS124/'Staging Table'!BR124,SUM(O122:T122)*'Staging Table'!BU124*-1)</f>
        <v>0</v>
      </c>
      <c r="V122" s="211">
        <f>'Staging Table'!BX124*Rates_current!$H$32*-1</f>
        <v>0</v>
      </c>
      <c r="W122" s="211">
        <f>IF('Staging Table'!C124=1,"",SUM(O122:V122))</f>
        <v>6040060.908612472</v>
      </c>
      <c r="X122" s="211">
        <f>IF('Staging Table'!C124=1,"",(RT1SC!$C$4*'Staging Table'!BS124*'Staging Table'!$BS$2))</f>
        <v>170646.577896312</v>
      </c>
      <c r="Y122" s="95">
        <f>IF('Staging Table'!C124=1,"",IF(X122=0, 0, W122/X122))</f>
        <v>35.395148165716655</v>
      </c>
      <c r="Z122" s="87">
        <f ca="1">IF('Staging Table'!C124=1,"",(Y122/N122-1)+(RAND()/100000000000))</f>
        <v>-3.4615940520524413E-2</v>
      </c>
      <c r="AA122" s="53">
        <f t="shared" ca="1" si="1"/>
        <v>62</v>
      </c>
      <c r="AD122" s="216"/>
      <c r="AE122" s="216"/>
      <c r="AG122" s="216"/>
      <c r="AH122" s="216"/>
    </row>
    <row r="123" spans="2:34">
      <c r="B123" s="135">
        <v>10426</v>
      </c>
      <c r="C123" s="136" t="s">
        <v>126</v>
      </c>
      <c r="D123" s="211">
        <f>IF(Init!$R$9="Yes",'Staging Table'!F125,'Staging Table'!BS125)*Rates_previous!$E$76*100*12</f>
        <v>10346329.649879999</v>
      </c>
      <c r="E123" s="211">
        <f>IF(Init!$R$9="Yes",'Staging Table'!F125,'Staging Table'!BS125)*Rates_previous!$E$77*100*12</f>
        <v>-1046698.7453999999</v>
      </c>
      <c r="F123" s="212"/>
      <c r="G123" s="212">
        <f>IF(Init!$R$9="Yes",SUMPRODUCT('Staging Table'!AJ125:AU125,LS_Demand_Rates_Restatement!$C$10:$N$10),SUMPRODUCT(LS_Demand_Rates_Restatement!$C$10:$N$10,'Staging Table'!CW125:DH125))*1000</f>
        <v>622388.03468379623</v>
      </c>
      <c r="H123" s="213"/>
      <c r="I123" s="211">
        <f>IF(Init!$R$9="Yes",IF('Staging Table'!$F$1=2020,(SUM('Staging Table'!AX125:BD125)*Rates_previous!$C$87),(SUM('Staging Table'!AX125:BD125)*Rates_previous!$D$87)),IF('Staging Table'!$F$1=2020,(SUM('Staging Table'!DK125:DQ125)*Rates_previous!$C$87),(SUM('Staging Table'!DK125:DQ125)*Rates_previous!$D$87)))</f>
        <v>126920.04585061634</v>
      </c>
      <c r="J123" s="213">
        <f>IF(Init!$R$9="Yes",IF('Staging Table'!D125=1,'Staging Table'!H125*-1*'Staging Table'!F125/'Staging Table'!E125,'Staging Table'!H125*SUM(D123:I123)*(-1)),IF('Staging Table'!D125=1,'Staging Table'!BU125*-1*'Staging Table'!BS125/'Staging Table'!BR125,'Staging Table'!BU125*SUM(D123:I123)*(-1)))</f>
        <v>0</v>
      </c>
      <c r="K123" s="211">
        <f>IF(Init!$R$9="Yes",'Staging Table'!K125,'Staging Table'!BX125)*(-1)*Rates_previous!$H$32</f>
        <v>0</v>
      </c>
      <c r="L123" s="211">
        <f>IF('Staging Table'!C125=1,"",SUM(D123:K123))</f>
        <v>10048938.985014411</v>
      </c>
      <c r="M123" s="211">
        <f>IF('Staging Table'!C125=1,"",IF(Init!$R$9="Yes",(RT1SC!$C$3*'Staging Table'!F125*'Staging Table'!$F$2),X123))</f>
        <v>268613.03425904643</v>
      </c>
      <c r="N123" s="95">
        <f>IF('Staging Table'!C125=1,"",IF(M123=0, 0, L123/M123))</f>
        <v>37.410466743484093</v>
      </c>
      <c r="O123" s="211">
        <f>'Staging Table'!BS125*Rates_current!$E$76*100*12</f>
        <v>5831941.3371765204</v>
      </c>
      <c r="P123" s="211">
        <f>'Staging Table'!BS125*Rates_current!$E$77*100*12</f>
        <v>-962867.50847695861</v>
      </c>
      <c r="Q123" s="212"/>
      <c r="R123" s="212">
        <f>SUMPRODUCT('Staging Table'!CW125:DH125, LS_Demand_Rates_Restatement!$C$11:$N$11)*1000</f>
        <v>577743.49495268892</v>
      </c>
      <c r="S123" s="213"/>
      <c r="T123" s="213">
        <v>0</v>
      </c>
      <c r="U123" s="213">
        <f>IF('Staging Table'!D125=1, 'Staging Table'!BU125*-1*'Staging Table'!BS125/'Staging Table'!BR125,SUM(O123:T123)*'Staging Table'!BU125*-1)</f>
        <v>0</v>
      </c>
      <c r="V123" s="211">
        <f>'Staging Table'!BX125*Rates_current!$H$32*-1</f>
        <v>0</v>
      </c>
      <c r="W123" s="211">
        <f>IF('Staging Table'!C125=1,"",SUM(O123:V123))</f>
        <v>5446817.3236522507</v>
      </c>
      <c r="X123" s="211">
        <f>IF('Staging Table'!C125=1,"",(RT1SC!$C$4*'Staging Table'!BS125*'Staging Table'!$BS$2))</f>
        <v>143507.64672039601</v>
      </c>
      <c r="Y123" s="95">
        <f>IF('Staging Table'!C125=1,"",IF(X123=0, 0, W123/X123))</f>
        <v>37.954892635544297</v>
      </c>
      <c r="Z123" s="87">
        <f ca="1">IF('Staging Table'!C125=1,"",(Y123/N123-1)+(RAND()/100000000000))</f>
        <v>1.4552769306123028E-2</v>
      </c>
      <c r="AA123" s="53">
        <f t="shared" ca="1" si="1"/>
        <v>1</v>
      </c>
      <c r="AD123" s="216"/>
      <c r="AE123" s="216"/>
      <c r="AG123" s="216"/>
      <c r="AH123" s="216"/>
    </row>
    <row r="124" spans="2:34">
      <c r="B124" s="135">
        <v>10434</v>
      </c>
      <c r="C124" s="136" t="s">
        <v>127</v>
      </c>
      <c r="D124" s="211">
        <f>IF(Init!$R$9="Yes",'Staging Table'!F126,'Staging Table'!BS126)*Rates_previous!$E$76*100*12</f>
        <v>9139459.8738000002</v>
      </c>
      <c r="E124" s="211">
        <f>IF(Init!$R$9="Yes",'Staging Table'!F126,'Staging Table'!BS126)*Rates_previous!$E$77*100*12</f>
        <v>-924604.32900000014</v>
      </c>
      <c r="F124" s="212"/>
      <c r="G124" s="212">
        <f>IF(Init!$R$9="Yes",SUMPRODUCT('Staging Table'!AJ126:AU126,LS_Demand_Rates_Restatement!$C$10:$N$10),SUMPRODUCT(LS_Demand_Rates_Restatement!$C$10:$N$10,'Staging Table'!CW126:DH126))*1000</f>
        <v>591229.61530409555</v>
      </c>
      <c r="H124" s="213"/>
      <c r="I124" s="211">
        <f>IF(Init!$R$9="Yes",IF('Staging Table'!$F$1=2020,(SUM('Staging Table'!AX126:BD126)*Rates_previous!$C$87),(SUM('Staging Table'!AX126:BD126)*Rates_previous!$D$87)),IF('Staging Table'!$F$1=2020,(SUM('Staging Table'!DK126:DQ126)*Rates_previous!$C$87),(SUM('Staging Table'!DK126:DQ126)*Rates_previous!$D$87)))</f>
        <v>112115.18533492867</v>
      </c>
      <c r="J124" s="213">
        <f>IF(Init!$R$9="Yes",IF('Staging Table'!D126=1,'Staging Table'!H126*-1*'Staging Table'!F126/'Staging Table'!E126,'Staging Table'!H126*SUM(D124:I124)*(-1)),IF('Staging Table'!D126=1,'Staging Table'!BU126*-1*'Staging Table'!BS126/'Staging Table'!BR126,'Staging Table'!BU126*SUM(D124:I124)*(-1)))</f>
        <v>0</v>
      </c>
      <c r="K124" s="211">
        <f>IF(Init!$R$9="Yes",'Staging Table'!K126,'Staging Table'!BX126)*(-1)*Rates_previous!$H$32</f>
        <v>0</v>
      </c>
      <c r="L124" s="211">
        <f>IF('Staging Table'!C126=1,"",SUM(D124:K124))</f>
        <v>8918200.3454390243</v>
      </c>
      <c r="M124" s="211">
        <f>IF('Staging Table'!C126=1,"",IF(Init!$R$9="Yes",(RT1SC!$C$3*'Staging Table'!F126*'Staging Table'!$F$2),X124))</f>
        <v>237280.09171046401</v>
      </c>
      <c r="N124" s="95">
        <f>IF('Staging Table'!C126=1,"",IF(M124=0, 0, L124/M124))</f>
        <v>37.585118419126658</v>
      </c>
      <c r="O124" s="211">
        <f>'Staging Table'!BS126*Rates_current!$E$76*100*12</f>
        <v>9221896.6290194131</v>
      </c>
      <c r="P124" s="211">
        <f>'Staging Table'!BS126*Rates_current!$E$77*100*12</f>
        <v>-1522557.2613381082</v>
      </c>
      <c r="Q124" s="212"/>
      <c r="R124" s="212">
        <f>SUMPRODUCT('Staging Table'!CW126:DH126, LS_Demand_Rates_Restatement!$C$11:$N$11)*1000</f>
        <v>558963.35051071935</v>
      </c>
      <c r="S124" s="213"/>
      <c r="T124" s="213">
        <v>0</v>
      </c>
      <c r="U124" s="213">
        <f>IF('Staging Table'!D126=1, 'Staging Table'!BU126*-1*'Staging Table'!BS126/'Staging Table'!BR126,SUM(O124:T124)*'Staging Table'!BU126*-1)</f>
        <v>0</v>
      </c>
      <c r="V124" s="211">
        <f>'Staging Table'!BX126*Rates_current!$H$32*-1</f>
        <v>0</v>
      </c>
      <c r="W124" s="211">
        <f>IF('Staging Table'!C126=1,"",SUM(O124:V124))</f>
        <v>8258302.7181920242</v>
      </c>
      <c r="X124" s="211">
        <f>IF('Staging Table'!C126=1,"",(RT1SC!$C$4*'Staging Table'!BS126*'Staging Table'!$BS$2))</f>
        <v>226924.89636222</v>
      </c>
      <c r="Y124" s="95">
        <f>IF('Staging Table'!C126=1,"",IF(X124=0, 0, W124/X124))</f>
        <v>36.392228664985403</v>
      </c>
      <c r="Z124" s="87">
        <f ca="1">IF('Staging Table'!C126=1,"",(Y124/N124-1)+(RAND()/100000000000))</f>
        <v>-3.1738352948206011E-2</v>
      </c>
      <c r="AA124" s="53">
        <f t="shared" ca="1" si="1"/>
        <v>10</v>
      </c>
      <c r="AD124" s="216"/>
      <c r="AE124" s="216"/>
      <c r="AG124" s="216"/>
      <c r="AH124" s="216"/>
    </row>
    <row r="125" spans="2:34">
      <c r="B125" s="135">
        <v>10436</v>
      </c>
      <c r="C125" s="136" t="s">
        <v>128</v>
      </c>
      <c r="D125" s="211">
        <f>IF(Init!$R$9="Yes",'Staging Table'!F127,'Staging Table'!BS127)*Rates_previous!$E$76*100*12</f>
        <v>6445749.3495599991</v>
      </c>
      <c r="E125" s="211">
        <f>IF(Init!$R$9="Yes",'Staging Table'!F127,'Staging Table'!BS127)*Rates_previous!$E$77*100*12</f>
        <v>-652091.89980000001</v>
      </c>
      <c r="F125" s="212"/>
      <c r="G125" s="212">
        <f>IF(Init!$R$9="Yes",SUMPRODUCT('Staging Table'!AJ127:AU127,LS_Demand_Rates_Restatement!$C$10:$N$10),SUMPRODUCT(LS_Demand_Rates_Restatement!$C$10:$N$10,'Staging Table'!CW127:DH127))*1000</f>
        <v>359467.26962407411</v>
      </c>
      <c r="H125" s="213"/>
      <c r="I125" s="211">
        <f>IF(Init!$R$9="Yes",IF('Staging Table'!$F$1=2020,(SUM('Staging Table'!AX127:BD127)*Rates_previous!$C$87),(SUM('Staging Table'!AX127:BD127)*Rates_previous!$D$87)),IF('Staging Table'!$F$1=2020,(SUM('Staging Table'!DK127:DQ127)*Rates_previous!$C$87),(SUM('Staging Table'!DK127:DQ127)*Rates_previous!$D$87)))</f>
        <v>79071.016550997287</v>
      </c>
      <c r="J125" s="213">
        <f>IF(Init!$R$9="Yes",IF('Staging Table'!D127=1,'Staging Table'!H127*-1*'Staging Table'!F127/'Staging Table'!E127,'Staging Table'!H127*SUM(D125:I125)*(-1)),IF('Staging Table'!D127=1,'Staging Table'!BU127*-1*'Staging Table'!BS127/'Staging Table'!BR127,'Staging Table'!BU127*SUM(D125:I125)*(-1)))</f>
        <v>-483013.97963705281</v>
      </c>
      <c r="K125" s="211">
        <f>IF(Init!$R$9="Yes",'Staging Table'!K127,'Staging Table'!BX127)*(-1)*Rates_previous!$H$32</f>
        <v>-431770.7963799999</v>
      </c>
      <c r="L125" s="211">
        <f>IF('Staging Table'!C127=1,"",SUM(D125:K125))</f>
        <v>5317410.9599180175</v>
      </c>
      <c r="M125" s="211">
        <f>IF('Staging Table'!C127=1,"",IF(Init!$R$9="Yes",(RT1SC!$C$3*'Staging Table'!F127*'Staging Table'!$F$2),X125))</f>
        <v>167345.55629383677</v>
      </c>
      <c r="N125" s="95">
        <f>IF('Staging Table'!C127=1,"",IF(M125=0, 0, L125/M125))</f>
        <v>31.775035308265632</v>
      </c>
      <c r="O125" s="211">
        <f>'Staging Table'!BS127*Rates_current!$E$76*100*12</f>
        <v>6503649.3714473154</v>
      </c>
      <c r="P125" s="211">
        <f>'Staging Table'!BS127*Rates_current!$E$77*100*12</f>
        <v>-1073768.1166945649</v>
      </c>
      <c r="Q125" s="212"/>
      <c r="R125" s="212">
        <f>SUMPRODUCT('Staging Table'!CW127:DH127, LS_Demand_Rates_Restatement!$C$11:$N$11)*1000</f>
        <v>326391.13739384816</v>
      </c>
      <c r="S125" s="213"/>
      <c r="T125" s="213">
        <v>0</v>
      </c>
      <c r="U125" s="213">
        <f>IF('Staging Table'!D127=1, 'Staging Table'!BU127*-1*'Staging Table'!BS127/'Staging Table'!BR127,SUM(O125:T125)*'Staging Table'!BU127*-1)</f>
        <v>-468268.61574451323</v>
      </c>
      <c r="V125" s="211">
        <f>'Staging Table'!BX127*Rates_current!$H$32*-1</f>
        <v>-423609.51219999994</v>
      </c>
      <c r="W125" s="211">
        <f>IF('Staging Table'!C127=1,"",SUM(O125:V125))</f>
        <v>4864394.2642020853</v>
      </c>
      <c r="X125" s="211">
        <f>IF('Staging Table'!C127=1,"",(RT1SC!$C$4*'Staging Table'!BS127*'Staging Table'!$BS$2))</f>
        <v>160036.48912608001</v>
      </c>
      <c r="Y125" s="95">
        <f>IF('Staging Table'!C127=1,"",IF(X125=0, 0, W125/X125))</f>
        <v>30.395532236212809</v>
      </c>
      <c r="Z125" s="87">
        <f ca="1">IF('Staging Table'!C127=1,"",(Y125/N125-1)+(RAND()/100000000000))</f>
        <v>-4.3414682582869478E-2</v>
      </c>
      <c r="AA125" s="53">
        <f t="shared" ca="1" si="1"/>
        <v>110</v>
      </c>
      <c r="AD125" s="216"/>
      <c r="AE125" s="216"/>
      <c r="AG125" s="216"/>
      <c r="AH125" s="216"/>
    </row>
    <row r="126" spans="2:34">
      <c r="B126" s="135">
        <v>10440</v>
      </c>
      <c r="C126" s="136" t="s">
        <v>129</v>
      </c>
      <c r="D126" s="211">
        <f>IF(Init!$R$9="Yes",'Staging Table'!F128,'Staging Table'!BS128)*Rates_previous!$E$76*100*12</f>
        <v>1666278.8499599998</v>
      </c>
      <c r="E126" s="211">
        <f>IF(Init!$R$9="Yes",'Staging Table'!F128,'Staging Table'!BS128)*Rates_previous!$E$77*100*12</f>
        <v>-168571.08179999999</v>
      </c>
      <c r="F126" s="212"/>
      <c r="G126" s="212">
        <f>IF(Init!$R$9="Yes",SUMPRODUCT('Staging Table'!AJ128:AU128,LS_Demand_Rates_Restatement!$C$10:$N$10),SUMPRODUCT(LS_Demand_Rates_Restatement!$C$10:$N$10,'Staging Table'!CW128:DH128))*1000</f>
        <v>68213.02052264956</v>
      </c>
      <c r="H126" s="213"/>
      <c r="I126" s="211">
        <f>IF(Init!$R$9="Yes",IF('Staging Table'!$F$1=2020,(SUM('Staging Table'!AX128:BD128)*Rates_previous!$C$87),(SUM('Staging Table'!AX128:BD128)*Rates_previous!$D$87)),IF('Staging Table'!$F$1=2020,(SUM('Staging Table'!DK128:DQ128)*Rates_previous!$C$87),(SUM('Staging Table'!DK128:DQ128)*Rates_previous!$D$87)))</f>
        <v>20440.503559567936</v>
      </c>
      <c r="J126" s="213">
        <f>IF(Init!$R$9="Yes",IF('Staging Table'!D128=1,'Staging Table'!H128*-1*'Staging Table'!F128/'Staging Table'!E128,'Staging Table'!H128*SUM(D126:I126)*(-1)),IF('Staging Table'!D128=1,'Staging Table'!BU128*-1*'Staging Table'!BS128/'Staging Table'!BR128,'Staging Table'!BU128*SUM(D126:I126)*(-1)))</f>
        <v>-87249.871073321949</v>
      </c>
      <c r="K126" s="211">
        <f>IF(Init!$R$9="Yes",'Staging Table'!K128,'Staging Table'!BX128)*(-1)*Rates_previous!$H$32</f>
        <v>0</v>
      </c>
      <c r="L126" s="211">
        <f>IF('Staging Table'!C128=1,"",SUM(D126:K126))</f>
        <v>1499111.4211688954</v>
      </c>
      <c r="M126" s="211">
        <f>IF('Staging Table'!C128=1,"",IF(Init!$R$9="Yes",(RT1SC!$C$3*'Staging Table'!F128*'Staging Table'!$F$2),X126))</f>
        <v>43260.193030348797</v>
      </c>
      <c r="N126" s="95">
        <f>IF('Staging Table'!C128=1,"",IF(M126=0, 0, L126/M126))</f>
        <v>34.653368747504373</v>
      </c>
      <c r="O126" s="211">
        <f>'Staging Table'!BS128*Rates_current!$E$76*100*12</f>
        <v>1699773.8475228085</v>
      </c>
      <c r="P126" s="211">
        <f>'Staging Table'!BS128*Rates_current!$E$77*100*12</f>
        <v>-280636.7408234172</v>
      </c>
      <c r="Q126" s="212"/>
      <c r="R126" s="212">
        <f>SUMPRODUCT('Staging Table'!CW128:DH128, LS_Demand_Rates_Restatement!$C$11:$N$11)*1000</f>
        <v>62996.809722346858</v>
      </c>
      <c r="S126" s="213"/>
      <c r="T126" s="213">
        <v>0</v>
      </c>
      <c r="U126" s="213">
        <f>IF('Staging Table'!D128=1, 'Staging Table'!BU128*-1*'Staging Table'!BS128/'Staging Table'!BR128,SUM(O126:T126)*'Staging Table'!BU128*-1)</f>
        <v>-84009.833539083877</v>
      </c>
      <c r="V126" s="211">
        <f>'Staging Table'!BX128*Rates_current!$H$32*-1</f>
        <v>0</v>
      </c>
      <c r="W126" s="211">
        <f>IF('Staging Table'!C128=1,"",SUM(O126:V126))</f>
        <v>1398124.0828826544</v>
      </c>
      <c r="X126" s="211">
        <f>IF('Staging Table'!C128=1,"",(RT1SC!$C$4*'Staging Table'!BS128*'Staging Table'!$BS$2))</f>
        <v>41826.645830592002</v>
      </c>
      <c r="Y126" s="95">
        <f>IF('Staging Table'!C128=1,"",IF(X126=0, 0, W126/X126))</f>
        <v>33.426636420845071</v>
      </c>
      <c r="Z126" s="87">
        <f ca="1">IF('Staging Table'!C128=1,"",(Y126/N126-1)+(RAND()/100000000000))</f>
        <v>-3.540008867160957E-2</v>
      </c>
      <c r="AA126" s="53">
        <f t="shared" ca="1" si="1"/>
        <v>76</v>
      </c>
      <c r="AD126" s="216"/>
      <c r="AE126" s="216"/>
      <c r="AG126" s="216"/>
      <c r="AH126" s="216"/>
    </row>
    <row r="127" spans="2:34">
      <c r="B127" s="135">
        <v>10442</v>
      </c>
      <c r="C127" s="136" t="s">
        <v>130</v>
      </c>
      <c r="D127" s="211">
        <f>IF(Init!$R$9="Yes",'Staging Table'!F129,'Staging Table'!BS129)*Rates_previous!$E$76*100*12</f>
        <v>4253514.8449200001</v>
      </c>
      <c r="E127" s="211">
        <f>IF(Init!$R$9="Yes",'Staging Table'!F129,'Staging Table'!BS129)*Rates_previous!$E$77*100*12</f>
        <v>-430311.88859999995</v>
      </c>
      <c r="F127" s="212"/>
      <c r="G127" s="212">
        <f>IF(Init!$R$9="Yes",SUMPRODUCT('Staging Table'!AJ129:AU129,LS_Demand_Rates_Restatement!$C$10:$N$10),SUMPRODUCT(LS_Demand_Rates_Restatement!$C$10:$N$10,'Staging Table'!CW129:DH129))*1000</f>
        <v>231014.5482967236</v>
      </c>
      <c r="H127" s="213"/>
      <c r="I127" s="211">
        <f>IF(Init!$R$9="Yes",IF('Staging Table'!$F$1=2020,(SUM('Staging Table'!AX129:BD129)*Rates_previous!$C$87),(SUM('Staging Table'!AX129:BD129)*Rates_previous!$D$87)),IF('Staging Table'!$F$1=2020,(SUM('Staging Table'!DK129:DQ129)*Rates_previous!$C$87),(SUM('Staging Table'!DK129:DQ129)*Rates_previous!$D$87)))</f>
        <v>52178.532620965256</v>
      </c>
      <c r="J127" s="213">
        <f>IF(Init!$R$9="Yes",IF('Staging Table'!D129=1,'Staging Table'!H129*-1*'Staging Table'!F129/'Staging Table'!E129,'Staging Table'!H129*SUM(D127:I127)*(-1)),IF('Staging Table'!D129=1,'Staging Table'!BU129*-1*'Staging Table'!BS129/'Staging Table'!BR129,'Staging Table'!BU129*SUM(D127:I127)*(-1)))</f>
        <v>-287447.72260663821</v>
      </c>
      <c r="K127" s="211">
        <f>IF(Init!$R$9="Yes",'Staging Table'!K129,'Staging Table'!BX129)*(-1)*Rates_previous!$H$32</f>
        <v>-108137.29629999999</v>
      </c>
      <c r="L127" s="211">
        <f>IF('Staging Table'!C129=1,"",SUM(D127:K127))</f>
        <v>3710811.0183310504</v>
      </c>
      <c r="M127" s="211">
        <f>IF('Staging Table'!C129=1,"",IF(Init!$R$9="Yes",(RT1SC!$C$3*'Staging Table'!F129*'Staging Table'!$F$2),X127))</f>
        <v>110430.4200062976</v>
      </c>
      <c r="N127" s="95">
        <f>IF('Staging Table'!C129=1,"",IF(M127=0, 0, L127/M127))</f>
        <v>33.603159510933956</v>
      </c>
      <c r="O127" s="211">
        <f>'Staging Table'!BS129*Rates_current!$E$76*100*12</f>
        <v>4528573.552006308</v>
      </c>
      <c r="P127" s="211">
        <f>'Staging Table'!BS129*Rates_current!$E$77*100*12</f>
        <v>-747678.35972198227</v>
      </c>
      <c r="Q127" s="212"/>
      <c r="R127" s="212">
        <f>SUMPRODUCT('Staging Table'!CW129:DH129, LS_Demand_Rates_Restatement!$C$11:$N$11)*1000</f>
        <v>218717.03609608265</v>
      </c>
      <c r="S127" s="213"/>
      <c r="T127" s="213">
        <v>0</v>
      </c>
      <c r="U127" s="213">
        <f>IF('Staging Table'!D129=1, 'Staging Table'!BU129*-1*'Staging Table'!BS129/'Staging Table'!BR129,SUM(O127:T127)*'Staging Table'!BU129*-1)</f>
        <v>-279972.85598662862</v>
      </c>
      <c r="V127" s="211">
        <f>'Staging Table'!BX129*Rates_current!$H$32*-1</f>
        <v>-106093.29700000001</v>
      </c>
      <c r="W127" s="211">
        <f>IF('Staging Table'!C129=1,"",SUM(O127:V127))</f>
        <v>3613546.0753937797</v>
      </c>
      <c r="X127" s="211">
        <f>IF('Staging Table'!C129=1,"",(RT1SC!$C$4*'Staging Table'!BS129*'Staging Table'!$BS$2))</f>
        <v>111435.437339856</v>
      </c>
      <c r="Y127" s="95">
        <f>IF('Staging Table'!C129=1,"",IF(X127=0, 0, W127/X127))</f>
        <v>32.427261575446423</v>
      </c>
      <c r="Z127" s="87">
        <f ca="1">IF('Staging Table'!C129=1,"",(Y127/N127-1)+(RAND()/100000000000))</f>
        <v>-3.4993671793942416E-2</v>
      </c>
      <c r="AA127" s="53">
        <f t="shared" ca="1" si="1"/>
        <v>69</v>
      </c>
      <c r="AD127" s="216"/>
      <c r="AE127" s="216"/>
      <c r="AG127" s="216"/>
      <c r="AH127" s="216"/>
    </row>
    <row r="128" spans="2:34">
      <c r="B128" s="135">
        <v>10446</v>
      </c>
      <c r="C128" s="136" t="s">
        <v>131</v>
      </c>
      <c r="D128" s="211">
        <f>IF(Init!$R$9="Yes",'Staging Table'!F130,'Staging Table'!BS130)*Rates_previous!$E$76*100*12</f>
        <v>31493644.696319997</v>
      </c>
      <c r="E128" s="211">
        <f>IF(Init!$R$9="Yes",'Staging Table'!F130,'Staging Table'!BS130)*Rates_previous!$E$77*100*12</f>
        <v>-3186092.0255999998</v>
      </c>
      <c r="F128" s="212"/>
      <c r="G128" s="212">
        <f>IF(Init!$R$9="Yes",SUMPRODUCT('Staging Table'!AJ130:AU130,LS_Demand_Rates_Restatement!$C$10:$N$10),SUMPRODUCT(LS_Demand_Rates_Restatement!$C$10:$N$10,'Staging Table'!CW130:DH130))*1000</f>
        <v>1032304.9131688038</v>
      </c>
      <c r="H128" s="213"/>
      <c r="I128" s="211">
        <f>IF(Init!$R$9="Yes",IF('Staging Table'!$F$1=2020,(SUM('Staging Table'!AX130:BD130)*Rates_previous!$C$87),(SUM('Staging Table'!AX130:BD130)*Rates_previous!$D$87)),IF('Staging Table'!$F$1=2020,(SUM('Staging Table'!DK130:DQ130)*Rates_previous!$C$87),(SUM('Staging Table'!DK130:DQ130)*Rates_previous!$D$87)))</f>
        <v>386337.47078668751</v>
      </c>
      <c r="J128" s="213">
        <f>IF(Init!$R$9="Yes",IF('Staging Table'!D130=1,'Staging Table'!H130*-1*'Staging Table'!F130/'Staging Table'!E130,'Staging Table'!H130*SUM(D128:I128)*(-1)),IF('Staging Table'!D130=1,'Staging Table'!BU130*-1*'Staging Table'!BS130/'Staging Table'!BR130,'Staging Table'!BU130*SUM(D128:I128)*(-1)))</f>
        <v>-1932202.6785539067</v>
      </c>
      <c r="K128" s="211">
        <f>IF(Init!$R$9="Yes",'Staging Table'!K130,'Staging Table'!BX130)*(-1)*Rates_previous!$H$32</f>
        <v>-79673.587400000004</v>
      </c>
      <c r="L128" s="211">
        <f>IF('Staging Table'!C130=1,"",SUM(D128:K128))</f>
        <v>27714318.78872158</v>
      </c>
      <c r="M128" s="211">
        <f>IF('Staging Table'!C130=1,"",IF(Init!$R$9="Yes",(RT1SC!$C$3*'Staging Table'!F130*'Staging Table'!$F$2),X128))</f>
        <v>817642.94663208956</v>
      </c>
      <c r="N128" s="95">
        <f>IF('Staging Table'!C130=1,"",IF(M128=0, 0, L128/M128))</f>
        <v>33.895380499371008</v>
      </c>
      <c r="O128" s="211">
        <f>'Staging Table'!BS130*Rates_current!$E$76*100*12</f>
        <v>32522083.818517663</v>
      </c>
      <c r="P128" s="211">
        <f>'Staging Table'!BS130*Rates_current!$E$77*100*12</f>
        <v>-5369474.0749870986</v>
      </c>
      <c r="Q128" s="212"/>
      <c r="R128" s="212">
        <f>SUMPRODUCT('Staging Table'!CW130:DH130, LS_Demand_Rates_Restatement!$C$11:$N$11)*1000</f>
        <v>939588.544679799</v>
      </c>
      <c r="S128" s="213"/>
      <c r="T128" s="213">
        <v>0</v>
      </c>
      <c r="U128" s="213">
        <f>IF('Staging Table'!D130=1, 'Staging Table'!BU130*-1*'Staging Table'!BS130/'Staging Table'!BR130,SUM(O128:T128)*'Staging Table'!BU130*-1)</f>
        <v>-2168639.8482171223</v>
      </c>
      <c r="V128" s="211">
        <f>'Staging Table'!BX130*Rates_current!$H$32*-1</f>
        <v>-78167.606</v>
      </c>
      <c r="W128" s="211">
        <f>IF('Staging Table'!C130=1,"",SUM(O128:V128))</f>
        <v>25845390.833993241</v>
      </c>
      <c r="X128" s="211">
        <f>IF('Staging Table'!C130=1,"",(RT1SC!$C$4*'Staging Table'!BS130*'Staging Table'!$BS$2))</f>
        <v>800276.86243814405</v>
      </c>
      <c r="Y128" s="95">
        <f>IF('Staging Table'!C130=1,"",IF(X128=0, 0, W128/X128))</f>
        <v>32.295561757529775</v>
      </c>
      <c r="Z128" s="87">
        <f ca="1">IF('Staging Table'!C130=1,"",(Y128/N128-1)+(RAND()/100000000000))</f>
        <v>-4.7198724958778339E-2</v>
      </c>
      <c r="AA128" s="53">
        <f t="shared" ca="1" si="1"/>
        <v>113</v>
      </c>
      <c r="AD128" s="216"/>
      <c r="AE128" s="216"/>
      <c r="AG128" s="216"/>
      <c r="AH128" s="216"/>
    </row>
    <row r="129" spans="1:34">
      <c r="B129" s="135">
        <v>10448</v>
      </c>
      <c r="C129" s="136" t="s">
        <v>132</v>
      </c>
      <c r="D129" s="211">
        <f>IF(Init!$R$9="Yes",'Staging Table'!F131,'Staging Table'!BS131)*Rates_previous!$E$76*100*12</f>
        <v>2752651.7815200002</v>
      </c>
      <c r="E129" s="211">
        <f>IF(Init!$R$9="Yes",'Staging Table'!F131,'Staging Table'!BS131)*Rates_previous!$E$77*100*12</f>
        <v>-278475.2916</v>
      </c>
      <c r="F129" s="212"/>
      <c r="G129" s="212">
        <f>IF(Init!$R$9="Yes",SUMPRODUCT('Staging Table'!AJ131:AU131,LS_Demand_Rates_Restatement!$C$10:$N$10),SUMPRODUCT(LS_Demand_Rates_Restatement!$C$10:$N$10,'Staging Table'!CW131:DH131))*1000</f>
        <v>0</v>
      </c>
      <c r="H129" s="213"/>
      <c r="I129" s="211">
        <f>IF(Init!$R$9="Yes",IF('Staging Table'!$F$1=2020,(SUM('Staging Table'!AX131:BD131)*Rates_previous!$C$87),(SUM('Staging Table'!AX131:BD131)*Rates_previous!$D$87)),IF('Staging Table'!$F$1=2020,(SUM('Staging Table'!DK131:DQ131)*Rates_previous!$C$87),(SUM('Staging Table'!DK131:DQ131)*Rates_previous!$D$87)))</f>
        <v>33767.210416048474</v>
      </c>
      <c r="J129" s="213">
        <f>IF(Init!$R$9="Yes",IF('Staging Table'!D131=1,'Staging Table'!H131*-1*'Staging Table'!F131/'Staging Table'!E131,'Staging Table'!H131*SUM(D129:I129)*(-1)),IF('Staging Table'!D131=1,'Staging Table'!BU131*-1*'Staging Table'!BS131/'Staging Table'!BR131,'Staging Table'!BU131*SUM(D129:I129)*(-1)))</f>
        <v>-175556.05902352341</v>
      </c>
      <c r="K129" s="211">
        <f>IF(Init!$R$9="Yes",'Staging Table'!K131,'Staging Table'!BX131)*(-1)*Rates_previous!$H$32</f>
        <v>0</v>
      </c>
      <c r="L129" s="211" t="str">
        <f>IF('Staging Table'!C131=1,"",SUM(D129:K129))</f>
        <v/>
      </c>
      <c r="M129" s="211" t="str">
        <f>IF('Staging Table'!C131=1,"",IF(Init!$R$9="Yes",(RT1SC!$C$3*'Staging Table'!F131*'Staging Table'!$F$2),X129))</f>
        <v/>
      </c>
      <c r="N129" s="95" t="str">
        <f>IF('Staging Table'!C131=1,"",IF(M129=0, 0, L129/M129))</f>
        <v/>
      </c>
      <c r="O129" s="211">
        <f>'Staging Table'!BS131*Rates_current!$E$76*100*12</f>
        <v>2879879.2515380085</v>
      </c>
      <c r="P129" s="211">
        <f>'Staging Table'!BS131*Rates_current!$E$77*100*12</f>
        <v>-475474.97468233877</v>
      </c>
      <c r="Q129" s="212"/>
      <c r="R129" s="212">
        <f>SUMPRODUCT('Staging Table'!CW131:DH131, LS_Demand_Rates_Restatement!$C$11:$N$11)*1000</f>
        <v>0</v>
      </c>
      <c r="S129" s="213"/>
      <c r="T129" s="213">
        <v>0</v>
      </c>
      <c r="U129" s="213">
        <f>IF('Staging Table'!D131=1, 'Staging Table'!BU131*-1*'Staging Table'!BS131/'Staging Table'!BR131,SUM(O129:T129)*'Staging Table'!BU131*-1)</f>
        <v>-171761.84421266118</v>
      </c>
      <c r="V129" s="211">
        <f>'Staging Table'!BX131*Rates_current!$H$32*-1</f>
        <v>0</v>
      </c>
      <c r="W129" s="211" t="str">
        <f>IF('Staging Table'!C131=1,"",SUM(O129:V129))</f>
        <v/>
      </c>
      <c r="X129" s="211" t="str">
        <f>IF('Staging Table'!C131=1,"",(RT1SC!$C$4*'Staging Table'!BS131*'Staging Table'!$BS$2))</f>
        <v/>
      </c>
      <c r="Y129" s="95" t="str">
        <f>IF('Staging Table'!C131=1,"",IF(X129=0, 0, W129/X129))</f>
        <v/>
      </c>
      <c r="Z129" s="87" t="str">
        <f ca="1">IF('Staging Table'!C131=1,"",(Y129/N129-1)+(RAND()/100000000000))</f>
        <v/>
      </c>
      <c r="AA129" s="53" t="str">
        <f t="shared" ca="1" si="1"/>
        <v/>
      </c>
      <c r="AD129" s="216"/>
      <c r="AE129" s="216"/>
      <c r="AG129" s="216"/>
      <c r="AH129" s="216"/>
    </row>
    <row r="130" spans="1:34">
      <c r="B130" s="135">
        <v>10451</v>
      </c>
      <c r="C130" s="136" t="s">
        <v>133</v>
      </c>
      <c r="D130" s="211">
        <f>IF(Init!$R$9="Yes",'Staging Table'!F132,'Staging Table'!BS132)*Rates_previous!$E$76*100*12</f>
        <v>8913439.1654399987</v>
      </c>
      <c r="E130" s="211">
        <f>IF(Init!$R$9="Yes",'Staging Table'!F132,'Staging Table'!BS132)*Rates_previous!$E$77*100*12</f>
        <v>-901738.67519999994</v>
      </c>
      <c r="F130" s="212"/>
      <c r="G130" s="212">
        <f>IF(Init!$R$9="Yes",SUMPRODUCT('Staging Table'!AJ132:AU132,LS_Demand_Rates_Restatement!$C$10:$N$10),SUMPRODUCT(LS_Demand_Rates_Restatement!$C$10:$N$10,'Staging Table'!CW132:DH132))*1000</f>
        <v>543833.9299534543</v>
      </c>
      <c r="H130" s="213"/>
      <c r="I130" s="211">
        <f>IF(Init!$R$9="Yes",IF('Staging Table'!$F$1=2020,(SUM('Staging Table'!AX132:BD132)*Rates_previous!$C$87),(SUM('Staging Table'!AX132:BD132)*Rates_previous!$D$87)),IF('Staging Table'!$F$1=2020,(SUM('Staging Table'!DK132:DQ132)*Rates_previous!$C$87),(SUM('Staging Table'!DK132:DQ132)*Rates_previous!$D$87)))</f>
        <v>109342.55391499588</v>
      </c>
      <c r="J130" s="213">
        <f>IF(Init!$R$9="Yes",IF('Staging Table'!D132=1,'Staging Table'!H132*-1*'Staging Table'!F132/'Staging Table'!E132,'Staging Table'!H132*SUM(D130:I130)*(-1)),IF('Staging Table'!D132=1,'Staging Table'!BU132*-1*'Staging Table'!BS132/'Staging Table'!BR132,'Staging Table'!BU132*SUM(D130:I130)*(-1)))</f>
        <v>0</v>
      </c>
      <c r="K130" s="211">
        <f>IF(Init!$R$9="Yes",'Staging Table'!K132,'Staging Table'!BX132)*(-1)*Rates_previous!$H$32</f>
        <v>0</v>
      </c>
      <c r="L130" s="211">
        <f>IF('Staging Table'!C132=1,"",SUM(D130:K130))</f>
        <v>8664876.9741084483</v>
      </c>
      <c r="M130" s="211">
        <f>IF('Staging Table'!C132=1,"",IF(Init!$R$9="Yes",(RT1SC!$C$3*'Staging Table'!F132*'Staging Table'!$F$2),X130))</f>
        <v>231412.10660536319</v>
      </c>
      <c r="N130" s="95">
        <f>IF('Staging Table'!C132=1,"",IF(M130=0, 0, L130/M130))</f>
        <v>37.443490322159455</v>
      </c>
      <c r="O130" s="211">
        <f>'Staging Table'!BS132*Rates_current!$E$76*100*12</f>
        <v>9112063.6123482175</v>
      </c>
      <c r="P130" s="211">
        <f>'Staging Table'!BS132*Rates_current!$E$77*100*12</f>
        <v>-1504423.5667420125</v>
      </c>
      <c r="Q130" s="212"/>
      <c r="R130" s="212">
        <f>SUMPRODUCT('Staging Table'!CW132:DH132, LS_Demand_Rates_Restatement!$C$11:$N$11)*1000</f>
        <v>476966.68566606118</v>
      </c>
      <c r="S130" s="213"/>
      <c r="T130" s="213">
        <v>0</v>
      </c>
      <c r="U130" s="213">
        <f>IF('Staging Table'!D132=1, 'Staging Table'!BU132*-1*'Staging Table'!BS132/'Staging Table'!BR132,SUM(O130:T130)*'Staging Table'!BU132*-1)</f>
        <v>0</v>
      </c>
      <c r="V130" s="211">
        <f>'Staging Table'!BX132*Rates_current!$H$32*-1</f>
        <v>0</v>
      </c>
      <c r="W130" s="211">
        <f>IF('Staging Table'!C132=1,"",SUM(O130:V130))</f>
        <v>8084606.7312722662</v>
      </c>
      <c r="X130" s="211">
        <f>IF('Staging Table'!C132=1,"",(RT1SC!$C$4*'Staging Table'!BS132*'Staging Table'!$BS$2))</f>
        <v>224222.21524054802</v>
      </c>
      <c r="Y130" s="95">
        <f>IF('Staging Table'!C132=1,"",IF(X130=0, 0, W130/X130))</f>
        <v>36.056225394968166</v>
      </c>
      <c r="Z130" s="87">
        <f ca="1">IF('Staging Table'!C132=1,"",(Y130/N130-1)+(RAND()/100000000000))</f>
        <v>-3.7049562291463549E-2</v>
      </c>
      <c r="AA130" s="53">
        <f t="shared" ca="1" si="1"/>
        <v>88</v>
      </c>
      <c r="AD130" s="216"/>
      <c r="AE130" s="216"/>
      <c r="AG130" s="216"/>
      <c r="AH130" s="216"/>
    </row>
    <row r="131" spans="1:34">
      <c r="B131" s="135">
        <v>10482</v>
      </c>
      <c r="C131" s="136" t="s">
        <v>134</v>
      </c>
      <c r="D131" s="211">
        <f>IF(Init!$R$9="Yes",'Staging Table'!F133,'Staging Table'!BS133)*Rates_previous!$E$76*100*12</f>
        <v>913114.15512000001</v>
      </c>
      <c r="E131" s="211">
        <f>IF(Init!$R$9="Yes",'Staging Table'!F133,'Staging Table'!BS133)*Rates_previous!$E$77*100*12</f>
        <v>-92376.279599999994</v>
      </c>
      <c r="F131" s="212"/>
      <c r="G131" s="212">
        <f>IF(Init!$R$9="Yes",SUMPRODUCT('Staging Table'!AJ133:AU133,LS_Demand_Rates_Restatement!$C$10:$N$10),SUMPRODUCT(LS_Demand_Rates_Restatement!$C$10:$N$10,'Staging Table'!CW133:DH133))*1000</f>
        <v>33002.74459109686</v>
      </c>
      <c r="H131" s="213"/>
      <c r="I131" s="211">
        <f>IF(Init!$R$9="Yes",IF('Staging Table'!$F$1=2020,(SUM('Staging Table'!AX133:BD133)*Rates_previous!$C$87),(SUM('Staging Table'!AX133:BD133)*Rates_previous!$D$87)),IF('Staging Table'!$F$1=2020,(SUM('Staging Table'!DK133:DQ133)*Rates_previous!$C$87),(SUM('Staging Table'!DK133:DQ133)*Rates_previous!$D$87)))</f>
        <v>11201.314316910572</v>
      </c>
      <c r="J131" s="213">
        <f>IF(Init!$R$9="Yes",IF('Staging Table'!D133=1,'Staging Table'!H133*-1*'Staging Table'!F133/'Staging Table'!E133,'Staging Table'!H133*SUM(D131:I131)*(-1)),IF('Staging Table'!D133=1,'Staging Table'!BU133*-1*'Staging Table'!BS133/'Staging Table'!BR133,'Staging Table'!BU133*SUM(D131:I131)*(-1)))</f>
        <v>0</v>
      </c>
      <c r="K131" s="211">
        <f>IF(Init!$R$9="Yes",'Staging Table'!K133,'Staging Table'!BX133)*(-1)*Rates_previous!$H$32</f>
        <v>0</v>
      </c>
      <c r="L131" s="211">
        <f>IF('Staging Table'!C133=1,"",SUM(D131:K131))</f>
        <v>864941.93442800746</v>
      </c>
      <c r="M131" s="211">
        <f>IF('Staging Table'!C133=1,"",IF(Init!$R$9="Yes",(RT1SC!$C$3*'Staging Table'!F133*'Staging Table'!$F$2),X131))</f>
        <v>23706.413011353601</v>
      </c>
      <c r="N131" s="95">
        <f>IF('Staging Table'!C133=1,"",IF(M131=0, 0, L131/M131))</f>
        <v>36.485567597837971</v>
      </c>
      <c r="O131" s="211">
        <f>'Staging Table'!BS133*Rates_current!$E$76*100*12</f>
        <v>998808.98348370439</v>
      </c>
      <c r="P131" s="211">
        <f>'Staging Table'!BS133*Rates_current!$E$77*100*12</f>
        <v>-164905.75980947132</v>
      </c>
      <c r="Q131" s="212"/>
      <c r="R131" s="212">
        <f>SUMPRODUCT('Staging Table'!CW133:DH133, LS_Demand_Rates_Restatement!$C$11:$N$11)*1000</f>
        <v>30523.182185835103</v>
      </c>
      <c r="S131" s="213"/>
      <c r="T131" s="213">
        <v>0</v>
      </c>
      <c r="U131" s="213">
        <f>IF('Staging Table'!D133=1, 'Staging Table'!BU133*-1*'Staging Table'!BS133/'Staging Table'!BR133,SUM(O131:T131)*'Staging Table'!BU133*-1)</f>
        <v>0</v>
      </c>
      <c r="V131" s="211">
        <f>'Staging Table'!BX133*Rates_current!$H$32*-1</f>
        <v>0</v>
      </c>
      <c r="W131" s="211">
        <f>IF('Staging Table'!C133=1,"",SUM(O131:V131))</f>
        <v>864426.40586006816</v>
      </c>
      <c r="X131" s="211">
        <f>IF('Staging Table'!C133=1,"",(RT1SC!$C$4*'Staging Table'!BS133*'Staging Table'!$BS$2))</f>
        <v>24577.875265859999</v>
      </c>
      <c r="Y131" s="95">
        <f>IF('Staging Table'!C133=1,"",IF(X131=0, 0, W131/X131))</f>
        <v>35.170916790386812</v>
      </c>
      <c r="Z131" s="87">
        <f ca="1">IF('Staging Table'!C133=1,"",(Y131/N131-1)+(RAND()/100000000000))</f>
        <v>-3.6032077719887722E-2</v>
      </c>
      <c r="AA131" s="53">
        <f t="shared" ca="1" si="1"/>
        <v>83</v>
      </c>
      <c r="AD131" s="216"/>
      <c r="AE131" s="216"/>
      <c r="AG131" s="216"/>
      <c r="AH131" s="216"/>
    </row>
    <row r="132" spans="1:34">
      <c r="B132" s="135">
        <v>10502</v>
      </c>
      <c r="C132" s="136" t="s">
        <v>135</v>
      </c>
      <c r="D132" s="211">
        <f>IF(Init!$R$9="Yes",'Staging Table'!F134,'Staging Table'!BS134)*Rates_previous!$E$76*100*12</f>
        <v>6295781.8763999995</v>
      </c>
      <c r="E132" s="211">
        <f>IF(Init!$R$9="Yes",'Staging Table'!F134,'Staging Table'!BS134)*Rates_previous!$E$77*100*12</f>
        <v>-636920.2620000001</v>
      </c>
      <c r="F132" s="212"/>
      <c r="G132" s="212">
        <f>IF(Init!$R$9="Yes",SUMPRODUCT('Staging Table'!AJ134:AU134,LS_Demand_Rates_Restatement!$C$10:$N$10),SUMPRODUCT(LS_Demand_Rates_Restatement!$C$10:$N$10,'Staging Table'!CW134:DH134))*1000</f>
        <v>424546.00119152415</v>
      </c>
      <c r="H132" s="213"/>
      <c r="I132" s="211">
        <f>IF(Init!$R$9="Yes",IF('Staging Table'!$F$1=2020,(SUM('Staging Table'!AX134:BD134)*Rates_previous!$C$87),(SUM('Staging Table'!AX134:BD134)*Rates_previous!$D$87)),IF('Staging Table'!$F$1=2020,(SUM('Staging Table'!DK134:DQ134)*Rates_previous!$C$87),(SUM('Staging Table'!DK134:DQ134)*Rates_previous!$D$87)))</f>
        <v>77231.342075731663</v>
      </c>
      <c r="J132" s="213">
        <f>IF(Init!$R$9="Yes",IF('Staging Table'!D134=1,'Staging Table'!H134*-1*'Staging Table'!F134/'Staging Table'!E134,'Staging Table'!H134*SUM(D132:I132)*(-1)),IF('Staging Table'!D134=1,'Staging Table'!BU134*-1*'Staging Table'!BS134/'Staging Table'!BR134,'Staging Table'!BU134*SUM(D132:I132)*(-1)))</f>
        <v>-433168.27133722627</v>
      </c>
      <c r="K132" s="211">
        <f>IF(Init!$R$9="Yes",'Staging Table'!K134,'Staging Table'!BX134)*(-1)*Rates_previous!$H$32</f>
        <v>-79877.53366999999</v>
      </c>
      <c r="L132" s="211">
        <f>IF('Staging Table'!C134=1,"",SUM(D132:K132))</f>
        <v>5647593.152660029</v>
      </c>
      <c r="M132" s="211">
        <f>IF('Staging Table'!C134=1,"",IF(Init!$R$9="Yes",(RT1SC!$C$3*'Staging Table'!F134*'Staging Table'!$F$2),X132))</f>
        <v>163452.07721779199</v>
      </c>
      <c r="N132" s="95">
        <f>IF('Staging Table'!C134=1,"",IF(M132=0, 0, L132/M132))</f>
        <v>34.551981527496189</v>
      </c>
      <c r="O132" s="211">
        <f>'Staging Table'!BS134*Rates_current!$E$76*100*12</f>
        <v>6352808.8310844703</v>
      </c>
      <c r="P132" s="211">
        <f>'Staging Table'!BS134*Rates_current!$E$77*100*12</f>
        <v>-1048863.9815396653</v>
      </c>
      <c r="Q132" s="212"/>
      <c r="R132" s="212">
        <f>SUMPRODUCT('Staging Table'!CW134:DH134, LS_Demand_Rates_Restatement!$C$11:$N$11)*1000</f>
        <v>384123.02239860222</v>
      </c>
      <c r="S132" s="213"/>
      <c r="T132" s="213">
        <v>0</v>
      </c>
      <c r="U132" s="213">
        <f>IF('Staging Table'!D134=1, 'Staging Table'!BU134*-1*'Staging Table'!BS134/'Staging Table'!BR134,SUM(O132:T132)*'Staging Table'!BU134*-1)</f>
        <v>-410972.06776871916</v>
      </c>
      <c r="V132" s="211">
        <f>'Staging Table'!BX134*Rates_current!$H$32*-1</f>
        <v>-78367.6973</v>
      </c>
      <c r="W132" s="211">
        <f>IF('Staging Table'!C134=1,"",SUM(O132:V132))</f>
        <v>5198728.1068746876</v>
      </c>
      <c r="X132" s="211">
        <f>IF('Staging Table'!C134=1,"",(RT1SC!$C$4*'Staging Table'!BS134*'Staging Table'!$BS$2))</f>
        <v>156324.72837164401</v>
      </c>
      <c r="Y132" s="95">
        <f>IF('Staging Table'!C134=1,"",IF(X132=0, 0, W132/X132))</f>
        <v>33.255954838541676</v>
      </c>
      <c r="Z132" s="87">
        <f ca="1">IF('Staging Table'!C134=1,"",(Y132/N132-1)+(RAND()/100000000000))</f>
        <v>-3.7509475038003705E-2</v>
      </c>
      <c r="AA132" s="53">
        <f t="shared" ref="AA132:AA138" ca="1" si="2">IF(Z132="","",RANK(Z132,$Z$4:$Z$138))</f>
        <v>91</v>
      </c>
      <c r="AD132" s="216"/>
      <c r="AE132" s="216"/>
      <c r="AG132" s="216"/>
      <c r="AH132" s="216"/>
    </row>
    <row r="133" spans="1:34">
      <c r="B133" s="155">
        <v>13927</v>
      </c>
      <c r="C133" s="156" t="s">
        <v>238</v>
      </c>
      <c r="D133" s="211">
        <f>IF(Init!$R$9="Yes",'Staging Table'!F135,'Staging Table'!BS135)*Rates_previous!$E$76*100*12</f>
        <v>1021490.0152799999</v>
      </c>
      <c r="E133" s="211">
        <f>IF(Init!$R$9="Yes",'Staging Table'!F135,'Staging Table'!BS135)*Rates_previous!$E$77*100*12</f>
        <v>-103340.2524</v>
      </c>
      <c r="F133" s="212"/>
      <c r="G133" s="212">
        <f>IF(Init!$R$9="Yes",SUMPRODUCT('Staging Table'!AJ135:AU135,LS_Demand_Rates_Restatement!$C$10:$N$10),SUMPRODUCT(LS_Demand_Rates_Restatement!$C$10:$N$10,'Staging Table'!CW135:DH135))*1000</f>
        <v>7348.3291346153901</v>
      </c>
      <c r="H133" s="213"/>
      <c r="I133" s="211">
        <f>IF(Init!$R$9="Yes",IF('Staging Table'!$F$1=2020,(SUM('Staging Table'!AX135:BD135)*Rates_previous!$C$87),(SUM('Staging Table'!AX135:BD135)*Rates_previous!$D$87)),IF('Staging Table'!$F$1=2020,(SUM('Staging Table'!DK135:DQ135)*Rates_previous!$C$87),(SUM('Staging Table'!DK135:DQ135)*Rates_previous!$D$87)))</f>
        <v>12530.777963061331</v>
      </c>
      <c r="J133" s="213">
        <f>IF(Init!$R$9="Yes",IF('Staging Table'!D135=1,'Staging Table'!H135*-1*'Staging Table'!F135/'Staging Table'!E135,'Staging Table'!H135*SUM(D133:I133)*(-1)),IF('Staging Table'!D135=1,'Staging Table'!BU135*-1*'Staging Table'!BS135/'Staging Table'!BR135,'Staging Table'!BU135*SUM(D133:I133)*(-1)))</f>
        <v>0</v>
      </c>
      <c r="K133" s="211">
        <f>IF(Init!$R$9="Yes",'Staging Table'!K135,'Staging Table'!BX135)*(-1)*Rates_previous!$H$32</f>
        <v>0</v>
      </c>
      <c r="L133" s="211">
        <f>IF('Staging Table'!C135=1,"",SUM(D133:K133))</f>
        <v>938028.86997767666</v>
      </c>
      <c r="M133" s="211">
        <f>IF('Staging Table'!C135=1,"",IF(Init!$R$9="Yes",(RT1SC!$C$3*'Staging Table'!F135*'Staging Table'!$F$2),X133))</f>
        <v>26520.084102758399</v>
      </c>
      <c r="N133" s="95">
        <f>IF('Staging Table'!C135=1,"",IF(M133=0, 0, L133/M133))</f>
        <v>35.370508869544295</v>
      </c>
      <c r="O133" s="211">
        <f>'Staging Table'!BS135*Rates_current!$E$76*100*12</f>
        <v>1346053.9794223369</v>
      </c>
      <c r="P133" s="211">
        <f>'Staging Table'!BS135*Rates_current!$E$77*100*12</f>
        <v>-222236.74185127555</v>
      </c>
      <c r="Q133" s="212"/>
      <c r="R133" s="212">
        <f>SUMPRODUCT('Staging Table'!CW135:DH135, LS_Demand_Rates_Restatement!$C$11:$N$11)*1000</f>
        <v>7475.854834259264</v>
      </c>
      <c r="S133" s="213"/>
      <c r="T133" s="213">
        <v>0</v>
      </c>
      <c r="U133" s="213">
        <f>IF('Staging Table'!D135=1, 'Staging Table'!BU135*-1*'Staging Table'!BS135/'Staging Table'!BR135,SUM(O133:T133)*'Staging Table'!BU135*-1)</f>
        <v>0</v>
      </c>
      <c r="V133" s="211">
        <f>'Staging Table'!BX135*Rates_current!$H$32*-1</f>
        <v>0</v>
      </c>
      <c r="W133" s="211">
        <f>IF('Staging Table'!C135=1,"",SUM(O133:V133))</f>
        <v>1131293.0924053206</v>
      </c>
      <c r="X133" s="211">
        <f>IF('Staging Table'!C135=1,"",(RT1SC!$C$4*'Staging Table'!BS135*'Staging Table'!$BS$2))</f>
        <v>33122.596366692</v>
      </c>
      <c r="Y133" s="95">
        <f>IF('Staging Table'!C135=1,"",IF(X133=0, 0, W133/X133))</f>
        <v>34.154722651601858</v>
      </c>
      <c r="Z133" s="87">
        <f ca="1">IF('Staging Table'!C135=1,"",(Y133/N133-1)+(RAND()/100000000000))</f>
        <v>-3.4372878890287478E-2</v>
      </c>
      <c r="AA133" s="53">
        <f t="shared" ca="1" si="2"/>
        <v>59</v>
      </c>
      <c r="AD133" s="216"/>
      <c r="AE133" s="216"/>
      <c r="AG133" s="216"/>
      <c r="AH133" s="216"/>
    </row>
    <row r="134" spans="1:34">
      <c r="B134" s="135">
        <v>10597</v>
      </c>
      <c r="C134" s="136" t="s">
        <v>136</v>
      </c>
      <c r="D134" s="211">
        <f>IF(Init!$R$9="Yes",'Staging Table'!F136,'Staging Table'!BS136)*Rates_previous!$E$76*100*12</f>
        <v>4160824.9645199999</v>
      </c>
      <c r="E134" s="211">
        <f>IF(Init!$R$9="Yes",'Staging Table'!F136,'Staging Table'!BS136)*Rates_previous!$E$77*100*12</f>
        <v>-420934.80660000001</v>
      </c>
      <c r="F134" s="212"/>
      <c r="G134" s="212">
        <f>IF(Init!$R$9="Yes",SUMPRODUCT('Staging Table'!AJ136:AU136,LS_Demand_Rates_Restatement!$C$10:$N$10),SUMPRODUCT(LS_Demand_Rates_Restatement!$C$10:$N$10,'Staging Table'!CW136:DH136))*1000</f>
        <v>229715.7172985042</v>
      </c>
      <c r="H134" s="213"/>
      <c r="I134" s="211">
        <f>IF(Init!$R$9="Yes",IF('Staging Table'!$F$1=2020,(SUM('Staging Table'!AX136:BD136)*Rates_previous!$C$87),(SUM('Staging Table'!AX136:BD136)*Rates_previous!$D$87)),IF('Staging Table'!$F$1=2020,(SUM('Staging Table'!DK136:DQ136)*Rates_previous!$C$87),(SUM('Staging Table'!DK136:DQ136)*Rates_previous!$D$87)))</f>
        <v>51041.491344652102</v>
      </c>
      <c r="J134" s="213">
        <f>IF(Init!$R$9="Yes",IF('Staging Table'!D136=1,'Staging Table'!H136*-1*'Staging Table'!F136/'Staging Table'!E136,'Staging Table'!H136*SUM(D134:I134)*(-1)),IF('Staging Table'!D136=1,'Staging Table'!BU136*-1*'Staging Table'!BS136/'Staging Table'!BR136,'Staging Table'!BU136*SUM(D134:I134)*(-1)))</f>
        <v>0</v>
      </c>
      <c r="K134" s="211">
        <f>IF(Init!$R$9="Yes",'Staging Table'!K136,'Staging Table'!BX136)*(-1)*Rates_previous!$H$32</f>
        <v>0</v>
      </c>
      <c r="L134" s="211">
        <f>IF('Staging Table'!C136=1,"",SUM(D134:K134))</f>
        <v>4020647.3665631562</v>
      </c>
      <c r="M134" s="211">
        <f>IF('Staging Table'!C136=1,"",IF(Init!$R$9="Yes",(RT1SC!$C$3*'Staging Table'!F136*'Staging Table'!$F$2),X134))</f>
        <v>108023.9907833856</v>
      </c>
      <c r="N134" s="95">
        <f>IF('Staging Table'!C136=1,"",IF(M134=0, 0, L134/M134))</f>
        <v>37.219948433728327</v>
      </c>
      <c r="O134" s="211">
        <f>'Staging Table'!BS136*Rates_current!$E$76*100*12</f>
        <v>4381330.1628444847</v>
      </c>
      <c r="P134" s="211">
        <f>'Staging Table'!BS136*Rates_current!$E$77*100*12</f>
        <v>-723368.12286171457</v>
      </c>
      <c r="Q134" s="212"/>
      <c r="R134" s="212">
        <f>SUMPRODUCT('Staging Table'!CW136:DH136, LS_Demand_Rates_Restatement!$C$11:$N$11)*1000</f>
        <v>213305.69469840633</v>
      </c>
      <c r="S134" s="213"/>
      <c r="T134" s="213">
        <v>0</v>
      </c>
      <c r="U134" s="213">
        <f>IF('Staging Table'!D136=1, 'Staging Table'!BU136*-1*'Staging Table'!BS136/'Staging Table'!BR136,SUM(O134:T134)*'Staging Table'!BU136*-1)</f>
        <v>0</v>
      </c>
      <c r="V134" s="211">
        <f>'Staging Table'!BX136*Rates_current!$H$32*-1</f>
        <v>0</v>
      </c>
      <c r="W134" s="211">
        <f>IF('Staging Table'!C136=1,"",SUM(O134:V134))</f>
        <v>3871267.7346811765</v>
      </c>
      <c r="X134" s="211">
        <f>IF('Staging Table'!C136=1,"",(RT1SC!$C$4*'Staging Table'!BS136*'Staging Table'!$BS$2))</f>
        <v>107812.19234268002</v>
      </c>
      <c r="Y134" s="95">
        <f>IF('Staging Table'!C136=1,"",IF(X134=0, 0, W134/X134))</f>
        <v>35.907513339274182</v>
      </c>
      <c r="Z134" s="87">
        <f ca="1">IF('Staging Table'!C136=1,"",(Y134/N134-1)+(RAND()/100000000000))</f>
        <v>-3.5261604319210896E-2</v>
      </c>
      <c r="AA134" s="53">
        <f t="shared" ca="1" si="2"/>
        <v>74</v>
      </c>
      <c r="AD134" s="216"/>
      <c r="AE134" s="216"/>
      <c r="AG134" s="216"/>
      <c r="AH134" s="216"/>
    </row>
    <row r="135" spans="1:34">
      <c r="B135" s="135">
        <v>10706</v>
      </c>
      <c r="C135" s="136" t="s">
        <v>137</v>
      </c>
      <c r="D135" s="211">
        <f>IF(Init!$R$9="Yes",'Staging Table'!F137,'Staging Table'!BS137)*Rates_previous!$E$76*100*12</f>
        <v>5814982.8301200001</v>
      </c>
      <c r="E135" s="211">
        <f>IF(Init!$R$9="Yes",'Staging Table'!F137,'Staging Table'!BS137)*Rates_previous!$E$77*100*12</f>
        <v>-588279.65460000001</v>
      </c>
      <c r="F135" s="212"/>
      <c r="G135" s="212">
        <f>IF(Init!$R$9="Yes",SUMPRODUCT('Staging Table'!AJ137:AU137,LS_Demand_Rates_Restatement!$C$10:$N$10),SUMPRODUCT(LS_Demand_Rates_Restatement!$C$10:$N$10,'Staging Table'!CW137:DH137))*1000</f>
        <v>362461.46137980773</v>
      </c>
      <c r="H135" s="213"/>
      <c r="I135" s="211">
        <f>IF(Init!$R$9="Yes",IF('Staging Table'!$F$1=2020,(SUM('Staging Table'!AX137:BD137)*Rates_previous!$C$87),(SUM('Staging Table'!AX137:BD137)*Rates_previous!$D$87)),IF('Staging Table'!$F$1=2020,(SUM('Staging Table'!DK137:DQ137)*Rates_previous!$C$87),(SUM('Staging Table'!DK137:DQ137)*Rates_previous!$D$87)))</f>
        <v>71333.304891163702</v>
      </c>
      <c r="J135" s="213">
        <f>IF(Init!$R$9="Yes",IF('Staging Table'!D137=1,'Staging Table'!H137*-1*'Staging Table'!F137/'Staging Table'!E137,'Staging Table'!H137*SUM(D135:I135)*(-1)),IF('Staging Table'!D137=1,'Staging Table'!BU137*-1*'Staging Table'!BS137/'Staging Table'!BR137,'Staging Table'!BU137*SUM(D135:I135)*(-1)))</f>
        <v>0</v>
      </c>
      <c r="K135" s="211">
        <f>IF(Init!$R$9="Yes",'Staging Table'!K137,'Staging Table'!BX137)*(-1)*Rates_previous!$H$32</f>
        <v>0</v>
      </c>
      <c r="L135" s="211">
        <f>IF('Staging Table'!C137=1,"",SUM(D135:K135))</f>
        <v>5660497.941790971</v>
      </c>
      <c r="M135" s="211">
        <f>IF('Staging Table'!C137=1,"",IF(Init!$R$9="Yes",(RT1SC!$C$3*'Staging Table'!F137*'Staging Table'!$F$2),X135))</f>
        <v>150969.49691535358</v>
      </c>
      <c r="N135" s="95">
        <f>IF('Staging Table'!C137=1,"",IF(M135=0, 0, L135/M135))</f>
        <v>37.494315457411446</v>
      </c>
      <c r="O135" s="211">
        <f>'Staging Table'!BS137*Rates_current!$E$76*100*12</f>
        <v>5867433.2290266016</v>
      </c>
      <c r="P135" s="211">
        <f>'Staging Table'!BS137*Rates_current!$E$77*100*12</f>
        <v>-968727.30498399411</v>
      </c>
      <c r="Q135" s="212"/>
      <c r="R135" s="212">
        <f>SUMPRODUCT('Staging Table'!CW137:DH137, LS_Demand_Rates_Restatement!$C$11:$N$11)*1000</f>
        <v>331878.83732225787</v>
      </c>
      <c r="S135" s="213"/>
      <c r="T135" s="213">
        <v>0</v>
      </c>
      <c r="U135" s="213">
        <f>IF('Staging Table'!D137=1, 'Staging Table'!BU137*-1*'Staging Table'!BS137/'Staging Table'!BR137,SUM(O135:T135)*'Staging Table'!BU137*-1)</f>
        <v>0</v>
      </c>
      <c r="V135" s="211">
        <f>'Staging Table'!BX137*Rates_current!$H$32*-1</f>
        <v>0</v>
      </c>
      <c r="W135" s="211">
        <f>IF('Staging Table'!C137=1,"",SUM(O135:V135))</f>
        <v>5230584.7613648651</v>
      </c>
      <c r="X135" s="211">
        <f>IF('Staging Table'!C137=1,"",(RT1SC!$C$4*'Staging Table'!BS137*'Staging Table'!$BS$2))</f>
        <v>144381.00219202798</v>
      </c>
      <c r="Y135" s="95">
        <f>IF('Staging Table'!C137=1,"",IF(X135=0, 0, W135/X135))</f>
        <v>36.227652405460809</v>
      </c>
      <c r="Z135" s="87">
        <f ca="1">IF('Staging Table'!C137=1,"",(Y135/N135-1)+(RAND()/100000000000))</f>
        <v>-3.3782802438149032E-2</v>
      </c>
      <c r="AA135" s="53">
        <f t="shared" ca="1" si="2"/>
        <v>51</v>
      </c>
      <c r="AD135" s="216"/>
      <c r="AE135" s="216"/>
      <c r="AG135" s="216"/>
      <c r="AH135" s="216"/>
    </row>
    <row r="136" spans="1:34">
      <c r="B136" s="135">
        <v>11680</v>
      </c>
      <c r="C136" s="136" t="s">
        <v>138</v>
      </c>
      <c r="D136" s="211">
        <f>IF(Init!$R$9="Yes",'Staging Table'!F138,'Staging Table'!BS138)*Rates_previous!$E$76*100*12</f>
        <v>2129728.25196</v>
      </c>
      <c r="E136" s="211">
        <f>IF(Init!$R$9="Yes",'Staging Table'!F138,'Staging Table'!BS138)*Rates_previous!$E$77*100*12</f>
        <v>-215456.49180000002</v>
      </c>
      <c r="F136" s="212"/>
      <c r="G136" s="212">
        <f>IF(Init!$R$9="Yes",SUMPRODUCT('Staging Table'!AJ138:AU138,LS_Demand_Rates_Restatement!$C$10:$N$10),SUMPRODUCT(LS_Demand_Rates_Restatement!$C$10:$N$10,'Staging Table'!CW138:DH138))*1000</f>
        <v>44788.85069704413</v>
      </c>
      <c r="H136" s="213"/>
      <c r="I136" s="211">
        <f>IF(Init!$R$9="Yes",IF('Staging Table'!$F$1=2020,(SUM('Staging Table'!AX138:BD138)*Rates_previous!$C$87),(SUM('Staging Table'!AX138:BD138)*Rates_previous!$D$87)),IF('Staging Table'!$F$1=2020,(SUM('Staging Table'!DK138:DQ138)*Rates_previous!$C$87),(SUM('Staging Table'!DK138:DQ138)*Rates_previous!$D$87)))</f>
        <v>26125.709941133689</v>
      </c>
      <c r="J136" s="213">
        <f>IF(Init!$R$9="Yes",IF('Staging Table'!D138=1,'Staging Table'!H138*-1*'Staging Table'!F138/'Staging Table'!E138,'Staging Table'!H138*SUM(D136:I136)*(-1)),IF('Staging Table'!D138=1,'Staging Table'!BU138*-1*'Staging Table'!BS138/'Staging Table'!BR138,'Staging Table'!BU138*SUM(D136:I136)*(-1)))</f>
        <v>0</v>
      </c>
      <c r="K136" s="211">
        <f>IF(Init!$R$9="Yes",'Staging Table'!K138,'Staging Table'!BX138)*(-1)*Rates_previous!$H$32</f>
        <v>0</v>
      </c>
      <c r="L136" s="211">
        <f>IF('Staging Table'!C138=1,"",SUM(D136:K136))</f>
        <v>1985186.3207981777</v>
      </c>
      <c r="M136" s="211">
        <f>IF('Staging Table'!C138=1,"",IF(Init!$R$9="Yes",(RT1SC!$C$3*'Staging Table'!F138*'Staging Table'!$F$2),X136))</f>
        <v>55292.339144908801</v>
      </c>
      <c r="N136" s="95">
        <f>IF('Staging Table'!C138=1,"",IF(M136=0, 0, L136/M136))</f>
        <v>35.903460614958796</v>
      </c>
      <c r="O136" s="211">
        <f>'Staging Table'!BS138*Rates_current!$E$76*100*12</f>
        <v>2149177.9375704583</v>
      </c>
      <c r="P136" s="211">
        <f>'Staging Table'!BS138*Rates_current!$E$77*100*12</f>
        <v>-354834.43443276884</v>
      </c>
      <c r="Q136" s="212"/>
      <c r="R136" s="212">
        <f>SUMPRODUCT('Staging Table'!CW138:DH138, LS_Demand_Rates_Restatement!$C$11:$N$11)*1000</f>
        <v>40680.343949537026</v>
      </c>
      <c r="S136" s="213"/>
      <c r="T136" s="213">
        <v>0</v>
      </c>
      <c r="U136" s="213">
        <f>IF('Staging Table'!D138=1, 'Staging Table'!BU138*-1*'Staging Table'!BS138/'Staging Table'!BR138,SUM(O136:T136)*'Staging Table'!BU138*-1)</f>
        <v>0</v>
      </c>
      <c r="V136" s="211">
        <f>'Staging Table'!BX138*Rates_current!$H$32*-1</f>
        <v>0</v>
      </c>
      <c r="W136" s="211">
        <f>IF('Staging Table'!C138=1,"",SUM(O136:V136))</f>
        <v>1835023.8470872266</v>
      </c>
      <c r="X136" s="211">
        <f>IF('Staging Table'!C138=1,"",(RT1SC!$C$4*'Staging Table'!BS138*'Staging Table'!$BS$2))</f>
        <v>52885.214437608003</v>
      </c>
      <c r="Y136" s="95">
        <f>IF('Staging Table'!C138=1,"",IF(X136=0, 0, W136/X136))</f>
        <v>34.69823969896386</v>
      </c>
      <c r="Z136" s="87">
        <f ca="1">IF('Staging Table'!C138=1,"",(Y136/N136-1)+(RAND()/100000000000))</f>
        <v>-3.3568377395568741E-2</v>
      </c>
      <c r="AA136" s="53">
        <f t="shared" ca="1" si="2"/>
        <v>48</v>
      </c>
      <c r="AD136" s="216"/>
      <c r="AE136" s="216"/>
      <c r="AG136" s="216"/>
      <c r="AH136" s="216"/>
    </row>
    <row r="137" spans="1:34">
      <c r="B137" s="135">
        <v>12026</v>
      </c>
      <c r="C137" s="136" t="s">
        <v>139</v>
      </c>
      <c r="D137" s="211">
        <f>IF(Init!$R$9="Yes",'Staging Table'!F139,'Staging Table'!BS139)*Rates_previous!$E$76*100*12</f>
        <v>15050935.246080004</v>
      </c>
      <c r="E137" s="211">
        <f>IF(Init!$R$9="Yes",'Staging Table'!F139,'Staging Table'!BS139)*Rates_previous!$E$77*100*12</f>
        <v>-1522645.7664000001</v>
      </c>
      <c r="F137" s="212"/>
      <c r="G137" s="212">
        <f>IF(Init!$R$9="Yes",SUMPRODUCT('Staging Table'!AJ139:AU139,LS_Demand_Rates_Restatement!$C$10:$N$10),SUMPRODUCT(LS_Demand_Rates_Restatement!$C$10:$N$10,'Staging Table'!CW139:DH139))*1000</f>
        <v>705936.95166249969</v>
      </c>
      <c r="H137" s="213"/>
      <c r="I137" s="211">
        <f>IF(Init!$R$9="Yes",IF('Staging Table'!$F$1=2020,(SUM('Staging Table'!AX139:BD139)*Rates_previous!$C$87),(SUM('Staging Table'!AX139:BD139)*Rates_previous!$D$87)),IF('Staging Table'!$F$1=2020,(SUM('Staging Table'!DK139:DQ139)*Rates_previous!$C$87),(SUM('Staging Table'!DK139:DQ139)*Rates_previous!$D$87)))</f>
        <v>184632.1793496389</v>
      </c>
      <c r="J137" s="213">
        <f>IF(Init!$R$9="Yes",IF('Staging Table'!D139=1,'Staging Table'!H139*-1*'Staging Table'!F139/'Staging Table'!E139,'Staging Table'!H139*SUM(D137:I137)*(-1)),IF('Staging Table'!D139=1,'Staging Table'!BU139*-1*'Staging Table'!BS139/'Staging Table'!BR139,'Staging Table'!BU139*SUM(D137:I137)*(-1)))</f>
        <v>0</v>
      </c>
      <c r="K137" s="211">
        <f>IF(Init!$R$9="Yes",'Staging Table'!K139,'Staging Table'!BX139)*(-1)*Rates_previous!$H$32</f>
        <v>0</v>
      </c>
      <c r="L137" s="211">
        <f>IF('Staging Table'!C139=1,"",SUM(D137:K137))</f>
        <v>14418858.610692142</v>
      </c>
      <c r="M137" s="211">
        <f>IF('Staging Table'!C139=1,"",IF(Init!$R$9="Yes",(RT1SC!$C$3*'Staging Table'!F139*'Staging Table'!$F$2),X137))</f>
        <v>390754.74315018242</v>
      </c>
      <c r="N137" s="95">
        <f>IF('Staging Table'!C139=1,"",IF(M137=0, 0, L137/M137))</f>
        <v>36.900021979132845</v>
      </c>
      <c r="O137" s="211">
        <f>'Staging Table'!BS139*Rates_current!$E$76*100*12</f>
        <v>15340171.201797262</v>
      </c>
      <c r="P137" s="211">
        <f>'Staging Table'!BS139*Rates_current!$E$77*100*12</f>
        <v>-2532699.07406777</v>
      </c>
      <c r="Q137" s="212"/>
      <c r="R137" s="212">
        <f>SUMPRODUCT('Staging Table'!CW139:DH139, LS_Demand_Rates_Restatement!$C$11:$N$11)*1000</f>
        <v>654303.1429245458</v>
      </c>
      <c r="S137" s="213"/>
      <c r="T137" s="213">
        <v>0</v>
      </c>
      <c r="U137" s="213">
        <f>IF('Staging Table'!D139=1, 'Staging Table'!BU139*-1*'Staging Table'!BS139/'Staging Table'!BR139,SUM(O137:T137)*'Staging Table'!BU139*-1)</f>
        <v>0</v>
      </c>
      <c r="V137" s="211">
        <f>'Staging Table'!BX139*Rates_current!$H$32*-1</f>
        <v>0</v>
      </c>
      <c r="W137" s="211">
        <f>IF('Staging Table'!C139=1,"",SUM(O137:V137))</f>
        <v>13461775.270654038</v>
      </c>
      <c r="X137" s="211">
        <f>IF('Staging Table'!C139=1,"",(RT1SC!$C$4*'Staging Table'!BS139*'Staging Table'!$BS$2))</f>
        <v>377478.39736051206</v>
      </c>
      <c r="Y137" s="95">
        <f>IF('Staging Table'!C139=1,"",IF(X137=0, 0, W137/X137))</f>
        <v>35.662372641148316</v>
      </c>
      <c r="Z137" s="87">
        <f ca="1">IF('Staging Table'!C139=1,"",(Y137/N137-1)+(RAND()/100000000000))</f>
        <v>-3.3540612477592567E-2</v>
      </c>
      <c r="AA137" s="53">
        <f t="shared" ca="1" si="2"/>
        <v>47</v>
      </c>
      <c r="AD137" s="216"/>
      <c r="AE137" s="216"/>
      <c r="AG137" s="216"/>
      <c r="AH137" s="216"/>
    </row>
    <row r="138" spans="1:34">
      <c r="B138" s="135">
        <v>10298</v>
      </c>
      <c r="C138" s="136" t="s">
        <v>140</v>
      </c>
      <c r="D138" s="211">
        <f>IF(Init!$R$9="Yes",'Staging Table'!F140,'Staging Table'!BS140)*Rates_previous!$E$76*100*12</f>
        <v>144850754.09555998</v>
      </c>
      <c r="E138" s="211">
        <f>IF(Init!$R$9="Yes",'Staging Table'!F140,'Staging Table'!BS140)*Rates_previous!$E$77*100*12</f>
        <v>-14653998.829800002</v>
      </c>
      <c r="F138" s="212"/>
      <c r="G138" s="212">
        <f>IF(Init!$R$9="Yes",SUMPRODUCT('Staging Table'!AJ140:AU140,LS_Demand_Rates_Restatement!$C$10:$N$10),SUMPRODUCT(LS_Demand_Rates_Restatement!$C$10:$N$10,'Staging Table'!CW140:DH140))*1000</f>
        <v>8493359.9910981804</v>
      </c>
      <c r="H138" s="213"/>
      <c r="I138" s="211">
        <f>IF(Init!$R$9="Yes",IF('Staging Table'!$F$1=2020,(SUM('Staging Table'!AX140:BD140)*Rates_previous!$C$87),(SUM('Staging Table'!AX140:BD140)*Rates_previous!$D$87)),IF('Staging Table'!$F$1=2020,(SUM('Staging Table'!DK140:DQ140)*Rates_previous!$C$87),(SUM('Staging Table'!DK140:DQ140)*Rates_previous!$D$87)))</f>
        <v>1776906.881322697</v>
      </c>
      <c r="J138" s="213">
        <f>IF(Init!$R$9="Yes",IF('Staging Table'!D140=1,'Staging Table'!H140*-1*'Staging Table'!F140/'Staging Table'!E140,'Staging Table'!H140*SUM(D138:I138)*(-1)),IF('Staging Table'!D140=1,'Staging Table'!BU140*-1*'Staging Table'!BS140/'Staging Table'!BR140,'Staging Table'!BU140*SUM(D138:I138)*(-1)))</f>
        <v>-9573795.2025466263</v>
      </c>
      <c r="K138" s="211">
        <f>IF(Init!$R$9="Yes",'Staging Table'!K140,'Staging Table'!BX140)*(-1)*Rates_previous!$H$32</f>
        <v>-2427338.4752099998</v>
      </c>
      <c r="L138" s="211">
        <f>IF('Staging Table'!C140=1,"",SUM(D138:K138))</f>
        <v>128465888.46042426</v>
      </c>
      <c r="M138" s="211">
        <f>IF('Staging Table'!C140=1,"",IF(Init!$R$9="Yes",(RT1SC!$C$3*'Staging Table'!F140*'Staging Table'!$F$2),X138))</f>
        <v>3760638.0126087167</v>
      </c>
      <c r="N138" s="95">
        <f>IF('Staging Table'!C140=1,"",IF(M138=0, 0, L138/M138))</f>
        <v>34.160663171967663</v>
      </c>
      <c r="O138" s="211">
        <f>'Staging Table'!BS140*Rates_current!$E$76*100*12</f>
        <v>147707421.66675523</v>
      </c>
      <c r="P138" s="211">
        <f>'Staging Table'!BS140*Rates_current!$E$77*100*12</f>
        <v>-24386849.740275323</v>
      </c>
      <c r="Q138" s="212"/>
      <c r="R138" s="212">
        <f>SUMPRODUCT('Staging Table'!CW140:DH140, LS_Demand_Rates_Restatement!$C$11:$N$11)*1000</f>
        <v>7880534.31204974</v>
      </c>
      <c r="S138" s="213"/>
      <c r="T138" s="213">
        <v>0</v>
      </c>
      <c r="U138" s="213">
        <f>IF('Staging Table'!D140=1, 'Staging Table'!BU140*-1*'Staging Table'!BS140/'Staging Table'!BR140,SUM(O138:T138)*'Staging Table'!BU140*-1)</f>
        <v>-9573281.874102639</v>
      </c>
      <c r="V138" s="211">
        <f>'Staging Table'!BX140*Rates_current!$H$32*-1</f>
        <v>-2381457.1899000001</v>
      </c>
      <c r="W138" s="211">
        <f>IF('Staging Table'!C140=1,"",SUM(O138:V138))</f>
        <v>119246367.17452702</v>
      </c>
      <c r="X138" s="211">
        <f>IF('Staging Table'!C140=1,"",(RT1SC!$C$4*'Staging Table'!BS140*'Staging Table'!$BS$2))</f>
        <v>3634663.5298625403</v>
      </c>
      <c r="Y138" s="95">
        <f>IF('Staging Table'!C140=1,"",IF(X138=0, 0, W138/X138))</f>
        <v>32.808089715813892</v>
      </c>
      <c r="Z138" s="87">
        <f ca="1">IF('Staging Table'!C140=1,"",(Y138/N138-1)+(RAND()/100000000000))</f>
        <v>-3.9594473008384999E-2</v>
      </c>
      <c r="AA138" s="53">
        <f t="shared" ca="1" si="2"/>
        <v>101</v>
      </c>
      <c r="AD138" s="216"/>
      <c r="AE138" s="216"/>
      <c r="AG138" s="216"/>
      <c r="AH138" s="216"/>
    </row>
    <row r="139" spans="1:34">
      <c r="B139" s="251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O139" s="251"/>
      <c r="P139" s="251"/>
      <c r="Q139" s="251"/>
      <c r="R139" s="251"/>
      <c r="S139" s="251"/>
      <c r="T139" s="251"/>
      <c r="U139" s="251"/>
      <c r="V139" s="251"/>
      <c r="W139" s="251"/>
      <c r="AD139" s="216"/>
      <c r="AE139" s="216"/>
      <c r="AG139" s="216"/>
      <c r="AH139" s="216"/>
    </row>
    <row r="140" spans="1:34">
      <c r="A140" s="18"/>
      <c r="B140" s="251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O140" s="251"/>
      <c r="P140" s="251"/>
      <c r="Q140" s="251"/>
      <c r="R140" s="251"/>
      <c r="S140" s="251"/>
      <c r="T140" s="251"/>
      <c r="U140" s="251"/>
      <c r="V140" s="251"/>
      <c r="W140" s="252"/>
      <c r="AD140" s="216"/>
      <c r="AE140" s="216"/>
      <c r="AG140" s="216"/>
      <c r="AH140" s="216"/>
    </row>
    <row r="141" spans="1:34">
      <c r="A141" s="18"/>
      <c r="D141" s="251"/>
      <c r="E141" s="251"/>
      <c r="F141" s="251"/>
      <c r="G141" s="251"/>
      <c r="H141" s="251"/>
      <c r="I141" s="251"/>
      <c r="J141" s="251"/>
      <c r="K141" s="251"/>
      <c r="L141" s="251"/>
      <c r="O141" s="251"/>
      <c r="P141" s="251"/>
      <c r="Q141" s="251"/>
      <c r="R141" s="251"/>
      <c r="S141" s="251"/>
      <c r="T141" s="251"/>
      <c r="U141" s="251"/>
      <c r="V141" s="251"/>
      <c r="W141" s="251"/>
      <c r="AD141" s="216"/>
      <c r="AE141" s="216"/>
      <c r="AG141" s="216"/>
      <c r="AH141" s="216"/>
    </row>
    <row r="142" spans="1:34">
      <c r="A142" s="18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O142" s="251"/>
      <c r="P142" s="251"/>
      <c r="Q142" s="251"/>
      <c r="R142" s="251"/>
      <c r="S142" s="251"/>
      <c r="T142" s="251"/>
      <c r="U142" s="251"/>
      <c r="V142" s="251"/>
      <c r="W142" s="251"/>
    </row>
    <row r="143" spans="1:34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O143" s="251"/>
      <c r="P143" s="251"/>
      <c r="Q143" s="251"/>
      <c r="R143" s="251"/>
      <c r="S143" s="96"/>
      <c r="T143" s="96"/>
      <c r="U143" s="251"/>
      <c r="V143" s="251"/>
      <c r="W143" s="251"/>
    </row>
    <row r="144" spans="1:34">
      <c r="B144" s="135"/>
      <c r="C144" s="136"/>
      <c r="G144" s="159"/>
    </row>
    <row r="145" spans="2:3">
      <c r="B145" s="135"/>
      <c r="C145" s="136"/>
    </row>
    <row r="146" spans="2:3">
      <c r="B146" s="135"/>
      <c r="C146" s="136"/>
    </row>
    <row r="147" spans="2:3">
      <c r="B147" s="135"/>
      <c r="C147" s="136"/>
    </row>
    <row r="148" spans="2:3">
      <c r="B148" s="135"/>
      <c r="C148" s="136"/>
    </row>
    <row r="149" spans="2:3">
      <c r="B149" s="135"/>
      <c r="C149" s="136"/>
    </row>
    <row r="150" spans="2:3">
      <c r="B150" s="135"/>
      <c r="C150" s="136"/>
    </row>
    <row r="151" spans="2:3">
      <c r="B151" s="135"/>
      <c r="C151" s="136"/>
    </row>
    <row r="152" spans="2:3">
      <c r="B152" s="135"/>
      <c r="C152" s="136"/>
    </row>
    <row r="153" spans="2:3">
      <c r="B153" s="135"/>
      <c r="C153" s="136"/>
    </row>
    <row r="154" spans="2:3">
      <c r="B154" s="135"/>
      <c r="C154" s="136"/>
    </row>
    <row r="155" spans="2:3">
      <c r="B155" s="135"/>
      <c r="C155" s="136"/>
    </row>
    <row r="156" spans="2:3">
      <c r="B156" s="135"/>
      <c r="C156" s="136"/>
    </row>
    <row r="157" spans="2:3">
      <c r="B157" s="135"/>
      <c r="C157" s="136"/>
    </row>
    <row r="158" spans="2:3">
      <c r="B158" s="135"/>
      <c r="C158" s="136"/>
    </row>
    <row r="159" spans="2:3">
      <c r="B159" s="135"/>
      <c r="C159" s="136"/>
    </row>
    <row r="160" spans="2:3">
      <c r="B160" s="135"/>
      <c r="C160" s="136"/>
    </row>
    <row r="161" spans="2:3">
      <c r="B161" s="135"/>
      <c r="C161" s="136"/>
    </row>
    <row r="162" spans="2:3">
      <c r="B162" s="135"/>
      <c r="C162" s="136"/>
    </row>
    <row r="163" spans="2:3">
      <c r="B163" s="135"/>
      <c r="C163" s="136"/>
    </row>
    <row r="164" spans="2:3">
      <c r="B164" s="135"/>
      <c r="C164" s="136"/>
    </row>
    <row r="165" spans="2:3">
      <c r="B165" s="135"/>
      <c r="C165" s="136"/>
    </row>
    <row r="166" spans="2:3">
      <c r="B166" s="135"/>
      <c r="C166" s="136"/>
    </row>
    <row r="167" spans="2:3">
      <c r="B167" s="135"/>
      <c r="C167" s="136"/>
    </row>
    <row r="168" spans="2:3">
      <c r="B168" s="152"/>
      <c r="C168" s="152"/>
    </row>
    <row r="169" spans="2:3">
      <c r="B169" s="152"/>
      <c r="C169" s="152"/>
    </row>
    <row r="170" spans="2:3">
      <c r="B170" s="152"/>
      <c r="C170" s="152"/>
    </row>
  </sheetData>
  <conditionalFormatting sqref="B2">
    <cfRule type="expression" dxfId="0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/>
  </sheetPr>
  <dimension ref="A1:Z164"/>
  <sheetViews>
    <sheetView topLeftCell="J1" workbookViewId="0"/>
  </sheetViews>
  <sheetFormatPr defaultRowHeight="14.4"/>
  <cols>
    <col min="2" max="2" width="35.33203125" bestFit="1" customWidth="1"/>
    <col min="8" max="8" width="35.33203125" bestFit="1" customWidth="1"/>
    <col min="10" max="10" width="11.5546875" bestFit="1" customWidth="1"/>
    <col min="11" max="11" width="9.5546875" bestFit="1" customWidth="1"/>
    <col min="12" max="12" width="10.5546875" bestFit="1" customWidth="1"/>
    <col min="14" max="14" width="31.5546875" customWidth="1"/>
    <col min="20" max="20" width="35.33203125" bestFit="1" customWidth="1"/>
    <col min="22" max="22" width="13.33203125" bestFit="1" customWidth="1"/>
    <col min="25" max="25" width="30.5546875" style="76" bestFit="1" customWidth="1"/>
    <col min="26" max="26" width="9.109375" style="76"/>
  </cols>
  <sheetData>
    <row r="1" spans="1:26">
      <c r="Y1"/>
      <c r="Z1"/>
    </row>
    <row r="2" spans="1:26">
      <c r="X2" s="58"/>
      <c r="Y2" s="58" t="s">
        <v>3</v>
      </c>
      <c r="Z2" s="58" t="s">
        <v>648</v>
      </c>
    </row>
    <row r="3" spans="1:26">
      <c r="B3" s="58" t="s">
        <v>225</v>
      </c>
      <c r="H3" s="58" t="s">
        <v>233</v>
      </c>
      <c r="N3" s="58" t="s">
        <v>232</v>
      </c>
      <c r="T3" s="58" t="s">
        <v>234</v>
      </c>
      <c r="Y3" s="77" t="s">
        <v>137</v>
      </c>
      <c r="Z3" s="78">
        <v>39.776753550319185</v>
      </c>
    </row>
    <row r="4" spans="1:26">
      <c r="A4" t="s">
        <v>224</v>
      </c>
      <c r="B4" t="s">
        <v>227</v>
      </c>
      <c r="C4" t="s">
        <v>226</v>
      </c>
      <c r="D4" t="s">
        <v>230</v>
      </c>
      <c r="E4" t="s">
        <v>228</v>
      </c>
      <c r="F4" t="s">
        <v>229</v>
      </c>
      <c r="H4" t="s">
        <v>227</v>
      </c>
      <c r="I4" t="s">
        <v>226</v>
      </c>
      <c r="J4" t="s">
        <v>230</v>
      </c>
      <c r="K4" t="s">
        <v>228</v>
      </c>
      <c r="L4" t="s">
        <v>229</v>
      </c>
      <c r="N4" t="s">
        <v>227</v>
      </c>
      <c r="O4" t="s">
        <v>226</v>
      </c>
      <c r="P4" t="s">
        <v>230</v>
      </c>
      <c r="Q4" t="s">
        <v>228</v>
      </c>
      <c r="R4" t="s">
        <v>229</v>
      </c>
      <c r="T4" t="s">
        <v>227</v>
      </c>
      <c r="U4" t="s">
        <v>226</v>
      </c>
      <c r="V4" t="s">
        <v>649</v>
      </c>
      <c r="W4" t="s">
        <v>336</v>
      </c>
      <c r="Y4" s="77" t="s">
        <v>38</v>
      </c>
      <c r="Z4" s="78">
        <v>35.237223319498995</v>
      </c>
    </row>
    <row r="5" spans="1:26">
      <c r="A5">
        <v>1</v>
      </c>
      <c r="B5" t="str">
        <f ca="1">+INDEX('Charges_Including Slice and LS'!$C$4:$C$138,MATCH($A5,'Charges_Including Slice and LS'!$AA$4:$AA$138,0),1)</f>
        <v>Lewis County PUD #1</v>
      </c>
      <c r="C5" s="422">
        <f ca="1">+INDEX('Charges_Including Slice and LS'!$Z$4:$Z$138,MATCH($A5,'Charges_Including Slice and LS'!$AA$4:$AA$138,0),1)</f>
        <v>2.0222054724925512E-2</v>
      </c>
      <c r="D5" s="60">
        <f ca="1">+INDEX('Charges_Including Slice and LS'!$Y$4:$Y$138,MATCH($A5,'Charges_Including Slice and LS'!$AA$4:$AA$138,0),1)</f>
        <v>36.183277407871216</v>
      </c>
      <c r="E5" s="45">
        <f ca="1">+INDEX('Charges_Including Slice and LS'!$X$4:$X$138,MATCH($A5,'Charges_Including Slice and LS'!$AA$4:$AA$138,0),1)/1000</f>
        <v>919.16056701897935</v>
      </c>
      <c r="F5" s="45">
        <f ca="1">+SUM(E$5:E5)</f>
        <v>919.16056701897935</v>
      </c>
      <c r="H5" t="str">
        <f ca="1">+INDEX(Charges_NonSlice!$C$4:$C$138,MATCH($A5,Charges_NonSlice!$AA$4:$AA$138,0),1)</f>
        <v>U.S. Naval Submarine Base, Bangor</v>
      </c>
      <c r="I5" s="74">
        <f ca="1">+INDEX(Charges_NonSlice!$Z$4:$Z$138,MATCH($A5,Charges_NonSlice!$AA$4:$AA$138,0),1)</f>
        <v>1.187354427024506E-2</v>
      </c>
      <c r="J5" s="60">
        <f ca="1">+INDEX(Charges_NonSlice!$Y$4:$Y$138,MATCH($A5,Charges_NonSlice!$AA$4:$AA$138,0),1)</f>
        <v>37.065637100783171</v>
      </c>
      <c r="K5" s="45">
        <f ca="1">+INDEX(Charges_NonSlice!$X$4:$X$138,MATCH($A5,Charges_NonSlice!$AA$4:$AA$138,0),1)/1000</f>
        <v>139.23965272931039</v>
      </c>
      <c r="L5" s="45">
        <f ca="1">+SUM(K$5:K5)</f>
        <v>139.23965272931039</v>
      </c>
      <c r="N5" t="str">
        <f ca="1">+INDEX('Charges_NonSlice &amp; Excl LS'!$C$4:$C$138,MATCH($A5,'Charges_NonSlice &amp; Excl LS'!$AA$4:$AA$138,0),1)</f>
        <v>U.S. DOE Richland Operations Office</v>
      </c>
      <c r="O5" s="74">
        <f ca="1">+INDEX('Charges_NonSlice &amp; Excl LS'!$Z$4:$Z$138,MATCH($A5,'Charges_NonSlice &amp; Excl LS'!$AA$4:$AA$138,0),1)</f>
        <v>1.4552769306123028E-2</v>
      </c>
      <c r="P5" s="98">
        <f ca="1">+INDEX('Charges_NonSlice &amp; Excl LS'!$Y$4:$Y$138,MATCH($A5,'Charges_NonSlice &amp; Excl LS'!$AA$4:$AA$138,0),1)</f>
        <v>37.954892635544297</v>
      </c>
      <c r="Q5" s="246">
        <f ca="1">+INDEX('Charges_NonSlice &amp; Excl LS'!$X$4:$X$138,MATCH($A5,'Charges_NonSlice &amp; Excl LS'!$AA$4:$AA$138,0),1)/1000</f>
        <v>143.507646720396</v>
      </c>
      <c r="R5" s="246">
        <f ca="1">+SUM(Q$5:Q5)</f>
        <v>143.507646720396</v>
      </c>
      <c r="T5" t="str">
        <f ca="1">+INDEX(Charges_NonSlice!$C$4:$C$138,MATCH($A5,Charges_NonSlice!$AA$4:$AA$138,0),1)</f>
        <v>U.S. Naval Submarine Base, Bangor</v>
      </c>
      <c r="U5" s="74">
        <f ca="1">IFERROR(+V5/W5-1,"")</f>
        <v>4.4514571042234108E-2</v>
      </c>
      <c r="V5" s="60">
        <f ca="1">+INDEX(Charges_NonSlice!$Y$4:$Y$138,MATCH($A5,Charges_NonSlice!$AA$4:$AA$138,0),1)</f>
        <v>37.065637100783171</v>
      </c>
      <c r="W5" s="88">
        <f ca="1">+VLOOKUP(T5,Y:Z,2,FALSE)</f>
        <v>35.485993329703824</v>
      </c>
      <c r="Y5" s="77" t="s">
        <v>23</v>
      </c>
      <c r="Z5" s="78">
        <v>39.530479308789197</v>
      </c>
    </row>
    <row r="6" spans="1:26">
      <c r="A6">
        <f>+A5+1</f>
        <v>2</v>
      </c>
      <c r="B6" s="82" t="str">
        <f ca="1">+INDEX('Charges_Including Slice and LS'!$C$4:$C$138,MATCH($A6,'Charges_Including Slice and LS'!$AA$4:$AA$138,0),1)</f>
        <v>Idaho Falls Power</v>
      </c>
      <c r="C6" s="422">
        <f ca="1">+INDEX('Charges_Including Slice and LS'!$Z$4:$Z$138,MATCH($A6,'Charges_Including Slice and LS'!$AA$4:$AA$138,0),1)</f>
        <v>1.7184986108256538E-2</v>
      </c>
      <c r="D6" s="60">
        <f ca="1">+INDEX('Charges_Including Slice and LS'!$Y$4:$Y$138,MATCH($A6,'Charges_Including Slice and LS'!$AA$4:$AA$138,0),1)</f>
        <v>37.913511910251373</v>
      </c>
      <c r="E6" s="80">
        <f ca="1">+INDEX('Charges_Including Slice and LS'!$X$4:$X$138,MATCH($A6,'Charges_Including Slice and LS'!$AA$4:$AA$138,0),1)/1000</f>
        <v>552.03864410817926</v>
      </c>
      <c r="F6" s="80">
        <f ca="1">+SUM(E$5:E6)</f>
        <v>1471.1992111271586</v>
      </c>
      <c r="H6" s="244" t="str">
        <f ca="1">+INDEX(Charges_NonSlice!$C$4:$C$138,MATCH($A6,Charges_NonSlice!$AA$4:$AA$138,0),1)</f>
        <v>Mason County PUD #1</v>
      </c>
      <c r="I6" s="74">
        <f ca="1">+INDEX(Charges_NonSlice!$Z$4:$Z$138,MATCH($A6,Charges_NonSlice!$AA$4:$AA$138,0),1)</f>
        <v>-1.3639166890911951E-2</v>
      </c>
      <c r="J6" s="98">
        <f ca="1">+INDEX(Charges_NonSlice!$Y$4:$Y$138,MATCH($A6,Charges_NonSlice!$AA$4:$AA$138,0),1)</f>
        <v>36.33347745078165</v>
      </c>
      <c r="K6" s="246">
        <f ca="1">+INDEX(Charges_NonSlice!$X$4:$X$138,MATCH($A6,Charges_NonSlice!$AA$4:$AA$138,0),1)/1000</f>
        <v>67.658328841524465</v>
      </c>
      <c r="L6" s="80">
        <f ca="1">+SUM(K$5:K6)</f>
        <v>206.89798157083487</v>
      </c>
      <c r="N6" s="244" t="str">
        <f ca="1">+INDEX('Charges_NonSlice &amp; Excl LS'!$C$4:$C$138,MATCH($A6,'Charges_NonSlice &amp; Excl LS'!$AA$4:$AA$138,0),1)</f>
        <v>Milton-Freewater, City of</v>
      </c>
      <c r="O6" s="74">
        <f ca="1">+INDEX('Charges_NonSlice &amp; Excl LS'!$Z$4:$Z$138,MATCH($A6,'Charges_NonSlice &amp; Excl LS'!$AA$4:$AA$138,0),1)</f>
        <v>-2.6188455780329394E-2</v>
      </c>
      <c r="P6" s="98">
        <f ca="1">+INDEX('Charges_NonSlice &amp; Excl LS'!$Y$4:$Y$138,MATCH($A6,'Charges_NonSlice &amp; Excl LS'!$AA$4:$AA$138,0),1)</f>
        <v>35.985967839518423</v>
      </c>
      <c r="Q6" s="246">
        <f ca="1">+INDEX('Charges_NonSlice &amp; Excl LS'!$X$4:$X$138,MATCH($A6,'Charges_NonSlice &amp; Excl LS'!$AA$4:$AA$138,0),1)/1000</f>
        <v>80.791282176444</v>
      </c>
      <c r="R6" s="80">
        <f ca="1">+SUM(Q$5:Q6)</f>
        <v>224.29892889683998</v>
      </c>
      <c r="T6" s="244" t="str">
        <f ca="1">+INDEX(Charges_NonSlice!$C$4:$C$138,MATCH($A6,Charges_NonSlice!$AA$4:$AA$138,0),1)</f>
        <v>Mason County PUD #1</v>
      </c>
      <c r="U6" s="74">
        <f t="shared" ref="U6:U69" ca="1" si="0">IFERROR(+V6/W6-1,"")</f>
        <v>3.3486077221107413E-2</v>
      </c>
      <c r="V6" s="98">
        <f ca="1">+INDEX(Charges_NonSlice!$Y$4:$Y$138,MATCH($A6,Charges_NonSlice!$AA$4:$AA$138,0),1)</f>
        <v>36.33347745078165</v>
      </c>
      <c r="W6" s="89">
        <f t="shared" ref="W6:W68" ca="1" si="1">+VLOOKUP(T6,Y:Z,2,FALSE)</f>
        <v>35.156233113925488</v>
      </c>
      <c r="Y6" s="77" t="s">
        <v>115</v>
      </c>
      <c r="Z6" s="78">
        <v>30.249702468666651</v>
      </c>
    </row>
    <row r="7" spans="1:26">
      <c r="A7">
        <f t="shared" ref="A7:A70" si="2">+A6+1</f>
        <v>3</v>
      </c>
      <c r="B7" s="82" t="str">
        <f ca="1">+INDEX('Charges_Including Slice and LS'!$C$4:$C$138,MATCH($A7,'Charges_Including Slice and LS'!$AA$4:$AA$138,0),1)</f>
        <v>Clatskanie PUD</v>
      </c>
      <c r="C7" s="422">
        <f ca="1">+INDEX('Charges_Including Slice and LS'!$Z$4:$Z$138,MATCH($A7,'Charges_Including Slice and LS'!$AA$4:$AA$138,0),1)</f>
        <v>1.6565937443429483E-2</v>
      </c>
      <c r="D7" s="60">
        <f ca="1">+INDEX('Charges_Including Slice and LS'!$Y$4:$Y$138,MATCH($A7,'Charges_Including Slice and LS'!$AA$4:$AA$138,0),1)</f>
        <v>37.83716634749242</v>
      </c>
      <c r="E7" s="80">
        <f ca="1">+INDEX('Charges_Including Slice and LS'!$X$4:$X$138,MATCH($A7,'Charges_Including Slice and LS'!$AA$4:$AA$138,0),1)/1000</f>
        <v>726.05509041778078</v>
      </c>
      <c r="F7" s="80">
        <f ca="1">+SUM(E$5:E7)</f>
        <v>2197.2543015449392</v>
      </c>
      <c r="H7" s="244" t="str">
        <f ca="1">+INDEX(Charges_NonSlice!$C$4:$C$138,MATCH($A7,Charges_NonSlice!$AA$4:$AA$138,0),1)</f>
        <v>U.S. Naval Base,  Bremerton</v>
      </c>
      <c r="I7" s="74">
        <f ca="1">+INDEX(Charges_NonSlice!$Z$4:$Z$138,MATCH($A7,Charges_NonSlice!$AA$4:$AA$138,0),1)</f>
        <v>-1.405977328499511E-2</v>
      </c>
      <c r="J7" s="98">
        <f ca="1">+INDEX(Charges_NonSlice!$Y$4:$Y$138,MATCH($A7,Charges_NonSlice!$AA$4:$AA$138,0),1)</f>
        <v>36.115651081055866</v>
      </c>
      <c r="K7" s="246">
        <f ca="1">+INDEX(Charges_NonSlice!$X$4:$X$138,MATCH($A7,Charges_NonSlice!$AA$4:$AA$138,0),1)/1000</f>
        <v>217.09490702000886</v>
      </c>
      <c r="L7" s="80">
        <f ca="1">+SUM(K$5:K7)</f>
        <v>423.99288859084373</v>
      </c>
      <c r="N7" s="244" t="str">
        <f ca="1">+INDEX('Charges_NonSlice &amp; Excl LS'!$C$4:$C$138,MATCH($A7,'Charges_NonSlice &amp; Excl LS'!$AA$4:$AA$138,0),1)</f>
        <v>Alder Mutual</v>
      </c>
      <c r="O7" s="74">
        <f ca="1">+INDEX('Charges_NonSlice &amp; Excl LS'!$Z$4:$Z$138,MATCH($A7,'Charges_NonSlice &amp; Excl LS'!$AA$4:$AA$138,0),1)</f>
        <v>-2.8657688368000863E-2</v>
      </c>
      <c r="P7" s="98">
        <f ca="1">+INDEX('Charges_NonSlice &amp; Excl LS'!$Y$4:$Y$138,MATCH($A7,'Charges_NonSlice &amp; Excl LS'!$AA$4:$AA$138,0),1)</f>
        <v>35.566806884998805</v>
      </c>
      <c r="Q7" s="246">
        <f ca="1">+INDEX('Charges_NonSlice &amp; Excl LS'!$X$4:$X$138,MATCH($A7,'Charges_NonSlice &amp; Excl LS'!$AA$4:$AA$138,0),1)/1000</f>
        <v>4.5792151755840003</v>
      </c>
      <c r="R7" s="80">
        <f ca="1">+SUM(Q$5:Q7)</f>
        <v>228.87814407242399</v>
      </c>
      <c r="T7" s="244" t="str">
        <f ca="1">+INDEX(Charges_NonSlice!$C$4:$C$138,MATCH($A7,Charges_NonSlice!$AA$4:$AA$138,0),1)</f>
        <v>U.S. Naval Base,  Bremerton</v>
      </c>
      <c r="U7" s="74">
        <f t="shared" ca="1" si="0"/>
        <v>-2.995927586273095E-2</v>
      </c>
      <c r="V7" s="98">
        <f ca="1">+INDEX(Charges_NonSlice!$Y$4:$Y$138,MATCH($A7,Charges_NonSlice!$AA$4:$AA$138,0),1)</f>
        <v>36.115651081055866</v>
      </c>
      <c r="W7" s="89">
        <f t="shared" ca="1" si="1"/>
        <v>37.231066884512771</v>
      </c>
      <c r="Y7" s="77" t="s">
        <v>73</v>
      </c>
      <c r="Z7" s="78">
        <v>39.118612837627019</v>
      </c>
    </row>
    <row r="8" spans="1:26">
      <c r="A8">
        <f t="shared" si="2"/>
        <v>4</v>
      </c>
      <c r="B8" s="82" t="str">
        <f ca="1">+INDEX('Charges_Including Slice and LS'!$C$4:$C$138,MATCH($A8,'Charges_Including Slice and LS'!$AA$4:$AA$138,0),1)</f>
        <v>Cowlitz County PUD #1</v>
      </c>
      <c r="C8" s="422">
        <f ca="1">+INDEX('Charges_Including Slice and LS'!$Z$4:$Z$138,MATCH($A8,'Charges_Including Slice and LS'!$AA$4:$AA$138,0),1)</f>
        <v>1.640217091656505E-2</v>
      </c>
      <c r="D8" s="60">
        <f ca="1">+INDEX('Charges_Including Slice and LS'!$Y$4:$Y$138,MATCH($A8,'Charges_Including Slice and LS'!$AA$4:$AA$138,0),1)</f>
        <v>37.826977706912267</v>
      </c>
      <c r="E8" s="80">
        <f ca="1">+INDEX('Charges_Including Slice and LS'!$X$4:$X$138,MATCH($A8,'Charges_Including Slice and LS'!$AA$4:$AA$138,0),1)/1000</f>
        <v>3974.25506457756</v>
      </c>
      <c r="F8" s="80">
        <f ca="1">+SUM(E$5:E8)</f>
        <v>6171.5093661224992</v>
      </c>
      <c r="H8" s="244" t="str">
        <f ca="1">+INDEX(Charges_NonSlice!$C$4:$C$138,MATCH($A8,Charges_NonSlice!$AA$4:$AA$138,0),1)</f>
        <v>Mission Valley</v>
      </c>
      <c r="I8" s="74">
        <f ca="1">+INDEX(Charges_NonSlice!$Z$4:$Z$138,MATCH($A8,Charges_NonSlice!$AA$4:$AA$138,0),1)</f>
        <v>-2.6372349876092355E-2</v>
      </c>
      <c r="J8" s="98">
        <f ca="1">+INDEX(Charges_NonSlice!$Y$4:$Y$138,MATCH($A8,Charges_NonSlice!$AA$4:$AA$138,0),1)</f>
        <v>35.174978044302691</v>
      </c>
      <c r="K8" s="246">
        <f ca="1">+INDEX(Charges_NonSlice!$X$4:$X$138,MATCH($A8,Charges_NonSlice!$AA$4:$AA$138,0),1)/1000</f>
        <v>314.30395122248666</v>
      </c>
      <c r="L8" s="80">
        <f ca="1">+SUM(K$5:K8)</f>
        <v>738.29683981333039</v>
      </c>
      <c r="N8" s="244" t="str">
        <f ca="1">+INDEX('Charges_NonSlice &amp; Excl LS'!$C$4:$C$138,MATCH($A8,'Charges_NonSlice &amp; Excl LS'!$AA$4:$AA$138,0),1)</f>
        <v>Asotin County PUD #1</v>
      </c>
      <c r="O8" s="74">
        <f ca="1">+INDEX('Charges_NonSlice &amp; Excl LS'!$Z$4:$Z$138,MATCH($A8,'Charges_NonSlice &amp; Excl LS'!$AA$4:$AA$138,0),1)</f>
        <v>-3.0455747059414218E-2</v>
      </c>
      <c r="P8" s="98">
        <f ca="1">+INDEX('Charges_NonSlice &amp; Excl LS'!$Y$4:$Y$138,MATCH($A8,'Charges_NonSlice &amp; Excl LS'!$AA$4:$AA$138,0),1)</f>
        <v>40.167033482721855</v>
      </c>
      <c r="Q8" s="246">
        <f ca="1">+INDEX('Charges_NonSlice &amp; Excl LS'!$X$4:$X$138,MATCH($A8,'Charges_NonSlice &amp; Excl LS'!$AA$4:$AA$138,0),1)/1000</f>
        <v>4.7916529930079994</v>
      </c>
      <c r="R8" s="80">
        <f ca="1">+SUM(Q$5:Q8)</f>
        <v>233.66979706543199</v>
      </c>
      <c r="T8" s="244" t="str">
        <f ca="1">+INDEX(Charges_NonSlice!$C$4:$C$138,MATCH($A8,Charges_NonSlice!$AA$4:$AA$138,0),1)</f>
        <v>Mission Valley</v>
      </c>
      <c r="U8" s="74">
        <f t="shared" ca="1" si="0"/>
        <v>-1.4927317816992969E-2</v>
      </c>
      <c r="V8" s="98">
        <f ca="1">+INDEX(Charges_NonSlice!$Y$4:$Y$138,MATCH($A8,Charges_NonSlice!$AA$4:$AA$138,0),1)</f>
        <v>35.174978044302691</v>
      </c>
      <c r="W8" s="89">
        <f t="shared" ca="1" si="1"/>
        <v>35.708002749961423</v>
      </c>
      <c r="Y8" s="77" t="s">
        <v>29</v>
      </c>
      <c r="Z8" s="78">
        <v>38.502259173441942</v>
      </c>
    </row>
    <row r="9" spans="1:26">
      <c r="A9">
        <f t="shared" si="2"/>
        <v>5</v>
      </c>
      <c r="B9" s="82" t="str">
        <f ca="1">+INDEX('Charges_Including Slice and LS'!$C$4:$C$138,MATCH($A9,'Charges_Including Slice and LS'!$AA$4:$AA$138,0),1)</f>
        <v>Pacific County PUD #2</v>
      </c>
      <c r="C9" s="422">
        <f ca="1">+INDEX('Charges_Including Slice and LS'!$Z$4:$Z$138,MATCH($A9,'Charges_Including Slice and LS'!$AA$4:$AA$138,0),1)</f>
        <v>1.5239768572120411E-2</v>
      </c>
      <c r="D9" s="60">
        <f ca="1">+INDEX('Charges_Including Slice and LS'!$Y$4:$Y$138,MATCH($A9,'Charges_Including Slice and LS'!$AA$4:$AA$138,0),1)</f>
        <v>37.771492833649248</v>
      </c>
      <c r="E9" s="80">
        <f ca="1">+INDEX('Charges_Including Slice and LS'!$X$4:$X$138,MATCH($A9,'Charges_Including Slice and LS'!$AA$4:$AA$138,0),1)/1000</f>
        <v>303.55153552789699</v>
      </c>
      <c r="F9" s="80">
        <f ca="1">+SUM(E$5:E9)</f>
        <v>6475.0609016503959</v>
      </c>
      <c r="H9" s="244" t="str">
        <f ca="1">+INDEX(Charges_NonSlice!$C$4:$C$138,MATCH($A9,Charges_NonSlice!$AA$4:$AA$138,0),1)</f>
        <v>Flathead Elec Coop</v>
      </c>
      <c r="I9" s="74">
        <f ca="1">+INDEX(Charges_NonSlice!$Z$4:$Z$138,MATCH($A9,Charges_NonSlice!$AA$4:$AA$138,0),1)</f>
        <v>-2.7515906824506404E-2</v>
      </c>
      <c r="J9" s="98">
        <f ca="1">+INDEX(Charges_NonSlice!$Y$4:$Y$138,MATCH($A9,Charges_NonSlice!$AA$4:$AA$138,0),1)</f>
        <v>38.334217046208067</v>
      </c>
      <c r="K9" s="246">
        <f ca="1">+INDEX(Charges_NonSlice!$X$4:$X$138,MATCH($A9,Charges_NonSlice!$AA$4:$AA$138,0),1)/1000</f>
        <v>1361.2742643087881</v>
      </c>
      <c r="L9" s="80">
        <f ca="1">+SUM(K$5:K9)</f>
        <v>2099.5711041221184</v>
      </c>
      <c r="N9" s="244" t="str">
        <f ca="1">+INDEX('Charges_NonSlice &amp; Excl LS'!$C$4:$C$138,MATCH($A9,'Charges_NonSlice &amp; Excl LS'!$AA$4:$AA$138,0),1)</f>
        <v>Forest Grove, City of</v>
      </c>
      <c r="O9" s="74">
        <f ca="1">+INDEX('Charges_NonSlice &amp; Excl LS'!$Z$4:$Z$138,MATCH($A9,'Charges_NonSlice &amp; Excl LS'!$AA$4:$AA$138,0),1)</f>
        <v>-3.061914277277537E-2</v>
      </c>
      <c r="P9" s="98">
        <f ca="1">+INDEX('Charges_NonSlice &amp; Excl LS'!$Y$4:$Y$138,MATCH($A9,'Charges_NonSlice &amp; Excl LS'!$AA$4:$AA$138,0),1)</f>
        <v>36.125856571002046</v>
      </c>
      <c r="Q9" s="246">
        <f ca="1">+INDEX('Charges_NonSlice &amp; Excl LS'!$X$4:$X$138,MATCH($A9,'Charges_NonSlice &amp; Excl LS'!$AA$4:$AA$138,0),1)/1000</f>
        <v>222.95939043697203</v>
      </c>
      <c r="R9" s="80">
        <f ca="1">+SUM(Q$5:Q9)</f>
        <v>456.62918750240402</v>
      </c>
      <c r="T9" s="244" t="str">
        <f ca="1">+INDEX(Charges_NonSlice!$C$4:$C$138,MATCH($A9,Charges_NonSlice!$AA$4:$AA$138,0),1)</f>
        <v>Flathead Elec Coop</v>
      </c>
      <c r="U9" s="74">
        <f t="shared" ca="1" si="0"/>
        <v>-1.0962832427048319E-3</v>
      </c>
      <c r="V9" s="98">
        <f ca="1">+INDEX(Charges_NonSlice!$Y$4:$Y$138,MATCH($A9,Charges_NonSlice!$AA$4:$AA$138,0),1)</f>
        <v>38.334217046208067</v>
      </c>
      <c r="W9" s="89">
        <f t="shared" ca="1" si="1"/>
        <v>38.376288328019285</v>
      </c>
      <c r="Y9" s="77" t="s">
        <v>92</v>
      </c>
      <c r="Z9" s="78">
        <v>32.550365940412391</v>
      </c>
    </row>
    <row r="10" spans="1:26">
      <c r="A10">
        <f t="shared" si="2"/>
        <v>6</v>
      </c>
      <c r="B10" s="82" t="str">
        <f ca="1">+INDEX('Charges_Including Slice and LS'!$C$4:$C$138,MATCH($A10,'Charges_Including Slice and LS'!$AA$4:$AA$138,0),1)</f>
        <v>Tacoma Public Utilities</v>
      </c>
      <c r="C10" s="422">
        <f ca="1">+INDEX('Charges_Including Slice and LS'!$Z$4:$Z$138,MATCH($A10,'Charges_Including Slice and LS'!$AA$4:$AA$138,0),1)</f>
        <v>1.3819263696394524E-2</v>
      </c>
      <c r="D10" s="60">
        <f ca="1">+INDEX('Charges_Including Slice and LS'!$Y$4:$Y$138,MATCH($A10,'Charges_Including Slice and LS'!$AA$4:$AA$138,0),1)</f>
        <v>37.676957680859509</v>
      </c>
      <c r="E10" s="80">
        <f ca="1">+INDEX('Charges_Including Slice and LS'!$X$4:$X$138,MATCH($A10,'Charges_Including Slice and LS'!$AA$4:$AA$138,0),1)/1000</f>
        <v>3172.3892949006804</v>
      </c>
      <c r="F10" s="80">
        <f ca="1">+SUM(E$5:E10)</f>
        <v>9647.4501965510754</v>
      </c>
      <c r="H10" s="244" t="str">
        <f ca="1">+INDEX(Charges_NonSlice!$C$4:$C$138,MATCH($A10,Charges_NonSlice!$AA$4:$AA$138,0),1)</f>
        <v>Okanogan County PUD #1</v>
      </c>
      <c r="I10" s="74">
        <f ca="1">+INDEX(Charges_NonSlice!$Z$4:$Z$138,MATCH($A10,Charges_NonSlice!$AA$4:$AA$138,0),1)</f>
        <v>-2.785248351544245E-2</v>
      </c>
      <c r="J10" s="98">
        <f ca="1">+INDEX(Charges_NonSlice!$Y$4:$Y$138,MATCH($A10,Charges_NonSlice!$AA$4:$AA$138,0),1)</f>
        <v>33.617894767090284</v>
      </c>
      <c r="K10" s="246">
        <f ca="1">+INDEX(Charges_NonSlice!$X$4:$X$138,MATCH($A10,Charges_NonSlice!$AA$4:$AA$138,0),1)/1000</f>
        <v>383.6442196251005</v>
      </c>
      <c r="L10" s="80">
        <f ca="1">+SUM(K$5:K10)</f>
        <v>2483.2153237472189</v>
      </c>
      <c r="N10" s="244" t="str">
        <f ca="1">+INDEX('Charges_NonSlice &amp; Excl LS'!$C$4:$C$138,MATCH($A10,'Charges_NonSlice &amp; Excl LS'!$AA$4:$AA$138,0),1)</f>
        <v>McMinnville, City of</v>
      </c>
      <c r="O10" s="74">
        <f ca="1">+INDEX('Charges_NonSlice &amp; Excl LS'!$Z$4:$Z$138,MATCH($A10,'Charges_NonSlice &amp; Excl LS'!$AA$4:$AA$138,0),1)</f>
        <v>-3.0726979785395927E-2</v>
      </c>
      <c r="P10" s="98">
        <f ca="1">+INDEX('Charges_NonSlice &amp; Excl LS'!$Y$4:$Y$138,MATCH($A10,'Charges_NonSlice &amp; Excl LS'!$AA$4:$AA$138,0),1)</f>
        <v>37.353165993423438</v>
      </c>
      <c r="Q10" s="246">
        <f ca="1">+INDEX('Charges_NonSlice &amp; Excl LS'!$X$4:$X$138,MATCH($A10,'Charges_NonSlice &amp; Excl LS'!$AA$4:$AA$138,0),1)/1000</f>
        <v>711.34803164426398</v>
      </c>
      <c r="R10" s="80">
        <f ca="1">+SUM(Q$5:Q10)</f>
        <v>1167.9772191466679</v>
      </c>
      <c r="T10" s="244" t="str">
        <f ca="1">+INDEX(Charges_NonSlice!$C$4:$C$138,MATCH($A10,Charges_NonSlice!$AA$4:$AA$138,0),1)</f>
        <v>Okanogan County PUD #1</v>
      </c>
      <c r="U10" s="74">
        <f t="shared" ca="1" si="0"/>
        <v>-1.4384094452565721E-2</v>
      </c>
      <c r="V10" s="98">
        <f ca="1">+INDEX(Charges_NonSlice!$Y$4:$Y$138,MATCH($A10,Charges_NonSlice!$AA$4:$AA$138,0),1)</f>
        <v>33.617894767090284</v>
      </c>
      <c r="W10" s="89">
        <f t="shared" ca="1" si="1"/>
        <v>34.108514866567738</v>
      </c>
      <c r="Y10" s="77" t="s">
        <v>63</v>
      </c>
      <c r="Z10" s="78">
        <v>37.441259951610803</v>
      </c>
    </row>
    <row r="11" spans="1:26">
      <c r="A11">
        <f t="shared" si="2"/>
        <v>7</v>
      </c>
      <c r="B11" s="82" t="str">
        <f ca="1">+INDEX('Charges_Including Slice and LS'!$C$4:$C$138,MATCH($A11,'Charges_Including Slice and LS'!$AA$4:$AA$138,0),1)</f>
        <v>Eugene Water &amp; Electric Board</v>
      </c>
      <c r="C11" s="422">
        <f ca="1">+INDEX('Charges_Including Slice and LS'!$Z$4:$Z$138,MATCH($A11,'Charges_Including Slice and LS'!$AA$4:$AA$138,0),1)</f>
        <v>1.2594102759841975E-2</v>
      </c>
      <c r="D11" s="60">
        <f ca="1">+INDEX('Charges_Including Slice and LS'!$Y$4:$Y$138,MATCH($A11,'Charges_Including Slice and LS'!$AA$4:$AA$138,0),1)</f>
        <v>37.635597466591086</v>
      </c>
      <c r="E11" s="80">
        <f ca="1">+INDEX('Charges_Including Slice and LS'!$X$4:$X$138,MATCH($A11,'Charges_Including Slice and LS'!$AA$4:$AA$138,0),1)/1000</f>
        <v>1988.3532710885959</v>
      </c>
      <c r="F11" s="80">
        <f ca="1">+SUM(E$5:E11)</f>
        <v>11635.803467639671</v>
      </c>
      <c r="H11" s="244" t="str">
        <f ca="1">+INDEX(Charges_NonSlice!$C$4:$C$138,MATCH($A11,Charges_NonSlice!$AA$4:$AA$138,0),1)</f>
        <v>Alder Mutual</v>
      </c>
      <c r="I11" s="74">
        <f ca="1">+INDEX(Charges_NonSlice!$Z$4:$Z$138,MATCH($A11,Charges_NonSlice!$AA$4:$AA$138,0),1)</f>
        <v>-2.8185372782102099E-2</v>
      </c>
      <c r="J11" s="98">
        <f ca="1">+INDEX(Charges_NonSlice!$Y$4:$Y$138,MATCH($A11,Charges_NonSlice!$AA$4:$AA$138,0),1)</f>
        <v>36.351996689486455</v>
      </c>
      <c r="K11" s="246">
        <f ca="1">+INDEX(Charges_NonSlice!$X$4:$X$138,MATCH($A11,Charges_NonSlice!$AA$4:$AA$138,0),1)/1000</f>
        <v>4.5814800000000009</v>
      </c>
      <c r="L11" s="80">
        <f ca="1">+SUM(K$5:K11)</f>
        <v>2487.7968037472187</v>
      </c>
      <c r="N11" s="244" t="str">
        <f ca="1">+INDEX('Charges_NonSlice &amp; Excl LS'!$C$4:$C$138,MATCH($A11,'Charges_NonSlice &amp; Excl LS'!$AA$4:$AA$138,0),1)</f>
        <v>Springfield Utility Board</v>
      </c>
      <c r="O11" s="74">
        <f ca="1">+INDEX('Charges_NonSlice &amp; Excl LS'!$Z$4:$Z$138,MATCH($A11,'Charges_NonSlice &amp; Excl LS'!$AA$4:$AA$138,0),1)</f>
        <v>-3.1290680299335336E-2</v>
      </c>
      <c r="P11" s="98">
        <f ca="1">+INDEX('Charges_NonSlice &amp; Excl LS'!$Y$4:$Y$138,MATCH($A11,'Charges_NonSlice &amp; Excl LS'!$AA$4:$AA$138,0),1)</f>
        <v>35.014564731319027</v>
      </c>
      <c r="Q11" s="246">
        <f ca="1">+INDEX('Charges_NonSlice &amp; Excl LS'!$X$4:$X$138,MATCH($A11,'Charges_NonSlice &amp; Excl LS'!$AA$4:$AA$138,0),1)/1000</f>
        <v>798.18198951632405</v>
      </c>
      <c r="R11" s="80">
        <f ca="1">+SUM(Q$5:Q11)</f>
        <v>1966.1592086629921</v>
      </c>
      <c r="T11" s="244" t="str">
        <f ca="1">+INDEX(Charges_NonSlice!$C$4:$C$138,MATCH($A11,Charges_NonSlice!$AA$4:$AA$138,0),1)</f>
        <v>Alder Mutual</v>
      </c>
      <c r="U11" s="74">
        <f t="shared" ca="1" si="0"/>
        <v>1.0310105506390999E-2</v>
      </c>
      <c r="V11" s="98">
        <f ca="1">+INDEX(Charges_NonSlice!$Y$4:$Y$138,MATCH($A11,Charges_NonSlice!$AA$4:$AA$138,0),1)</f>
        <v>36.351996689486455</v>
      </c>
      <c r="W11" s="89">
        <f t="shared" ca="1" si="1"/>
        <v>35.981028489530928</v>
      </c>
      <c r="Y11" s="77" t="s">
        <v>20</v>
      </c>
      <c r="Z11" s="78">
        <v>38.957941832899863</v>
      </c>
    </row>
    <row r="12" spans="1:26">
      <c r="A12">
        <f t="shared" si="2"/>
        <v>8</v>
      </c>
      <c r="B12" s="82" t="str">
        <f ca="1">+INDEX('Charges_Including Slice and LS'!$C$4:$C$138,MATCH($A12,'Charges_Including Slice and LS'!$AA$4:$AA$138,0),1)</f>
        <v>Grays Harbor PUD #1</v>
      </c>
      <c r="C12" s="422">
        <f ca="1">+INDEX('Charges_Including Slice and LS'!$Z$4:$Z$138,MATCH($A12,'Charges_Including Slice and LS'!$AA$4:$AA$138,0),1)</f>
        <v>1.237797909180249E-2</v>
      </c>
      <c r="D12" s="60">
        <f ca="1">+INDEX('Charges_Including Slice and LS'!$Y$4:$Y$138,MATCH($A12,'Charges_Including Slice and LS'!$AA$4:$AA$138,0),1)</f>
        <v>37.49533271920604</v>
      </c>
      <c r="E12" s="80">
        <f ca="1">+INDEX('Charges_Including Slice and LS'!$X$4:$X$138,MATCH($A12,'Charges_Including Slice and LS'!$AA$4:$AA$138,0),1)/1000</f>
        <v>1096.4717360893962</v>
      </c>
      <c r="F12" s="80">
        <f ca="1">+SUM(E$5:E12)</f>
        <v>12732.275203729067</v>
      </c>
      <c r="H12" s="244" t="str">
        <f ca="1">+INDEX(Charges_NonSlice!$C$4:$C$138,MATCH($A12,Charges_NonSlice!$AA$4:$AA$138,0),1)</f>
        <v>Coulee Dam, City of</v>
      </c>
      <c r="I12" s="74">
        <f ca="1">+INDEX(Charges_NonSlice!$Z$4:$Z$138,MATCH($A12,Charges_NonSlice!$AA$4:$AA$138,0),1)</f>
        <v>-2.943906940960396E-2</v>
      </c>
      <c r="J12" s="98">
        <f ca="1">+INDEX(Charges_NonSlice!$Y$4:$Y$138,MATCH($A12,Charges_NonSlice!$AA$4:$AA$138,0),1)</f>
        <v>38.606876910323493</v>
      </c>
      <c r="K12" s="246">
        <f ca="1">+INDEX(Charges_NonSlice!$X$4:$X$138,MATCH($A12,Charges_NonSlice!$AA$4:$AA$138,0),1)/1000</f>
        <v>16.889279999999999</v>
      </c>
      <c r="L12" s="80">
        <f ca="1">+SUM(K$5:K12)</f>
        <v>2504.6860837472186</v>
      </c>
      <c r="N12" s="244" t="str">
        <f ca="1">+INDEX('Charges_NonSlice &amp; Excl LS'!$C$4:$C$138,MATCH($A12,'Charges_NonSlice &amp; Excl LS'!$AA$4:$AA$138,0),1)</f>
        <v>Monmouth, City of</v>
      </c>
      <c r="O12" s="74">
        <f ca="1">+INDEX('Charges_NonSlice &amp; Excl LS'!$Z$4:$Z$138,MATCH($A12,'Charges_NonSlice &amp; Excl LS'!$AA$4:$AA$138,0),1)</f>
        <v>-3.1385844454885806E-2</v>
      </c>
      <c r="P12" s="98">
        <f ca="1">+INDEX('Charges_NonSlice &amp; Excl LS'!$Y$4:$Y$138,MATCH($A12,'Charges_NonSlice &amp; Excl LS'!$AA$4:$AA$138,0),1)</f>
        <v>36.250034582104533</v>
      </c>
      <c r="Q12" s="246">
        <f ca="1">+INDEX('Charges_NonSlice &amp; Excl LS'!$X$4:$X$138,MATCH($A12,'Charges_NonSlice &amp; Excl LS'!$AA$4:$AA$138,0),1)/1000</f>
        <v>69.886140882012</v>
      </c>
      <c r="R12" s="80">
        <f ca="1">+SUM(Q$5:Q12)</f>
        <v>2036.0453495450042</v>
      </c>
      <c r="T12" s="244" t="str">
        <f ca="1">+INDEX(Charges_NonSlice!$C$4:$C$138,MATCH($A12,Charges_NonSlice!$AA$4:$AA$138,0),1)</f>
        <v>Coulee Dam, City of</v>
      </c>
      <c r="U12" s="74">
        <f t="shared" ca="1" si="0"/>
        <v>6.3344871390197399E-2</v>
      </c>
      <c r="V12" s="98">
        <f ca="1">+INDEX(Charges_NonSlice!$Y$4:$Y$138,MATCH($A12,Charges_NonSlice!$AA$4:$AA$138,0),1)</f>
        <v>38.606876910323493</v>
      </c>
      <c r="W12" s="89">
        <f t="shared" ca="1" si="1"/>
        <v>36.307013791160315</v>
      </c>
      <c r="Y12" s="77" t="s">
        <v>22</v>
      </c>
      <c r="Z12" s="78">
        <v>36.267829123732355</v>
      </c>
    </row>
    <row r="13" spans="1:26">
      <c r="A13">
        <f t="shared" si="2"/>
        <v>9</v>
      </c>
      <c r="B13" s="82" t="str">
        <f ca="1">+INDEX('Charges_Including Slice and LS'!$C$4:$C$138,MATCH($A13,'Charges_Including Slice and LS'!$AA$4:$AA$138,0),1)</f>
        <v>U.S. Naval Submarine Base, Bangor</v>
      </c>
      <c r="C13" s="422">
        <f ca="1">+INDEX('Charges_Including Slice and LS'!$Z$4:$Z$138,MATCH($A13,'Charges_Including Slice and LS'!$AA$4:$AA$138,0),1)</f>
        <v>1.187354427024423E-2</v>
      </c>
      <c r="D13" s="60">
        <f ca="1">+INDEX('Charges_Including Slice and LS'!$Y$4:$Y$138,MATCH($A13,'Charges_Including Slice and LS'!$AA$4:$AA$138,0),1)</f>
        <v>37.065637100783171</v>
      </c>
      <c r="E13" s="80">
        <f ca="1">+INDEX('Charges_Including Slice and LS'!$X$4:$X$138,MATCH($A13,'Charges_Including Slice and LS'!$AA$4:$AA$138,0),1)/1000</f>
        <v>139.23965272931039</v>
      </c>
      <c r="F13" s="80">
        <f ca="1">+SUM(E$5:E13)</f>
        <v>12871.514856458378</v>
      </c>
      <c r="H13" s="244" t="str">
        <f ca="1">+INDEX(Charges_NonSlice!$C$4:$C$138,MATCH($A13,Charges_NonSlice!$AA$4:$AA$138,0),1)</f>
        <v>Ellensburg, City of</v>
      </c>
      <c r="I13" s="74">
        <f ca="1">+INDEX(Charges_NonSlice!$Z$4:$Z$138,MATCH($A13,Charges_NonSlice!$AA$4:$AA$138,0),1)</f>
        <v>-2.9635019090195176E-2</v>
      </c>
      <c r="J13" s="98">
        <f ca="1">+INDEX(Charges_NonSlice!$Y$4:$Y$138,MATCH($A13,Charges_NonSlice!$AA$4:$AA$138,0),1)</f>
        <v>36.640136244174251</v>
      </c>
      <c r="K13" s="246">
        <f ca="1">+INDEX(Charges_NonSlice!$X$4:$X$138,MATCH($A13,Charges_NonSlice!$AA$4:$AA$138,0),1)/1000</f>
        <v>195.38415625130995</v>
      </c>
      <c r="L13" s="80">
        <f ca="1">+SUM(K$5:K13)</f>
        <v>2700.0702399985285</v>
      </c>
      <c r="N13" s="244" t="str">
        <f ca="1">+INDEX('Charges_NonSlice &amp; Excl LS'!$C$4:$C$138,MATCH($A13,'Charges_NonSlice &amp; Excl LS'!$AA$4:$AA$138,0),1)</f>
        <v>Tillamook PUD #1</v>
      </c>
      <c r="O13" s="74">
        <f ca="1">+INDEX('Charges_NonSlice &amp; Excl LS'!$Z$4:$Z$138,MATCH($A13,'Charges_NonSlice &amp; Excl LS'!$AA$4:$AA$138,0),1)</f>
        <v>-3.1722764377740631E-2</v>
      </c>
      <c r="P13" s="98">
        <f ca="1">+INDEX('Charges_NonSlice &amp; Excl LS'!$Y$4:$Y$138,MATCH($A13,'Charges_NonSlice &amp; Excl LS'!$AA$4:$AA$138,0),1)</f>
        <v>35.060840453679113</v>
      </c>
      <c r="Q13" s="246">
        <f ca="1">+INDEX('Charges_NonSlice &amp; Excl LS'!$X$4:$X$138,MATCH($A13,'Charges_NonSlice &amp; Excl LS'!$AA$4:$AA$138,0),1)/1000</f>
        <v>468.18934540056006</v>
      </c>
      <c r="R13" s="80">
        <f ca="1">+SUM(Q$5:Q13)</f>
        <v>2504.2346949455641</v>
      </c>
      <c r="T13" s="244" t="str">
        <f ca="1">+INDEX(Charges_NonSlice!$C$4:$C$138,MATCH($A13,Charges_NonSlice!$AA$4:$AA$138,0),1)</f>
        <v>Ellensburg, City of</v>
      </c>
      <c r="U13" s="74">
        <f t="shared" ca="1" si="0"/>
        <v>-2.5223898910503251E-2</v>
      </c>
      <c r="V13" s="98">
        <f ca="1">+INDEX(Charges_NonSlice!$Y$4:$Y$138,MATCH($A13,Charges_NonSlice!$AA$4:$AA$138,0),1)</f>
        <v>36.640136244174251</v>
      </c>
      <c r="W13" s="89">
        <f t="shared" ca="1" si="1"/>
        <v>37.588258681375102</v>
      </c>
      <c r="Y13" s="77" t="s">
        <v>27</v>
      </c>
      <c r="Z13" s="78">
        <v>36.87958444727321</v>
      </c>
    </row>
    <row r="14" spans="1:26">
      <c r="A14">
        <f t="shared" si="2"/>
        <v>10</v>
      </c>
      <c r="B14" s="82" t="str">
        <f ca="1">+INDEX('Charges_Including Slice and LS'!$C$4:$C$138,MATCH($A14,'Charges_Including Slice and LS'!$AA$4:$AA$138,0),1)</f>
        <v>Emerald PUD</v>
      </c>
      <c r="C14" s="422">
        <f ca="1">+INDEX('Charges_Including Slice and LS'!$Z$4:$Z$138,MATCH($A14,'Charges_Including Slice and LS'!$AA$4:$AA$138,0),1)</f>
        <v>1.1793386622551137E-2</v>
      </c>
      <c r="D14" s="60">
        <f ca="1">+INDEX('Charges_Including Slice and LS'!$Y$4:$Y$138,MATCH($A14,'Charges_Including Slice and LS'!$AA$4:$AA$138,0),1)</f>
        <v>35.442116111657221</v>
      </c>
      <c r="E14" s="80">
        <f ca="1">+INDEX('Charges_Including Slice and LS'!$X$4:$X$138,MATCH($A14,'Charges_Including Slice and LS'!$AA$4:$AA$138,0),1)/1000</f>
        <v>417.4578213547826</v>
      </c>
      <c r="F14" s="80">
        <f ca="1">+SUM(E$5:E14)</f>
        <v>13288.972677813161</v>
      </c>
      <c r="H14" s="244" t="str">
        <f ca="1">+INDEX(Charges_NonSlice!$C$4:$C$138,MATCH($A14,Charges_NonSlice!$AA$4:$AA$138,0),1)</f>
        <v>Oregon Trail Coop</v>
      </c>
      <c r="I14" s="74">
        <f ca="1">+INDEX(Charges_NonSlice!$Z$4:$Z$138,MATCH($A14,Charges_NonSlice!$AA$4:$AA$138,0),1)</f>
        <v>-2.9897743761749102E-2</v>
      </c>
      <c r="J14" s="98">
        <f ca="1">+INDEX(Charges_NonSlice!$Y$4:$Y$138,MATCH($A14,Charges_NonSlice!$AA$4:$AA$138,0),1)</f>
        <v>34.155608416749253</v>
      </c>
      <c r="K14" s="246">
        <f ca="1">+INDEX(Charges_NonSlice!$X$4:$X$138,MATCH($A14,Charges_NonSlice!$AA$4:$AA$138,0),1)/1000</f>
        <v>630.3427898468309</v>
      </c>
      <c r="L14" s="80">
        <f ca="1">+SUM(K$5:K14)</f>
        <v>3330.4130298453592</v>
      </c>
      <c r="N14" s="244" t="str">
        <f ca="1">+INDEX('Charges_NonSlice &amp; Excl LS'!$C$4:$C$138,MATCH($A14,'Charges_NonSlice &amp; Excl LS'!$AA$4:$AA$138,0),1)</f>
        <v>Vera Irrigation District</v>
      </c>
      <c r="O14" s="74">
        <f ca="1">+INDEX('Charges_NonSlice &amp; Excl LS'!$Z$4:$Z$138,MATCH($A14,'Charges_NonSlice &amp; Excl LS'!$AA$4:$AA$138,0),1)</f>
        <v>-3.1738352948206011E-2</v>
      </c>
      <c r="P14" s="98">
        <f ca="1">+INDEX('Charges_NonSlice &amp; Excl LS'!$Y$4:$Y$138,MATCH($A14,'Charges_NonSlice &amp; Excl LS'!$AA$4:$AA$138,0),1)</f>
        <v>36.392228664985403</v>
      </c>
      <c r="Q14" s="246">
        <f ca="1">+INDEX('Charges_NonSlice &amp; Excl LS'!$X$4:$X$138,MATCH($A14,'Charges_NonSlice &amp; Excl LS'!$AA$4:$AA$138,0),1)/1000</f>
        <v>226.92489636221998</v>
      </c>
      <c r="R14" s="80">
        <f ca="1">+SUM(Q$5:Q14)</f>
        <v>2731.159591307784</v>
      </c>
      <c r="T14" s="244" t="str">
        <f ca="1">+INDEX(Charges_NonSlice!$C$4:$C$138,MATCH($A14,Charges_NonSlice!$AA$4:$AA$138,0),1)</f>
        <v>Oregon Trail Coop</v>
      </c>
      <c r="U14" s="74">
        <f t="shared" ca="1" si="0"/>
        <v>-3.7923038372329021E-2</v>
      </c>
      <c r="V14" s="98">
        <f ca="1">+INDEX(Charges_NonSlice!$Y$4:$Y$138,MATCH($A14,Charges_NonSlice!$AA$4:$AA$138,0),1)</f>
        <v>34.155608416749253</v>
      </c>
      <c r="W14" s="89">
        <f t="shared" ca="1" si="1"/>
        <v>35.501950237914187</v>
      </c>
      <c r="Y14" s="77" t="s">
        <v>31</v>
      </c>
      <c r="Z14" s="78">
        <v>38.932335073439567</v>
      </c>
    </row>
    <row r="15" spans="1:26">
      <c r="A15">
        <f t="shared" si="2"/>
        <v>11</v>
      </c>
      <c r="B15" s="82" t="str">
        <f ca="1">+INDEX('Charges_Including Slice and LS'!$C$4:$C$138,MATCH($A15,'Charges_Including Slice and LS'!$AA$4:$AA$138,0),1)</f>
        <v>Snohomish County PUD #1</v>
      </c>
      <c r="C15" s="422">
        <f ca="1">+INDEX('Charges_Including Slice and LS'!$Z$4:$Z$138,MATCH($A15,'Charges_Including Slice and LS'!$AA$4:$AA$138,0),1)</f>
        <v>1.0688621050383595E-2</v>
      </c>
      <c r="D15" s="60">
        <f ca="1">+INDEX('Charges_Including Slice and LS'!$Y$4:$Y$138,MATCH($A15,'Charges_Including Slice and LS'!$AA$4:$AA$138,0),1)</f>
        <v>37.485124873122707</v>
      </c>
      <c r="E15" s="80">
        <f ca="1">+INDEX('Charges_Including Slice and LS'!$X$4:$X$138,MATCH($A15,'Charges_Including Slice and LS'!$AA$4:$AA$138,0),1)/1000</f>
        <v>6182.6507245554121</v>
      </c>
      <c r="F15" s="80">
        <f ca="1">+SUM(E$5:E15)</f>
        <v>19471.623402368572</v>
      </c>
      <c r="H15" s="244" t="str">
        <f ca="1">+INDEX(Charges_NonSlice!$C$4:$C$138,MATCH($A15,Charges_NonSlice!$AA$4:$AA$138,0),1)</f>
        <v>Bonners Ferry, City of</v>
      </c>
      <c r="I15" s="74">
        <f ca="1">+INDEX(Charges_NonSlice!$Z$4:$Z$138,MATCH($A15,Charges_NonSlice!$AA$4:$AA$138,0),1)</f>
        <v>-3.0801807534179444E-2</v>
      </c>
      <c r="J15" s="98">
        <f ca="1">+INDEX(Charges_NonSlice!$Y$4:$Y$138,MATCH($A15,Charges_NonSlice!$AA$4:$AA$138,0),1)</f>
        <v>38.430074323585735</v>
      </c>
      <c r="K15" s="246">
        <f ca="1">+INDEX(Charges_NonSlice!$X$4:$X$138,MATCH($A15,Charges_NonSlice!$AA$4:$AA$138,0),1)/1000</f>
        <v>44.448239999999998</v>
      </c>
      <c r="L15" s="80">
        <f ca="1">+SUM(K$5:K15)</f>
        <v>3374.8612698453594</v>
      </c>
      <c r="N15" s="244" t="str">
        <f ca="1">+INDEX('Charges_NonSlice &amp; Excl LS'!$C$4:$C$138,MATCH($A15,'Charges_NonSlice &amp; Excl LS'!$AA$4:$AA$138,0),1)</f>
        <v>Elmhurst Mutual P &amp; L</v>
      </c>
      <c r="O15" s="74">
        <f ca="1">+INDEX('Charges_NonSlice &amp; Excl LS'!$Z$4:$Z$138,MATCH($A15,'Charges_NonSlice &amp; Excl LS'!$AA$4:$AA$138,0),1)</f>
        <v>-3.1951820603154373E-2</v>
      </c>
      <c r="P15" s="98">
        <f ca="1">+INDEX('Charges_NonSlice &amp; Excl LS'!$Y$4:$Y$138,MATCH($A15,'Charges_NonSlice &amp; Excl LS'!$AA$4:$AA$138,0),1)</f>
        <v>35.995067272041815</v>
      </c>
      <c r="Q15" s="246">
        <f ca="1">+INDEX('Charges_NonSlice &amp; Excl LS'!$X$4:$X$138,MATCH($A15,'Charges_NonSlice &amp; Excl LS'!$AA$4:$AA$138,0),1)/1000</f>
        <v>269.38885564508399</v>
      </c>
      <c r="R15" s="80">
        <f ca="1">+SUM(Q$5:Q15)</f>
        <v>3000.5484469528678</v>
      </c>
      <c r="T15" s="244" t="str">
        <f ca="1">+INDEX(Charges_NonSlice!$C$4:$C$138,MATCH($A15,Charges_NonSlice!$AA$4:$AA$138,0),1)</f>
        <v>Bonners Ferry, City of</v>
      </c>
      <c r="U15" s="74">
        <f t="shared" ca="1" si="0"/>
        <v>-1.354967650956207E-2</v>
      </c>
      <c r="V15" s="98">
        <f ca="1">+INDEX(Charges_NonSlice!$Y$4:$Y$138,MATCH($A15,Charges_NonSlice!$AA$4:$AA$138,0),1)</f>
        <v>38.430074323585735</v>
      </c>
      <c r="W15" s="89">
        <f t="shared" ca="1" si="1"/>
        <v>38.957941832899863</v>
      </c>
      <c r="Y15" s="77" t="s">
        <v>44</v>
      </c>
      <c r="Z15" s="78">
        <v>37.108615790825944</v>
      </c>
    </row>
    <row r="16" spans="1:26">
      <c r="A16">
        <f t="shared" si="2"/>
        <v>12</v>
      </c>
      <c r="B16" s="82" t="str">
        <f ca="1">+INDEX('Charges_Including Slice and LS'!$C$4:$C$138,MATCH($A16,'Charges_Including Slice and LS'!$AA$4:$AA$138,0),1)</f>
        <v>Benton County PUD #1</v>
      </c>
      <c r="C16" s="422">
        <f ca="1">+INDEX('Charges_Including Slice and LS'!$Z$4:$Z$138,MATCH($A16,'Charges_Including Slice and LS'!$AA$4:$AA$138,0),1)</f>
        <v>9.5518567228202039E-3</v>
      </c>
      <c r="D16" s="60">
        <f ca="1">+INDEX('Charges_Including Slice and LS'!$Y$4:$Y$138,MATCH($A16,'Charges_Including Slice and LS'!$AA$4:$AA$138,0),1)</f>
        <v>34.829568741955484</v>
      </c>
      <c r="E16" s="80">
        <f ca="1">+INDEX('Charges_Including Slice and LS'!$X$4:$X$138,MATCH($A16,'Charges_Including Slice and LS'!$AA$4:$AA$138,0),1)/1000</f>
        <v>1681.9288460379519</v>
      </c>
      <c r="F16" s="80">
        <f ca="1">+SUM(E$5:E16)</f>
        <v>21153.552248406522</v>
      </c>
      <c r="H16" s="244" t="str">
        <f ca="1">+INDEX(Charges_NonSlice!$C$4:$C$138,MATCH($A16,Charges_NonSlice!$AA$4:$AA$138,0),1)</f>
        <v>Whatcom County PUD #1</v>
      </c>
      <c r="I16" s="74">
        <f ca="1">+INDEX(Charges_NonSlice!$Z$4:$Z$138,MATCH($A16,Charges_NonSlice!$AA$4:$AA$138,0),1)</f>
        <v>-3.1439701984148395E-2</v>
      </c>
      <c r="J16" s="98">
        <f ca="1">+INDEX(Charges_NonSlice!$Y$4:$Y$138,MATCH($A16,Charges_NonSlice!$AA$4:$AA$138,0),1)</f>
        <v>35.976781240329252</v>
      </c>
      <c r="K16" s="246">
        <f ca="1">+INDEX(Charges_NonSlice!$X$4:$X$138,MATCH($A16,Charges_NonSlice!$AA$4:$AA$138,0),1)/1000</f>
        <v>216.53097446993593</v>
      </c>
      <c r="L16" s="80">
        <f ca="1">+SUM(K$5:K16)</f>
        <v>3591.3922443152951</v>
      </c>
      <c r="N16" s="244" t="str">
        <f ca="1">+INDEX('Charges_NonSlice &amp; Excl LS'!$C$4:$C$138,MATCH($A16,'Charges_NonSlice &amp; Excl LS'!$AA$4:$AA$138,0),1)</f>
        <v>Richland, City of</v>
      </c>
      <c r="O16" s="74">
        <f ca="1">+INDEX('Charges_NonSlice &amp; Excl LS'!$Z$4:$Z$138,MATCH($A16,'Charges_NonSlice &amp; Excl LS'!$AA$4:$AA$138,0),1)</f>
        <v>-3.2002113981960026E-2</v>
      </c>
      <c r="P16" s="98">
        <f ca="1">+INDEX('Charges_NonSlice &amp; Excl LS'!$Y$4:$Y$138,MATCH($A16,'Charges_NonSlice &amp; Excl LS'!$AA$4:$AA$138,0),1)</f>
        <v>35.863331544256191</v>
      </c>
      <c r="Q16" s="246">
        <f ca="1">+INDEX('Charges_NonSlice &amp; Excl LS'!$X$4:$X$138,MATCH($A16,'Charges_NonSlice &amp; Excl LS'!$AA$4:$AA$138,0),1)/1000</f>
        <v>867.84389047994409</v>
      </c>
      <c r="R16" s="80">
        <f ca="1">+SUM(Q$5:Q16)</f>
        <v>3868.3923374328119</v>
      </c>
      <c r="T16" s="244" t="str">
        <f ca="1">+INDEX(Charges_NonSlice!$C$4:$C$138,MATCH($A16,Charges_NonSlice!$AA$4:$AA$138,0),1)</f>
        <v>Whatcom County PUD #1</v>
      </c>
      <c r="U16" s="74">
        <f t="shared" ca="1" si="0"/>
        <v>1.770051818092111E-2</v>
      </c>
      <c r="V16" s="98">
        <f ca="1">+INDEX(Charges_NonSlice!$Y$4:$Y$138,MATCH($A16,Charges_NonSlice!$AA$4:$AA$138,0),1)</f>
        <v>35.976781240329252</v>
      </c>
      <c r="W16" s="89">
        <f t="shared" ca="1" si="1"/>
        <v>35.351049348619377</v>
      </c>
      <c r="Y16" s="77" t="s">
        <v>34</v>
      </c>
      <c r="Z16" s="78">
        <v>39.526588013542145</v>
      </c>
    </row>
    <row r="17" spans="1:26">
      <c r="A17">
        <f t="shared" si="2"/>
        <v>13</v>
      </c>
      <c r="B17" s="82" t="str">
        <f ca="1">+INDEX('Charges_Including Slice and LS'!$C$4:$C$138,MATCH($A17,'Charges_Including Slice and LS'!$AA$4:$AA$138,0),1)</f>
        <v>Clark County PUD #1</v>
      </c>
      <c r="C17" s="422">
        <f ca="1">+INDEX('Charges_Including Slice and LS'!$Z$4:$Z$138,MATCH($A17,'Charges_Including Slice and LS'!$AA$4:$AA$138,0),1)</f>
        <v>8.3376896391877606E-3</v>
      </c>
      <c r="D17" s="60">
        <f ca="1">+INDEX('Charges_Including Slice and LS'!$Y$4:$Y$138,MATCH($A17,'Charges_Including Slice and LS'!$AA$4:$AA$138,0),1)</f>
        <v>37.263443833618538</v>
      </c>
      <c r="E17" s="80">
        <f ca="1">+INDEX('Charges_Including Slice and LS'!$X$4:$X$138,MATCH($A17,'Charges_Including Slice and LS'!$AA$4:$AA$138,0),1)/1000</f>
        <v>2661.3932561416832</v>
      </c>
      <c r="F17" s="80">
        <f ca="1">+SUM(E$5:E17)</f>
        <v>23814.945504548206</v>
      </c>
      <c r="H17" s="244" t="str">
        <f ca="1">+INDEX(Charges_NonSlice!$C$4:$C$138,MATCH($A17,Charges_NonSlice!$AA$4:$AA$138,0),1)</f>
        <v>Seattle City Light</v>
      </c>
      <c r="I17" s="74">
        <f ca="1">+INDEX(Charges_NonSlice!$Z$4:$Z$138,MATCH($A17,Charges_NonSlice!$AA$4:$AA$138,0),1)</f>
        <v>-3.1688590808854881E-2</v>
      </c>
      <c r="J17" s="98">
        <f ca="1">+INDEX(Charges_NonSlice!$Y$4:$Y$138,MATCH($A17,Charges_NonSlice!$AA$4:$AA$138,0),1)</f>
        <v>36.342590015210085</v>
      </c>
      <c r="K17" s="246">
        <f ca="1">+INDEX(Charges_NonSlice!$X$4:$X$138,MATCH($A17,Charges_NonSlice!$AA$4:$AA$138,0),1)/1000</f>
        <v>3772.2927129691375</v>
      </c>
      <c r="L17" s="80">
        <f ca="1">+SUM(K$5:K17)</f>
        <v>7363.684957284433</v>
      </c>
      <c r="N17" s="244" t="str">
        <f ca="1">+INDEX('Charges_NonSlice &amp; Excl LS'!$C$4:$C$138,MATCH($A17,'Charges_NonSlice &amp; Excl LS'!$AA$4:$AA$138,0),1)</f>
        <v>Heyburn, City of</v>
      </c>
      <c r="O17" s="74">
        <f ca="1">+INDEX('Charges_NonSlice &amp; Excl LS'!$Z$4:$Z$138,MATCH($A17,'Charges_NonSlice &amp; Excl LS'!$AA$4:$AA$138,0),1)</f>
        <v>-3.2193959921274287E-2</v>
      </c>
      <c r="P17" s="98">
        <f ca="1">+INDEX('Charges_NonSlice &amp; Excl LS'!$Y$4:$Y$138,MATCH($A17,'Charges_NonSlice &amp; Excl LS'!$AA$4:$AA$138,0),1)</f>
        <v>35.101049012686083</v>
      </c>
      <c r="Q17" s="246">
        <f ca="1">+INDEX('Charges_NonSlice &amp; Excl LS'!$X$4:$X$138,MATCH($A17,'Charges_NonSlice &amp; Excl LS'!$AA$4:$AA$138,0),1)/1000</f>
        <v>40.251065351364005</v>
      </c>
      <c r="R17" s="80">
        <f ca="1">+SUM(Q$5:Q17)</f>
        <v>3908.643402784176</v>
      </c>
      <c r="T17" s="244" t="str">
        <f ca="1">+INDEX(Charges_NonSlice!$C$4:$C$138,MATCH($A17,Charges_NonSlice!$AA$4:$AA$138,0),1)</f>
        <v>Seattle City Light</v>
      </c>
      <c r="U17" s="74">
        <f t="shared" ca="1" si="0"/>
        <v>-1.9342574481701069E-2</v>
      </c>
      <c r="V17" s="98">
        <f ca="1">+INDEX(Charges_NonSlice!$Y$4:$Y$138,MATCH($A17,Charges_NonSlice!$AA$4:$AA$138,0),1)</f>
        <v>36.342590015210085</v>
      </c>
      <c r="W17" s="89">
        <f t="shared" ca="1" si="1"/>
        <v>37.059414500432943</v>
      </c>
      <c r="Y17" s="77" t="s">
        <v>86</v>
      </c>
      <c r="Z17" s="78">
        <v>35.156233113925488</v>
      </c>
    </row>
    <row r="18" spans="1:26">
      <c r="A18">
        <f t="shared" si="2"/>
        <v>14</v>
      </c>
      <c r="B18" s="82" t="str">
        <f ca="1">+INDEX('Charges_Including Slice and LS'!$C$4:$C$138,MATCH($A18,'Charges_Including Slice and LS'!$AA$4:$AA$138,0),1)</f>
        <v>Franklin County PUD #1</v>
      </c>
      <c r="C18" s="74">
        <f ca="1">+INDEX('Charges_Including Slice and LS'!$Z$4:$Z$138,MATCH($A18,'Charges_Including Slice and LS'!$AA$4:$AA$138,0),1)</f>
        <v>8.29512628724508E-3</v>
      </c>
      <c r="D18" s="60">
        <f ca="1">+INDEX('Charges_Including Slice and LS'!$Y$4:$Y$138,MATCH($A18,'Charges_Including Slice and LS'!$AA$4:$AA$138,0),1)</f>
        <v>35.884489671853167</v>
      </c>
      <c r="E18" s="80">
        <f ca="1">+INDEX('Charges_Including Slice and LS'!$X$4:$X$138,MATCH($A18,'Charges_Including Slice and LS'!$AA$4:$AA$138,0),1)/1000</f>
        <v>980.61197016259348</v>
      </c>
      <c r="F18" s="80">
        <f ca="1">+SUM(E$5:E18)</f>
        <v>24795.5574747108</v>
      </c>
      <c r="H18" s="244" t="str">
        <f ca="1">+INDEX(Charges_NonSlice!$C$4:$C$138,MATCH($A18,Charges_NonSlice!$AA$4:$AA$138,0),1)</f>
        <v>Tillamook PUD #1</v>
      </c>
      <c r="I18" s="74">
        <f ca="1">+INDEX(Charges_NonSlice!$Z$4:$Z$138,MATCH($A18,Charges_NonSlice!$AA$4:$AA$138,0),1)</f>
        <v>-3.1790747586474703E-2</v>
      </c>
      <c r="J18" s="98">
        <f ca="1">+INDEX(Charges_NonSlice!$Y$4:$Y$138,MATCH($A18,Charges_NonSlice!$AA$4:$AA$138,0),1)</f>
        <v>35.561342296592805</v>
      </c>
      <c r="K18" s="246">
        <f ca="1">+INDEX(Charges_NonSlice!$X$4:$X$138,MATCH($A18,Charges_NonSlice!$AA$4:$AA$138,0),1)/1000</f>
        <v>464.16254394990966</v>
      </c>
      <c r="L18" s="80">
        <f ca="1">+SUM(K$5:K18)</f>
        <v>7827.8475012343424</v>
      </c>
      <c r="N18" s="244" t="str">
        <f ca="1">+INDEX('Charges_NonSlice &amp; Excl LS'!$C$4:$C$138,MATCH($A18,'Charges_NonSlice &amp; Excl LS'!$AA$4:$AA$138,0),1)</f>
        <v>Steilacoom, Town of</v>
      </c>
      <c r="O18" s="74">
        <f ca="1">+INDEX('Charges_NonSlice &amp; Excl LS'!$Z$4:$Z$138,MATCH($A18,'Charges_NonSlice &amp; Excl LS'!$AA$4:$AA$138,0),1)</f>
        <v>-3.2245692989725627E-2</v>
      </c>
      <c r="P18" s="98">
        <f ca="1">+INDEX('Charges_NonSlice &amp; Excl LS'!$Y$4:$Y$138,MATCH($A18,'Charges_NonSlice &amp; Excl LS'!$AA$4:$AA$138,0),1)</f>
        <v>36.156024883336393</v>
      </c>
      <c r="Q18" s="246">
        <f ca="1">+INDEX('Charges_NonSlice &amp; Excl LS'!$X$4:$X$138,MATCH($A18,'Charges_NonSlice &amp; Excl LS'!$AA$4:$AA$138,0),1)/1000</f>
        <v>39.832090767000004</v>
      </c>
      <c r="R18" s="80">
        <f ca="1">+SUM(Q$5:Q18)</f>
        <v>3948.475493551176</v>
      </c>
      <c r="T18" s="244" t="str">
        <f ca="1">+INDEX(Charges_NonSlice!$C$4:$C$138,MATCH($A18,Charges_NonSlice!$AA$4:$AA$138,0),1)</f>
        <v>Tillamook PUD #1</v>
      </c>
      <c r="U18" s="74">
        <f t="shared" ca="1" si="0"/>
        <v>-3.9377338733919354E-2</v>
      </c>
      <c r="V18" s="98">
        <f ca="1">+INDEX(Charges_NonSlice!$Y$4:$Y$138,MATCH($A18,Charges_NonSlice!$AA$4:$AA$138,0),1)</f>
        <v>35.561342296592805</v>
      </c>
      <c r="W18" s="89">
        <f t="shared" ca="1" si="1"/>
        <v>37.019054130706948</v>
      </c>
      <c r="Y18" s="77" t="s">
        <v>30</v>
      </c>
      <c r="Z18" s="78">
        <v>36.413474960981141</v>
      </c>
    </row>
    <row r="19" spans="1:26">
      <c r="A19">
        <f t="shared" si="2"/>
        <v>15</v>
      </c>
      <c r="B19" s="82" t="str">
        <f ca="1">+INDEX('Charges_Including Slice and LS'!$C$4:$C$138,MATCH($A19,'Charges_Including Slice and LS'!$AA$4:$AA$138,0),1)</f>
        <v>Mason County PUD #1</v>
      </c>
      <c r="C19" s="74">
        <f ca="1">+INDEX('Charges_Including Slice and LS'!$Z$4:$Z$138,MATCH($A19,'Charges_Including Slice and LS'!$AA$4:$AA$138,0),1)</f>
        <v>-1.3639166890907896E-2</v>
      </c>
      <c r="D19" s="60">
        <f ca="1">+INDEX('Charges_Including Slice and LS'!$Y$4:$Y$138,MATCH($A19,'Charges_Including Slice and LS'!$AA$4:$AA$138,0),1)</f>
        <v>36.33347745078165</v>
      </c>
      <c r="E19" s="80">
        <f ca="1">+INDEX('Charges_Including Slice and LS'!$X$4:$X$138,MATCH($A19,'Charges_Including Slice and LS'!$AA$4:$AA$138,0),1)/1000</f>
        <v>67.658328841524465</v>
      </c>
      <c r="F19" s="80">
        <f ca="1">+SUM(E$5:E19)</f>
        <v>24863.215803552324</v>
      </c>
      <c r="H19" s="244" t="str">
        <f ca="1">+INDEX(Charges_NonSlice!$C$4:$C$138,MATCH($A19,Charges_NonSlice!$AA$4:$AA$138,0),1)</f>
        <v>Heyburn, City of</v>
      </c>
      <c r="I19" s="74">
        <f ca="1">+INDEX(Charges_NonSlice!$Z$4:$Z$138,MATCH($A19,Charges_NonSlice!$AA$4:$AA$138,0),1)</f>
        <v>-3.2015103246057171E-2</v>
      </c>
      <c r="J19" s="98">
        <f ca="1">+INDEX(Charges_NonSlice!$Y$4:$Y$138,MATCH($A19,Charges_NonSlice!$AA$4:$AA$138,0),1)</f>
        <v>35.492207912911361</v>
      </c>
      <c r="K19" s="246">
        <f ca="1">+INDEX(Charges_NonSlice!$X$4:$X$138,MATCH($A19,Charges_NonSlice!$AA$4:$AA$138,0),1)/1000</f>
        <v>40.114057059016048</v>
      </c>
      <c r="L19" s="80">
        <f ca="1">+SUM(K$5:K19)</f>
        <v>7867.9615582933584</v>
      </c>
      <c r="N19" s="244" t="str">
        <f ca="1">+INDEX('Charges_NonSlice &amp; Excl LS'!$C$4:$C$138,MATCH($A19,'Charges_NonSlice &amp; Excl LS'!$AA$4:$AA$138,0),1)</f>
        <v>Mason County PUD #3</v>
      </c>
      <c r="O19" s="74">
        <f ca="1">+INDEX('Charges_NonSlice &amp; Excl LS'!$Z$4:$Z$138,MATCH($A19,'Charges_NonSlice &amp; Excl LS'!$AA$4:$AA$138,0),1)</f>
        <v>-3.2250034764702951E-2</v>
      </c>
      <c r="P19" s="98">
        <f ca="1">+INDEX('Charges_NonSlice &amp; Excl LS'!$Y$4:$Y$138,MATCH($A19,'Charges_NonSlice &amp; Excl LS'!$AA$4:$AA$138,0),1)</f>
        <v>34.038734697363616</v>
      </c>
      <c r="Q19" s="246">
        <f ca="1">+INDEX('Charges_NonSlice &amp; Excl LS'!$X$4:$X$138,MATCH($A19,'Charges_NonSlice &amp; Excl LS'!$AA$4:$AA$138,0),1)/1000</f>
        <v>667.89859693057201</v>
      </c>
      <c r="R19" s="80">
        <f ca="1">+SUM(Q$5:Q19)</f>
        <v>4616.3740904817478</v>
      </c>
      <c r="T19" s="244" t="str">
        <f ca="1">+INDEX(Charges_NonSlice!$C$4:$C$138,MATCH($A19,Charges_NonSlice!$AA$4:$AA$138,0),1)</f>
        <v>Heyburn, City of</v>
      </c>
      <c r="U19" s="74">
        <f t="shared" ca="1" si="0"/>
        <v>-2.530016838703153E-2</v>
      </c>
      <c r="V19" s="98">
        <f ca="1">+INDEX(Charges_NonSlice!$Y$4:$Y$138,MATCH($A19,Charges_NonSlice!$AA$4:$AA$138,0),1)</f>
        <v>35.492207912911361</v>
      </c>
      <c r="W19" s="89">
        <f t="shared" ca="1" si="1"/>
        <v>36.413474960981141</v>
      </c>
      <c r="Y19" s="77" t="s">
        <v>7</v>
      </c>
      <c r="Z19" s="78">
        <v>35.981028489530928</v>
      </c>
    </row>
    <row r="20" spans="1:26">
      <c r="A20">
        <f t="shared" si="2"/>
        <v>16</v>
      </c>
      <c r="B20" s="82" t="str">
        <f ca="1">+INDEX('Charges_Including Slice and LS'!$C$4:$C$138,MATCH($A20,'Charges_Including Slice and LS'!$AA$4:$AA$138,0),1)</f>
        <v>U.S. Naval Base,  Bremerton</v>
      </c>
      <c r="C20" s="74">
        <f ca="1">+INDEX('Charges_Including Slice and LS'!$Z$4:$Z$138,MATCH($A20,'Charges_Including Slice and LS'!$AA$4:$AA$138,0),1)</f>
        <v>-1.4059773285001631E-2</v>
      </c>
      <c r="D20" s="60">
        <f ca="1">+INDEX('Charges_Including Slice and LS'!$Y$4:$Y$138,MATCH($A20,'Charges_Including Slice and LS'!$AA$4:$AA$138,0),1)</f>
        <v>36.115651081055866</v>
      </c>
      <c r="E20" s="80">
        <f ca="1">+INDEX('Charges_Including Slice and LS'!$X$4:$X$138,MATCH($A20,'Charges_Including Slice and LS'!$AA$4:$AA$138,0),1)/1000</f>
        <v>217.09490702000886</v>
      </c>
      <c r="F20" s="80">
        <f ca="1">+SUM(E$5:E20)</f>
        <v>25080.310710572332</v>
      </c>
      <c r="H20" s="244" t="str">
        <f ca="1">+INDEX(Charges_NonSlice!$C$4:$C$138,MATCH($A20,Charges_NonSlice!$AA$4:$AA$138,0),1)</f>
        <v>Central Lincoln PUD</v>
      </c>
      <c r="I20" s="74">
        <f ca="1">+INDEX(Charges_NonSlice!$Z$4:$Z$138,MATCH($A20,Charges_NonSlice!$AA$4:$AA$138,0),1)</f>
        <v>-3.2091439031352885E-2</v>
      </c>
      <c r="J20" s="98">
        <f ca="1">+INDEX(Charges_NonSlice!$Y$4:$Y$138,MATCH($A20,Charges_NonSlice!$AA$4:$AA$138,0),1)</f>
        <v>35.171943562457294</v>
      </c>
      <c r="K20" s="246">
        <f ca="1">+INDEX(Charges_NonSlice!$X$4:$X$138,MATCH($A20,Charges_NonSlice!$AA$4:$AA$138,0),1)/1000</f>
        <v>1277.1779339703951</v>
      </c>
      <c r="L20" s="80">
        <f ca="1">+SUM(K$5:K20)</f>
        <v>9145.1394922637537</v>
      </c>
      <c r="N20" s="244" t="str">
        <f ca="1">+INDEX('Charges_NonSlice &amp; Excl LS'!$C$4:$C$138,MATCH($A20,'Charges_NonSlice &amp; Excl LS'!$AA$4:$AA$138,0),1)</f>
        <v>Umatilla Elec Coop</v>
      </c>
      <c r="O20" s="74">
        <f ca="1">+INDEX('Charges_NonSlice &amp; Excl LS'!$Z$4:$Z$138,MATCH($A20,'Charges_NonSlice &amp; Excl LS'!$AA$4:$AA$138,0),1)</f>
        <v>-3.2351599985998208E-2</v>
      </c>
      <c r="P20" s="98">
        <f ca="1">+INDEX('Charges_NonSlice &amp; Excl LS'!$Y$4:$Y$138,MATCH($A20,'Charges_NonSlice &amp; Excl LS'!$AA$4:$AA$138,0),1)</f>
        <v>27.820355368237202</v>
      </c>
      <c r="Q20" s="246">
        <f ca="1">+INDEX('Charges_NonSlice &amp; Excl LS'!$X$4:$X$138,MATCH($A20,'Charges_NonSlice &amp; Excl LS'!$AA$4:$AA$138,0),1)/1000</f>
        <v>946.11542409971992</v>
      </c>
      <c r="R20" s="80">
        <f ca="1">+SUM(Q$5:Q20)</f>
        <v>5562.489514581468</v>
      </c>
      <c r="T20" s="244" t="str">
        <f ca="1">+INDEX(Charges_NonSlice!$C$4:$C$138,MATCH($A20,Charges_NonSlice!$AA$4:$AA$138,0),1)</f>
        <v>Central Lincoln PUD</v>
      </c>
      <c r="U20" s="74">
        <f t="shared" ca="1" si="0"/>
        <v>-2.9688988999710508E-2</v>
      </c>
      <c r="V20" s="98">
        <f ca="1">+INDEX(Charges_NonSlice!$Y$4:$Y$138,MATCH($A20,Charges_NonSlice!$AA$4:$AA$138,0),1)</f>
        <v>35.171943562457294</v>
      </c>
      <c r="W20" s="89">
        <f t="shared" ca="1" si="1"/>
        <v>36.248113402525121</v>
      </c>
      <c r="Y20" s="77" t="s">
        <v>55</v>
      </c>
      <c r="Z20" s="78">
        <v>34.756368692522855</v>
      </c>
    </row>
    <row r="21" spans="1:26">
      <c r="A21">
        <f t="shared" si="2"/>
        <v>17</v>
      </c>
      <c r="B21" s="82" t="str">
        <f ca="1">+INDEX('Charges_Including Slice and LS'!$C$4:$C$138,MATCH($A21,'Charges_Including Slice and LS'!$AA$4:$AA$138,0),1)</f>
        <v>Mission Valley</v>
      </c>
      <c r="C21" s="74">
        <f ca="1">+INDEX('Charges_Including Slice and LS'!$Z$4:$Z$138,MATCH($A21,'Charges_Including Slice and LS'!$AA$4:$AA$138,0),1)</f>
        <v>-2.6372349876097198E-2</v>
      </c>
      <c r="D21" s="60">
        <f ca="1">+INDEX('Charges_Including Slice and LS'!$Y$4:$Y$138,MATCH($A21,'Charges_Including Slice and LS'!$AA$4:$AA$138,0),1)</f>
        <v>35.174978044302691</v>
      </c>
      <c r="E21" s="80">
        <f ca="1">+INDEX('Charges_Including Slice and LS'!$X$4:$X$138,MATCH($A21,'Charges_Including Slice and LS'!$AA$4:$AA$138,0),1)/1000</f>
        <v>314.30395122248666</v>
      </c>
      <c r="F21" s="80">
        <f ca="1">+SUM(E$5:E21)</f>
        <v>25394.614661794818</v>
      </c>
      <c r="H21" s="244" t="str">
        <f ca="1">+INDEX(Charges_NonSlice!$C$4:$C$138,MATCH($A21,Charges_NonSlice!$AA$4:$AA$138,0),1)</f>
        <v>Blaine, City of</v>
      </c>
      <c r="I21" s="74">
        <f ca="1">+INDEX(Charges_NonSlice!$Z$4:$Z$138,MATCH($A21,Charges_NonSlice!$AA$4:$AA$138,0),1)</f>
        <v>-3.236073797304017E-2</v>
      </c>
      <c r="J21" s="98">
        <f ca="1">+INDEX(Charges_NonSlice!$Y$4:$Y$138,MATCH($A21,Charges_NonSlice!$AA$4:$AA$138,0),1)</f>
        <v>36.654204373547877</v>
      </c>
      <c r="K21" s="246">
        <f ca="1">+INDEX(Charges_NonSlice!$X$4:$X$138,MATCH($A21,Charges_NonSlice!$AA$4:$AA$138,0),1)/1000</f>
        <v>71.873107738588743</v>
      </c>
      <c r="L21" s="80">
        <f ca="1">+SUM(K$5:K21)</f>
        <v>9217.0126000023429</v>
      </c>
      <c r="N21" s="244" t="str">
        <f ca="1">+INDEX('Charges_NonSlice &amp; Excl LS'!$C$4:$C$138,MATCH($A21,'Charges_NonSlice &amp; Excl LS'!$AA$4:$AA$138,0),1)</f>
        <v>United Electric Coop</v>
      </c>
      <c r="O21" s="74">
        <f ca="1">+INDEX('Charges_NonSlice &amp; Excl LS'!$Z$4:$Z$138,MATCH($A21,'Charges_NonSlice &amp; Excl LS'!$AA$4:$AA$138,0),1)</f>
        <v>-3.2393086540806679E-2</v>
      </c>
      <c r="P21" s="98">
        <f ca="1">+INDEX('Charges_NonSlice &amp; Excl LS'!$Y$4:$Y$138,MATCH($A21,'Charges_NonSlice &amp; Excl LS'!$AA$4:$AA$138,0),1)</f>
        <v>32.389336405432971</v>
      </c>
      <c r="Q21" s="246">
        <f ca="1">+INDEX('Charges_NonSlice &amp; Excl LS'!$X$4:$X$138,MATCH($A21,'Charges_NonSlice &amp; Excl LS'!$AA$4:$AA$138,0),1)/1000</f>
        <v>250.493691995316</v>
      </c>
      <c r="R21" s="80">
        <f ca="1">+SUM(Q$5:Q21)</f>
        <v>5812.9832065767841</v>
      </c>
      <c r="T21" s="244" t="str">
        <f ca="1">+INDEX(Charges_NonSlice!$C$4:$C$138,MATCH($A21,Charges_NonSlice!$AA$4:$AA$138,0),1)</f>
        <v>Blaine, City of</v>
      </c>
      <c r="U21" s="74">
        <f t="shared" ca="1" si="0"/>
        <v>-1.0424311018219612E-2</v>
      </c>
      <c r="V21" s="98">
        <f ca="1">+INDEX(Charges_NonSlice!$Y$4:$Y$138,MATCH($A21,Charges_NonSlice!$AA$4:$AA$138,0),1)</f>
        <v>36.654204373547877</v>
      </c>
      <c r="W21" s="89">
        <f t="shared" ca="1" si="1"/>
        <v>37.040324233574353</v>
      </c>
      <c r="Y21" s="77" t="s">
        <v>108</v>
      </c>
      <c r="Z21" s="78">
        <v>37.528066147403543</v>
      </c>
    </row>
    <row r="22" spans="1:26">
      <c r="A22">
        <f t="shared" si="2"/>
        <v>18</v>
      </c>
      <c r="B22" s="82" t="str">
        <f ca="1">+INDEX('Charges_Including Slice and LS'!$C$4:$C$138,MATCH($A22,'Charges_Including Slice and LS'!$AA$4:$AA$138,0),1)</f>
        <v>Flathead Elec Coop</v>
      </c>
      <c r="C22" s="74">
        <f ca="1">+INDEX('Charges_Including Slice and LS'!$Z$4:$Z$138,MATCH($A22,'Charges_Including Slice and LS'!$AA$4:$AA$138,0),1)</f>
        <v>-2.7515906824506452E-2</v>
      </c>
      <c r="D22" s="60">
        <f ca="1">+INDEX('Charges_Including Slice and LS'!$Y$4:$Y$138,MATCH($A22,'Charges_Including Slice and LS'!$AA$4:$AA$138,0),1)</f>
        <v>38.334217046208067</v>
      </c>
      <c r="E22" s="80">
        <f ca="1">+INDEX('Charges_Including Slice and LS'!$X$4:$X$138,MATCH($A22,'Charges_Including Slice and LS'!$AA$4:$AA$138,0),1)/1000</f>
        <v>1361.2742643087881</v>
      </c>
      <c r="F22" s="80">
        <f ca="1">+SUM(E$5:E22)</f>
        <v>26755.888926103606</v>
      </c>
      <c r="H22" s="244" t="str">
        <f ca="1">+INDEX(Charges_NonSlice!$C$4:$C$138,MATCH($A22,Charges_NonSlice!$AA$4:$AA$138,0),1)</f>
        <v>Elmhurst Mutual P &amp; L</v>
      </c>
      <c r="I22" s="74">
        <f ca="1">+INDEX(Charges_NonSlice!$Z$4:$Z$138,MATCH($A22,Charges_NonSlice!$AA$4:$AA$138,0),1)</f>
        <v>-3.2366354761470768E-2</v>
      </c>
      <c r="J22" s="98">
        <f ca="1">+INDEX(Charges_NonSlice!$Y$4:$Y$138,MATCH($A22,Charges_NonSlice!$AA$4:$AA$138,0),1)</f>
        <v>36.770262237413711</v>
      </c>
      <c r="K22" s="246">
        <f ca="1">+INDEX(Charges_NonSlice!$X$4:$X$138,MATCH($A22,Charges_NonSlice!$AA$4:$AA$138,0),1)/1000</f>
        <v>269.38751999999999</v>
      </c>
      <c r="L22" s="80">
        <f ca="1">+SUM(K$5:K22)</f>
        <v>9486.4001200023431</v>
      </c>
      <c r="N22" s="244" t="str">
        <f ca="1">+INDEX('Charges_NonSlice &amp; Excl LS'!$C$4:$C$138,MATCH($A22,'Charges_NonSlice &amp; Excl LS'!$AA$4:$AA$138,0),1)</f>
        <v>Canby, City of</v>
      </c>
      <c r="O22" s="74">
        <f ca="1">+INDEX('Charges_NonSlice &amp; Excl LS'!$Z$4:$Z$138,MATCH($A22,'Charges_NonSlice &amp; Excl LS'!$AA$4:$AA$138,0),1)</f>
        <v>-3.2402263220134349E-2</v>
      </c>
      <c r="P22" s="98">
        <f ca="1">+INDEX('Charges_NonSlice &amp; Excl LS'!$Y$4:$Y$138,MATCH($A22,'Charges_NonSlice &amp; Excl LS'!$AA$4:$AA$138,0),1)</f>
        <v>35.892832700350048</v>
      </c>
      <c r="Q22" s="246">
        <f ca="1">+INDEX('Charges_NonSlice &amp; Excl LS'!$X$4:$X$138,MATCH($A22,'Charges_NonSlice &amp; Excl LS'!$AA$4:$AA$138,0),1)/1000</f>
        <v>169.70831086935601</v>
      </c>
      <c r="R22" s="80">
        <f ca="1">+SUM(Q$5:Q22)</f>
        <v>5982.6915174461401</v>
      </c>
      <c r="T22" s="244" t="str">
        <f ca="1">+INDEX(Charges_NonSlice!$C$4:$C$138,MATCH($A22,Charges_NonSlice!$AA$4:$AA$138,0),1)</f>
        <v>Elmhurst Mutual P &amp; L</v>
      </c>
      <c r="U22" s="74">
        <f t="shared" ca="1" si="0"/>
        <v>-4.1677155480655426E-2</v>
      </c>
      <c r="V22" s="98">
        <f ca="1">+INDEX(Charges_NonSlice!$Y$4:$Y$138,MATCH($A22,Charges_NonSlice!$AA$4:$AA$138,0),1)</f>
        <v>36.770262237413711</v>
      </c>
      <c r="W22" s="89">
        <f t="shared" ca="1" si="1"/>
        <v>38.369389238400309</v>
      </c>
      <c r="Y22" s="77" t="s">
        <v>17</v>
      </c>
      <c r="Z22" s="78">
        <v>37.227188176153611</v>
      </c>
    </row>
    <row r="23" spans="1:26">
      <c r="A23">
        <f t="shared" si="2"/>
        <v>19</v>
      </c>
      <c r="B23" s="82" t="str">
        <f ca="1">+INDEX('Charges_Including Slice and LS'!$C$4:$C$138,MATCH($A23,'Charges_Including Slice and LS'!$AA$4:$AA$138,0),1)</f>
        <v>Okanogan County PUD #1</v>
      </c>
      <c r="C23" s="74">
        <f ca="1">+INDEX('Charges_Including Slice and LS'!$Z$4:$Z$138,MATCH($A23,'Charges_Including Slice and LS'!$AA$4:$AA$138,0),1)</f>
        <v>-2.7852483515440403E-2</v>
      </c>
      <c r="D23" s="60">
        <f ca="1">+INDEX('Charges_Including Slice and LS'!$Y$4:$Y$138,MATCH($A23,'Charges_Including Slice and LS'!$AA$4:$AA$138,0),1)</f>
        <v>33.617894767090284</v>
      </c>
      <c r="E23" s="80">
        <f ca="1">+INDEX('Charges_Including Slice and LS'!$X$4:$X$138,MATCH($A23,'Charges_Including Slice and LS'!$AA$4:$AA$138,0),1)/1000</f>
        <v>383.6442196251005</v>
      </c>
      <c r="F23" s="80">
        <f ca="1">+SUM(E$5:E23)</f>
        <v>27139.533145728707</v>
      </c>
      <c r="H23" s="244" t="str">
        <f ca="1">+INDEX(Charges_NonSlice!$C$4:$C$138,MATCH($A23,Charges_NonSlice!$AA$4:$AA$138,0),1)</f>
        <v>Asotin County PUD #1</v>
      </c>
      <c r="I23" s="74">
        <f ca="1">+INDEX(Charges_NonSlice!$Z$4:$Z$138,MATCH($A23,Charges_NonSlice!$AA$4:$AA$138,0),1)</f>
        <v>-3.2686936809877325E-2</v>
      </c>
      <c r="J23" s="98">
        <f ca="1">+INDEX(Charges_NonSlice!$Y$4:$Y$138,MATCH($A23,Charges_NonSlice!$AA$4:$AA$138,0),1)</f>
        <v>38.493275178701829</v>
      </c>
      <c r="K23" s="246">
        <f ca="1">+INDEX(Charges_NonSlice!$X$4:$X$138,MATCH($A23,Charges_NonSlice!$AA$4:$AA$138,0),1)/1000</f>
        <v>4.7917200000000006</v>
      </c>
      <c r="L23" s="80">
        <f ca="1">+SUM(K$5:K23)</f>
        <v>9491.1918400023424</v>
      </c>
      <c r="N23" s="244" t="str">
        <f ca="1">+INDEX('Charges_NonSlice &amp; Excl LS'!$C$4:$C$138,MATCH($A23,'Charges_NonSlice &amp; Excl LS'!$AA$4:$AA$138,0),1)</f>
        <v>Rupert, City of</v>
      </c>
      <c r="O23" s="74">
        <f ca="1">+INDEX('Charges_NonSlice &amp; Excl LS'!$Z$4:$Z$138,MATCH($A23,'Charges_NonSlice &amp; Excl LS'!$AA$4:$AA$138,0),1)</f>
        <v>-3.248453647964869E-2</v>
      </c>
      <c r="P23" s="98">
        <f ca="1">+INDEX('Charges_NonSlice &amp; Excl LS'!$Y$4:$Y$138,MATCH($A23,'Charges_NonSlice &amp; Excl LS'!$AA$4:$AA$138,0),1)</f>
        <v>36.243098217212939</v>
      </c>
      <c r="Q23" s="246">
        <f ca="1">+INDEX('Charges_NonSlice &amp; Excl LS'!$X$4:$X$138,MATCH($A23,'Charges_NonSlice &amp; Excl LS'!$AA$4:$AA$138,0),1)/1000</f>
        <v>78.737716608012008</v>
      </c>
      <c r="R23" s="80">
        <f ca="1">+SUM(Q$5:Q23)</f>
        <v>6061.4292340541524</v>
      </c>
      <c r="T23" s="244" t="str">
        <f ca="1">+INDEX(Charges_NonSlice!$C$4:$C$138,MATCH($A23,Charges_NonSlice!$AA$4:$AA$138,0),1)</f>
        <v>Asotin County PUD #1</v>
      </c>
      <c r="U23" s="74">
        <f t="shared" ca="1" si="0"/>
        <v>-6.1523936884604558E-2</v>
      </c>
      <c r="V23" s="98">
        <f ca="1">+INDEX(Charges_NonSlice!$Y$4:$Y$138,MATCH($A23,Charges_NonSlice!$AA$4:$AA$138,0),1)</f>
        <v>38.493275178701829</v>
      </c>
      <c r="W23" s="89">
        <f t="shared" ca="1" si="1"/>
        <v>41.016789550197274</v>
      </c>
      <c r="Y23" s="77" t="s">
        <v>80</v>
      </c>
      <c r="Z23" s="78">
        <v>37.099189145863178</v>
      </c>
    </row>
    <row r="24" spans="1:26">
      <c r="A24">
        <f t="shared" si="2"/>
        <v>20</v>
      </c>
      <c r="B24" s="82" t="str">
        <f ca="1">+INDEX('Charges_Including Slice and LS'!$C$4:$C$138,MATCH($A24,'Charges_Including Slice and LS'!$AA$4:$AA$138,0),1)</f>
        <v>Alder Mutual</v>
      </c>
      <c r="C24" s="74">
        <f ca="1">+INDEX('Charges_Including Slice and LS'!$Z$4:$Z$138,MATCH($A24,'Charges_Including Slice and LS'!$AA$4:$AA$138,0),1)</f>
        <v>-2.8185372782102605E-2</v>
      </c>
      <c r="D24" s="60">
        <f ca="1">+INDEX('Charges_Including Slice and LS'!$Y$4:$Y$138,MATCH($A24,'Charges_Including Slice and LS'!$AA$4:$AA$138,0),1)</f>
        <v>36.351996689486455</v>
      </c>
      <c r="E24" s="80">
        <f ca="1">+INDEX('Charges_Including Slice and LS'!$X$4:$X$138,MATCH($A24,'Charges_Including Slice and LS'!$AA$4:$AA$138,0),1)/1000</f>
        <v>4.5814800000000009</v>
      </c>
      <c r="F24" s="80">
        <f ca="1">+SUM(E$5:E24)</f>
        <v>27144.114625728707</v>
      </c>
      <c r="H24" s="244" t="str">
        <f ca="1">+INDEX(Charges_NonSlice!$C$4:$C$138,MATCH($A24,Charges_NonSlice!$AA$4:$AA$138,0),1)</f>
        <v>Ohop Mutual Light Company</v>
      </c>
      <c r="I24" s="74">
        <f ca="1">+INDEX(Charges_NonSlice!$Z$4:$Z$138,MATCH($A24,Charges_NonSlice!$AA$4:$AA$138,0),1)</f>
        <v>-3.2801226620050014E-2</v>
      </c>
      <c r="J24" s="98">
        <f ca="1">+INDEX(Charges_NonSlice!$Y$4:$Y$138,MATCH($A24,Charges_NonSlice!$AA$4:$AA$138,0),1)</f>
        <v>35.62918623771634</v>
      </c>
      <c r="K24" s="246">
        <f ca="1">+INDEX(Charges_NonSlice!$X$4:$X$138,MATCH($A24,Charges_NonSlice!$AA$4:$AA$138,0),1)/1000</f>
        <v>84.884399999999999</v>
      </c>
      <c r="L24" s="80">
        <f ca="1">+SUM(K$5:K24)</f>
        <v>9576.0762400023432</v>
      </c>
      <c r="N24" s="244" t="str">
        <f ca="1">+INDEX('Charges_NonSlice &amp; Excl LS'!$C$4:$C$138,MATCH($A24,'Charges_NonSlice &amp; Excl LS'!$AA$4:$AA$138,0),1)</f>
        <v>Central Lincoln PUD</v>
      </c>
      <c r="O24" s="74">
        <f ca="1">+INDEX('Charges_NonSlice &amp; Excl LS'!$Z$4:$Z$138,MATCH($A24,'Charges_NonSlice &amp; Excl LS'!$AA$4:$AA$138,0),1)</f>
        <v>-3.2706447842159592E-2</v>
      </c>
      <c r="P24" s="98">
        <f ca="1">+INDEX('Charges_NonSlice &amp; Excl LS'!$Y$4:$Y$138,MATCH($A24,'Charges_NonSlice &amp; Excl LS'!$AA$4:$AA$138,0),1)</f>
        <v>34.781188970322717</v>
      </c>
      <c r="Q24" s="246">
        <f ca="1">+INDEX('Charges_NonSlice &amp; Excl LS'!$X$4:$X$138,MATCH($A24,'Charges_NonSlice &amp; Excl LS'!$AA$4:$AA$138,0),1)/1000</f>
        <v>1309.1834561783041</v>
      </c>
      <c r="R24" s="80">
        <f ca="1">+SUM(Q$5:Q24)</f>
        <v>7370.6126902324568</v>
      </c>
      <c r="T24" s="244" t="str">
        <f ca="1">+INDEX(Charges_NonSlice!$C$4:$C$138,MATCH($A24,Charges_NonSlice!$AA$4:$AA$138,0),1)</f>
        <v>Ohop Mutual Light Company</v>
      </c>
      <c r="U24" s="74">
        <f t="shared" ca="1" si="0"/>
        <v>-3.3474067015095699E-3</v>
      </c>
      <c r="V24" s="98">
        <f ca="1">+INDEX(Charges_NonSlice!$Y$4:$Y$138,MATCH($A24,Charges_NonSlice!$AA$4:$AA$138,0),1)</f>
        <v>35.62918623771634</v>
      </c>
      <c r="W24" s="89">
        <f t="shared" ca="1" si="1"/>
        <v>35.748852185091991</v>
      </c>
      <c r="Y24" s="77" t="s">
        <v>77</v>
      </c>
      <c r="Z24" s="78">
        <v>37.380225947440202</v>
      </c>
    </row>
    <row r="25" spans="1:26">
      <c r="A25">
        <f t="shared" si="2"/>
        <v>21</v>
      </c>
      <c r="B25" s="82" t="str">
        <f ca="1">+INDEX('Charges_Including Slice and LS'!$C$4:$C$138,MATCH($A25,'Charges_Including Slice and LS'!$AA$4:$AA$138,0),1)</f>
        <v>Coulee Dam, City of</v>
      </c>
      <c r="C25" s="74">
        <f ca="1">+INDEX('Charges_Including Slice and LS'!$Z$4:$Z$138,MATCH($A25,'Charges_Including Slice and LS'!$AA$4:$AA$138,0),1)</f>
        <v>-2.9439069409613605E-2</v>
      </c>
      <c r="D25" s="60">
        <f ca="1">+INDEX('Charges_Including Slice and LS'!$Y$4:$Y$138,MATCH($A25,'Charges_Including Slice and LS'!$AA$4:$AA$138,0),1)</f>
        <v>38.606876910323493</v>
      </c>
      <c r="E25" s="80">
        <f ca="1">+INDEX('Charges_Including Slice and LS'!$X$4:$X$138,MATCH($A25,'Charges_Including Slice and LS'!$AA$4:$AA$138,0),1)/1000</f>
        <v>16.889279999999999</v>
      </c>
      <c r="F25" s="80">
        <f ca="1">+SUM(E$5:E25)</f>
        <v>27161.003905728707</v>
      </c>
      <c r="H25" s="244" t="str">
        <f ca="1">+INDEX(Charges_NonSlice!$C$4:$C$138,MATCH($A25,Charges_NonSlice!$AA$4:$AA$138,0),1)</f>
        <v>Milton-Freewater, City of</v>
      </c>
      <c r="I25" s="74">
        <f ca="1">+INDEX(Charges_NonSlice!$Z$4:$Z$138,MATCH($A25,Charges_NonSlice!$AA$4:$AA$138,0),1)</f>
        <v>-3.2919402387617334E-2</v>
      </c>
      <c r="J25" s="98">
        <f ca="1">+INDEX(Charges_NonSlice!$Y$4:$Y$138,MATCH($A25,Charges_NonSlice!$AA$4:$AA$138,0),1)</f>
        <v>37.062265613386856</v>
      </c>
      <c r="K25" s="246">
        <f ca="1">+INDEX(Charges_NonSlice!$X$4:$X$138,MATCH($A25,Charges_NonSlice!$AA$4:$AA$138,0),1)/1000</f>
        <v>79.801817132823444</v>
      </c>
      <c r="L25" s="80">
        <f ca="1">+SUM(K$5:K25)</f>
        <v>9655.8780571351672</v>
      </c>
      <c r="N25" s="244" t="str">
        <f ca="1">+INDEX('Charges_NonSlice &amp; Excl LS'!$C$4:$C$138,MATCH($A25,'Charges_NonSlice &amp; Excl LS'!$AA$4:$AA$138,0),1)</f>
        <v>Eatonville, City of</v>
      </c>
      <c r="O25" s="74">
        <f ca="1">+INDEX('Charges_NonSlice &amp; Excl LS'!$Z$4:$Z$138,MATCH($A25,'Charges_NonSlice &amp; Excl LS'!$AA$4:$AA$138,0),1)</f>
        <v>-3.2743367985243681E-2</v>
      </c>
      <c r="P25" s="98">
        <f ca="1">+INDEX('Charges_NonSlice &amp; Excl LS'!$Y$4:$Y$138,MATCH($A25,'Charges_NonSlice &amp; Excl LS'!$AA$4:$AA$138,0),1)</f>
        <v>37.528444347571998</v>
      </c>
      <c r="Q25" s="246">
        <f ca="1">+INDEX('Charges_NonSlice &amp; Excl LS'!$X$4:$X$138,MATCH($A25,'Charges_NonSlice &amp; Excl LS'!$AA$4:$AA$138,0),1)/1000</f>
        <v>28.148010808679999</v>
      </c>
      <c r="R25" s="80">
        <f ca="1">+SUM(Q$5:Q25)</f>
        <v>7398.7607010411366</v>
      </c>
      <c r="T25" s="244" t="str">
        <f ca="1">+INDEX(Charges_NonSlice!$C$4:$C$138,MATCH($A25,Charges_NonSlice!$AA$4:$AA$138,0),1)</f>
        <v>Milton-Freewater, City of</v>
      </c>
      <c r="U25" s="74">
        <f t="shared" ca="1" si="0"/>
        <v>-6.2345942921028019E-2</v>
      </c>
      <c r="V25" s="98">
        <f ca="1">+INDEX(Charges_NonSlice!$Y$4:$Y$138,MATCH($A25,Charges_NonSlice!$AA$4:$AA$138,0),1)</f>
        <v>37.062265613386856</v>
      </c>
      <c r="W25" s="89">
        <f t="shared" ca="1" si="1"/>
        <v>39.526588013542145</v>
      </c>
      <c r="Y25" s="77" t="s">
        <v>66</v>
      </c>
      <c r="Z25" s="78">
        <v>33.622053013527797</v>
      </c>
    </row>
    <row r="26" spans="1:26">
      <c r="A26">
        <f t="shared" si="2"/>
        <v>22</v>
      </c>
      <c r="B26" s="82" t="str">
        <f ca="1">+INDEX('Charges_Including Slice and LS'!$C$4:$C$138,MATCH($A26,'Charges_Including Slice and LS'!$AA$4:$AA$138,0),1)</f>
        <v>Ellensburg, City of</v>
      </c>
      <c r="C26" s="74">
        <f ca="1">+INDEX('Charges_Including Slice and LS'!$Z$4:$Z$138,MATCH($A26,'Charges_Including Slice and LS'!$AA$4:$AA$138,0),1)</f>
        <v>-2.9635019090196016E-2</v>
      </c>
      <c r="D26" s="60">
        <f ca="1">+INDEX('Charges_Including Slice and LS'!$Y$4:$Y$138,MATCH($A26,'Charges_Including Slice and LS'!$AA$4:$AA$138,0),1)</f>
        <v>36.640136244174251</v>
      </c>
      <c r="E26" s="80">
        <f ca="1">+INDEX('Charges_Including Slice and LS'!$X$4:$X$138,MATCH($A26,'Charges_Including Slice and LS'!$AA$4:$AA$138,0),1)/1000</f>
        <v>195.38415625130995</v>
      </c>
      <c r="F26" s="80">
        <f ca="1">+SUM(E$5:E26)</f>
        <v>27356.388061980018</v>
      </c>
      <c r="H26" s="244" t="str">
        <f ca="1">+INDEX(Charges_NonSlice!$C$4:$C$138,MATCH($A26,Charges_NonSlice!$AA$4:$AA$138,0),1)</f>
        <v>Canby, City of</v>
      </c>
      <c r="I26" s="74">
        <f ca="1">+INDEX(Charges_NonSlice!$Z$4:$Z$138,MATCH($A26,Charges_NonSlice!$AA$4:$AA$138,0),1)</f>
        <v>-3.3165182707213706E-2</v>
      </c>
      <c r="J26" s="98">
        <f ca="1">+INDEX(Charges_NonSlice!$Y$4:$Y$138,MATCH($A26,Charges_NonSlice!$AA$4:$AA$138,0),1)</f>
        <v>36.467221592045881</v>
      </c>
      <c r="K26" s="246">
        <f ca="1">+INDEX(Charges_NonSlice!$X$4:$X$138,MATCH($A26,Charges_NonSlice!$AA$4:$AA$138,0),1)/1000</f>
        <v>168.47667768131399</v>
      </c>
      <c r="L26" s="80">
        <f ca="1">+SUM(K$5:K26)</f>
        <v>9824.3547348164811</v>
      </c>
      <c r="N26" s="244" t="str">
        <f ca="1">+INDEX('Charges_NonSlice &amp; Excl LS'!$C$4:$C$138,MATCH($A26,'Charges_NonSlice &amp; Excl LS'!$AA$4:$AA$138,0),1)</f>
        <v>Salem Elec Coop</v>
      </c>
      <c r="O26" s="74">
        <f ca="1">+INDEX('Charges_NonSlice &amp; Excl LS'!$Z$4:$Z$138,MATCH($A26,'Charges_NonSlice &amp; Excl LS'!$AA$4:$AA$138,0),1)</f>
        <v>-3.2830045221974559E-2</v>
      </c>
      <c r="P26" s="98">
        <f ca="1">+INDEX('Charges_NonSlice &amp; Excl LS'!$Y$4:$Y$138,MATCH($A26,'Charges_NonSlice &amp; Excl LS'!$AA$4:$AA$138,0),1)</f>
        <v>36.203531150532385</v>
      </c>
      <c r="Q26" s="246">
        <f ca="1">+INDEX('Charges_NonSlice &amp; Excl LS'!$X$4:$X$138,MATCH($A26,'Charges_NonSlice &amp; Excl LS'!$AA$4:$AA$138,0),1)/1000</f>
        <v>323.30675391739203</v>
      </c>
      <c r="R26" s="80">
        <f ca="1">+SUM(Q$5:Q26)</f>
        <v>7722.0674549585283</v>
      </c>
      <c r="T26" s="244" t="str">
        <f ca="1">+INDEX(Charges_NonSlice!$C$4:$C$138,MATCH($A26,Charges_NonSlice!$AA$4:$AA$138,0),1)</f>
        <v>Canby, City of</v>
      </c>
      <c r="U26" s="74">
        <f t="shared" ca="1" si="0"/>
        <v>-1.1704644480452497E-2</v>
      </c>
      <c r="V26" s="98">
        <f ca="1">+INDEX(Charges_NonSlice!$Y$4:$Y$138,MATCH($A26,Charges_NonSlice!$AA$4:$AA$138,0),1)</f>
        <v>36.467221592045881</v>
      </c>
      <c r="W26" s="89">
        <f t="shared" ca="1" si="1"/>
        <v>36.89911258651523</v>
      </c>
      <c r="Y26" s="77" t="s">
        <v>33</v>
      </c>
      <c r="Z26" s="78">
        <v>37.043426833678765</v>
      </c>
    </row>
    <row r="27" spans="1:26">
      <c r="A27">
        <f t="shared" si="2"/>
        <v>23</v>
      </c>
      <c r="B27" s="82" t="str">
        <f ca="1">+INDEX('Charges_Including Slice and LS'!$C$4:$C$138,MATCH($A27,'Charges_Including Slice and LS'!$AA$4:$AA$138,0),1)</f>
        <v>Oregon Trail Coop</v>
      </c>
      <c r="C27" s="74">
        <f ca="1">+INDEX('Charges_Including Slice and LS'!$Z$4:$Z$138,MATCH($A27,'Charges_Including Slice and LS'!$AA$4:$AA$138,0),1)</f>
        <v>-2.9897743761749807E-2</v>
      </c>
      <c r="D27" s="60">
        <f ca="1">+INDEX('Charges_Including Slice and LS'!$Y$4:$Y$138,MATCH($A27,'Charges_Including Slice and LS'!$AA$4:$AA$138,0),1)</f>
        <v>34.155608416749253</v>
      </c>
      <c r="E27" s="80">
        <f ca="1">+INDEX('Charges_Including Slice and LS'!$X$4:$X$138,MATCH($A27,'Charges_Including Slice and LS'!$AA$4:$AA$138,0),1)/1000</f>
        <v>630.3427898468309</v>
      </c>
      <c r="F27" s="80">
        <f ca="1">+SUM(E$5:E27)</f>
        <v>27986.730851826851</v>
      </c>
      <c r="H27" s="244" t="str">
        <f ca="1">+INDEX(Charges_NonSlice!$C$4:$C$138,MATCH($A27,Charges_NonSlice!$AA$4:$AA$138,0),1)</f>
        <v>Weiser, City of</v>
      </c>
      <c r="I27" s="74">
        <f ca="1">+INDEX(Charges_NonSlice!$Z$4:$Z$138,MATCH($A27,Charges_NonSlice!$AA$4:$AA$138,0),1)</f>
        <v>-3.3351182716240164E-2</v>
      </c>
      <c r="J27" s="98">
        <f ca="1">+INDEX(Charges_NonSlice!$Y$4:$Y$138,MATCH($A27,Charges_NonSlice!$AA$4:$AA$138,0),1)</f>
        <v>35.282155513244959</v>
      </c>
      <c r="K27" s="246">
        <f ca="1">+INDEX(Charges_NonSlice!$X$4:$X$138,MATCH($A27,Charges_NonSlice!$AA$4:$AA$138,0),1)/1000</f>
        <v>52.884120000000003</v>
      </c>
      <c r="L27" s="80">
        <f ca="1">+SUM(K$5:K27)</f>
        <v>9877.2388548164818</v>
      </c>
      <c r="N27" s="244" t="str">
        <f ca="1">+INDEX('Charges_NonSlice &amp; Excl LS'!$C$4:$C$138,MATCH($A27,'Charges_NonSlice &amp; Excl LS'!$AA$4:$AA$138,0),1)</f>
        <v>Milton, Town of</v>
      </c>
      <c r="O27" s="74">
        <f ca="1">+INDEX('Charges_NonSlice &amp; Excl LS'!$Z$4:$Z$138,MATCH($A27,'Charges_NonSlice &amp; Excl LS'!$AA$4:$AA$138,0),1)</f>
        <v>-3.2950369006349893E-2</v>
      </c>
      <c r="P27" s="98">
        <f ca="1">+INDEX('Charges_NonSlice &amp; Excl LS'!$Y$4:$Y$138,MATCH($A27,'Charges_NonSlice &amp; Excl LS'!$AA$4:$AA$138,0),1)</f>
        <v>35.866313777900821</v>
      </c>
      <c r="Q27" s="246">
        <f ca="1">+INDEX('Charges_NonSlice &amp; Excl LS'!$X$4:$X$138,MATCH($A27,'Charges_NonSlice &amp; Excl LS'!$AA$4:$AA$138,0),1)/1000</f>
        <v>60.096298129056002</v>
      </c>
      <c r="R27" s="80">
        <f ca="1">+SUM(Q$5:Q27)</f>
        <v>7782.1637530875842</v>
      </c>
      <c r="T27" s="244" t="str">
        <f ca="1">+INDEX(Charges_NonSlice!$C$4:$C$138,MATCH($A27,Charges_NonSlice!$AA$4:$AA$138,0),1)</f>
        <v>Weiser, City of</v>
      </c>
      <c r="U27" s="74">
        <f t="shared" ca="1" si="0"/>
        <v>-3.9656698898375087E-2</v>
      </c>
      <c r="V27" s="98">
        <f ca="1">+INDEX(Charges_NonSlice!$Y$4:$Y$138,MATCH($A27,Charges_NonSlice!$AA$4:$AA$138,0),1)</f>
        <v>35.282155513244959</v>
      </c>
      <c r="W27" s="89">
        <f t="shared" ca="1" si="1"/>
        <v>36.739107226314012</v>
      </c>
      <c r="Y27" s="77" t="s">
        <v>111</v>
      </c>
      <c r="Z27" s="78">
        <v>36.123628689235154</v>
      </c>
    </row>
    <row r="28" spans="1:26">
      <c r="A28">
        <f t="shared" si="2"/>
        <v>24</v>
      </c>
      <c r="B28" s="82" t="str">
        <f ca="1">+INDEX('Charges_Including Slice and LS'!$C$4:$C$138,MATCH($A28,'Charges_Including Slice and LS'!$AA$4:$AA$138,0),1)</f>
        <v>Bonners Ferry, City of</v>
      </c>
      <c r="C28" s="74">
        <f ca="1">+INDEX('Charges_Including Slice and LS'!$Z$4:$Z$138,MATCH($A28,'Charges_Including Slice and LS'!$AA$4:$AA$138,0),1)</f>
        <v>-3.0801807534175156E-2</v>
      </c>
      <c r="D28" s="60">
        <f ca="1">+INDEX('Charges_Including Slice and LS'!$Y$4:$Y$138,MATCH($A28,'Charges_Including Slice and LS'!$AA$4:$AA$138,0),1)</f>
        <v>38.430074323585735</v>
      </c>
      <c r="E28" s="80">
        <f ca="1">+INDEX('Charges_Including Slice and LS'!$X$4:$X$138,MATCH($A28,'Charges_Including Slice and LS'!$AA$4:$AA$138,0),1)/1000</f>
        <v>44.448239999999998</v>
      </c>
      <c r="F28" s="80">
        <f ca="1">+SUM(E$5:E28)</f>
        <v>28031.179091826853</v>
      </c>
      <c r="H28" s="244" t="str">
        <f ca="1">+INDEX(Charges_NonSlice!$C$4:$C$138,MATCH($A28,Charges_NonSlice!$AA$4:$AA$138,0),1)</f>
        <v>Rupert, City of</v>
      </c>
      <c r="I28" s="74">
        <f ca="1">+INDEX(Charges_NonSlice!$Z$4:$Z$138,MATCH($A28,Charges_NonSlice!$AA$4:$AA$138,0),1)</f>
        <v>-3.3362024507410458E-2</v>
      </c>
      <c r="J28" s="98">
        <f ca="1">+INDEX(Charges_NonSlice!$Y$4:$Y$138,MATCH($A28,Charges_NonSlice!$AA$4:$AA$138,0),1)</f>
        <v>36.836320219311865</v>
      </c>
      <c r="K28" s="246">
        <f ca="1">+INDEX(Charges_NonSlice!$X$4:$X$138,MATCH($A28,Charges_NonSlice!$AA$4:$AA$138,0),1)/1000</f>
        <v>78.73487999999999</v>
      </c>
      <c r="L28" s="80">
        <f ca="1">+SUM(K$5:K28)</f>
        <v>9955.9737348164817</v>
      </c>
      <c r="N28" s="244" t="str">
        <f ca="1">+INDEX('Charges_NonSlice &amp; Excl LS'!$C$4:$C$138,MATCH($A28,'Charges_NonSlice &amp; Excl LS'!$AA$4:$AA$138,0),1)</f>
        <v>Burley, City of</v>
      </c>
      <c r="O28" s="74">
        <f ca="1">+INDEX('Charges_NonSlice &amp; Excl LS'!$Z$4:$Z$138,MATCH($A28,'Charges_NonSlice &amp; Excl LS'!$AA$4:$AA$138,0),1)</f>
        <v>-3.2971269867508458E-2</v>
      </c>
      <c r="P28" s="98">
        <f ca="1">+INDEX('Charges_NonSlice &amp; Excl LS'!$Y$4:$Y$138,MATCH($A28,'Charges_NonSlice &amp; Excl LS'!$AA$4:$AA$138,0),1)</f>
        <v>35.302376168842514</v>
      </c>
      <c r="Q28" s="246">
        <f ca="1">+INDEX('Charges_NonSlice &amp; Excl LS'!$X$4:$X$138,MATCH($A28,'Charges_NonSlice &amp; Excl LS'!$AA$4:$AA$138,0),1)/1000</f>
        <v>117.52532143934401</v>
      </c>
      <c r="R28" s="80">
        <f ca="1">+SUM(Q$5:Q28)</f>
        <v>7899.6890745269284</v>
      </c>
      <c r="T28" s="244" t="str">
        <f ca="1">+INDEX(Charges_NonSlice!$C$4:$C$138,MATCH($A28,Charges_NonSlice!$AA$4:$AA$138,0),1)</f>
        <v>Rupert, City of</v>
      </c>
      <c r="U28" s="74">
        <f t="shared" ca="1" si="0"/>
        <v>-3.2526593435951323E-2</v>
      </c>
      <c r="V28" s="98">
        <f ca="1">+INDEX(Charges_NonSlice!$Y$4:$Y$138,MATCH($A28,Charges_NonSlice!$AA$4:$AA$138,0),1)</f>
        <v>36.836320219311865</v>
      </c>
      <c r="W28" s="89">
        <f t="shared" ca="1" si="1"/>
        <v>38.074762540641707</v>
      </c>
      <c r="Y28" s="77" t="s">
        <v>78</v>
      </c>
      <c r="Z28" s="78">
        <v>33.772278001706795</v>
      </c>
    </row>
    <row r="29" spans="1:26">
      <c r="A29">
        <f t="shared" si="2"/>
        <v>25</v>
      </c>
      <c r="B29" s="82" t="str">
        <f ca="1">+INDEX('Charges_Including Slice and LS'!$C$4:$C$138,MATCH($A29,'Charges_Including Slice and LS'!$AA$4:$AA$138,0),1)</f>
        <v>Whatcom County PUD #1</v>
      </c>
      <c r="C29" s="74">
        <f ca="1">+INDEX('Charges_Including Slice and LS'!$Z$4:$Z$138,MATCH($A29,'Charges_Including Slice and LS'!$AA$4:$AA$138,0),1)</f>
        <v>-3.1439701984149582E-2</v>
      </c>
      <c r="D29" s="60">
        <f ca="1">+INDEX('Charges_Including Slice and LS'!$Y$4:$Y$138,MATCH($A29,'Charges_Including Slice and LS'!$AA$4:$AA$138,0),1)</f>
        <v>35.976781240329252</v>
      </c>
      <c r="E29" s="80">
        <f ca="1">+INDEX('Charges_Including Slice and LS'!$X$4:$X$138,MATCH($A29,'Charges_Including Slice and LS'!$AA$4:$AA$138,0),1)/1000</f>
        <v>216.53097446993593</v>
      </c>
      <c r="F29" s="80">
        <f ca="1">+SUM(E$5:E29)</f>
        <v>28247.71006629679</v>
      </c>
      <c r="H29" s="244" t="str">
        <f ca="1">+INDEX(Charges_NonSlice!$C$4:$C$138,MATCH($A29,Charges_NonSlice!$AA$4:$AA$138,0),1)</f>
        <v>Albion, City of</v>
      </c>
      <c r="I29" s="74">
        <f ca="1">+INDEX(Charges_NonSlice!$Z$4:$Z$138,MATCH($A29,Charges_NonSlice!$AA$4:$AA$138,0),1)</f>
        <v>-3.3427587313067914E-2</v>
      </c>
      <c r="J29" s="98">
        <f ca="1">+INDEX(Charges_NonSlice!$Y$4:$Y$138,MATCH($A29,Charges_NonSlice!$AA$4:$AA$138,0),1)</f>
        <v>38.057183170727043</v>
      </c>
      <c r="K29" s="246">
        <f ca="1">+INDEX(Charges_NonSlice!$X$4:$X$138,MATCH($A29,Charges_NonSlice!$AA$4:$AA$138,0),1)/1000</f>
        <v>3.3288000000000002</v>
      </c>
      <c r="L29" s="80">
        <f ca="1">+SUM(K$5:K29)</f>
        <v>9959.3025348164811</v>
      </c>
      <c r="N29" s="244" t="str">
        <f ca="1">+INDEX('Charges_NonSlice &amp; Excl LS'!$C$4:$C$138,MATCH($A29,'Charges_NonSlice &amp; Excl LS'!$AA$4:$AA$138,0),1)</f>
        <v>Declo, City of</v>
      </c>
      <c r="O29" s="74">
        <f ca="1">+INDEX('Charges_NonSlice &amp; Excl LS'!$Z$4:$Z$138,MATCH($A29,'Charges_NonSlice &amp; Excl LS'!$AA$4:$AA$138,0),1)</f>
        <v>-3.2984817501332933E-2</v>
      </c>
      <c r="P29" s="98">
        <f ca="1">+INDEX('Charges_NonSlice &amp; Excl LS'!$Y$4:$Y$138,MATCH($A29,'Charges_NonSlice &amp; Excl LS'!$AA$4:$AA$138,0),1)</f>
        <v>36.393502128284155</v>
      </c>
      <c r="Q29" s="246">
        <f ca="1">+INDEX('Charges_NonSlice &amp; Excl LS'!$X$4:$X$138,MATCH($A29,'Charges_NonSlice &amp; Excl LS'!$AA$4:$AA$138,0),1)/1000</f>
        <v>2.9977336458720001</v>
      </c>
      <c r="R29" s="80">
        <f ca="1">+SUM(Q$5:Q29)</f>
        <v>7902.6868081728007</v>
      </c>
      <c r="T29" s="244" t="str">
        <f ca="1">+INDEX(Charges_NonSlice!$C$4:$C$138,MATCH($A29,Charges_NonSlice!$AA$4:$AA$138,0),1)</f>
        <v>Albion, City of</v>
      </c>
      <c r="U29" s="74">
        <f t="shared" ca="1" si="0"/>
        <v>-3.5577126759876787E-2</v>
      </c>
      <c r="V29" s="98">
        <f ca="1">+INDEX(Charges_NonSlice!$Y$4:$Y$138,MATCH($A29,Charges_NonSlice!$AA$4:$AA$138,0),1)</f>
        <v>38.057183170727043</v>
      </c>
      <c r="W29" s="89">
        <f t="shared" ca="1" si="1"/>
        <v>39.461095569901026</v>
      </c>
      <c r="Y29" s="77" t="s">
        <v>120</v>
      </c>
      <c r="Z29" s="78">
        <v>38.102096207652714</v>
      </c>
    </row>
    <row r="30" spans="1:26">
      <c r="A30">
        <f t="shared" si="2"/>
        <v>26</v>
      </c>
      <c r="B30" s="82" t="str">
        <f ca="1">+INDEX('Charges_Including Slice and LS'!$C$4:$C$138,MATCH($A30,'Charges_Including Slice and LS'!$AA$4:$AA$138,0),1)</f>
        <v>Seattle City Light</v>
      </c>
      <c r="C30" s="74">
        <f ca="1">+INDEX('Charges_Including Slice and LS'!$Z$4:$Z$138,MATCH($A30,'Charges_Including Slice and LS'!$AA$4:$AA$138,0),1)</f>
        <v>-3.1688590808864325E-2</v>
      </c>
      <c r="D30" s="60">
        <f ca="1">+INDEX('Charges_Including Slice and LS'!$Y$4:$Y$138,MATCH($A30,'Charges_Including Slice and LS'!$AA$4:$AA$138,0),1)</f>
        <v>36.342590015210085</v>
      </c>
      <c r="E30" s="80">
        <f ca="1">+INDEX('Charges_Including Slice and LS'!$X$4:$X$138,MATCH($A30,'Charges_Including Slice and LS'!$AA$4:$AA$138,0),1)/1000</f>
        <v>3772.2927129691375</v>
      </c>
      <c r="F30" s="80">
        <f ca="1">+SUM(E$5:E30)</f>
        <v>32020.002779265928</v>
      </c>
      <c r="H30" s="244" t="str">
        <f ca="1">+INDEX(Charges_NonSlice!$C$4:$C$138,MATCH($A30,Charges_NonSlice!$AA$4:$AA$138,0),1)</f>
        <v>Monmouth, City of</v>
      </c>
      <c r="I30" s="74">
        <f ca="1">+INDEX(Charges_NonSlice!$Z$4:$Z$138,MATCH($A30,Charges_NonSlice!$AA$4:$AA$138,0),1)</f>
        <v>-3.3458383392064174E-2</v>
      </c>
      <c r="J30" s="98">
        <f ca="1">+INDEX(Charges_NonSlice!$Y$4:$Y$138,MATCH($A30,Charges_NonSlice!$AA$4:$AA$138,0),1)</f>
        <v>36.863356215731045</v>
      </c>
      <c r="K30" s="246">
        <f ca="1">+INDEX(Charges_NonSlice!$X$4:$X$138,MATCH($A30,Charges_NonSlice!$AA$4:$AA$138,0),1)/1000</f>
        <v>69.887280000000004</v>
      </c>
      <c r="L30" s="80">
        <f ca="1">+SUM(K$5:K30)</f>
        <v>10029.189814816482</v>
      </c>
      <c r="N30" s="244" t="str">
        <f ca="1">+INDEX('Charges_NonSlice &amp; Excl LS'!$C$4:$C$138,MATCH($A30,'Charges_NonSlice &amp; Excl LS'!$AA$4:$AA$138,0),1)</f>
        <v>Mission Valley</v>
      </c>
      <c r="O30" s="74">
        <f ca="1">+INDEX('Charges_NonSlice &amp; Excl LS'!$Z$4:$Z$138,MATCH($A30,'Charges_NonSlice &amp; Excl LS'!$AA$4:$AA$138,0),1)</f>
        <v>-3.304908605639801E-2</v>
      </c>
      <c r="P30" s="98">
        <f ca="1">+INDEX('Charges_NonSlice &amp; Excl LS'!$Y$4:$Y$138,MATCH($A30,'Charges_NonSlice &amp; Excl LS'!$AA$4:$AA$138,0),1)</f>
        <v>33.87909594791342</v>
      </c>
      <c r="Q30" s="246">
        <f ca="1">+INDEX('Charges_NonSlice &amp; Excl LS'!$X$4:$X$138,MATCH($A30,'Charges_NonSlice &amp; Excl LS'!$AA$4:$AA$138,0),1)/1000</f>
        <v>317.12835406064397</v>
      </c>
      <c r="R30" s="80">
        <f ca="1">+SUM(Q$5:Q30)</f>
        <v>8219.8151622334444</v>
      </c>
      <c r="T30" s="244" t="str">
        <f ca="1">+INDEX(Charges_NonSlice!$C$4:$C$138,MATCH($A30,Charges_NonSlice!$AA$4:$AA$138,0),1)</f>
        <v>Monmouth, City of</v>
      </c>
      <c r="U30" s="74">
        <f t="shared" ca="1" si="0"/>
        <v>-1.7534956979619709E-2</v>
      </c>
      <c r="V30" s="98">
        <f ca="1">+INDEX(Charges_NonSlice!$Y$4:$Y$138,MATCH($A30,Charges_NonSlice!$AA$4:$AA$138,0),1)</f>
        <v>36.863356215731045</v>
      </c>
      <c r="W30" s="89">
        <f t="shared" ca="1" si="1"/>
        <v>37.521290429227363</v>
      </c>
      <c r="Y30" s="77" t="s">
        <v>58</v>
      </c>
      <c r="Z30" s="78">
        <v>39.161474677869251</v>
      </c>
    </row>
    <row r="31" spans="1:26">
      <c r="A31">
        <f t="shared" si="2"/>
        <v>27</v>
      </c>
      <c r="B31" s="82" t="str">
        <f ca="1">+INDEX('Charges_Including Slice and LS'!$C$4:$C$138,MATCH($A31,'Charges_Including Slice and LS'!$AA$4:$AA$138,0),1)</f>
        <v>Tillamook PUD #1</v>
      </c>
      <c r="C31" s="74">
        <f ca="1">+INDEX('Charges_Including Slice and LS'!$Z$4:$Z$138,MATCH($A31,'Charges_Including Slice and LS'!$AA$4:$AA$138,0),1)</f>
        <v>-3.1790747586477486E-2</v>
      </c>
      <c r="D31" s="60">
        <f ca="1">+INDEX('Charges_Including Slice and LS'!$Y$4:$Y$138,MATCH($A31,'Charges_Including Slice and LS'!$AA$4:$AA$138,0),1)</f>
        <v>35.561342296592805</v>
      </c>
      <c r="E31" s="80">
        <f ca="1">+INDEX('Charges_Including Slice and LS'!$X$4:$X$138,MATCH($A31,'Charges_Including Slice and LS'!$AA$4:$AA$138,0),1)/1000</f>
        <v>464.16254394990966</v>
      </c>
      <c r="F31" s="80">
        <f ca="1">+SUM(E$5:E31)</f>
        <v>32484.165323215839</v>
      </c>
      <c r="H31" s="244" t="str">
        <f ca="1">+INDEX(Charges_NonSlice!$C$4:$C$138,MATCH($A31,Charges_NonSlice!$AA$4:$AA$138,0),1)</f>
        <v>Farmers Elec Coop</v>
      </c>
      <c r="I31" s="74">
        <f ca="1">+INDEX(Charges_NonSlice!$Z$4:$Z$138,MATCH($A31,Charges_NonSlice!$AA$4:$AA$138,0),1)</f>
        <v>-3.3510133392780653E-2</v>
      </c>
      <c r="J31" s="98">
        <f ca="1">+INDEX(Charges_NonSlice!$Y$4:$Y$138,MATCH($A31,Charges_NonSlice!$AA$4:$AA$138,0),1)</f>
        <v>36.653838654852827</v>
      </c>
      <c r="K31" s="246">
        <f ca="1">+INDEX(Charges_NonSlice!$X$4:$X$138,MATCH($A31,Charges_NonSlice!$AA$4:$AA$138,0),1)/1000</f>
        <v>4.2398400000000001</v>
      </c>
      <c r="L31" s="80">
        <f ca="1">+SUM(K$5:K31)</f>
        <v>10033.429654816482</v>
      </c>
      <c r="N31" s="244" t="str">
        <f ca="1">+INDEX('Charges_NonSlice &amp; Excl LS'!$C$4:$C$138,MATCH($A31,'Charges_NonSlice &amp; Excl LS'!$AA$4:$AA$138,0),1)</f>
        <v>Port Angeles, City of</v>
      </c>
      <c r="O31" s="74">
        <f ca="1">+INDEX('Charges_NonSlice &amp; Excl LS'!$Z$4:$Z$138,MATCH($A31,'Charges_NonSlice &amp; Excl LS'!$AA$4:$AA$138,0),1)</f>
        <v>-3.3080629861834403E-2</v>
      </c>
      <c r="P31" s="98">
        <f ca="1">+INDEX('Charges_NonSlice &amp; Excl LS'!$Y$4:$Y$138,MATCH($A31,'Charges_NonSlice &amp; Excl LS'!$AA$4:$AA$138,0),1)</f>
        <v>33.932510879552893</v>
      </c>
      <c r="Q31" s="246">
        <f ca="1">+INDEX('Charges_NonSlice &amp; Excl LS'!$X$4:$X$138,MATCH($A31,'Charges_NonSlice &amp; Excl LS'!$AA$4:$AA$138,0),1)/1000</f>
        <v>492.89704377706795</v>
      </c>
      <c r="R31" s="80">
        <f ca="1">+SUM(Q$5:Q31)</f>
        <v>8712.7122060105121</v>
      </c>
      <c r="T31" s="244" t="str">
        <f ca="1">+INDEX(Charges_NonSlice!$C$4:$C$138,MATCH($A31,Charges_NonSlice!$AA$4:$AA$138,0),1)</f>
        <v>Farmers Elec Coop</v>
      </c>
      <c r="U31" s="74">
        <f t="shared" ca="1" si="0"/>
        <v>-3.3932131473616733E-2</v>
      </c>
      <c r="V31" s="98">
        <f ca="1">+INDEX(Charges_NonSlice!$Y$4:$Y$138,MATCH($A31,Charges_NonSlice!$AA$4:$AA$138,0),1)</f>
        <v>36.653838654852827</v>
      </c>
      <c r="W31" s="89">
        <f t="shared" ca="1" si="1"/>
        <v>37.941266704961123</v>
      </c>
      <c r="Y31" s="77" t="s">
        <v>136</v>
      </c>
      <c r="Z31" s="78">
        <v>37.228715306293367</v>
      </c>
    </row>
    <row r="32" spans="1:26">
      <c r="A32">
        <f t="shared" si="2"/>
        <v>28</v>
      </c>
      <c r="B32" s="82" t="str">
        <f ca="1">+INDEX('Charges_Including Slice and LS'!$C$4:$C$138,MATCH($A32,'Charges_Including Slice and LS'!$AA$4:$AA$138,0),1)</f>
        <v>Heyburn, City of</v>
      </c>
      <c r="C32" s="74">
        <f ca="1">+INDEX('Charges_Including Slice and LS'!$Z$4:$Z$138,MATCH($A32,'Charges_Including Slice and LS'!$AA$4:$AA$138,0),1)</f>
        <v>-3.2015103246061556E-2</v>
      </c>
      <c r="D32" s="60">
        <f ca="1">+INDEX('Charges_Including Slice and LS'!$Y$4:$Y$138,MATCH($A32,'Charges_Including Slice and LS'!$AA$4:$AA$138,0),1)</f>
        <v>35.492207912911361</v>
      </c>
      <c r="E32" s="80">
        <f ca="1">+INDEX('Charges_Including Slice and LS'!$X$4:$X$138,MATCH($A32,'Charges_Including Slice and LS'!$AA$4:$AA$138,0),1)/1000</f>
        <v>40.114057059016048</v>
      </c>
      <c r="F32" s="80">
        <f ca="1">+SUM(E$5:E32)</f>
        <v>32524.279380274857</v>
      </c>
      <c r="H32" s="244" t="str">
        <f ca="1">+INDEX(Charges_NonSlice!$C$4:$C$138,MATCH($A32,Charges_NonSlice!$AA$4:$AA$138,0),1)</f>
        <v>Mason County PUD #3</v>
      </c>
      <c r="I32" s="74">
        <f ca="1">+INDEX(Charges_NonSlice!$Z$4:$Z$138,MATCH($A32,Charges_NonSlice!$AA$4:$AA$138,0),1)</f>
        <v>-3.3529615244876423E-2</v>
      </c>
      <c r="J32" s="98">
        <f ca="1">+INDEX(Charges_NonSlice!$Y$4:$Y$138,MATCH($A32,Charges_NonSlice!$AA$4:$AA$138,0),1)</f>
        <v>34.733496982293502</v>
      </c>
      <c r="K32" s="246">
        <f ca="1">+INDEX(Charges_NonSlice!$X$4:$X$138,MATCH($A32,Charges_NonSlice!$AA$4:$AA$138,0),1)/1000</f>
        <v>667.89743999999996</v>
      </c>
      <c r="L32" s="80">
        <f ca="1">+SUM(K$5:K32)</f>
        <v>10701.327094816483</v>
      </c>
      <c r="N32" s="244" t="str">
        <f ca="1">+INDEX('Charges_NonSlice &amp; Excl LS'!$C$4:$C$138,MATCH($A32,'Charges_NonSlice &amp; Excl LS'!$AA$4:$AA$138,0),1)</f>
        <v>Farmers Elec Coop</v>
      </c>
      <c r="O32" s="74">
        <f ca="1">+INDEX('Charges_NonSlice &amp; Excl LS'!$Z$4:$Z$138,MATCH($A32,'Charges_NonSlice &amp; Excl LS'!$AA$4:$AA$138,0),1)</f>
        <v>-3.3085834509658629E-2</v>
      </c>
      <c r="P32" s="98">
        <f ca="1">+INDEX('Charges_NonSlice &amp; Excl LS'!$Y$4:$Y$138,MATCH($A32,'Charges_NonSlice &amp; Excl LS'!$AA$4:$AA$138,0),1)</f>
        <v>36.079838006841847</v>
      </c>
      <c r="Q32" s="246">
        <f ca="1">+INDEX('Charges_NonSlice &amp; Excl LS'!$X$4:$X$138,MATCH($A32,'Charges_NonSlice &amp; Excl LS'!$AA$4:$AA$138,0),1)/1000</f>
        <v>4.2369542475120001</v>
      </c>
      <c r="R32" s="80">
        <f ca="1">+SUM(Q$5:Q32)</f>
        <v>8716.9491602580238</v>
      </c>
      <c r="T32" s="244" t="str">
        <f ca="1">+INDEX(Charges_NonSlice!$C$4:$C$138,MATCH($A32,Charges_NonSlice!$AA$4:$AA$138,0),1)</f>
        <v>Mason County PUD #3</v>
      </c>
      <c r="U32" s="74">
        <f t="shared" ca="1" si="0"/>
        <v>-3.8439266562155905E-2</v>
      </c>
      <c r="V32" s="98">
        <f ca="1">+INDEX(Charges_NonSlice!$Y$4:$Y$138,MATCH($A32,Charges_NonSlice!$AA$4:$AA$138,0),1)</f>
        <v>34.733496982293502</v>
      </c>
      <c r="W32" s="89">
        <f t="shared" ca="1" si="1"/>
        <v>36.122000175809696</v>
      </c>
      <c r="Y32" s="77" t="s">
        <v>129</v>
      </c>
      <c r="Z32" s="78">
        <v>35.664555741409124</v>
      </c>
    </row>
    <row r="33" spans="1:26">
      <c r="A33">
        <f t="shared" si="2"/>
        <v>29</v>
      </c>
      <c r="B33" s="82" t="str">
        <f ca="1">+INDEX('Charges_Including Slice and LS'!$C$4:$C$138,MATCH($A33,'Charges_Including Slice and LS'!$AA$4:$AA$138,0),1)</f>
        <v>Central Lincoln PUD</v>
      </c>
      <c r="C33" s="74">
        <f ca="1">+INDEX('Charges_Including Slice and LS'!$Z$4:$Z$138,MATCH($A33,'Charges_Including Slice and LS'!$AA$4:$AA$138,0),1)</f>
        <v>-3.2091439031354335E-2</v>
      </c>
      <c r="D33" s="60">
        <f ca="1">+INDEX('Charges_Including Slice and LS'!$Y$4:$Y$138,MATCH($A33,'Charges_Including Slice and LS'!$AA$4:$AA$138,0),1)</f>
        <v>35.171943562457294</v>
      </c>
      <c r="E33" s="80">
        <f ca="1">+INDEX('Charges_Including Slice and LS'!$X$4:$X$138,MATCH($A33,'Charges_Including Slice and LS'!$AA$4:$AA$138,0),1)/1000</f>
        <v>1277.1779339703951</v>
      </c>
      <c r="F33" s="80">
        <f ca="1">+SUM(E$5:E33)</f>
        <v>33801.45731424525</v>
      </c>
      <c r="H33" s="244" t="str">
        <f ca="1">+INDEX(Charges_NonSlice!$C$4:$C$138,MATCH($A33,Charges_NonSlice!$AA$4:$AA$138,0),1)</f>
        <v>U.S. DOE Albany Research Center</v>
      </c>
      <c r="I33" s="74">
        <f ca="1">+INDEX(Charges_NonSlice!$Z$4:$Z$138,MATCH($A33,Charges_NonSlice!$AA$4:$AA$138,0),1)</f>
        <v>-3.3728916858684607E-2</v>
      </c>
      <c r="J33" s="98">
        <f ca="1">+INDEX(Charges_NonSlice!$Y$4:$Y$138,MATCH($A33,Charges_NonSlice!$AA$4:$AA$138,0),1)</f>
        <v>37.092288484940397</v>
      </c>
      <c r="K33" s="246">
        <f ca="1">+INDEX(Charges_NonSlice!$X$4:$X$138,MATCH($A33,Charges_NonSlice!$AA$4:$AA$138,0),1)/1000</f>
        <v>3.8281199999999997</v>
      </c>
      <c r="L33" s="80">
        <f ca="1">+SUM(K$5:K33)</f>
        <v>10705.155214816483</v>
      </c>
      <c r="N33" s="244" t="str">
        <f ca="1">+INDEX('Charges_NonSlice &amp; Excl LS'!$C$4:$C$138,MATCH($A33,'Charges_NonSlice &amp; Excl LS'!$AA$4:$AA$138,0),1)</f>
        <v>Northern Wasco County PUD</v>
      </c>
      <c r="O33" s="74">
        <f ca="1">+INDEX('Charges_NonSlice &amp; Excl LS'!$Z$4:$Z$138,MATCH($A33,'Charges_NonSlice &amp; Excl LS'!$AA$4:$AA$138,0),1)</f>
        <v>-3.3180101182284191E-2</v>
      </c>
      <c r="P33" s="98">
        <f ca="1">+INDEX('Charges_NonSlice &amp; Excl LS'!$Y$4:$Y$138,MATCH($A33,'Charges_NonSlice &amp; Excl LS'!$AA$4:$AA$138,0),1)</f>
        <v>33.929020090380625</v>
      </c>
      <c r="Q33" s="246">
        <f ca="1">+INDEX('Charges_NonSlice &amp; Excl LS'!$X$4:$X$138,MATCH($A33,'Charges_NonSlice &amp; Excl LS'!$AA$4:$AA$138,0),1)/1000</f>
        <v>541.18533988764011</v>
      </c>
      <c r="R33" s="80">
        <f ca="1">+SUM(Q$5:Q33)</f>
        <v>9258.1345001456648</v>
      </c>
      <c r="T33" s="244" t="str">
        <f ca="1">+INDEX(Charges_NonSlice!$C$4:$C$138,MATCH($A33,Charges_NonSlice!$AA$4:$AA$138,0),1)</f>
        <v>U.S. DOE Albany Research Center</v>
      </c>
      <c r="U33" s="74">
        <f t="shared" ca="1" si="0"/>
        <v>-2.6806543599953159E-2</v>
      </c>
      <c r="V33" s="98">
        <f ca="1">+INDEX(Charges_NonSlice!$Y$4:$Y$138,MATCH($A33,Charges_NonSlice!$AA$4:$AA$138,0),1)</f>
        <v>37.092288484940397</v>
      </c>
      <c r="W33" s="89">
        <f t="shared" ca="1" si="1"/>
        <v>38.113992897310453</v>
      </c>
      <c r="Y33" s="77" t="s">
        <v>103</v>
      </c>
      <c r="Z33" s="78">
        <v>38.446362522934862</v>
      </c>
    </row>
    <row r="34" spans="1:26">
      <c r="A34">
        <f t="shared" si="2"/>
        <v>30</v>
      </c>
      <c r="B34" s="82" t="str">
        <f ca="1">+INDEX('Charges_Including Slice and LS'!$C$4:$C$138,MATCH($A34,'Charges_Including Slice and LS'!$AA$4:$AA$138,0),1)</f>
        <v>Blaine, City of</v>
      </c>
      <c r="C34" s="74">
        <f ca="1">+INDEX('Charges_Including Slice and LS'!$Z$4:$Z$138,MATCH($A34,'Charges_Including Slice and LS'!$AA$4:$AA$138,0),1)</f>
        <v>-3.2360737973041474E-2</v>
      </c>
      <c r="D34" s="60">
        <f ca="1">+INDEX('Charges_Including Slice and LS'!$Y$4:$Y$138,MATCH($A34,'Charges_Including Slice and LS'!$AA$4:$AA$138,0),1)</f>
        <v>36.654204373547877</v>
      </c>
      <c r="E34" s="80">
        <f ca="1">+INDEX('Charges_Including Slice and LS'!$X$4:$X$138,MATCH($A34,'Charges_Including Slice and LS'!$AA$4:$AA$138,0),1)/1000</f>
        <v>71.873107738588743</v>
      </c>
      <c r="F34" s="80">
        <f ca="1">+SUM(E$5:E34)</f>
        <v>33873.330421983839</v>
      </c>
      <c r="H34" s="244" t="str">
        <f ca="1">+INDEX(Charges_NonSlice!$C$4:$C$138,MATCH($A34,Charges_NonSlice!$AA$4:$AA$138,0),1)</f>
        <v>Jefferson County PUD #1</v>
      </c>
      <c r="I34" s="74">
        <f ca="1">+INDEX(Charges_NonSlice!$Z$4:$Z$138,MATCH($A34,Charges_NonSlice!$AA$4:$AA$138,0),1)</f>
        <v>-3.3732981472389498E-2</v>
      </c>
      <c r="J34" s="98">
        <f ca="1">+INDEX(Charges_NonSlice!$Y$4:$Y$138,MATCH($A34,Charges_NonSlice!$AA$4:$AA$138,0),1)</f>
        <v>36.339078301488662</v>
      </c>
      <c r="K34" s="246">
        <f ca="1">+INDEX(Charges_NonSlice!$X$4:$X$138,MATCH($A34,Charges_NonSlice!$AA$4:$AA$138,0),1)/1000</f>
        <v>376.33854030965239</v>
      </c>
      <c r="L34" s="80">
        <f ca="1">+SUM(K$5:K34)</f>
        <v>11081.493755126136</v>
      </c>
      <c r="N34" s="244" t="str">
        <f ca="1">+INDEX('Charges_NonSlice &amp; Excl LS'!$C$4:$C$138,MATCH($A34,'Charges_NonSlice &amp; Excl LS'!$AA$4:$AA$138,0),1)</f>
        <v>Clark County PUD #1</v>
      </c>
      <c r="O34" s="74">
        <f ca="1">+INDEX('Charges_NonSlice &amp; Excl LS'!$Z$4:$Z$138,MATCH($A34,'Charges_NonSlice &amp; Excl LS'!$AA$4:$AA$138,0),1)</f>
        <v>-3.3180101183800749E-2</v>
      </c>
      <c r="P34" s="98">
        <f ca="1">+INDEX('Charges_NonSlice &amp; Excl LS'!$Y$4:$Y$138,MATCH($A34,'Charges_NonSlice &amp; Excl LS'!$AA$4:$AA$138,0),1)</f>
        <v>33.929020090380625</v>
      </c>
      <c r="Q34" s="246">
        <f ca="1">+INDEX('Charges_NonSlice &amp; Excl LS'!$X$4:$X$138,MATCH($A34,'Charges_NonSlice &amp; Excl LS'!$AA$4:$AA$138,0),1)/1000</f>
        <v>1373.6937400693921</v>
      </c>
      <c r="R34" s="80">
        <f ca="1">+SUM(Q$5:Q34)</f>
        <v>10631.828240215056</v>
      </c>
      <c r="T34" s="244" t="str">
        <f ca="1">+INDEX(Charges_NonSlice!$C$4:$C$138,MATCH($A34,Charges_NonSlice!$AA$4:$AA$138,0),1)</f>
        <v>Jefferson County PUD #1</v>
      </c>
      <c r="U34" s="74">
        <f t="shared" ca="1" si="0"/>
        <v>-2.4169592736204115E-2</v>
      </c>
      <c r="V34" s="98">
        <f ca="1">+INDEX(Charges_NonSlice!$Y$4:$Y$138,MATCH($A34,Charges_NonSlice!$AA$4:$AA$138,0),1)</f>
        <v>36.339078301488662</v>
      </c>
      <c r="W34" s="89">
        <f t="shared" ca="1" si="1"/>
        <v>37.239132979451348</v>
      </c>
      <c r="Y34" s="77" t="s">
        <v>99</v>
      </c>
      <c r="Z34" s="78">
        <v>35.501950237914187</v>
      </c>
    </row>
    <row r="35" spans="1:26">
      <c r="A35">
        <f t="shared" si="2"/>
        <v>31</v>
      </c>
      <c r="B35" s="82" t="str">
        <f ca="1">+INDEX('Charges_Including Slice and LS'!$C$4:$C$138,MATCH($A35,'Charges_Including Slice and LS'!$AA$4:$AA$138,0),1)</f>
        <v>Elmhurst Mutual P &amp; L</v>
      </c>
      <c r="C35" s="74">
        <f ca="1">+INDEX('Charges_Including Slice and LS'!$Z$4:$Z$138,MATCH($A35,'Charges_Including Slice and LS'!$AA$4:$AA$138,0),1)</f>
        <v>-3.2366354761475549E-2</v>
      </c>
      <c r="D35" s="60">
        <f ca="1">+INDEX('Charges_Including Slice and LS'!$Y$4:$Y$138,MATCH($A35,'Charges_Including Slice and LS'!$AA$4:$AA$138,0),1)</f>
        <v>36.770262237413711</v>
      </c>
      <c r="E35" s="80">
        <f ca="1">+INDEX('Charges_Including Slice and LS'!$X$4:$X$138,MATCH($A35,'Charges_Including Slice and LS'!$AA$4:$AA$138,0),1)/1000</f>
        <v>269.38751999999999</v>
      </c>
      <c r="F35" s="80">
        <f ca="1">+SUM(E$5:E35)</f>
        <v>34142.717941983836</v>
      </c>
      <c r="H35" s="244" t="str">
        <f ca="1">+INDEX(Charges_NonSlice!$C$4:$C$138,MATCH($A35,Charges_NonSlice!$AA$4:$AA$138,0),1)</f>
        <v>Declo, City of</v>
      </c>
      <c r="I35" s="74">
        <f ca="1">+INDEX(Charges_NonSlice!$Z$4:$Z$138,MATCH($A35,Charges_NonSlice!$AA$4:$AA$138,0),1)</f>
        <v>-3.3869938655647018E-2</v>
      </c>
      <c r="J35" s="98">
        <f ca="1">+INDEX(Charges_NonSlice!$Y$4:$Y$138,MATCH($A35,Charges_NonSlice!$AA$4:$AA$138,0),1)</f>
        <v>37.001041460524782</v>
      </c>
      <c r="K35" s="246">
        <f ca="1">+INDEX(Charges_NonSlice!$X$4:$X$138,MATCH($A35,Charges_NonSlice!$AA$4:$AA$138,0),1)/1000</f>
        <v>2.9959199999999999</v>
      </c>
      <c r="L35" s="80">
        <f ca="1">+SUM(K$5:K35)</f>
        <v>11084.489675126135</v>
      </c>
      <c r="N35" s="244" t="str">
        <f ca="1">+INDEX('Charges_NonSlice &amp; Excl LS'!$C$4:$C$138,MATCH($A35,'Charges_NonSlice &amp; Excl LS'!$AA$4:$AA$138,0),1)</f>
        <v>Cowlitz County PUD #1</v>
      </c>
      <c r="O35" s="74">
        <f ca="1">+INDEX('Charges_NonSlice &amp; Excl LS'!$Z$4:$Z$138,MATCH($A35,'Charges_NonSlice &amp; Excl LS'!$AA$4:$AA$138,0),1)</f>
        <v>-3.3180101185988083E-2</v>
      </c>
      <c r="P35" s="98">
        <f ca="1">+INDEX('Charges_NonSlice &amp; Excl LS'!$Y$4:$Y$138,MATCH($A35,'Charges_NonSlice &amp; Excl LS'!$AA$4:$AA$138,0),1)</f>
        <v>33.929020090380625</v>
      </c>
      <c r="Q35" s="246">
        <f ca="1">+INDEX('Charges_NonSlice &amp; Excl LS'!$X$4:$X$138,MATCH($A35,'Charges_NonSlice &amp; Excl LS'!$AA$4:$AA$138,0),1)/1000</f>
        <v>1620.6763070267275</v>
      </c>
      <c r="R35" s="80">
        <f ca="1">+SUM(Q$5:Q35)</f>
        <v>12252.504547241784</v>
      </c>
      <c r="T35" s="244" t="str">
        <f ca="1">+INDEX(Charges_NonSlice!$C$4:$C$138,MATCH($A35,Charges_NonSlice!$AA$4:$AA$138,0),1)</f>
        <v>Declo, City of</v>
      </c>
      <c r="U35" s="74">
        <f t="shared" ca="1" si="0"/>
        <v>-1.9901525117738794E-2</v>
      </c>
      <c r="V35" s="98">
        <f ca="1">+INDEX(Charges_NonSlice!$Y$4:$Y$138,MATCH($A35,Charges_NonSlice!$AA$4:$AA$138,0),1)</f>
        <v>37.001041460524782</v>
      </c>
      <c r="W35" s="89">
        <f t="shared" ca="1" si="1"/>
        <v>37.752371224707495</v>
      </c>
      <c r="Y35" s="77" t="s">
        <v>37</v>
      </c>
      <c r="Z35" s="78">
        <v>37.848420092120676</v>
      </c>
    </row>
    <row r="36" spans="1:26">
      <c r="A36">
        <f t="shared" si="2"/>
        <v>32</v>
      </c>
      <c r="B36" s="82" t="str">
        <f ca="1">+INDEX('Charges_Including Slice and LS'!$C$4:$C$138,MATCH($A36,'Charges_Including Slice and LS'!$AA$4:$AA$138,0),1)</f>
        <v>Asotin County PUD #1</v>
      </c>
      <c r="C36" s="74">
        <f ca="1">+INDEX('Charges_Including Slice and LS'!$Z$4:$Z$138,MATCH($A36,'Charges_Including Slice and LS'!$AA$4:$AA$138,0),1)</f>
        <v>-3.2686936809880468E-2</v>
      </c>
      <c r="D36" s="60">
        <f ca="1">+INDEX('Charges_Including Slice and LS'!$Y$4:$Y$138,MATCH($A36,'Charges_Including Slice and LS'!$AA$4:$AA$138,0),1)</f>
        <v>38.493275178701829</v>
      </c>
      <c r="E36" s="80">
        <f ca="1">+INDEX('Charges_Including Slice and LS'!$X$4:$X$138,MATCH($A36,'Charges_Including Slice and LS'!$AA$4:$AA$138,0),1)/1000</f>
        <v>4.7917200000000006</v>
      </c>
      <c r="F36" s="80">
        <f ca="1">+SUM(E$5:E36)</f>
        <v>34147.509661983837</v>
      </c>
      <c r="H36" s="244" t="str">
        <f ca="1">+INDEX(Charges_NonSlice!$C$4:$C$138,MATCH($A36,Charges_NonSlice!$AA$4:$AA$138,0),1)</f>
        <v>Salem Elec Coop</v>
      </c>
      <c r="I36" s="74">
        <f ca="1">+INDEX(Charges_NonSlice!$Z$4:$Z$138,MATCH($A36,Charges_NonSlice!$AA$4:$AA$138,0),1)</f>
        <v>-3.4245462145375778E-2</v>
      </c>
      <c r="J36" s="98">
        <f ca="1">+INDEX(Charges_NonSlice!$Y$4:$Y$138,MATCH($A36,Charges_NonSlice!$AA$4:$AA$138,0),1)</f>
        <v>36.773706351610059</v>
      </c>
      <c r="K36" s="246">
        <f ca="1">+INDEX(Charges_NonSlice!$X$4:$X$138,MATCH($A36,Charges_NonSlice!$AA$4:$AA$138,0),1)/1000</f>
        <v>321.7074195385386</v>
      </c>
      <c r="L36" s="80">
        <f ca="1">+SUM(K$5:K36)</f>
        <v>11406.197094664674</v>
      </c>
      <c r="N36" s="244" t="str">
        <f ca="1">+INDEX('Charges_NonSlice &amp; Excl LS'!$C$4:$C$138,MATCH($A36,'Charges_NonSlice &amp; Excl LS'!$AA$4:$AA$138,0),1)</f>
        <v>Clatskanie PUD</v>
      </c>
      <c r="O36" s="74">
        <f ca="1">+INDEX('Charges_NonSlice &amp; Excl LS'!$Z$4:$Z$138,MATCH($A36,'Charges_NonSlice &amp; Excl LS'!$AA$4:$AA$138,0),1)</f>
        <v>-3.3180101189285917E-2</v>
      </c>
      <c r="P36" s="98">
        <f ca="1">+INDEX('Charges_NonSlice &amp; Excl LS'!$Y$4:$Y$138,MATCH($A36,'Charges_NonSlice &amp; Excl LS'!$AA$4:$AA$138,0),1)</f>
        <v>33.929020090380625</v>
      </c>
      <c r="Q36" s="246">
        <f ca="1">+INDEX('Charges_NonSlice &amp; Excl LS'!$X$4:$X$138,MATCH($A36,'Charges_NonSlice &amp; Excl LS'!$AA$4:$AA$138,0),1)/1000</f>
        <v>298.02665364393602</v>
      </c>
      <c r="R36" s="80">
        <f ca="1">+SUM(Q$5:Q36)</f>
        <v>12550.53120088572</v>
      </c>
      <c r="T36" s="244" t="str">
        <f ca="1">+INDEX(Charges_NonSlice!$C$4:$C$138,MATCH($A36,Charges_NonSlice!$AA$4:$AA$138,0),1)</f>
        <v>Salem Elec Coop</v>
      </c>
      <c r="U36" s="74">
        <f t="shared" ca="1" si="0"/>
        <v>-2.0101216855419435E-2</v>
      </c>
      <c r="V36" s="98">
        <f ca="1">+INDEX(Charges_NonSlice!$Y$4:$Y$138,MATCH($A36,Charges_NonSlice!$AA$4:$AA$138,0),1)</f>
        <v>36.773706351610059</v>
      </c>
      <c r="W36" s="89">
        <f t="shared" ca="1" si="1"/>
        <v>37.528066147403543</v>
      </c>
      <c r="Y36" s="77" t="s">
        <v>88</v>
      </c>
      <c r="Z36" s="78">
        <v>34.000484977571034</v>
      </c>
    </row>
    <row r="37" spans="1:26">
      <c r="A37">
        <f t="shared" si="2"/>
        <v>33</v>
      </c>
      <c r="B37" s="82" t="str">
        <f ca="1">+INDEX('Charges_Including Slice and LS'!$C$4:$C$138,MATCH($A37,'Charges_Including Slice and LS'!$AA$4:$AA$138,0),1)</f>
        <v>Ohop Mutual Light Company</v>
      </c>
      <c r="C37" s="74">
        <f ca="1">+INDEX('Charges_Including Slice and LS'!$Z$4:$Z$138,MATCH($A37,'Charges_Including Slice and LS'!$AA$4:$AA$138,0),1)</f>
        <v>-3.280122662005739E-2</v>
      </c>
      <c r="D37" s="60">
        <f ca="1">+INDEX('Charges_Including Slice and LS'!$Y$4:$Y$138,MATCH($A37,'Charges_Including Slice and LS'!$AA$4:$AA$138,0),1)</f>
        <v>35.62918623771634</v>
      </c>
      <c r="E37" s="80">
        <f ca="1">+INDEX('Charges_Including Slice and LS'!$X$4:$X$138,MATCH($A37,'Charges_Including Slice and LS'!$AA$4:$AA$138,0),1)/1000</f>
        <v>84.884399999999999</v>
      </c>
      <c r="F37" s="80">
        <f ca="1">+SUM(E$5:E37)</f>
        <v>34232.394061983839</v>
      </c>
      <c r="H37" s="244" t="str">
        <f ca="1">+INDEX(Charges_NonSlice!$C$4:$C$138,MATCH($A37,Charges_NonSlice!$AA$4:$AA$138,0),1)</f>
        <v>Chewelah, City of</v>
      </c>
      <c r="I37" s="74">
        <f ca="1">+INDEX(Charges_NonSlice!$Z$4:$Z$138,MATCH($A37,Charges_NonSlice!$AA$4:$AA$138,0),1)</f>
        <v>-3.4669346463964586E-2</v>
      </c>
      <c r="J37" s="98">
        <f ca="1">+INDEX(Charges_NonSlice!$Y$4:$Y$138,MATCH($A37,Charges_NonSlice!$AA$4:$AA$138,0),1)</f>
        <v>36.21473908504494</v>
      </c>
      <c r="K37" s="246">
        <f ca="1">+INDEX(Charges_NonSlice!$X$4:$X$138,MATCH($A37,Charges_NonSlice!$AA$4:$AA$138,0),1)/1000</f>
        <v>21.967331160064315</v>
      </c>
      <c r="L37" s="80">
        <f ca="1">+SUM(K$5:K37)</f>
        <v>11428.164425824738</v>
      </c>
      <c r="N37" s="244" t="str">
        <f ca="1">+INDEX('Charges_NonSlice &amp; Excl LS'!$C$4:$C$138,MATCH($A37,'Charges_NonSlice &amp; Excl LS'!$AA$4:$AA$138,0),1)</f>
        <v>Eugene Water &amp; Electric Board</v>
      </c>
      <c r="O37" s="74">
        <f ca="1">+INDEX('Charges_NonSlice &amp; Excl LS'!$Z$4:$Z$138,MATCH($A37,'Charges_NonSlice &amp; Excl LS'!$AA$4:$AA$138,0),1)</f>
        <v>-3.3180101189287443E-2</v>
      </c>
      <c r="P37" s="98">
        <f ca="1">+INDEX('Charges_NonSlice &amp; Excl LS'!$Y$4:$Y$138,MATCH($A37,'Charges_NonSlice &amp; Excl LS'!$AA$4:$AA$138,0),1)</f>
        <v>33.929020090380625</v>
      </c>
      <c r="Q37" s="246">
        <f ca="1">+INDEX('Charges_NonSlice &amp; Excl LS'!$X$4:$X$138,MATCH($A37,'Charges_NonSlice &amp; Excl LS'!$AA$4:$AA$138,0),1)/1000</f>
        <v>930.08226993469191</v>
      </c>
      <c r="R37" s="80">
        <f ca="1">+SUM(Q$5:Q37)</f>
        <v>13480.613470820412</v>
      </c>
      <c r="T37" s="244" t="str">
        <f ca="1">+INDEX(Charges_NonSlice!$C$4:$C$138,MATCH($A37,Charges_NonSlice!$AA$4:$AA$138,0),1)</f>
        <v>Chewelah, City of</v>
      </c>
      <c r="U37" s="74">
        <f t="shared" ca="1" si="0"/>
        <v>-2.1709611199683398E-2</v>
      </c>
      <c r="V37" s="98">
        <f ca="1">+INDEX(Charges_NonSlice!$Y$4:$Y$138,MATCH($A37,Charges_NonSlice!$AA$4:$AA$138,0),1)</f>
        <v>36.21473908504494</v>
      </c>
      <c r="W37" s="89">
        <f t="shared" ca="1" si="1"/>
        <v>37.01839402659909</v>
      </c>
      <c r="Y37" s="77" t="s">
        <v>40</v>
      </c>
      <c r="Z37" s="78">
        <v>38.074762540641707</v>
      </c>
    </row>
    <row r="38" spans="1:26">
      <c r="A38">
        <f t="shared" si="2"/>
        <v>34</v>
      </c>
      <c r="B38" s="82" t="str">
        <f ca="1">+INDEX('Charges_Including Slice and LS'!$C$4:$C$138,MATCH($A38,'Charges_Including Slice and LS'!$AA$4:$AA$138,0),1)</f>
        <v>Milton-Freewater, City of</v>
      </c>
      <c r="C38" s="74">
        <f ca="1">+INDEX('Charges_Including Slice and LS'!$Z$4:$Z$138,MATCH($A38,'Charges_Including Slice and LS'!$AA$4:$AA$138,0),1)</f>
        <v>-3.2919402387621054E-2</v>
      </c>
      <c r="D38" s="60">
        <f ca="1">+INDEX('Charges_Including Slice and LS'!$Y$4:$Y$138,MATCH($A38,'Charges_Including Slice and LS'!$AA$4:$AA$138,0),1)</f>
        <v>37.062265613386856</v>
      </c>
      <c r="E38" s="80">
        <f ca="1">+INDEX('Charges_Including Slice and LS'!$X$4:$X$138,MATCH($A38,'Charges_Including Slice and LS'!$AA$4:$AA$138,0),1)/1000</f>
        <v>79.801817132823444</v>
      </c>
      <c r="F38" s="80">
        <f ca="1">+SUM(E$5:E38)</f>
        <v>34312.195879116662</v>
      </c>
      <c r="H38" s="244" t="str">
        <f ca="1">+INDEX(Charges_NonSlice!$C$4:$C$138,MATCH($A38,Charges_NonSlice!$AA$4:$AA$138,0),1)</f>
        <v>Burley, City of</v>
      </c>
      <c r="I38" s="74">
        <f ca="1">+INDEX(Charges_NonSlice!$Z$4:$Z$138,MATCH($A38,Charges_NonSlice!$AA$4:$AA$138,0),1)</f>
        <v>-3.4780551329541227E-2</v>
      </c>
      <c r="J38" s="98">
        <f ca="1">+INDEX(Charges_NonSlice!$Y$4:$Y$138,MATCH($A38,Charges_NonSlice!$AA$4:$AA$138,0),1)</f>
        <v>35.814395955445619</v>
      </c>
      <c r="K38" s="246">
        <f ca="1">+INDEX(Charges_NonSlice!$X$4:$X$138,MATCH($A38,Charges_NonSlice!$AA$4:$AA$138,0),1)/1000</f>
        <v>117.52416000000001</v>
      </c>
      <c r="L38" s="80">
        <f ca="1">+SUM(K$5:K38)</f>
        <v>11545.688585824739</v>
      </c>
      <c r="N38" s="244" t="str">
        <f ca="1">+INDEX('Charges_NonSlice &amp; Excl LS'!$C$4:$C$138,MATCH($A38,'Charges_NonSlice &amp; Excl LS'!$AA$4:$AA$138,0),1)</f>
        <v>Snohomish County PUD #1</v>
      </c>
      <c r="O38" s="74">
        <f ca="1">+INDEX('Charges_NonSlice &amp; Excl LS'!$Z$4:$Z$138,MATCH($A38,'Charges_NonSlice &amp; Excl LS'!$AA$4:$AA$138,0),1)</f>
        <v>-3.3180101189340241E-2</v>
      </c>
      <c r="P38" s="98">
        <f ca="1">+INDEX('Charges_NonSlice &amp; Excl LS'!$Y$4:$Y$138,MATCH($A38,'Charges_NonSlice &amp; Excl LS'!$AA$4:$AA$138,0),1)</f>
        <v>33.929020090380632</v>
      </c>
      <c r="Q38" s="246">
        <f ca="1">+INDEX('Charges_NonSlice &amp; Excl LS'!$X$4:$X$138,MATCH($A38,'Charges_NonSlice &amp; Excl LS'!$AA$4:$AA$138,0),1)/1000</f>
        <v>2974.6192311261725</v>
      </c>
      <c r="R38" s="80">
        <f ca="1">+SUM(Q$5:Q38)</f>
        <v>16455.232701946585</v>
      </c>
      <c r="T38" s="244" t="str">
        <f ca="1">+INDEX(Charges_NonSlice!$C$4:$C$138,MATCH($A38,Charges_NonSlice!$AA$4:$AA$138,0),1)</f>
        <v>Burley, City of</v>
      </c>
      <c r="U38" s="74">
        <f t="shared" ca="1" si="0"/>
        <v>-3.6520508357693382E-2</v>
      </c>
      <c r="V38" s="98">
        <f ca="1">+INDEX(Charges_NonSlice!$Y$4:$Y$138,MATCH($A38,Charges_NonSlice!$AA$4:$AA$138,0),1)</f>
        <v>35.814395955445619</v>
      </c>
      <c r="W38" s="89">
        <f t="shared" ca="1" si="1"/>
        <v>37.171933877282541</v>
      </c>
      <c r="Y38" s="77" t="s">
        <v>36</v>
      </c>
      <c r="Z38" s="78">
        <v>37.521290429227363</v>
      </c>
    </row>
    <row r="39" spans="1:26">
      <c r="A39">
        <f t="shared" si="2"/>
        <v>35</v>
      </c>
      <c r="B39" s="82" t="str">
        <f ca="1">+INDEX('Charges_Including Slice and LS'!$C$4:$C$138,MATCH($A39,'Charges_Including Slice and LS'!$AA$4:$AA$138,0),1)</f>
        <v>Canby, City of</v>
      </c>
      <c r="C39" s="74">
        <f ca="1">+INDEX('Charges_Including Slice and LS'!$Z$4:$Z$138,MATCH($A39,'Charges_Including Slice and LS'!$AA$4:$AA$138,0),1)</f>
        <v>-3.3165182707217633E-2</v>
      </c>
      <c r="D39" s="60">
        <f ca="1">+INDEX('Charges_Including Slice and LS'!$Y$4:$Y$138,MATCH($A39,'Charges_Including Slice and LS'!$AA$4:$AA$138,0),1)</f>
        <v>36.467221592045881</v>
      </c>
      <c r="E39" s="80">
        <f ca="1">+INDEX('Charges_Including Slice and LS'!$X$4:$X$138,MATCH($A39,'Charges_Including Slice and LS'!$AA$4:$AA$138,0),1)/1000</f>
        <v>168.47667768131399</v>
      </c>
      <c r="F39" s="80">
        <f ca="1">+SUM(E$5:E39)</f>
        <v>34480.672556797974</v>
      </c>
      <c r="H39" s="244" t="str">
        <f ca="1">+INDEX(Charges_NonSlice!$C$4:$C$138,MATCH($A39,Charges_NonSlice!$AA$4:$AA$138,0),1)</f>
        <v>Lewis County PUD #1</v>
      </c>
      <c r="I39" s="74">
        <f ca="1">+INDEX(Charges_NonSlice!$Z$4:$Z$138,MATCH($A39,Charges_NonSlice!$AA$4:$AA$138,0),1)</f>
        <v>-3.4797518809212592E-2</v>
      </c>
      <c r="J39" s="98">
        <f ca="1">+INDEX(Charges_NonSlice!$Y$4:$Y$138,MATCH($A39,Charges_NonSlice!$AA$4:$AA$138,0),1)</f>
        <v>32.167025021058265</v>
      </c>
      <c r="K39" s="246">
        <f ca="1">+INDEX(Charges_NonSlice!$X$4:$X$138,MATCH($A39,Charges_NonSlice!$AA$4:$AA$138,0),1)/1000</f>
        <v>352.37647013174728</v>
      </c>
      <c r="L39" s="80">
        <f ca="1">+SUM(K$5:K39)</f>
        <v>11898.065055956486</v>
      </c>
      <c r="N39" s="244" t="str">
        <f ca="1">+INDEX('Charges_NonSlice &amp; Excl LS'!$C$4:$C$138,MATCH($A39,'Charges_NonSlice &amp; Excl LS'!$AA$4:$AA$138,0),1)</f>
        <v>Seattle City Light</v>
      </c>
      <c r="O39" s="74">
        <f ca="1">+INDEX('Charges_NonSlice &amp; Excl LS'!$Z$4:$Z$138,MATCH($A39,'Charges_NonSlice &amp; Excl LS'!$AA$4:$AA$138,0),1)</f>
        <v>-3.3180101189624771E-2</v>
      </c>
      <c r="P39" s="98">
        <f ca="1">+INDEX('Charges_NonSlice &amp; Excl LS'!$Y$4:$Y$138,MATCH($A39,'Charges_NonSlice &amp; Excl LS'!$AA$4:$AA$138,0),1)</f>
        <v>33.929020090380632</v>
      </c>
      <c r="Q39" s="246">
        <f ca="1">+INDEX('Charges_NonSlice &amp; Excl LS'!$X$4:$X$138,MATCH($A39,'Charges_NonSlice &amp; Excl LS'!$AA$4:$AA$138,0),1)/1000</f>
        <v>3772.2937303008725</v>
      </c>
      <c r="R39" s="80">
        <f ca="1">+SUM(Q$5:Q39)</f>
        <v>20227.526432247458</v>
      </c>
      <c r="T39" s="244" t="str">
        <f ca="1">+INDEX(Charges_NonSlice!$C$4:$C$138,MATCH($A39,Charges_NonSlice!$AA$4:$AA$138,0),1)</f>
        <v>Lewis County PUD #1</v>
      </c>
      <c r="U39" s="74">
        <f t="shared" ca="1" si="0"/>
        <v>-3.0457449622542376E-2</v>
      </c>
      <c r="V39" s="98">
        <f ca="1">+INDEX(Charges_NonSlice!$Y$4:$Y$138,MATCH($A39,Charges_NonSlice!$AA$4:$AA$138,0),1)</f>
        <v>32.167025021058265</v>
      </c>
      <c r="W39" s="89">
        <f t="shared" ca="1" si="1"/>
        <v>33.177527905851221</v>
      </c>
      <c r="Y39" s="77" t="s">
        <v>52</v>
      </c>
      <c r="Z39" s="78">
        <v>37.30152454691099</v>
      </c>
    </row>
    <row r="40" spans="1:26">
      <c r="A40">
        <f t="shared" si="2"/>
        <v>36</v>
      </c>
      <c r="B40" s="82" t="str">
        <f ca="1">+INDEX('Charges_Including Slice and LS'!$C$4:$C$138,MATCH($A40,'Charges_Including Slice and LS'!$AA$4:$AA$138,0),1)</f>
        <v>Weiser, City of</v>
      </c>
      <c r="C40" s="74">
        <f ca="1">+INDEX('Charges_Including Slice and LS'!$Z$4:$Z$138,MATCH($A40,'Charges_Including Slice and LS'!$AA$4:$AA$138,0),1)</f>
        <v>-3.3351182716249705E-2</v>
      </c>
      <c r="D40" s="60">
        <f ca="1">+INDEX('Charges_Including Slice and LS'!$Y$4:$Y$138,MATCH($A40,'Charges_Including Slice and LS'!$AA$4:$AA$138,0),1)</f>
        <v>35.282155513244959</v>
      </c>
      <c r="E40" s="80">
        <f ca="1">+INDEX('Charges_Including Slice and LS'!$X$4:$X$138,MATCH($A40,'Charges_Including Slice and LS'!$AA$4:$AA$138,0),1)/1000</f>
        <v>52.884120000000003</v>
      </c>
      <c r="F40" s="80">
        <f ca="1">+SUM(E$5:E40)</f>
        <v>34533.556676797976</v>
      </c>
      <c r="H40" s="244" t="str">
        <f ca="1">+INDEX(Charges_NonSlice!$C$4:$C$138,MATCH($A40,Charges_NonSlice!$AA$4:$AA$138,0),1)</f>
        <v>U.S. Naval Station, Everett (Jim Creek)</v>
      </c>
      <c r="I40" s="74">
        <f ca="1">+INDEX(Charges_NonSlice!$Z$4:$Z$138,MATCH($A40,Charges_NonSlice!$AA$4:$AA$138,0),1)</f>
        <v>-3.4862779274892092E-2</v>
      </c>
      <c r="J40" s="98">
        <f ca="1">+INDEX(Charges_NonSlice!$Y$4:$Y$138,MATCH($A40,Charges_NonSlice!$AA$4:$AA$138,0),1)</f>
        <v>35.819379959470062</v>
      </c>
      <c r="K40" s="246">
        <f ca="1">+INDEX(Charges_NonSlice!$X$4:$X$138,MATCH($A40,Charges_NonSlice!$AA$4:$AA$138,0),1)/1000</f>
        <v>12.763320000000002</v>
      </c>
      <c r="L40" s="80">
        <f ca="1">+SUM(K$5:K40)</f>
        <v>11910.828375956486</v>
      </c>
      <c r="N40" s="244" t="str">
        <f ca="1">+INDEX('Charges_NonSlice &amp; Excl LS'!$C$4:$C$138,MATCH($A40,'Charges_NonSlice &amp; Excl LS'!$AA$4:$AA$138,0),1)</f>
        <v>Grays Harbor PUD #1</v>
      </c>
      <c r="O40" s="74">
        <f ca="1">+INDEX('Charges_NonSlice &amp; Excl LS'!$Z$4:$Z$138,MATCH($A40,'Charges_NonSlice &amp; Excl LS'!$AA$4:$AA$138,0),1)</f>
        <v>-3.3180101189770252E-2</v>
      </c>
      <c r="P40" s="98">
        <f ca="1">+INDEX('Charges_NonSlice &amp; Excl LS'!$Y$4:$Y$138,MATCH($A40,'Charges_NonSlice &amp; Excl LS'!$AA$4:$AA$138,0),1)</f>
        <v>33.929020090380618</v>
      </c>
      <c r="Q40" s="246">
        <f ca="1">+INDEX('Charges_NonSlice &amp; Excl LS'!$X$4:$X$138,MATCH($A40,'Charges_NonSlice &amp; Excl LS'!$AA$4:$AA$138,0),1)/1000</f>
        <v>525.093175217772</v>
      </c>
      <c r="R40" s="80">
        <f ca="1">+SUM(Q$5:Q40)</f>
        <v>20752.619607465229</v>
      </c>
      <c r="T40" s="244" t="str">
        <f ca="1">+INDEX(Charges_NonSlice!$C$4:$C$138,MATCH($A40,Charges_NonSlice!$AA$4:$AA$138,0),1)</f>
        <v>U.S. Naval Station, Everett (Jim Creek)</v>
      </c>
      <c r="U40" s="74">
        <f t="shared" ca="1" si="0"/>
        <v>-1.8791002685718428E-2</v>
      </c>
      <c r="V40" s="98">
        <f ca="1">+INDEX(Charges_NonSlice!$Y$4:$Y$138,MATCH($A40,Charges_NonSlice!$AA$4:$AA$138,0),1)</f>
        <v>35.819379959470062</v>
      </c>
      <c r="W40" s="89">
        <f t="shared" ca="1" si="1"/>
        <v>36.50535212937627</v>
      </c>
      <c r="Y40" s="77" t="s">
        <v>21</v>
      </c>
      <c r="Z40" s="78">
        <v>37.171933877282541</v>
      </c>
    </row>
    <row r="41" spans="1:26">
      <c r="A41">
        <f t="shared" si="2"/>
        <v>37</v>
      </c>
      <c r="B41" s="82" t="str">
        <f ca="1">+INDEX('Charges_Including Slice and LS'!$C$4:$C$138,MATCH($A41,'Charges_Including Slice and LS'!$AA$4:$AA$138,0),1)</f>
        <v>Rupert, City of</v>
      </c>
      <c r="C41" s="74">
        <f ca="1">+INDEX('Charges_Including Slice and LS'!$Z$4:$Z$138,MATCH($A41,'Charges_Including Slice and LS'!$AA$4:$AA$138,0),1)</f>
        <v>-3.3362024507410999E-2</v>
      </c>
      <c r="D41" s="60">
        <f ca="1">+INDEX('Charges_Including Slice and LS'!$Y$4:$Y$138,MATCH($A41,'Charges_Including Slice and LS'!$AA$4:$AA$138,0),1)</f>
        <v>36.836320219311865</v>
      </c>
      <c r="E41" s="80">
        <f ca="1">+INDEX('Charges_Including Slice and LS'!$X$4:$X$138,MATCH($A41,'Charges_Including Slice and LS'!$AA$4:$AA$138,0),1)/1000</f>
        <v>78.73487999999999</v>
      </c>
      <c r="F41" s="80">
        <f ca="1">+SUM(E$5:E41)</f>
        <v>34612.29155679798</v>
      </c>
      <c r="H41" s="244" t="str">
        <f ca="1">+INDEX(Charges_NonSlice!$C$4:$C$138,MATCH($A41,Charges_NonSlice!$AA$4:$AA$138,0),1)</f>
        <v>Ferry County PUD #1</v>
      </c>
      <c r="I41" s="74">
        <f ca="1">+INDEX(Charges_NonSlice!$Z$4:$Z$138,MATCH($A41,Charges_NonSlice!$AA$4:$AA$138,0),1)</f>
        <v>-3.4889595892816629E-2</v>
      </c>
      <c r="J41" s="98">
        <f ca="1">+INDEX(Charges_NonSlice!$Y$4:$Y$138,MATCH($A41,Charges_NonSlice!$AA$4:$AA$138,0),1)</f>
        <v>32.999076843229318</v>
      </c>
      <c r="K41" s="246">
        <f ca="1">+INDEX(Charges_NonSlice!$X$4:$X$138,MATCH($A41,Charges_NonSlice!$AA$4:$AA$138,0),1)/1000</f>
        <v>72.25023099124914</v>
      </c>
      <c r="L41" s="80">
        <f ca="1">+SUM(K$5:K41)</f>
        <v>11983.078606947734</v>
      </c>
      <c r="N41" s="244" t="str">
        <f ca="1">+INDEX('Charges_NonSlice &amp; Excl LS'!$C$4:$C$138,MATCH($A41,'Charges_NonSlice &amp; Excl LS'!$AA$4:$AA$138,0),1)</f>
        <v>Idaho Falls Power</v>
      </c>
      <c r="O41" s="74">
        <f ca="1">+INDEX('Charges_NonSlice &amp; Excl LS'!$Z$4:$Z$138,MATCH($A41,'Charges_NonSlice &amp; Excl LS'!$AA$4:$AA$138,0),1)</f>
        <v>-3.3180101189849813E-2</v>
      </c>
      <c r="P41" s="98">
        <f ca="1">+INDEX('Charges_NonSlice &amp; Excl LS'!$Y$4:$Y$138,MATCH($A41,'Charges_NonSlice &amp; Excl LS'!$AA$4:$AA$138,0),1)</f>
        <v>33.929020090380625</v>
      </c>
      <c r="Q41" s="246">
        <f ca="1">+INDEX('Charges_NonSlice &amp; Excl LS'!$X$4:$X$138,MATCH($A41,'Charges_NonSlice &amp; Excl LS'!$AA$4:$AA$138,0),1)/1000</f>
        <v>228.11100750950399</v>
      </c>
      <c r="R41" s="80">
        <f ca="1">+SUM(Q$5:Q41)</f>
        <v>20980.730614974735</v>
      </c>
      <c r="T41" s="244" t="str">
        <f ca="1">+INDEX(Charges_NonSlice!$C$4:$C$138,MATCH($A41,Charges_NonSlice!$AA$4:$AA$138,0),1)</f>
        <v>Ferry County PUD #1</v>
      </c>
      <c r="U41" s="74">
        <f t="shared" ca="1" si="0"/>
        <v>-1.8528796264993819E-2</v>
      </c>
      <c r="V41" s="98">
        <f ca="1">+INDEX(Charges_NonSlice!$Y$4:$Y$138,MATCH($A41,Charges_NonSlice!$AA$4:$AA$138,0),1)</f>
        <v>32.999076843229318</v>
      </c>
      <c r="W41" s="89">
        <f t="shared" ca="1" si="1"/>
        <v>33.622053013527797</v>
      </c>
      <c r="Y41" s="77" t="s">
        <v>74</v>
      </c>
      <c r="Z41" s="78">
        <v>35.441024974836303</v>
      </c>
    </row>
    <row r="42" spans="1:26">
      <c r="A42">
        <f t="shared" si="2"/>
        <v>38</v>
      </c>
      <c r="B42" s="82" t="str">
        <f ca="1">+INDEX('Charges_Including Slice and LS'!$C$4:$C$138,MATCH($A42,'Charges_Including Slice and LS'!$AA$4:$AA$138,0),1)</f>
        <v>Albion, City of</v>
      </c>
      <c r="C42" s="74">
        <f ca="1">+INDEX('Charges_Including Slice and LS'!$Z$4:$Z$138,MATCH($A42,'Charges_Including Slice and LS'!$AA$4:$AA$138,0),1)</f>
        <v>-3.3427587313061141E-2</v>
      </c>
      <c r="D42" s="60">
        <f ca="1">+INDEX('Charges_Including Slice and LS'!$Y$4:$Y$138,MATCH($A42,'Charges_Including Slice and LS'!$AA$4:$AA$138,0),1)</f>
        <v>38.057183170727043</v>
      </c>
      <c r="E42" s="80">
        <f ca="1">+INDEX('Charges_Including Slice and LS'!$X$4:$X$138,MATCH($A42,'Charges_Including Slice and LS'!$AA$4:$AA$138,0),1)/1000</f>
        <v>3.3288000000000002</v>
      </c>
      <c r="F42" s="80">
        <f ca="1">+SUM(E$5:E42)</f>
        <v>34615.620356797983</v>
      </c>
      <c r="H42" s="244" t="str">
        <f ca="1">+INDEX(Charges_NonSlice!$C$4:$C$138,MATCH($A42,Charges_NonSlice!$AA$4:$AA$138,0),1)</f>
        <v>Energy Northwest</v>
      </c>
      <c r="I42" s="74">
        <f ca="1">+INDEX(Charges_NonSlice!$Z$4:$Z$138,MATCH($A42,Charges_NonSlice!$AA$4:$AA$138,0),1)</f>
        <v>-3.5174832565994511E-2</v>
      </c>
      <c r="J42" s="98">
        <f ca="1">+INDEX(Charges_NonSlice!$Y$4:$Y$138,MATCH($A42,Charges_NonSlice!$AA$4:$AA$138,0),1)</f>
        <v>36.398434459861562</v>
      </c>
      <c r="K42" s="246">
        <f ca="1">+INDEX(Charges_NonSlice!$X$4:$X$138,MATCH($A42,Charges_NonSlice!$AA$4:$AA$138,0),1)/1000</f>
        <v>19.866544063467753</v>
      </c>
      <c r="L42" s="80">
        <f ca="1">+SUM(K$5:K42)</f>
        <v>12002.945151011203</v>
      </c>
      <c r="N42" s="244" t="str">
        <f ca="1">+INDEX('Charges_NonSlice &amp; Excl LS'!$C$4:$C$138,MATCH($A42,'Charges_NonSlice &amp; Excl LS'!$AA$4:$AA$138,0),1)</f>
        <v>Tacoma Public Utilities</v>
      </c>
      <c r="O42" s="74">
        <f ca="1">+INDEX('Charges_NonSlice &amp; Excl LS'!$Z$4:$Z$138,MATCH($A42,'Charges_NonSlice &amp; Excl LS'!$AA$4:$AA$138,0),1)</f>
        <v>-3.3180101190235817E-2</v>
      </c>
      <c r="P42" s="98">
        <f ca="1">+INDEX('Charges_NonSlice &amp; Excl LS'!$Y$4:$Y$138,MATCH($A42,'Charges_NonSlice &amp; Excl LS'!$AA$4:$AA$138,0),1)</f>
        <v>33.929020090380618</v>
      </c>
      <c r="Q42" s="246">
        <f ca="1">+INDEX('Charges_NonSlice &amp; Excl LS'!$X$4:$X$138,MATCH($A42,'Charges_NonSlice &amp; Excl LS'!$AA$4:$AA$138,0),1)/1000</f>
        <v>1425.021077179224</v>
      </c>
      <c r="R42" s="80">
        <f ca="1">+SUM(Q$5:Q42)</f>
        <v>22405.751692153957</v>
      </c>
      <c r="T42" s="244" t="str">
        <f ca="1">+INDEX(Charges_NonSlice!$C$4:$C$138,MATCH($A42,Charges_NonSlice!$AA$4:$AA$138,0),1)</f>
        <v>Energy Northwest</v>
      </c>
      <c r="U42" s="74">
        <f t="shared" ca="1" si="0"/>
        <v>1.2172057068528197E-2</v>
      </c>
      <c r="V42" s="98">
        <f ca="1">+INDEX(Charges_NonSlice!$Y$4:$Y$138,MATCH($A42,Charges_NonSlice!$AA$4:$AA$138,0),1)</f>
        <v>36.398434459861562</v>
      </c>
      <c r="W42" s="89">
        <f t="shared" ca="1" si="1"/>
        <v>35.960718541548552</v>
      </c>
      <c r="Y42" s="77" t="s">
        <v>28</v>
      </c>
      <c r="Z42" s="78">
        <v>37.588258681375102</v>
      </c>
    </row>
    <row r="43" spans="1:26">
      <c r="A43">
        <f t="shared" si="2"/>
        <v>39</v>
      </c>
      <c r="B43" s="82" t="str">
        <f ca="1">+INDEX('Charges_Including Slice and LS'!$C$4:$C$138,MATCH($A43,'Charges_Including Slice and LS'!$AA$4:$AA$138,0),1)</f>
        <v>Monmouth, City of</v>
      </c>
      <c r="C43" s="74">
        <f ca="1">+INDEX('Charges_Including Slice and LS'!$Z$4:$Z$138,MATCH($A43,'Charges_Including Slice and LS'!$AA$4:$AA$138,0),1)</f>
        <v>-3.3458383392062786E-2</v>
      </c>
      <c r="D43" s="60">
        <f ca="1">+INDEX('Charges_Including Slice and LS'!$Y$4:$Y$138,MATCH($A43,'Charges_Including Slice and LS'!$AA$4:$AA$138,0),1)</f>
        <v>36.863356215731045</v>
      </c>
      <c r="E43" s="80">
        <f ca="1">+INDEX('Charges_Including Slice and LS'!$X$4:$X$138,MATCH($A43,'Charges_Including Slice and LS'!$AA$4:$AA$138,0),1)/1000</f>
        <v>69.887280000000004</v>
      </c>
      <c r="F43" s="80">
        <f ca="1">+SUM(E$5:E43)</f>
        <v>34685.507636797985</v>
      </c>
      <c r="H43" s="244" t="str">
        <f ca="1">+INDEX(Charges_NonSlice!$C$4:$C$138,MATCH($A43,Charges_NonSlice!$AA$4:$AA$138,0),1)</f>
        <v>Wahkiakum County PUD #1</v>
      </c>
      <c r="I43" s="74">
        <f ca="1">+INDEX(Charges_NonSlice!$Z$4:$Z$138,MATCH($A43,Charges_NonSlice!$AA$4:$AA$138,0),1)</f>
        <v>-3.5212950995923115E-2</v>
      </c>
      <c r="J43" s="98">
        <f ca="1">+INDEX(Charges_NonSlice!$Y$4:$Y$138,MATCH($A43,Charges_NonSlice!$AA$4:$AA$138,0),1)</f>
        <v>34.226059080448984</v>
      </c>
      <c r="K43" s="246">
        <f ca="1">+INDEX(Charges_NonSlice!$X$4:$X$138,MATCH($A43,Charges_NonSlice!$AA$4:$AA$138,0),1)/1000</f>
        <v>41.829000000000001</v>
      </c>
      <c r="L43" s="80">
        <f ca="1">+SUM(K$5:K43)</f>
        <v>12044.774151011203</v>
      </c>
      <c r="N43" s="244" t="str">
        <f ca="1">+INDEX('Charges_NonSlice &amp; Excl LS'!$C$4:$C$138,MATCH($A43,'Charges_NonSlice &amp; Excl LS'!$AA$4:$AA$138,0),1)</f>
        <v>Consolidated Irrigation District #19</v>
      </c>
      <c r="O43" s="74">
        <f ca="1">+INDEX('Charges_NonSlice &amp; Excl LS'!$Z$4:$Z$138,MATCH($A43,'Charges_NonSlice &amp; Excl LS'!$AA$4:$AA$138,0),1)</f>
        <v>-3.3180101190241035E-2</v>
      </c>
      <c r="P43" s="98">
        <f ca="1">+INDEX('Charges_NonSlice &amp; Excl LS'!$Y$4:$Y$138,MATCH($A43,'Charges_NonSlice &amp; Excl LS'!$AA$4:$AA$138,0),1)</f>
        <v>33.929020090380618</v>
      </c>
      <c r="Q43" s="246">
        <f ca="1">+INDEX('Charges_NonSlice &amp; Excl LS'!$X$4:$X$138,MATCH($A43,'Charges_NonSlice &amp; Excl LS'!$AA$4:$AA$138,0),1)/1000</f>
        <v>1.900138255848</v>
      </c>
      <c r="R43" s="80">
        <f ca="1">+SUM(Q$5:Q43)</f>
        <v>22407.651830409806</v>
      </c>
      <c r="T43" s="244" t="str">
        <f ca="1">+INDEX(Charges_NonSlice!$C$4:$C$138,MATCH($A43,Charges_NonSlice!$AA$4:$AA$138,0),1)</f>
        <v>Wahkiakum County PUD #1</v>
      </c>
      <c r="U43" s="74">
        <f t="shared" ca="1" si="0"/>
        <v>-4.0334069247635163E-2</v>
      </c>
      <c r="V43" s="98">
        <f ca="1">+INDEX(Charges_NonSlice!$Y$4:$Y$138,MATCH($A43,Charges_NonSlice!$AA$4:$AA$138,0),1)</f>
        <v>34.226059080448984</v>
      </c>
      <c r="W43" s="89">
        <f t="shared" ca="1" si="1"/>
        <v>35.664555741409124</v>
      </c>
      <c r="Y43" s="77" t="s">
        <v>61</v>
      </c>
      <c r="Z43" s="78">
        <v>35.960718541548552</v>
      </c>
    </row>
    <row r="44" spans="1:26">
      <c r="A44">
        <f t="shared" si="2"/>
        <v>40</v>
      </c>
      <c r="B44" s="82" t="str">
        <f ca="1">+INDEX('Charges_Including Slice and LS'!$C$4:$C$138,MATCH($A44,'Charges_Including Slice and LS'!$AA$4:$AA$138,0),1)</f>
        <v>Farmers Elec Coop</v>
      </c>
      <c r="C44" s="74">
        <f ca="1">+INDEX('Charges_Including Slice and LS'!$Z$4:$Z$138,MATCH($A44,'Charges_Including Slice and LS'!$AA$4:$AA$138,0),1)</f>
        <v>-3.3510133392783532E-2</v>
      </c>
      <c r="D44" s="60">
        <f ca="1">+INDEX('Charges_Including Slice and LS'!$Y$4:$Y$138,MATCH($A44,'Charges_Including Slice and LS'!$AA$4:$AA$138,0),1)</f>
        <v>36.653838654852827</v>
      </c>
      <c r="E44" s="80">
        <f ca="1">+INDEX('Charges_Including Slice and LS'!$X$4:$X$138,MATCH($A44,'Charges_Including Slice and LS'!$AA$4:$AA$138,0),1)/1000</f>
        <v>4.2398400000000001</v>
      </c>
      <c r="F44" s="80">
        <f ca="1">+SUM(E$5:E44)</f>
        <v>34689.747476797987</v>
      </c>
      <c r="H44" s="244" t="str">
        <f ca="1">+INDEX(Charges_NonSlice!$C$4:$C$138,MATCH($A44,Charges_NonSlice!$AA$4:$AA$138,0),1)</f>
        <v>Springfield Utility Board</v>
      </c>
      <c r="I44" s="74">
        <f ca="1">+INDEX(Charges_NonSlice!$Z$4:$Z$138,MATCH($A44,Charges_NonSlice!$AA$4:$AA$138,0),1)</f>
        <v>-3.525167906530418E-2</v>
      </c>
      <c r="J44" s="98">
        <f ca="1">+INDEX(Charges_NonSlice!$Y$4:$Y$138,MATCH($A44,Charges_NonSlice!$AA$4:$AA$138,0),1)</f>
        <v>35.506781943251355</v>
      </c>
      <c r="K44" s="246">
        <f ca="1">+INDEX(Charges_NonSlice!$X$4:$X$138,MATCH($A44,Charges_NonSlice!$AA$4:$AA$138,0),1)/1000</f>
        <v>794.43024283046043</v>
      </c>
      <c r="L44" s="80">
        <f ca="1">+SUM(K$5:K44)</f>
        <v>12839.204393841663</v>
      </c>
      <c r="N44" s="244" t="str">
        <f ca="1">+INDEX('Charges_NonSlice &amp; Excl LS'!$C$4:$C$138,MATCH($A44,'Charges_NonSlice &amp; Excl LS'!$AA$4:$AA$138,0),1)</f>
        <v>Pacific County PUD #2</v>
      </c>
      <c r="O44" s="74">
        <f ca="1">+INDEX('Charges_NonSlice &amp; Excl LS'!$Z$4:$Z$138,MATCH($A44,'Charges_NonSlice &amp; Excl LS'!$AA$4:$AA$138,0),1)</f>
        <v>-3.3180101190719215E-2</v>
      </c>
      <c r="P44" s="98">
        <f ca="1">+INDEX('Charges_NonSlice &amp; Excl LS'!$Y$4:$Y$138,MATCH($A44,'Charges_NonSlice &amp; Excl LS'!$AA$4:$AA$138,0),1)</f>
        <v>33.929020090380625</v>
      </c>
      <c r="Q44" s="246">
        <f ca="1">+INDEX('Charges_NonSlice &amp; Excl LS'!$X$4:$X$138,MATCH($A44,'Charges_NonSlice &amp; Excl LS'!$AA$4:$AA$138,0),1)/1000</f>
        <v>137.38235631800401</v>
      </c>
      <c r="R44" s="80">
        <f ca="1">+SUM(Q$5:Q44)</f>
        <v>22545.034186727811</v>
      </c>
      <c r="T44" s="244" t="str">
        <f ca="1">+INDEX(Charges_NonSlice!$C$4:$C$138,MATCH($A44,Charges_NonSlice!$AA$4:$AA$138,0),1)</f>
        <v>Springfield Utility Board</v>
      </c>
      <c r="U44" s="74">
        <f t="shared" ca="1" si="0"/>
        <v>-5.6755015563877964E-2</v>
      </c>
      <c r="V44" s="98">
        <f ca="1">+INDEX(Charges_NonSlice!$Y$4:$Y$138,MATCH($A44,Charges_NonSlice!$AA$4:$AA$138,0),1)</f>
        <v>35.506781943251355</v>
      </c>
      <c r="W44" s="89">
        <f t="shared" ca="1" si="1"/>
        <v>37.643223689630894</v>
      </c>
      <c r="Y44" s="77" t="s">
        <v>10</v>
      </c>
      <c r="Z44" s="78">
        <v>32.334116824634918</v>
      </c>
    </row>
    <row r="45" spans="1:26">
      <c r="A45">
        <f t="shared" si="2"/>
        <v>41</v>
      </c>
      <c r="B45" s="82" t="str">
        <f ca="1">+INDEX('Charges_Including Slice and LS'!$C$4:$C$138,MATCH($A45,'Charges_Including Slice and LS'!$AA$4:$AA$138,0),1)</f>
        <v>Mason County PUD #3</v>
      </c>
      <c r="C45" s="74">
        <f ca="1">+INDEX('Charges_Including Slice and LS'!$Z$4:$Z$138,MATCH($A45,'Charges_Including Slice and LS'!$AA$4:$AA$138,0),1)</f>
        <v>-3.3529615244874383E-2</v>
      </c>
      <c r="D45" s="60">
        <f ca="1">+INDEX('Charges_Including Slice and LS'!$Y$4:$Y$138,MATCH($A45,'Charges_Including Slice and LS'!$AA$4:$AA$138,0),1)</f>
        <v>34.733496982293502</v>
      </c>
      <c r="E45" s="80">
        <f ca="1">+INDEX('Charges_Including Slice and LS'!$X$4:$X$138,MATCH($A45,'Charges_Including Slice and LS'!$AA$4:$AA$138,0),1)/1000</f>
        <v>667.89743999999996</v>
      </c>
      <c r="F45" s="80">
        <f ca="1">+SUM(E$5:E45)</f>
        <v>35357.644916797988</v>
      </c>
      <c r="H45" s="244" t="str">
        <f ca="1">+INDEX(Charges_NonSlice!$C$4:$C$138,MATCH($A45,Charges_NonSlice!$AA$4:$AA$138,0),1)</f>
        <v>Eugene Water &amp; Electric Board</v>
      </c>
      <c r="I45" s="74">
        <f ca="1">+INDEX(Charges_NonSlice!$Z$4:$Z$138,MATCH($A45,Charges_NonSlice!$AA$4:$AA$138,0),1)</f>
        <v>-3.536441977266809E-2</v>
      </c>
      <c r="J45" s="98">
        <f ca="1">+INDEX(Charges_NonSlice!$Y$4:$Y$138,MATCH($A45,Charges_NonSlice!$AA$4:$AA$138,0),1)</f>
        <v>34.218774620923227</v>
      </c>
      <c r="K45" s="246">
        <f ca="1">+INDEX(Charges_NonSlice!$X$4:$X$138,MATCH($A45,Charges_NonSlice!$AA$4:$AA$138,0),1)/1000</f>
        <v>930.082481489972</v>
      </c>
      <c r="L45" s="80">
        <f ca="1">+SUM(K$5:K45)</f>
        <v>13769.286875331634</v>
      </c>
      <c r="N45" s="244" t="str">
        <f ca="1">+INDEX('Charges_NonSlice &amp; Excl LS'!$C$4:$C$138,MATCH($A45,'Charges_NonSlice &amp; Excl LS'!$AA$4:$AA$138,0),1)</f>
        <v>Cheney, City of</v>
      </c>
      <c r="O45" s="74">
        <f ca="1">+INDEX('Charges_NonSlice &amp; Excl LS'!$Z$4:$Z$138,MATCH($A45,'Charges_NonSlice &amp; Excl LS'!$AA$4:$AA$138,0),1)</f>
        <v>-3.3283458431979045E-2</v>
      </c>
      <c r="P45" s="98">
        <f ca="1">+INDEX('Charges_NonSlice &amp; Excl LS'!$Y$4:$Y$138,MATCH($A45,'Charges_NonSlice &amp; Excl LS'!$AA$4:$AA$138,0),1)</f>
        <v>38.186125718692765</v>
      </c>
      <c r="Q45" s="246">
        <f ca="1">+INDEX('Charges_NonSlice &amp; Excl LS'!$X$4:$X$138,MATCH($A45,'Charges_NonSlice &amp; Excl LS'!$AA$4:$AA$138,0),1)/1000</f>
        <v>132.17172874063201</v>
      </c>
      <c r="R45" s="80">
        <f ca="1">+SUM(Q$5:Q45)</f>
        <v>22677.205915468443</v>
      </c>
      <c r="T45" s="244" t="str">
        <f ca="1">+INDEX(Charges_NonSlice!$C$4:$C$138,MATCH($A45,Charges_NonSlice!$AA$4:$AA$138,0),1)</f>
        <v>Eugene Water &amp; Electric Board</v>
      </c>
      <c r="U45" s="74">
        <f t="shared" ca="1" si="0"/>
        <v>-2.4227401881347532E-2</v>
      </c>
      <c r="V45" s="98">
        <f ca="1">+INDEX(Charges_NonSlice!$Y$4:$Y$138,MATCH($A45,Charges_NonSlice!$AA$4:$AA$138,0),1)</f>
        <v>34.218774620923227</v>
      </c>
      <c r="W45" s="89">
        <f t="shared" ca="1" si="1"/>
        <v>35.068390613652255</v>
      </c>
      <c r="Y45" s="77" t="s">
        <v>13</v>
      </c>
      <c r="Z45" s="78">
        <v>36.89911258651523</v>
      </c>
    </row>
    <row r="46" spans="1:26">
      <c r="A46">
        <f t="shared" si="2"/>
        <v>42</v>
      </c>
      <c r="B46" s="82" t="str">
        <f ca="1">+INDEX('Charges_Including Slice and LS'!$C$4:$C$138,MATCH($A46,'Charges_Including Slice and LS'!$AA$4:$AA$138,0),1)</f>
        <v>U.S. DOE Albany Research Center</v>
      </c>
      <c r="C46" s="74">
        <f ca="1">+INDEX('Charges_Including Slice and LS'!$Z$4:$Z$138,MATCH($A46,'Charges_Including Slice and LS'!$AA$4:$AA$138,0),1)</f>
        <v>-3.3728916858688507E-2</v>
      </c>
      <c r="D46" s="60">
        <f ca="1">+INDEX('Charges_Including Slice and LS'!$Y$4:$Y$138,MATCH($A46,'Charges_Including Slice and LS'!$AA$4:$AA$138,0),1)</f>
        <v>37.092288484940397</v>
      </c>
      <c r="E46" s="80">
        <f ca="1">+INDEX('Charges_Including Slice and LS'!$X$4:$X$138,MATCH($A46,'Charges_Including Slice and LS'!$AA$4:$AA$138,0),1)/1000</f>
        <v>3.8281199999999997</v>
      </c>
      <c r="F46" s="80">
        <f ca="1">+SUM(E$5:E46)</f>
        <v>35361.473036797986</v>
      </c>
      <c r="H46" s="244" t="str">
        <f ca="1">+INDEX(Charges_NonSlice!$C$4:$C$138,MATCH($A46,Charges_NonSlice!$AA$4:$AA$138,0),1)</f>
        <v>PNGC Aggregate</v>
      </c>
      <c r="I46" s="74">
        <f ca="1">+INDEX(Charges_NonSlice!$Z$4:$Z$138,MATCH($A46,Charges_NonSlice!$AA$4:$AA$138,0),1)</f>
        <v>-3.5395506283606409E-2</v>
      </c>
      <c r="J46" s="98">
        <f ca="1">+INDEX(Charges_NonSlice!$Y$4:$Y$138,MATCH($A46,Charges_NonSlice!$AA$4:$AA$138,0),1)</f>
        <v>33.216043103760299</v>
      </c>
      <c r="K46" s="246">
        <f ca="1">+INDEX(Charges_NonSlice!$X$4:$X$138,MATCH($A46,Charges_NonSlice!$AA$4:$AA$138,0),1)/1000</f>
        <v>3638.73756</v>
      </c>
      <c r="L46" s="80">
        <f ca="1">+SUM(K$5:K46)</f>
        <v>17408.024435331634</v>
      </c>
      <c r="N46" s="244" t="str">
        <f ca="1">+INDEX('Charges_NonSlice &amp; Excl LS'!$C$4:$C$138,MATCH($A46,'Charges_NonSlice &amp; Excl LS'!$AA$4:$AA$138,0),1)</f>
        <v>Centralia, City of</v>
      </c>
      <c r="O46" s="74">
        <f ca="1">+INDEX('Charges_NonSlice &amp; Excl LS'!$Z$4:$Z$138,MATCH($A46,'Charges_NonSlice &amp; Excl LS'!$AA$4:$AA$138,0),1)</f>
        <v>-3.3347233132171861E-2</v>
      </c>
      <c r="P46" s="98">
        <f ca="1">+INDEX('Charges_NonSlice &amp; Excl LS'!$Y$4:$Y$138,MATCH($A46,'Charges_NonSlice &amp; Excl LS'!$AA$4:$AA$138,0),1)</f>
        <v>34.663441951640138</v>
      </c>
      <c r="Q46" s="246">
        <f ca="1">+INDEX('Charges_NonSlice &amp; Excl LS'!$X$4:$X$138,MATCH($A46,'Charges_NonSlice &amp; Excl LS'!$AA$4:$AA$138,0),1)/1000</f>
        <v>203.651153253324</v>
      </c>
      <c r="R46" s="80">
        <f ca="1">+SUM(Q$5:Q46)</f>
        <v>22880.857068721765</v>
      </c>
      <c r="T46" s="244" t="str">
        <f ca="1">+INDEX(Charges_NonSlice!$C$4:$C$138,MATCH($A46,Charges_NonSlice!$AA$4:$AA$138,0),1)</f>
        <v>PNGC Aggregate</v>
      </c>
      <c r="U46" s="74">
        <f t="shared" ca="1" si="0"/>
        <v>-3.7927086259632592E-3</v>
      </c>
      <c r="V46" s="98">
        <f ca="1">+INDEX(Charges_NonSlice!$Y$4:$Y$138,MATCH($A46,Charges_NonSlice!$AA$4:$AA$138,0),1)</f>
        <v>33.216043103760299</v>
      </c>
      <c r="W46" s="89">
        <f t="shared" ca="1" si="1"/>
        <v>33.342501496798398</v>
      </c>
      <c r="Y46" s="77" t="s">
        <v>123</v>
      </c>
      <c r="Z46" s="78">
        <v>38.113992897310453</v>
      </c>
    </row>
    <row r="47" spans="1:26">
      <c r="A47">
        <f t="shared" si="2"/>
        <v>43</v>
      </c>
      <c r="B47" s="82" t="str">
        <f ca="1">+INDEX('Charges_Including Slice and LS'!$C$4:$C$138,MATCH($A47,'Charges_Including Slice and LS'!$AA$4:$AA$138,0),1)</f>
        <v>Jefferson County PUD #1</v>
      </c>
      <c r="C47" s="74">
        <f ca="1">+INDEX('Charges_Including Slice and LS'!$Z$4:$Z$138,MATCH($A47,'Charges_Including Slice and LS'!$AA$4:$AA$138,0),1)</f>
        <v>-3.3732981472393897E-2</v>
      </c>
      <c r="D47" s="60">
        <f ca="1">+INDEX('Charges_Including Slice and LS'!$Y$4:$Y$138,MATCH($A47,'Charges_Including Slice and LS'!$AA$4:$AA$138,0),1)</f>
        <v>36.339078301488662</v>
      </c>
      <c r="E47" s="80">
        <f ca="1">+INDEX('Charges_Including Slice and LS'!$X$4:$X$138,MATCH($A47,'Charges_Including Slice and LS'!$AA$4:$AA$138,0),1)/1000</f>
        <v>376.33854030965239</v>
      </c>
      <c r="F47" s="80">
        <f ca="1">+SUM(E$5:E47)</f>
        <v>35737.811577107641</v>
      </c>
      <c r="H47" s="244" t="str">
        <f ca="1">+INDEX(Charges_NonSlice!$C$4:$C$138,MATCH($A47,Charges_NonSlice!$AA$4:$AA$138,0),1)</f>
        <v>Idaho Falls Power</v>
      </c>
      <c r="I47" s="74">
        <f ca="1">+INDEX(Charges_NonSlice!$Z$4:$Z$138,MATCH($A47,Charges_NonSlice!$AA$4:$AA$138,0),1)</f>
        <v>-3.5496220540798637E-2</v>
      </c>
      <c r="J47" s="98">
        <f ca="1">+INDEX(Charges_NonSlice!$Y$4:$Y$138,MATCH($A47,Charges_NonSlice!$AA$4:$AA$138,0),1)</f>
        <v>34.043888329384586</v>
      </c>
      <c r="K47" s="246">
        <f ca="1">+INDEX(Charges_NonSlice!$X$4:$X$138,MATCH($A47,Charges_NonSlice!$AA$4:$AA$138,0),1)/1000</f>
        <v>228.11227988996723</v>
      </c>
      <c r="L47" s="80">
        <f ca="1">+SUM(K$5:K47)</f>
        <v>17636.136715221601</v>
      </c>
      <c r="N47" s="244" t="str">
        <f ca="1">+INDEX('Charges_NonSlice &amp; Excl LS'!$C$4:$C$138,MATCH($A47,'Charges_NonSlice &amp; Excl LS'!$AA$4:$AA$138,0),1)</f>
        <v>Blaine, City of</v>
      </c>
      <c r="O47" s="74">
        <f ca="1">+INDEX('Charges_NonSlice &amp; Excl LS'!$Z$4:$Z$138,MATCH($A47,'Charges_NonSlice &amp; Excl LS'!$AA$4:$AA$138,0),1)</f>
        <v>-3.3396435116270884E-2</v>
      </c>
      <c r="P47" s="98">
        <f ca="1">+INDEX('Charges_NonSlice &amp; Excl LS'!$Y$4:$Y$138,MATCH($A47,'Charges_NonSlice &amp; Excl LS'!$AA$4:$AA$138,0),1)</f>
        <v>36.126613020999486</v>
      </c>
      <c r="Q47" s="246">
        <f ca="1">+INDEX('Charges_NonSlice &amp; Excl LS'!$X$4:$X$138,MATCH($A47,'Charges_NonSlice &amp; Excl LS'!$AA$4:$AA$138,0),1)/1000</f>
        <v>73.084510244340009</v>
      </c>
      <c r="R47" s="80">
        <f ca="1">+SUM(Q$5:Q47)</f>
        <v>22953.941578966107</v>
      </c>
      <c r="T47" s="244" t="str">
        <f ca="1">+INDEX(Charges_NonSlice!$C$4:$C$138,MATCH($A47,Charges_NonSlice!$AA$4:$AA$138,0),1)</f>
        <v>Idaho Falls Power</v>
      </c>
      <c r="U47" s="74">
        <f t="shared" ca="1" si="0"/>
        <v>-2.5232584743653419E-2</v>
      </c>
      <c r="V47" s="98">
        <f ca="1">+INDEX(Charges_NonSlice!$Y$4:$Y$138,MATCH($A47,Charges_NonSlice!$AA$4:$AA$138,0),1)</f>
        <v>34.043888329384586</v>
      </c>
      <c r="W47" s="89">
        <f t="shared" ca="1" si="1"/>
        <v>34.925139881118866</v>
      </c>
      <c r="Y47" s="77" t="s">
        <v>18</v>
      </c>
      <c r="Z47" s="78">
        <v>37.488974408263502</v>
      </c>
    </row>
    <row r="48" spans="1:26">
      <c r="A48">
        <f t="shared" si="2"/>
        <v>44</v>
      </c>
      <c r="B48" s="82" t="str">
        <f ca="1">+INDEX('Charges_Including Slice and LS'!$C$4:$C$138,MATCH($A48,'Charges_Including Slice and LS'!$AA$4:$AA$138,0),1)</f>
        <v>Declo, City of</v>
      </c>
      <c r="C48" s="74">
        <f ca="1">+INDEX('Charges_Including Slice and LS'!$Z$4:$Z$138,MATCH($A48,'Charges_Including Slice and LS'!$AA$4:$AA$138,0),1)</f>
        <v>-3.3869938655647358E-2</v>
      </c>
      <c r="D48" s="60">
        <f ca="1">+INDEX('Charges_Including Slice and LS'!$Y$4:$Y$138,MATCH($A48,'Charges_Including Slice and LS'!$AA$4:$AA$138,0),1)</f>
        <v>37.001041460524782</v>
      </c>
      <c r="E48" s="80">
        <f ca="1">+INDEX('Charges_Including Slice and LS'!$X$4:$X$138,MATCH($A48,'Charges_Including Slice and LS'!$AA$4:$AA$138,0),1)/1000</f>
        <v>2.9959199999999999</v>
      </c>
      <c r="F48" s="80">
        <f ca="1">+SUM(E$5:E48)</f>
        <v>35740.807497107642</v>
      </c>
      <c r="H48" s="244" t="str">
        <f ca="1">+INDEX(Charges_NonSlice!$C$4:$C$138,MATCH($A48,Charges_NonSlice!$AA$4:$AA$138,0),1)</f>
        <v>Port Angeles, City of</v>
      </c>
      <c r="I48" s="74">
        <f ca="1">+INDEX(Charges_NonSlice!$Z$4:$Z$138,MATCH($A48,Charges_NonSlice!$AA$4:$AA$138,0),1)</f>
        <v>-3.5641682187612468E-2</v>
      </c>
      <c r="J48" s="98">
        <f ca="1">+INDEX(Charges_NonSlice!$Y$4:$Y$138,MATCH($A48,Charges_NonSlice!$AA$4:$AA$138,0),1)</f>
        <v>34.305532612328349</v>
      </c>
      <c r="K48" s="246">
        <f ca="1">+INDEX(Charges_NonSlice!$X$4:$X$138,MATCH($A48,Charges_NonSlice!$AA$4:$AA$138,0),1)/1000</f>
        <v>380.27880821381518</v>
      </c>
      <c r="L48" s="80">
        <f ca="1">+SUM(K$5:K48)</f>
        <v>18016.415523435415</v>
      </c>
      <c r="N48" s="244" t="str">
        <f ca="1">+INDEX('Charges_NonSlice &amp; Excl LS'!$C$4:$C$138,MATCH($A48,'Charges_NonSlice &amp; Excl LS'!$AA$4:$AA$138,0),1)</f>
        <v>Ferry County PUD #1</v>
      </c>
      <c r="O48" s="74">
        <f ca="1">+INDEX('Charges_NonSlice &amp; Excl LS'!$Z$4:$Z$138,MATCH($A48,'Charges_NonSlice &amp; Excl LS'!$AA$4:$AA$138,0),1)</f>
        <v>-3.3397707776194566E-2</v>
      </c>
      <c r="P48" s="98">
        <f ca="1">+INDEX('Charges_NonSlice &amp; Excl LS'!$Y$4:$Y$138,MATCH($A48,'Charges_NonSlice &amp; Excl LS'!$AA$4:$AA$138,0),1)</f>
        <v>32.286331873403711</v>
      </c>
      <c r="Q48" s="246">
        <f ca="1">+INDEX('Charges_NonSlice &amp; Excl LS'!$X$4:$X$138,MATCH($A48,'Charges_NonSlice &amp; Excl LS'!$AA$4:$AA$138,0),1)/1000</f>
        <v>78.023689499448011</v>
      </c>
      <c r="R48" s="80">
        <f ca="1">+SUM(Q$5:Q48)</f>
        <v>23031.965268465556</v>
      </c>
      <c r="T48" s="244" t="str">
        <f ca="1">+INDEX(Charges_NonSlice!$C$4:$C$138,MATCH($A48,Charges_NonSlice!$AA$4:$AA$138,0),1)</f>
        <v>Port Angeles, City of</v>
      </c>
      <c r="U48" s="74">
        <f t="shared" ca="1" si="0"/>
        <v>-2.6440525654445657E-2</v>
      </c>
      <c r="V48" s="98">
        <f ca="1">+INDEX(Charges_NonSlice!$Y$4:$Y$138,MATCH($A48,Charges_NonSlice!$AA$4:$AA$138,0),1)</f>
        <v>34.305532612328349</v>
      </c>
      <c r="W48" s="89">
        <f t="shared" ca="1" si="1"/>
        <v>35.237223319498995</v>
      </c>
      <c r="Y48" s="77" t="s">
        <v>19</v>
      </c>
      <c r="Z48" s="78">
        <v>37.040324233574353</v>
      </c>
    </row>
    <row r="49" spans="1:26">
      <c r="A49">
        <f t="shared" si="2"/>
        <v>45</v>
      </c>
      <c r="B49" s="82" t="str">
        <f ca="1">+INDEX('Charges_Including Slice and LS'!$C$4:$C$138,MATCH($A49,'Charges_Including Slice and LS'!$AA$4:$AA$138,0),1)</f>
        <v>Salem Elec Coop</v>
      </c>
      <c r="C49" s="74">
        <f ca="1">+INDEX('Charges_Including Slice and LS'!$Z$4:$Z$138,MATCH($A49,'Charges_Including Slice and LS'!$AA$4:$AA$138,0),1)</f>
        <v>-3.4245462145379268E-2</v>
      </c>
      <c r="D49" s="60">
        <f ca="1">+INDEX('Charges_Including Slice and LS'!$Y$4:$Y$138,MATCH($A49,'Charges_Including Slice and LS'!$AA$4:$AA$138,0),1)</f>
        <v>36.773706351610059</v>
      </c>
      <c r="E49" s="80">
        <f ca="1">+INDEX('Charges_Including Slice and LS'!$X$4:$X$138,MATCH($A49,'Charges_Including Slice and LS'!$AA$4:$AA$138,0),1)/1000</f>
        <v>321.7074195385386</v>
      </c>
      <c r="F49" s="80">
        <f ca="1">+SUM(E$5:E49)</f>
        <v>36062.514916646178</v>
      </c>
      <c r="H49" s="244" t="str">
        <f ca="1">+INDEX(Charges_NonSlice!$C$4:$C$138,MATCH($A49,Charges_NonSlice!$AA$4:$AA$138,0),1)</f>
        <v>Salmon River Elec Coop</v>
      </c>
      <c r="I49" s="74">
        <f ca="1">+INDEX(Charges_NonSlice!$Z$4:$Z$138,MATCH($A49,Charges_NonSlice!$AA$4:$AA$138,0),1)</f>
        <v>-3.5659641214560112E-2</v>
      </c>
      <c r="J49" s="98">
        <f ca="1">+INDEX(Charges_NonSlice!$Y$4:$Y$138,MATCH($A49,Charges_NonSlice!$AA$4:$AA$138,0),1)</f>
        <v>30.303728919238587</v>
      </c>
      <c r="K49" s="246">
        <f ca="1">+INDEX(Charges_NonSlice!$X$4:$X$138,MATCH($A49,Charges_NonSlice!$AA$4:$AA$138,0),1)/1000</f>
        <v>104.70504138465451</v>
      </c>
      <c r="L49" s="80">
        <f ca="1">+SUM(K$5:K49)</f>
        <v>18121.12056482007</v>
      </c>
      <c r="N49" s="244" t="str">
        <f ca="1">+INDEX('Charges_NonSlice &amp; Excl LS'!$C$4:$C$138,MATCH($A49,'Charges_NonSlice &amp; Excl LS'!$AA$4:$AA$138,0),1)</f>
        <v>Soda Springs, City of</v>
      </c>
      <c r="O49" s="74">
        <f ca="1">+INDEX('Charges_NonSlice &amp; Excl LS'!$Z$4:$Z$138,MATCH($A49,'Charges_NonSlice &amp; Excl LS'!$AA$4:$AA$138,0),1)</f>
        <v>-3.3513210886412195E-2</v>
      </c>
      <c r="P49" s="98">
        <f ca="1">+INDEX('Charges_NonSlice &amp; Excl LS'!$Y$4:$Y$138,MATCH($A49,'Charges_NonSlice &amp; Excl LS'!$AA$4:$AA$138,0),1)</f>
        <v>36.074900376305024</v>
      </c>
      <c r="Q49" s="246">
        <f ca="1">+INDEX('Charges_NonSlice &amp; Excl LS'!$X$4:$X$138,MATCH($A49,'Charges_NonSlice &amp; Excl LS'!$AA$4:$AA$138,0),1)/1000</f>
        <v>25.380418131684003</v>
      </c>
      <c r="R49" s="80">
        <f ca="1">+SUM(Q$5:Q49)</f>
        <v>23057.34568659724</v>
      </c>
      <c r="T49" s="244" t="str">
        <f ca="1">+INDEX(Charges_NonSlice!$C$4:$C$138,MATCH($A49,Charges_NonSlice!$AA$4:$AA$138,0),1)</f>
        <v>Salmon River Elec Coop</v>
      </c>
      <c r="U49" s="74">
        <f t="shared" ca="1" si="0"/>
        <v>-2.1401202894787086E-2</v>
      </c>
      <c r="V49" s="98">
        <f ca="1">+INDEX(Charges_NonSlice!$Y$4:$Y$138,MATCH($A49,Charges_NonSlice!$AA$4:$AA$138,0),1)</f>
        <v>30.303728919238587</v>
      </c>
      <c r="W49" s="89">
        <f t="shared" ca="1" si="1"/>
        <v>30.96644815922507</v>
      </c>
      <c r="Y49" s="77" t="s">
        <v>60</v>
      </c>
      <c r="Z49" s="78">
        <v>32.915170313020084</v>
      </c>
    </row>
    <row r="50" spans="1:26">
      <c r="A50">
        <f t="shared" si="2"/>
        <v>46</v>
      </c>
      <c r="B50" s="82" t="str">
        <f ca="1">+INDEX('Charges_Including Slice and LS'!$C$4:$C$138,MATCH($A50,'Charges_Including Slice and LS'!$AA$4:$AA$138,0),1)</f>
        <v>Chewelah, City of</v>
      </c>
      <c r="C50" s="74">
        <f ca="1">+INDEX('Charges_Including Slice and LS'!$Z$4:$Z$138,MATCH($A50,'Charges_Including Slice and LS'!$AA$4:$AA$138,0),1)</f>
        <v>-3.4669346463961345E-2</v>
      </c>
      <c r="D50" s="60">
        <f ca="1">+INDEX('Charges_Including Slice and LS'!$Y$4:$Y$138,MATCH($A50,'Charges_Including Slice and LS'!$AA$4:$AA$138,0),1)</f>
        <v>36.21473908504494</v>
      </c>
      <c r="E50" s="80">
        <f ca="1">+INDEX('Charges_Including Slice and LS'!$X$4:$X$138,MATCH($A50,'Charges_Including Slice and LS'!$AA$4:$AA$138,0),1)/1000</f>
        <v>21.967331160064315</v>
      </c>
      <c r="F50" s="80">
        <f ca="1">+SUM(E$5:E50)</f>
        <v>36084.482247806242</v>
      </c>
      <c r="H50" s="244" t="str">
        <f ca="1">+INDEX(Charges_NonSlice!$C$4:$C$138,MATCH($A50,Charges_NonSlice!$AA$4:$AA$138,0),1)</f>
        <v>Wasco Elec Coop</v>
      </c>
      <c r="I50" s="74">
        <f ca="1">+INDEX(Charges_NonSlice!$Z$4:$Z$138,MATCH($A50,Charges_NonSlice!$AA$4:$AA$138,0),1)</f>
        <v>-3.5661338901662676E-2</v>
      </c>
      <c r="J50" s="98">
        <f ca="1">+INDEX(Charges_NonSlice!$Y$4:$Y$138,MATCH($A50,Charges_NonSlice!$AA$4:$AA$138,0),1)</f>
        <v>32.765618654523415</v>
      </c>
      <c r="K50" s="246">
        <f ca="1">+INDEX(Charges_NonSlice!$X$4:$X$138,MATCH($A50,Charges_NonSlice!$AA$4:$AA$138,0),1)/1000</f>
        <v>101.4782857004045</v>
      </c>
      <c r="L50" s="80">
        <f ca="1">+SUM(K$5:K50)</f>
        <v>18222.598850520473</v>
      </c>
      <c r="N50" s="244" t="str">
        <f ca="1">+INDEX('Charges_NonSlice &amp; Excl LS'!$C$4:$C$138,MATCH($A50,'Charges_NonSlice &amp; Excl LS'!$AA$4:$AA$138,0),1)</f>
        <v>Hood River Elec Coop</v>
      </c>
      <c r="O50" s="74">
        <f ca="1">+INDEX('Charges_NonSlice &amp; Excl LS'!$Z$4:$Z$138,MATCH($A50,'Charges_NonSlice &amp; Excl LS'!$AA$4:$AA$138,0),1)</f>
        <v>-3.3524367651964405E-2</v>
      </c>
      <c r="P50" s="98">
        <f ca="1">+INDEX('Charges_NonSlice &amp; Excl LS'!$Y$4:$Y$138,MATCH($A50,'Charges_NonSlice &amp; Excl LS'!$AA$4:$AA$138,0),1)</f>
        <v>35.770871512886551</v>
      </c>
      <c r="Q50" s="246">
        <f ca="1">+INDEX('Charges_NonSlice &amp; Excl LS'!$X$4:$X$138,MATCH($A50,'Charges_NonSlice &amp; Excl LS'!$AA$4:$AA$138,0),1)/1000</f>
        <v>109.45858542771602</v>
      </c>
      <c r="R50" s="80">
        <f ca="1">+SUM(Q$5:Q50)</f>
        <v>23166.804272024958</v>
      </c>
      <c r="T50" s="244" t="str">
        <f ca="1">+INDEX(Charges_NonSlice!$C$4:$C$138,MATCH($A50,Charges_NonSlice!$AA$4:$AA$138,0),1)</f>
        <v>Wasco Elec Coop</v>
      </c>
      <c r="U50" s="74">
        <f t="shared" ca="1" si="0"/>
        <v>-6.0006123377521536E-2</v>
      </c>
      <c r="V50" s="98">
        <f ca="1">+INDEX(Charges_NonSlice!$Y$4:$Y$138,MATCH($A50,Charges_NonSlice!$AA$4:$AA$138,0),1)</f>
        <v>32.765618654523415</v>
      </c>
      <c r="W50" s="89">
        <f t="shared" ca="1" si="1"/>
        <v>34.857268190144588</v>
      </c>
      <c r="Y50" s="77" t="s">
        <v>104</v>
      </c>
      <c r="Z50" s="78">
        <v>37.231066884512771</v>
      </c>
    </row>
    <row r="51" spans="1:26">
      <c r="A51">
        <f t="shared" si="2"/>
        <v>47</v>
      </c>
      <c r="B51" s="82" t="str">
        <f ca="1">+INDEX('Charges_Including Slice and LS'!$C$4:$C$138,MATCH($A51,'Charges_Including Slice and LS'!$AA$4:$AA$138,0),1)</f>
        <v>Burley, City of</v>
      </c>
      <c r="C51" s="74">
        <f ca="1">+INDEX('Charges_Including Slice and LS'!$Z$4:$Z$138,MATCH($A51,'Charges_Including Slice and LS'!$AA$4:$AA$138,0),1)</f>
        <v>-3.4780551329534157E-2</v>
      </c>
      <c r="D51" s="60">
        <f ca="1">+INDEX('Charges_Including Slice and LS'!$Y$4:$Y$138,MATCH($A51,'Charges_Including Slice and LS'!$AA$4:$AA$138,0),1)</f>
        <v>35.814395955445619</v>
      </c>
      <c r="E51" s="80">
        <f ca="1">+INDEX('Charges_Including Slice and LS'!$X$4:$X$138,MATCH($A51,'Charges_Including Slice and LS'!$AA$4:$AA$138,0),1)/1000</f>
        <v>117.52416000000001</v>
      </c>
      <c r="F51" s="80">
        <f ca="1">+SUM(E$5:E51)</f>
        <v>36202.006407806242</v>
      </c>
      <c r="H51" s="244" t="str">
        <f ca="1">+INDEX(Charges_NonSlice!$C$4:$C$138,MATCH($A51,Charges_NonSlice!$AA$4:$AA$138,0),1)</f>
        <v>Kalispel Tribe Utility</v>
      </c>
      <c r="I51" s="74">
        <f ca="1">+INDEX(Charges_NonSlice!$Z$4:$Z$138,MATCH($A51,Charges_NonSlice!$AA$4:$AA$138,0),1)</f>
        <v>-3.5824174844394471E-2</v>
      </c>
      <c r="J51" s="98">
        <f ca="1">+INDEX(Charges_NonSlice!$Y$4:$Y$138,MATCH($A51,Charges_NonSlice!$AA$4:$AA$138,0),1)</f>
        <v>34.09444543305554</v>
      </c>
      <c r="K51" s="246">
        <f ca="1">+INDEX(Charges_NonSlice!$X$4:$X$138,MATCH($A51,Charges_NonSlice!$AA$4:$AA$138,0),1)/1000</f>
        <v>30.012099694364036</v>
      </c>
      <c r="L51" s="80">
        <f ca="1">+SUM(K$5:K51)</f>
        <v>18252.610950214836</v>
      </c>
      <c r="N51" s="244" t="str">
        <f ca="1">+INDEX('Charges_NonSlice &amp; Excl LS'!$C$4:$C$138,MATCH($A51,'Charges_NonSlice &amp; Excl LS'!$AA$4:$AA$138,0),1)</f>
        <v>Jefferson County PUD #1</v>
      </c>
      <c r="O51" s="74">
        <f ca="1">+INDEX('Charges_NonSlice &amp; Excl LS'!$Z$4:$Z$138,MATCH($A51,'Charges_NonSlice &amp; Excl LS'!$AA$4:$AA$138,0),1)</f>
        <v>-3.3540612477592567E-2</v>
      </c>
      <c r="P51" s="98">
        <f ca="1">+INDEX('Charges_NonSlice &amp; Excl LS'!$Y$4:$Y$138,MATCH($A51,'Charges_NonSlice &amp; Excl LS'!$AA$4:$AA$138,0),1)</f>
        <v>35.662372641148316</v>
      </c>
      <c r="Q51" s="246">
        <f ca="1">+INDEX('Charges_NonSlice &amp; Excl LS'!$X$4:$X$138,MATCH($A51,'Charges_NonSlice &amp; Excl LS'!$AA$4:$AA$138,0),1)/1000</f>
        <v>377.47839736051208</v>
      </c>
      <c r="R51" s="80">
        <f ca="1">+SUM(Q$5:Q51)</f>
        <v>23544.282669385469</v>
      </c>
      <c r="T51" s="244" t="str">
        <f ca="1">+INDEX(Charges_NonSlice!$C$4:$C$138,MATCH($A51,Charges_NonSlice!$AA$4:$AA$138,0),1)</f>
        <v>Kalispel Tribe Utility</v>
      </c>
      <c r="U51" s="74">
        <f t="shared" ca="1" si="0"/>
        <v>-4.7795869084576448E-2</v>
      </c>
      <c r="V51" s="98">
        <f ca="1">+INDEX(Charges_NonSlice!$Y$4:$Y$138,MATCH($A51,Charges_NonSlice!$AA$4:$AA$138,0),1)</f>
        <v>34.09444543305554</v>
      </c>
      <c r="W51" s="89">
        <f t="shared" ca="1" si="1"/>
        <v>35.805815503318655</v>
      </c>
      <c r="Y51" s="77" t="s">
        <v>97</v>
      </c>
      <c r="Z51" s="78">
        <v>34.108514866567738</v>
      </c>
    </row>
    <row r="52" spans="1:26">
      <c r="A52">
        <f t="shared" si="2"/>
        <v>48</v>
      </c>
      <c r="B52" s="82" t="str">
        <f ca="1">+INDEX('Charges_Including Slice and LS'!$C$4:$C$138,MATCH($A52,'Charges_Including Slice and LS'!$AA$4:$AA$138,0),1)</f>
        <v>U.S. Naval Station, Everett (Jim Creek)</v>
      </c>
      <c r="C52" s="74">
        <f ca="1">+INDEX('Charges_Including Slice and LS'!$Z$4:$Z$138,MATCH($A52,'Charges_Including Slice and LS'!$AA$4:$AA$138,0),1)</f>
        <v>-3.486277927489223E-2</v>
      </c>
      <c r="D52" s="60">
        <f ca="1">+INDEX('Charges_Including Slice and LS'!$Y$4:$Y$138,MATCH($A52,'Charges_Including Slice and LS'!$AA$4:$AA$138,0),1)</f>
        <v>35.819379959470062</v>
      </c>
      <c r="E52" s="80">
        <f ca="1">+INDEX('Charges_Including Slice and LS'!$X$4:$X$138,MATCH($A52,'Charges_Including Slice and LS'!$AA$4:$AA$138,0),1)/1000</f>
        <v>12.763320000000002</v>
      </c>
      <c r="F52" s="80">
        <f ca="1">+SUM(E$5:E52)</f>
        <v>36214.769727806241</v>
      </c>
      <c r="H52" s="244" t="str">
        <f ca="1">+INDEX(Charges_NonSlice!$C$4:$C$138,MATCH($A52,Charges_NonSlice!$AA$4:$AA$138,0),1)</f>
        <v>Soda Springs, City of</v>
      </c>
      <c r="I52" s="74">
        <f ca="1">+INDEX(Charges_NonSlice!$Z$4:$Z$138,MATCH($A52,Charges_NonSlice!$AA$4:$AA$138,0),1)</f>
        <v>-3.6036766612396569E-2</v>
      </c>
      <c r="J52" s="98">
        <f ca="1">+INDEX(Charges_NonSlice!$Y$4:$Y$138,MATCH($A52,Charges_NonSlice!$AA$4:$AA$138,0),1)</f>
        <v>36.570555251447217</v>
      </c>
      <c r="K52" s="246">
        <f ca="1">+INDEX(Charges_NonSlice!$X$4:$X$138,MATCH($A52,Charges_NonSlice!$AA$4:$AA$138,0),1)/1000</f>
        <v>25.377719999999997</v>
      </c>
      <c r="L52" s="80">
        <f ca="1">+SUM(K$5:K52)</f>
        <v>18277.988670214836</v>
      </c>
      <c r="N52" s="244" t="str">
        <f ca="1">+INDEX('Charges_NonSlice &amp; Excl LS'!$C$4:$C$138,MATCH($A52,'Charges_NonSlice &amp; Excl LS'!$AA$4:$AA$138,0),1)</f>
        <v>Weiser, City of</v>
      </c>
      <c r="O52" s="74">
        <f ca="1">+INDEX('Charges_NonSlice &amp; Excl LS'!$Z$4:$Z$138,MATCH($A52,'Charges_NonSlice &amp; Excl LS'!$AA$4:$AA$138,0),1)</f>
        <v>-3.3568377395568741E-2</v>
      </c>
      <c r="P52" s="98">
        <f ca="1">+INDEX('Charges_NonSlice &amp; Excl LS'!$Y$4:$Y$138,MATCH($A52,'Charges_NonSlice &amp; Excl LS'!$AA$4:$AA$138,0),1)</f>
        <v>34.69823969896386</v>
      </c>
      <c r="Q52" s="246">
        <f ca="1">+INDEX('Charges_NonSlice &amp; Excl LS'!$X$4:$X$138,MATCH($A52,'Charges_NonSlice &amp; Excl LS'!$AA$4:$AA$138,0),1)/1000</f>
        <v>52.885214437608006</v>
      </c>
      <c r="R52" s="80">
        <f ca="1">+SUM(Q$5:Q52)</f>
        <v>23597.167883823076</v>
      </c>
      <c r="T52" s="244" t="str">
        <f ca="1">+INDEX(Charges_NonSlice!$C$4:$C$138,MATCH($A52,Charges_NonSlice!$AA$4:$AA$138,0),1)</f>
        <v>Soda Springs, City of</v>
      </c>
      <c r="U52" s="74">
        <f t="shared" ca="1" si="0"/>
        <v>-2.2247606789636554E-2</v>
      </c>
      <c r="V52" s="98">
        <f ca="1">+INDEX(Charges_NonSlice!$Y$4:$Y$138,MATCH($A52,Charges_NonSlice!$AA$4:$AA$138,0),1)</f>
        <v>36.570555251447217</v>
      </c>
      <c r="W52" s="89">
        <f t="shared" ca="1" si="1"/>
        <v>37.40267526359208</v>
      </c>
      <c r="Y52" s="77" t="s">
        <v>100</v>
      </c>
      <c r="Z52" s="78">
        <v>35.201412970729272</v>
      </c>
    </row>
    <row r="53" spans="1:26">
      <c r="A53">
        <f t="shared" si="2"/>
        <v>49</v>
      </c>
      <c r="B53" s="82" t="str">
        <f ca="1">+INDEX('Charges_Including Slice and LS'!$C$4:$C$138,MATCH($A53,'Charges_Including Slice and LS'!$AA$4:$AA$138,0),1)</f>
        <v>Ferry County PUD #1</v>
      </c>
      <c r="C53" s="74">
        <f ca="1">+INDEX('Charges_Including Slice and LS'!$Z$4:$Z$138,MATCH($A53,'Charges_Including Slice and LS'!$AA$4:$AA$138,0),1)</f>
        <v>-3.4889595892820396E-2</v>
      </c>
      <c r="D53" s="60">
        <f ca="1">+INDEX('Charges_Including Slice and LS'!$Y$4:$Y$138,MATCH($A53,'Charges_Including Slice and LS'!$AA$4:$AA$138,0),1)</f>
        <v>32.999076843229318</v>
      </c>
      <c r="E53" s="80">
        <f ca="1">+INDEX('Charges_Including Slice and LS'!$X$4:$X$138,MATCH($A53,'Charges_Including Slice and LS'!$AA$4:$AA$138,0),1)/1000</f>
        <v>72.25023099124914</v>
      </c>
      <c r="F53" s="80">
        <f ca="1">+SUM(E$5:E53)</f>
        <v>36287.019958797493</v>
      </c>
      <c r="H53" s="244" t="str">
        <f ca="1">+INDEX(Charges_NonSlice!$C$4:$C$138,MATCH($A53,Charges_NonSlice!$AA$4:$AA$138,0),1)</f>
        <v>Columbia River PUD</v>
      </c>
      <c r="I53" s="74">
        <f ca="1">+INDEX(Charges_NonSlice!$Z$4:$Z$138,MATCH($A53,Charges_NonSlice!$AA$4:$AA$138,0),1)</f>
        <v>-3.6053911170365167E-2</v>
      </c>
      <c r="J53" s="98">
        <f ca="1">+INDEX(Charges_NonSlice!$Y$4:$Y$138,MATCH($A53,Charges_NonSlice!$AA$4:$AA$138,0),1)</f>
        <v>36.057519962015419</v>
      </c>
      <c r="K53" s="246">
        <f ca="1">+INDEX(Charges_NonSlice!$X$4:$X$138,MATCH($A53,Charges_NonSlice!$AA$4:$AA$138,0),1)/1000</f>
        <v>486.74939999999998</v>
      </c>
      <c r="L53" s="80">
        <f ca="1">+SUM(K$5:K53)</f>
        <v>18764.738070214837</v>
      </c>
      <c r="N53" s="244" t="str">
        <f ca="1">+INDEX('Charges_NonSlice &amp; Excl LS'!$C$4:$C$138,MATCH($A53,'Charges_NonSlice &amp; Excl LS'!$AA$4:$AA$138,0),1)</f>
        <v>Energy Northwest</v>
      </c>
      <c r="O53" s="74">
        <f ca="1">+INDEX('Charges_NonSlice &amp; Excl LS'!$Z$4:$Z$138,MATCH($A53,'Charges_NonSlice &amp; Excl LS'!$AA$4:$AA$138,0),1)</f>
        <v>-3.3602121652817035E-2</v>
      </c>
      <c r="P53" s="98">
        <f ca="1">+INDEX('Charges_NonSlice &amp; Excl LS'!$Y$4:$Y$138,MATCH($A53,'Charges_NonSlice &amp; Excl LS'!$AA$4:$AA$138,0),1)</f>
        <v>35.862851407888435</v>
      </c>
      <c r="Q53" s="246">
        <f ca="1">+INDEX('Charges_NonSlice &amp; Excl LS'!$X$4:$X$138,MATCH($A53,'Charges_NonSlice &amp; Excl LS'!$AA$4:$AA$138,0),1)/1000</f>
        <v>20.789400855132001</v>
      </c>
      <c r="R53" s="80">
        <f ca="1">+SUM(Q$5:Q53)</f>
        <v>23617.957284678207</v>
      </c>
      <c r="T53" s="244" t="str">
        <f ca="1">+INDEX(Charges_NonSlice!$C$4:$C$138,MATCH($A53,Charges_NonSlice!$AA$4:$AA$138,0),1)</f>
        <v>Columbia River PUD</v>
      </c>
      <c r="U53" s="74">
        <f t="shared" ca="1" si="0"/>
        <v>-3.6142109117071497E-2</v>
      </c>
      <c r="V53" s="98">
        <f ca="1">+INDEX(Charges_NonSlice!$Y$4:$Y$138,MATCH($A53,Charges_NonSlice!$AA$4:$AA$138,0),1)</f>
        <v>36.057519962015419</v>
      </c>
      <c r="W53" s="89">
        <f t="shared" ca="1" si="1"/>
        <v>37.409581125061322</v>
      </c>
      <c r="Y53" s="77" t="s">
        <v>116</v>
      </c>
      <c r="Z53" s="78">
        <v>34.924101933364859</v>
      </c>
    </row>
    <row r="54" spans="1:26">
      <c r="A54">
        <f t="shared" si="2"/>
        <v>50</v>
      </c>
      <c r="B54" s="82" t="str">
        <f ca="1">+INDEX('Charges_Including Slice and LS'!$C$4:$C$138,MATCH($A54,'Charges_Including Slice and LS'!$AA$4:$AA$138,0),1)</f>
        <v>Energy Northwest</v>
      </c>
      <c r="C54" s="74">
        <f ca="1">+INDEX('Charges_Including Slice and LS'!$Z$4:$Z$138,MATCH($A54,'Charges_Including Slice and LS'!$AA$4:$AA$138,0),1)</f>
        <v>-3.5174832565988898E-2</v>
      </c>
      <c r="D54" s="60">
        <f ca="1">+INDEX('Charges_Including Slice and LS'!$Y$4:$Y$138,MATCH($A54,'Charges_Including Slice and LS'!$AA$4:$AA$138,0),1)</f>
        <v>36.398434459861562</v>
      </c>
      <c r="E54" s="80">
        <f ca="1">+INDEX('Charges_Including Slice and LS'!$X$4:$X$138,MATCH($A54,'Charges_Including Slice and LS'!$AA$4:$AA$138,0),1)/1000</f>
        <v>19.866544063467753</v>
      </c>
      <c r="F54" s="80">
        <f ca="1">+SUM(E$5:E54)</f>
        <v>36306.886502860958</v>
      </c>
      <c r="H54" s="244" t="str">
        <f ca="1">+INDEX(Charges_NonSlice!$C$4:$C$138,MATCH($A54,Charges_NonSlice!$AA$4:$AA$138,0),1)</f>
        <v>Tacoma Public Utilities</v>
      </c>
      <c r="I54" s="74">
        <f ca="1">+INDEX(Charges_NonSlice!$Z$4:$Z$138,MATCH($A54,Charges_NonSlice!$AA$4:$AA$138,0),1)</f>
        <v>-3.6199248685686088E-2</v>
      </c>
      <c r="J54" s="98">
        <f ca="1">+INDEX(Charges_NonSlice!$Y$4:$Y$138,MATCH($A54,Charges_NonSlice!$AA$4:$AA$138,0),1)</f>
        <v>34.045459747515423</v>
      </c>
      <c r="K54" s="246">
        <f ca="1">+INDEX(Charges_NonSlice!$X$4:$X$138,MATCH($A54,Charges_NonSlice!$AA$4:$AA$138,0),1)/1000</f>
        <v>1425.0233350329561</v>
      </c>
      <c r="L54" s="80">
        <f ca="1">+SUM(K$5:K54)</f>
        <v>20189.761405247791</v>
      </c>
      <c r="N54" s="244" t="str">
        <f ca="1">+INDEX('Charges_NonSlice &amp; Excl LS'!$C$4:$C$138,MATCH($A54,'Charges_NonSlice &amp; Excl LS'!$AA$4:$AA$138,0),1)</f>
        <v>Chewelah, City of</v>
      </c>
      <c r="O54" s="74">
        <f ca="1">+INDEX('Charges_NonSlice &amp; Excl LS'!$Z$4:$Z$138,MATCH($A54,'Charges_NonSlice &amp; Excl LS'!$AA$4:$AA$138,0),1)</f>
        <v>-3.3775509941760637E-2</v>
      </c>
      <c r="P54" s="98">
        <f ca="1">+INDEX('Charges_NonSlice &amp; Excl LS'!$Y$4:$Y$138,MATCH($A54,'Charges_NonSlice &amp; Excl LS'!$AA$4:$AA$138,0),1)</f>
        <v>35.505978044457621</v>
      </c>
      <c r="Q54" s="246">
        <f ca="1">+INDEX('Charges_NonSlice &amp; Excl LS'!$X$4:$X$138,MATCH($A54,'Charges_NonSlice &amp; Excl LS'!$AA$4:$AA$138,0),1)/1000</f>
        <v>22.677737010012002</v>
      </c>
      <c r="R54" s="80">
        <f ca="1">+SUM(Q$5:Q54)</f>
        <v>23640.63502168822</v>
      </c>
      <c r="T54" s="244" t="str">
        <f ca="1">+INDEX(Charges_NonSlice!$C$4:$C$138,MATCH($A54,Charges_NonSlice!$AA$4:$AA$138,0),1)</f>
        <v>Tacoma Public Utilities</v>
      </c>
      <c r="U54" s="74">
        <f t="shared" ca="1" si="0"/>
        <v>-2.515861932615715E-2</v>
      </c>
      <c r="V54" s="98">
        <f ca="1">+INDEX(Charges_NonSlice!$Y$4:$Y$138,MATCH($A54,Charges_NonSlice!$AA$4:$AA$138,0),1)</f>
        <v>34.045459747515423</v>
      </c>
      <c r="W54" s="89">
        <f t="shared" ca="1" si="1"/>
        <v>34.924101933364859</v>
      </c>
      <c r="Y54" s="77" t="s">
        <v>125</v>
      </c>
      <c r="Z54" s="78">
        <v>35.485993329703824</v>
      </c>
    </row>
    <row r="55" spans="1:26">
      <c r="A55">
        <f t="shared" si="2"/>
        <v>51</v>
      </c>
      <c r="B55" s="82" t="str">
        <f ca="1">+INDEX('Charges_Including Slice and LS'!$C$4:$C$138,MATCH($A55,'Charges_Including Slice and LS'!$AA$4:$AA$138,0),1)</f>
        <v>Wahkiakum County PUD #1</v>
      </c>
      <c r="C55" s="74">
        <f ca="1">+INDEX('Charges_Including Slice and LS'!$Z$4:$Z$138,MATCH($A55,'Charges_Including Slice and LS'!$AA$4:$AA$138,0),1)</f>
        <v>-3.5212950995932357E-2</v>
      </c>
      <c r="D55" s="60">
        <f ca="1">+INDEX('Charges_Including Slice and LS'!$Y$4:$Y$138,MATCH($A55,'Charges_Including Slice and LS'!$AA$4:$AA$138,0),1)</f>
        <v>34.226059080448984</v>
      </c>
      <c r="E55" s="80">
        <f ca="1">+INDEX('Charges_Including Slice and LS'!$X$4:$X$138,MATCH($A55,'Charges_Including Slice and LS'!$AA$4:$AA$138,0),1)/1000</f>
        <v>41.829000000000001</v>
      </c>
      <c r="F55" s="80">
        <f ca="1">+SUM(E$5:E55)</f>
        <v>36348.715502860956</v>
      </c>
      <c r="H55" s="244" t="str">
        <f ca="1">+INDEX(Charges_NonSlice!$C$4:$C$138,MATCH($A55,Charges_NonSlice!$AA$4:$AA$138,0),1)</f>
        <v>Clark County PUD #1</v>
      </c>
      <c r="I55" s="74">
        <f ca="1">+INDEX(Charges_NonSlice!$Z$4:$Z$138,MATCH($A55,Charges_NonSlice!$AA$4:$AA$138,0),1)</f>
        <v>-3.6227571831589672E-2</v>
      </c>
      <c r="J55" s="98">
        <f ca="1">+INDEX(Charges_NonSlice!$Y$4:$Y$138,MATCH($A55,Charges_NonSlice!$AA$4:$AA$138,0),1)</f>
        <v>34.099639004788884</v>
      </c>
      <c r="K55" s="246">
        <f ca="1">+INDEX(Charges_NonSlice!$X$4:$X$138,MATCH($A55,Charges_NonSlice!$AA$4:$AA$138,0),1)/1000</f>
        <v>1373.6955247756227</v>
      </c>
      <c r="L55" s="80">
        <f ca="1">+SUM(K$5:K55)</f>
        <v>21563.456930023414</v>
      </c>
      <c r="N55" s="244" t="str">
        <f ca="1">+INDEX('Charges_NonSlice &amp; Excl LS'!$C$4:$C$138,MATCH($A55,'Charges_NonSlice &amp; Excl LS'!$AA$4:$AA$138,0),1)</f>
        <v>Port of Seattle - SETAC In'tl. Airport</v>
      </c>
      <c r="O55" s="74">
        <f ca="1">+INDEX('Charges_NonSlice &amp; Excl LS'!$Z$4:$Z$138,MATCH($A55,'Charges_NonSlice &amp; Excl LS'!$AA$4:$AA$138,0),1)</f>
        <v>-3.3782802438149032E-2</v>
      </c>
      <c r="P55" s="98">
        <f ca="1">+INDEX('Charges_NonSlice &amp; Excl LS'!$Y$4:$Y$138,MATCH($A55,'Charges_NonSlice &amp; Excl LS'!$AA$4:$AA$138,0),1)</f>
        <v>36.227652405460809</v>
      </c>
      <c r="Q55" s="246">
        <f ca="1">+INDEX('Charges_NonSlice &amp; Excl LS'!$X$4:$X$138,MATCH($A55,'Charges_NonSlice &amp; Excl LS'!$AA$4:$AA$138,0),1)/1000</f>
        <v>144.38100219202798</v>
      </c>
      <c r="R55" s="80">
        <f ca="1">+SUM(Q$5:Q55)</f>
        <v>23785.016023880249</v>
      </c>
      <c r="T55" s="244" t="str">
        <f ca="1">+INDEX(Charges_NonSlice!$C$4:$C$138,MATCH($A55,Charges_NonSlice!$AA$4:$AA$138,0),1)</f>
        <v>Clark County PUD #1</v>
      </c>
      <c r="U55" s="74">
        <f t="shared" ca="1" si="0"/>
        <v>-2.4919053896883092E-2</v>
      </c>
      <c r="V55" s="98">
        <f ca="1">+INDEX(Charges_NonSlice!$Y$4:$Y$138,MATCH($A55,Charges_NonSlice!$AA$4:$AA$138,0),1)</f>
        <v>34.099639004788884</v>
      </c>
      <c r="W55" s="89">
        <f t="shared" ca="1" si="1"/>
        <v>34.971085365853078</v>
      </c>
      <c r="Y55" s="77" t="s">
        <v>32</v>
      </c>
      <c r="Z55" s="78">
        <v>37.973617113143852</v>
      </c>
    </row>
    <row r="56" spans="1:26">
      <c r="A56">
        <f t="shared" si="2"/>
        <v>52</v>
      </c>
      <c r="B56" s="82" t="str">
        <f ca="1">+INDEX('Charges_Including Slice and LS'!$C$4:$C$138,MATCH($A56,'Charges_Including Slice and LS'!$AA$4:$AA$138,0),1)</f>
        <v>Springfield Utility Board</v>
      </c>
      <c r="C56" s="74">
        <f ca="1">+INDEX('Charges_Including Slice and LS'!$Z$4:$Z$138,MATCH($A56,'Charges_Including Slice and LS'!$AA$4:$AA$138,0),1)</f>
        <v>-3.5251679065313901E-2</v>
      </c>
      <c r="D56" s="60">
        <f ca="1">+INDEX('Charges_Including Slice and LS'!$Y$4:$Y$138,MATCH($A56,'Charges_Including Slice and LS'!$AA$4:$AA$138,0),1)</f>
        <v>35.506781943251355</v>
      </c>
      <c r="E56" s="80">
        <f ca="1">+INDEX('Charges_Including Slice and LS'!$X$4:$X$138,MATCH($A56,'Charges_Including Slice and LS'!$AA$4:$AA$138,0),1)/1000</f>
        <v>794.43024283046043</v>
      </c>
      <c r="F56" s="80">
        <f ca="1">+SUM(E$5:E56)</f>
        <v>37143.145745691414</v>
      </c>
      <c r="H56" s="244" t="str">
        <f ca="1">+INDEX(Charges_NonSlice!$C$4:$C$138,MATCH($A56,Charges_NonSlice!$AA$4:$AA$138,0),1)</f>
        <v>Pacific County PUD #2</v>
      </c>
      <c r="I56" s="74">
        <f ca="1">+INDEX(Charges_NonSlice!$Z$4:$Z$138,MATCH($A56,Charges_NonSlice!$AA$4:$AA$138,0),1)</f>
        <v>-3.6241158694829273E-2</v>
      </c>
      <c r="J56" s="98">
        <f ca="1">+INDEX(Charges_NonSlice!$Y$4:$Y$138,MATCH($A56,Charges_NonSlice!$AA$4:$AA$138,0),1)</f>
        <v>34.303758661806469</v>
      </c>
      <c r="K56" s="246">
        <f ca="1">+INDEX(Charges_NonSlice!$X$4:$X$138,MATCH($A56,Charges_NonSlice!$AA$4:$AA$138,0),1)/1000</f>
        <v>137.38385494894101</v>
      </c>
      <c r="L56" s="80">
        <f ca="1">+SUM(K$5:K56)</f>
        <v>21700.840784972355</v>
      </c>
      <c r="N56" s="244" t="str">
        <f ca="1">+INDEX('Charges_NonSlice &amp; Excl LS'!$C$4:$C$138,MATCH($A56,'Charges_NonSlice &amp; Excl LS'!$AA$4:$AA$138,0),1)</f>
        <v>Modern Elec Coop</v>
      </c>
      <c r="O56" s="74">
        <f ca="1">+INDEX('Charges_NonSlice &amp; Excl LS'!$Z$4:$Z$138,MATCH($A56,'Charges_NonSlice &amp; Excl LS'!$AA$4:$AA$138,0),1)</f>
        <v>-3.3802980579748218E-2</v>
      </c>
      <c r="P56" s="98">
        <f ca="1">+INDEX('Charges_NonSlice &amp; Excl LS'!$Y$4:$Y$138,MATCH($A56,'Charges_NonSlice &amp; Excl LS'!$AA$4:$AA$138,0),1)</f>
        <v>36.374770993380828</v>
      </c>
      <c r="Q56" s="246">
        <f ca="1">+INDEX('Charges_NonSlice &amp; Excl LS'!$X$4:$X$138,MATCH($A56,'Charges_NonSlice &amp; Excl LS'!$AA$4:$AA$138,0),1)/1000</f>
        <v>219.63709901447999</v>
      </c>
      <c r="R56" s="80">
        <f ca="1">+SUM(Q$5:Q56)</f>
        <v>24004.653122894728</v>
      </c>
      <c r="T56" s="244" t="str">
        <f ca="1">+INDEX(Charges_NonSlice!$C$4:$C$138,MATCH($A56,Charges_NonSlice!$AA$4:$AA$138,0),1)</f>
        <v>Pacific County PUD #2</v>
      </c>
      <c r="U56" s="74">
        <f t="shared" ca="1" si="0"/>
        <v>-2.550051924532748E-2</v>
      </c>
      <c r="V56" s="98">
        <f ca="1">+INDEX(Charges_NonSlice!$Y$4:$Y$138,MATCH($A56,Charges_NonSlice!$AA$4:$AA$138,0),1)</f>
        <v>34.303758661806469</v>
      </c>
      <c r="W56" s="89">
        <f t="shared" ca="1" si="1"/>
        <v>35.201412970729272</v>
      </c>
      <c r="Y56" s="77" t="s">
        <v>42</v>
      </c>
      <c r="Z56" s="78">
        <v>36.258757572936361</v>
      </c>
    </row>
    <row r="57" spans="1:26">
      <c r="A57">
        <f t="shared" si="2"/>
        <v>53</v>
      </c>
      <c r="B57" s="82" t="str">
        <f ca="1">+INDEX('Charges_Including Slice and LS'!$C$4:$C$138,MATCH($A57,'Charges_Including Slice and LS'!$AA$4:$AA$138,0),1)</f>
        <v>PNGC Aggregate</v>
      </c>
      <c r="C57" s="74">
        <f ca="1">+INDEX('Charges_Including Slice and LS'!$Z$4:$Z$138,MATCH($A57,'Charges_Including Slice and LS'!$AA$4:$AA$138,0),1)</f>
        <v>-3.5395506283615763E-2</v>
      </c>
      <c r="D57" s="60">
        <f ca="1">+INDEX('Charges_Including Slice and LS'!$Y$4:$Y$138,MATCH($A57,'Charges_Including Slice and LS'!$AA$4:$AA$138,0),1)</f>
        <v>33.216043103760299</v>
      </c>
      <c r="E57" s="80">
        <f ca="1">+INDEX('Charges_Including Slice and LS'!$X$4:$X$138,MATCH($A57,'Charges_Including Slice and LS'!$AA$4:$AA$138,0),1)/1000</f>
        <v>3638.73756</v>
      </c>
      <c r="F57" s="80">
        <f ca="1">+SUM(E$5:E57)</f>
        <v>40781.883305691415</v>
      </c>
      <c r="H57" s="244" t="str">
        <f ca="1">+INDEX(Charges_NonSlice!$C$4:$C$138,MATCH($A57,Charges_NonSlice!$AA$4:$AA$138,0),1)</f>
        <v>Minidoka, City of</v>
      </c>
      <c r="I57" s="74">
        <f ca="1">+INDEX(Charges_NonSlice!$Z$4:$Z$138,MATCH($A57,Charges_NonSlice!$AA$4:$AA$138,0),1)</f>
        <v>-3.6277045927944562E-2</v>
      </c>
      <c r="J57" s="98">
        <f ca="1">+INDEX(Charges_NonSlice!$Y$4:$Y$138,MATCH($A57,Charges_NonSlice!$AA$4:$AA$138,0),1)</f>
        <v>36.145306836612811</v>
      </c>
      <c r="K57" s="246">
        <f ca="1">+INDEX(Charges_NonSlice!$X$4:$X$138,MATCH($A57,Charges_NonSlice!$AA$4:$AA$138,0),1)/1000</f>
        <v>0.83234004256285921</v>
      </c>
      <c r="L57" s="80">
        <f ca="1">+SUM(K$5:K57)</f>
        <v>21701.673125014917</v>
      </c>
      <c r="N57" s="244" t="str">
        <f ca="1">+INDEX('Charges_NonSlice &amp; Excl LS'!$C$4:$C$138,MATCH($A57,'Charges_NonSlice &amp; Excl LS'!$AA$4:$AA$138,0),1)</f>
        <v>Flathead Elec Coop</v>
      </c>
      <c r="O57" s="74">
        <f ca="1">+INDEX('Charges_NonSlice &amp; Excl LS'!$Z$4:$Z$138,MATCH($A57,'Charges_NonSlice &amp; Excl LS'!$AA$4:$AA$138,0),1)</f>
        <v>-3.3857887620256787E-2</v>
      </c>
      <c r="P57" s="98">
        <f ca="1">+INDEX('Charges_NonSlice &amp; Excl LS'!$Y$4:$Y$138,MATCH($A57,'Charges_NonSlice &amp; Excl LS'!$AA$4:$AA$138,0),1)</f>
        <v>37.395882819344713</v>
      </c>
      <c r="Q57" s="246">
        <f ca="1">+INDEX('Charges_NonSlice &amp; Excl LS'!$X$4:$X$138,MATCH($A57,'Charges_NonSlice &amp; Excl LS'!$AA$4:$AA$138,0),1)/1000</f>
        <v>1393.993353734352</v>
      </c>
      <c r="R57" s="80">
        <f ca="1">+SUM(Q$5:Q57)</f>
        <v>25398.646476629081</v>
      </c>
      <c r="T57" s="244" t="str">
        <f ca="1">+INDEX(Charges_NonSlice!$C$4:$C$138,MATCH($A57,Charges_NonSlice!$AA$4:$AA$138,0),1)</f>
        <v>Minidoka, City of</v>
      </c>
      <c r="U57" s="74">
        <f t="shared" ca="1" si="0"/>
        <v>-5.2530251227462688E-2</v>
      </c>
      <c r="V57" s="98">
        <f ca="1">+INDEX(Charges_NonSlice!$Y$4:$Y$138,MATCH($A57,Charges_NonSlice!$AA$4:$AA$138,0),1)</f>
        <v>36.145306836612811</v>
      </c>
      <c r="W57" s="89">
        <f t="shared" ca="1" si="1"/>
        <v>38.149299102625335</v>
      </c>
      <c r="Y57" s="77" t="s">
        <v>110</v>
      </c>
      <c r="Z57" s="78">
        <v>37.059414500432943</v>
      </c>
    </row>
    <row r="58" spans="1:26">
      <c r="A58">
        <f t="shared" si="2"/>
        <v>54</v>
      </c>
      <c r="B58" s="82" t="str">
        <f ca="1">+INDEX('Charges_Including Slice and LS'!$C$4:$C$138,MATCH($A58,'Charges_Including Slice and LS'!$AA$4:$AA$138,0),1)</f>
        <v>Port Angeles, City of</v>
      </c>
      <c r="C58" s="74">
        <f ca="1">+INDEX('Charges_Including Slice and LS'!$Z$4:$Z$138,MATCH($A58,'Charges_Including Slice and LS'!$AA$4:$AA$138,0),1)</f>
        <v>-3.5641682187609804E-2</v>
      </c>
      <c r="D58" s="60">
        <f ca="1">+INDEX('Charges_Including Slice and LS'!$Y$4:$Y$138,MATCH($A58,'Charges_Including Slice and LS'!$AA$4:$AA$138,0),1)</f>
        <v>34.305532612328349</v>
      </c>
      <c r="E58" s="80">
        <f ca="1">+INDEX('Charges_Including Slice and LS'!$X$4:$X$138,MATCH($A58,'Charges_Including Slice and LS'!$AA$4:$AA$138,0),1)/1000</f>
        <v>380.27880821381518</v>
      </c>
      <c r="F58" s="80">
        <f ca="1">+SUM(E$5:E58)</f>
        <v>41162.162113905229</v>
      </c>
      <c r="H58" s="244" t="str">
        <f ca="1">+INDEX(Charges_NonSlice!$C$4:$C$138,MATCH($A58,Charges_NonSlice!$AA$4:$AA$138,0),1)</f>
        <v>Bandon, City of</v>
      </c>
      <c r="I58" s="74">
        <f ca="1">+INDEX(Charges_NonSlice!$Z$4:$Z$138,MATCH($A58,Charges_NonSlice!$AA$4:$AA$138,0),1)</f>
        <v>-3.6330540715820564E-2</v>
      </c>
      <c r="J58" s="98">
        <f ca="1">+INDEX(Charges_NonSlice!$Y$4:$Y$138,MATCH($A58,Charges_NonSlice!$AA$4:$AA$138,0),1)</f>
        <v>36.251080530852406</v>
      </c>
      <c r="K58" s="246">
        <f ca="1">+INDEX(Charges_NonSlice!$X$4:$X$138,MATCH($A58,Charges_NonSlice!$AA$4:$AA$138,0),1)/1000</f>
        <v>63.834120000000006</v>
      </c>
      <c r="L58" s="80">
        <f ca="1">+SUM(K$5:K58)</f>
        <v>21765.507245014916</v>
      </c>
      <c r="N58" s="244" t="str">
        <f ca="1">+INDEX('Charges_NonSlice &amp; Excl LS'!$C$4:$C$138,MATCH($A58,'Charges_NonSlice &amp; Excl LS'!$AA$4:$AA$138,0),1)</f>
        <v>Albion, City of</v>
      </c>
      <c r="O58" s="74">
        <f ca="1">+INDEX('Charges_NonSlice &amp; Excl LS'!$Z$4:$Z$138,MATCH($A58,'Charges_NonSlice &amp; Excl LS'!$AA$4:$AA$138,0),1)</f>
        <v>-3.392552582672273E-2</v>
      </c>
      <c r="P58" s="98">
        <f ca="1">+INDEX('Charges_NonSlice &amp; Excl LS'!$Y$4:$Y$138,MATCH($A58,'Charges_NonSlice &amp; Excl LS'!$AA$4:$AA$138,0),1)</f>
        <v>37.167319655305377</v>
      </c>
      <c r="Q58" s="246">
        <f ca="1">+INDEX('Charges_NonSlice &amp; Excl LS'!$X$4:$X$138,MATCH($A58,'Charges_NonSlice &amp; Excl LS'!$AA$4:$AA$138,0),1)/1000</f>
        <v>3.3281924729760002</v>
      </c>
      <c r="R58" s="80">
        <f ca="1">+SUM(Q$5:Q58)</f>
        <v>25401.974669102055</v>
      </c>
      <c r="T58" s="244" t="str">
        <f ca="1">+INDEX(Charges_NonSlice!$C$4:$C$138,MATCH($A58,Charges_NonSlice!$AA$4:$AA$138,0),1)</f>
        <v>Bandon, City of</v>
      </c>
      <c r="U58" s="74">
        <f t="shared" ca="1" si="0"/>
        <v>-3.3020211860963378E-2</v>
      </c>
      <c r="V58" s="98">
        <f ca="1">+INDEX(Charges_NonSlice!$Y$4:$Y$138,MATCH($A58,Charges_NonSlice!$AA$4:$AA$138,0),1)</f>
        <v>36.251080530852406</v>
      </c>
      <c r="W58" s="89">
        <f t="shared" ca="1" si="1"/>
        <v>37.488974408263502</v>
      </c>
      <c r="Y58" s="77" t="s">
        <v>45</v>
      </c>
      <c r="Z58" s="78">
        <v>34.971085365853078</v>
      </c>
    </row>
    <row r="59" spans="1:26">
      <c r="A59">
        <f t="shared" si="2"/>
        <v>55</v>
      </c>
      <c r="B59" s="82" t="str">
        <f ca="1">+INDEX('Charges_Including Slice and LS'!$C$4:$C$138,MATCH($A59,'Charges_Including Slice and LS'!$AA$4:$AA$138,0),1)</f>
        <v>Salmon River Elec Coop</v>
      </c>
      <c r="C59" s="74">
        <f ca="1">+INDEX('Charges_Including Slice and LS'!$Z$4:$Z$138,MATCH($A59,'Charges_Including Slice and LS'!$AA$4:$AA$138,0),1)</f>
        <v>-3.5659641214563442E-2</v>
      </c>
      <c r="D59" s="60">
        <f ca="1">+INDEX('Charges_Including Slice and LS'!$Y$4:$Y$138,MATCH($A59,'Charges_Including Slice and LS'!$AA$4:$AA$138,0),1)</f>
        <v>30.303728919238587</v>
      </c>
      <c r="E59" s="80">
        <f ca="1">+INDEX('Charges_Including Slice and LS'!$X$4:$X$138,MATCH($A59,'Charges_Including Slice and LS'!$AA$4:$AA$138,0),1)/1000</f>
        <v>104.70504138465451</v>
      </c>
      <c r="F59" s="80">
        <f ca="1">+SUM(E$5:E59)</f>
        <v>41266.867155289881</v>
      </c>
      <c r="H59" s="244" t="str">
        <f ca="1">+INDEX(Charges_NonSlice!$C$4:$C$138,MATCH($A59,Charges_NonSlice!$AA$4:$AA$138,0),1)</f>
        <v>Idaho County L &amp; P</v>
      </c>
      <c r="I59" s="74">
        <f ca="1">+INDEX(Charges_NonSlice!$Z$4:$Z$138,MATCH($A59,Charges_NonSlice!$AA$4:$AA$138,0),1)</f>
        <v>-3.6400013264327132E-2</v>
      </c>
      <c r="J59" s="98">
        <f ca="1">+INDEX(Charges_NonSlice!$Y$4:$Y$138,MATCH($A59,Charges_NonSlice!$AA$4:$AA$138,0),1)</f>
        <v>34.581749629095995</v>
      </c>
      <c r="K59" s="246">
        <f ca="1">+INDEX(Charges_NonSlice!$X$4:$X$138,MATCH($A59,Charges_NonSlice!$AA$4:$AA$138,0),1)/1000</f>
        <v>51.920519999999996</v>
      </c>
      <c r="L59" s="80">
        <f ca="1">+SUM(K$5:K59)</f>
        <v>21817.427765014916</v>
      </c>
      <c r="N59" s="244" t="str">
        <f ca="1">+INDEX('Charges_NonSlice &amp; Excl LS'!$C$4:$C$138,MATCH($A59,'Charges_NonSlice &amp; Excl LS'!$AA$4:$AA$138,0),1)</f>
        <v>Salmon River Elec Coop</v>
      </c>
      <c r="O59" s="74">
        <f ca="1">+INDEX('Charges_NonSlice &amp; Excl LS'!$Z$4:$Z$138,MATCH($A59,'Charges_NonSlice &amp; Excl LS'!$AA$4:$AA$138,0),1)</f>
        <v>-3.3942093930437407E-2</v>
      </c>
      <c r="P59" s="98">
        <f ca="1">+INDEX('Charges_NonSlice &amp; Excl LS'!$Y$4:$Y$138,MATCH($A59,'Charges_NonSlice &amp; Excl LS'!$AA$4:$AA$138,0),1)</f>
        <v>30.466125220471721</v>
      </c>
      <c r="Q59" s="246">
        <f ca="1">+INDEX('Charges_NonSlice &amp; Excl LS'!$X$4:$X$138,MATCH($A59,'Charges_NonSlice &amp; Excl LS'!$AA$4:$AA$138,0),1)/1000</f>
        <v>105.26293853359202</v>
      </c>
      <c r="R59" s="80">
        <f ca="1">+SUM(Q$5:Q59)</f>
        <v>25507.237607635649</v>
      </c>
      <c r="T59" s="244" t="str">
        <f ca="1">+INDEX(Charges_NonSlice!$C$4:$C$138,MATCH($A59,Charges_NonSlice!$AA$4:$AA$138,0),1)</f>
        <v>Idaho County L &amp; P</v>
      </c>
      <c r="U59" s="74">
        <f t="shared" ca="1" si="0"/>
        <v>-2.4245217127619956E-2</v>
      </c>
      <c r="V59" s="98">
        <f ca="1">+INDEX(Charges_NonSlice!$Y$4:$Y$138,MATCH($A59,Charges_NonSlice!$AA$4:$AA$138,0),1)</f>
        <v>34.581749629095995</v>
      </c>
      <c r="W59" s="89">
        <f t="shared" ca="1" si="1"/>
        <v>35.441024974836303</v>
      </c>
      <c r="Y59" s="77" t="s">
        <v>51</v>
      </c>
      <c r="Z59" s="78">
        <v>29.414286627278567</v>
      </c>
    </row>
    <row r="60" spans="1:26">
      <c r="A60">
        <f t="shared" si="2"/>
        <v>56</v>
      </c>
      <c r="B60" s="82" t="str">
        <f ca="1">+INDEX('Charges_Including Slice and LS'!$C$4:$C$138,MATCH($A60,'Charges_Including Slice and LS'!$AA$4:$AA$138,0),1)</f>
        <v>Wasco Elec Coop</v>
      </c>
      <c r="C60" s="74">
        <f ca="1">+INDEX('Charges_Including Slice and LS'!$Z$4:$Z$138,MATCH($A60,'Charges_Including Slice and LS'!$AA$4:$AA$138,0),1)</f>
        <v>-3.5661338901668449E-2</v>
      </c>
      <c r="D60" s="60">
        <f ca="1">+INDEX('Charges_Including Slice and LS'!$Y$4:$Y$138,MATCH($A60,'Charges_Including Slice and LS'!$AA$4:$AA$138,0),1)</f>
        <v>32.765618654523415</v>
      </c>
      <c r="E60" s="80">
        <f ca="1">+INDEX('Charges_Including Slice and LS'!$X$4:$X$138,MATCH($A60,'Charges_Including Slice and LS'!$AA$4:$AA$138,0),1)/1000</f>
        <v>101.4782857004045</v>
      </c>
      <c r="F60" s="80">
        <f ca="1">+SUM(E$5:E60)</f>
        <v>41368.345440990284</v>
      </c>
      <c r="H60" s="244" t="str">
        <f ca="1">+INDEX(Charges_NonSlice!$C$4:$C$138,MATCH($A60,Charges_NonSlice!$AA$4:$AA$138,0),1)</f>
        <v>Troy, City of</v>
      </c>
      <c r="I60" s="74">
        <f ca="1">+INDEX(Charges_NonSlice!$Z$4:$Z$138,MATCH($A60,Charges_NonSlice!$AA$4:$AA$138,0),1)</f>
        <v>-3.6409242463001749E-2</v>
      </c>
      <c r="J60" s="98">
        <f ca="1">+INDEX(Charges_NonSlice!$Y$4:$Y$138,MATCH($A60,Charges_NonSlice!$AA$4:$AA$138,0),1)</f>
        <v>37.365098670191671</v>
      </c>
      <c r="K60" s="246">
        <f ca="1">+INDEX(Charges_NonSlice!$X$4:$X$138,MATCH($A60,Charges_NonSlice!$AA$4:$AA$138,0),1)/1000</f>
        <v>17.029439999999997</v>
      </c>
      <c r="L60" s="80">
        <f ca="1">+SUM(K$5:K60)</f>
        <v>21834.457205014915</v>
      </c>
      <c r="N60" s="244" t="str">
        <f ca="1">+INDEX('Charges_NonSlice &amp; Excl LS'!$C$4:$C$138,MATCH($A60,'Charges_NonSlice &amp; Excl LS'!$AA$4:$AA$138,0),1)</f>
        <v>Ellensburg, City of</v>
      </c>
      <c r="O60" s="74">
        <f ca="1">+INDEX('Charges_NonSlice &amp; Excl LS'!$Z$4:$Z$138,MATCH($A60,'Charges_NonSlice &amp; Excl LS'!$AA$4:$AA$138,0),1)</f>
        <v>-3.4230381972414473E-2</v>
      </c>
      <c r="P60" s="98">
        <f ca="1">+INDEX('Charges_NonSlice &amp; Excl LS'!$Y$4:$Y$138,MATCH($A60,'Charges_NonSlice &amp; Excl LS'!$AA$4:$AA$138,0),1)</f>
        <v>35.899254934358787</v>
      </c>
      <c r="Q60" s="246">
        <f ca="1">+INDEX('Charges_NonSlice &amp; Excl LS'!$X$4:$X$138,MATCH($A60,'Charges_NonSlice &amp; Excl LS'!$AA$4:$AA$138,0),1)/1000</f>
        <v>200.39967443664003</v>
      </c>
      <c r="R60" s="80">
        <f ca="1">+SUM(Q$5:Q60)</f>
        <v>25707.63728207229</v>
      </c>
      <c r="T60" s="244" t="str">
        <f ca="1">+INDEX(Charges_NonSlice!$C$4:$C$138,MATCH($A60,Charges_NonSlice!$AA$4:$AA$138,0),1)</f>
        <v>Troy, City of</v>
      </c>
      <c r="U60" s="74">
        <f t="shared" ca="1" si="0"/>
        <v>-1.1343787522033133E-2</v>
      </c>
      <c r="V60" s="98">
        <f ca="1">+INDEX(Charges_NonSlice!$Y$4:$Y$138,MATCH($A60,Charges_NonSlice!$AA$4:$AA$138,0),1)</f>
        <v>37.365098670191671</v>
      </c>
      <c r="W60" s="89">
        <f t="shared" ca="1" si="1"/>
        <v>37.793823776760405</v>
      </c>
      <c r="Y60" s="77" t="s">
        <v>75</v>
      </c>
      <c r="Z60" s="78">
        <v>34.925139881118866</v>
      </c>
    </row>
    <row r="61" spans="1:26">
      <c r="A61">
        <f t="shared" si="2"/>
        <v>57</v>
      </c>
      <c r="B61" s="82" t="str">
        <f ca="1">+INDEX('Charges_Including Slice and LS'!$C$4:$C$138,MATCH($A61,'Charges_Including Slice and LS'!$AA$4:$AA$138,0),1)</f>
        <v>Kalispel Tribe Utility</v>
      </c>
      <c r="C61" s="74">
        <f ca="1">+INDEX('Charges_Including Slice and LS'!$Z$4:$Z$138,MATCH($A61,'Charges_Including Slice and LS'!$AA$4:$AA$138,0),1)</f>
        <v>-3.5824174844404366E-2</v>
      </c>
      <c r="D61" s="60">
        <f ca="1">+INDEX('Charges_Including Slice and LS'!$Y$4:$Y$138,MATCH($A61,'Charges_Including Slice and LS'!$AA$4:$AA$138,0),1)</f>
        <v>34.09444543305554</v>
      </c>
      <c r="E61" s="80">
        <f ca="1">+INDEX('Charges_Including Slice and LS'!$X$4:$X$138,MATCH($A61,'Charges_Including Slice and LS'!$AA$4:$AA$138,0),1)/1000</f>
        <v>30.012099694364036</v>
      </c>
      <c r="F61" s="80">
        <f ca="1">+SUM(E$5:E61)</f>
        <v>41398.35754068465</v>
      </c>
      <c r="H61" s="244" t="str">
        <f ca="1">+INDEX(Charges_NonSlice!$C$4:$C$138,MATCH($A61,Charges_NonSlice!$AA$4:$AA$138,0),1)</f>
        <v>Milton, Town of</v>
      </c>
      <c r="I61" s="74">
        <f ca="1">+INDEX(Charges_NonSlice!$Z$4:$Z$138,MATCH($A61,Charges_NonSlice!$AA$4:$AA$138,0),1)</f>
        <v>-3.6435996214435114E-2</v>
      </c>
      <c r="J61" s="98">
        <f ca="1">+INDEX(Charges_NonSlice!$Y$4:$Y$138,MATCH($A61,Charges_NonSlice!$AA$4:$AA$138,0),1)</f>
        <v>36.530007250044477</v>
      </c>
      <c r="K61" s="246">
        <f ca="1">+INDEX(Charges_NonSlice!$X$4:$X$138,MATCH($A61,Charges_NonSlice!$AA$4:$AA$138,0),1)/1000</f>
        <v>57.81994607418553</v>
      </c>
      <c r="L61" s="80">
        <f ca="1">+SUM(K$5:K61)</f>
        <v>21892.2771510891</v>
      </c>
      <c r="N61" s="244" t="str">
        <f ca="1">+INDEX('Charges_NonSlice &amp; Excl LS'!$C$4:$C$138,MATCH($A61,'Charges_NonSlice &amp; Excl LS'!$AA$4:$AA$138,0),1)</f>
        <v>Clallam County PUD #1</v>
      </c>
      <c r="O61" s="74">
        <f ca="1">+INDEX('Charges_NonSlice &amp; Excl LS'!$Z$4:$Z$138,MATCH($A61,'Charges_NonSlice &amp; Excl LS'!$AA$4:$AA$138,0),1)</f>
        <v>-3.4240204856984834E-2</v>
      </c>
      <c r="P61" s="98">
        <f ca="1">+INDEX('Charges_NonSlice &amp; Excl LS'!$Y$4:$Y$138,MATCH($A61,'Charges_NonSlice &amp; Excl LS'!$AA$4:$AA$138,0),1)</f>
        <v>34.288286080295435</v>
      </c>
      <c r="Q61" s="246">
        <f ca="1">+INDEX('Charges_NonSlice &amp; Excl LS'!$X$4:$X$138,MATCH($A61,'Charges_NonSlice &amp; Excl LS'!$AA$4:$AA$138,0),1)/1000</f>
        <v>635.30119405695598</v>
      </c>
      <c r="R61" s="80">
        <f ca="1">+SUM(Q$5:Q61)</f>
        <v>26342.938476129246</v>
      </c>
      <c r="T61" s="244" t="str">
        <f ca="1">+INDEX(Charges_NonSlice!$C$4:$C$138,MATCH($A61,Charges_NonSlice!$AA$4:$AA$138,0),1)</f>
        <v>Milton, Town of</v>
      </c>
      <c r="U61" s="74">
        <f t="shared" ca="1" si="0"/>
        <v>-1.385993757919568E-2</v>
      </c>
      <c r="V61" s="98">
        <f ca="1">+INDEX(Charges_NonSlice!$Y$4:$Y$138,MATCH($A61,Charges_NonSlice!$AA$4:$AA$138,0),1)</f>
        <v>36.530007250044477</v>
      </c>
      <c r="W61" s="89">
        <f t="shared" ca="1" si="1"/>
        <v>37.043426833678765</v>
      </c>
      <c r="Y61" s="77" t="s">
        <v>133</v>
      </c>
      <c r="Z61" s="78">
        <v>35.351049348619377</v>
      </c>
    </row>
    <row r="62" spans="1:26">
      <c r="A62">
        <f t="shared" si="2"/>
        <v>58</v>
      </c>
      <c r="B62" s="82" t="str">
        <f ca="1">+INDEX('Charges_Including Slice and LS'!$C$4:$C$138,MATCH($A62,'Charges_Including Slice and LS'!$AA$4:$AA$138,0),1)</f>
        <v>Soda Springs, City of</v>
      </c>
      <c r="C62" s="74">
        <f ca="1">+INDEX('Charges_Including Slice and LS'!$Z$4:$Z$138,MATCH($A62,'Charges_Including Slice and LS'!$AA$4:$AA$138,0),1)</f>
        <v>-3.6036766612401364E-2</v>
      </c>
      <c r="D62" s="60">
        <f ca="1">+INDEX('Charges_Including Slice and LS'!$Y$4:$Y$138,MATCH($A62,'Charges_Including Slice and LS'!$AA$4:$AA$138,0),1)</f>
        <v>36.570555251447217</v>
      </c>
      <c r="E62" s="80">
        <f ca="1">+INDEX('Charges_Including Slice and LS'!$X$4:$X$138,MATCH($A62,'Charges_Including Slice and LS'!$AA$4:$AA$138,0),1)/1000</f>
        <v>25.377719999999997</v>
      </c>
      <c r="F62" s="80">
        <f ca="1">+SUM(E$5:E62)</f>
        <v>41423.735260684647</v>
      </c>
      <c r="H62" s="244" t="str">
        <f ca="1">+INDEX(Charges_NonSlice!$C$4:$C$138,MATCH($A62,Charges_NonSlice!$AA$4:$AA$138,0),1)</f>
        <v>Hood River Elec Coop</v>
      </c>
      <c r="I62" s="74">
        <f ca="1">+INDEX(Charges_NonSlice!$Z$4:$Z$138,MATCH($A62,Charges_NonSlice!$AA$4:$AA$138,0),1)</f>
        <v>-3.6439678309658621E-2</v>
      </c>
      <c r="J62" s="98">
        <f ca="1">+INDEX(Charges_NonSlice!$Y$4:$Y$138,MATCH($A62,Charges_NonSlice!$AA$4:$AA$138,0),1)</f>
        <v>36.811653320738806</v>
      </c>
      <c r="K62" s="246">
        <f ca="1">+INDEX(Charges_NonSlice!$X$4:$X$138,MATCH($A62,Charges_NonSlice!$AA$4:$AA$138,0),1)/1000</f>
        <v>109.4562</v>
      </c>
      <c r="L62" s="80">
        <f ca="1">+SUM(K$5:K62)</f>
        <v>22001.7333510891</v>
      </c>
      <c r="N62" s="244" t="str">
        <f ca="1">+INDEX('Charges_NonSlice &amp; Excl LS'!$C$4:$C$138,MATCH($A62,'Charges_NonSlice &amp; Excl LS'!$AA$4:$AA$138,0),1)</f>
        <v>Bandon, City of</v>
      </c>
      <c r="O62" s="74">
        <f ca="1">+INDEX('Charges_NonSlice &amp; Excl LS'!$Z$4:$Z$138,MATCH($A62,'Charges_NonSlice &amp; Excl LS'!$AA$4:$AA$138,0),1)</f>
        <v>-3.4295107209170866E-2</v>
      </c>
      <c r="P62" s="98">
        <f ca="1">+INDEX('Charges_NonSlice &amp; Excl LS'!$Y$4:$Y$138,MATCH($A62,'Charges_NonSlice &amp; Excl LS'!$AA$4:$AA$138,0),1)</f>
        <v>35.775114164522897</v>
      </c>
      <c r="Q62" s="246">
        <f ca="1">+INDEX('Charges_NonSlice &amp; Excl LS'!$X$4:$X$138,MATCH($A62,'Charges_NonSlice &amp; Excl LS'!$AA$4:$AA$138,0),1)/1000</f>
        <v>63.831663085427998</v>
      </c>
      <c r="R62" s="80">
        <f ca="1">+SUM(Q$5:Q62)</f>
        <v>26406.770139214674</v>
      </c>
      <c r="T62" s="244" t="str">
        <f ca="1">+INDEX(Charges_NonSlice!$C$4:$C$138,MATCH($A62,Charges_NonSlice!$AA$4:$AA$138,0),1)</f>
        <v>Hood River Elec Coop</v>
      </c>
      <c r="U62" s="74">
        <f t="shared" ca="1" si="0"/>
        <v>-5.8973448942678752E-2</v>
      </c>
      <c r="V62" s="98">
        <f ca="1">+INDEX(Charges_NonSlice!$Y$4:$Y$138,MATCH($A62,Charges_NonSlice!$AA$4:$AA$138,0),1)</f>
        <v>36.811653320738806</v>
      </c>
      <c r="W62" s="89">
        <f t="shared" ca="1" si="1"/>
        <v>39.118612837627019</v>
      </c>
      <c r="Y62" s="77" t="s">
        <v>114</v>
      </c>
      <c r="Z62" s="78">
        <v>37.643223689630894</v>
      </c>
    </row>
    <row r="63" spans="1:26">
      <c r="A63">
        <f t="shared" si="2"/>
        <v>59</v>
      </c>
      <c r="B63" s="82" t="str">
        <f ca="1">+INDEX('Charges_Including Slice and LS'!$C$4:$C$138,MATCH($A63,'Charges_Including Slice and LS'!$AA$4:$AA$138,0),1)</f>
        <v>Columbia River PUD</v>
      </c>
      <c r="C63" s="74">
        <f ca="1">+INDEX('Charges_Including Slice and LS'!$Z$4:$Z$138,MATCH($A63,'Charges_Including Slice and LS'!$AA$4:$AA$138,0),1)</f>
        <v>-3.6053911170368561E-2</v>
      </c>
      <c r="D63" s="60">
        <f ca="1">+INDEX('Charges_Including Slice and LS'!$Y$4:$Y$138,MATCH($A63,'Charges_Including Slice and LS'!$AA$4:$AA$138,0),1)</f>
        <v>36.057519962015419</v>
      </c>
      <c r="E63" s="80">
        <f ca="1">+INDEX('Charges_Including Slice and LS'!$X$4:$X$138,MATCH($A63,'Charges_Including Slice and LS'!$AA$4:$AA$138,0),1)/1000</f>
        <v>486.74939999999998</v>
      </c>
      <c r="F63" s="80">
        <f ca="1">+SUM(E$5:E63)</f>
        <v>41910.484660684648</v>
      </c>
      <c r="H63" s="244" t="str">
        <f ca="1">+INDEX(Charges_NonSlice!$C$4:$C$138,MATCH($A63,Charges_NonSlice!$AA$4:$AA$138,0),1)</f>
        <v>Hermiston, City of</v>
      </c>
      <c r="I63" s="74">
        <f ca="1">+INDEX(Charges_NonSlice!$Z$4:$Z$138,MATCH($A63,Charges_NonSlice!$AA$4:$AA$138,0),1)</f>
        <v>-3.6557349362544421E-2</v>
      </c>
      <c r="J63" s="98">
        <f ca="1">+INDEX(Charges_NonSlice!$Y$4:$Y$138,MATCH($A63,Charges_NonSlice!$AA$4:$AA$138,0),1)</f>
        <v>36.373321518165248</v>
      </c>
      <c r="K63" s="246">
        <f ca="1">+INDEX(Charges_NonSlice!$X$4:$X$138,MATCH($A63,Charges_NonSlice!$AA$4:$AA$138,0),1)/1000</f>
        <v>107.80604451505987</v>
      </c>
      <c r="L63" s="80">
        <f ca="1">+SUM(K$5:K63)</f>
        <v>22109.539395604159</v>
      </c>
      <c r="N63" s="244" t="str">
        <f ca="1">+INDEX('Charges_NonSlice &amp; Excl LS'!$C$4:$C$138,MATCH($A63,'Charges_NonSlice &amp; Excl LS'!$AA$4:$AA$138,0),1)</f>
        <v>Kalispel Tribe Utility</v>
      </c>
      <c r="O63" s="74">
        <f ca="1">+INDEX('Charges_NonSlice &amp; Excl LS'!$Z$4:$Z$138,MATCH($A63,'Charges_NonSlice &amp; Excl LS'!$AA$4:$AA$138,0),1)</f>
        <v>-3.4372878890287478E-2</v>
      </c>
      <c r="P63" s="98">
        <f ca="1">+INDEX('Charges_NonSlice &amp; Excl LS'!$Y$4:$Y$138,MATCH($A63,'Charges_NonSlice &amp; Excl LS'!$AA$4:$AA$138,0),1)</f>
        <v>34.154722651601858</v>
      </c>
      <c r="Q63" s="246">
        <f ca="1">+INDEX('Charges_NonSlice &amp; Excl LS'!$X$4:$X$138,MATCH($A63,'Charges_NonSlice &amp; Excl LS'!$AA$4:$AA$138,0),1)/1000</f>
        <v>33.122596366692001</v>
      </c>
      <c r="R63" s="80">
        <f ca="1">+SUM(Q$5:Q63)</f>
        <v>26439.892735581365</v>
      </c>
      <c r="T63" s="244" t="str">
        <f ca="1">+INDEX(Charges_NonSlice!$C$4:$C$138,MATCH($A63,Charges_NonSlice!$AA$4:$AA$138,0),1)</f>
        <v>Hermiston, City of</v>
      </c>
      <c r="U63" s="74">
        <f t="shared" ca="1" si="0"/>
        <v>-2.2976720552683627E-2</v>
      </c>
      <c r="V63" s="98">
        <f ca="1">+INDEX(Charges_NonSlice!$Y$4:$Y$138,MATCH($A63,Charges_NonSlice!$AA$4:$AA$138,0),1)</f>
        <v>36.373321518165248</v>
      </c>
      <c r="W63" s="89">
        <f t="shared" ca="1" si="1"/>
        <v>37.228715306293367</v>
      </c>
      <c r="Y63" s="77" t="s">
        <v>109</v>
      </c>
      <c r="Z63" s="78">
        <v>30.96644815922507</v>
      </c>
    </row>
    <row r="64" spans="1:26">
      <c r="A64">
        <f t="shared" si="2"/>
        <v>60</v>
      </c>
      <c r="B64" s="82" t="str">
        <f ca="1">+INDEX('Charges_Including Slice and LS'!$C$4:$C$138,MATCH($A64,'Charges_Including Slice and LS'!$AA$4:$AA$138,0),1)</f>
        <v>Minidoka, City of</v>
      </c>
      <c r="C64" s="74">
        <f ca="1">+INDEX('Charges_Including Slice and LS'!$Z$4:$Z$138,MATCH($A64,'Charges_Including Slice and LS'!$AA$4:$AA$138,0),1)</f>
        <v>-3.6277045927944167E-2</v>
      </c>
      <c r="D64" s="60">
        <f ca="1">+INDEX('Charges_Including Slice and LS'!$Y$4:$Y$138,MATCH($A64,'Charges_Including Slice and LS'!$AA$4:$AA$138,0),1)</f>
        <v>36.145306836612811</v>
      </c>
      <c r="E64" s="80">
        <f ca="1">+INDEX('Charges_Including Slice and LS'!$X$4:$X$138,MATCH($A64,'Charges_Including Slice and LS'!$AA$4:$AA$138,0),1)/1000</f>
        <v>0.83234004256285921</v>
      </c>
      <c r="F64" s="80">
        <f ca="1">+SUM(E$5:E64)</f>
        <v>41911.317000727213</v>
      </c>
      <c r="H64" s="244" t="str">
        <f ca="1">+INDEX(Charges_NonSlice!$C$4:$C$138,MATCH($A64,Charges_NonSlice!$AA$4:$AA$138,0),1)</f>
        <v>Peninsula Light Company</v>
      </c>
      <c r="I64" s="74">
        <f ca="1">+INDEX(Charges_NonSlice!$Z$4:$Z$138,MATCH($A64,Charges_NonSlice!$AA$4:$AA$138,0),1)</f>
        <v>-3.6588530305290731E-2</v>
      </c>
      <c r="J64" s="98">
        <f ca="1">+INDEX(Charges_NonSlice!$Y$4:$Y$138,MATCH($A64,Charges_NonSlice!$AA$4:$AA$138,0),1)</f>
        <v>36.950235093768427</v>
      </c>
      <c r="K64" s="246">
        <f ca="1">+INDEX(Charges_NonSlice!$X$4:$X$138,MATCH($A64,Charges_NonSlice!$AA$4:$AA$138,0),1)/1000</f>
        <v>597.54326753024839</v>
      </c>
      <c r="L64" s="80">
        <f ca="1">+SUM(K$5:K64)</f>
        <v>22707.082663134406</v>
      </c>
      <c r="N64" s="244" t="str">
        <f ca="1">+INDEX('Charges_NonSlice &amp; Excl LS'!$C$4:$C$138,MATCH($A64,'Charges_NonSlice &amp; Excl LS'!$AA$4:$AA$138,0),1)</f>
        <v>U.S. Naval Base,  Bremerton</v>
      </c>
      <c r="O64" s="74">
        <f ca="1">+INDEX('Charges_NonSlice &amp; Excl LS'!$Z$4:$Z$138,MATCH($A64,'Charges_NonSlice &amp; Excl LS'!$AA$4:$AA$138,0),1)</f>
        <v>-3.4458751855104067E-2</v>
      </c>
      <c r="P64" s="98">
        <f ca="1">+INDEX('Charges_NonSlice &amp; Excl LS'!$Y$4:$Y$138,MATCH($A64,'Charges_NonSlice &amp; Excl LS'!$AA$4:$AA$138,0),1)</f>
        <v>35.251397642375579</v>
      </c>
      <c r="Q64" s="246">
        <f ca="1">+INDEX('Charges_NonSlice &amp; Excl LS'!$X$4:$X$138,MATCH($A64,'Charges_NonSlice &amp; Excl LS'!$AA$4:$AA$138,0),1)/1000</f>
        <v>254.524109475888</v>
      </c>
      <c r="R64" s="80">
        <f ca="1">+SUM(Q$5:Q64)</f>
        <v>26694.416845057254</v>
      </c>
      <c r="T64" s="244" t="str">
        <f ca="1">+INDEX(Charges_NonSlice!$C$4:$C$138,MATCH($A64,Charges_NonSlice!$AA$4:$AA$138,0),1)</f>
        <v>Peninsula Light Company</v>
      </c>
      <c r="U64" s="74">
        <f t="shared" ca="1" si="0"/>
        <v>-3.8914667890205035E-2</v>
      </c>
      <c r="V64" s="98">
        <f ca="1">+INDEX(Charges_NonSlice!$Y$4:$Y$138,MATCH($A64,Charges_NonSlice!$AA$4:$AA$138,0),1)</f>
        <v>36.950235093768427</v>
      </c>
      <c r="W64" s="89">
        <f t="shared" ca="1" si="1"/>
        <v>38.446362522934862</v>
      </c>
      <c r="Y64" s="77" t="s">
        <v>124</v>
      </c>
      <c r="Z64" s="78">
        <v>36.50535212937627</v>
      </c>
    </row>
    <row r="65" spans="1:26">
      <c r="A65">
        <f t="shared" si="2"/>
        <v>61</v>
      </c>
      <c r="B65" s="82" t="str">
        <f ca="1">+INDEX('Charges_Including Slice and LS'!$C$4:$C$138,MATCH($A65,'Charges_Including Slice and LS'!$AA$4:$AA$138,0),1)</f>
        <v>Bandon, City of</v>
      </c>
      <c r="C65" s="74">
        <f ca="1">+INDEX('Charges_Including Slice and LS'!$Z$4:$Z$138,MATCH($A65,'Charges_Including Slice and LS'!$AA$4:$AA$138,0),1)</f>
        <v>-3.6330540715817143E-2</v>
      </c>
      <c r="D65" s="60">
        <f ca="1">+INDEX('Charges_Including Slice and LS'!$Y$4:$Y$138,MATCH($A65,'Charges_Including Slice and LS'!$AA$4:$AA$138,0),1)</f>
        <v>36.251080530852406</v>
      </c>
      <c r="E65" s="80">
        <f ca="1">+INDEX('Charges_Including Slice and LS'!$X$4:$X$138,MATCH($A65,'Charges_Including Slice and LS'!$AA$4:$AA$138,0),1)/1000</f>
        <v>63.834120000000006</v>
      </c>
      <c r="F65" s="80">
        <f ca="1">+SUM(E$5:E65)</f>
        <v>41975.151120727212</v>
      </c>
      <c r="H65" s="244" t="str">
        <f ca="1">+INDEX(Charges_NonSlice!$C$4:$C$138,MATCH($A65,Charges_NonSlice!$AA$4:$AA$138,0),1)</f>
        <v>Tanner Elec Coop</v>
      </c>
      <c r="I65" s="74">
        <f ca="1">+INDEX(Charges_NonSlice!$Z$4:$Z$138,MATCH($A65,Charges_NonSlice!$AA$4:$AA$138,0),1)</f>
        <v>-3.6862456320603677E-2</v>
      </c>
      <c r="J65" s="98">
        <f ca="1">+INDEX(Charges_NonSlice!$Y$4:$Y$138,MATCH($A65,Charges_NonSlice!$AA$4:$AA$138,0),1)</f>
        <v>35.05285536954527</v>
      </c>
      <c r="K65" s="246">
        <f ca="1">+INDEX(Charges_NonSlice!$X$4:$X$138,MATCH($A65,Charges_NonSlice!$AA$4:$AA$138,0),1)/1000</f>
        <v>92.190239999999989</v>
      </c>
      <c r="L65" s="80">
        <f ca="1">+SUM(K$5:K65)</f>
        <v>22799.272903134406</v>
      </c>
      <c r="N65" s="244" t="str">
        <f ca="1">+INDEX('Charges_NonSlice &amp; Excl LS'!$C$4:$C$138,MATCH($A65,'Charges_NonSlice &amp; Excl LS'!$AA$4:$AA$138,0),1)</f>
        <v>Drain, City of</v>
      </c>
      <c r="O65" s="74">
        <f ca="1">+INDEX('Charges_NonSlice &amp; Excl LS'!$Z$4:$Z$138,MATCH($A65,'Charges_NonSlice &amp; Excl LS'!$AA$4:$AA$138,0),1)</f>
        <v>-3.4484219742542337E-2</v>
      </c>
      <c r="P65" s="98">
        <f ca="1">+INDEX('Charges_NonSlice &amp; Excl LS'!$Y$4:$Y$138,MATCH($A65,'Charges_NonSlice &amp; Excl LS'!$AA$4:$AA$138,0),1)</f>
        <v>35.169916422264279</v>
      </c>
      <c r="Q65" s="246">
        <f ca="1">+INDEX('Charges_NonSlice &amp; Excl LS'!$X$4:$X$138,MATCH($A65,'Charges_NonSlice &amp; Excl LS'!$AA$4:$AA$138,0),1)/1000</f>
        <v>15.997747862124001</v>
      </c>
      <c r="R65" s="80">
        <f ca="1">+SUM(Q$5:Q65)</f>
        <v>26710.414592919376</v>
      </c>
      <c r="T65" s="244" t="str">
        <f ca="1">+INDEX(Charges_NonSlice!$C$4:$C$138,MATCH($A65,Charges_NonSlice!$AA$4:$AA$138,0),1)</f>
        <v>Tanner Elec Coop</v>
      </c>
      <c r="U65" s="74">
        <f t="shared" ca="1" si="0"/>
        <v>-2.270800615162416E-2</v>
      </c>
      <c r="V65" s="98">
        <f ca="1">+INDEX(Charges_NonSlice!$Y$4:$Y$138,MATCH($A65,Charges_NonSlice!$AA$4:$AA$138,0),1)</f>
        <v>35.05285536954527</v>
      </c>
      <c r="W65" s="89">
        <f t="shared" ca="1" si="1"/>
        <v>35.867330941200386</v>
      </c>
      <c r="Y65" s="77" t="s">
        <v>84</v>
      </c>
      <c r="Z65" s="78">
        <v>28.530337964923284</v>
      </c>
    </row>
    <row r="66" spans="1:26">
      <c r="A66">
        <f t="shared" si="2"/>
        <v>62</v>
      </c>
      <c r="B66" s="82" t="str">
        <f ca="1">+INDEX('Charges_Including Slice and LS'!$C$4:$C$138,MATCH($A66,'Charges_Including Slice and LS'!$AA$4:$AA$138,0),1)</f>
        <v>Idaho County L &amp; P</v>
      </c>
      <c r="C66" s="74">
        <f ca="1">+INDEX('Charges_Including Slice and LS'!$Z$4:$Z$138,MATCH($A66,'Charges_Including Slice and LS'!$AA$4:$AA$138,0),1)</f>
        <v>-3.6400013264331954E-2</v>
      </c>
      <c r="D66" s="60">
        <f ca="1">+INDEX('Charges_Including Slice and LS'!$Y$4:$Y$138,MATCH($A66,'Charges_Including Slice and LS'!$AA$4:$AA$138,0),1)</f>
        <v>34.581749629095995</v>
      </c>
      <c r="E66" s="80">
        <f ca="1">+INDEX('Charges_Including Slice and LS'!$X$4:$X$138,MATCH($A66,'Charges_Including Slice and LS'!$AA$4:$AA$138,0),1)/1000</f>
        <v>51.920519999999996</v>
      </c>
      <c r="F66" s="80">
        <f ca="1">+SUM(E$5:E66)</f>
        <v>42027.071640727212</v>
      </c>
      <c r="H66" s="244" t="str">
        <f ca="1">+INDEX(Charges_NonSlice!$C$4:$C$138,MATCH($A66,Charges_NonSlice!$AA$4:$AA$138,0),1)</f>
        <v>Eatonville, City of</v>
      </c>
      <c r="I66" s="74">
        <f ca="1">+INDEX(Charges_NonSlice!$Z$4:$Z$138,MATCH($A66,Charges_NonSlice!$AA$4:$AA$138,0),1)</f>
        <v>-3.6889812911041535E-2</v>
      </c>
      <c r="J66" s="98">
        <f ca="1">+INDEX(Charges_NonSlice!$Y$4:$Y$138,MATCH($A66,Charges_NonSlice!$AA$4:$AA$138,0),1)</f>
        <v>38.264654385143885</v>
      </c>
      <c r="K66" s="246">
        <f ca="1">+INDEX(Charges_NonSlice!$X$4:$X$138,MATCH($A66,Charges_NonSlice!$AA$4:$AA$138,0),1)/1000</f>
        <v>28.145880000000002</v>
      </c>
      <c r="L66" s="80">
        <f ca="1">+SUM(K$5:K66)</f>
        <v>22827.418783134406</v>
      </c>
      <c r="N66" s="244" t="str">
        <f ca="1">+INDEX('Charges_NonSlice &amp; Excl LS'!$C$4:$C$138,MATCH($A66,'Charges_NonSlice &amp; Excl LS'!$AA$4:$AA$138,0),1)</f>
        <v>U.S. Naval Submarine Base, Bangor</v>
      </c>
      <c r="O66" s="74">
        <f ca="1">+INDEX('Charges_NonSlice &amp; Excl LS'!$Z$4:$Z$138,MATCH($A66,'Charges_NonSlice &amp; Excl LS'!$AA$4:$AA$138,0),1)</f>
        <v>-3.4615940520524413E-2</v>
      </c>
      <c r="P66" s="98">
        <f ca="1">+INDEX('Charges_NonSlice &amp; Excl LS'!$Y$4:$Y$138,MATCH($A66,'Charges_NonSlice &amp; Excl LS'!$AA$4:$AA$138,0),1)</f>
        <v>35.395148165716655</v>
      </c>
      <c r="Q66" s="246">
        <f ca="1">+INDEX('Charges_NonSlice &amp; Excl LS'!$X$4:$X$138,MATCH($A66,'Charges_NonSlice &amp; Excl LS'!$AA$4:$AA$138,0),1)/1000</f>
        <v>170.64657789631198</v>
      </c>
      <c r="R66" s="80">
        <f ca="1">+SUM(Q$5:Q66)</f>
        <v>26881.061170815687</v>
      </c>
      <c r="T66" s="244" t="str">
        <f ca="1">+INDEX(Charges_NonSlice!$C$4:$C$138,MATCH($A66,Charges_NonSlice!$AA$4:$AA$138,0),1)</f>
        <v>Eatonville, City of</v>
      </c>
      <c r="U66" s="74">
        <f t="shared" ca="1" si="0"/>
        <v>-2.2900575121400424E-2</v>
      </c>
      <c r="V66" s="98">
        <f ca="1">+INDEX(Charges_NonSlice!$Y$4:$Y$138,MATCH($A66,Charges_NonSlice!$AA$4:$AA$138,0),1)</f>
        <v>38.264654385143885</v>
      </c>
      <c r="W66" s="89">
        <f t="shared" ca="1" si="1"/>
        <v>39.161474677869251</v>
      </c>
      <c r="Y66" s="77" t="s">
        <v>50</v>
      </c>
      <c r="Z66" s="78">
        <v>37.409581125061322</v>
      </c>
    </row>
    <row r="67" spans="1:26">
      <c r="A67">
        <f t="shared" si="2"/>
        <v>63</v>
      </c>
      <c r="B67" s="82" t="str">
        <f ca="1">+INDEX('Charges_Including Slice and LS'!$C$4:$C$138,MATCH($A67,'Charges_Including Slice and LS'!$AA$4:$AA$138,0),1)</f>
        <v>Troy, City of</v>
      </c>
      <c r="C67" s="74">
        <f ca="1">+INDEX('Charges_Including Slice and LS'!$Z$4:$Z$138,MATCH($A67,'Charges_Including Slice and LS'!$AA$4:$AA$138,0),1)</f>
        <v>-3.6409242463008695E-2</v>
      </c>
      <c r="D67" s="60">
        <f ca="1">+INDEX('Charges_Including Slice and LS'!$Y$4:$Y$138,MATCH($A67,'Charges_Including Slice and LS'!$AA$4:$AA$138,0),1)</f>
        <v>37.365098670191671</v>
      </c>
      <c r="E67" s="80">
        <f ca="1">+INDEX('Charges_Including Slice and LS'!$X$4:$X$138,MATCH($A67,'Charges_Including Slice and LS'!$AA$4:$AA$138,0),1)/1000</f>
        <v>17.029439999999997</v>
      </c>
      <c r="F67" s="80">
        <f ca="1">+SUM(E$5:E67)</f>
        <v>42044.101080727211</v>
      </c>
      <c r="H67" s="244" t="str">
        <f ca="1">+INDEX(Charges_NonSlice!$C$4:$C$138,MATCH($A67,Charges_NonSlice!$AA$4:$AA$138,0),1)</f>
        <v>Grays Harbor PUD #1</v>
      </c>
      <c r="I67" s="74">
        <f ca="1">+INDEX(Charges_NonSlice!$Z$4:$Z$138,MATCH($A67,Charges_NonSlice!$AA$4:$AA$138,0),1)</f>
        <v>-3.6919083511102541E-2</v>
      </c>
      <c r="J67" s="98">
        <f ca="1">+INDEX(Charges_NonSlice!$Y$4:$Y$138,MATCH($A67,Charges_NonSlice!$AA$4:$AA$138,0),1)</f>
        <v>34.075029757337681</v>
      </c>
      <c r="K67" s="246">
        <f ca="1">+INDEX(Charges_NonSlice!$X$4:$X$138,MATCH($A67,Charges_NonSlice!$AA$4:$AA$138,0),1)/1000</f>
        <v>525.09072087512845</v>
      </c>
      <c r="L67" s="80">
        <f ca="1">+SUM(K$5:K67)</f>
        <v>23352.509504009533</v>
      </c>
      <c r="N67" s="244" t="str">
        <f ca="1">+INDEX('Charges_NonSlice &amp; Excl LS'!$C$4:$C$138,MATCH($A67,'Charges_NonSlice &amp; Excl LS'!$AA$4:$AA$138,0),1)</f>
        <v>Lakeview L &amp; P (WA)</v>
      </c>
      <c r="O67" s="74">
        <f ca="1">+INDEX('Charges_NonSlice &amp; Excl LS'!$Z$4:$Z$138,MATCH($A67,'Charges_NonSlice &amp; Excl LS'!$AA$4:$AA$138,0),1)</f>
        <v>-3.4619586662122927E-2</v>
      </c>
      <c r="P67" s="98">
        <f ca="1">+INDEX('Charges_NonSlice &amp; Excl LS'!$Y$4:$Y$138,MATCH($A67,'Charges_NonSlice &amp; Excl LS'!$AA$4:$AA$138,0),1)</f>
        <v>35.753673283531391</v>
      </c>
      <c r="Q67" s="246">
        <f ca="1">+INDEX('Charges_NonSlice &amp; Excl LS'!$X$4:$X$138,MATCH($A67,'Charges_NonSlice &amp; Excl LS'!$AA$4:$AA$138,0),1)/1000</f>
        <v>268.72203694039206</v>
      </c>
      <c r="R67" s="80">
        <f ca="1">+SUM(Q$5:Q67)</f>
        <v>27149.783207756078</v>
      </c>
      <c r="T67" s="244" t="str">
        <f ca="1">+INDEX(Charges_NonSlice!$C$4:$C$138,MATCH($A67,Charges_NonSlice!$AA$4:$AA$138,0),1)</f>
        <v>Grays Harbor PUD #1</v>
      </c>
      <c r="U67" s="74">
        <f t="shared" ca="1" si="0"/>
        <v>-2.5823562830980307E-2</v>
      </c>
      <c r="V67" s="98">
        <f ca="1">+INDEX(Charges_NonSlice!$Y$4:$Y$138,MATCH($A67,Charges_NonSlice!$AA$4:$AA$138,0),1)</f>
        <v>34.075029757337681</v>
      </c>
      <c r="W67" s="89">
        <f t="shared" ca="1" si="1"/>
        <v>34.978293928316049</v>
      </c>
      <c r="Y67" s="77" t="s">
        <v>46</v>
      </c>
      <c r="Z67" s="78">
        <v>34.751330321537246</v>
      </c>
    </row>
    <row r="68" spans="1:26">
      <c r="A68">
        <f t="shared" si="2"/>
        <v>64</v>
      </c>
      <c r="B68" s="82" t="str">
        <f ca="1">+INDEX('Charges_Including Slice and LS'!$C$4:$C$138,MATCH($A68,'Charges_Including Slice and LS'!$AA$4:$AA$138,0),1)</f>
        <v>Milton, Town of</v>
      </c>
      <c r="C68" s="74">
        <f ca="1">+INDEX('Charges_Including Slice and LS'!$Z$4:$Z$138,MATCH($A68,'Charges_Including Slice and LS'!$AA$4:$AA$138,0),1)</f>
        <v>-3.6435996214433684E-2</v>
      </c>
      <c r="D68" s="60">
        <f ca="1">+INDEX('Charges_Including Slice and LS'!$Y$4:$Y$138,MATCH($A68,'Charges_Including Slice and LS'!$AA$4:$AA$138,0),1)</f>
        <v>36.530007250044477</v>
      </c>
      <c r="E68" s="80">
        <f ca="1">+INDEX('Charges_Including Slice and LS'!$X$4:$X$138,MATCH($A68,'Charges_Including Slice and LS'!$AA$4:$AA$138,0),1)/1000</f>
        <v>57.81994607418553</v>
      </c>
      <c r="F68" s="80">
        <f ca="1">+SUM(E$5:E68)</f>
        <v>42101.921026801399</v>
      </c>
      <c r="H68" s="244" t="str">
        <f ca="1">+INDEX(Charges_NonSlice!$C$4:$C$138,MATCH($A68,Charges_NonSlice!$AA$4:$AA$138,0),1)</f>
        <v>Drain, City of</v>
      </c>
      <c r="I68" s="74">
        <f ca="1">+INDEX(Charges_NonSlice!$Z$4:$Z$138,MATCH($A68,Charges_NonSlice!$AA$4:$AA$138,0),1)</f>
        <v>-3.6996067573147558E-2</v>
      </c>
      <c r="J68" s="98">
        <f ca="1">+INDEX(Charges_NonSlice!$Y$4:$Y$138,MATCH($A68,Charges_NonSlice!$AA$4:$AA$138,0),1)</f>
        <v>35.768773958100034</v>
      </c>
      <c r="K68" s="246">
        <f ca="1">+INDEX(Charges_NonSlice!$X$4:$X$138,MATCH($A68,Charges_NonSlice!$AA$4:$AA$138,0),1)/1000</f>
        <v>15.995760000000001</v>
      </c>
      <c r="L68" s="80">
        <f ca="1">+SUM(K$5:K68)</f>
        <v>23368.505264009535</v>
      </c>
      <c r="N68" s="244" t="str">
        <f ca="1">+INDEX('Charges_NonSlice &amp; Excl LS'!$C$4:$C$138,MATCH($A68,'Charges_NonSlice &amp; Excl LS'!$AA$4:$AA$138,0),1)</f>
        <v>Peninsula Light Company</v>
      </c>
      <c r="O68" s="74">
        <f ca="1">+INDEX('Charges_NonSlice &amp; Excl LS'!$Z$4:$Z$138,MATCH($A68,'Charges_NonSlice &amp; Excl LS'!$AA$4:$AA$138,0),1)</f>
        <v>-3.4620207794142516E-2</v>
      </c>
      <c r="P68" s="98">
        <f ca="1">+INDEX('Charges_NonSlice &amp; Excl LS'!$Y$4:$Y$138,MATCH($A68,'Charges_NonSlice &amp; Excl LS'!$AA$4:$AA$138,0),1)</f>
        <v>36.221555818375244</v>
      </c>
      <c r="Q68" s="246">
        <f ca="1">+INDEX('Charges_NonSlice &amp; Excl LS'!$X$4:$X$138,MATCH($A68,'Charges_NonSlice &amp; Excl LS'!$AA$4:$AA$138,0),1)/1000</f>
        <v>596.826344901276</v>
      </c>
      <c r="R68" s="80">
        <f ca="1">+SUM(Q$5:Q68)</f>
        <v>27746.609552657355</v>
      </c>
      <c r="T68" s="244" t="str">
        <f ca="1">+INDEX(Charges_NonSlice!$C$4:$C$138,MATCH($A68,Charges_NonSlice!$AA$4:$AA$138,0),1)</f>
        <v>Drain, City of</v>
      </c>
      <c r="U68" s="74">
        <f t="shared" ca="1" si="0"/>
        <v>-3.0119929652713484E-2</v>
      </c>
      <c r="V68" s="98">
        <f ca="1">+INDEX(Charges_NonSlice!$Y$4:$Y$138,MATCH($A68,Charges_NonSlice!$AA$4:$AA$138,0),1)</f>
        <v>35.768773958100034</v>
      </c>
      <c r="W68" s="89">
        <f t="shared" ca="1" si="1"/>
        <v>36.87958444727321</v>
      </c>
      <c r="Y68" s="77" t="s">
        <v>87</v>
      </c>
      <c r="Z68" s="78">
        <v>36.122000175809696</v>
      </c>
    </row>
    <row r="69" spans="1:26">
      <c r="A69">
        <f t="shared" si="2"/>
        <v>65</v>
      </c>
      <c r="B69" s="82" t="str">
        <f ca="1">+INDEX('Charges_Including Slice and LS'!$C$4:$C$138,MATCH($A69,'Charges_Including Slice and LS'!$AA$4:$AA$138,0),1)</f>
        <v>Hood River Elec Coop</v>
      </c>
      <c r="C69" s="74">
        <f ca="1">+INDEX('Charges_Including Slice and LS'!$Z$4:$Z$138,MATCH($A69,'Charges_Including Slice and LS'!$AA$4:$AA$138,0),1)</f>
        <v>-3.6439678309663756E-2</v>
      </c>
      <c r="D69" s="60">
        <f ca="1">+INDEX('Charges_Including Slice and LS'!$Y$4:$Y$138,MATCH($A69,'Charges_Including Slice and LS'!$AA$4:$AA$138,0),1)</f>
        <v>36.811653320738806</v>
      </c>
      <c r="E69" s="80">
        <f ca="1">+INDEX('Charges_Including Slice and LS'!$X$4:$X$138,MATCH($A69,'Charges_Including Slice and LS'!$AA$4:$AA$138,0),1)/1000</f>
        <v>109.4562</v>
      </c>
      <c r="F69" s="80">
        <f ca="1">+SUM(E$5:E69)</f>
        <v>42211.3772268014</v>
      </c>
      <c r="H69" s="244" t="str">
        <f ca="1">+INDEX(Charges_NonSlice!$C$4:$C$138,MATCH($A69,Charges_NonSlice!$AA$4:$AA$138,0),1)</f>
        <v>Snohomish County PUD #1</v>
      </c>
      <c r="I69" s="74">
        <f ca="1">+INDEX(Charges_NonSlice!$Z$4:$Z$138,MATCH($A69,Charges_NonSlice!$AA$4:$AA$138,0),1)</f>
        <v>-3.7002735704997132E-2</v>
      </c>
      <c r="J69" s="98">
        <f ca="1">+INDEX(Charges_NonSlice!$Y$4:$Y$138,MATCH($A69,Charges_NonSlice!$AA$4:$AA$138,0),1)</f>
        <v>34.084271670948297</v>
      </c>
      <c r="K69" s="246">
        <f ca="1">+INDEX(Charges_NonSlice!$X$4:$X$138,MATCH($A69,Charges_NonSlice!$AA$4:$AA$138,0),1)/1000</f>
        <v>2974.6213425851042</v>
      </c>
      <c r="L69" s="80">
        <f ca="1">+SUM(K$5:K69)</f>
        <v>26343.12660659464</v>
      </c>
      <c r="N69" s="244" t="str">
        <f ca="1">+INDEX('Charges_NonSlice &amp; Excl LS'!$C$4:$C$138,MATCH($A69,'Charges_NonSlice &amp; Excl LS'!$AA$4:$AA$138,0),1)</f>
        <v>Parkland L &amp; W</v>
      </c>
      <c r="O69" s="74">
        <f ca="1">+INDEX('Charges_NonSlice &amp; Excl LS'!$Z$4:$Z$138,MATCH($A69,'Charges_NonSlice &amp; Excl LS'!$AA$4:$AA$138,0),1)</f>
        <v>-3.4837630220499127E-2</v>
      </c>
      <c r="P69" s="98">
        <f ca="1">+INDEX('Charges_NonSlice &amp; Excl LS'!$Y$4:$Y$138,MATCH($A69,'Charges_NonSlice &amp; Excl LS'!$AA$4:$AA$138,0),1)</f>
        <v>35.502557203311177</v>
      </c>
      <c r="Q69" s="246">
        <f ca="1">+INDEX('Charges_NonSlice &amp; Excl LS'!$X$4:$X$138,MATCH($A69,'Charges_NonSlice &amp; Excl LS'!$AA$4:$AA$138,0),1)/1000</f>
        <v>117.259774167564</v>
      </c>
      <c r="R69" s="80">
        <f ca="1">+SUM(Q$5:Q69)</f>
        <v>27863.869326824919</v>
      </c>
      <c r="T69" s="244" t="str">
        <f ca="1">+INDEX(Charges_NonSlice!$C$4:$C$138,MATCH($A69,Charges_NonSlice!$AA$4:$AA$138,0),1)</f>
        <v>Snohomish County PUD #1</v>
      </c>
      <c r="U69" s="74">
        <f t="shared" ca="1" si="0"/>
        <v>-2.5969466986095369E-2</v>
      </c>
      <c r="V69" s="98">
        <f ca="1">+INDEX(Charges_NonSlice!$Y$4:$Y$138,MATCH($A69,Charges_NonSlice!$AA$4:$AA$138,0),1)</f>
        <v>34.084271670948297</v>
      </c>
      <c r="W69" s="89">
        <f t="shared" ref="W69:W122" ca="1" si="3">+VLOOKUP(T69,Y:Z,2,FALSE)</f>
        <v>34.993021795202523</v>
      </c>
      <c r="Y69" s="77" t="s">
        <v>9</v>
      </c>
      <c r="Z69" s="78">
        <v>30.362071530531502</v>
      </c>
    </row>
    <row r="70" spans="1:26">
      <c r="A70">
        <f t="shared" si="2"/>
        <v>66</v>
      </c>
      <c r="B70" s="82" t="str">
        <f ca="1">+INDEX('Charges_Including Slice and LS'!$C$4:$C$138,MATCH($A70,'Charges_Including Slice and LS'!$AA$4:$AA$138,0),1)</f>
        <v>Hermiston, City of</v>
      </c>
      <c r="C70" s="74">
        <f ca="1">+INDEX('Charges_Including Slice and LS'!$Z$4:$Z$138,MATCH($A70,'Charges_Including Slice and LS'!$AA$4:$AA$138,0),1)</f>
        <v>-3.6557349362546177E-2</v>
      </c>
      <c r="D70" s="60">
        <f ca="1">+INDEX('Charges_Including Slice and LS'!$Y$4:$Y$138,MATCH($A70,'Charges_Including Slice and LS'!$AA$4:$AA$138,0),1)</f>
        <v>36.373321518165248</v>
      </c>
      <c r="E70" s="80">
        <f ca="1">+INDEX('Charges_Including Slice and LS'!$X$4:$X$138,MATCH($A70,'Charges_Including Slice and LS'!$AA$4:$AA$138,0),1)/1000</f>
        <v>107.80604451505987</v>
      </c>
      <c r="F70" s="80">
        <f ca="1">+SUM(E$5:E70)</f>
        <v>42319.183271316462</v>
      </c>
      <c r="H70" s="244" t="str">
        <f ca="1">+INDEX(Charges_NonSlice!$C$4:$C$138,MATCH($A70,Charges_NonSlice!$AA$4:$AA$138,0),1)</f>
        <v>U.S. DOE Richland Operations Office</v>
      </c>
      <c r="I70" s="74">
        <f ca="1">+INDEX(Charges_NonSlice!$Z$4:$Z$138,MATCH($A70,Charges_NonSlice!$AA$4:$AA$138,0),1)</f>
        <v>-3.7341075427223605E-2</v>
      </c>
      <c r="J70" s="98">
        <f ca="1">+INDEX(Charges_NonSlice!$Y$4:$Y$138,MATCH($A70,Charges_NonSlice!$AA$4:$AA$138,0),1)</f>
        <v>38.672475546862245</v>
      </c>
      <c r="K70" s="246">
        <f ca="1">+INDEX(Charges_NonSlice!$X$4:$X$138,MATCH($A70,Charges_NonSlice!$AA$4:$AA$138,0),1)/1000</f>
        <v>138.5689033410367</v>
      </c>
      <c r="L70" s="80">
        <f ca="1">+SUM(K$5:K70)</f>
        <v>26481.695509935678</v>
      </c>
      <c r="N70" s="244" t="str">
        <f ca="1">+INDEX('Charges_NonSlice &amp; Excl LS'!$C$4:$C$138,MATCH($A70,'Charges_NonSlice &amp; Excl LS'!$AA$4:$AA$138,0),1)</f>
        <v>Ashland, City of</v>
      </c>
      <c r="O70" s="74">
        <f ca="1">+INDEX('Charges_NonSlice &amp; Excl LS'!$Z$4:$Z$138,MATCH($A70,'Charges_NonSlice &amp; Excl LS'!$AA$4:$AA$138,0),1)</f>
        <v>-3.4913739770810082E-2</v>
      </c>
      <c r="P70" s="98">
        <f ca="1">+INDEX('Charges_NonSlice &amp; Excl LS'!$Y$4:$Y$138,MATCH($A70,'Charges_NonSlice &amp; Excl LS'!$AA$4:$AA$138,0),1)</f>
        <v>35.732439627433124</v>
      </c>
      <c r="Q70" s="246">
        <f ca="1">+INDEX('Charges_NonSlice &amp; Excl LS'!$X$4:$X$138,MATCH($A70,'Charges_NonSlice &amp; Excl LS'!$AA$4:$AA$138,0),1)/1000</f>
        <v>174.98975105253601</v>
      </c>
      <c r="R70" s="80">
        <f ca="1">+SUM(Q$5:Q70)</f>
        <v>28038.859077877456</v>
      </c>
      <c r="T70" s="244" t="str">
        <f ca="1">+INDEX(Charges_NonSlice!$C$4:$C$138,MATCH($A70,Charges_NonSlice!$AA$4:$AA$138,0),1)</f>
        <v>U.S. DOE Richland Operations Office</v>
      </c>
      <c r="U70" s="74">
        <f t="shared" ref="U70:U122" ca="1" si="4">IFERROR(+V70/W70-1,"")</f>
        <v>0.10730684242161082</v>
      </c>
      <c r="V70" s="98">
        <f ca="1">+INDEX(Charges_NonSlice!$Y$4:$Y$138,MATCH($A70,Charges_NonSlice!$AA$4:$AA$138,0),1)</f>
        <v>38.672475546862245</v>
      </c>
      <c r="W70" s="89">
        <f t="shared" ca="1" si="3"/>
        <v>34.924805000109963</v>
      </c>
      <c r="Y70" s="77" t="s">
        <v>24</v>
      </c>
      <c r="Z70" s="78">
        <v>39.947751885943433</v>
      </c>
    </row>
    <row r="71" spans="1:26">
      <c r="A71">
        <f t="shared" ref="A71:A122" si="5">+A70+1</f>
        <v>67</v>
      </c>
      <c r="B71" s="82" t="str">
        <f ca="1">+INDEX('Charges_Including Slice and LS'!$C$4:$C$138,MATCH($A71,'Charges_Including Slice and LS'!$AA$4:$AA$138,0),1)</f>
        <v>Peninsula Light Company</v>
      </c>
      <c r="C71" s="74">
        <f ca="1">+INDEX('Charges_Including Slice and LS'!$Z$4:$Z$138,MATCH($A71,'Charges_Including Slice and LS'!$AA$4:$AA$138,0),1)</f>
        <v>-3.6588530305297962E-2</v>
      </c>
      <c r="D71" s="60">
        <f ca="1">+INDEX('Charges_Including Slice and LS'!$Y$4:$Y$138,MATCH($A71,'Charges_Including Slice and LS'!$AA$4:$AA$138,0),1)</f>
        <v>36.950235093768427</v>
      </c>
      <c r="E71" s="80">
        <f ca="1">+INDEX('Charges_Including Slice and LS'!$X$4:$X$138,MATCH($A71,'Charges_Including Slice and LS'!$AA$4:$AA$138,0),1)/1000</f>
        <v>597.54326753024839</v>
      </c>
      <c r="F71" s="80">
        <f ca="1">+SUM(E$5:E71)</f>
        <v>42916.726538846713</v>
      </c>
      <c r="H71" s="244" t="str">
        <f ca="1">+INDEX(Charges_NonSlice!$C$4:$C$138,MATCH($A71,Charges_NonSlice!$AA$4:$AA$138,0),1)</f>
        <v>Glacier Elec  Coop</v>
      </c>
      <c r="I71" s="74">
        <f ca="1">+INDEX(Charges_NonSlice!$Z$4:$Z$138,MATCH($A71,Charges_NonSlice!$AA$4:$AA$138,0),1)</f>
        <v>-3.7350513989910863E-2</v>
      </c>
      <c r="J71" s="98">
        <f ca="1">+INDEX(Charges_NonSlice!$Y$4:$Y$138,MATCH($A71,Charges_NonSlice!$AA$4:$AA$138,0),1)</f>
        <v>33.859766413117889</v>
      </c>
      <c r="K71" s="246">
        <f ca="1">+INDEX(Charges_NonSlice!$X$4:$X$138,MATCH($A71,Charges_NonSlice!$AA$4:$AA$138,0),1)/1000</f>
        <v>152.72470213403409</v>
      </c>
      <c r="L71" s="80">
        <f ca="1">+SUM(K$5:K71)</f>
        <v>26634.420212069712</v>
      </c>
      <c r="N71" s="244" t="str">
        <f ca="1">+INDEX('Charges_NonSlice &amp; Excl LS'!$C$4:$C$138,MATCH($A71,'Charges_NonSlice &amp; Excl LS'!$AA$4:$AA$138,0),1)</f>
        <v>Bonners Ferry, City of</v>
      </c>
      <c r="O71" s="74">
        <f ca="1">+INDEX('Charges_NonSlice &amp; Excl LS'!$Z$4:$Z$138,MATCH($A71,'Charges_NonSlice &amp; Excl LS'!$AA$4:$AA$138,0),1)</f>
        <v>-3.4926829664491892E-2</v>
      </c>
      <c r="P71" s="98">
        <f ca="1">+INDEX('Charges_NonSlice &amp; Excl LS'!$Y$4:$Y$138,MATCH($A71,'Charges_NonSlice &amp; Excl LS'!$AA$4:$AA$138,0),1)</f>
        <v>35.764858027128632</v>
      </c>
      <c r="Q71" s="246">
        <f ca="1">+INDEX('Charges_NonSlice &amp; Excl LS'!$X$4:$X$138,MATCH($A71,'Charges_NonSlice &amp; Excl LS'!$AA$4:$AA$138,0),1)/1000</f>
        <v>44.446712245488001</v>
      </c>
      <c r="R71" s="80">
        <f ca="1">+SUM(Q$5:Q71)</f>
        <v>28083.305790122944</v>
      </c>
      <c r="T71" s="244" t="str">
        <f ca="1">+INDEX(Charges_NonSlice!$C$4:$C$138,MATCH($A71,Charges_NonSlice!$AA$4:$AA$138,0),1)</f>
        <v>Glacier Elec  Coop</v>
      </c>
      <c r="U71" s="74">
        <f t="shared" ca="1" si="4"/>
        <v>-2.3725454462235618E-2</v>
      </c>
      <c r="V71" s="98">
        <f ca="1">+INDEX(Charges_NonSlice!$Y$4:$Y$138,MATCH($A71,Charges_NonSlice!$AA$4:$AA$138,0),1)</f>
        <v>33.859766413117889</v>
      </c>
      <c r="W71" s="89">
        <f t="shared" ca="1" si="3"/>
        <v>34.682627512803592</v>
      </c>
      <c r="Y71" s="77" t="s">
        <v>122</v>
      </c>
      <c r="Z71" s="78">
        <v>32.207360271887872</v>
      </c>
    </row>
    <row r="72" spans="1:26">
      <c r="A72">
        <f t="shared" si="5"/>
        <v>68</v>
      </c>
      <c r="B72" s="82" t="str">
        <f ca="1">+INDEX('Charges_Including Slice and LS'!$C$4:$C$138,MATCH($A72,'Charges_Including Slice and LS'!$AA$4:$AA$138,0),1)</f>
        <v>Tanner Elec Coop</v>
      </c>
      <c r="C72" s="74">
        <f ca="1">+INDEX('Charges_Including Slice and LS'!$Z$4:$Z$138,MATCH($A72,'Charges_Including Slice and LS'!$AA$4:$AA$138,0),1)</f>
        <v>-3.6862456320609915E-2</v>
      </c>
      <c r="D72" s="60">
        <f ca="1">+INDEX('Charges_Including Slice and LS'!$Y$4:$Y$138,MATCH($A72,'Charges_Including Slice and LS'!$AA$4:$AA$138,0),1)</f>
        <v>35.05285536954527</v>
      </c>
      <c r="E72" s="80">
        <f ca="1">+INDEX('Charges_Including Slice and LS'!$X$4:$X$138,MATCH($A72,'Charges_Including Slice and LS'!$AA$4:$AA$138,0),1)/1000</f>
        <v>92.190239999999989</v>
      </c>
      <c r="F72" s="80">
        <f ca="1">+SUM(E$5:E72)</f>
        <v>43008.916778846717</v>
      </c>
      <c r="H72" s="244" t="str">
        <f ca="1">+INDEX(Charges_NonSlice!$C$4:$C$138,MATCH($A72,Charges_NonSlice!$AA$4:$AA$138,0),1)</f>
        <v>Ashland, City of</v>
      </c>
      <c r="I72" s="74">
        <f ca="1">+INDEX(Charges_NonSlice!$Z$4:$Z$138,MATCH($A72,Charges_NonSlice!$AA$4:$AA$138,0),1)</f>
        <v>-3.7391788036909797E-2</v>
      </c>
      <c r="J72" s="98">
        <f ca="1">+INDEX(Charges_NonSlice!$Y$4:$Y$138,MATCH($A72,Charges_NonSlice!$AA$4:$AA$138,0),1)</f>
        <v>36.32156932088261</v>
      </c>
      <c r="K72" s="246">
        <f ca="1">+INDEX(Charges_NonSlice!$X$4:$X$138,MATCH($A72,Charges_NonSlice!$AA$4:$AA$138,0),1)/1000</f>
        <v>174.98821295148247</v>
      </c>
      <c r="L72" s="80">
        <f ca="1">+SUM(K$5:K72)</f>
        <v>26809.408425021193</v>
      </c>
      <c r="N72" s="244" t="str">
        <f ca="1">+INDEX('Charges_NonSlice &amp; Excl LS'!$C$4:$C$138,MATCH($A72,'Charges_NonSlice &amp; Excl LS'!$AA$4:$AA$138,0),1)</f>
        <v>Plummer, City of</v>
      </c>
      <c r="O72" s="74">
        <f ca="1">+INDEX('Charges_NonSlice &amp; Excl LS'!$Z$4:$Z$138,MATCH($A72,'Charges_NonSlice &amp; Excl LS'!$AA$4:$AA$138,0),1)</f>
        <v>-3.4991494659927354E-2</v>
      </c>
      <c r="P72" s="98">
        <f ca="1">+INDEX('Charges_NonSlice &amp; Excl LS'!$Y$4:$Y$138,MATCH($A72,'Charges_NonSlice &amp; Excl LS'!$AA$4:$AA$138,0),1)</f>
        <v>36.15588023117278</v>
      </c>
      <c r="Q72" s="246">
        <f ca="1">+INDEX('Charges_NonSlice &amp; Excl LS'!$X$4:$X$138,MATCH($A72,'Charges_NonSlice &amp; Excl LS'!$AA$4:$AA$138,0),1)/1000</f>
        <v>32.963268003624009</v>
      </c>
      <c r="R72" s="80">
        <f ca="1">+SUM(Q$5:Q72)</f>
        <v>28116.269058126567</v>
      </c>
      <c r="T72" s="244" t="str">
        <f ca="1">+INDEX(Charges_NonSlice!$C$4:$C$138,MATCH($A72,Charges_NonSlice!$AA$4:$AA$138,0),1)</f>
        <v>Ashland, City of</v>
      </c>
      <c r="U72" s="74">
        <f t="shared" ca="1" si="4"/>
        <v>-2.4326813268457093E-2</v>
      </c>
      <c r="V72" s="98">
        <f ca="1">+INDEX(Charges_NonSlice!$Y$4:$Y$138,MATCH($A72,Charges_NonSlice!$AA$4:$AA$138,0),1)</f>
        <v>36.32156932088261</v>
      </c>
      <c r="W72" s="89">
        <f t="shared" ca="1" si="3"/>
        <v>37.227188176153611</v>
      </c>
      <c r="Y72" s="77" t="s">
        <v>82</v>
      </c>
      <c r="Z72" s="78">
        <v>33.177527905851221</v>
      </c>
    </row>
    <row r="73" spans="1:26">
      <c r="A73">
        <f t="shared" si="5"/>
        <v>69</v>
      </c>
      <c r="B73" s="82" t="str">
        <f ca="1">+INDEX('Charges_Including Slice and LS'!$C$4:$C$138,MATCH($A73,'Charges_Including Slice and LS'!$AA$4:$AA$138,0),1)</f>
        <v>Eatonville, City of</v>
      </c>
      <c r="C73" s="74">
        <f ca="1">+INDEX('Charges_Including Slice and LS'!$Z$4:$Z$138,MATCH($A73,'Charges_Including Slice and LS'!$AA$4:$AA$138,0),1)</f>
        <v>-3.6889812911042208E-2</v>
      </c>
      <c r="D73" s="60">
        <f ca="1">+INDEX('Charges_Including Slice and LS'!$Y$4:$Y$138,MATCH($A73,'Charges_Including Slice and LS'!$AA$4:$AA$138,0),1)</f>
        <v>38.264654385143885</v>
      </c>
      <c r="E73" s="80">
        <f ca="1">+INDEX('Charges_Including Slice and LS'!$X$4:$X$138,MATCH($A73,'Charges_Including Slice and LS'!$AA$4:$AA$138,0),1)/1000</f>
        <v>28.145880000000002</v>
      </c>
      <c r="F73" s="80">
        <f ca="1">+SUM(E$5:E73)</f>
        <v>43037.062658846713</v>
      </c>
      <c r="H73" s="244" t="str">
        <f ca="1">+INDEX(Charges_NonSlice!$C$4:$C$138,MATCH($A73,Charges_NonSlice!$AA$4:$AA$138,0),1)</f>
        <v>Columbia Power Coop</v>
      </c>
      <c r="I73" s="74">
        <f ca="1">+INDEX(Charges_NonSlice!$Z$4:$Z$138,MATCH($A73,Charges_NonSlice!$AA$4:$AA$138,0),1)</f>
        <v>-3.7413441548556477E-2</v>
      </c>
      <c r="J73" s="98">
        <f ca="1">+INDEX(Charges_NonSlice!$Y$4:$Y$138,MATCH($A73,Charges_NonSlice!$AA$4:$AA$138,0),1)</f>
        <v>31.508041221286426</v>
      </c>
      <c r="K73" s="246">
        <f ca="1">+INDEX(Charges_NonSlice!$X$4:$X$138,MATCH($A73,Charges_NonSlice!$AA$4:$AA$138,0),1)/1000</f>
        <v>26.589594366841325</v>
      </c>
      <c r="L73" s="80">
        <f ca="1">+SUM(K$5:K73)</f>
        <v>26835.998019388033</v>
      </c>
      <c r="N73" s="244" t="str">
        <f ca="1">+INDEX('Charges_NonSlice &amp; Excl LS'!$C$4:$C$138,MATCH($A73,'Charges_NonSlice &amp; Excl LS'!$AA$4:$AA$138,0),1)</f>
        <v>Wasco Elec Coop</v>
      </c>
      <c r="O73" s="74">
        <f ca="1">+INDEX('Charges_NonSlice &amp; Excl LS'!$Z$4:$Z$138,MATCH($A73,'Charges_NonSlice &amp; Excl LS'!$AA$4:$AA$138,0),1)</f>
        <v>-3.4993671793942416E-2</v>
      </c>
      <c r="P73" s="98">
        <f ca="1">+INDEX('Charges_NonSlice &amp; Excl LS'!$Y$4:$Y$138,MATCH($A73,'Charges_NonSlice &amp; Excl LS'!$AA$4:$AA$138,0),1)</f>
        <v>32.427261575446423</v>
      </c>
      <c r="Q73" s="246">
        <f ca="1">+INDEX('Charges_NonSlice &amp; Excl LS'!$X$4:$X$138,MATCH($A73,'Charges_NonSlice &amp; Excl LS'!$AA$4:$AA$138,0),1)/1000</f>
        <v>111.43543733985599</v>
      </c>
      <c r="R73" s="80">
        <f ca="1">+SUM(Q$5:Q73)</f>
        <v>28227.704495466423</v>
      </c>
      <c r="T73" s="244" t="str">
        <f ca="1">+INDEX(Charges_NonSlice!$C$4:$C$138,MATCH($A73,Charges_NonSlice!$AA$4:$AA$138,0),1)</f>
        <v>Columbia Power Coop</v>
      </c>
      <c r="U73" s="74">
        <f t="shared" ca="1" si="4"/>
        <v>-5.4302616263499082E-2</v>
      </c>
      <c r="V73" s="98">
        <f ca="1">+INDEX(Charges_NonSlice!$Y$4:$Y$138,MATCH($A73,Charges_NonSlice!$AA$4:$AA$138,0),1)</f>
        <v>31.508041221286426</v>
      </c>
      <c r="W73" s="89">
        <f t="shared" ca="1" si="3"/>
        <v>33.317255353712063</v>
      </c>
      <c r="Y73" s="77" t="s">
        <v>62</v>
      </c>
      <c r="Z73" s="78">
        <v>35.068390613652255</v>
      </c>
    </row>
    <row r="74" spans="1:26">
      <c r="A74">
        <f t="shared" si="5"/>
        <v>70</v>
      </c>
      <c r="B74" s="82" t="str">
        <f ca="1">+INDEX('Charges_Including Slice and LS'!$C$4:$C$138,MATCH($A74,'Charges_Including Slice and LS'!$AA$4:$AA$138,0),1)</f>
        <v>Drain, City of</v>
      </c>
      <c r="C74" s="74">
        <f ca="1">+INDEX('Charges_Including Slice and LS'!$Z$4:$Z$138,MATCH($A74,'Charges_Including Slice and LS'!$AA$4:$AA$138,0),1)</f>
        <v>-3.6996067573148272E-2</v>
      </c>
      <c r="D74" s="60">
        <f ca="1">+INDEX('Charges_Including Slice and LS'!$Y$4:$Y$138,MATCH($A74,'Charges_Including Slice and LS'!$AA$4:$AA$138,0),1)</f>
        <v>35.768773958100034</v>
      </c>
      <c r="E74" s="80">
        <f ca="1">+INDEX('Charges_Including Slice and LS'!$X$4:$X$138,MATCH($A74,'Charges_Including Slice and LS'!$AA$4:$AA$138,0),1)/1000</f>
        <v>15.995760000000001</v>
      </c>
      <c r="F74" s="80">
        <f ca="1">+SUM(E$5:E74)</f>
        <v>43053.058418846711</v>
      </c>
      <c r="H74" s="244" t="str">
        <f ca="1">+INDEX(Charges_NonSlice!$C$4:$C$138,MATCH($A74,Charges_NonSlice!$AA$4:$AA$138,0),1)</f>
        <v>Umatilla Elec Coop</v>
      </c>
      <c r="I74" s="74">
        <f ca="1">+INDEX(Charges_NonSlice!$Z$4:$Z$138,MATCH($A74,Charges_NonSlice!$AA$4:$AA$138,0),1)</f>
        <v>-3.760713304744747E-2</v>
      </c>
      <c r="J74" s="98">
        <f ca="1">+INDEX(Charges_NonSlice!$Y$4:$Y$138,MATCH($A74,Charges_NonSlice!$AA$4:$AA$138,0),1)</f>
        <v>26.660811303666325</v>
      </c>
      <c r="K74" s="246">
        <f ca="1">+INDEX(Charges_NonSlice!$X$4:$X$138,MATCH($A74,Charges_NonSlice!$AA$4:$AA$138,0),1)/1000</f>
        <v>946.10845439789523</v>
      </c>
      <c r="L74" s="80">
        <f ca="1">+SUM(K$5:K74)</f>
        <v>27782.106473785927</v>
      </c>
      <c r="N74" s="244" t="str">
        <f ca="1">+INDEX('Charges_NonSlice &amp; Excl LS'!$C$4:$C$138,MATCH($A74,'Charges_NonSlice &amp; Excl LS'!$AA$4:$AA$138,0),1)</f>
        <v>Troy, City of</v>
      </c>
      <c r="O74" s="74">
        <f ca="1">+INDEX('Charges_NonSlice &amp; Excl LS'!$Z$4:$Z$138,MATCH($A74,'Charges_NonSlice &amp; Excl LS'!$AA$4:$AA$138,0),1)</f>
        <v>-3.5072723617093252E-2</v>
      </c>
      <c r="P74" s="98">
        <f ca="1">+INDEX('Charges_NonSlice &amp; Excl LS'!$Y$4:$Y$138,MATCH($A74,'Charges_NonSlice &amp; Excl LS'!$AA$4:$AA$138,0),1)</f>
        <v>36.481679843059545</v>
      </c>
      <c r="Q74" s="246">
        <f ca="1">+INDEX('Charges_NonSlice &amp; Excl LS'!$X$4:$X$138,MATCH($A74,'Charges_NonSlice &amp; Excl LS'!$AA$4:$AA$138,0),1)/1000</f>
        <v>17.030431696824003</v>
      </c>
      <c r="R74" s="80">
        <f ca="1">+SUM(Q$5:Q74)</f>
        <v>28244.734927163248</v>
      </c>
      <c r="T74" s="244" t="str">
        <f ca="1">+INDEX(Charges_NonSlice!$C$4:$C$138,MATCH($A74,Charges_NonSlice!$AA$4:$AA$138,0),1)</f>
        <v>Umatilla Elec Coop</v>
      </c>
      <c r="U74" s="74" t="str">
        <f t="shared" ca="1" si="4"/>
        <v/>
      </c>
      <c r="V74" s="98">
        <f ca="1">+INDEX(Charges_NonSlice!$Y$4:$Y$138,MATCH($A74,Charges_NonSlice!$AA$4:$AA$138,0),1)</f>
        <v>26.660811303666325</v>
      </c>
      <c r="W74" s="89" t="e">
        <f t="shared" ca="1" si="3"/>
        <v>#N/A</v>
      </c>
      <c r="Y74" s="77" t="s">
        <v>134</v>
      </c>
      <c r="Z74" s="78">
        <v>36.635380507645806</v>
      </c>
    </row>
    <row r="75" spans="1:26">
      <c r="A75">
        <f t="shared" si="5"/>
        <v>71</v>
      </c>
      <c r="B75" s="82" t="str">
        <f ca="1">+INDEX('Charges_Including Slice and LS'!$C$4:$C$138,MATCH($A75,'Charges_Including Slice and LS'!$AA$4:$AA$138,0),1)</f>
        <v>U.S. DOE Richland Operations Office</v>
      </c>
      <c r="C75" s="74">
        <f ca="1">+INDEX('Charges_Including Slice and LS'!$Z$4:$Z$138,MATCH($A75,'Charges_Including Slice and LS'!$AA$4:$AA$138,0),1)</f>
        <v>-3.734107542722731E-2</v>
      </c>
      <c r="D75" s="60">
        <f ca="1">+INDEX('Charges_Including Slice and LS'!$Y$4:$Y$138,MATCH($A75,'Charges_Including Slice and LS'!$AA$4:$AA$138,0),1)</f>
        <v>38.672475546862245</v>
      </c>
      <c r="E75" s="80">
        <f ca="1">+INDEX('Charges_Including Slice and LS'!$X$4:$X$138,MATCH($A75,'Charges_Including Slice and LS'!$AA$4:$AA$138,0),1)/1000</f>
        <v>138.5689033410367</v>
      </c>
      <c r="F75" s="80">
        <f ca="1">+SUM(E$5:E75)</f>
        <v>43191.627322187749</v>
      </c>
      <c r="H75" s="244" t="str">
        <f ca="1">+INDEX(Charges_NonSlice!$C$4:$C$138,MATCH($A75,Charges_NonSlice!$AA$4:$AA$138,0),1)</f>
        <v>Clatskanie PUD</v>
      </c>
      <c r="I75" s="74">
        <f ca="1">+INDEX(Charges_NonSlice!$Z$4:$Z$138,MATCH($A75,Charges_NonSlice!$AA$4:$AA$138,0),1)</f>
        <v>-3.7635347526099081E-2</v>
      </c>
      <c r="J75" s="98">
        <f ca="1">+INDEX(Charges_NonSlice!$Y$4:$Y$138,MATCH($A75,Charges_NonSlice!$AA$4:$AA$138,0),1)</f>
        <v>33.813846094925573</v>
      </c>
      <c r="K75" s="246">
        <f ca="1">+INDEX(Charges_NonSlice!$X$4:$X$138,MATCH($A75,Charges_NonSlice!$AA$4:$AA$138,0),1)/1000</f>
        <v>298.02829461132484</v>
      </c>
      <c r="L75" s="80">
        <f ca="1">+SUM(K$5:K75)</f>
        <v>28080.134768397253</v>
      </c>
      <c r="N75" s="244" t="str">
        <f ca="1">+INDEX('Charges_NonSlice &amp; Excl LS'!$C$4:$C$138,MATCH($A75,'Charges_NonSlice &amp; Excl LS'!$AA$4:$AA$138,0),1)</f>
        <v>Ohop Mutual Light Company</v>
      </c>
      <c r="O75" s="74">
        <f ca="1">+INDEX('Charges_NonSlice &amp; Excl LS'!$Z$4:$Z$138,MATCH($A75,'Charges_NonSlice &amp; Excl LS'!$AA$4:$AA$138,0),1)</f>
        <v>-3.511365863642614E-2</v>
      </c>
      <c r="P75" s="98">
        <f ca="1">+INDEX('Charges_NonSlice &amp; Excl LS'!$Y$4:$Y$138,MATCH($A75,'Charges_NonSlice &amp; Excl LS'!$AA$4:$AA$138,0),1)</f>
        <v>34.765254206593198</v>
      </c>
      <c r="Q75" s="246">
        <f ca="1">+INDEX('Charges_NonSlice &amp; Excl LS'!$X$4:$X$138,MATCH($A75,'Charges_NonSlice &amp; Excl LS'!$AA$4:$AA$138,0),1)/1000</f>
        <v>84.886611212340028</v>
      </c>
      <c r="R75" s="80">
        <f ca="1">+SUM(Q$5:Q75)</f>
        <v>28329.621538375588</v>
      </c>
      <c r="T75" s="244" t="str">
        <f ca="1">+INDEX(Charges_NonSlice!$C$4:$C$138,MATCH($A75,Charges_NonSlice!$AA$4:$AA$138,0),1)</f>
        <v>Clatskanie PUD</v>
      </c>
      <c r="U75" s="74">
        <f t="shared" ca="1" si="4"/>
        <v>-2.6976930607766181E-2</v>
      </c>
      <c r="V75" s="98">
        <f ca="1">+INDEX(Charges_NonSlice!$Y$4:$Y$138,MATCH($A75,Charges_NonSlice!$AA$4:$AA$138,0),1)</f>
        <v>33.813846094925573</v>
      </c>
      <c r="W75" s="89">
        <f t="shared" ca="1" si="3"/>
        <v>34.751330321537246</v>
      </c>
      <c r="Y75" s="77" t="s">
        <v>112</v>
      </c>
      <c r="Z75" s="78">
        <v>34.993021795202523</v>
      </c>
    </row>
    <row r="76" spans="1:26">
      <c r="A76">
        <f t="shared" si="5"/>
        <v>72</v>
      </c>
      <c r="B76" s="82" t="str">
        <f ca="1">+INDEX('Charges_Including Slice and LS'!$C$4:$C$138,MATCH($A76,'Charges_Including Slice and LS'!$AA$4:$AA$138,0),1)</f>
        <v>Glacier Elec  Coop</v>
      </c>
      <c r="C76" s="74">
        <f ca="1">+INDEX('Charges_Including Slice and LS'!$Z$4:$Z$138,MATCH($A76,'Charges_Including Slice and LS'!$AA$4:$AA$138,0),1)</f>
        <v>-3.7350513989907269E-2</v>
      </c>
      <c r="D76" s="60">
        <f ca="1">+INDEX('Charges_Including Slice and LS'!$Y$4:$Y$138,MATCH($A76,'Charges_Including Slice and LS'!$AA$4:$AA$138,0),1)</f>
        <v>33.859766413117889</v>
      </c>
      <c r="E76" s="80">
        <f ca="1">+INDEX('Charges_Including Slice and LS'!$X$4:$X$138,MATCH($A76,'Charges_Including Slice and LS'!$AA$4:$AA$138,0),1)/1000</f>
        <v>152.72470213403409</v>
      </c>
      <c r="F76" s="80">
        <f ca="1">+SUM(E$5:E76)</f>
        <v>43344.352024321786</v>
      </c>
      <c r="H76" s="244" t="str">
        <f ca="1">+INDEX(Charges_NonSlice!$C$4:$C$138,MATCH($A76,Charges_NonSlice!$AA$4:$AA$138,0),1)</f>
        <v>Skamania County PUD #1</v>
      </c>
      <c r="I76" s="74">
        <f ca="1">+INDEX(Charges_NonSlice!$Z$4:$Z$138,MATCH($A76,Charges_NonSlice!$AA$4:$AA$138,0),1)</f>
        <v>-3.7651348606159422E-2</v>
      </c>
      <c r="J76" s="98">
        <f ca="1">+INDEX(Charges_NonSlice!$Y$4:$Y$138,MATCH($A76,Charges_NonSlice!$AA$4:$AA$138,0),1)</f>
        <v>34.436008697086528</v>
      </c>
      <c r="K76" s="246">
        <f ca="1">+INDEX(Charges_NonSlice!$X$4:$X$138,MATCH($A76,Charges_NonSlice!$AA$4:$AA$138,0),1)/1000</f>
        <v>132.91548</v>
      </c>
      <c r="L76" s="80">
        <f ca="1">+SUM(K$5:K76)</f>
        <v>28213.050248397252</v>
      </c>
      <c r="N76" s="244" t="str">
        <f ca="1">+INDEX('Charges_NonSlice &amp; Excl LS'!$C$4:$C$138,MATCH($A76,'Charges_NonSlice &amp; Excl LS'!$AA$4:$AA$138,0),1)</f>
        <v>Lewis County PUD #1</v>
      </c>
      <c r="O76" s="74">
        <f ca="1">+INDEX('Charges_NonSlice &amp; Excl LS'!$Z$4:$Z$138,MATCH($A76,'Charges_NonSlice &amp; Excl LS'!$AA$4:$AA$138,0),1)</f>
        <v>-3.5141318126177254E-2</v>
      </c>
      <c r="P76" s="98">
        <f ca="1">+INDEX('Charges_NonSlice &amp; Excl LS'!$Y$4:$Y$138,MATCH($A76,'Charges_NonSlice &amp; Excl LS'!$AA$4:$AA$138,0),1)</f>
        <v>31.970709105272942</v>
      </c>
      <c r="Q76" s="246">
        <f ca="1">+INDEX('Charges_NonSlice &amp; Excl LS'!$X$4:$X$138,MATCH($A76,'Charges_NonSlice &amp; Excl LS'!$AA$4:$AA$138,0),1)/1000</f>
        <v>352.37532860157603</v>
      </c>
      <c r="R76" s="80">
        <f ca="1">+SUM(Q$5:Q76)</f>
        <v>28681.996866977162</v>
      </c>
      <c r="T76" s="244" t="str">
        <f ca="1">+INDEX(Charges_NonSlice!$C$4:$C$138,MATCH($A76,Charges_NonSlice!$AA$4:$AA$138,0),1)</f>
        <v>Skamania County PUD #1</v>
      </c>
      <c r="U76" s="74">
        <f t="shared" ca="1" si="4"/>
        <v>-4.6717897768989602E-2</v>
      </c>
      <c r="V76" s="98">
        <f ca="1">+INDEX(Charges_NonSlice!$Y$4:$Y$138,MATCH($A76,Charges_NonSlice!$AA$4:$AA$138,0),1)</f>
        <v>34.436008697086528</v>
      </c>
      <c r="W76" s="89">
        <f t="shared" ca="1" si="3"/>
        <v>36.123628689235154</v>
      </c>
      <c r="Y76" s="77" t="s">
        <v>118</v>
      </c>
      <c r="Z76" s="78">
        <v>37.019054130706948</v>
      </c>
    </row>
    <row r="77" spans="1:26">
      <c r="A77">
        <f t="shared" si="5"/>
        <v>73</v>
      </c>
      <c r="B77" s="82" t="str">
        <f ca="1">+INDEX('Charges_Including Slice and LS'!$C$4:$C$138,MATCH($A77,'Charges_Including Slice and LS'!$AA$4:$AA$138,0),1)</f>
        <v>Ashland, City of</v>
      </c>
      <c r="C77" s="74">
        <f ca="1">+INDEX('Charges_Including Slice and LS'!$Z$4:$Z$138,MATCH($A77,'Charges_Including Slice and LS'!$AA$4:$AA$138,0),1)</f>
        <v>-3.7391788036906105E-2</v>
      </c>
      <c r="D77" s="60">
        <f ca="1">+INDEX('Charges_Including Slice and LS'!$Y$4:$Y$138,MATCH($A77,'Charges_Including Slice and LS'!$AA$4:$AA$138,0),1)</f>
        <v>36.32156932088261</v>
      </c>
      <c r="E77" s="80">
        <f ca="1">+INDEX('Charges_Including Slice and LS'!$X$4:$X$138,MATCH($A77,'Charges_Including Slice and LS'!$AA$4:$AA$138,0),1)/1000</f>
        <v>174.98821295148247</v>
      </c>
      <c r="F77" s="80">
        <f ca="1">+SUM(E$5:E77)</f>
        <v>43519.340237273267</v>
      </c>
      <c r="H77" s="244" t="str">
        <f ca="1">+INDEX(Charges_NonSlice!$C$4:$C$138,MATCH($A77,Charges_NonSlice!$AA$4:$AA$138,0),1)</f>
        <v>Kittitas County PUD #1</v>
      </c>
      <c r="I77" s="74">
        <f ca="1">+INDEX(Charges_NonSlice!$Z$4:$Z$138,MATCH($A77,Charges_NonSlice!$AA$4:$AA$138,0),1)</f>
        <v>-3.7725899479380286E-2</v>
      </c>
      <c r="J77" s="98">
        <f ca="1">+INDEX(Charges_NonSlice!$Y$4:$Y$138,MATCH($A77,Charges_NonSlice!$AA$4:$AA$138,0),1)</f>
        <v>36.764206132560446</v>
      </c>
      <c r="K77" s="246">
        <f ca="1">+INDEX(Charges_NonSlice!$X$4:$X$138,MATCH($A77,Charges_NonSlice!$AA$4:$AA$138,0),1)/1000</f>
        <v>76.414118147312919</v>
      </c>
      <c r="L77" s="80">
        <f ca="1">+SUM(K$5:K77)</f>
        <v>28289.464366544566</v>
      </c>
      <c r="N77" s="244" t="str">
        <f ca="1">+INDEX('Charges_NonSlice &amp; Excl LS'!$C$4:$C$138,MATCH($A77,'Charges_NonSlice &amp; Excl LS'!$AA$4:$AA$138,0),1)</f>
        <v>Coulee Dam, City of</v>
      </c>
      <c r="O77" s="74">
        <f ca="1">+INDEX('Charges_NonSlice &amp; Excl LS'!$Z$4:$Z$138,MATCH($A77,'Charges_NonSlice &amp; Excl LS'!$AA$4:$AA$138,0),1)</f>
        <v>-3.5159262825110574E-2</v>
      </c>
      <c r="P77" s="98">
        <f ca="1">+INDEX('Charges_NonSlice &amp; Excl LS'!$Y$4:$Y$138,MATCH($A77,'Charges_NonSlice &amp; Excl LS'!$AA$4:$AA$138,0),1)</f>
        <v>37.423151131295398</v>
      </c>
      <c r="Q77" s="246">
        <f ca="1">+INDEX('Charges_NonSlice &amp; Excl LS'!$X$4:$X$138,MATCH($A77,'Charges_NonSlice &amp; Excl LS'!$AA$4:$AA$138,0),1)/1000</f>
        <v>16.458029799876002</v>
      </c>
      <c r="R77" s="80">
        <f ca="1">+SUM(Q$5:Q77)</f>
        <v>28698.454896777039</v>
      </c>
      <c r="T77" s="244" t="str">
        <f ca="1">+INDEX(Charges_NonSlice!$C$4:$C$138,MATCH($A77,Charges_NonSlice!$AA$4:$AA$138,0),1)</f>
        <v>Kittitas County PUD #1</v>
      </c>
      <c r="U77" s="74">
        <f t="shared" ca="1" si="4"/>
        <v>-1.6479831228038422E-2</v>
      </c>
      <c r="V77" s="98">
        <f ca="1">+INDEX(Charges_NonSlice!$Y$4:$Y$138,MATCH($A77,Charges_NonSlice!$AA$4:$AA$138,0),1)</f>
        <v>36.764206132560446</v>
      </c>
      <c r="W77" s="89">
        <f t="shared" ca="1" si="3"/>
        <v>37.380225947440202</v>
      </c>
      <c r="Y77" s="77" t="s">
        <v>11</v>
      </c>
      <c r="Z77" s="78">
        <v>29.148576110571366</v>
      </c>
    </row>
    <row r="78" spans="1:26">
      <c r="A78">
        <f t="shared" si="5"/>
        <v>74</v>
      </c>
      <c r="B78" s="82" t="str">
        <f ca="1">+INDEX('Charges_Including Slice and LS'!$C$4:$C$138,MATCH($A78,'Charges_Including Slice and LS'!$AA$4:$AA$138,0),1)</f>
        <v>Columbia Power Coop</v>
      </c>
      <c r="C78" s="74">
        <f ca="1">+INDEX('Charges_Including Slice and LS'!$Z$4:$Z$138,MATCH($A78,'Charges_Including Slice and LS'!$AA$4:$AA$138,0),1)</f>
        <v>-3.7413441548558621E-2</v>
      </c>
      <c r="D78" s="60">
        <f ca="1">+INDEX('Charges_Including Slice and LS'!$Y$4:$Y$138,MATCH($A78,'Charges_Including Slice and LS'!$AA$4:$AA$138,0),1)</f>
        <v>31.508041221286426</v>
      </c>
      <c r="E78" s="80">
        <f ca="1">+INDEX('Charges_Including Slice and LS'!$X$4:$X$138,MATCH($A78,'Charges_Including Slice and LS'!$AA$4:$AA$138,0),1)/1000</f>
        <v>26.589594366841325</v>
      </c>
      <c r="F78" s="80">
        <f ca="1">+SUM(E$5:E78)</f>
        <v>43545.929831640111</v>
      </c>
      <c r="H78" s="244" t="str">
        <f ca="1">+INDEX(Charges_NonSlice!$C$4:$C$138,MATCH($A78,Charges_NonSlice!$AA$4:$AA$138,0),1)</f>
        <v>Consolidated Irrigation District #19</v>
      </c>
      <c r="I78" s="74">
        <f ca="1">+INDEX(Charges_NonSlice!$Z$4:$Z$138,MATCH($A78,Charges_NonSlice!$AA$4:$AA$138,0),1)</f>
        <v>-3.7986318412238075E-2</v>
      </c>
      <c r="J78" s="98">
        <f ca="1">+INDEX(Charges_NonSlice!$Y$4:$Y$138,MATCH($A78,Charges_NonSlice!$AA$4:$AA$138,0),1)</f>
        <v>33.620329040443593</v>
      </c>
      <c r="K78" s="246">
        <f ca="1">+INDEX(Charges_NonSlice!$X$4:$X$138,MATCH($A78,Charges_NonSlice!$AA$4:$AA$138,0),1)/1000</f>
        <v>1.9009200000000002</v>
      </c>
      <c r="L78" s="80">
        <f ca="1">+SUM(K$5:K78)</f>
        <v>28291.365286544566</v>
      </c>
      <c r="N78" s="244" t="str">
        <f ca="1">+INDEX('Charges_NonSlice &amp; Excl LS'!$C$4:$C$138,MATCH($A78,'Charges_NonSlice &amp; Excl LS'!$AA$4:$AA$138,0),1)</f>
        <v>Hermiston, City of</v>
      </c>
      <c r="O78" s="74">
        <f ca="1">+INDEX('Charges_NonSlice &amp; Excl LS'!$Z$4:$Z$138,MATCH($A78,'Charges_NonSlice &amp; Excl LS'!$AA$4:$AA$138,0),1)</f>
        <v>-3.5261604319210896E-2</v>
      </c>
      <c r="P78" s="98">
        <f ca="1">+INDEX('Charges_NonSlice &amp; Excl LS'!$Y$4:$Y$138,MATCH($A78,'Charges_NonSlice &amp; Excl LS'!$AA$4:$AA$138,0),1)</f>
        <v>35.907513339274182</v>
      </c>
      <c r="Q78" s="246">
        <f ca="1">+INDEX('Charges_NonSlice &amp; Excl LS'!$X$4:$X$138,MATCH($A78,'Charges_NonSlice &amp; Excl LS'!$AA$4:$AA$138,0),1)/1000</f>
        <v>107.81219234268002</v>
      </c>
      <c r="R78" s="80">
        <f ca="1">+SUM(Q$5:Q78)</f>
        <v>28806.267089119719</v>
      </c>
      <c r="T78" s="244" t="str">
        <f ca="1">+INDEX(Charges_NonSlice!$C$4:$C$138,MATCH($A78,Charges_NonSlice!$AA$4:$AA$138,0),1)</f>
        <v>Consolidated Irrigation District #19</v>
      </c>
      <c r="U78" s="74" t="str">
        <f t="shared" ca="1" si="4"/>
        <v/>
      </c>
      <c r="V78" s="98">
        <f ca="1">+INDEX(Charges_NonSlice!$Y$4:$Y$138,MATCH($A78,Charges_NonSlice!$AA$4:$AA$138,0),1)</f>
        <v>33.620329040443593</v>
      </c>
      <c r="W78" s="89"/>
      <c r="Y78" s="77" t="s">
        <v>39</v>
      </c>
      <c r="Z78" s="78">
        <v>37.110940763559327</v>
      </c>
    </row>
    <row r="79" spans="1:26">
      <c r="A79">
        <f t="shared" si="5"/>
        <v>75</v>
      </c>
      <c r="B79" s="82" t="str">
        <f ca="1">+INDEX('Charges_Including Slice and LS'!$C$4:$C$138,MATCH($A79,'Charges_Including Slice and LS'!$AA$4:$AA$138,0),1)</f>
        <v>Umatilla Elec Coop</v>
      </c>
      <c r="C79" s="74">
        <f ca="1">+INDEX('Charges_Including Slice and LS'!$Z$4:$Z$138,MATCH($A79,'Charges_Including Slice and LS'!$AA$4:$AA$138,0),1)</f>
        <v>-3.7607133047453334E-2</v>
      </c>
      <c r="D79" s="60">
        <f ca="1">+INDEX('Charges_Including Slice and LS'!$Y$4:$Y$138,MATCH($A79,'Charges_Including Slice and LS'!$AA$4:$AA$138,0),1)</f>
        <v>26.660811303666325</v>
      </c>
      <c r="E79" s="80">
        <f ca="1">+INDEX('Charges_Including Slice and LS'!$X$4:$X$138,MATCH($A79,'Charges_Including Slice and LS'!$AA$4:$AA$138,0),1)/1000</f>
        <v>946.10845439789523</v>
      </c>
      <c r="F79" s="80">
        <f ca="1">+SUM(E$5:E79)</f>
        <v>44492.038286038005</v>
      </c>
      <c r="H79" s="244" t="str">
        <f ca="1">+INDEX(Charges_NonSlice!$C$4:$C$138,MATCH($A79,Charges_NonSlice!$AA$4:$AA$138,0),1)</f>
        <v>Steilacoom, Town of</v>
      </c>
      <c r="I79" s="74">
        <f ca="1">+INDEX(Charges_NonSlice!$Z$4:$Z$138,MATCH($A79,Charges_NonSlice!$AA$4:$AA$138,0),1)</f>
        <v>-3.8002492362003225E-2</v>
      </c>
      <c r="J79" s="98">
        <f ca="1">+INDEX(Charges_NonSlice!$Y$4:$Y$138,MATCH($A79,Charges_NonSlice!$AA$4:$AA$138,0),1)</f>
        <v>36.808329728999951</v>
      </c>
      <c r="K79" s="246">
        <f ca="1">+INDEX(Charges_NonSlice!$X$4:$X$138,MATCH($A79,Charges_NonSlice!$AA$4:$AA$138,0),1)/1000</f>
        <v>39.267445037583691</v>
      </c>
      <c r="L79" s="80">
        <f ca="1">+SUM(K$5:K79)</f>
        <v>28330.632731582151</v>
      </c>
      <c r="N79" s="244" t="str">
        <f ca="1">+INDEX('Charges_NonSlice &amp; Excl LS'!$C$4:$C$138,MATCH($A79,'Charges_NonSlice &amp; Excl LS'!$AA$4:$AA$138,0),1)</f>
        <v>Sumas, Town of</v>
      </c>
      <c r="O79" s="74">
        <f ca="1">+INDEX('Charges_NonSlice &amp; Excl LS'!$Z$4:$Z$138,MATCH($A79,'Charges_NonSlice &amp; Excl LS'!$AA$4:$AA$138,0),1)</f>
        <v>-3.5364753093702565E-2</v>
      </c>
      <c r="P79" s="98">
        <f ca="1">+INDEX('Charges_NonSlice &amp; Excl LS'!$Y$4:$Y$138,MATCH($A79,'Charges_NonSlice &amp; Excl LS'!$AA$4:$AA$138,0),1)</f>
        <v>35.017072855455595</v>
      </c>
      <c r="Q79" s="246">
        <f ca="1">+INDEX('Charges_NonSlice &amp; Excl LS'!$X$4:$X$138,MATCH($A79,'Charges_NonSlice &amp; Excl LS'!$AA$4:$AA$138,0),1)/1000</f>
        <v>30.443519446956003</v>
      </c>
      <c r="R79" s="80">
        <f ca="1">+SUM(Q$5:Q79)</f>
        <v>28836.710608566675</v>
      </c>
      <c r="T79" s="244" t="str">
        <f ca="1">+INDEX(Charges_NonSlice!$C$4:$C$138,MATCH($A79,Charges_NonSlice!$AA$4:$AA$138,0),1)</f>
        <v>Steilacoom, Town of</v>
      </c>
      <c r="U79" s="74">
        <f t="shared" ca="1" si="4"/>
        <v>-3.3955257254137949E-2</v>
      </c>
      <c r="V79" s="98">
        <f ca="1">+INDEX(Charges_NonSlice!$Y$4:$Y$138,MATCH($A79,Charges_NonSlice!$AA$4:$AA$138,0),1)</f>
        <v>36.808329728999951</v>
      </c>
      <c r="W79" s="89">
        <f t="shared" ca="1" si="3"/>
        <v>38.102096207652714</v>
      </c>
      <c r="Y79" s="77" t="s">
        <v>71</v>
      </c>
      <c r="Z79" s="78">
        <v>34.978293928316049</v>
      </c>
    </row>
    <row r="80" spans="1:26">
      <c r="A80">
        <f t="shared" si="5"/>
        <v>76</v>
      </c>
      <c r="B80" s="82" t="str">
        <f ca="1">+INDEX('Charges_Including Slice and LS'!$C$4:$C$138,MATCH($A80,'Charges_Including Slice and LS'!$AA$4:$AA$138,0),1)</f>
        <v>Skamania County PUD #1</v>
      </c>
      <c r="C80" s="74">
        <f ca="1">+INDEX('Charges_Including Slice and LS'!$Z$4:$Z$138,MATCH($A80,'Charges_Including Slice and LS'!$AA$4:$AA$138,0),1)</f>
        <v>-3.7651348606165258E-2</v>
      </c>
      <c r="D80" s="60">
        <f ca="1">+INDEX('Charges_Including Slice and LS'!$Y$4:$Y$138,MATCH($A80,'Charges_Including Slice and LS'!$AA$4:$AA$138,0),1)</f>
        <v>34.436008697086528</v>
      </c>
      <c r="E80" s="80">
        <f ca="1">+INDEX('Charges_Including Slice and LS'!$X$4:$X$138,MATCH($A80,'Charges_Including Slice and LS'!$AA$4:$AA$138,0),1)/1000</f>
        <v>132.91548</v>
      </c>
      <c r="F80" s="80">
        <f ca="1">+SUM(E$5:E80)</f>
        <v>44624.953766038008</v>
      </c>
      <c r="H80" s="244" t="str">
        <f ca="1">+INDEX(Charges_NonSlice!$C$4:$C$138,MATCH($A80,Charges_NonSlice!$AA$4:$AA$138,0),1)</f>
        <v>Plummer, City of</v>
      </c>
      <c r="I80" s="74">
        <f ca="1">+INDEX(Charges_NonSlice!$Z$4:$Z$138,MATCH($A80,Charges_NonSlice!$AA$4:$AA$138,0),1)</f>
        <v>-3.8074495474273648E-2</v>
      </c>
      <c r="J80" s="98">
        <f ca="1">+INDEX(Charges_NonSlice!$Y$4:$Y$138,MATCH($A80,Charges_NonSlice!$AA$4:$AA$138,0),1)</f>
        <v>36.659301091004835</v>
      </c>
      <c r="K80" s="246">
        <f ca="1">+INDEX(Charges_NonSlice!$X$4:$X$138,MATCH($A80,Charges_NonSlice!$AA$4:$AA$138,0),1)/1000</f>
        <v>32.963879999999996</v>
      </c>
      <c r="L80" s="80">
        <f ca="1">+SUM(K$5:K80)</f>
        <v>28363.59661158215</v>
      </c>
      <c r="N80" s="244" t="str">
        <f ca="1">+INDEX('Charges_NonSlice &amp; Excl LS'!$C$4:$C$138,MATCH($A80,'Charges_NonSlice &amp; Excl LS'!$AA$4:$AA$138,0),1)</f>
        <v>Wahkiakum County PUD #1</v>
      </c>
      <c r="O80" s="74">
        <f ca="1">+INDEX('Charges_NonSlice &amp; Excl LS'!$Z$4:$Z$138,MATCH($A80,'Charges_NonSlice &amp; Excl LS'!$AA$4:$AA$138,0),1)</f>
        <v>-3.540008867160957E-2</v>
      </c>
      <c r="P80" s="98">
        <f ca="1">+INDEX('Charges_NonSlice &amp; Excl LS'!$Y$4:$Y$138,MATCH($A80,'Charges_NonSlice &amp; Excl LS'!$AA$4:$AA$138,0),1)</f>
        <v>33.426636420845071</v>
      </c>
      <c r="Q80" s="246">
        <f ca="1">+INDEX('Charges_NonSlice &amp; Excl LS'!$X$4:$X$138,MATCH($A80,'Charges_NonSlice &amp; Excl LS'!$AA$4:$AA$138,0),1)/1000</f>
        <v>41.826645830592</v>
      </c>
      <c r="R80" s="80">
        <f ca="1">+SUM(Q$5:Q80)</f>
        <v>28878.537254397266</v>
      </c>
      <c r="T80" s="244" t="str">
        <f ca="1">+INDEX(Charges_NonSlice!$C$4:$C$138,MATCH($A80,Charges_NonSlice!$AA$4:$AA$138,0),1)</f>
        <v>Plummer, City of</v>
      </c>
      <c r="U80" s="74">
        <f t="shared" ca="1" si="4"/>
        <v>-3.1417929684293355E-2</v>
      </c>
      <c r="V80" s="98">
        <f ca="1">+INDEX(Charges_NonSlice!$Y$4:$Y$138,MATCH($A80,Charges_NonSlice!$AA$4:$AA$138,0),1)</f>
        <v>36.659301091004835</v>
      </c>
      <c r="W80" s="89">
        <f t="shared" ca="1" si="3"/>
        <v>37.848420092120676</v>
      </c>
      <c r="Y80" s="77" t="s">
        <v>91</v>
      </c>
      <c r="Z80" s="78">
        <v>37.672581476578948</v>
      </c>
    </row>
    <row r="81" spans="1:26">
      <c r="A81">
        <f t="shared" si="5"/>
        <v>77</v>
      </c>
      <c r="B81" s="82" t="str">
        <f ca="1">+INDEX('Charges_Including Slice and LS'!$C$4:$C$138,MATCH($A81,'Charges_Including Slice and LS'!$AA$4:$AA$138,0),1)</f>
        <v>Kittitas County PUD #1</v>
      </c>
      <c r="C81" s="74">
        <f ca="1">+INDEX('Charges_Including Slice and LS'!$Z$4:$Z$138,MATCH($A81,'Charges_Including Slice and LS'!$AA$4:$AA$138,0),1)</f>
        <v>-3.7725899479386399E-2</v>
      </c>
      <c r="D81" s="60">
        <f ca="1">+INDEX('Charges_Including Slice and LS'!$Y$4:$Y$138,MATCH($A81,'Charges_Including Slice and LS'!$AA$4:$AA$138,0),1)</f>
        <v>36.764206132560446</v>
      </c>
      <c r="E81" s="80">
        <f ca="1">+INDEX('Charges_Including Slice and LS'!$X$4:$X$138,MATCH($A81,'Charges_Including Slice and LS'!$AA$4:$AA$138,0),1)/1000</f>
        <v>76.414118147312919</v>
      </c>
      <c r="F81" s="80">
        <f ca="1">+SUM(E$5:E81)</f>
        <v>44701.367884185318</v>
      </c>
      <c r="H81" s="244" t="str">
        <f ca="1">+INDEX(Charges_NonSlice!$C$4:$C$138,MATCH($A81,Charges_NonSlice!$AA$4:$AA$138,0),1)</f>
        <v>Cheney, City of</v>
      </c>
      <c r="I81" s="74">
        <f ca="1">+INDEX(Charges_NonSlice!$Z$4:$Z$138,MATCH($A81,Charges_NonSlice!$AA$4:$AA$138,0),1)</f>
        <v>-3.8406914310883389E-2</v>
      </c>
      <c r="J81" s="98">
        <f ca="1">+INDEX(Charges_NonSlice!$Y$4:$Y$138,MATCH($A81,Charges_NonSlice!$AA$4:$AA$138,0),1)</f>
        <v>39.303884165559381</v>
      </c>
      <c r="K81" s="246">
        <f ca="1">+INDEX(Charges_NonSlice!$X$4:$X$138,MATCH($A81,Charges_NonSlice!$AA$4:$AA$138,0),1)/1000</f>
        <v>124.80197576115548</v>
      </c>
      <c r="L81" s="80">
        <f ca="1">+SUM(K$5:K81)</f>
        <v>28488.398587343305</v>
      </c>
      <c r="N81" s="244" t="str">
        <f ca="1">+INDEX('Charges_NonSlice &amp; Excl LS'!$C$4:$C$138,MATCH($A81,'Charges_NonSlice &amp; Excl LS'!$AA$4:$AA$138,0),1)</f>
        <v>U.S. Naval Station, Everett (Jim Creek)</v>
      </c>
      <c r="O81" s="74">
        <f ca="1">+INDEX('Charges_NonSlice &amp; Excl LS'!$Z$4:$Z$138,MATCH($A81,'Charges_NonSlice &amp; Excl LS'!$AA$4:$AA$138,0),1)</f>
        <v>-3.5435134414052862E-2</v>
      </c>
      <c r="P81" s="98">
        <f ca="1">+INDEX('Charges_NonSlice &amp; Excl LS'!$Y$4:$Y$138,MATCH($A81,'Charges_NonSlice &amp; Excl LS'!$AA$4:$AA$138,0),1)</f>
        <v>35.916330586221164</v>
      </c>
      <c r="Q81" s="246">
        <f ca="1">+INDEX('Charges_NonSlice &amp; Excl LS'!$X$4:$X$138,MATCH($A81,'Charges_NonSlice &amp; Excl LS'!$AA$4:$AA$138,0),1)/1000</f>
        <v>12.763972196892</v>
      </c>
      <c r="R81" s="80">
        <f ca="1">+SUM(Q$5:Q81)</f>
        <v>28891.301226594158</v>
      </c>
      <c r="T81" s="244" t="str">
        <f ca="1">+INDEX(Charges_NonSlice!$C$4:$C$138,MATCH($A81,Charges_NonSlice!$AA$4:$AA$138,0),1)</f>
        <v>Cheney, City of</v>
      </c>
      <c r="U81" s="74">
        <f t="shared" ca="1" si="4"/>
        <v>-1.6117746055457238E-2</v>
      </c>
      <c r="V81" s="98">
        <f ca="1">+INDEX(Charges_NonSlice!$Y$4:$Y$138,MATCH($A81,Charges_NonSlice!$AA$4:$AA$138,0),1)</f>
        <v>39.303884165559381</v>
      </c>
      <c r="W81" s="89">
        <f t="shared" ca="1" si="3"/>
        <v>39.947751885943433</v>
      </c>
      <c r="Y81" s="77" t="s">
        <v>67</v>
      </c>
      <c r="Z81" s="78">
        <v>38.376288328019285</v>
      </c>
    </row>
    <row r="82" spans="1:26">
      <c r="A82">
        <f t="shared" si="5"/>
        <v>78</v>
      </c>
      <c r="B82" s="82" t="str">
        <f ca="1">+INDEX('Charges_Including Slice and LS'!$C$4:$C$138,MATCH($A82,'Charges_Including Slice and LS'!$AA$4:$AA$138,0),1)</f>
        <v>Consolidated Irrigation District #19</v>
      </c>
      <c r="C82" s="74">
        <f ca="1">+INDEX('Charges_Including Slice and LS'!$Z$4:$Z$138,MATCH($A82,'Charges_Including Slice and LS'!$AA$4:$AA$138,0),1)</f>
        <v>-3.7986318412235508E-2</v>
      </c>
      <c r="D82" s="60">
        <f ca="1">+INDEX('Charges_Including Slice and LS'!$Y$4:$Y$138,MATCH($A82,'Charges_Including Slice and LS'!$AA$4:$AA$138,0),1)</f>
        <v>33.620329040443593</v>
      </c>
      <c r="E82" s="80">
        <f ca="1">+INDEX('Charges_Including Slice and LS'!$X$4:$X$138,MATCH($A82,'Charges_Including Slice and LS'!$AA$4:$AA$138,0),1)/1000</f>
        <v>1.9009200000000002</v>
      </c>
      <c r="F82" s="80">
        <f ca="1">+SUM(E$5:E82)</f>
        <v>44703.268804185318</v>
      </c>
      <c r="H82" s="244" t="str">
        <f ca="1">+INDEX(Charges_NonSlice!$C$4:$C$138,MATCH($A82,Charges_NonSlice!$AA$4:$AA$138,0),1)</f>
        <v>Umpqua Indian Utility Cooperative</v>
      </c>
      <c r="I82" s="74">
        <f ca="1">+INDEX(Charges_NonSlice!$Z$4:$Z$138,MATCH($A82,Charges_NonSlice!$AA$4:$AA$138,0),1)</f>
        <v>-3.8624615146613535E-2</v>
      </c>
      <c r="J82" s="98">
        <f ca="1">+INDEX(Charges_NonSlice!$Y$4:$Y$138,MATCH($A82,Charges_NonSlice!$AA$4:$AA$138,0),1)</f>
        <v>35.006787289355159</v>
      </c>
      <c r="K82" s="246">
        <f ca="1">+INDEX(Charges_NonSlice!$X$4:$X$138,MATCH($A82,Charges_NonSlice!$AA$4:$AA$138,0),1)/1000</f>
        <v>24.612689257264602</v>
      </c>
      <c r="L82" s="80">
        <f ca="1">+SUM(K$5:K82)</f>
        <v>28513.01127660057</v>
      </c>
      <c r="N82" s="244" t="str">
        <f ca="1">+INDEX('Charges_NonSlice &amp; Excl LS'!$C$4:$C$138,MATCH($A82,'Charges_NonSlice &amp; Excl LS'!$AA$4:$AA$138,0),1)</f>
        <v>McCleary, City of</v>
      </c>
      <c r="O82" s="74">
        <f ca="1">+INDEX('Charges_NonSlice &amp; Excl LS'!$Z$4:$Z$138,MATCH($A82,'Charges_NonSlice &amp; Excl LS'!$AA$4:$AA$138,0),1)</f>
        <v>-3.5582230408562759E-2</v>
      </c>
      <c r="P82" s="98">
        <f ca="1">+INDEX('Charges_NonSlice &amp; Excl LS'!$Y$4:$Y$138,MATCH($A82,'Charges_NonSlice &amp; Excl LS'!$AA$4:$AA$138,0),1)</f>
        <v>37.463572509918841</v>
      </c>
      <c r="Q82" s="246">
        <f ca="1">+INDEX('Charges_NonSlice &amp; Excl LS'!$X$4:$X$138,MATCH($A82,'Charges_NonSlice &amp; Excl LS'!$AA$4:$AA$138,0),1)/1000</f>
        <v>31.063129747776006</v>
      </c>
      <c r="R82" s="80">
        <f ca="1">+SUM(Q$5:Q82)</f>
        <v>28922.364356341935</v>
      </c>
      <c r="T82" s="244" t="str">
        <f ca="1">+INDEX(Charges_NonSlice!$C$4:$C$138,MATCH($A82,Charges_NonSlice!$AA$4:$AA$138,0),1)</f>
        <v>Umpqua Indian Utility Cooperative</v>
      </c>
      <c r="U82" s="74">
        <f t="shared" ca="1" si="4"/>
        <v>-4.4454109544481479E-2</v>
      </c>
      <c r="V82" s="98">
        <f ca="1">+INDEX(Charges_NonSlice!$Y$4:$Y$138,MATCH($A82,Charges_NonSlice!$AA$4:$AA$138,0),1)</f>
        <v>35.006787289355159</v>
      </c>
      <c r="W82" s="89">
        <f t="shared" ca="1" si="3"/>
        <v>36.635380507645806</v>
      </c>
      <c r="Y82" s="77" t="s">
        <v>127</v>
      </c>
      <c r="Z82" s="78">
        <v>37.64130780777878</v>
      </c>
    </row>
    <row r="83" spans="1:26">
      <c r="A83">
        <f t="shared" si="5"/>
        <v>79</v>
      </c>
      <c r="B83" s="82" t="str">
        <f ca="1">+INDEX('Charges_Including Slice and LS'!$C$4:$C$138,MATCH($A83,'Charges_Including Slice and LS'!$AA$4:$AA$138,0),1)</f>
        <v>Steilacoom, Town of</v>
      </c>
      <c r="C83" s="74">
        <f ca="1">+INDEX('Charges_Including Slice and LS'!$Z$4:$Z$138,MATCH($A83,'Charges_Including Slice and LS'!$AA$4:$AA$138,0),1)</f>
        <v>-3.8002492362008256E-2</v>
      </c>
      <c r="D83" s="60">
        <f ca="1">+INDEX('Charges_Including Slice and LS'!$Y$4:$Y$138,MATCH($A83,'Charges_Including Slice and LS'!$AA$4:$AA$138,0),1)</f>
        <v>36.808329728999951</v>
      </c>
      <c r="E83" s="80">
        <f ca="1">+INDEX('Charges_Including Slice and LS'!$X$4:$X$138,MATCH($A83,'Charges_Including Slice and LS'!$AA$4:$AA$138,0),1)/1000</f>
        <v>39.267445037583691</v>
      </c>
      <c r="F83" s="80">
        <f ca="1">+SUM(E$5:E83)</f>
        <v>44742.536249222903</v>
      </c>
      <c r="H83" s="244" t="str">
        <f ca="1">+INDEX(Charges_NonSlice!$C$4:$C$138,MATCH($A83,Charges_NonSlice!$AA$4:$AA$138,0),1)</f>
        <v>Cowlitz County PUD #1</v>
      </c>
      <c r="I83" s="74">
        <f ca="1">+INDEX(Charges_NonSlice!$Z$4:$Z$138,MATCH($A83,Charges_NonSlice!$AA$4:$AA$138,0),1)</f>
        <v>-3.8652181147547704E-2</v>
      </c>
      <c r="J83" s="98">
        <f ca="1">+INDEX(Charges_NonSlice!$Y$4:$Y$138,MATCH($A83,Charges_NonSlice!$AA$4:$AA$138,0),1)</f>
        <v>33.743985471276453</v>
      </c>
      <c r="K83" s="246">
        <f ca="1">+INDEX(Charges_NonSlice!$X$4:$X$138,MATCH($A83,Charges_NonSlice!$AA$4:$AA$138,0),1)/1000</f>
        <v>1620.6800895389993</v>
      </c>
      <c r="L83" s="80">
        <f ca="1">+SUM(K$5:K83)</f>
        <v>30133.69136613957</v>
      </c>
      <c r="N83" s="244" t="str">
        <f ca="1">+INDEX('Charges_NonSlice &amp; Excl LS'!$C$4:$C$138,MATCH($A83,'Charges_NonSlice &amp; Excl LS'!$AA$4:$AA$138,0),1)</f>
        <v>Tanner Elec Coop</v>
      </c>
      <c r="O83" s="74">
        <f ca="1">+INDEX('Charges_NonSlice &amp; Excl LS'!$Z$4:$Z$138,MATCH($A83,'Charges_NonSlice &amp; Excl LS'!$AA$4:$AA$138,0),1)</f>
        <v>-3.5645184349239724E-2</v>
      </c>
      <c r="P83" s="98">
        <f ca="1">+INDEX('Charges_NonSlice &amp; Excl LS'!$Y$4:$Y$138,MATCH($A83,'Charges_NonSlice &amp; Excl LS'!$AA$4:$AA$138,0),1)</f>
        <v>34.48622635965085</v>
      </c>
      <c r="Q83" s="246">
        <f ca="1">+INDEX('Charges_NonSlice &amp; Excl LS'!$X$4:$X$138,MATCH($A83,'Charges_NonSlice &amp; Excl LS'!$AA$4:$AA$138,0),1)/1000</f>
        <v>92.192111711531993</v>
      </c>
      <c r="R83" s="80">
        <f ca="1">+SUM(Q$5:Q83)</f>
        <v>29014.556468053466</v>
      </c>
      <c r="T83" s="244" t="str">
        <f ca="1">+INDEX(Charges_NonSlice!$C$4:$C$138,MATCH($A83,Charges_NonSlice!$AA$4:$AA$138,0),1)</f>
        <v>Cowlitz County PUD #1</v>
      </c>
      <c r="U83" s="74">
        <f t="shared" ca="1" si="4"/>
        <v>-2.9127991770446227E-2</v>
      </c>
      <c r="V83" s="98">
        <f ca="1">+INDEX(Charges_NonSlice!$Y$4:$Y$138,MATCH($A83,Charges_NonSlice!$AA$4:$AA$138,0),1)</f>
        <v>33.743985471276453</v>
      </c>
      <c r="W83" s="89">
        <f t="shared" ca="1" si="3"/>
        <v>34.756368692522855</v>
      </c>
      <c r="Y83" s="77" t="s">
        <v>102</v>
      </c>
      <c r="Z83" s="78">
        <v>37.388788380519237</v>
      </c>
    </row>
    <row r="84" spans="1:26">
      <c r="A84">
        <f t="shared" si="5"/>
        <v>80</v>
      </c>
      <c r="B84" s="82" t="str">
        <f ca="1">+INDEX('Charges_Including Slice and LS'!$C$4:$C$138,MATCH($A84,'Charges_Including Slice and LS'!$AA$4:$AA$138,0),1)</f>
        <v>Plummer, City of</v>
      </c>
      <c r="C84" s="74">
        <f ca="1">+INDEX('Charges_Including Slice and LS'!$Z$4:$Z$138,MATCH($A84,'Charges_Including Slice and LS'!$AA$4:$AA$138,0),1)</f>
        <v>-3.8074495474268409E-2</v>
      </c>
      <c r="D84" s="60">
        <f ca="1">+INDEX('Charges_Including Slice and LS'!$Y$4:$Y$138,MATCH($A84,'Charges_Including Slice and LS'!$AA$4:$AA$138,0),1)</f>
        <v>36.659301091004835</v>
      </c>
      <c r="E84" s="80">
        <f ca="1">+INDEX('Charges_Including Slice and LS'!$X$4:$X$138,MATCH($A84,'Charges_Including Slice and LS'!$AA$4:$AA$138,0),1)/1000</f>
        <v>32.963879999999996</v>
      </c>
      <c r="F84" s="80">
        <f ca="1">+SUM(E$5:E84)</f>
        <v>44775.500129222906</v>
      </c>
      <c r="H84" s="244" t="str">
        <f ca="1">+INDEX(Charges_NonSlice!$C$4:$C$138,MATCH($A84,Charges_NonSlice!$AA$4:$AA$138,0),1)</f>
        <v>Parkland L &amp; W</v>
      </c>
      <c r="I84" s="74">
        <f ca="1">+INDEX(Charges_NonSlice!$Z$4:$Z$138,MATCH($A84,Charges_NonSlice!$AA$4:$AA$138,0),1)</f>
        <v>-3.8863156305789251E-2</v>
      </c>
      <c r="J84" s="98">
        <f ca="1">+INDEX(Charges_NonSlice!$Y$4:$Y$138,MATCH($A84,Charges_NonSlice!$AA$4:$AA$138,0),1)</f>
        <v>36.113348188171173</v>
      </c>
      <c r="K84" s="246">
        <f ca="1">+INDEX(Charges_NonSlice!$X$4:$X$138,MATCH($A84,Charges_NonSlice!$AA$4:$AA$138,0),1)/1000</f>
        <v>116.94603599834453</v>
      </c>
      <c r="L84" s="80">
        <f ca="1">+SUM(K$5:K84)</f>
        <v>30250.637402137916</v>
      </c>
      <c r="N84" s="244" t="str">
        <f ca="1">+INDEX('Charges_NonSlice &amp; Excl LS'!$C$4:$C$138,MATCH($A84,'Charges_NonSlice &amp; Excl LS'!$AA$4:$AA$138,0),1)</f>
        <v>Columbia Power Coop</v>
      </c>
      <c r="O84" s="74">
        <f ca="1">+INDEX('Charges_NonSlice &amp; Excl LS'!$Z$4:$Z$138,MATCH($A84,'Charges_NonSlice &amp; Excl LS'!$AA$4:$AA$138,0),1)</f>
        <v>-3.5812318715651735E-2</v>
      </c>
      <c r="P84" s="98">
        <f ca="1">+INDEX('Charges_NonSlice &amp; Excl LS'!$Y$4:$Y$138,MATCH($A84,'Charges_NonSlice &amp; Excl LS'!$AA$4:$AA$138,0),1)</f>
        <v>31.453278687493686</v>
      </c>
      <c r="Q84" s="246">
        <f ca="1">+INDEX('Charges_NonSlice &amp; Excl LS'!$X$4:$X$138,MATCH($A84,'Charges_NonSlice &amp; Excl LS'!$AA$4:$AA$138,0),1)/1000</f>
        <v>26.719956591551998</v>
      </c>
      <c r="R84" s="80">
        <f ca="1">+SUM(Q$5:Q84)</f>
        <v>29041.276424645017</v>
      </c>
      <c r="T84" s="244" t="str">
        <f ca="1">+INDEX(Charges_NonSlice!$C$4:$C$138,MATCH($A84,Charges_NonSlice!$AA$4:$AA$138,0),1)</f>
        <v>Parkland L &amp; W</v>
      </c>
      <c r="U84" s="74">
        <f t="shared" ca="1" si="4"/>
        <v>-4.0557830592955257E-2</v>
      </c>
      <c r="V84" s="98">
        <f ca="1">+INDEX(Charges_NonSlice!$Y$4:$Y$138,MATCH($A84,Charges_NonSlice!$AA$4:$AA$138,0),1)</f>
        <v>36.113348188171173</v>
      </c>
      <c r="W84" s="89">
        <f t="shared" ca="1" si="3"/>
        <v>37.639942603825695</v>
      </c>
      <c r="Y84" s="77" t="s">
        <v>68</v>
      </c>
      <c r="Z84" s="78">
        <v>32.580432000132532</v>
      </c>
    </row>
    <row r="85" spans="1:26">
      <c r="A85">
        <f t="shared" si="5"/>
        <v>81</v>
      </c>
      <c r="B85" s="82" t="str">
        <f ca="1">+INDEX('Charges_Including Slice and LS'!$C$4:$C$138,MATCH($A85,'Charges_Including Slice and LS'!$AA$4:$AA$138,0),1)</f>
        <v>Cheney, City of</v>
      </c>
      <c r="C85" s="74">
        <f ca="1">+INDEX('Charges_Including Slice and LS'!$Z$4:$Z$138,MATCH($A85,'Charges_Including Slice and LS'!$AA$4:$AA$138,0),1)</f>
        <v>-3.8406914310885866E-2</v>
      </c>
      <c r="D85" s="60">
        <f ca="1">+INDEX('Charges_Including Slice and LS'!$Y$4:$Y$138,MATCH($A85,'Charges_Including Slice and LS'!$AA$4:$AA$138,0),1)</f>
        <v>39.303884165559381</v>
      </c>
      <c r="E85" s="80">
        <f ca="1">+INDEX('Charges_Including Slice and LS'!$X$4:$X$138,MATCH($A85,'Charges_Including Slice and LS'!$AA$4:$AA$138,0),1)/1000</f>
        <v>124.80197576115548</v>
      </c>
      <c r="F85" s="80">
        <f ca="1">+SUM(E$5:E85)</f>
        <v>44900.302104984061</v>
      </c>
      <c r="H85" s="244" t="str">
        <f ca="1">+INDEX(Charges_NonSlice!$C$4:$C$138,MATCH($A85,Charges_NonSlice!$AA$4:$AA$138,0),1)</f>
        <v>Riverside Elec Coop</v>
      </c>
      <c r="I85" s="74">
        <f ca="1">+INDEX(Charges_NonSlice!$Z$4:$Z$138,MATCH($A85,Charges_NonSlice!$AA$4:$AA$138,0),1)</f>
        <v>-3.9116140883536883E-2</v>
      </c>
      <c r="J85" s="98">
        <f ca="1">+INDEX(Charges_NonSlice!$Y$4:$Y$138,MATCH($A85,Charges_NonSlice!$AA$4:$AA$138,0),1)</f>
        <v>30.965906527141897</v>
      </c>
      <c r="K85" s="246">
        <f ca="1">+INDEX(Charges_NonSlice!$X$4:$X$138,MATCH($A85,Charges_NonSlice!$AA$4:$AA$138,0),1)/1000</f>
        <v>19.823879999999999</v>
      </c>
      <c r="L85" s="80">
        <f ca="1">+SUM(K$5:K85)</f>
        <v>30270.461282137916</v>
      </c>
      <c r="N85" s="244" t="str">
        <f ca="1">+INDEX('Charges_NonSlice &amp; Excl LS'!$C$4:$C$138,MATCH($A85,'Charges_NonSlice &amp; Excl LS'!$AA$4:$AA$138,0),1)</f>
        <v>Okanogan County PUD #1</v>
      </c>
      <c r="O85" s="74">
        <f ca="1">+INDEX('Charges_NonSlice &amp; Excl LS'!$Z$4:$Z$138,MATCH($A85,'Charges_NonSlice &amp; Excl LS'!$AA$4:$AA$138,0),1)</f>
        <v>-3.5879520501535617E-2</v>
      </c>
      <c r="P85" s="98">
        <f ca="1">+INDEX('Charges_NonSlice &amp; Excl LS'!$Y$4:$Y$138,MATCH($A85,'Charges_NonSlice &amp; Excl LS'!$AA$4:$AA$138,0),1)</f>
        <v>32.354781266498861</v>
      </c>
      <c r="Q85" s="246">
        <f ca="1">+INDEX('Charges_NonSlice &amp; Excl LS'!$X$4:$X$138,MATCH($A85,'Charges_NonSlice &amp; Excl LS'!$AA$4:$AA$138,0),1)/1000</f>
        <v>383.64499511629197</v>
      </c>
      <c r="R85" s="80">
        <f ca="1">+SUM(Q$5:Q85)</f>
        <v>29424.921419761307</v>
      </c>
      <c r="T85" s="244" t="str">
        <f ca="1">+INDEX(Charges_NonSlice!$C$4:$C$138,MATCH($A85,Charges_NonSlice!$AA$4:$AA$138,0),1)</f>
        <v>Riverside Elec Coop</v>
      </c>
      <c r="U85" s="74">
        <f t="shared" ca="1" si="4"/>
        <v>-4.0884176554002338E-2</v>
      </c>
      <c r="V85" s="98">
        <f ca="1">+INDEX(Charges_NonSlice!$Y$4:$Y$138,MATCH($A85,Charges_NonSlice!$AA$4:$AA$138,0),1)</f>
        <v>30.965906527141897</v>
      </c>
      <c r="W85" s="89">
        <f t="shared" ca="1" si="3"/>
        <v>32.28588849247091</v>
      </c>
      <c r="Y85" s="77" t="s">
        <v>72</v>
      </c>
      <c r="Z85" s="78">
        <v>26.385874336485376</v>
      </c>
    </row>
    <row r="86" spans="1:26">
      <c r="A86">
        <f t="shared" si="5"/>
        <v>82</v>
      </c>
      <c r="B86" s="82" t="str">
        <f ca="1">+INDEX('Charges_Including Slice and LS'!$C$4:$C$138,MATCH($A86,'Charges_Including Slice and LS'!$AA$4:$AA$138,0),1)</f>
        <v>Umpqua Indian Utility Cooperative</v>
      </c>
      <c r="C86" s="74">
        <f ca="1">+INDEX('Charges_Including Slice and LS'!$Z$4:$Z$138,MATCH($A86,'Charges_Including Slice and LS'!$AA$4:$AA$138,0),1)</f>
        <v>-3.8624615146622965E-2</v>
      </c>
      <c r="D86" s="60">
        <f ca="1">+INDEX('Charges_Including Slice and LS'!$Y$4:$Y$138,MATCH($A86,'Charges_Including Slice and LS'!$AA$4:$AA$138,0),1)</f>
        <v>35.006787289355159</v>
      </c>
      <c r="E86" s="80">
        <f ca="1">+INDEX('Charges_Including Slice and LS'!$X$4:$X$138,MATCH($A86,'Charges_Including Slice and LS'!$AA$4:$AA$138,0),1)/1000</f>
        <v>24.612689257264602</v>
      </c>
      <c r="F86" s="80">
        <f ca="1">+SUM(E$5:E86)</f>
        <v>44924.914794241326</v>
      </c>
      <c r="H86" s="244" t="str">
        <f ca="1">+INDEX(Charges_NonSlice!$C$4:$C$138,MATCH($A86,Charges_NonSlice!$AA$4:$AA$138,0),1)</f>
        <v>Lakeview L &amp; P (WA)</v>
      </c>
      <c r="I86" s="74">
        <f ca="1">+INDEX(Charges_NonSlice!$Z$4:$Z$138,MATCH($A86,Charges_NonSlice!$AA$4:$AA$138,0),1)</f>
        <v>-3.9298474280645118E-2</v>
      </c>
      <c r="J86" s="98">
        <f ca="1">+INDEX(Charges_NonSlice!$Y$4:$Y$138,MATCH($A86,Charges_NonSlice!$AA$4:$AA$138,0),1)</f>
        <v>36.301362413560966</v>
      </c>
      <c r="K86" s="246">
        <f ca="1">+INDEX(Charges_NonSlice!$X$4:$X$138,MATCH($A86,Charges_NonSlice!$AA$4:$AA$138,0),1)/1000</f>
        <v>263.62696574629422</v>
      </c>
      <c r="L86" s="80">
        <f ca="1">+SUM(K$5:K86)</f>
        <v>30534.08824788421</v>
      </c>
      <c r="N86" s="244" t="str">
        <f ca="1">+INDEX('Charges_NonSlice &amp; Excl LS'!$C$4:$C$138,MATCH($A86,'Charges_NonSlice &amp; Excl LS'!$AA$4:$AA$138,0),1)</f>
        <v>Glacier Elec  Coop</v>
      </c>
      <c r="O86" s="74">
        <f ca="1">+INDEX('Charges_NonSlice &amp; Excl LS'!$Z$4:$Z$138,MATCH($A86,'Charges_NonSlice &amp; Excl LS'!$AA$4:$AA$138,0),1)</f>
        <v>-3.593451471069084E-2</v>
      </c>
      <c r="P86" s="98">
        <f ca="1">+INDEX('Charges_NonSlice &amp; Excl LS'!$Y$4:$Y$138,MATCH($A86,'Charges_NonSlice &amp; Excl LS'!$AA$4:$AA$138,0),1)</f>
        <v>33.530347767276652</v>
      </c>
      <c r="Q86" s="246">
        <f ca="1">+INDEX('Charges_NonSlice &amp; Excl LS'!$X$4:$X$138,MATCH($A86,'Charges_NonSlice &amp; Excl LS'!$AA$4:$AA$138,0),1)/1000</f>
        <v>159.00970634186402</v>
      </c>
      <c r="R86" s="80">
        <f ca="1">+SUM(Q$5:Q86)</f>
        <v>29583.931126103173</v>
      </c>
      <c r="T86" s="244" t="str">
        <f ca="1">+INDEX(Charges_NonSlice!$C$4:$C$138,MATCH($A86,Charges_NonSlice!$AA$4:$AA$138,0),1)</f>
        <v>Lakeview L &amp; P (WA)</v>
      </c>
      <c r="U86" s="74">
        <f t="shared" ca="1" si="4"/>
        <v>-2.1505233690294112E-2</v>
      </c>
      <c r="V86" s="98">
        <f ca="1">+INDEX(Charges_NonSlice!$Y$4:$Y$138,MATCH($A86,Charges_NonSlice!$AA$4:$AA$138,0),1)</f>
        <v>36.301362413560966</v>
      </c>
      <c r="W86" s="89">
        <f t="shared" ca="1" si="3"/>
        <v>37.099189145863178</v>
      </c>
      <c r="Y86" s="77" t="s">
        <v>140</v>
      </c>
      <c r="Z86" s="78">
        <v>33.342501496798398</v>
      </c>
    </row>
    <row r="87" spans="1:26">
      <c r="A87">
        <f t="shared" si="5"/>
        <v>83</v>
      </c>
      <c r="B87" s="82" t="str">
        <f ca="1">+INDEX('Charges_Including Slice and LS'!$C$4:$C$138,MATCH($A87,'Charges_Including Slice and LS'!$AA$4:$AA$138,0),1)</f>
        <v>Parkland L &amp; W</v>
      </c>
      <c r="C87" s="74">
        <f ca="1">+INDEX('Charges_Including Slice and LS'!$Z$4:$Z$138,MATCH($A87,'Charges_Including Slice and LS'!$AA$4:$AA$138,0),1)</f>
        <v>-3.8863156305794934E-2</v>
      </c>
      <c r="D87" s="60">
        <f ca="1">+INDEX('Charges_Including Slice and LS'!$Y$4:$Y$138,MATCH($A87,'Charges_Including Slice and LS'!$AA$4:$AA$138,0),1)</f>
        <v>36.113348188171173</v>
      </c>
      <c r="E87" s="80">
        <f ca="1">+INDEX('Charges_Including Slice and LS'!$X$4:$X$138,MATCH($A87,'Charges_Including Slice and LS'!$AA$4:$AA$138,0),1)/1000</f>
        <v>116.94603599834453</v>
      </c>
      <c r="F87" s="80">
        <f ca="1">+SUM(E$5:E87)</f>
        <v>45041.860830239668</v>
      </c>
      <c r="H87" s="244" t="str">
        <f ca="1">+INDEX(Charges_NonSlice!$C$4:$C$138,MATCH($A87,Charges_NonSlice!$AA$4:$AA$138,0),1)</f>
        <v>U.S. Airforce Base, Fairchild</v>
      </c>
      <c r="I87" s="74">
        <f ca="1">+INDEX(Charges_NonSlice!$Z$4:$Z$138,MATCH($A87,Charges_NonSlice!$AA$4:$AA$138,0),1)</f>
        <v>-3.9632859098785674E-2</v>
      </c>
      <c r="J87" s="98">
        <f ca="1">+INDEX(Charges_NonSlice!$Y$4:$Y$138,MATCH($A87,Charges_NonSlice!$AA$4:$AA$138,0),1)</f>
        <v>37.142992727711224</v>
      </c>
      <c r="K87" s="246">
        <f ca="1">+INDEX(Charges_NonSlice!$X$4:$X$138,MATCH($A87,Charges_NonSlice!$AA$4:$AA$138,0),1)/1000</f>
        <v>46.101050451137709</v>
      </c>
      <c r="L87" s="80">
        <f ca="1">+SUM(K$5:K87)</f>
        <v>30580.189298335346</v>
      </c>
      <c r="N87" s="244" t="str">
        <f ca="1">+INDEX('Charges_NonSlice &amp; Excl LS'!$C$4:$C$138,MATCH($A87,'Charges_NonSlice &amp; Excl LS'!$AA$4:$AA$138,0),1)</f>
        <v>Umpqua Indian Utility Cooperative</v>
      </c>
      <c r="O87" s="74">
        <f ca="1">+INDEX('Charges_NonSlice &amp; Excl LS'!$Z$4:$Z$138,MATCH($A87,'Charges_NonSlice &amp; Excl LS'!$AA$4:$AA$138,0),1)</f>
        <v>-3.6032077719887722E-2</v>
      </c>
      <c r="P87" s="98">
        <f ca="1">+INDEX('Charges_NonSlice &amp; Excl LS'!$Y$4:$Y$138,MATCH($A87,'Charges_NonSlice &amp; Excl LS'!$AA$4:$AA$138,0),1)</f>
        <v>35.170916790386812</v>
      </c>
      <c r="Q87" s="246">
        <f ca="1">+INDEX('Charges_NonSlice &amp; Excl LS'!$X$4:$X$138,MATCH($A87,'Charges_NonSlice &amp; Excl LS'!$AA$4:$AA$138,0),1)/1000</f>
        <v>24.577875265859998</v>
      </c>
      <c r="R87" s="80">
        <f ca="1">+SUM(Q$5:Q87)</f>
        <v>29608.509001369031</v>
      </c>
      <c r="T87" s="244" t="str">
        <f ca="1">+INDEX(Charges_NonSlice!$C$4:$C$138,MATCH($A87,Charges_NonSlice!$AA$4:$AA$138,0),1)</f>
        <v>U.S. Airforce Base, Fairchild</v>
      </c>
      <c r="U87" s="74">
        <f t="shared" ca="1" si="4"/>
        <v>-7.9662710145187443E-3</v>
      </c>
      <c r="V87" s="98">
        <f ca="1">+INDEX(Charges_NonSlice!$Y$4:$Y$138,MATCH($A87,Charges_NonSlice!$AA$4:$AA$138,0),1)</f>
        <v>37.142992727711224</v>
      </c>
      <c r="W87" s="89">
        <f t="shared" ca="1" si="3"/>
        <v>37.441259951610803</v>
      </c>
      <c r="Y87" s="77" t="s">
        <v>15</v>
      </c>
      <c r="Z87" s="78">
        <v>36.248113402525121</v>
      </c>
    </row>
    <row r="88" spans="1:26">
      <c r="A88">
        <f t="shared" si="5"/>
        <v>84</v>
      </c>
      <c r="B88" s="82" t="str">
        <f ca="1">+INDEX('Charges_Including Slice and LS'!$C$4:$C$138,MATCH($A88,'Charges_Including Slice and LS'!$AA$4:$AA$138,0),1)</f>
        <v>Riverside Elec Coop</v>
      </c>
      <c r="C88" s="74">
        <f ca="1">+INDEX('Charges_Including Slice and LS'!$Z$4:$Z$138,MATCH($A88,'Charges_Including Slice and LS'!$AA$4:$AA$138,0),1)</f>
        <v>-3.9116140883545869E-2</v>
      </c>
      <c r="D88" s="60">
        <f ca="1">+INDEX('Charges_Including Slice and LS'!$Y$4:$Y$138,MATCH($A88,'Charges_Including Slice and LS'!$AA$4:$AA$138,0),1)</f>
        <v>30.965906527141897</v>
      </c>
      <c r="E88" s="80">
        <f ca="1">+INDEX('Charges_Including Slice and LS'!$X$4:$X$138,MATCH($A88,'Charges_Including Slice and LS'!$AA$4:$AA$138,0),1)/1000</f>
        <v>19.823879999999999</v>
      </c>
      <c r="F88" s="80">
        <f ca="1">+SUM(E$5:E88)</f>
        <v>45061.684710239671</v>
      </c>
      <c r="H88" s="244" t="str">
        <f ca="1">+INDEX(Charges_NonSlice!$C$4:$C$138,MATCH($A88,Charges_NonSlice!$AA$4:$AA$138,0),1)</f>
        <v>McCleary, City of</v>
      </c>
      <c r="I88" s="74">
        <f ca="1">+INDEX(Charges_NonSlice!$Z$4:$Z$138,MATCH($A88,Charges_NonSlice!$AA$4:$AA$138,0),1)</f>
        <v>-3.9718438611618077E-2</v>
      </c>
      <c r="J88" s="98">
        <f ca="1">+INDEX(Charges_NonSlice!$Y$4:$Y$138,MATCH($A88,Charges_NonSlice!$AA$4:$AA$138,0),1)</f>
        <v>38.291974428276077</v>
      </c>
      <c r="K88" s="246">
        <f ca="1">+INDEX(Charges_NonSlice!$X$4:$X$138,MATCH($A88,Charges_NonSlice!$AA$4:$AA$138,0),1)/1000</f>
        <v>31.06296</v>
      </c>
      <c r="L88" s="80">
        <f ca="1">+SUM(K$5:K88)</f>
        <v>30611.252258335346</v>
      </c>
      <c r="N88" s="244" t="str">
        <f ca="1">+INDEX('Charges_NonSlice &amp; Excl LS'!$C$4:$C$138,MATCH($A88,'Charges_NonSlice &amp; Excl LS'!$AA$4:$AA$138,0),1)</f>
        <v>Columbia River PUD</v>
      </c>
      <c r="O88" s="74">
        <f ca="1">+INDEX('Charges_NonSlice &amp; Excl LS'!$Z$4:$Z$138,MATCH($A88,'Charges_NonSlice &amp; Excl LS'!$AA$4:$AA$138,0),1)</f>
        <v>-3.6102218256471065E-2</v>
      </c>
      <c r="P88" s="98">
        <f ca="1">+INDEX('Charges_NonSlice &amp; Excl LS'!$Y$4:$Y$138,MATCH($A88,'Charges_NonSlice &amp; Excl LS'!$AA$4:$AA$138,0),1)</f>
        <v>35.729479422093689</v>
      </c>
      <c r="Q88" s="246">
        <f ca="1">+INDEX('Charges_NonSlice &amp; Excl LS'!$X$4:$X$138,MATCH($A88,'Charges_NonSlice &amp; Excl LS'!$AA$4:$AA$138,0),1)/1000</f>
        <v>482.47578862232405</v>
      </c>
      <c r="R88" s="80">
        <f ca="1">+SUM(Q$5:Q88)</f>
        <v>30090.984789991355</v>
      </c>
      <c r="T88" s="244" t="str">
        <f ca="1">+INDEX(Charges_NonSlice!$C$4:$C$138,MATCH($A88,Charges_NonSlice!$AA$4:$AA$138,0),1)</f>
        <v>McCleary, City of</v>
      </c>
      <c r="U88" s="74">
        <f t="shared" ca="1" si="4"/>
        <v>-1.6448041042376516E-2</v>
      </c>
      <c r="V88" s="98">
        <f ca="1">+INDEX(Charges_NonSlice!$Y$4:$Y$138,MATCH($A88,Charges_NonSlice!$AA$4:$AA$138,0),1)</f>
        <v>38.291974428276077</v>
      </c>
      <c r="W88" s="89">
        <f t="shared" ca="1" si="3"/>
        <v>38.932335073439567</v>
      </c>
      <c r="Y88" s="77" t="s">
        <v>49</v>
      </c>
      <c r="Z88" s="78">
        <v>33.317255353712063</v>
      </c>
    </row>
    <row r="89" spans="1:26">
      <c r="A89">
        <f t="shared" si="5"/>
        <v>85</v>
      </c>
      <c r="B89" s="82" t="str">
        <f ca="1">+INDEX('Charges_Including Slice and LS'!$C$4:$C$138,MATCH($A89,'Charges_Including Slice and LS'!$AA$4:$AA$138,0),1)</f>
        <v>Lakeview L &amp; P (WA)</v>
      </c>
      <c r="C89" s="74">
        <f ca="1">+INDEX('Charges_Including Slice and LS'!$Z$4:$Z$138,MATCH($A89,'Charges_Including Slice and LS'!$AA$4:$AA$138,0),1)</f>
        <v>-3.9298474280648067E-2</v>
      </c>
      <c r="D89" s="60">
        <f ca="1">+INDEX('Charges_Including Slice and LS'!$Y$4:$Y$138,MATCH($A89,'Charges_Including Slice and LS'!$AA$4:$AA$138,0),1)</f>
        <v>36.301362413560966</v>
      </c>
      <c r="E89" s="80">
        <f ca="1">+INDEX('Charges_Including Slice and LS'!$X$4:$X$138,MATCH($A89,'Charges_Including Slice and LS'!$AA$4:$AA$138,0),1)/1000</f>
        <v>263.62696574629422</v>
      </c>
      <c r="F89" s="80">
        <f ca="1">+SUM(E$5:E89)</f>
        <v>45325.311675985962</v>
      </c>
      <c r="H89" s="244" t="str">
        <f ca="1">+INDEX(Charges_NonSlice!$C$4:$C$138,MATCH($A89,Charges_NonSlice!$AA$4:$AA$138,0),1)</f>
        <v>Franklin County PUD #1</v>
      </c>
      <c r="I89" s="74">
        <f ca="1">+INDEX(Charges_NonSlice!$Z$4:$Z$138,MATCH($A89,Charges_NonSlice!$AA$4:$AA$138,0),1)</f>
        <v>-3.9863136018958176E-2</v>
      </c>
      <c r="J89" s="98">
        <f ca="1">+INDEX(Charges_NonSlice!$Y$4:$Y$138,MATCH($A89,Charges_NonSlice!$AA$4:$AA$138,0),1)</f>
        <v>31.689730781972095</v>
      </c>
      <c r="K89" s="246">
        <f ca="1">+INDEX(Charges_NonSlice!$X$4:$X$138,MATCH($A89,Charges_NonSlice!$AA$4:$AA$138,0),1)/1000</f>
        <v>520.9496427114135</v>
      </c>
      <c r="L89" s="80">
        <f ca="1">+SUM(K$5:K89)</f>
        <v>31132.201901046759</v>
      </c>
      <c r="N89" s="244" t="str">
        <f ca="1">+INDEX('Charges_NonSlice &amp; Excl LS'!$C$4:$C$138,MATCH($A89,'Charges_NonSlice &amp; Excl LS'!$AA$4:$AA$138,0),1)</f>
        <v>U.S. DOE Albany Research Center</v>
      </c>
      <c r="O89" s="74">
        <f ca="1">+INDEX('Charges_NonSlice &amp; Excl LS'!$Z$4:$Z$138,MATCH($A89,'Charges_NonSlice &amp; Excl LS'!$AA$4:$AA$138,0),1)</f>
        <v>-3.6216879577181879E-2</v>
      </c>
      <c r="P89" s="98">
        <f ca="1">+INDEX('Charges_NonSlice &amp; Excl LS'!$Y$4:$Y$138,MATCH($A89,'Charges_NonSlice &amp; Excl LS'!$AA$4:$AA$138,0),1)</f>
        <v>36.062964355797476</v>
      </c>
      <c r="Q89" s="246">
        <f ca="1">+INDEX('Charges_NonSlice &amp; Excl LS'!$X$4:$X$138,MATCH($A89,'Charges_NonSlice &amp; Excl LS'!$AA$4:$AA$138,0),1)/1000</f>
        <v>3.8297817641160004</v>
      </c>
      <c r="R89" s="80">
        <f ca="1">+SUM(Q$5:Q89)</f>
        <v>30094.814571755473</v>
      </c>
      <c r="T89" s="244" t="str">
        <f ca="1">+INDEX(Charges_NonSlice!$C$4:$C$138,MATCH($A89,Charges_NonSlice!$AA$4:$AA$138,0),1)</f>
        <v>Franklin County PUD #1</v>
      </c>
      <c r="U89" s="74">
        <f t="shared" ca="1" si="4"/>
        <v>-2.7338533085037531E-2</v>
      </c>
      <c r="V89" s="98">
        <f ca="1">+INDEX(Charges_NonSlice!$Y$4:$Y$138,MATCH($A89,Charges_NonSlice!$AA$4:$AA$138,0),1)</f>
        <v>31.689730781972095</v>
      </c>
      <c r="W89" s="89">
        <f t="shared" ca="1" si="3"/>
        <v>32.580432000132532</v>
      </c>
      <c r="Y89" s="77" t="s">
        <v>95</v>
      </c>
      <c r="Z89" s="78">
        <v>35.748852185091991</v>
      </c>
    </row>
    <row r="90" spans="1:26">
      <c r="A90">
        <f t="shared" si="5"/>
        <v>86</v>
      </c>
      <c r="B90" s="82" t="str">
        <f ca="1">+INDEX('Charges_Including Slice and LS'!$C$4:$C$138,MATCH($A90,'Charges_Including Slice and LS'!$AA$4:$AA$138,0),1)</f>
        <v>U.S. Airforce Base, Fairchild</v>
      </c>
      <c r="C90" s="74">
        <f ca="1">+INDEX('Charges_Including Slice and LS'!$Z$4:$Z$138,MATCH($A90,'Charges_Including Slice and LS'!$AA$4:$AA$138,0),1)</f>
        <v>-3.963285909878058E-2</v>
      </c>
      <c r="D90" s="60">
        <f ca="1">+INDEX('Charges_Including Slice and LS'!$Y$4:$Y$138,MATCH($A90,'Charges_Including Slice and LS'!$AA$4:$AA$138,0),1)</f>
        <v>37.142992727711224</v>
      </c>
      <c r="E90" s="80">
        <f ca="1">+INDEX('Charges_Including Slice and LS'!$X$4:$X$138,MATCH($A90,'Charges_Including Slice and LS'!$AA$4:$AA$138,0),1)/1000</f>
        <v>46.101050451137709</v>
      </c>
      <c r="F90" s="80">
        <f ca="1">+SUM(E$5:E90)</f>
        <v>45371.412726437098</v>
      </c>
      <c r="H90" s="244" t="str">
        <f ca="1">+INDEX(Charges_NonSlice!$C$4:$C$138,MATCH($A90,Charges_NonSlice!$AA$4:$AA$138,0),1)</f>
        <v>Benton REA</v>
      </c>
      <c r="I90" s="74">
        <f ca="1">+INDEX(Charges_NonSlice!$Z$4:$Z$138,MATCH($A90,Charges_NonSlice!$AA$4:$AA$138,0),1)</f>
        <v>-3.9976171392409506E-2</v>
      </c>
      <c r="J90" s="98">
        <f ca="1">+INDEX(Charges_NonSlice!$Y$4:$Y$138,MATCH($A90,Charges_NonSlice!$AA$4:$AA$138,0),1)</f>
        <v>31.349067538867715</v>
      </c>
      <c r="K90" s="246">
        <f ca="1">+INDEX(Charges_NonSlice!$X$4:$X$138,MATCH($A90,Charges_NonSlice!$AA$4:$AA$138,0),1)/1000</f>
        <v>498.52283999999997</v>
      </c>
      <c r="L90" s="80">
        <f ca="1">+SUM(K$5:K90)</f>
        <v>31630.724741046761</v>
      </c>
      <c r="N90" s="244" t="str">
        <f ca="1">+INDEX('Charges_NonSlice &amp; Excl LS'!$C$4:$C$138,MATCH($A90,'Charges_NonSlice &amp; Excl LS'!$AA$4:$AA$138,0),1)</f>
        <v>Minidoka, City of</v>
      </c>
      <c r="O90" s="74">
        <f ca="1">+INDEX('Charges_NonSlice &amp; Excl LS'!$Z$4:$Z$138,MATCH($A90,'Charges_NonSlice &amp; Excl LS'!$AA$4:$AA$138,0),1)</f>
        <v>-3.6507759141300888E-2</v>
      </c>
      <c r="P90" s="98">
        <f ca="1">+INDEX('Charges_NonSlice &amp; Excl LS'!$Y$4:$Y$138,MATCH($A90,'Charges_NonSlice &amp; Excl LS'!$AA$4:$AA$138,0),1)</f>
        <v>35.258263005262627</v>
      </c>
      <c r="Q90" s="246">
        <f ca="1">+INDEX('Charges_NonSlice &amp; Excl LS'!$X$4:$X$138,MATCH($A90,'Charges_NonSlice &amp; Excl LS'!$AA$4:$AA$138,0),1)/1000</f>
        <v>0.83204811824400005</v>
      </c>
      <c r="R90" s="80">
        <f ca="1">+SUM(Q$5:Q90)</f>
        <v>30095.646619873718</v>
      </c>
      <c r="T90" s="244" t="str">
        <f ca="1">+INDEX(Charges_NonSlice!$C$4:$C$138,MATCH($A90,Charges_NonSlice!$AA$4:$AA$138,0),1)</f>
        <v>Benton REA</v>
      </c>
      <c r="U90" s="74">
        <f t="shared" ca="1" si="4"/>
        <v>-3.0464703616605582E-2</v>
      </c>
      <c r="V90" s="98">
        <f ca="1">+INDEX(Charges_NonSlice!$Y$4:$Y$138,MATCH($A90,Charges_NonSlice!$AA$4:$AA$138,0),1)</f>
        <v>31.349067538867715</v>
      </c>
      <c r="W90" s="89">
        <f t="shared" ca="1" si="3"/>
        <v>32.334116824634918</v>
      </c>
      <c r="Y90" s="77" t="s">
        <v>89</v>
      </c>
      <c r="Z90" s="78">
        <v>35.708002749961423</v>
      </c>
    </row>
    <row r="91" spans="1:26">
      <c r="A91">
        <f t="shared" si="5"/>
        <v>87</v>
      </c>
      <c r="B91" s="82" t="str">
        <f ca="1">+INDEX('Charges_Including Slice and LS'!$C$4:$C$138,MATCH($A91,'Charges_Including Slice and LS'!$AA$4:$AA$138,0),1)</f>
        <v>McCleary, City of</v>
      </c>
      <c r="C91" s="74">
        <f ca="1">+INDEX('Charges_Including Slice and LS'!$Z$4:$Z$138,MATCH($A91,'Charges_Including Slice and LS'!$AA$4:$AA$138,0),1)</f>
        <v>-3.971843861162095E-2</v>
      </c>
      <c r="D91" s="60">
        <f ca="1">+INDEX('Charges_Including Slice and LS'!$Y$4:$Y$138,MATCH($A91,'Charges_Including Slice and LS'!$AA$4:$AA$138,0),1)</f>
        <v>38.291974428276077</v>
      </c>
      <c r="E91" s="80">
        <f ca="1">+INDEX('Charges_Including Slice and LS'!$X$4:$X$138,MATCH($A91,'Charges_Including Slice and LS'!$AA$4:$AA$138,0),1)/1000</f>
        <v>31.06296</v>
      </c>
      <c r="F91" s="80">
        <f ca="1">+SUM(E$5:E91)</f>
        <v>45402.475686437101</v>
      </c>
      <c r="H91" s="244" t="str">
        <f ca="1">+INDEX(Charges_NonSlice!$C$4:$C$138,MATCH($A91,Charges_NonSlice!$AA$4:$AA$138,0),1)</f>
        <v>Midstate Elec Coop</v>
      </c>
      <c r="I91" s="74">
        <f ca="1">+INDEX(Charges_NonSlice!$Z$4:$Z$138,MATCH($A91,Charges_NonSlice!$AA$4:$AA$138,0),1)</f>
        <v>-4.0203771074300405E-2</v>
      </c>
      <c r="J91" s="98">
        <f ca="1">+INDEX(Charges_NonSlice!$Y$4:$Y$138,MATCH($A91,Charges_NonSlice!$AA$4:$AA$138,0),1)</f>
        <v>33.665997898795261</v>
      </c>
      <c r="K91" s="246">
        <f ca="1">+INDEX(Charges_NonSlice!$X$4:$X$138,MATCH($A91,Charges_NonSlice!$AA$4:$AA$138,0),1)/1000</f>
        <v>390.61716000000001</v>
      </c>
      <c r="L91" s="80">
        <f ca="1">+SUM(K$5:K91)</f>
        <v>32021.341901046762</v>
      </c>
      <c r="N91" s="244" t="str">
        <f ca="1">+INDEX('Charges_NonSlice &amp; Excl LS'!$C$4:$C$138,MATCH($A91,'Charges_NonSlice &amp; Excl LS'!$AA$4:$AA$138,0),1)</f>
        <v>Franklin County PUD #1</v>
      </c>
      <c r="O91" s="74">
        <f ca="1">+INDEX('Charges_NonSlice &amp; Excl LS'!$Z$4:$Z$138,MATCH($A91,'Charges_NonSlice &amp; Excl LS'!$AA$4:$AA$138,0),1)</f>
        <v>-3.6607408091355653E-2</v>
      </c>
      <c r="P91" s="98">
        <f ca="1">+INDEX('Charges_NonSlice &amp; Excl LS'!$Y$4:$Y$138,MATCH($A91,'Charges_NonSlice &amp; Excl LS'!$AA$4:$AA$138,0),1)</f>
        <v>31.953710113433221</v>
      </c>
      <c r="Q91" s="246">
        <f ca="1">+INDEX('Charges_NonSlice &amp; Excl LS'!$X$4:$X$138,MATCH($A91,'Charges_NonSlice &amp; Excl LS'!$AA$4:$AA$138,0),1)/1000</f>
        <v>520.95063777800397</v>
      </c>
      <c r="R91" s="80">
        <f ca="1">+SUM(Q$5:Q91)</f>
        <v>30616.597257651723</v>
      </c>
      <c r="T91" s="244" t="str">
        <f ca="1">+INDEX(Charges_NonSlice!$C$4:$C$138,MATCH($A91,Charges_NonSlice!$AA$4:$AA$138,0),1)</f>
        <v>Midstate Elec Coop</v>
      </c>
      <c r="U91" s="74">
        <f t="shared" ca="1" si="4"/>
        <v>-9.8377149324906377E-3</v>
      </c>
      <c r="V91" s="98">
        <f ca="1">+INDEX(Charges_NonSlice!$Y$4:$Y$138,MATCH($A91,Charges_NonSlice!$AA$4:$AA$138,0),1)</f>
        <v>33.665997898795261</v>
      </c>
      <c r="W91" s="89">
        <f t="shared" ca="1" si="3"/>
        <v>34.000484977571034</v>
      </c>
      <c r="Y91" s="77" t="s">
        <v>35</v>
      </c>
      <c r="Z91" s="78">
        <v>38.149299102625335</v>
      </c>
    </row>
    <row r="92" spans="1:26">
      <c r="A92">
        <f t="shared" si="5"/>
        <v>88</v>
      </c>
      <c r="B92" s="82" t="str">
        <f ca="1">+INDEX('Charges_Including Slice and LS'!$C$4:$C$138,MATCH($A92,'Charges_Including Slice and LS'!$AA$4:$AA$138,0),1)</f>
        <v>Benton REA</v>
      </c>
      <c r="C92" s="74">
        <f ca="1">+INDEX('Charges_Including Slice and LS'!$Z$4:$Z$138,MATCH($A92,'Charges_Including Slice and LS'!$AA$4:$AA$138,0),1)</f>
        <v>-3.9976171392415868E-2</v>
      </c>
      <c r="D92" s="60">
        <f ca="1">+INDEX('Charges_Including Slice and LS'!$Y$4:$Y$138,MATCH($A92,'Charges_Including Slice and LS'!$AA$4:$AA$138,0),1)</f>
        <v>31.349067538867715</v>
      </c>
      <c r="E92" s="80">
        <f ca="1">+INDEX('Charges_Including Slice and LS'!$X$4:$X$138,MATCH($A92,'Charges_Including Slice and LS'!$AA$4:$AA$138,0),1)/1000</f>
        <v>498.52283999999997</v>
      </c>
      <c r="F92" s="80">
        <f ca="1">+SUM(E$5:E92)</f>
        <v>45900.998526437099</v>
      </c>
      <c r="H92" s="244" t="str">
        <f ca="1">+INDEX(Charges_NonSlice!$C$4:$C$138,MATCH($A92,Charges_NonSlice!$AA$4:$AA$138,0),1)</f>
        <v>Sumas, Town of</v>
      </c>
      <c r="I92" s="74">
        <f ca="1">+INDEX(Charges_NonSlice!$Z$4:$Z$138,MATCH($A92,Charges_NonSlice!$AA$4:$AA$138,0),1)</f>
        <v>-4.0297442205593857E-2</v>
      </c>
      <c r="J92" s="98">
        <f ca="1">+INDEX(Charges_NonSlice!$Y$4:$Y$138,MATCH($A92,Charges_NonSlice!$AA$4:$AA$138,0),1)</f>
        <v>35.086913064570794</v>
      </c>
      <c r="K92" s="246">
        <f ca="1">+INDEX(Charges_NonSlice!$X$4:$X$138,MATCH($A92,Charges_NonSlice!$AA$4:$AA$138,0),1)/1000</f>
        <v>30.440999999999999</v>
      </c>
      <c r="L92" s="80">
        <f ca="1">+SUM(K$5:K92)</f>
        <v>32051.782901046761</v>
      </c>
      <c r="N92" s="244" t="str">
        <f ca="1">+INDEX('Charges_NonSlice &amp; Excl LS'!$C$4:$C$138,MATCH($A92,'Charges_NonSlice &amp; Excl LS'!$AA$4:$AA$138,0),1)</f>
        <v>Whatcom County PUD #1</v>
      </c>
      <c r="O92" s="74">
        <f ca="1">+INDEX('Charges_NonSlice &amp; Excl LS'!$Z$4:$Z$138,MATCH($A92,'Charges_NonSlice &amp; Excl LS'!$AA$4:$AA$138,0),1)</f>
        <v>-3.7049562291463549E-2</v>
      </c>
      <c r="P92" s="98">
        <f ca="1">+INDEX('Charges_NonSlice &amp; Excl LS'!$Y$4:$Y$138,MATCH($A92,'Charges_NonSlice &amp; Excl LS'!$AA$4:$AA$138,0),1)</f>
        <v>36.056225394968166</v>
      </c>
      <c r="Q92" s="246">
        <f ca="1">+INDEX('Charges_NonSlice &amp; Excl LS'!$X$4:$X$138,MATCH($A92,'Charges_NonSlice &amp; Excl LS'!$AA$4:$AA$138,0),1)/1000</f>
        <v>224.22221524054802</v>
      </c>
      <c r="R92" s="80">
        <f ca="1">+SUM(Q$5:Q92)</f>
        <v>30840.819472892272</v>
      </c>
      <c r="T92" s="244" t="str">
        <f ca="1">+INDEX(Charges_NonSlice!$C$4:$C$138,MATCH($A92,Charges_NonSlice!$AA$4:$AA$138,0),1)</f>
        <v>Sumas, Town of</v>
      </c>
      <c r="U92" s="74">
        <f t="shared" ca="1" si="4"/>
        <v>-3.2318937183888341E-2</v>
      </c>
      <c r="V92" s="98">
        <f ca="1">+INDEX(Charges_NonSlice!$Y$4:$Y$138,MATCH($A92,Charges_NonSlice!$AA$4:$AA$138,0),1)</f>
        <v>35.086913064570794</v>
      </c>
      <c r="W92" s="89">
        <f t="shared" ca="1" si="3"/>
        <v>36.258757572936361</v>
      </c>
      <c r="Y92" s="77" t="s">
        <v>130</v>
      </c>
      <c r="Z92" s="78">
        <v>34.857268190144588</v>
      </c>
    </row>
    <row r="93" spans="1:26">
      <c r="A93">
        <f t="shared" si="5"/>
        <v>89</v>
      </c>
      <c r="B93" s="82" t="str">
        <f ca="1">+INDEX('Charges_Including Slice and LS'!$C$4:$C$138,MATCH($A93,'Charges_Including Slice and LS'!$AA$4:$AA$138,0),1)</f>
        <v>Midstate Elec Coop</v>
      </c>
      <c r="C93" s="74">
        <f ca="1">+INDEX('Charges_Including Slice and LS'!$Z$4:$Z$138,MATCH($A93,'Charges_Including Slice and LS'!$AA$4:$AA$138,0),1)</f>
        <v>-4.0203771074298497E-2</v>
      </c>
      <c r="D93" s="60">
        <f ca="1">+INDEX('Charges_Including Slice and LS'!$Y$4:$Y$138,MATCH($A93,'Charges_Including Slice and LS'!$AA$4:$AA$138,0),1)</f>
        <v>33.665997898795261</v>
      </c>
      <c r="E93" s="80">
        <f ca="1">+INDEX('Charges_Including Slice and LS'!$X$4:$X$138,MATCH($A93,'Charges_Including Slice and LS'!$AA$4:$AA$138,0),1)/1000</f>
        <v>390.61716000000001</v>
      </c>
      <c r="F93" s="80">
        <f ca="1">+SUM(E$5:E93)</f>
        <v>46291.615686437101</v>
      </c>
      <c r="H93" s="244" t="str">
        <f ca="1">+INDEX(Charges_NonSlice!$C$4:$C$138,MATCH($A93,Charges_NonSlice!$AA$4:$AA$138,0),1)</f>
        <v>Emerald PUD</v>
      </c>
      <c r="I93" s="74">
        <f ca="1">+INDEX(Charges_NonSlice!$Z$4:$Z$138,MATCH($A93,Charges_NonSlice!$AA$4:$AA$138,0),1)</f>
        <v>-4.0469504963449768E-2</v>
      </c>
      <c r="J93" s="98">
        <f ca="1">+INDEX(Charges_NonSlice!$Y$4:$Y$138,MATCH($A93,Charges_NonSlice!$AA$4:$AA$138,0),1)</f>
        <v>32.111887572413615</v>
      </c>
      <c r="K93" s="246">
        <f ca="1">+INDEX(Charges_NonSlice!$X$4:$X$138,MATCH($A93,Charges_NonSlice!$AA$4:$AA$138,0),1)/1000</f>
        <v>199.2369744564626</v>
      </c>
      <c r="L93" s="80">
        <f ca="1">+SUM(K$5:K93)</f>
        <v>32251.019875503225</v>
      </c>
      <c r="N93" s="244" t="str">
        <f ca="1">+INDEX('Charges_NonSlice &amp; Excl LS'!$C$4:$C$138,MATCH($A93,'Charges_NonSlice &amp; Excl LS'!$AA$4:$AA$138,0),1)</f>
        <v>U.S. Airforce Base, Fairchild</v>
      </c>
      <c r="O93" s="74">
        <f ca="1">+INDEX('Charges_NonSlice &amp; Excl LS'!$Z$4:$Z$138,MATCH($A93,'Charges_NonSlice &amp; Excl LS'!$AA$4:$AA$138,0),1)</f>
        <v>-3.7233766840273151E-2</v>
      </c>
      <c r="P93" s="98">
        <f ca="1">+INDEX('Charges_NonSlice &amp; Excl LS'!$Y$4:$Y$138,MATCH($A93,'Charges_NonSlice &amp; Excl LS'!$AA$4:$AA$138,0),1)</f>
        <v>36.868292887285584</v>
      </c>
      <c r="Q93" s="246">
        <f ca="1">+INDEX('Charges_NonSlice &amp; Excl LS'!$X$4:$X$138,MATCH($A93,'Charges_NonSlice &amp; Excl LS'!$AA$4:$AA$138,0),1)/1000</f>
        <v>47.916529930079996</v>
      </c>
      <c r="R93" s="80">
        <f ca="1">+SUM(Q$5:Q93)</f>
        <v>30888.736002822352</v>
      </c>
      <c r="T93" s="244" t="str">
        <f ca="1">+INDEX(Charges_NonSlice!$C$4:$C$138,MATCH($A93,Charges_NonSlice!$AA$4:$AA$138,0),1)</f>
        <v>Emerald PUD</v>
      </c>
      <c r="U93" s="74">
        <f t="shared" ca="1" si="4"/>
        <v>-2.440463570345619E-2</v>
      </c>
      <c r="V93" s="98">
        <f ca="1">+INDEX(Charges_NonSlice!$Y$4:$Y$138,MATCH($A93,Charges_NonSlice!$AA$4:$AA$138,0),1)</f>
        <v>32.111887572413615</v>
      </c>
      <c r="W93" s="89">
        <f t="shared" ca="1" si="3"/>
        <v>32.915170313020084</v>
      </c>
      <c r="Y93" s="77" t="s">
        <v>126</v>
      </c>
      <c r="Z93" s="78">
        <v>34.924805000109963</v>
      </c>
    </row>
    <row r="94" spans="1:26">
      <c r="A94">
        <f t="shared" si="5"/>
        <v>90</v>
      </c>
      <c r="B94" s="82" t="str">
        <f ca="1">+INDEX('Charges_Including Slice and LS'!$C$4:$C$138,MATCH($A94,'Charges_Including Slice and LS'!$AA$4:$AA$138,0),1)</f>
        <v>Sumas, Town of</v>
      </c>
      <c r="C94" s="74">
        <f ca="1">+INDEX('Charges_Including Slice and LS'!$Z$4:$Z$138,MATCH($A94,'Charges_Including Slice and LS'!$AA$4:$AA$138,0),1)</f>
        <v>-4.0297442205596154E-2</v>
      </c>
      <c r="D94" s="60">
        <f ca="1">+INDEX('Charges_Including Slice and LS'!$Y$4:$Y$138,MATCH($A94,'Charges_Including Slice and LS'!$AA$4:$AA$138,0),1)</f>
        <v>35.086913064570794</v>
      </c>
      <c r="E94" s="80">
        <f ca="1">+INDEX('Charges_Including Slice and LS'!$X$4:$X$138,MATCH($A94,'Charges_Including Slice and LS'!$AA$4:$AA$138,0),1)/1000</f>
        <v>30.440999999999999</v>
      </c>
      <c r="F94" s="80">
        <f ca="1">+SUM(E$5:E94)</f>
        <v>46322.056686437099</v>
      </c>
      <c r="H94" s="244" t="str">
        <f ca="1">+INDEX(Charges_NonSlice!$C$4:$C$138,MATCH($A94,Charges_NonSlice!$AA$4:$AA$138,0),1)</f>
        <v>Clallam County PUD #1</v>
      </c>
      <c r="I94" s="74">
        <f ca="1">+INDEX(Charges_NonSlice!$Z$4:$Z$138,MATCH($A94,Charges_NonSlice!$AA$4:$AA$138,0),1)</f>
        <v>-4.052569948701263E-2</v>
      </c>
      <c r="J94" s="98">
        <f ca="1">+INDEX(Charges_NonSlice!$Y$4:$Y$138,MATCH($A94,Charges_NonSlice!$AA$4:$AA$138,0),1)</f>
        <v>35.083526622367124</v>
      </c>
      <c r="K94" s="246">
        <f ca="1">+INDEX(Charges_NonSlice!$X$4:$X$138,MATCH($A94,Charges_NonSlice!$AA$4:$AA$138,0),1)/1000</f>
        <v>635.25615049840337</v>
      </c>
      <c r="L94" s="80">
        <f ca="1">+SUM(K$5:K94)</f>
        <v>32886.276026001629</v>
      </c>
      <c r="N94" s="244" t="str">
        <f ca="1">+INDEX('Charges_NonSlice &amp; Excl LS'!$C$4:$C$138,MATCH($A94,'Charges_NonSlice &amp; Excl LS'!$AA$4:$AA$138,0),1)</f>
        <v>Idaho County L &amp; P</v>
      </c>
      <c r="O94" s="74">
        <f ca="1">+INDEX('Charges_NonSlice &amp; Excl LS'!$Z$4:$Z$138,MATCH($A94,'Charges_NonSlice &amp; Excl LS'!$AA$4:$AA$138,0),1)</f>
        <v>-3.7309579400411706E-2</v>
      </c>
      <c r="P94" s="98">
        <f ca="1">+INDEX('Charges_NonSlice &amp; Excl LS'!$Y$4:$Y$138,MATCH($A94,'Charges_NonSlice &amp; Excl LS'!$AA$4:$AA$138,0),1)</f>
        <v>33.791004376726804</v>
      </c>
      <c r="Q94" s="246">
        <f ca="1">+INDEX('Charges_NonSlice &amp; Excl LS'!$X$4:$X$138,MATCH($A94,'Charges_NonSlice &amp; Excl LS'!$AA$4:$AA$138,0),1)/1000</f>
        <v>51.923343208715998</v>
      </c>
      <c r="R94" s="80">
        <f ca="1">+SUM(Q$5:Q94)</f>
        <v>30940.659346031069</v>
      </c>
      <c r="T94" s="244" t="str">
        <f ca="1">+INDEX(Charges_NonSlice!$C$4:$C$138,MATCH($A94,Charges_NonSlice!$AA$4:$AA$138,0),1)</f>
        <v>Clallam County PUD #1</v>
      </c>
      <c r="U94" s="74">
        <f t="shared" ca="1" si="4"/>
        <v>-5.4571940378316808E-2</v>
      </c>
      <c r="V94" s="98">
        <f ca="1">+INDEX(Charges_NonSlice!$Y$4:$Y$138,MATCH($A94,Charges_NonSlice!$AA$4:$AA$138,0),1)</f>
        <v>35.083526622367124</v>
      </c>
      <c r="W94" s="89">
        <f t="shared" ca="1" si="3"/>
        <v>37.108615790825944</v>
      </c>
      <c r="Y94" s="77" t="s">
        <v>16</v>
      </c>
      <c r="Z94" s="78">
        <v>39.461095569901026</v>
      </c>
    </row>
    <row r="95" spans="1:26">
      <c r="A95">
        <f t="shared" si="5"/>
        <v>91</v>
      </c>
      <c r="B95" s="82" t="str">
        <f ca="1">+INDEX('Charges_Including Slice and LS'!$C$4:$C$138,MATCH($A95,'Charges_Including Slice and LS'!$AA$4:$AA$138,0),1)</f>
        <v>Clallam County PUD #1</v>
      </c>
      <c r="C95" s="74">
        <f ca="1">+INDEX('Charges_Including Slice and LS'!$Z$4:$Z$138,MATCH($A95,'Charges_Including Slice and LS'!$AA$4:$AA$138,0),1)</f>
        <v>-4.0525699487017487E-2</v>
      </c>
      <c r="D95" s="60">
        <f ca="1">+INDEX('Charges_Including Slice and LS'!$Y$4:$Y$138,MATCH($A95,'Charges_Including Slice and LS'!$AA$4:$AA$138,0),1)</f>
        <v>35.083526622367124</v>
      </c>
      <c r="E95" s="80">
        <f ca="1">+INDEX('Charges_Including Slice and LS'!$X$4:$X$138,MATCH($A95,'Charges_Including Slice and LS'!$AA$4:$AA$138,0),1)/1000</f>
        <v>635.25615049840337</v>
      </c>
      <c r="F95" s="80">
        <f ca="1">+SUM(E$5:E95)</f>
        <v>46957.312836935504</v>
      </c>
      <c r="H95" s="244" t="str">
        <f ca="1">+INDEX(Charges_NonSlice!$C$4:$C$138,MATCH($A95,Charges_NonSlice!$AA$4:$AA$138,0),1)</f>
        <v>Yakama Power</v>
      </c>
      <c r="I95" s="74">
        <f ca="1">+INDEX(Charges_NonSlice!$Z$4:$Z$138,MATCH($A95,Charges_NonSlice!$AA$4:$AA$138,0),1)</f>
        <v>-4.0836997511586037E-2</v>
      </c>
      <c r="J95" s="98">
        <f ca="1">+INDEX(Charges_NonSlice!$Y$4:$Y$138,MATCH($A95,Charges_NonSlice!$AA$4:$AA$138,0),1)</f>
        <v>32.724717791087983</v>
      </c>
      <c r="K95" s="246">
        <f ca="1">+INDEX(Charges_NonSlice!$X$4:$X$138,MATCH($A95,Charges_NonSlice!$AA$4:$AA$138,0),1)/1000</f>
        <v>156.32219999999998</v>
      </c>
      <c r="L95" s="80">
        <f ca="1">+SUM(K$5:K95)</f>
        <v>33042.598226001632</v>
      </c>
      <c r="N95" s="244" t="str">
        <f ca="1">+INDEX('Charges_NonSlice &amp; Excl LS'!$C$4:$C$138,MATCH($A95,'Charges_NonSlice &amp; Excl LS'!$AA$4:$AA$138,0),1)</f>
        <v>Yakama Power</v>
      </c>
      <c r="O95" s="74">
        <f ca="1">+INDEX('Charges_NonSlice &amp; Excl LS'!$Z$4:$Z$138,MATCH($A95,'Charges_NonSlice &amp; Excl LS'!$AA$4:$AA$138,0),1)</f>
        <v>-3.7509475038003705E-2</v>
      </c>
      <c r="P95" s="98">
        <f ca="1">+INDEX('Charges_NonSlice &amp; Excl LS'!$Y$4:$Y$138,MATCH($A95,'Charges_NonSlice &amp; Excl LS'!$AA$4:$AA$138,0),1)</f>
        <v>33.255954838541676</v>
      </c>
      <c r="Q95" s="246">
        <f ca="1">+INDEX('Charges_NonSlice &amp; Excl LS'!$X$4:$X$138,MATCH($A95,'Charges_NonSlice &amp; Excl LS'!$AA$4:$AA$138,0),1)/1000</f>
        <v>156.32472837164403</v>
      </c>
      <c r="R95" s="80">
        <f ca="1">+SUM(Q$5:Q95)</f>
        <v>31096.984074402713</v>
      </c>
      <c r="T95" s="244" t="str">
        <f ca="1">+INDEX(Charges_NonSlice!$C$4:$C$138,MATCH($A95,Charges_NonSlice!$AA$4:$AA$138,0),1)</f>
        <v>Yakama Power</v>
      </c>
      <c r="U95" s="74">
        <f t="shared" ca="1" si="4"/>
        <v>-2.0734638716208953E-2</v>
      </c>
      <c r="V95" s="98">
        <f ca="1">+INDEX(Charges_NonSlice!$Y$4:$Y$138,MATCH($A95,Charges_NonSlice!$AA$4:$AA$138,0),1)</f>
        <v>32.724717791087983</v>
      </c>
      <c r="W95" s="89">
        <f t="shared" ca="1" si="3"/>
        <v>33.417620069994861</v>
      </c>
      <c r="Y95" s="77" t="s">
        <v>128</v>
      </c>
      <c r="Z95" s="78">
        <v>31.474058683575482</v>
      </c>
    </row>
    <row r="96" spans="1:26">
      <c r="A96">
        <f t="shared" si="5"/>
        <v>92</v>
      </c>
      <c r="B96" s="82" t="str">
        <f ca="1">+INDEX('Charges_Including Slice and LS'!$C$4:$C$138,MATCH($A96,'Charges_Including Slice and LS'!$AA$4:$AA$138,0),1)</f>
        <v>Yakama Power</v>
      </c>
      <c r="C96" s="74">
        <f ca="1">+INDEX('Charges_Including Slice and LS'!$Z$4:$Z$138,MATCH($A96,'Charges_Including Slice and LS'!$AA$4:$AA$138,0),1)</f>
        <v>-4.0836997511590423E-2</v>
      </c>
      <c r="D96" s="60">
        <f ca="1">+INDEX('Charges_Including Slice and LS'!$Y$4:$Y$138,MATCH($A96,'Charges_Including Slice and LS'!$AA$4:$AA$138,0),1)</f>
        <v>32.724717791087983</v>
      </c>
      <c r="E96" s="80">
        <f ca="1">+INDEX('Charges_Including Slice and LS'!$X$4:$X$138,MATCH($A96,'Charges_Including Slice and LS'!$AA$4:$AA$138,0),1)/1000</f>
        <v>156.32219999999998</v>
      </c>
      <c r="F96" s="80">
        <f ca="1">+SUM(E$5:E96)</f>
        <v>47113.635036935506</v>
      </c>
      <c r="H96" s="244" t="str">
        <f ca="1">+INDEX(Charges_NonSlice!$C$4:$C$138,MATCH($A96,Charges_NonSlice!$AA$4:$AA$138,0),1)</f>
        <v>McMinnville, City of</v>
      </c>
      <c r="I96" s="74">
        <f ca="1">+INDEX(Charges_NonSlice!$Z$4:$Z$138,MATCH($A96,Charges_NonSlice!$AA$4:$AA$138,0),1)</f>
        <v>-4.1068915632138256E-2</v>
      </c>
      <c r="J96" s="98">
        <f ca="1">+INDEX(Charges_NonSlice!$Y$4:$Y$138,MATCH($A96,Charges_NonSlice!$AA$4:$AA$138,0),1)</f>
        <v>37.610457338124995</v>
      </c>
      <c r="K96" s="246">
        <f ca="1">+INDEX(Charges_NonSlice!$X$4:$X$138,MATCH($A96,Charges_NonSlice!$AA$4:$AA$138,0),1)/1000</f>
        <v>711.34906238852795</v>
      </c>
      <c r="L96" s="80">
        <f ca="1">+SUM(K$5:K96)</f>
        <v>33753.947288390162</v>
      </c>
      <c r="N96" s="244" t="str">
        <f ca="1">+INDEX('Charges_NonSlice &amp; Excl LS'!$C$4:$C$138,MATCH($A96,'Charges_NonSlice &amp; Excl LS'!$AA$4:$AA$138,0),1)</f>
        <v>Oregon Trail Coop</v>
      </c>
      <c r="O96" s="74">
        <f ca="1">+INDEX('Charges_NonSlice &amp; Excl LS'!$Z$4:$Z$138,MATCH($A96,'Charges_NonSlice &amp; Excl LS'!$AA$4:$AA$138,0),1)</f>
        <v>-3.756234189961441E-2</v>
      </c>
      <c r="P96" s="98">
        <f ca="1">+INDEX('Charges_NonSlice &amp; Excl LS'!$Y$4:$Y$138,MATCH($A96,'Charges_NonSlice &amp; Excl LS'!$AA$4:$AA$138,0),1)</f>
        <v>33.544532611541761</v>
      </c>
      <c r="Q96" s="246">
        <f ca="1">+INDEX('Charges_NonSlice &amp; Excl LS'!$X$4:$X$138,MATCH($A96,'Charges_NonSlice &amp; Excl LS'!$AA$4:$AA$138,0),1)/1000</f>
        <v>661.66118656898391</v>
      </c>
      <c r="R96" s="80">
        <f ca="1">+SUM(Q$5:Q96)</f>
        <v>31758.645260971698</v>
      </c>
      <c r="T96" s="244" t="str">
        <f ca="1">+INDEX(Charges_NonSlice!$C$4:$C$138,MATCH($A96,Charges_NonSlice!$AA$4:$AA$138,0),1)</f>
        <v>McMinnville, City of</v>
      </c>
      <c r="U96" s="74">
        <f t="shared" ca="1" si="4"/>
        <v>-9.5634759769344102E-3</v>
      </c>
      <c r="V96" s="98">
        <f ca="1">+INDEX(Charges_NonSlice!$Y$4:$Y$138,MATCH($A96,Charges_NonSlice!$AA$4:$AA$138,0),1)</f>
        <v>37.610457338124995</v>
      </c>
      <c r="W96" s="89">
        <f t="shared" ca="1" si="3"/>
        <v>37.973617113143852</v>
      </c>
      <c r="Y96" s="77" t="s">
        <v>90</v>
      </c>
      <c r="Z96" s="78">
        <v>35.873573554649418</v>
      </c>
    </row>
    <row r="97" spans="1:26">
      <c r="A97">
        <f t="shared" si="5"/>
        <v>93</v>
      </c>
      <c r="B97" s="82" t="str">
        <f ca="1">+INDEX('Charges_Including Slice and LS'!$C$4:$C$138,MATCH($A97,'Charges_Including Slice and LS'!$AA$4:$AA$138,0),1)</f>
        <v>McMinnville, City of</v>
      </c>
      <c r="C97" s="74">
        <f ca="1">+INDEX('Charges_Including Slice and LS'!$Z$4:$Z$138,MATCH($A97,'Charges_Including Slice and LS'!$AA$4:$AA$138,0),1)</f>
        <v>-4.1068915632137805E-2</v>
      </c>
      <c r="D97" s="60">
        <f ca="1">+INDEX('Charges_Including Slice and LS'!$Y$4:$Y$138,MATCH($A97,'Charges_Including Slice and LS'!$AA$4:$AA$138,0),1)</f>
        <v>37.610457338124995</v>
      </c>
      <c r="E97" s="80">
        <f ca="1">+INDEX('Charges_Including Slice and LS'!$X$4:$X$138,MATCH($A97,'Charges_Including Slice and LS'!$AA$4:$AA$138,0),1)/1000</f>
        <v>711.34906238852795</v>
      </c>
      <c r="F97" s="80">
        <f ca="1">+SUM(E$5:E97)</f>
        <v>47824.984099324036</v>
      </c>
      <c r="H97" s="244" t="str">
        <f ca="1">+INDEX(Charges_NonSlice!$C$4:$C$138,MATCH($A97,Charges_NonSlice!$AA$4:$AA$138,0),1)</f>
        <v>Nespelem Valley Elec Coop</v>
      </c>
      <c r="I97" s="74">
        <f ca="1">+INDEX(Charges_NonSlice!$Z$4:$Z$138,MATCH($A97,Charges_NonSlice!$AA$4:$AA$138,0),1)</f>
        <v>-4.1073144713363069E-2</v>
      </c>
      <c r="J97" s="98">
        <f ca="1">+INDEX(Charges_NonSlice!$Y$4:$Y$138,MATCH($A97,Charges_NonSlice!$AA$4:$AA$138,0),1)</f>
        <v>32.165638360219141</v>
      </c>
      <c r="K97" s="246">
        <f ca="1">+INDEX(Charges_NonSlice!$X$4:$X$138,MATCH($A97,Charges_NonSlice!$AA$4:$AA$138,0),1)/1000</f>
        <v>47.327247513925478</v>
      </c>
      <c r="L97" s="80">
        <f ca="1">+SUM(K$5:K97)</f>
        <v>33801.274535904085</v>
      </c>
      <c r="N97" s="244" t="str">
        <f ca="1">+INDEX('Charges_NonSlice &amp; Excl LS'!$C$4:$C$138,MATCH($A97,'Charges_NonSlice &amp; Excl LS'!$AA$4:$AA$138,0),1)</f>
        <v>Benton REA</v>
      </c>
      <c r="O97" s="74">
        <f ca="1">+INDEX('Charges_NonSlice &amp; Excl LS'!$Z$4:$Z$138,MATCH($A97,'Charges_NonSlice &amp; Excl LS'!$AA$4:$AA$138,0),1)</f>
        <v>-3.7831711680814901E-2</v>
      </c>
      <c r="P97" s="98">
        <f ca="1">+INDEX('Charges_NonSlice &amp; Excl LS'!$Y$4:$Y$138,MATCH($A97,'Charges_NonSlice &amp; Excl LS'!$AA$4:$AA$138,0),1)</f>
        <v>31.61802029263897</v>
      </c>
      <c r="Q97" s="246">
        <f ca="1">+INDEX('Charges_NonSlice &amp; Excl LS'!$X$4:$X$138,MATCH($A97,'Charges_NonSlice &amp; Excl LS'!$AA$4:$AA$138,0),1)/1000</f>
        <v>498.52074488832005</v>
      </c>
      <c r="R97" s="80">
        <f ca="1">+SUM(Q$5:Q97)</f>
        <v>32257.166005860017</v>
      </c>
      <c r="T97" s="244" t="str">
        <f ca="1">+INDEX(Charges_NonSlice!$C$4:$C$138,MATCH($A97,Charges_NonSlice!$AA$4:$AA$138,0),1)</f>
        <v>Nespelem Valley Elec Coop</v>
      </c>
      <c r="U97" s="74">
        <f t="shared" ca="1" si="4"/>
        <v>-1.1819454838005283E-2</v>
      </c>
      <c r="V97" s="98">
        <f ca="1">+INDEX(Charges_NonSlice!$Y$4:$Y$138,MATCH($A97,Charges_NonSlice!$AA$4:$AA$138,0),1)</f>
        <v>32.165638360219141</v>
      </c>
      <c r="W97" s="89">
        <f t="shared" ca="1" si="3"/>
        <v>32.550365940412391</v>
      </c>
      <c r="Y97" s="77" t="s">
        <v>106</v>
      </c>
      <c r="Z97" s="78">
        <v>35.335383173742066</v>
      </c>
    </row>
    <row r="98" spans="1:26">
      <c r="A98">
        <f t="shared" si="5"/>
        <v>94</v>
      </c>
      <c r="B98" s="82" t="str">
        <f ca="1">+INDEX('Charges_Including Slice and LS'!$C$4:$C$138,MATCH($A98,'Charges_Including Slice and LS'!$AA$4:$AA$138,0),1)</f>
        <v>Nespelem Valley Elec Coop</v>
      </c>
      <c r="C98" s="74">
        <f ca="1">+INDEX('Charges_Including Slice and LS'!$Z$4:$Z$138,MATCH($A98,'Charges_Including Slice and LS'!$AA$4:$AA$138,0),1)</f>
        <v>-4.1073144713367017E-2</v>
      </c>
      <c r="D98" s="60">
        <f ca="1">+INDEX('Charges_Including Slice and LS'!$Y$4:$Y$138,MATCH($A98,'Charges_Including Slice and LS'!$AA$4:$AA$138,0),1)</f>
        <v>32.165638360219141</v>
      </c>
      <c r="E98" s="80">
        <f ca="1">+INDEX('Charges_Including Slice and LS'!$X$4:$X$138,MATCH($A98,'Charges_Including Slice and LS'!$AA$4:$AA$138,0),1)/1000</f>
        <v>47.327247513925478</v>
      </c>
      <c r="F98" s="80">
        <f ca="1">+SUM(E$5:E98)</f>
        <v>47872.31134683796</v>
      </c>
      <c r="H98" s="244" t="str">
        <f ca="1">+INDEX(Charges_NonSlice!$C$4:$C$138,MATCH($A98,Charges_NonSlice!$AA$4:$AA$138,0),1)</f>
        <v>East End Mutual Electric</v>
      </c>
      <c r="I98" s="74">
        <f ca="1">+INDEX(Charges_NonSlice!$Z$4:$Z$138,MATCH($A98,Charges_NonSlice!$AA$4:$AA$138,0),1)</f>
        <v>-4.1087065170362577E-2</v>
      </c>
      <c r="J98" s="98">
        <f ca="1">+INDEX(Charges_NonSlice!$Y$4:$Y$138,MATCH($A98,Charges_NonSlice!$AA$4:$AA$138,0),1)</f>
        <v>31.43099522207779</v>
      </c>
      <c r="K98" s="246">
        <f ca="1">+INDEX(Charges_NonSlice!$X$4:$X$138,MATCH($A98,Charges_NonSlice!$AA$4:$AA$138,0),1)/1000</f>
        <v>22.451880000000003</v>
      </c>
      <c r="L98" s="80">
        <f ca="1">+SUM(K$5:K98)</f>
        <v>33823.726415904086</v>
      </c>
      <c r="N98" s="244" t="str">
        <f ca="1">+INDEX('Charges_NonSlice &amp; Excl LS'!$C$4:$C$138,MATCH($A98,'Charges_NonSlice &amp; Excl LS'!$AA$4:$AA$138,0),1)</f>
        <v>Emerald PUD</v>
      </c>
      <c r="O98" s="74">
        <f ca="1">+INDEX('Charges_NonSlice &amp; Excl LS'!$Z$4:$Z$138,MATCH($A98,'Charges_NonSlice &amp; Excl LS'!$AA$4:$AA$138,0),1)</f>
        <v>-3.8098714748417181E-2</v>
      </c>
      <c r="P98" s="98">
        <f ca="1">+INDEX('Charges_NonSlice &amp; Excl LS'!$Y$4:$Y$138,MATCH($A98,'Charges_NonSlice &amp; Excl LS'!$AA$4:$AA$138,0),1)</f>
        <v>31.773114660427535</v>
      </c>
      <c r="Q98" s="246">
        <f ca="1">+INDEX('Charges_NonSlice &amp; Excl LS'!$X$4:$X$138,MATCH($A98,'Charges_NonSlice &amp; Excl LS'!$AA$4:$AA$138,0),1)/1000</f>
        <v>199.23716749129204</v>
      </c>
      <c r="R98" s="80">
        <f ca="1">+SUM(Q$5:Q98)</f>
        <v>32456.403173351311</v>
      </c>
      <c r="T98" s="244" t="str">
        <f ca="1">+INDEX(Charges_NonSlice!$C$4:$C$138,MATCH($A98,Charges_NonSlice!$AA$4:$AA$138,0),1)</f>
        <v>East End Mutual Electric</v>
      </c>
      <c r="U98" s="74">
        <f t="shared" ca="1" si="4"/>
        <v>-4.7052874902057562E-2</v>
      </c>
      <c r="V98" s="98">
        <f ca="1">+INDEX(Charges_NonSlice!$Y$4:$Y$138,MATCH($A98,Charges_NonSlice!$AA$4:$AA$138,0),1)</f>
        <v>31.43099522207779</v>
      </c>
      <c r="W98" s="89">
        <f t="shared" ca="1" si="3"/>
        <v>32.982937242029415</v>
      </c>
      <c r="Y98" s="77" t="s">
        <v>59</v>
      </c>
      <c r="Z98" s="78">
        <v>38.369389238400309</v>
      </c>
    </row>
    <row r="99" spans="1:26">
      <c r="A99">
        <f t="shared" si="5"/>
        <v>95</v>
      </c>
      <c r="B99" s="82" t="str">
        <f ca="1">+INDEX('Charges_Including Slice and LS'!$C$4:$C$138,MATCH($A99,'Charges_Including Slice and LS'!$AA$4:$AA$138,0),1)</f>
        <v>East End Mutual Electric</v>
      </c>
      <c r="C99" s="74">
        <f ca="1">+INDEX('Charges_Including Slice and LS'!$Z$4:$Z$138,MATCH($A99,'Charges_Including Slice and LS'!$AA$4:$AA$138,0),1)</f>
        <v>-4.1087065170358435E-2</v>
      </c>
      <c r="D99" s="60">
        <f ca="1">+INDEX('Charges_Including Slice and LS'!$Y$4:$Y$138,MATCH($A99,'Charges_Including Slice and LS'!$AA$4:$AA$138,0),1)</f>
        <v>31.43099522207779</v>
      </c>
      <c r="E99" s="80">
        <f ca="1">+INDEX('Charges_Including Slice and LS'!$X$4:$X$138,MATCH($A99,'Charges_Including Slice and LS'!$AA$4:$AA$138,0),1)/1000</f>
        <v>22.451880000000003</v>
      </c>
      <c r="F99" s="80">
        <f ca="1">+SUM(E$5:E99)</f>
        <v>47894.76322683796</v>
      </c>
      <c r="H99" s="244" t="str">
        <f ca="1">+INDEX(Charges_NonSlice!$C$4:$C$138,MATCH($A99,Charges_NonSlice!$AA$4:$AA$138,0),1)</f>
        <v>Missoula Elec Coop</v>
      </c>
      <c r="I99" s="74">
        <f ca="1">+INDEX(Charges_NonSlice!$Z$4:$Z$138,MATCH($A99,Charges_NonSlice!$AA$4:$AA$138,0),1)</f>
        <v>-4.1674772641521377E-2</v>
      </c>
      <c r="J99" s="98">
        <f ca="1">+INDEX(Charges_NonSlice!$Y$4:$Y$138,MATCH($A99,Charges_NonSlice!$AA$4:$AA$138,0),1)</f>
        <v>33.927879438497555</v>
      </c>
      <c r="K99" s="246">
        <f ca="1">+INDEX(Charges_NonSlice!$X$4:$X$138,MATCH($A99,Charges_NonSlice!$AA$4:$AA$138,0),1)/1000</f>
        <v>225.49116000000001</v>
      </c>
      <c r="L99" s="80">
        <f ca="1">+SUM(K$5:K99)</f>
        <v>34049.217575904084</v>
      </c>
      <c r="N99" s="244" t="str">
        <f ca="1">+INDEX('Charges_NonSlice &amp; Excl LS'!$C$4:$C$138,MATCH($A99,'Charges_NonSlice &amp; Excl LS'!$AA$4:$AA$138,0),1)</f>
        <v>Kittitas County PUD #1</v>
      </c>
      <c r="O99" s="74">
        <f ca="1">+INDEX('Charges_NonSlice &amp; Excl LS'!$Z$4:$Z$138,MATCH($A99,'Charges_NonSlice &amp; Excl LS'!$AA$4:$AA$138,0),1)</f>
        <v>-3.8108443369200717E-2</v>
      </c>
      <c r="P99" s="98">
        <f ca="1">+INDEX('Charges_NonSlice &amp; Excl LS'!$Y$4:$Y$138,MATCH($A99,'Charges_NonSlice &amp; Excl LS'!$AA$4:$AA$138,0),1)</f>
        <v>35.248095891331104</v>
      </c>
      <c r="Q99" s="246">
        <f ca="1">+INDEX('Charges_NonSlice &amp; Excl LS'!$X$4:$X$138,MATCH($A99,'Charges_NonSlice &amp; Excl LS'!$AA$4:$AA$138,0),1)/1000</f>
        <v>81.07453259967599</v>
      </c>
      <c r="R99" s="80">
        <f ca="1">+SUM(Q$5:Q99)</f>
        <v>32537.477705950987</v>
      </c>
      <c r="T99" s="244" t="str">
        <f ca="1">+INDEX(Charges_NonSlice!$C$4:$C$138,MATCH($A99,Charges_NonSlice!$AA$4:$AA$138,0),1)</f>
        <v>Missoula Elec Coop</v>
      </c>
      <c r="U99" s="74">
        <f t="shared" ca="1" si="4"/>
        <v>-5.423753262796116E-2</v>
      </c>
      <c r="V99" s="98">
        <f ca="1">+INDEX(Charges_NonSlice!$Y$4:$Y$138,MATCH($A99,Charges_NonSlice!$AA$4:$AA$138,0),1)</f>
        <v>33.927879438497555</v>
      </c>
      <c r="W99" s="89">
        <f t="shared" ca="1" si="3"/>
        <v>35.873573554649418</v>
      </c>
      <c r="Y99" s="77" t="s">
        <v>76</v>
      </c>
      <c r="Z99" s="78">
        <v>34.787395842684326</v>
      </c>
    </row>
    <row r="100" spans="1:26">
      <c r="A100">
        <f t="shared" si="5"/>
        <v>96</v>
      </c>
      <c r="B100" s="82" t="str">
        <f ca="1">+INDEX('Charges_Including Slice and LS'!$C$4:$C$138,MATCH($A100,'Charges_Including Slice and LS'!$AA$4:$AA$138,0),1)</f>
        <v>Missoula Elec Coop</v>
      </c>
      <c r="C100" s="74">
        <f ca="1">+INDEX('Charges_Including Slice and LS'!$Z$4:$Z$138,MATCH($A100,'Charges_Including Slice and LS'!$AA$4:$AA$138,0),1)</f>
        <v>-4.1674772641515333E-2</v>
      </c>
      <c r="D100" s="60">
        <f ca="1">+INDEX('Charges_Including Slice and LS'!$Y$4:$Y$138,MATCH($A100,'Charges_Including Slice and LS'!$AA$4:$AA$138,0),1)</f>
        <v>33.927879438497555</v>
      </c>
      <c r="E100" s="80">
        <f ca="1">+INDEX('Charges_Including Slice and LS'!$X$4:$X$138,MATCH($A100,'Charges_Including Slice and LS'!$AA$4:$AA$138,0),1)/1000</f>
        <v>225.49116000000001</v>
      </c>
      <c r="F100" s="80">
        <f ca="1">+SUM(E$5:E100)</f>
        <v>48120.254386837958</v>
      </c>
      <c r="H100" s="244" t="str">
        <f ca="1">+INDEX(Charges_NonSlice!$C$4:$C$138,MATCH($A100,Charges_NonSlice!$AA$4:$AA$138,0),1)</f>
        <v>Inland P &amp; L</v>
      </c>
      <c r="I100" s="74">
        <f ca="1">+INDEX(Charges_NonSlice!$Z$4:$Z$138,MATCH($A100,Charges_NonSlice!$AA$4:$AA$138,0),1)</f>
        <v>-4.1855827940778405E-2</v>
      </c>
      <c r="J100" s="98">
        <f ca="1">+INDEX(Charges_NonSlice!$Y$4:$Y$138,MATCH($A100,Charges_NonSlice!$AA$4:$AA$138,0),1)</f>
        <v>35.140453480740064</v>
      </c>
      <c r="K100" s="246">
        <f ca="1">+INDEX(Charges_NonSlice!$X$4:$X$138,MATCH($A100,Charges_NonSlice!$AA$4:$AA$138,0),1)/1000</f>
        <v>876.48180000000002</v>
      </c>
      <c r="L100" s="80">
        <f ca="1">+SUM(K$5:K100)</f>
        <v>34925.699375904085</v>
      </c>
      <c r="N100" s="244" t="str">
        <f ca="1">+INDEX('Charges_NonSlice &amp; Excl LS'!$C$4:$C$138,MATCH($A100,'Charges_NonSlice &amp; Excl LS'!$AA$4:$AA$138,0),1)</f>
        <v>Riverside Elec Coop</v>
      </c>
      <c r="O100" s="74">
        <f ca="1">+INDEX('Charges_NonSlice &amp; Excl LS'!$Z$4:$Z$138,MATCH($A100,'Charges_NonSlice &amp; Excl LS'!$AA$4:$AA$138,0),1)</f>
        <v>-3.8158186924147679E-2</v>
      </c>
      <c r="P100" s="98">
        <f ca="1">+INDEX('Charges_NonSlice &amp; Excl LS'!$Y$4:$Y$138,MATCH($A100,'Charges_NonSlice &amp; Excl LS'!$AA$4:$AA$138,0),1)</f>
        <v>31.43049538011941</v>
      </c>
      <c r="Q100" s="246">
        <f ca="1">+INDEX('Charges_NonSlice &amp; Excl LS'!$X$4:$X$138,MATCH($A100,'Charges_NonSlice &amp; Excl LS'!$AA$4:$AA$138,0),1)/1000</f>
        <v>19.821628575756002</v>
      </c>
      <c r="R100" s="80">
        <f ca="1">+SUM(Q$5:Q100)</f>
        <v>32557.299334526742</v>
      </c>
      <c r="T100" s="244" t="str">
        <f ca="1">+INDEX(Charges_NonSlice!$C$4:$C$138,MATCH($A100,Charges_NonSlice!$AA$4:$AA$138,0),1)</f>
        <v>Inland P &amp; L</v>
      </c>
      <c r="U100" s="74">
        <f t="shared" ca="1" si="4"/>
        <v>1.0149010280974702E-2</v>
      </c>
      <c r="V100" s="98">
        <f ca="1">+INDEX(Charges_NonSlice!$Y$4:$Y$138,MATCH($A100,Charges_NonSlice!$AA$4:$AA$138,0),1)</f>
        <v>35.140453480740064</v>
      </c>
      <c r="W100" s="89">
        <f t="shared" ca="1" si="3"/>
        <v>34.787395842684326</v>
      </c>
      <c r="Y100" s="77" t="s">
        <v>69</v>
      </c>
      <c r="Z100" s="78">
        <v>34.682627512803592</v>
      </c>
    </row>
    <row r="101" spans="1:26">
      <c r="A101">
        <f t="shared" si="5"/>
        <v>97</v>
      </c>
      <c r="B101" s="82" t="str">
        <f ca="1">+INDEX('Charges_Including Slice and LS'!$C$4:$C$138,MATCH($A101,'Charges_Including Slice and LS'!$AA$4:$AA$138,0),1)</f>
        <v>Inland P &amp; L</v>
      </c>
      <c r="C101" s="74">
        <f ca="1">+INDEX('Charges_Including Slice and LS'!$Z$4:$Z$138,MATCH($A101,'Charges_Including Slice and LS'!$AA$4:$AA$138,0),1)</f>
        <v>-4.1855827940777295E-2</v>
      </c>
      <c r="D101" s="60">
        <f ca="1">+INDEX('Charges_Including Slice and LS'!$Y$4:$Y$138,MATCH($A101,'Charges_Including Slice and LS'!$AA$4:$AA$138,0),1)</f>
        <v>35.140453480740064</v>
      </c>
      <c r="E101" s="80">
        <f ca="1">+INDEX('Charges_Including Slice and LS'!$X$4:$X$138,MATCH($A101,'Charges_Including Slice and LS'!$AA$4:$AA$138,0),1)/1000</f>
        <v>876.48180000000002</v>
      </c>
      <c r="F101" s="80">
        <f ca="1">+SUM(E$5:E101)</f>
        <v>48996.736186837959</v>
      </c>
      <c r="H101" s="244" t="str">
        <f ca="1">+INDEX(Charges_NonSlice!$C$4:$C$138,MATCH($A101,Charges_NonSlice!$AA$4:$AA$138,0),1)</f>
        <v>Lower Valley Energy</v>
      </c>
      <c r="I101" s="74">
        <f ca="1">+INDEX(Charges_NonSlice!$Z$4:$Z$138,MATCH($A101,Charges_NonSlice!$AA$4:$AA$138,0),1)</f>
        <v>-4.1937941490176947E-2</v>
      </c>
      <c r="J101" s="98">
        <f ca="1">+INDEX(Charges_NonSlice!$Y$4:$Y$138,MATCH($A101,Charges_NonSlice!$AA$4:$AA$138,0),1)</f>
        <v>35.175916237850686</v>
      </c>
      <c r="K101" s="246">
        <f ca="1">+INDEX(Charges_NonSlice!$X$4:$X$138,MATCH($A101,Charges_NonSlice!$AA$4:$AA$138,0),1)/1000</f>
        <v>718.94195999999999</v>
      </c>
      <c r="L101" s="80">
        <f ca="1">+SUM(K$5:K101)</f>
        <v>35644.641335904082</v>
      </c>
      <c r="N101" s="244" t="str">
        <f ca="1">+INDEX('Charges_NonSlice &amp; Excl LS'!$C$4:$C$138,MATCH($A101,'Charges_NonSlice &amp; Excl LS'!$AA$4:$AA$138,0),1)</f>
        <v>Skamania County PUD #1</v>
      </c>
      <c r="O101" s="74">
        <f ca="1">+INDEX('Charges_NonSlice &amp; Excl LS'!$Z$4:$Z$138,MATCH($A101,'Charges_NonSlice &amp; Excl LS'!$AA$4:$AA$138,0),1)</f>
        <v>-3.8380748435782507E-2</v>
      </c>
      <c r="P101" s="98">
        <f ca="1">+INDEX('Charges_NonSlice &amp; Excl LS'!$Y$4:$Y$138,MATCH($A101,'Charges_NonSlice &amp; Excl LS'!$AA$4:$AA$138,0),1)</f>
        <v>33.661915403653651</v>
      </c>
      <c r="Q101" s="246">
        <f ca="1">+INDEX('Charges_NonSlice &amp; Excl LS'!$X$4:$X$138,MATCH($A101,'Charges_NonSlice &amp; Excl LS'!$AA$4:$AA$138,0),1)/1000</f>
        <v>132.91526110161598</v>
      </c>
      <c r="R101" s="80">
        <f ca="1">+SUM(Q$5:Q101)</f>
        <v>32690.214595628357</v>
      </c>
      <c r="T101" s="244" t="str">
        <f ca="1">+INDEX(Charges_NonSlice!$C$4:$C$138,MATCH($A101,Charges_NonSlice!$AA$4:$AA$138,0),1)</f>
        <v>Lower Valley Energy</v>
      </c>
      <c r="U101" s="74">
        <f t="shared" ca="1" si="4"/>
        <v>-2.0548567811229823E-2</v>
      </c>
      <c r="V101" s="98">
        <f ca="1">+INDEX(Charges_NonSlice!$Y$4:$Y$138,MATCH($A101,Charges_NonSlice!$AA$4:$AA$138,0),1)</f>
        <v>35.175916237850686</v>
      </c>
      <c r="W101" s="89">
        <f t="shared" ca="1" si="3"/>
        <v>35.913895351853661</v>
      </c>
      <c r="Y101" s="77" t="s">
        <v>43</v>
      </c>
      <c r="Z101" s="78">
        <v>37.793823776760405</v>
      </c>
    </row>
    <row r="102" spans="1:26">
      <c r="A102">
        <f t="shared" si="5"/>
        <v>98</v>
      </c>
      <c r="B102" s="82" t="str">
        <f ca="1">+INDEX('Charges_Including Slice and LS'!$C$4:$C$138,MATCH($A102,'Charges_Including Slice and LS'!$AA$4:$AA$138,0),1)</f>
        <v>Lower Valley Energy</v>
      </c>
      <c r="C102" s="74">
        <f ca="1">+INDEX('Charges_Including Slice and LS'!$Z$4:$Z$138,MATCH($A102,'Charges_Including Slice and LS'!$AA$4:$AA$138,0),1)</f>
        <v>-4.1937941490174727E-2</v>
      </c>
      <c r="D102" s="60">
        <f ca="1">+INDEX('Charges_Including Slice and LS'!$Y$4:$Y$138,MATCH($A102,'Charges_Including Slice and LS'!$AA$4:$AA$138,0),1)</f>
        <v>35.175916237850686</v>
      </c>
      <c r="E102" s="80">
        <f ca="1">+INDEX('Charges_Including Slice and LS'!$X$4:$X$138,MATCH($A102,'Charges_Including Slice and LS'!$AA$4:$AA$138,0),1)/1000</f>
        <v>718.94195999999999</v>
      </c>
      <c r="F102" s="80">
        <f ca="1">+SUM(E$5:E102)</f>
        <v>49715.678146837956</v>
      </c>
      <c r="H102" s="244" t="str">
        <f ca="1">+INDEX(Charges_NonSlice!$C$4:$C$138,MATCH($A102,Charges_NonSlice!$AA$4:$AA$138,0),1)</f>
        <v>Lost River Elec Coop</v>
      </c>
      <c r="I102" s="74">
        <f ca="1">+INDEX(Charges_NonSlice!$Z$4:$Z$138,MATCH($A102,Charges_NonSlice!$AA$4:$AA$138,0),1)</f>
        <v>-4.2482828721828104E-2</v>
      </c>
      <c r="J102" s="98">
        <f ca="1">+INDEX(Charges_NonSlice!$Y$4:$Y$138,MATCH($A102,Charges_NonSlice!$AA$4:$AA$138,0),1)</f>
        <v>26.997944942499391</v>
      </c>
      <c r="K102" s="246">
        <f ca="1">+INDEX(Charges_NonSlice!$X$4:$X$138,MATCH($A102,Charges_NonSlice!$AA$4:$AA$138,0),1)/1000</f>
        <v>79.602119999999999</v>
      </c>
      <c r="L102" s="80">
        <f ca="1">+SUM(K$5:K102)</f>
        <v>35724.243455904085</v>
      </c>
      <c r="N102" s="244" t="str">
        <f ca="1">+INDEX('Charges_NonSlice &amp; Excl LS'!$C$4:$C$138,MATCH($A102,'Charges_NonSlice &amp; Excl LS'!$AA$4:$AA$138,0),1)</f>
        <v>Midstate Elec Coop</v>
      </c>
      <c r="O102" s="74">
        <f ca="1">+INDEX('Charges_NonSlice &amp; Excl LS'!$Z$4:$Z$138,MATCH($A102,'Charges_NonSlice &amp; Excl LS'!$AA$4:$AA$138,0),1)</f>
        <v>-3.9006380865432094E-2</v>
      </c>
      <c r="P102" s="98">
        <f ca="1">+INDEX('Charges_NonSlice &amp; Excl LS'!$Y$4:$Y$138,MATCH($A102,'Charges_NonSlice &amp; Excl LS'!$AA$4:$AA$138,0),1)</f>
        <v>33.459254469149599</v>
      </c>
      <c r="Q102" s="246">
        <f ca="1">+INDEX('Charges_NonSlice &amp; Excl LS'!$X$4:$X$138,MATCH($A102,'Charges_NonSlice &amp; Excl LS'!$AA$4:$AA$138,0),1)/1000</f>
        <v>390.61413573789605</v>
      </c>
      <c r="R102" s="80">
        <f ca="1">+SUM(Q$5:Q102)</f>
        <v>33080.828731366251</v>
      </c>
      <c r="T102" s="244" t="str">
        <f ca="1">+INDEX(Charges_NonSlice!$C$4:$C$138,MATCH($A102,Charges_NonSlice!$AA$4:$AA$138,0),1)</f>
        <v>Lost River Elec Coop</v>
      </c>
      <c r="U102" s="74">
        <f t="shared" ca="1" si="4"/>
        <v>-5.3711001401662295E-2</v>
      </c>
      <c r="V102" s="98">
        <f ca="1">+INDEX(Charges_NonSlice!$Y$4:$Y$138,MATCH($A102,Charges_NonSlice!$AA$4:$AA$138,0),1)</f>
        <v>26.997944942499391</v>
      </c>
      <c r="W102" s="89">
        <f t="shared" ca="1" si="3"/>
        <v>28.530337964923284</v>
      </c>
      <c r="Y102" s="77" t="s">
        <v>101</v>
      </c>
      <c r="Z102" s="78">
        <v>37.639942603825695</v>
      </c>
    </row>
    <row r="103" spans="1:26">
      <c r="A103">
        <f t="shared" si="5"/>
        <v>99</v>
      </c>
      <c r="B103" s="82" t="str">
        <f ca="1">+INDEX('Charges_Including Slice and LS'!$C$4:$C$138,MATCH($A103,'Charges_Including Slice and LS'!$AA$4:$AA$138,0),1)</f>
        <v>Lost River Elec Coop</v>
      </c>
      <c r="C103" s="74">
        <f ca="1">+INDEX('Charges_Including Slice and LS'!$Z$4:$Z$138,MATCH($A103,'Charges_Including Slice and LS'!$AA$4:$AA$138,0),1)</f>
        <v>-4.2482828721823171E-2</v>
      </c>
      <c r="D103" s="60">
        <f ca="1">+INDEX('Charges_Including Slice and LS'!$Y$4:$Y$138,MATCH($A103,'Charges_Including Slice and LS'!$AA$4:$AA$138,0),1)</f>
        <v>26.997944942499391</v>
      </c>
      <c r="E103" s="80">
        <f ca="1">+INDEX('Charges_Including Slice and LS'!$X$4:$X$138,MATCH($A103,'Charges_Including Slice and LS'!$AA$4:$AA$138,0),1)/1000</f>
        <v>79.602119999999999</v>
      </c>
      <c r="F103" s="80">
        <f ca="1">+SUM(E$5:E103)</f>
        <v>49795.280266837959</v>
      </c>
      <c r="H103" s="244" t="str">
        <f ca="1">+INDEX(Charges_NonSlice!$C$4:$C$138,MATCH($A103,Charges_NonSlice!$AA$4:$AA$138,0),1)</f>
        <v>Kootenai Electric Coop</v>
      </c>
      <c r="I103" s="74">
        <f ca="1">+INDEX(Charges_NonSlice!$Z$4:$Z$138,MATCH($A103,Charges_NonSlice!$AA$4:$AA$138,0),1)</f>
        <v>-4.2898937103897507E-2</v>
      </c>
      <c r="J103" s="98">
        <f ca="1">+INDEX(Charges_NonSlice!$Y$4:$Y$138,MATCH($A103,Charges_NonSlice!$AA$4:$AA$138,0),1)</f>
        <v>35.218407057312049</v>
      </c>
      <c r="K103" s="246">
        <f ca="1">+INDEX(Charges_NonSlice!$X$4:$X$138,MATCH($A103,Charges_NonSlice!$AA$4:$AA$138,0),1)/1000</f>
        <v>426.15648000000004</v>
      </c>
      <c r="L103" s="80">
        <f ca="1">+SUM(K$5:K103)</f>
        <v>36150.399935904083</v>
      </c>
      <c r="N103" s="244" t="str">
        <f ca="1">+INDEX('Charges_NonSlice &amp; Excl LS'!$C$4:$C$138,MATCH($A103,'Charges_NonSlice &amp; Excl LS'!$AA$4:$AA$138,0),1)</f>
        <v>East End Mutual Electric</v>
      </c>
      <c r="O103" s="74">
        <f ca="1">+INDEX('Charges_NonSlice &amp; Excl LS'!$Z$4:$Z$138,MATCH($A103,'Charges_NonSlice &amp; Excl LS'!$AA$4:$AA$138,0),1)</f>
        <v>-3.9044445825682832E-2</v>
      </c>
      <c r="P103" s="98">
        <f ca="1">+INDEX('Charges_NonSlice &amp; Excl LS'!$Y$4:$Y$138,MATCH($A103,'Charges_NonSlice &amp; Excl LS'!$AA$4:$AA$138,0),1)</f>
        <v>32.128409746785302</v>
      </c>
      <c r="Q103" s="246">
        <f ca="1">+INDEX('Charges_NonSlice &amp; Excl LS'!$X$4:$X$138,MATCH($A103,'Charges_NonSlice &amp; Excl LS'!$AA$4:$AA$138,0),1)/1000</f>
        <v>22.453497091620001</v>
      </c>
      <c r="R103" s="80">
        <f ca="1">+SUM(Q$5:Q103)</f>
        <v>33103.282228457872</v>
      </c>
      <c r="T103" s="244" t="str">
        <f ca="1">+INDEX(Charges_NonSlice!$C$4:$C$138,MATCH($A103,Charges_NonSlice!$AA$4:$AA$138,0),1)</f>
        <v>Kootenai Electric Coop</v>
      </c>
      <c r="U103" s="74">
        <f t="shared" ca="1" si="4"/>
        <v>-1.7195830091640274E-2</v>
      </c>
      <c r="V103" s="98">
        <f ca="1">+INDEX(Charges_NonSlice!$Y$4:$Y$138,MATCH($A103,Charges_NonSlice!$AA$4:$AA$138,0),1)</f>
        <v>35.218407057312049</v>
      </c>
      <c r="W103" s="89">
        <f t="shared" ca="1" si="3"/>
        <v>35.834612973402365</v>
      </c>
      <c r="Y103" s="77" t="s">
        <v>26</v>
      </c>
      <c r="Z103" s="78">
        <v>37.752371224707495</v>
      </c>
    </row>
    <row r="104" spans="1:26">
      <c r="A104">
        <f t="shared" si="5"/>
        <v>100</v>
      </c>
      <c r="B104" s="82" t="str">
        <f ca="1">+INDEX('Charges_Including Slice and LS'!$C$4:$C$138,MATCH($A104,'Charges_Including Slice and LS'!$AA$4:$AA$138,0),1)</f>
        <v>Kootenai Electric Coop</v>
      </c>
      <c r="C104" s="74">
        <f ca="1">+INDEX('Charges_Including Slice and LS'!$Z$4:$Z$138,MATCH($A104,'Charges_Including Slice and LS'!$AA$4:$AA$138,0),1)</f>
        <v>-4.2898937103897264E-2</v>
      </c>
      <c r="D104" s="60">
        <f ca="1">+INDEX('Charges_Including Slice and LS'!$Y$4:$Y$138,MATCH($A104,'Charges_Including Slice and LS'!$AA$4:$AA$138,0),1)</f>
        <v>35.218407057312049</v>
      </c>
      <c r="E104" s="80">
        <f ca="1">+INDEX('Charges_Including Slice and LS'!$X$4:$X$138,MATCH($A104,'Charges_Including Slice and LS'!$AA$4:$AA$138,0),1)/1000</f>
        <v>426.15648000000004</v>
      </c>
      <c r="F104" s="80">
        <f ca="1">+SUM(E$5:E104)</f>
        <v>50221.436746837957</v>
      </c>
      <c r="H104" s="244" t="str">
        <f ca="1">+INDEX(Charges_NonSlice!$C$4:$C$138,MATCH($A104,Charges_NonSlice!$AA$4:$AA$138,0),1)</f>
        <v>Benton County PUD #1</v>
      </c>
      <c r="I104" s="74">
        <f ca="1">+INDEX(Charges_NonSlice!$Z$4:$Z$138,MATCH($A104,Charges_NonSlice!$AA$4:$AA$138,0),1)</f>
        <v>-4.2985530851893133E-2</v>
      </c>
      <c r="J104" s="98">
        <f ca="1">+INDEX(Charges_NonSlice!$Y$4:$Y$138,MATCH($A104,Charges_NonSlice!$AA$4:$AA$138,0),1)</f>
        <v>29.468837317342551</v>
      </c>
      <c r="K104" s="246">
        <f ca="1">+INDEX(Charges_NonSlice!$X$4:$X$138,MATCH($A104,Charges_NonSlice!$AA$4:$AA$138,0),1)/1000</f>
        <v>874.71234823062377</v>
      </c>
      <c r="L104" s="80">
        <f ca="1">+SUM(K$5:K104)</f>
        <v>37025.11228413471</v>
      </c>
      <c r="N104" s="244" t="str">
        <f ca="1">+INDEX('Charges_NonSlice &amp; Excl LS'!$C$4:$C$138,MATCH($A104,'Charges_NonSlice &amp; Excl LS'!$AA$4:$AA$138,0),1)</f>
        <v>Columbia Basin Elec Coop</v>
      </c>
      <c r="O104" s="74">
        <f ca="1">+INDEX('Charges_NonSlice &amp; Excl LS'!$Z$4:$Z$138,MATCH($A104,'Charges_NonSlice &amp; Excl LS'!$AA$4:$AA$138,0),1)</f>
        <v>-3.9507646321275923E-2</v>
      </c>
      <c r="P104" s="98">
        <f ca="1">+INDEX('Charges_NonSlice &amp; Excl LS'!$Y$4:$Y$138,MATCH($A104,'Charges_NonSlice &amp; Excl LS'!$AA$4:$AA$138,0),1)</f>
        <v>33.838884936130754</v>
      </c>
      <c r="Q104" s="246">
        <f ca="1">+INDEX('Charges_NonSlice &amp; Excl LS'!$X$4:$X$138,MATCH($A104,'Charges_NonSlice &amp; Excl LS'!$AA$4:$AA$138,0),1)/1000</f>
        <v>101.26792735592402</v>
      </c>
      <c r="R104" s="80">
        <f ca="1">+SUM(Q$5:Q104)</f>
        <v>33204.550155813798</v>
      </c>
      <c r="T104" s="244" t="str">
        <f ca="1">+INDEX(Charges_NonSlice!$C$4:$C$138,MATCH($A104,Charges_NonSlice!$AA$4:$AA$138,0),1)</f>
        <v>Benton County PUD #1</v>
      </c>
      <c r="U104" s="74">
        <f t="shared" ca="1" si="4"/>
        <v>-2.9419409419766729E-2</v>
      </c>
      <c r="V104" s="98">
        <f ca="1">+INDEX(Charges_NonSlice!$Y$4:$Y$138,MATCH($A104,Charges_NonSlice!$AA$4:$AA$138,0),1)</f>
        <v>29.468837317342551</v>
      </c>
      <c r="W104" s="89">
        <f t="shared" ca="1" si="3"/>
        <v>30.362071530531502</v>
      </c>
      <c r="Y104" s="77" t="s">
        <v>94</v>
      </c>
      <c r="Z104" s="78">
        <v>34.934748153668316</v>
      </c>
    </row>
    <row r="105" spans="1:26">
      <c r="A105">
        <f t="shared" si="5"/>
        <v>101</v>
      </c>
      <c r="B105" s="82" t="str">
        <f ca="1">+INDEX('Charges_Including Slice and LS'!$C$4:$C$138,MATCH($A105,'Charges_Including Slice and LS'!$AA$4:$AA$138,0),1)</f>
        <v>Vigilante Elec Coop</v>
      </c>
      <c r="C105" s="74">
        <f ca="1">+INDEX('Charges_Including Slice and LS'!$Z$4:$Z$138,MATCH($A105,'Charges_Including Slice and LS'!$AA$4:$AA$138,0),1)</f>
        <v>-4.3132623261044278E-2</v>
      </c>
      <c r="D105" s="60">
        <f ca="1">+INDEX('Charges_Including Slice and LS'!$Y$4:$Y$138,MATCH($A105,'Charges_Including Slice and LS'!$AA$4:$AA$138,0),1)</f>
        <v>29.9759497137983</v>
      </c>
      <c r="E105" s="80">
        <f ca="1">+INDEX('Charges_Including Slice and LS'!$X$4:$X$138,MATCH($A105,'Charges_Including Slice and LS'!$AA$4:$AA$138,0),1)/1000</f>
        <v>160.03643999999997</v>
      </c>
      <c r="F105" s="80">
        <f ca="1">+SUM(E$5:E105)</f>
        <v>50381.47318683796</v>
      </c>
      <c r="H105" s="244" t="str">
        <f ca="1">+INDEX(Charges_NonSlice!$C$4:$C$138,MATCH($A105,Charges_NonSlice!$AA$4:$AA$138,0),1)</f>
        <v>Vigilante Elec Coop</v>
      </c>
      <c r="I105" s="74">
        <f ca="1">+INDEX(Charges_NonSlice!$Z$4:$Z$138,MATCH($A105,Charges_NonSlice!$AA$4:$AA$138,0),1)</f>
        <v>-4.3132623261035868E-2</v>
      </c>
      <c r="J105" s="98">
        <f ca="1">+INDEX(Charges_NonSlice!$Y$4:$Y$138,MATCH($A105,Charges_NonSlice!$AA$4:$AA$138,0),1)</f>
        <v>29.9759497137983</v>
      </c>
      <c r="K105" s="246">
        <f ca="1">+INDEX(Charges_NonSlice!$X$4:$X$138,MATCH($A105,Charges_NonSlice!$AA$4:$AA$138,0),1)/1000</f>
        <v>160.03643999999997</v>
      </c>
      <c r="L105" s="80">
        <f ca="1">+SUM(K$5:K105)</f>
        <v>37185.148724134713</v>
      </c>
      <c r="N105" s="244" t="str">
        <f ca="1">+INDEX('Charges_NonSlice &amp; Excl LS'!$C$4:$C$138,MATCH($A105,'Charges_NonSlice &amp; Excl LS'!$AA$4:$AA$138,0),1)</f>
        <v>PNGC Aggregate</v>
      </c>
      <c r="O105" s="74">
        <f ca="1">+INDEX('Charges_NonSlice &amp; Excl LS'!$Z$4:$Z$138,MATCH($A105,'Charges_NonSlice &amp; Excl LS'!$AA$4:$AA$138,0),1)</f>
        <v>-3.9594473008384999E-2</v>
      </c>
      <c r="P105" s="98">
        <f ca="1">+INDEX('Charges_NonSlice &amp; Excl LS'!$Y$4:$Y$138,MATCH($A105,'Charges_NonSlice &amp; Excl LS'!$AA$4:$AA$138,0),1)</f>
        <v>32.808089715813892</v>
      </c>
      <c r="Q105" s="246">
        <f ca="1">+INDEX('Charges_NonSlice &amp; Excl LS'!$X$4:$X$138,MATCH($A105,'Charges_NonSlice &amp; Excl LS'!$AA$4:$AA$138,0),1)/1000</f>
        <v>3634.6635298625401</v>
      </c>
      <c r="R105" s="80">
        <f ca="1">+SUM(Q$5:Q105)</f>
        <v>36839.213685676339</v>
      </c>
      <c r="T105" s="244" t="str">
        <f ca="1">+INDEX(Charges_NonSlice!$C$4:$C$138,MATCH($A105,Charges_NonSlice!$AA$4:$AA$138,0),1)</f>
        <v>Vigilante Elec Coop</v>
      </c>
      <c r="U105" s="74">
        <f t="shared" ca="1" si="4"/>
        <v>-4.7598213653930799E-2</v>
      </c>
      <c r="V105" s="98">
        <f ca="1">+INDEX(Charges_NonSlice!$Y$4:$Y$138,MATCH($A105,Charges_NonSlice!$AA$4:$AA$138,0),1)</f>
        <v>29.9759497137983</v>
      </c>
      <c r="W105" s="89">
        <f t="shared" ca="1" si="3"/>
        <v>31.474058683575482</v>
      </c>
      <c r="Y105" s="77" t="s">
        <v>79</v>
      </c>
      <c r="Z105" s="78">
        <v>35.834612973402365</v>
      </c>
    </row>
    <row r="106" spans="1:26">
      <c r="A106">
        <f t="shared" si="5"/>
        <v>102</v>
      </c>
      <c r="B106" s="82" t="str">
        <f ca="1">+INDEX('Charges_Including Slice and LS'!$C$4:$C$138,MATCH($A106,'Charges_Including Slice and LS'!$AA$4:$AA$138,0),1)</f>
        <v>Southside Elec Lines</v>
      </c>
      <c r="C106" s="74">
        <f ca="1">+INDEX('Charges_Including Slice and LS'!$Z$4:$Z$138,MATCH($A106,'Charges_Including Slice and LS'!$AA$4:$AA$138,0),1)</f>
        <v>-4.3817238867438824E-2</v>
      </c>
      <c r="D106" s="60">
        <f ca="1">+INDEX('Charges_Including Slice and LS'!$Y$4:$Y$138,MATCH($A106,'Charges_Including Slice and LS'!$AA$4:$AA$138,0),1)</f>
        <v>29.127990517397784</v>
      </c>
      <c r="E106" s="80">
        <f ca="1">+INDEX('Charges_Including Slice and LS'!$X$4:$X$138,MATCH($A106,'Charges_Including Slice and LS'!$AA$4:$AA$138,0),1)/1000</f>
        <v>56.528280000000009</v>
      </c>
      <c r="F106" s="80">
        <f ca="1">+SUM(E$5:E106)</f>
        <v>50438.001466837959</v>
      </c>
      <c r="H106" s="244" t="str">
        <f ca="1">+INDEX(Charges_NonSlice!$C$4:$C$138,MATCH($A106,Charges_NonSlice!$AA$4:$AA$138,0),1)</f>
        <v>Southside Elec Lines</v>
      </c>
      <c r="I106" s="74">
        <f ca="1">+INDEX(Charges_NonSlice!$Z$4:$Z$138,MATCH($A106,Charges_NonSlice!$AA$4:$AA$138,0),1)</f>
        <v>-4.3817238867435375E-2</v>
      </c>
      <c r="J106" s="98">
        <f ca="1">+INDEX(Charges_NonSlice!$Y$4:$Y$138,MATCH($A106,Charges_NonSlice!$AA$4:$AA$138,0),1)</f>
        <v>29.127990517397784</v>
      </c>
      <c r="K106" s="246">
        <f ca="1">+INDEX(Charges_NonSlice!$X$4:$X$138,MATCH($A106,Charges_NonSlice!$AA$4:$AA$138,0),1)/1000</f>
        <v>56.528280000000009</v>
      </c>
      <c r="L106" s="80">
        <f ca="1">+SUM(K$5:K106)</f>
        <v>37241.677004134712</v>
      </c>
      <c r="N106" s="244" t="str">
        <f ca="1">+INDEX('Charges_NonSlice &amp; Excl LS'!$C$4:$C$138,MATCH($A106,'Charges_NonSlice &amp; Excl LS'!$AA$4:$AA$138,0),1)</f>
        <v>Surprise Valley Elec Coop</v>
      </c>
      <c r="O106" s="74">
        <f ca="1">+INDEX('Charges_NonSlice &amp; Excl LS'!$Z$4:$Z$138,MATCH($A106,'Charges_NonSlice &amp; Excl LS'!$AA$4:$AA$138,0),1)</f>
        <v>-3.99354318332504E-2</v>
      </c>
      <c r="P106" s="98">
        <f ca="1">+INDEX('Charges_NonSlice &amp; Excl LS'!$Y$4:$Y$138,MATCH($A106,'Charges_NonSlice &amp; Excl LS'!$AA$4:$AA$138,0),1)</f>
        <v>29.651818921047013</v>
      </c>
      <c r="Q106" s="246">
        <f ca="1">+INDEX('Charges_NonSlice &amp; Excl LS'!$X$4:$X$138,MATCH($A106,'Charges_NonSlice &amp; Excl LS'!$AA$4:$AA$138,0),1)/1000</f>
        <v>137.305642661712</v>
      </c>
      <c r="R106" s="80">
        <f ca="1">+SUM(Q$5:Q106)</f>
        <v>36976.51932833805</v>
      </c>
      <c r="T106" s="244" t="str">
        <f ca="1">+INDEX(Charges_NonSlice!$C$4:$C$138,MATCH($A106,Charges_NonSlice!$AA$4:$AA$138,0),1)</f>
        <v>Southside Elec Lines</v>
      </c>
      <c r="U106" s="74">
        <f t="shared" ca="1" si="4"/>
        <v>-3.9709936876656027E-2</v>
      </c>
      <c r="V106" s="98">
        <f ca="1">+INDEX(Charges_NonSlice!$Y$4:$Y$138,MATCH($A106,Charges_NonSlice!$AA$4:$AA$138,0),1)</f>
        <v>29.127990517397784</v>
      </c>
      <c r="W106" s="89">
        <f t="shared" ca="1" si="3"/>
        <v>30.332491854241393</v>
      </c>
      <c r="Y106" s="77" t="s">
        <v>41</v>
      </c>
      <c r="Z106" s="78">
        <v>37.40267526359208</v>
      </c>
    </row>
    <row r="107" spans="1:26">
      <c r="A107">
        <f t="shared" si="5"/>
        <v>103</v>
      </c>
      <c r="B107" s="82" t="str">
        <f ca="1">+INDEX('Charges_Including Slice and LS'!$C$4:$C$138,MATCH($A107,'Charges_Including Slice and LS'!$AA$4:$AA$138,0),1)</f>
        <v>Columbia Basin Elec Coop</v>
      </c>
      <c r="C107" s="74">
        <f ca="1">+INDEX('Charges_Including Slice and LS'!$Z$4:$Z$138,MATCH($A107,'Charges_Including Slice and LS'!$AA$4:$AA$138,0),1)</f>
        <v>-4.4975100591209044E-2</v>
      </c>
      <c r="D107" s="60">
        <f ca="1">+INDEX('Charges_Including Slice and LS'!$Y$4:$Y$138,MATCH($A107,'Charges_Including Slice and LS'!$AA$4:$AA$138,0),1)</f>
        <v>33.133168906847096</v>
      </c>
      <c r="E107" s="80">
        <f ca="1">+INDEX('Charges_Including Slice and LS'!$X$4:$X$138,MATCH($A107,'Charges_Including Slice and LS'!$AA$4:$AA$138,0),1)/1000</f>
        <v>101.26560000000001</v>
      </c>
      <c r="F107" s="80">
        <f ca="1">+SUM(E$5:E107)</f>
        <v>50539.267066837958</v>
      </c>
      <c r="H107" s="244" t="str">
        <f ca="1">+INDEX(Charges_NonSlice!$C$4:$C$138,MATCH($A107,Charges_NonSlice!$AA$4:$AA$138,0),1)</f>
        <v>Columbia Basin Elec Coop</v>
      </c>
      <c r="I107" s="74">
        <f ca="1">+INDEX(Charges_NonSlice!$Z$4:$Z$138,MATCH($A107,Charges_NonSlice!$AA$4:$AA$138,0),1)</f>
        <v>-4.4975100591207705E-2</v>
      </c>
      <c r="J107" s="98">
        <f ca="1">+INDEX(Charges_NonSlice!$Y$4:$Y$138,MATCH($A107,Charges_NonSlice!$AA$4:$AA$138,0),1)</f>
        <v>33.133168906847096</v>
      </c>
      <c r="K107" s="246">
        <f ca="1">+INDEX(Charges_NonSlice!$X$4:$X$138,MATCH($A107,Charges_NonSlice!$AA$4:$AA$138,0),1)/1000</f>
        <v>101.26560000000001</v>
      </c>
      <c r="L107" s="80">
        <f ca="1">+SUM(K$5:K107)</f>
        <v>37342.942604134711</v>
      </c>
      <c r="N107" s="244" t="str">
        <f ca="1">+INDEX('Charges_NonSlice &amp; Excl LS'!$C$4:$C$138,MATCH($A107,'Charges_NonSlice &amp; Excl LS'!$AA$4:$AA$138,0),1)</f>
        <v>Benton County PUD #1</v>
      </c>
      <c r="O107" s="74">
        <f ca="1">+INDEX('Charges_NonSlice &amp; Excl LS'!$Z$4:$Z$138,MATCH($A107,'Charges_NonSlice &amp; Excl LS'!$AA$4:$AA$138,0),1)</f>
        <v>-4.0335130385779863E-2</v>
      </c>
      <c r="P107" s="98">
        <f ca="1">+INDEX('Charges_NonSlice &amp; Excl LS'!$Y$4:$Y$138,MATCH($A107,'Charges_NonSlice &amp; Excl LS'!$AA$4:$AA$138,0),1)</f>
        <v>30.038134284707798</v>
      </c>
      <c r="Q107" s="246">
        <f ca="1">+INDEX('Charges_NonSlice &amp; Excl LS'!$X$4:$X$138,MATCH($A107,'Charges_NonSlice &amp; Excl LS'!$AA$4:$AA$138,0),1)/1000</f>
        <v>874.71271324331985</v>
      </c>
      <c r="R107" s="80">
        <f ca="1">+SUM(Q$5:Q107)</f>
        <v>37851.232041581374</v>
      </c>
      <c r="T107" s="244" t="str">
        <f ca="1">+INDEX(Charges_NonSlice!$C$4:$C$138,MATCH($A107,Charges_NonSlice!$AA$4:$AA$138,0),1)</f>
        <v>Columbia Basin Elec Coop</v>
      </c>
      <c r="U107" s="74">
        <f t="shared" ca="1" si="4"/>
        <v>-2.5981419014643459E-3</v>
      </c>
      <c r="V107" s="98">
        <f ca="1">+INDEX(Charges_NonSlice!$Y$4:$Y$138,MATCH($A107,Charges_NonSlice!$AA$4:$AA$138,0),1)</f>
        <v>33.133168906847096</v>
      </c>
      <c r="W107" s="89">
        <f t="shared" ca="1" si="3"/>
        <v>33.219477824126727</v>
      </c>
      <c r="Y107" s="77" t="s">
        <v>131</v>
      </c>
      <c r="Z107" s="78">
        <v>33.576392130235753</v>
      </c>
    </row>
    <row r="108" spans="1:26">
      <c r="A108">
        <f t="shared" si="5"/>
        <v>104</v>
      </c>
      <c r="B108" s="82" t="str">
        <f ca="1">+INDEX('Charges_Including Slice and LS'!$C$4:$C$138,MATCH($A108,'Charges_Including Slice and LS'!$AA$4:$AA$138,0),1)</f>
        <v>Wells Rural Elec Coop</v>
      </c>
      <c r="C108" s="74">
        <f ca="1">+INDEX('Charges_Including Slice and LS'!$Z$4:$Z$138,MATCH($A108,'Charges_Including Slice and LS'!$AA$4:$AA$138,0),1)</f>
        <v>-4.640436577315965E-2</v>
      </c>
      <c r="D108" s="60">
        <f ca="1">+INDEX('Charges_Including Slice and LS'!$Y$4:$Y$138,MATCH($A108,'Charges_Including Slice and LS'!$AA$4:$AA$138,0),1)</f>
        <v>32.345182787751398</v>
      </c>
      <c r="E108" s="80">
        <f ca="1">+INDEX('Charges_Including Slice and LS'!$X$4:$X$138,MATCH($A108,'Charges_Including Slice and LS'!$AA$4:$AA$138,0),1)/1000</f>
        <v>789.04311393762214</v>
      </c>
      <c r="F108" s="80">
        <f ca="1">+SUM(E$5:E108)</f>
        <v>51328.310180775581</v>
      </c>
      <c r="H108" s="244" t="str">
        <f ca="1">+INDEX(Charges_NonSlice!$C$4:$C$138,MATCH($A108,Charges_NonSlice!$AA$4:$AA$138,0),1)</f>
        <v>Wells Rural Elec Coop</v>
      </c>
      <c r="I108" s="74">
        <f ca="1">+INDEX(Charges_NonSlice!$Z$4:$Z$138,MATCH($A108,Charges_NonSlice!$AA$4:$AA$138,0),1)</f>
        <v>-4.6404365773159401E-2</v>
      </c>
      <c r="J108" s="98">
        <f ca="1">+INDEX(Charges_NonSlice!$Y$4:$Y$138,MATCH($A108,Charges_NonSlice!$AA$4:$AA$138,0),1)</f>
        <v>32.345182787751398</v>
      </c>
      <c r="K108" s="246">
        <f ca="1">+INDEX(Charges_NonSlice!$X$4:$X$138,MATCH($A108,Charges_NonSlice!$AA$4:$AA$138,0),1)/1000</f>
        <v>789.04311393762214</v>
      </c>
      <c r="L108" s="80">
        <f ca="1">+SUM(K$5:K108)</f>
        <v>38131.985718072334</v>
      </c>
      <c r="N108" s="244" t="str">
        <f ca="1">+INDEX('Charges_NonSlice &amp; Excl LS'!$C$4:$C$138,MATCH($A108,'Charges_NonSlice &amp; Excl LS'!$AA$4:$AA$138,0),1)</f>
        <v>Columbia REA</v>
      </c>
      <c r="O108" s="74">
        <f ca="1">+INDEX('Charges_NonSlice &amp; Excl LS'!$Z$4:$Z$138,MATCH($A108,'Charges_NonSlice &amp; Excl LS'!$AA$4:$AA$138,0),1)</f>
        <v>-4.0759633154963108E-2</v>
      </c>
      <c r="P108" s="98">
        <f ca="1">+INDEX('Charges_NonSlice &amp; Excl LS'!$Y$4:$Y$138,MATCH($A108,'Charges_NonSlice &amp; Excl LS'!$AA$4:$AA$138,0),1)</f>
        <v>27.144375286451261</v>
      </c>
      <c r="Q108" s="246">
        <f ca="1">+INDEX('Charges_NonSlice &amp; Excl LS'!$X$4:$X$138,MATCH($A108,'Charges_NonSlice &amp; Excl LS'!$AA$4:$AA$138,0),1)/1000</f>
        <v>314.96856958350003</v>
      </c>
      <c r="R108" s="80">
        <f ca="1">+SUM(Q$5:Q108)</f>
        <v>38166.200611164873</v>
      </c>
      <c r="T108" s="244" t="str">
        <f ca="1">+INDEX(Charges_NonSlice!$C$4:$C$138,MATCH($A108,Charges_NonSlice!$AA$4:$AA$138,0),1)</f>
        <v>Wells Rural Elec Coop</v>
      </c>
      <c r="U108" s="74">
        <f t="shared" ca="1" si="4"/>
        <v>-3.6668899317971793E-2</v>
      </c>
      <c r="V108" s="98">
        <f ca="1">+INDEX(Charges_NonSlice!$Y$4:$Y$138,MATCH($A108,Charges_NonSlice!$AA$4:$AA$138,0),1)</f>
        <v>32.345182787751398</v>
      </c>
      <c r="W108" s="89">
        <f t="shared" ca="1" si="3"/>
        <v>33.576392130235753</v>
      </c>
      <c r="Y108" s="77" t="s">
        <v>107</v>
      </c>
      <c r="Z108" s="78">
        <v>32.28588849247091</v>
      </c>
    </row>
    <row r="109" spans="1:26">
      <c r="A109">
        <f t="shared" si="5"/>
        <v>105</v>
      </c>
      <c r="B109" s="82" t="str">
        <f ca="1">+INDEX('Charges_Including Slice and LS'!$C$4:$C$138,MATCH($A109,'Charges_Including Slice and LS'!$AA$4:$AA$138,0),1)</f>
        <v>Vera Irrigation District</v>
      </c>
      <c r="C109" s="74">
        <f ca="1">+INDEX('Charges_Including Slice and LS'!$Z$4:$Z$138,MATCH($A109,'Charges_Including Slice and LS'!$AA$4:$AA$138,0),1)</f>
        <v>-4.7929801922795945E-2</v>
      </c>
      <c r="D109" s="60">
        <f ca="1">+INDEX('Charges_Including Slice and LS'!$Y$4:$Y$138,MATCH($A109,'Charges_Including Slice and LS'!$AA$4:$AA$138,0),1)</f>
        <v>37.377797123627957</v>
      </c>
      <c r="E109" s="80">
        <f ca="1">+INDEX('Charges_Including Slice and LS'!$X$4:$X$138,MATCH($A109,'Charges_Including Slice and LS'!$AA$4:$AA$138,0),1)/1000</f>
        <v>218.32248360818974</v>
      </c>
      <c r="F109" s="80">
        <f ca="1">+SUM(E$5:E109)</f>
        <v>51546.632664383767</v>
      </c>
      <c r="H109" s="244" t="str">
        <f ca="1">+INDEX(Charges_NonSlice!$C$4:$C$138,MATCH($A109,Charges_NonSlice!$AA$4:$AA$138,0),1)</f>
        <v>Vera Irrigation District</v>
      </c>
      <c r="I109" s="74">
        <f ca="1">+INDEX(Charges_NonSlice!$Z$4:$Z$138,MATCH($A109,Charges_NonSlice!$AA$4:$AA$138,0),1)</f>
        <v>-4.792980192279582E-2</v>
      </c>
      <c r="J109" s="98">
        <f ca="1">+INDEX(Charges_NonSlice!$Y$4:$Y$138,MATCH($A109,Charges_NonSlice!$AA$4:$AA$138,0),1)</f>
        <v>37.377797123627957</v>
      </c>
      <c r="K109" s="246">
        <f ca="1">+INDEX(Charges_NonSlice!$X$4:$X$138,MATCH($A109,Charges_NonSlice!$AA$4:$AA$138,0),1)/1000</f>
        <v>218.32248360818974</v>
      </c>
      <c r="L109" s="80">
        <f ca="1">+SUM(K$5:K109)</f>
        <v>38350.30820168052</v>
      </c>
      <c r="N109" s="244" t="str">
        <f ca="1">+INDEX('Charges_NonSlice &amp; Excl LS'!$C$4:$C$138,MATCH($A109,'Charges_NonSlice &amp; Excl LS'!$AA$4:$AA$138,0),1)</f>
        <v>Mason County PUD #1</v>
      </c>
      <c r="O109" s="74">
        <f ca="1">+INDEX('Charges_NonSlice &amp; Excl LS'!$Z$4:$Z$138,MATCH($A109,'Charges_NonSlice &amp; Excl LS'!$AA$4:$AA$138,0),1)</f>
        <v>-4.0795930557252974E-2</v>
      </c>
      <c r="P109" s="98">
        <f ca="1">+INDEX('Charges_NonSlice &amp; Excl LS'!$Y$4:$Y$138,MATCH($A109,'Charges_NonSlice &amp; Excl LS'!$AA$4:$AA$138,0),1)</f>
        <v>34.542889919118103</v>
      </c>
      <c r="Q109" s="246">
        <f ca="1">+INDEX('Charges_NonSlice &amp; Excl LS'!$X$4:$X$138,MATCH($A109,'Charges_NonSlice &amp; Excl LS'!$AA$4:$AA$138,0),1)/1000</f>
        <v>75.096768459384009</v>
      </c>
      <c r="R109" s="80">
        <f ca="1">+SUM(Q$5:Q109)</f>
        <v>38241.297379624259</v>
      </c>
      <c r="T109" s="244" t="str">
        <f ca="1">+INDEX(Charges_NonSlice!$C$4:$C$138,MATCH($A109,Charges_NonSlice!$AA$4:$AA$138,0),1)</f>
        <v>Vera Irrigation District</v>
      </c>
      <c r="U109" s="74">
        <f t="shared" ca="1" si="4"/>
        <v>-7.0005719646214493E-3</v>
      </c>
      <c r="V109" s="98">
        <f ca="1">+INDEX(Charges_NonSlice!$Y$4:$Y$138,MATCH($A109,Charges_NonSlice!$AA$4:$AA$138,0),1)</f>
        <v>37.377797123627957</v>
      </c>
      <c r="W109" s="89">
        <f t="shared" ca="1" si="3"/>
        <v>37.64130780777878</v>
      </c>
      <c r="Y109" s="77" t="s">
        <v>135</v>
      </c>
      <c r="Z109" s="78">
        <v>33.417620069994861</v>
      </c>
    </row>
    <row r="110" spans="1:26">
      <c r="A110">
        <f t="shared" si="5"/>
        <v>106</v>
      </c>
      <c r="B110" s="82" t="str">
        <f ca="1">+INDEX('Charges_Including Slice and LS'!$C$4:$C$138,MATCH($A110,'Charges_Including Slice and LS'!$AA$4:$AA$138,0),1)</f>
        <v>Modern Elec Coop</v>
      </c>
      <c r="C110" s="74">
        <f ca="1">+INDEX('Charges_Including Slice and LS'!$Z$4:$Z$138,MATCH($A110,'Charges_Including Slice and LS'!$AA$4:$AA$138,0),1)</f>
        <v>-4.8937251492748052E-2</v>
      </c>
      <c r="D110" s="60">
        <f ca="1">+INDEX('Charges_Including Slice and LS'!$Y$4:$Y$138,MATCH($A110,'Charges_Including Slice and LS'!$AA$4:$AA$138,0),1)</f>
        <v>37.205969721799825</v>
      </c>
      <c r="E110" s="80">
        <f ca="1">+INDEX('Charges_Including Slice and LS'!$X$4:$X$138,MATCH($A110,'Charges_Including Slice and LS'!$AA$4:$AA$138,0),1)/1000</f>
        <v>213.18386523538737</v>
      </c>
      <c r="F110" s="80">
        <f ca="1">+SUM(E$5:E110)</f>
        <v>51759.816529619158</v>
      </c>
      <c r="H110" s="244" t="str">
        <f ca="1">+INDEX(Charges_NonSlice!$C$4:$C$138,MATCH($A110,Charges_NonSlice!$AA$4:$AA$138,0),1)</f>
        <v>Modern Elec Coop</v>
      </c>
      <c r="I110" s="74">
        <f ca="1">+INDEX(Charges_NonSlice!$Z$4:$Z$138,MATCH($A110,Charges_NonSlice!$AA$4:$AA$138,0),1)</f>
        <v>-4.8937251492749585E-2</v>
      </c>
      <c r="J110" s="98">
        <f ca="1">+INDEX(Charges_NonSlice!$Y$4:$Y$138,MATCH($A110,Charges_NonSlice!$AA$4:$AA$138,0),1)</f>
        <v>37.205969721799825</v>
      </c>
      <c r="K110" s="246">
        <f ca="1">+INDEX(Charges_NonSlice!$X$4:$X$138,MATCH($A110,Charges_NonSlice!$AA$4:$AA$138,0),1)/1000</f>
        <v>213.18386523538737</v>
      </c>
      <c r="L110" s="80">
        <f ca="1">+SUM(K$5:K110)</f>
        <v>38563.492066915911</v>
      </c>
      <c r="N110" s="244" t="str">
        <f ca="1">+INDEX('Charges_NonSlice &amp; Excl LS'!$C$4:$C$138,MATCH($A110,'Charges_NonSlice &amp; Excl LS'!$AA$4:$AA$138,0),1)</f>
        <v>Southside Elec Lines</v>
      </c>
      <c r="O110" s="74">
        <f ca="1">+INDEX('Charges_NonSlice &amp; Excl LS'!$Z$4:$Z$138,MATCH($A110,'Charges_NonSlice &amp; Excl LS'!$AA$4:$AA$138,0),1)</f>
        <v>-4.1068165219230846E-2</v>
      </c>
      <c r="P110" s="98">
        <f ca="1">+INDEX('Charges_NonSlice &amp; Excl LS'!$Y$4:$Y$138,MATCH($A110,'Charges_NonSlice &amp; Excl LS'!$AA$4:$AA$138,0),1)</f>
        <v>30.439853988254601</v>
      </c>
      <c r="Q110" s="246">
        <f ca="1">+INDEX('Charges_NonSlice &amp; Excl LS'!$X$4:$X$138,MATCH($A110,'Charges_NonSlice &amp; Excl LS'!$AA$4:$AA$138,0),1)/1000</f>
        <v>56.526162586236012</v>
      </c>
      <c r="R110" s="80">
        <f ca="1">+SUM(Q$5:Q110)</f>
        <v>38297.823542210492</v>
      </c>
      <c r="T110" s="244" t="str">
        <f ca="1">+INDEX(Charges_NonSlice!$C$4:$C$138,MATCH($A110,Charges_NonSlice!$AA$4:$AA$138,0),1)</f>
        <v>Modern Elec Coop</v>
      </c>
      <c r="U110" s="74">
        <f t="shared" ca="1" si="4"/>
        <v>-1.2385977718814334E-2</v>
      </c>
      <c r="V110" s="98">
        <f ca="1">+INDEX(Charges_NonSlice!$Y$4:$Y$138,MATCH($A110,Charges_NonSlice!$AA$4:$AA$138,0),1)</f>
        <v>37.205969721799825</v>
      </c>
      <c r="W110" s="89">
        <f t="shared" ca="1" si="3"/>
        <v>37.672581476578948</v>
      </c>
      <c r="Y110" s="77" t="s">
        <v>65</v>
      </c>
      <c r="Z110" s="78">
        <v>37.941266704961123</v>
      </c>
    </row>
    <row r="111" spans="1:26">
      <c r="A111">
        <f t="shared" si="5"/>
        <v>107</v>
      </c>
      <c r="B111" s="82" t="str">
        <f ca="1">+INDEX('Charges_Including Slice and LS'!$C$4:$C$138,MATCH($A111,'Charges_Including Slice and LS'!$AA$4:$AA$138,0),1)</f>
        <v>Richland, City of</v>
      </c>
      <c r="C111" s="74">
        <f ca="1">+INDEX('Charges_Including Slice and LS'!$Z$4:$Z$138,MATCH($A111,'Charges_Including Slice and LS'!$AA$4:$AA$138,0),1)</f>
        <v>-5.3354896737674462E-2</v>
      </c>
      <c r="D111" s="60">
        <f ca="1">+INDEX('Charges_Including Slice and LS'!$Y$4:$Y$138,MATCH($A111,'Charges_Including Slice and LS'!$AA$4:$AA$138,0),1)</f>
        <v>36.335379825654272</v>
      </c>
      <c r="E111" s="80">
        <f ca="1">+INDEX('Charges_Including Slice and LS'!$X$4:$X$138,MATCH($A111,'Charges_Including Slice and LS'!$AA$4:$AA$138,0),1)/1000</f>
        <v>859.36617839396774</v>
      </c>
      <c r="F111" s="80">
        <f ca="1">+SUM(E$5:E111)</f>
        <v>52619.182708013126</v>
      </c>
      <c r="H111" s="244" t="str">
        <f ca="1">+INDEX(Charges_NonSlice!$C$4:$C$138,MATCH($A111,Charges_NonSlice!$AA$4:$AA$138,0),1)</f>
        <v>Richland, City of</v>
      </c>
      <c r="I111" s="74">
        <f ca="1">+INDEX(Charges_NonSlice!$Z$4:$Z$138,MATCH($A111,Charges_NonSlice!$AA$4:$AA$138,0),1)</f>
        <v>-5.3354896737665081E-2</v>
      </c>
      <c r="J111" s="98">
        <f ca="1">+INDEX(Charges_NonSlice!$Y$4:$Y$138,MATCH($A111,Charges_NonSlice!$AA$4:$AA$138,0),1)</f>
        <v>36.335379825654272</v>
      </c>
      <c r="K111" s="246">
        <f ca="1">+INDEX(Charges_NonSlice!$X$4:$X$138,MATCH($A111,Charges_NonSlice!$AA$4:$AA$138,0),1)/1000</f>
        <v>859.36617839396774</v>
      </c>
      <c r="L111" s="80">
        <f ca="1">+SUM(K$5:K111)</f>
        <v>39422.858245309879</v>
      </c>
      <c r="N111" s="244" t="str">
        <f ca="1">+INDEX('Charges_NonSlice &amp; Excl LS'!$C$4:$C$138,MATCH($A111,'Charges_NonSlice &amp; Excl LS'!$AA$4:$AA$138,0),1)</f>
        <v>Missoula Elec Coop</v>
      </c>
      <c r="O111" s="74">
        <f ca="1">+INDEX('Charges_NonSlice &amp; Excl LS'!$Z$4:$Z$138,MATCH($A111,'Charges_NonSlice &amp; Excl LS'!$AA$4:$AA$138,0),1)</f>
        <v>-4.1571840222658238E-2</v>
      </c>
      <c r="P111" s="98">
        <f ca="1">+INDEX('Charges_NonSlice &amp; Excl LS'!$Y$4:$Y$138,MATCH($A111,'Charges_NonSlice &amp; Excl LS'!$AA$4:$AA$138,0),1)</f>
        <v>33.375393978177932</v>
      </c>
      <c r="Q111" s="246">
        <f ca="1">+INDEX('Charges_NonSlice &amp; Excl LS'!$X$4:$X$138,MATCH($A111,'Charges_NonSlice &amp; Excl LS'!$AA$4:$AA$138,0),1)/1000</f>
        <v>225.49094109460799</v>
      </c>
      <c r="R111" s="80">
        <f ca="1">+SUM(Q$5:Q111)</f>
        <v>38523.314483305097</v>
      </c>
      <c r="T111" s="244" t="str">
        <f ca="1">+INDEX(Charges_NonSlice!$C$4:$C$138,MATCH($A111,Charges_NonSlice!$AA$4:$AA$138,0),1)</f>
        <v>Richland, City of</v>
      </c>
      <c r="U111" s="74">
        <f t="shared" ca="1" si="4"/>
        <v>-2.0898444554297235E-2</v>
      </c>
      <c r="V111" s="98">
        <f ca="1">+INDEX(Charges_NonSlice!$Y$4:$Y$138,MATCH($A111,Charges_NonSlice!$AA$4:$AA$138,0),1)</f>
        <v>36.335379825654272</v>
      </c>
      <c r="W111" s="89">
        <f t="shared" ca="1" si="3"/>
        <v>37.110940763559327</v>
      </c>
      <c r="Y111" s="77" t="s">
        <v>57</v>
      </c>
      <c r="Z111" s="78">
        <v>32.982937242029415</v>
      </c>
    </row>
    <row r="112" spans="1:26">
      <c r="A112">
        <f t="shared" si="5"/>
        <v>108</v>
      </c>
      <c r="B112" s="82" t="str">
        <f ca="1">+INDEX('Charges_Including Slice and LS'!$C$4:$C$138,MATCH($A112,'Charges_Including Slice and LS'!$AA$4:$AA$138,0),1)</f>
        <v>Forest Grove, City of</v>
      </c>
      <c r="C112" s="74">
        <f ca="1">+INDEX('Charges_Including Slice and LS'!$Z$4:$Z$138,MATCH($A112,'Charges_Including Slice and LS'!$AA$4:$AA$138,0),1)</f>
        <v>-5.4832041712298107E-2</v>
      </c>
      <c r="D112" s="60">
        <f ca="1">+INDEX('Charges_Including Slice and LS'!$Y$4:$Y$138,MATCH($A112,'Charges_Including Slice and LS'!$AA$4:$AA$138,0),1)</f>
        <v>36.733523258266352</v>
      </c>
      <c r="E112" s="80">
        <f ca="1">+INDEX('Charges_Including Slice and LS'!$X$4:$X$138,MATCH($A112,'Charges_Including Slice and LS'!$AA$4:$AA$138,0),1)/1000</f>
        <v>222.95952000000003</v>
      </c>
      <c r="F112" s="80">
        <f ca="1">+SUM(E$5:E112)</f>
        <v>52842.142228013123</v>
      </c>
      <c r="H112" s="244" t="str">
        <f ca="1">+INDEX(Charges_NonSlice!$C$4:$C$138,MATCH($A112,Charges_NonSlice!$AA$4:$AA$138,0),1)</f>
        <v>Forest Grove, City of</v>
      </c>
      <c r="I112" s="74">
        <f ca="1">+INDEX(Charges_NonSlice!$Z$4:$Z$138,MATCH($A112,Charges_NonSlice!$AA$4:$AA$138,0),1)</f>
        <v>-5.4832041712298676E-2</v>
      </c>
      <c r="J112" s="98">
        <f ca="1">+INDEX(Charges_NonSlice!$Y$4:$Y$138,MATCH($A112,Charges_NonSlice!$AA$4:$AA$138,0),1)</f>
        <v>36.733523258266352</v>
      </c>
      <c r="K112" s="246">
        <f ca="1">+INDEX(Charges_NonSlice!$X$4:$X$138,MATCH($A112,Charges_NonSlice!$AA$4:$AA$138,0),1)/1000</f>
        <v>222.95952000000003</v>
      </c>
      <c r="L112" s="80">
        <f ca="1">+SUM(K$5:K112)</f>
        <v>39645.817765309876</v>
      </c>
      <c r="N112" s="244" t="str">
        <f ca="1">+INDEX('Charges_NonSlice &amp; Excl LS'!$C$4:$C$138,MATCH($A112,'Charges_NonSlice &amp; Excl LS'!$AA$4:$AA$138,0),1)</f>
        <v>Inland P &amp; L</v>
      </c>
      <c r="O112" s="74">
        <f ca="1">+INDEX('Charges_NonSlice &amp; Excl LS'!$Z$4:$Z$138,MATCH($A112,'Charges_NonSlice &amp; Excl LS'!$AA$4:$AA$138,0),1)</f>
        <v>-4.2371064714621896E-2</v>
      </c>
      <c r="P112" s="98">
        <f ca="1">+INDEX('Charges_NonSlice &amp; Excl LS'!$Y$4:$Y$138,MATCH($A112,'Charges_NonSlice &amp; Excl LS'!$AA$4:$AA$138,0),1)</f>
        <v>34.575122665284098</v>
      </c>
      <c r="Q112" s="246">
        <f ca="1">+INDEX('Charges_NonSlice &amp; Excl LS'!$X$4:$X$138,MATCH($A112,'Charges_NonSlice &amp; Excl LS'!$AA$4:$AA$138,0),1)/1000</f>
        <v>876.4830283885201</v>
      </c>
      <c r="R112" s="80">
        <f ca="1">+SUM(Q$5:Q112)</f>
        <v>39399.797511693614</v>
      </c>
      <c r="T112" s="244" t="str">
        <f ca="1">+INDEX(Charges_NonSlice!$C$4:$C$138,MATCH($A112,Charges_NonSlice!$AA$4:$AA$138,0),1)</f>
        <v>Forest Grove, City of</v>
      </c>
      <c r="U112" s="74">
        <f t="shared" ca="1" si="4"/>
        <v>-4.5938496938788154E-2</v>
      </c>
      <c r="V112" s="98">
        <f ca="1">+INDEX(Charges_NonSlice!$Y$4:$Y$138,MATCH($A112,Charges_NonSlice!$AA$4:$AA$138,0),1)</f>
        <v>36.733523258266352</v>
      </c>
      <c r="W112" s="89">
        <f t="shared" ca="1" si="3"/>
        <v>38.502259173441942</v>
      </c>
      <c r="Y112" s="77" t="s">
        <v>85</v>
      </c>
      <c r="Z112" s="78">
        <v>35.913895351853661</v>
      </c>
    </row>
    <row r="113" spans="1:26">
      <c r="A113">
        <f t="shared" si="5"/>
        <v>109</v>
      </c>
      <c r="B113" s="82" t="str">
        <f ca="1">+INDEX('Charges_Including Slice and LS'!$C$4:$C$138,MATCH($A113,'Charges_Including Slice and LS'!$AA$4:$AA$138,0),1)</f>
        <v>Big Bend Elec Coop</v>
      </c>
      <c r="C113" s="74">
        <f ca="1">+INDEX('Charges_Including Slice and LS'!$Z$4:$Z$138,MATCH($A113,'Charges_Including Slice and LS'!$AA$4:$AA$138,0),1)</f>
        <v>-5.6836257936506158E-2</v>
      </c>
      <c r="D113" s="60">
        <f ca="1">+INDEX('Charges_Including Slice and LS'!$Y$4:$Y$138,MATCH($A113,'Charges_Including Slice and LS'!$AA$4:$AA$138,0),1)</f>
        <v>27.528169773728216</v>
      </c>
      <c r="E113" s="80">
        <f ca="1">+INDEX('Charges_Including Slice and LS'!$X$4:$X$138,MATCH($A113,'Charges_Including Slice and LS'!$AA$4:$AA$138,0),1)/1000</f>
        <v>511.34747999999996</v>
      </c>
      <c r="F113" s="80">
        <f ca="1">+SUM(E$5:E113)</f>
        <v>53353.48970801312</v>
      </c>
      <c r="H113" s="244" t="str">
        <f ca="1">+INDEX(Charges_NonSlice!$C$4:$C$138,MATCH($A113,Charges_NonSlice!$AA$4:$AA$138,0),1)</f>
        <v>Big Bend Elec Coop</v>
      </c>
      <c r="I113" s="74">
        <f ca="1">+INDEX(Charges_NonSlice!$Z$4:$Z$138,MATCH($A113,Charges_NonSlice!$AA$4:$AA$138,0),1)</f>
        <v>-5.683625793651121E-2</v>
      </c>
      <c r="J113" s="98">
        <f ca="1">+INDEX(Charges_NonSlice!$Y$4:$Y$138,MATCH($A113,Charges_NonSlice!$AA$4:$AA$138,0),1)</f>
        <v>27.528169773728216</v>
      </c>
      <c r="K113" s="246">
        <f ca="1">+INDEX(Charges_NonSlice!$X$4:$X$138,MATCH($A113,Charges_NonSlice!$AA$4:$AA$138,0),1)/1000</f>
        <v>511.34747999999996</v>
      </c>
      <c r="L113" s="80">
        <f ca="1">+SUM(K$5:K113)</f>
        <v>40157.165245309872</v>
      </c>
      <c r="N113" s="244" t="str">
        <f ca="1">+INDEX('Charges_NonSlice &amp; Excl LS'!$C$4:$C$138,MATCH($A113,'Charges_NonSlice &amp; Excl LS'!$AA$4:$AA$138,0),1)</f>
        <v>Lost River Elec Coop</v>
      </c>
      <c r="O113" s="74">
        <f ca="1">+INDEX('Charges_NonSlice &amp; Excl LS'!$Z$4:$Z$138,MATCH($A113,'Charges_NonSlice &amp; Excl LS'!$AA$4:$AA$138,0),1)</f>
        <v>-4.2782156022750976E-2</v>
      </c>
      <c r="P113" s="98">
        <f ca="1">+INDEX('Charges_NonSlice &amp; Excl LS'!$Y$4:$Y$138,MATCH($A113,'Charges_NonSlice &amp; Excl LS'!$AA$4:$AA$138,0),1)</f>
        <v>28.202154720350215</v>
      </c>
      <c r="Q113" s="246">
        <f ca="1">+INDEX('Charges_NonSlice &amp; Excl LS'!$X$4:$X$138,MATCH($A113,'Charges_NonSlice &amp; Excl LS'!$AA$4:$AA$138,0),1)/1000</f>
        <v>79.599269978676006</v>
      </c>
      <c r="R113" s="80">
        <f ca="1">+SUM(Q$5:Q113)</f>
        <v>39479.396781672287</v>
      </c>
      <c r="T113" s="244" t="str">
        <f ca="1">+INDEX(Charges_NonSlice!$C$4:$C$138,MATCH($A113,Charges_NonSlice!$AA$4:$AA$138,0),1)</f>
        <v>Big Bend Elec Coop</v>
      </c>
      <c r="U113" s="74">
        <f t="shared" ca="1" si="4"/>
        <v>-5.5591269045058955E-2</v>
      </c>
      <c r="V113" s="98">
        <f ca="1">+INDEX(Charges_NonSlice!$Y$4:$Y$138,MATCH($A113,Charges_NonSlice!$AA$4:$AA$138,0),1)</f>
        <v>27.528169773728216</v>
      </c>
      <c r="W113" s="89">
        <f t="shared" ca="1" si="3"/>
        <v>29.148576110571366</v>
      </c>
      <c r="Y113" s="77" t="s">
        <v>25</v>
      </c>
      <c r="Z113" s="78">
        <v>37.01839402659909</v>
      </c>
    </row>
    <row r="114" spans="1:26">
      <c r="A114">
        <f t="shared" si="5"/>
        <v>110</v>
      </c>
      <c r="B114" s="82" t="str">
        <f ca="1">+INDEX('Charges_Including Slice and LS'!$C$4:$C$138,MATCH($A114,'Charges_Including Slice and LS'!$AA$4:$AA$138,0),1)</f>
        <v>Harney Elec Coop</v>
      </c>
      <c r="C114" s="74">
        <f ca="1">+INDEX('Charges_Including Slice and LS'!$Z$4:$Z$138,MATCH($A114,'Charges_Including Slice and LS'!$AA$4:$AA$138,0),1)</f>
        <v>-5.7162272403878833E-2</v>
      </c>
      <c r="D114" s="60">
        <f ca="1">+INDEX('Charges_Including Slice and LS'!$Y$4:$Y$138,MATCH($A114,'Charges_Including Slice and LS'!$AA$4:$AA$138,0),1)</f>
        <v>25.480841995529641</v>
      </c>
      <c r="E114" s="80">
        <f ca="1">+INDEX('Charges_Including Slice and LS'!$X$4:$X$138,MATCH($A114,'Charges_Including Slice and LS'!$AA$4:$AA$138,0),1)/1000</f>
        <v>189.31333772576431</v>
      </c>
      <c r="F114" s="80">
        <f ca="1">+SUM(E$5:E114)</f>
        <v>53542.803045738881</v>
      </c>
      <c r="H114" s="244" t="str">
        <f ca="1">+INDEX(Charges_NonSlice!$C$4:$C$138,MATCH($A114,Charges_NonSlice!$AA$4:$AA$138,0),1)</f>
        <v>Harney Elec Coop</v>
      </c>
      <c r="I114" s="74">
        <f ca="1">+INDEX(Charges_NonSlice!$Z$4:$Z$138,MATCH($A114,Charges_NonSlice!$AA$4:$AA$138,0),1)</f>
        <v>-5.7162272403878889E-2</v>
      </c>
      <c r="J114" s="98">
        <f ca="1">+INDEX(Charges_NonSlice!$Y$4:$Y$138,MATCH($A114,Charges_NonSlice!$AA$4:$AA$138,0),1)</f>
        <v>25.480841995529641</v>
      </c>
      <c r="K114" s="246">
        <f ca="1">+INDEX(Charges_NonSlice!$X$4:$X$138,MATCH($A114,Charges_NonSlice!$AA$4:$AA$138,0),1)/1000</f>
        <v>189.31333772576431</v>
      </c>
      <c r="L114" s="80">
        <f ca="1">+SUM(K$5:K114)</f>
        <v>40346.478583035634</v>
      </c>
      <c r="N114" s="244" t="str">
        <f ca="1">+INDEX('Charges_NonSlice &amp; Excl LS'!$C$4:$C$138,MATCH($A114,'Charges_NonSlice &amp; Excl LS'!$AA$4:$AA$138,0),1)</f>
        <v>Vigilante Elec Coop</v>
      </c>
      <c r="O114" s="74">
        <f ca="1">+INDEX('Charges_NonSlice &amp; Excl LS'!$Z$4:$Z$138,MATCH($A114,'Charges_NonSlice &amp; Excl LS'!$AA$4:$AA$138,0),1)</f>
        <v>-4.3414682582869478E-2</v>
      </c>
      <c r="P114" s="98">
        <f ca="1">+INDEX('Charges_NonSlice &amp; Excl LS'!$Y$4:$Y$138,MATCH($A114,'Charges_NonSlice &amp; Excl LS'!$AA$4:$AA$138,0),1)</f>
        <v>30.395532236212809</v>
      </c>
      <c r="Q114" s="246">
        <f ca="1">+INDEX('Charges_NonSlice &amp; Excl LS'!$X$4:$X$138,MATCH($A114,'Charges_NonSlice &amp; Excl LS'!$AA$4:$AA$138,0),1)/1000</f>
        <v>160.03648912608</v>
      </c>
      <c r="R114" s="80">
        <f ca="1">+SUM(Q$5:Q114)</f>
        <v>39639.43327079837</v>
      </c>
      <c r="T114" s="244" t="str">
        <f ca="1">+INDEX(Charges_NonSlice!$C$4:$C$138,MATCH($A114,Charges_NonSlice!$AA$4:$AA$138,0),1)</f>
        <v>Harney Elec Coop</v>
      </c>
      <c r="U114" s="74">
        <f t="shared" ca="1" si="4"/>
        <v>-3.4299880663961613E-2</v>
      </c>
      <c r="V114" s="98">
        <f ca="1">+INDEX(Charges_NonSlice!$Y$4:$Y$138,MATCH($A114,Charges_NonSlice!$AA$4:$AA$138,0),1)</f>
        <v>25.480841995529641</v>
      </c>
      <c r="W114" s="89">
        <f t="shared" ca="1" si="3"/>
        <v>26.385874336485376</v>
      </c>
      <c r="Y114" s="77" t="s">
        <v>138</v>
      </c>
      <c r="Z114" s="78">
        <v>36.739107226314012</v>
      </c>
    </row>
    <row r="115" spans="1:26">
      <c r="A115">
        <f t="shared" si="5"/>
        <v>111</v>
      </c>
      <c r="B115" s="82" t="str">
        <f ca="1">+INDEX('Charges_Including Slice and LS'!$C$4:$C$138,MATCH($A115,'Charges_Including Slice and LS'!$AA$4:$AA$138,0),1)</f>
        <v>Surprise Valley Elec Coop</v>
      </c>
      <c r="C115" s="74">
        <f ca="1">+INDEX('Charges_Including Slice and LS'!$Z$4:$Z$138,MATCH($A115,'Charges_Including Slice and LS'!$AA$4:$AA$138,0),1)</f>
        <v>-5.9924901761793992E-2</v>
      </c>
      <c r="D115" s="60">
        <f ca="1">+INDEX('Charges_Including Slice and LS'!$Y$4:$Y$138,MATCH($A115,'Charges_Including Slice and LS'!$AA$4:$AA$138,0),1)</f>
        <v>29.075812988176111</v>
      </c>
      <c r="E115" s="80">
        <f ca="1">+INDEX('Charges_Including Slice and LS'!$X$4:$X$138,MATCH($A115,'Charges_Including Slice and LS'!$AA$4:$AA$138,0),1)/1000</f>
        <v>137.30423999999999</v>
      </c>
      <c r="F115" s="80">
        <f ca="1">+SUM(E$5:E115)</f>
        <v>53680.107285738879</v>
      </c>
      <c r="H115" s="244" t="str">
        <f ca="1">+INDEX(Charges_NonSlice!$C$4:$C$138,MATCH($A115,Charges_NonSlice!$AA$4:$AA$138,0),1)</f>
        <v>Surprise Valley Elec Coop</v>
      </c>
      <c r="I115" s="74">
        <f ca="1">+INDEX(Charges_NonSlice!$Z$4:$Z$138,MATCH($A115,Charges_NonSlice!$AA$4:$AA$138,0),1)</f>
        <v>-5.9924901761788808E-2</v>
      </c>
      <c r="J115" s="98">
        <f ca="1">+INDEX(Charges_NonSlice!$Y$4:$Y$138,MATCH($A115,Charges_NonSlice!$AA$4:$AA$138,0),1)</f>
        <v>29.075812988176111</v>
      </c>
      <c r="K115" s="246">
        <f ca="1">+INDEX(Charges_NonSlice!$X$4:$X$138,MATCH($A115,Charges_NonSlice!$AA$4:$AA$138,0),1)/1000</f>
        <v>137.30423999999999</v>
      </c>
      <c r="L115" s="80">
        <f ca="1">+SUM(K$5:K115)</f>
        <v>40483.782823035632</v>
      </c>
      <c r="N115" s="244" t="str">
        <f ca="1">+INDEX('Charges_NonSlice &amp; Excl LS'!$C$4:$C$138,MATCH($A115,'Charges_NonSlice &amp; Excl LS'!$AA$4:$AA$138,0),1)</f>
        <v>Kootenai Electric Coop</v>
      </c>
      <c r="O115" s="74">
        <f ca="1">+INDEX('Charges_NonSlice &amp; Excl LS'!$Z$4:$Z$138,MATCH($A115,'Charges_NonSlice &amp; Excl LS'!$AA$4:$AA$138,0),1)</f>
        <v>-4.4295326418271559E-2</v>
      </c>
      <c r="P115" s="98">
        <f ca="1">+INDEX('Charges_NonSlice &amp; Excl LS'!$Y$4:$Y$138,MATCH($A115,'Charges_NonSlice &amp; Excl LS'!$AA$4:$AA$138,0),1)</f>
        <v>34.46406806710521</v>
      </c>
      <c r="Q115" s="246">
        <f ca="1">+INDEX('Charges_NonSlice &amp; Excl LS'!$X$4:$X$138,MATCH($A115,'Charges_NonSlice &amp; Excl LS'!$AA$4:$AA$138,0),1)/1000</f>
        <v>426.156162803028</v>
      </c>
      <c r="R115" s="80">
        <f ca="1">+SUM(Q$5:Q115)</f>
        <v>40065.589433601395</v>
      </c>
      <c r="T115" s="244" t="str">
        <f ca="1">+INDEX(Charges_NonSlice!$C$4:$C$138,MATCH($A115,Charges_NonSlice!$AA$4:$AA$138,0),1)</f>
        <v>Surprise Valley Elec Coop</v>
      </c>
      <c r="U115" s="74">
        <f t="shared" ca="1" si="4"/>
        <v>-3.8806645510199078E-2</v>
      </c>
      <c r="V115" s="98">
        <f ca="1">+INDEX(Charges_NonSlice!$Y$4:$Y$138,MATCH($A115,Charges_NonSlice!$AA$4:$AA$138,0),1)</f>
        <v>29.075812988176111</v>
      </c>
      <c r="W115" s="89">
        <f t="shared" ca="1" si="3"/>
        <v>30.249702468666651</v>
      </c>
      <c r="Y115" s="77" t="s">
        <v>8</v>
      </c>
      <c r="Z115" s="78">
        <v>41.016789550197274</v>
      </c>
    </row>
    <row r="116" spans="1:26">
      <c r="A116">
        <f t="shared" si="5"/>
        <v>112</v>
      </c>
      <c r="B116" s="82" t="str">
        <f ca="1">+INDEX('Charges_Including Slice and LS'!$C$4:$C$138,MATCH($A116,'Charges_Including Slice and LS'!$AA$4:$AA$138,0),1)</f>
        <v>Cascade Locks, City of</v>
      </c>
      <c r="C116" s="74">
        <f ca="1">+INDEX('Charges_Including Slice and LS'!$Z$4:$Z$138,MATCH($A116,'Charges_Including Slice and LS'!$AA$4:$AA$138,0),1)</f>
        <v>-6.0210433543859354E-2</v>
      </c>
      <c r="D116" s="60">
        <f ca="1">+INDEX('Charges_Including Slice and LS'!$Y$4:$Y$138,MATCH($A116,'Charges_Including Slice and LS'!$AA$4:$AA$138,0),1)</f>
        <v>31.63645468559568</v>
      </c>
      <c r="E116" s="80">
        <f ca="1">+INDEX('Charges_Including Slice and LS'!$X$4:$X$138,MATCH($A116,'Charges_Including Slice and LS'!$AA$4:$AA$138,0),1)/1000</f>
        <v>19.867679999999996</v>
      </c>
      <c r="F116" s="80">
        <f ca="1">+SUM(E$5:E116)</f>
        <v>53699.974965738882</v>
      </c>
      <c r="H116" s="244" t="str">
        <f ca="1">+INDEX(Charges_NonSlice!$C$4:$C$138,MATCH($A116,Charges_NonSlice!$AA$4:$AA$138,0),1)</f>
        <v>Cascade Locks, City of</v>
      </c>
      <c r="I116" s="74">
        <f ca="1">+INDEX(Charges_NonSlice!$Z$4:$Z$138,MATCH($A116,Charges_NonSlice!$AA$4:$AA$138,0),1)</f>
        <v>-6.021043354385798E-2</v>
      </c>
      <c r="J116" s="98">
        <f ca="1">+INDEX(Charges_NonSlice!$Y$4:$Y$138,MATCH($A116,Charges_NonSlice!$AA$4:$AA$138,0),1)</f>
        <v>31.63645468559568</v>
      </c>
      <c r="K116" s="246">
        <f ca="1">+INDEX(Charges_NonSlice!$X$4:$X$138,MATCH($A116,Charges_NonSlice!$AA$4:$AA$138,0),1)/1000</f>
        <v>19.867679999999996</v>
      </c>
      <c r="L116" s="80">
        <f ca="1">+SUM(K$5:K116)</f>
        <v>40503.650503035635</v>
      </c>
      <c r="N116" s="244" t="str">
        <f ca="1">+INDEX('Charges_NonSlice &amp; Excl LS'!$C$4:$C$138,MATCH($A116,'Charges_NonSlice &amp; Excl LS'!$AA$4:$AA$138,0),1)</f>
        <v>Lower Valley Energy</v>
      </c>
      <c r="O116" s="74">
        <f ca="1">+INDEX('Charges_NonSlice &amp; Excl LS'!$Z$4:$Z$138,MATCH($A116,'Charges_NonSlice &amp; Excl LS'!$AA$4:$AA$138,0),1)</f>
        <v>-4.4431903699552348E-2</v>
      </c>
      <c r="P116" s="98">
        <f ca="1">+INDEX('Charges_NonSlice &amp; Excl LS'!$Y$4:$Y$138,MATCH($A116,'Charges_NonSlice &amp; Excl LS'!$AA$4:$AA$138,0),1)</f>
        <v>34.137171119438527</v>
      </c>
      <c r="Q116" s="246">
        <f ca="1">+INDEX('Charges_NonSlice &amp; Excl LS'!$X$4:$X$138,MATCH($A116,'Charges_NonSlice &amp; Excl LS'!$AA$4:$AA$138,0),1)/1000</f>
        <v>718.94268361717195</v>
      </c>
      <c r="R116" s="80">
        <f ca="1">+SUM(Q$5:Q116)</f>
        <v>40784.532117218565</v>
      </c>
      <c r="T116" s="244" t="str">
        <f ca="1">+INDEX(Charges_NonSlice!$C$4:$C$138,MATCH($A116,Charges_NonSlice!$AA$4:$AA$138,0),1)</f>
        <v>Cascade Locks, City of</v>
      </c>
      <c r="U116" s="74">
        <f t="shared" ca="1" si="4"/>
        <v>-0.12769924613729</v>
      </c>
      <c r="V116" s="98">
        <f ca="1">+INDEX(Charges_NonSlice!$Y$4:$Y$138,MATCH($A116,Charges_NonSlice!$AA$4:$AA$138,0),1)</f>
        <v>31.63645468559568</v>
      </c>
      <c r="W116" s="89">
        <f t="shared" ca="1" si="3"/>
        <v>36.267829123732355</v>
      </c>
      <c r="Y116" s="77" t="s">
        <v>48</v>
      </c>
      <c r="Z116" s="78">
        <v>33.219477824126727</v>
      </c>
    </row>
    <row r="117" spans="1:26">
      <c r="A117">
        <f t="shared" si="5"/>
        <v>113</v>
      </c>
      <c r="B117" s="82" t="str">
        <f ca="1">+INDEX('Charges_Including Slice and LS'!$C$4:$C$138,MATCH($A117,'Charges_Including Slice and LS'!$AA$4:$AA$138,0),1)</f>
        <v>Columbia REA</v>
      </c>
      <c r="C117" s="74">
        <f ca="1">+INDEX('Charges_Including Slice and LS'!$Z$4:$Z$138,MATCH($A117,'Charges_Including Slice and LS'!$AA$4:$AA$138,0),1)</f>
        <v>-6.1425163842349091E-2</v>
      </c>
      <c r="D117" s="60">
        <f ca="1">+INDEX('Charges_Including Slice and LS'!$Y$4:$Y$138,MATCH($A117,'Charges_Including Slice and LS'!$AA$4:$AA$138,0),1)</f>
        <v>25.933763566995239</v>
      </c>
      <c r="E117" s="80">
        <f ca="1">+INDEX('Charges_Including Slice and LS'!$X$4:$X$138,MATCH($A117,'Charges_Including Slice and LS'!$AA$4:$AA$138,0),1)/1000</f>
        <v>312.67967911200435</v>
      </c>
      <c r="F117" s="80">
        <f ca="1">+SUM(E$5:E117)</f>
        <v>54012.654644850889</v>
      </c>
      <c r="H117" s="244" t="str">
        <f ca="1">+INDEX(Charges_NonSlice!$C$4:$C$138,MATCH($A117,Charges_NonSlice!$AA$4:$AA$138,0),1)</f>
        <v>Columbia REA</v>
      </c>
      <c r="I117" s="74">
        <f ca="1">+INDEX(Charges_NonSlice!$Z$4:$Z$138,MATCH($A117,Charges_NonSlice!$AA$4:$AA$138,0),1)</f>
        <v>-6.1425163842345233E-2</v>
      </c>
      <c r="J117" s="98">
        <f ca="1">+INDEX(Charges_NonSlice!$Y$4:$Y$138,MATCH($A117,Charges_NonSlice!$AA$4:$AA$138,0),1)</f>
        <v>25.933763566995239</v>
      </c>
      <c r="K117" s="246">
        <f ca="1">+INDEX(Charges_NonSlice!$X$4:$X$138,MATCH($A117,Charges_NonSlice!$AA$4:$AA$138,0),1)/1000</f>
        <v>312.67967911200435</v>
      </c>
      <c r="L117" s="80">
        <f ca="1">+SUM(K$5:K117)</f>
        <v>40816.330182147642</v>
      </c>
      <c r="N117" s="244" t="str">
        <f ca="1">+INDEX('Charges_NonSlice &amp; Excl LS'!$C$4:$C$138,MATCH($A117,'Charges_NonSlice &amp; Excl LS'!$AA$4:$AA$138,0),1)</f>
        <v>Wells Rural Elec Coop</v>
      </c>
      <c r="O117" s="74">
        <f ca="1">+INDEX('Charges_NonSlice &amp; Excl LS'!$Z$4:$Z$138,MATCH($A117,'Charges_NonSlice &amp; Excl LS'!$AA$4:$AA$138,0),1)</f>
        <v>-4.7198724958778339E-2</v>
      </c>
      <c r="P117" s="98">
        <f ca="1">+INDEX('Charges_NonSlice &amp; Excl LS'!$Y$4:$Y$138,MATCH($A117,'Charges_NonSlice &amp; Excl LS'!$AA$4:$AA$138,0),1)</f>
        <v>32.295561757529775</v>
      </c>
      <c r="Q117" s="246">
        <f ca="1">+INDEX('Charges_NonSlice &amp; Excl LS'!$X$4:$X$138,MATCH($A117,'Charges_NonSlice &amp; Excl LS'!$AA$4:$AA$138,0),1)/1000</f>
        <v>800.27686243814401</v>
      </c>
      <c r="R117" s="80">
        <f ca="1">+SUM(Q$5:Q117)</f>
        <v>41584.808979656707</v>
      </c>
      <c r="T117" s="244" t="str">
        <f ca="1">+INDEX(Charges_NonSlice!$C$4:$C$138,MATCH($A117,Charges_NonSlice!$AA$4:$AA$138,0),1)</f>
        <v>Columbia REA</v>
      </c>
      <c r="U117" s="74">
        <f t="shared" ca="1" si="4"/>
        <v>-0.1183276380075633</v>
      </c>
      <c r="V117" s="98">
        <f ca="1">+INDEX(Charges_NonSlice!$Y$4:$Y$138,MATCH($A117,Charges_NonSlice!$AA$4:$AA$138,0),1)</f>
        <v>25.933763566995239</v>
      </c>
      <c r="W117" s="89">
        <f t="shared" ca="1" si="3"/>
        <v>29.414286627278567</v>
      </c>
      <c r="Y117" s="77" t="s">
        <v>113</v>
      </c>
      <c r="Z117" s="78">
        <v>30.332491854241393</v>
      </c>
    </row>
    <row r="118" spans="1:26">
      <c r="A118">
        <f t="shared" si="5"/>
        <v>114</v>
      </c>
      <c r="B118" s="82" t="str">
        <f ca="1">+INDEX('Charges_Including Slice and LS'!$C$4:$C$138,MATCH($A118,'Charges_Including Slice and LS'!$AA$4:$AA$138,0),1)</f>
        <v>United Electric Coop</v>
      </c>
      <c r="C118" s="74">
        <f ca="1">+INDEX('Charges_Including Slice and LS'!$Z$4:$Z$138,MATCH($A118,'Charges_Including Slice and LS'!$AA$4:$AA$138,0),1)</f>
        <v>-8.657128934546332E-2</v>
      </c>
      <c r="D118" s="60">
        <f ca="1">+INDEX('Charges_Including Slice and LS'!$Y$4:$Y$138,MATCH($A118,'Charges_Including Slice and LS'!$AA$4:$AA$138,0),1)</f>
        <v>31.814749633776739</v>
      </c>
      <c r="E118" s="80">
        <f ca="1">+INDEX('Charges_Including Slice and LS'!$X$4:$X$138,MATCH($A118,'Charges_Including Slice and LS'!$AA$4:$AA$138,0),1)/1000</f>
        <v>250.49219999999997</v>
      </c>
      <c r="F118" s="80">
        <f ca="1">+SUM(E$5:E118)</f>
        <v>54263.146844850889</v>
      </c>
      <c r="H118" s="244" t="str">
        <f ca="1">+INDEX(Charges_NonSlice!$C$4:$C$138,MATCH($A118,Charges_NonSlice!$AA$4:$AA$138,0),1)</f>
        <v>United Electric Coop</v>
      </c>
      <c r="I118" s="74">
        <f ca="1">+INDEX(Charges_NonSlice!$Z$4:$Z$138,MATCH($A118,Charges_NonSlice!$AA$4:$AA$138,0),1)</f>
        <v>-8.6571289345457006E-2</v>
      </c>
      <c r="J118" s="98">
        <f ca="1">+INDEX(Charges_NonSlice!$Y$4:$Y$138,MATCH($A118,Charges_NonSlice!$AA$4:$AA$138,0),1)</f>
        <v>31.814749633776739</v>
      </c>
      <c r="K118" s="246">
        <f ca="1">+INDEX(Charges_NonSlice!$X$4:$X$138,MATCH($A118,Charges_NonSlice!$AA$4:$AA$138,0),1)/1000</f>
        <v>250.49219999999997</v>
      </c>
      <c r="L118" s="80">
        <f ca="1">+SUM(K$5:K118)</f>
        <v>41066.822382147642</v>
      </c>
      <c r="N118" s="244" t="str">
        <f ca="1">+INDEX('Charges_NonSlice &amp; Excl LS'!$C$4:$C$138,MATCH($A118,'Charges_NonSlice &amp; Excl LS'!$AA$4:$AA$138,0),1)</f>
        <v>Nespelem Valley Elec Coop</v>
      </c>
      <c r="O118" s="74">
        <f ca="1">+INDEX('Charges_NonSlice &amp; Excl LS'!$Z$4:$Z$138,MATCH($A118,'Charges_NonSlice &amp; Excl LS'!$AA$4:$AA$138,0),1)</f>
        <v>-4.8106745424727627E-2</v>
      </c>
      <c r="P118" s="98">
        <f ca="1">+INDEX('Charges_NonSlice &amp; Excl LS'!$Y$4:$Y$138,MATCH($A118,'Charges_NonSlice &amp; Excl LS'!$AA$4:$AA$138,0),1)</f>
        <v>32.413563864376066</v>
      </c>
      <c r="Q118" s="246">
        <f ca="1">+INDEX('Charges_NonSlice &amp; Excl LS'!$X$4:$X$138,MATCH($A118,'Charges_NonSlice &amp; Excl LS'!$AA$4:$AA$138,0),1)/1000</f>
        <v>49.143948430751998</v>
      </c>
      <c r="R118" s="80">
        <f ca="1">+SUM(Q$5:Q118)</f>
        <v>41633.952928087456</v>
      </c>
      <c r="T118" s="244" t="str">
        <f ca="1">+INDEX(Charges_NonSlice!$C$4:$C$138,MATCH($A118,Charges_NonSlice!$AA$4:$AA$138,0),1)</f>
        <v>United Electric Coop</v>
      </c>
      <c r="U118" s="74">
        <f t="shared" ca="1" si="4"/>
        <v>-1.2190090550631805E-2</v>
      </c>
      <c r="V118" s="98">
        <f ca="1">+INDEX(Charges_NonSlice!$Y$4:$Y$138,MATCH($A118,Charges_NonSlice!$AA$4:$AA$138,0),1)</f>
        <v>31.814749633776739</v>
      </c>
      <c r="W118" s="89">
        <f t="shared" ca="1" si="3"/>
        <v>32.207360271887872</v>
      </c>
      <c r="Y118" s="77" t="s">
        <v>117</v>
      </c>
      <c r="Z118" s="78">
        <v>35.867330941200386</v>
      </c>
    </row>
    <row r="119" spans="1:26">
      <c r="A119">
        <f t="shared" si="5"/>
        <v>115</v>
      </c>
      <c r="B119" s="82" t="str">
        <f ca="1">+INDEX('Charges_Including Slice and LS'!$C$4:$C$138,MATCH($A119,'Charges_Including Slice and LS'!$AA$4:$AA$138,0),1)</f>
        <v>Klickitat County PUD #1</v>
      </c>
      <c r="C119" s="74">
        <f ca="1">+INDEX('Charges_Including Slice and LS'!$Z$4:$Z$138,MATCH($A119,'Charges_Including Slice and LS'!$AA$4:$AA$138,0),1)</f>
        <v>-0.10083497122700083</v>
      </c>
      <c r="D119" s="60">
        <f ca="1">+INDEX('Charges_Including Slice and LS'!$Y$4:$Y$138,MATCH($A119,'Charges_Including Slice and LS'!$AA$4:$AA$138,0),1)</f>
        <v>31.186067043395745</v>
      </c>
      <c r="E119" s="80">
        <f ca="1">+INDEX('Charges_Including Slice and LS'!$X$4:$X$138,MATCH($A119,'Charges_Including Slice and LS'!$AA$4:$AA$138,0),1)/1000</f>
        <v>306.32844</v>
      </c>
      <c r="F119" s="80">
        <f ca="1">+SUM(E$5:E119)</f>
        <v>54569.475284850887</v>
      </c>
      <c r="H119" s="244" t="str">
        <f ca="1">+INDEX(Charges_NonSlice!$C$4:$C$138,MATCH($A119,Charges_NonSlice!$AA$4:$AA$138,0),1)</f>
        <v>Klickitat County PUD #1</v>
      </c>
      <c r="I119" s="74">
        <f ca="1">+INDEX(Charges_NonSlice!$Z$4:$Z$138,MATCH($A119,Charges_NonSlice!$AA$4:$AA$138,0),1)</f>
        <v>-0.10083497122700885</v>
      </c>
      <c r="J119" s="98">
        <f ca="1">+INDEX(Charges_NonSlice!$Y$4:$Y$138,MATCH($A119,Charges_NonSlice!$AA$4:$AA$138,0),1)</f>
        <v>31.186067043395745</v>
      </c>
      <c r="K119" s="246">
        <f ca="1">+INDEX(Charges_NonSlice!$X$4:$X$138,MATCH($A119,Charges_NonSlice!$AA$4:$AA$138,0),1)/1000</f>
        <v>306.32844</v>
      </c>
      <c r="L119" s="80">
        <f ca="1">+SUM(K$5:K119)</f>
        <v>41373.15082214764</v>
      </c>
      <c r="N119" s="244" t="str">
        <f ca="1">+INDEX('Charges_NonSlice &amp; Excl LS'!$C$4:$C$138,MATCH($A119,'Charges_NonSlice &amp; Excl LS'!$AA$4:$AA$138,0),1)</f>
        <v>Big Bend Elec Coop</v>
      </c>
      <c r="O119" s="74">
        <f ca="1">+INDEX('Charges_NonSlice &amp; Excl LS'!$Z$4:$Z$138,MATCH($A119,'Charges_NonSlice &amp; Excl LS'!$AA$4:$AA$138,0),1)</f>
        <v>-4.8830855998358881E-2</v>
      </c>
      <c r="P119" s="98">
        <f ca="1">+INDEX('Charges_NonSlice &amp; Excl LS'!$Y$4:$Y$138,MATCH($A119,'Charges_NonSlice &amp; Excl LS'!$AA$4:$AA$138,0),1)</f>
        <v>29.061449845227465</v>
      </c>
      <c r="Q119" s="246">
        <f ca="1">+INDEX('Charges_NonSlice &amp; Excl LS'!$X$4:$X$138,MATCH($A119,'Charges_NonSlice &amp; Excl LS'!$AA$4:$AA$138,0),1)/1000</f>
        <v>511.34962864053603</v>
      </c>
      <c r="R119" s="80">
        <f ca="1">+SUM(Q$5:Q119)</f>
        <v>42145.302556727991</v>
      </c>
      <c r="T119" s="244" t="str">
        <f ca="1">+INDEX(Charges_NonSlice!$C$4:$C$138,MATCH($A119,Charges_NonSlice!$AA$4:$AA$138,0),1)</f>
        <v>Klickitat County PUD #1</v>
      </c>
      <c r="U119" s="74">
        <f t="shared" ca="1" si="4"/>
        <v>-7.6577924597812097E-2</v>
      </c>
      <c r="V119" s="98">
        <f ca="1">+INDEX(Charges_NonSlice!$Y$4:$Y$138,MATCH($A119,Charges_NonSlice!$AA$4:$AA$138,0),1)</f>
        <v>31.186067043395745</v>
      </c>
      <c r="W119" s="89">
        <f t="shared" ca="1" si="3"/>
        <v>33.772278001706795</v>
      </c>
      <c r="Y119" s="77" t="s">
        <v>119</v>
      </c>
      <c r="Z119" s="78">
        <v>36.307013791160315</v>
      </c>
    </row>
    <row r="120" spans="1:26">
      <c r="A120">
        <f t="shared" si="5"/>
        <v>116</v>
      </c>
      <c r="B120" s="82" t="str">
        <f ca="1">+INDEX('Charges_Including Slice and LS'!$C$4:$C$138,MATCH($A120,'Charges_Including Slice and LS'!$AA$4:$AA$138,0),1)</f>
        <v>Centralia, City of</v>
      </c>
      <c r="C120" s="74">
        <f ca="1">+INDEX('Charges_Including Slice and LS'!$Z$4:$Z$138,MATCH($A120,'Charges_Including Slice and LS'!$AA$4:$AA$138,0),1)</f>
        <v>-0.11664974769978143</v>
      </c>
      <c r="D120" s="60">
        <f ca="1">+INDEX('Charges_Including Slice and LS'!$Y$4:$Y$138,MATCH($A120,'Charges_Including Slice and LS'!$AA$4:$AA$138,0),1)</f>
        <v>35.876379306073112</v>
      </c>
      <c r="E120" s="80">
        <f ca="1">+INDEX('Charges_Including Slice and LS'!$X$4:$X$138,MATCH($A120,'Charges_Including Slice and LS'!$AA$4:$AA$138,0),1)/1000</f>
        <v>195.32704241763716</v>
      </c>
      <c r="F120" s="80">
        <f ca="1">+SUM(E$5:E120)</f>
        <v>54764.802327268524</v>
      </c>
      <c r="H120" s="244" t="str">
        <f ca="1">+INDEX(Charges_NonSlice!$C$4:$C$138,MATCH($A120,Charges_NonSlice!$AA$4:$AA$138,0),1)</f>
        <v>Centralia, City of</v>
      </c>
      <c r="I120" s="74">
        <f ca="1">+INDEX(Charges_NonSlice!$Z$4:$Z$138,MATCH($A120,Charges_NonSlice!$AA$4:$AA$138,0),1)</f>
        <v>-0.11664974769977469</v>
      </c>
      <c r="J120" s="98">
        <f ca="1">+INDEX(Charges_NonSlice!$Y$4:$Y$138,MATCH($A120,Charges_NonSlice!$AA$4:$AA$138,0),1)</f>
        <v>35.876379306073112</v>
      </c>
      <c r="K120" s="246">
        <f ca="1">+INDEX(Charges_NonSlice!$X$4:$X$138,MATCH($A120,Charges_NonSlice!$AA$4:$AA$138,0),1)/1000</f>
        <v>195.32704241763716</v>
      </c>
      <c r="L120" s="80">
        <f ca="1">+SUM(K$5:K120)</f>
        <v>41568.477864565277</v>
      </c>
      <c r="N120" s="244" t="str">
        <f ca="1">+INDEX('Charges_NonSlice &amp; Excl LS'!$C$4:$C$138,MATCH($A120,'Charges_NonSlice &amp; Excl LS'!$AA$4:$AA$138,0),1)</f>
        <v>Harney Elec Coop</v>
      </c>
      <c r="O120" s="74">
        <f ca="1">+INDEX('Charges_NonSlice &amp; Excl LS'!$Z$4:$Z$138,MATCH($A120,'Charges_NonSlice &amp; Excl LS'!$AA$4:$AA$138,0),1)</f>
        <v>-5.0008485536086694E-2</v>
      </c>
      <c r="P120" s="98">
        <f ca="1">+INDEX('Charges_NonSlice &amp; Excl LS'!$Y$4:$Y$138,MATCH($A120,'Charges_NonSlice &amp; Excl LS'!$AA$4:$AA$138,0),1)</f>
        <v>27.510972407842338</v>
      </c>
      <c r="Q120" s="246">
        <f ca="1">+INDEX('Charges_NonSlice &amp; Excl LS'!$X$4:$X$138,MATCH($A120,'Charges_NonSlice &amp; Excl LS'!$AA$4:$AA$138,0),1)/1000</f>
        <v>190.12594554399604</v>
      </c>
      <c r="R120" s="80">
        <f ca="1">+SUM(Q$5:Q120)</f>
        <v>42335.428502271985</v>
      </c>
      <c r="T120" s="244" t="str">
        <f ca="1">+INDEX(Charges_NonSlice!$C$4:$C$138,MATCH($A120,Charges_NonSlice!$AA$4:$AA$138,0),1)</f>
        <v>Centralia, City of</v>
      </c>
      <c r="U120" s="74">
        <f t="shared" ca="1" si="4"/>
        <v>-9.2437533432680463E-2</v>
      </c>
      <c r="V120" s="98">
        <f ca="1">+INDEX(Charges_NonSlice!$Y$4:$Y$138,MATCH($A120,Charges_NonSlice!$AA$4:$AA$138,0),1)</f>
        <v>35.876379306073112</v>
      </c>
      <c r="W120" s="89">
        <f t="shared" ca="1" si="3"/>
        <v>39.530479308789197</v>
      </c>
      <c r="Y120" s="77" t="s">
        <v>139</v>
      </c>
      <c r="Z120" s="78">
        <v>37.239132979451348</v>
      </c>
    </row>
    <row r="121" spans="1:26">
      <c r="A121">
        <f t="shared" si="5"/>
        <v>117</v>
      </c>
      <c r="B121" s="82" t="str">
        <f ca="1">+INDEX('Charges_Including Slice and LS'!$C$4:$C$138,MATCH($A121,'Charges_Including Slice and LS'!$AA$4:$AA$138,0),1)</f>
        <v>Northern Wasco County PUD</v>
      </c>
      <c r="C121" s="74">
        <f ca="1">+INDEX('Charges_Including Slice and LS'!$Z$4:$Z$138,MATCH($A121,'Charges_Including Slice and LS'!$AA$4:$AA$138,0),1)</f>
        <v>-0.147426938997442</v>
      </c>
      <c r="D121" s="60">
        <f ca="1">+INDEX('Charges_Including Slice and LS'!$Y$4:$Y$138,MATCH($A121,'Charges_Including Slice and LS'!$AA$4:$AA$138,0),1)</f>
        <v>34.080135738709771</v>
      </c>
      <c r="E121" s="80">
        <f ca="1">+INDEX('Charges_Including Slice and LS'!$X$4:$X$138,MATCH($A121,'Charges_Including Slice and LS'!$AA$4:$AA$138,0),1)/1000</f>
        <v>541.18403999999998</v>
      </c>
      <c r="F121" s="80">
        <f ca="1">+SUM(E$5:E121)</f>
        <v>55305.986367268524</v>
      </c>
      <c r="H121" s="244" t="str">
        <f ca="1">+INDEX(Charges_NonSlice!$C$4:$C$138,MATCH($A121,Charges_NonSlice!$AA$4:$AA$138,0),1)</f>
        <v>Northern Wasco County PUD</v>
      </c>
      <c r="I121" s="74">
        <f ca="1">+INDEX(Charges_NonSlice!$Z$4:$Z$138,MATCH($A121,Charges_NonSlice!$AA$4:$AA$138,0),1)</f>
        <v>-0.14742693899744608</v>
      </c>
      <c r="J121" s="98">
        <f ca="1">+INDEX(Charges_NonSlice!$Y$4:$Y$138,MATCH($A121,Charges_NonSlice!$AA$4:$AA$138,0),1)</f>
        <v>34.080135738709771</v>
      </c>
      <c r="K121" s="246">
        <f ca="1">+INDEX(Charges_NonSlice!$X$4:$X$138,MATCH($A121,Charges_NonSlice!$AA$4:$AA$138,0),1)/1000</f>
        <v>541.18403999999998</v>
      </c>
      <c r="L121" s="80">
        <f ca="1">+SUM(K$5:K121)</f>
        <v>42109.661904565277</v>
      </c>
      <c r="N121" s="244" t="str">
        <f ca="1">+INDEX('Charges_NonSlice &amp; Excl LS'!$C$4:$C$138,MATCH($A121,'Charges_NonSlice &amp; Excl LS'!$AA$4:$AA$138,0),1)</f>
        <v>Cascade Locks, City of</v>
      </c>
      <c r="O121" s="74">
        <f ca="1">+INDEX('Charges_NonSlice &amp; Excl LS'!$Z$4:$Z$138,MATCH($A121,'Charges_NonSlice &amp; Excl LS'!$AA$4:$AA$138,0),1)</f>
        <v>-6.3168213739427936E-2</v>
      </c>
      <c r="P121" s="98">
        <f ca="1">+INDEX('Charges_NonSlice &amp; Excl LS'!$Y$4:$Y$138,MATCH($A121,'Charges_NonSlice &amp; Excl LS'!$AA$4:$AA$138,0),1)</f>
        <v>30.991197795253214</v>
      </c>
      <c r="Q121" s="246">
        <f ca="1">+INDEX('Charges_NonSlice &amp; Excl LS'!$X$4:$X$138,MATCH($A121,'Charges_NonSlice &amp; Excl LS'!$AA$4:$AA$138,0),1)/1000</f>
        <v>19.868836979628004</v>
      </c>
      <c r="R121" s="80">
        <f ca="1">+SUM(Q$5:Q121)</f>
        <v>42355.297339251614</v>
      </c>
      <c r="T121" s="244" t="str">
        <f ca="1">+INDEX(Charges_NonSlice!$C$4:$C$138,MATCH($A121,Charges_NonSlice!$AA$4:$AA$138,0),1)</f>
        <v>Northern Wasco County PUD</v>
      </c>
      <c r="U121" s="74">
        <f t="shared" ca="1" si="4"/>
        <v>-2.4463105078054159E-2</v>
      </c>
      <c r="V121" s="98">
        <f ca="1">+INDEX(Charges_NonSlice!$Y$4:$Y$138,MATCH($A121,Charges_NonSlice!$AA$4:$AA$138,0),1)</f>
        <v>34.080135738709771</v>
      </c>
      <c r="W121" s="89">
        <f t="shared" ca="1" si="3"/>
        <v>34.934748153668316</v>
      </c>
      <c r="Y121" s="77" t="s">
        <v>238</v>
      </c>
      <c r="Z121" s="78">
        <v>35.805815503318655</v>
      </c>
    </row>
    <row r="122" spans="1:26">
      <c r="A122">
        <f t="shared" si="5"/>
        <v>118</v>
      </c>
      <c r="B122" s="82" t="str">
        <f ca="1">+INDEX('Charges_Including Slice and LS'!$C$4:$C$138,MATCH($A122,'Charges_Including Slice and LS'!$AA$4:$AA$138,0),1)</f>
        <v>Port of Seattle - SETAC In'tl. Airport</v>
      </c>
      <c r="C122" s="74">
        <f ca="1">+INDEX('Charges_Including Slice and LS'!$Z$4:$Z$138,MATCH($A122,'Charges_Including Slice and LS'!$AA$4:$AA$138,0),1)</f>
        <v>-0.20541780969658574</v>
      </c>
      <c r="D122" s="60">
        <f ca="1">+INDEX('Charges_Including Slice and LS'!$Y$4:$Y$138,MATCH($A122,'Charges_Including Slice and LS'!$AA$4:$AA$138,0),1)</f>
        <v>36.057180125911728</v>
      </c>
      <c r="E122" s="80">
        <f ca="1">+INDEX('Charges_Including Slice and LS'!$X$4:$X$138,MATCH($A122,'Charges_Including Slice and LS'!$AA$4:$AA$138,0),1)/1000</f>
        <v>138.37854338571259</v>
      </c>
      <c r="F122" s="80">
        <f ca="1">+SUM(E$5:E122)</f>
        <v>55444.364910654236</v>
      </c>
      <c r="H122" s="244" t="str">
        <f ca="1">+INDEX(Charges_NonSlice!$C$4:$C$138,MATCH($A122,Charges_NonSlice!$AA$4:$AA$138,0),1)</f>
        <v>Port of Seattle - SETAC In'tl. Airport</v>
      </c>
      <c r="I122" s="74">
        <f ca="1">+INDEX(Charges_NonSlice!$Z$4:$Z$138,MATCH($A122,Charges_NonSlice!$AA$4:$AA$138,0),1)</f>
        <v>-0.20541780969657636</v>
      </c>
      <c r="J122" s="98">
        <f ca="1">+INDEX(Charges_NonSlice!$Y$4:$Y$138,MATCH($A122,Charges_NonSlice!$AA$4:$AA$138,0),1)</f>
        <v>36.057180125911728</v>
      </c>
      <c r="K122" s="246">
        <f ca="1">+INDEX(Charges_NonSlice!$X$4:$X$138,MATCH($A122,Charges_NonSlice!$AA$4:$AA$138,0),1)/1000</f>
        <v>138.37854338571259</v>
      </c>
      <c r="L122" s="80">
        <f ca="1">+SUM(K$5:K122)</f>
        <v>42248.040447950989</v>
      </c>
      <c r="N122" s="244" t="str">
        <f ca="1">+INDEX('Charges_NonSlice &amp; Excl LS'!$C$4:$C$138,MATCH($A122,'Charges_NonSlice &amp; Excl LS'!$AA$4:$AA$138,0),1)</f>
        <v>Klickitat County PUD #1</v>
      </c>
      <c r="O122" s="74">
        <f ca="1">+INDEX('Charges_NonSlice &amp; Excl LS'!$Z$4:$Z$138,MATCH($A122,'Charges_NonSlice &amp; Excl LS'!$AA$4:$AA$138,0),1)</f>
        <v>-0.10190604050543306</v>
      </c>
      <c r="P122" s="98">
        <f ca="1">+INDEX('Charges_NonSlice &amp; Excl LS'!$Y$4:$Y$138,MATCH($A122,'Charges_NonSlice &amp; Excl LS'!$AA$4:$AA$138,0),1)</f>
        <v>30.467661156103549</v>
      </c>
      <c r="Q122" s="246">
        <f ca="1">+INDEX('Charges_NonSlice &amp; Excl LS'!$X$4:$X$138,MATCH($A122,'Charges_NonSlice &amp; Excl LS'!$AA$4:$AA$138,0),1)/1000</f>
        <v>306.32943167492397</v>
      </c>
      <c r="R122" s="80">
        <f ca="1">+SUM(Q$5:Q122)</f>
        <v>42661.626770926538</v>
      </c>
      <c r="T122" s="244" t="str">
        <f ca="1">+INDEX(Charges_NonSlice!$C$4:$C$138,MATCH($A122,Charges_NonSlice!$AA$4:$AA$138,0),1)</f>
        <v>Port of Seattle - SETAC In'tl. Airport</v>
      </c>
      <c r="U122" s="74">
        <f t="shared" ca="1" si="4"/>
        <v>-9.3511236901273165E-2</v>
      </c>
      <c r="V122" s="98">
        <f ca="1">+INDEX(Charges_NonSlice!$Y$4:$Y$138,MATCH($A122,Charges_NonSlice!$AA$4:$AA$138,0),1)</f>
        <v>36.057180125911728</v>
      </c>
      <c r="W122" s="89">
        <f t="shared" ca="1" si="3"/>
        <v>39.776753550319185</v>
      </c>
      <c r="Y122" s="77" t="s">
        <v>102</v>
      </c>
      <c r="Z122" s="78">
        <v>0</v>
      </c>
    </row>
    <row r="123" spans="1:26">
      <c r="A123" s="244"/>
      <c r="B123" s="244"/>
      <c r="C123" s="74"/>
      <c r="D123" s="98"/>
      <c r="E123" s="246"/>
      <c r="F123" s="246"/>
      <c r="H123" s="244"/>
      <c r="I123" s="74"/>
      <c r="J123" s="98"/>
      <c r="K123" s="246"/>
      <c r="L123" s="246"/>
      <c r="N123" s="244"/>
      <c r="O123" s="74"/>
      <c r="P123" s="98"/>
      <c r="Q123" s="246"/>
      <c r="R123" s="246"/>
      <c r="T123" s="244"/>
      <c r="U123" s="74"/>
      <c r="V123" s="98"/>
      <c r="W123" s="89"/>
      <c r="Y123" s="77"/>
      <c r="Z123" s="78"/>
    </row>
    <row r="124" spans="1:26">
      <c r="Y124" s="77"/>
      <c r="Z124" s="78"/>
    </row>
    <row r="125" spans="1:26">
      <c r="Y125" s="77"/>
      <c r="Z125" s="78"/>
    </row>
    <row r="126" spans="1:26">
      <c r="C126" s="79"/>
      <c r="I126" s="79"/>
      <c r="O126" s="79"/>
      <c r="U126" s="79"/>
      <c r="Y126" s="77"/>
      <c r="Z126" s="78"/>
    </row>
    <row r="127" spans="1:26">
      <c r="Y127" s="77"/>
      <c r="Z127" s="78"/>
    </row>
    <row r="128" spans="1:26">
      <c r="Y128" s="77"/>
      <c r="Z128" s="78"/>
    </row>
    <row r="129" spans="25:26">
      <c r="Y129" s="77"/>
      <c r="Z129" s="78"/>
    </row>
    <row r="130" spans="25:26">
      <c r="Y130" s="77"/>
      <c r="Z130" s="78"/>
    </row>
    <row r="131" spans="25:26">
      <c r="Y131" s="77"/>
      <c r="Z131" s="78"/>
    </row>
    <row r="132" spans="25:26">
      <c r="Y132" s="77"/>
      <c r="Z132" s="78"/>
    </row>
    <row r="133" spans="25:26">
      <c r="Y133" s="77"/>
      <c r="Z133" s="78"/>
    </row>
    <row r="134" spans="25:26">
      <c r="Y134" s="77"/>
      <c r="Z134" s="78"/>
    </row>
    <row r="135" spans="25:26">
      <c r="Y135" s="77"/>
      <c r="Z135" s="78"/>
    </row>
    <row r="136" spans="25:26">
      <c r="Y136" s="77"/>
      <c r="Z136" s="78"/>
    </row>
    <row r="137" spans="25:26">
      <c r="Y137"/>
      <c r="Z137"/>
    </row>
    <row r="138" spans="25:26">
      <c r="Y138"/>
      <c r="Z138"/>
    </row>
    <row r="139" spans="25:26">
      <c r="Y139"/>
      <c r="Z139"/>
    </row>
    <row r="140" spans="25:26">
      <c r="Y140" s="75"/>
      <c r="Z140" s="75"/>
    </row>
    <row r="141" spans="25:26">
      <c r="Y141" s="75"/>
      <c r="Z141" s="75"/>
    </row>
    <row r="142" spans="25:26">
      <c r="Y142" s="75"/>
      <c r="Z142" s="75"/>
    </row>
    <row r="143" spans="25:26">
      <c r="Y143" s="75"/>
      <c r="Z143" s="75"/>
    </row>
    <row r="144" spans="25:26">
      <c r="Y144" s="75"/>
      <c r="Z144" s="75"/>
    </row>
    <row r="145" spans="25:26">
      <c r="Y145" s="75"/>
      <c r="Z145" s="75"/>
    </row>
    <row r="146" spans="25:26">
      <c r="Y146" s="75"/>
      <c r="Z146" s="75"/>
    </row>
    <row r="147" spans="25:26">
      <c r="Y147" s="75"/>
      <c r="Z147" s="75"/>
    </row>
    <row r="148" spans="25:26">
      <c r="Y148" s="75"/>
      <c r="Z148" s="75"/>
    </row>
    <row r="149" spans="25:26">
      <c r="Y149" s="75"/>
      <c r="Z149" s="75"/>
    </row>
    <row r="150" spans="25:26">
      <c r="Y150" s="75"/>
      <c r="Z150" s="75"/>
    </row>
    <row r="151" spans="25:26">
      <c r="Y151" s="75"/>
      <c r="Z151" s="75"/>
    </row>
    <row r="152" spans="25:26">
      <c r="Y152" s="75"/>
      <c r="Z152" s="75"/>
    </row>
    <row r="153" spans="25:26">
      <c r="Y153" s="75"/>
      <c r="Z153" s="75"/>
    </row>
    <row r="154" spans="25:26">
      <c r="Y154" s="75"/>
      <c r="Z154" s="75"/>
    </row>
    <row r="155" spans="25:26">
      <c r="Y155" s="75"/>
      <c r="Z155" s="75"/>
    </row>
    <row r="156" spans="25:26">
      <c r="Y156" s="75"/>
      <c r="Z156" s="75"/>
    </row>
    <row r="157" spans="25:26">
      <c r="Y157" s="75"/>
      <c r="Z157" s="75"/>
    </row>
    <row r="158" spans="25:26">
      <c r="Y158" s="75"/>
      <c r="Z158" s="75"/>
    </row>
    <row r="159" spans="25:26">
      <c r="Y159" s="75"/>
      <c r="Z159" s="75"/>
    </row>
    <row r="160" spans="25:26">
      <c r="Y160" s="75"/>
      <c r="Z160" s="75"/>
    </row>
    <row r="161" spans="25:26">
      <c r="Y161" s="75"/>
      <c r="Z161" s="75"/>
    </row>
    <row r="162" spans="25:26">
      <c r="Y162" s="75"/>
      <c r="Z162" s="75"/>
    </row>
    <row r="163" spans="25:26">
      <c r="Y163" s="75"/>
      <c r="Z163" s="75"/>
    </row>
    <row r="164" spans="25:26">
      <c r="Y164" s="75"/>
      <c r="Z164" s="7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/>
  </sheetPr>
  <dimension ref="A2:Q121"/>
  <sheetViews>
    <sheetView workbookViewId="0">
      <pane xSplit="2" ySplit="3" topLeftCell="C4" activePane="bottomRight" state="frozen"/>
      <selection activeCell="B86" sqref="B86"/>
      <selection pane="topRight" activeCell="B86" sqref="B86"/>
      <selection pane="bottomLeft" activeCell="B86" sqref="B86"/>
      <selection pane="bottomRight"/>
    </sheetView>
  </sheetViews>
  <sheetFormatPr defaultRowHeight="14.4"/>
  <cols>
    <col min="2" max="2" width="35.44140625" customWidth="1"/>
    <col min="3" max="10" width="15.88671875" style="60" customWidth="1"/>
    <col min="11" max="11" width="12.33203125" style="60" customWidth="1"/>
    <col min="12" max="16" width="15.88671875" style="60" customWidth="1"/>
    <col min="17" max="17" width="14.5546875" style="60" customWidth="1"/>
  </cols>
  <sheetData>
    <row r="2" spans="1:17">
      <c r="C2" s="59" t="s">
        <v>226</v>
      </c>
      <c r="D2" s="59"/>
      <c r="E2" s="59"/>
      <c r="L2" s="59" t="s">
        <v>230</v>
      </c>
      <c r="M2" s="59"/>
    </row>
    <row r="3" spans="1:17" ht="69" customHeight="1" thickBot="1">
      <c r="C3" s="61" t="s">
        <v>225</v>
      </c>
      <c r="D3" s="61"/>
      <c r="E3" s="61"/>
      <c r="F3" s="61" t="s">
        <v>233</v>
      </c>
      <c r="G3" s="61"/>
      <c r="H3" s="61" t="s">
        <v>231</v>
      </c>
      <c r="I3" s="61"/>
      <c r="J3" s="61" t="s">
        <v>232</v>
      </c>
      <c r="K3" s="61" t="s">
        <v>235</v>
      </c>
      <c r="L3" s="61" t="s">
        <v>225</v>
      </c>
      <c r="M3" s="61"/>
      <c r="N3" s="61" t="s">
        <v>233</v>
      </c>
      <c r="O3" s="61"/>
      <c r="P3" s="61" t="s">
        <v>232</v>
      </c>
    </row>
    <row r="4" spans="1:17">
      <c r="A4">
        <f>IF(VLOOKUP(B4,TOCA_current!$B$2:$AG$137,32,FALSE)=0,0,1)</f>
        <v>0</v>
      </c>
      <c r="B4" t="s">
        <v>35</v>
      </c>
      <c r="C4" s="60" t="str">
        <f>IF(A4=1,VLOOKUP($B4,Outputs!$B:$F,2,FALSE),"")</f>
        <v/>
      </c>
      <c r="D4" s="60">
        <f ca="1">IF(A4=0,VLOOKUP($B4,Outputs!$B:$F,2,FALSE),"")</f>
        <v>-3.6277045927944167E-2</v>
      </c>
      <c r="E4" s="65"/>
      <c r="F4" s="66" t="str">
        <f>IF(A4=1,VLOOKUP($B4,Outputs!$H:$L,2,FALSE),"")</f>
        <v/>
      </c>
      <c r="G4" s="67">
        <f ca="1">IF(A4=0,VLOOKUP($B4,Outputs!$H:$L,2,FALSE),"")</f>
        <v>-3.6277045927944562E-2</v>
      </c>
      <c r="J4" s="62">
        <f ca="1">VLOOKUP($B4,Outputs!$N:$R,2,FALSE)</f>
        <v>-3.6507759141300888E-2</v>
      </c>
      <c r="K4" s="62">
        <f ca="1">+VLOOKUP(B4,Outputs!T:U,2,FALSE)</f>
        <v>-5.2530251227462688E-2</v>
      </c>
      <c r="L4" s="60" t="str">
        <f>IF($A4=1,VLOOKUP($B4,Outputs!$B:$F,3,FALSE),"")</f>
        <v/>
      </c>
      <c r="M4" s="60">
        <f ca="1">IF($A4=0,VLOOKUP($B4,Outputs!$B:$F,3,FALSE),"")</f>
        <v>36.145306836612811</v>
      </c>
      <c r="N4" s="60" t="str">
        <f>IF($A4=1,VLOOKUP($B4,Outputs!$H:$L,3,FALSE),"")</f>
        <v/>
      </c>
      <c r="O4" s="60">
        <f ca="1">IF($A4=0,VLOOKUP($B4,Outputs!$H:$L,3,FALSE),"")</f>
        <v>36.145306836612811</v>
      </c>
      <c r="P4" s="60" t="str">
        <f>IF($A4=1,VLOOKUP($B4,Outputs!$N:$R,3,FALSE),"")</f>
        <v/>
      </c>
      <c r="Q4" s="60">
        <f ca="1">IF($A4=0,VLOOKUP($B4,Outputs!$N:$R,3,FALSE),"")</f>
        <v>35.258263005262627</v>
      </c>
    </row>
    <row r="5" spans="1:17">
      <c r="A5" s="203">
        <f>IF(VLOOKUP(B5,TOCA_current!$B$2:$AG$137,32,FALSE)=0,0,1)</f>
        <v>0</v>
      </c>
      <c r="B5" t="s">
        <v>52</v>
      </c>
      <c r="C5" s="60" t="str">
        <f>IF(A5=1,VLOOKUP($B5,Outputs!$B:$F,2,FALSE),"")</f>
        <v/>
      </c>
      <c r="D5" s="60">
        <f ca="1">IF(A5=0,VLOOKUP($B5,Outputs!$B:$F,2,FALSE),"")</f>
        <v>-3.7986318412235508E-2</v>
      </c>
      <c r="E5" s="68"/>
      <c r="F5" s="69" t="str">
        <f>IF(A5=1,VLOOKUP($B5,Outputs!$H:$L,2,FALSE),"")</f>
        <v/>
      </c>
      <c r="G5" s="70">
        <f ca="1">IF(A5=0,VLOOKUP($B5,Outputs!$H:$L,2,FALSE),"")</f>
        <v>-3.7986318412238075E-2</v>
      </c>
      <c r="J5" s="63">
        <f ca="1">VLOOKUP($B5,Outputs!$N:$R,2,FALSE)</f>
        <v>-3.3180101190241035E-2</v>
      </c>
      <c r="K5" s="63" t="str">
        <f ca="1">+VLOOKUP(B5,Outputs!T:U,2,FALSE)</f>
        <v/>
      </c>
      <c r="L5" s="60" t="str">
        <f>IF($A5=1,VLOOKUP($B5,Outputs!$B:$F,3,FALSE),"")</f>
        <v/>
      </c>
      <c r="M5" s="60">
        <f ca="1">IF($A5=0,VLOOKUP($B5,Outputs!$B:$F,3,FALSE),"")</f>
        <v>33.620329040443593</v>
      </c>
      <c r="N5" s="60" t="str">
        <f>IF($A5=1,VLOOKUP($B5,Outputs!$H:$L,3,FALSE),"")</f>
        <v/>
      </c>
      <c r="O5" s="60">
        <f ca="1">IF($A5=0,VLOOKUP($B5,Outputs!$H:$L,3,FALSE),"")</f>
        <v>33.620329040443593</v>
      </c>
      <c r="P5" s="60" t="str">
        <f>IF($A5=1,VLOOKUP($B5,Outputs!$N:$R,3,FALSE),"")</f>
        <v/>
      </c>
      <c r="Q5" s="60">
        <f ca="1">IF($A5=0,VLOOKUP($B5,Outputs!$N:$R,3,FALSE),"")</f>
        <v>33.929020090380618</v>
      </c>
    </row>
    <row r="6" spans="1:17">
      <c r="A6" s="203">
        <f>IF(VLOOKUP(B6,TOCA_current!$B$2:$AG$137,32,FALSE)=0,0,1)</f>
        <v>0</v>
      </c>
      <c r="B6" t="s">
        <v>26</v>
      </c>
      <c r="C6" s="60" t="str">
        <f>IF(A6=1,VLOOKUP($B6,Outputs!$B:$F,2,FALSE),"")</f>
        <v/>
      </c>
      <c r="D6" s="60">
        <f ca="1">IF(A6=0,VLOOKUP($B6,Outputs!$B:$F,2,FALSE),"")</f>
        <v>-3.3869938655647358E-2</v>
      </c>
      <c r="E6" s="68"/>
      <c r="F6" s="69" t="str">
        <f>IF(A6=1,VLOOKUP($B6,Outputs!$H:$L,2,FALSE),"")</f>
        <v/>
      </c>
      <c r="G6" s="70">
        <f ca="1">IF(A6=0,VLOOKUP($B6,Outputs!$H:$L,2,FALSE),"")</f>
        <v>-3.3869938655647018E-2</v>
      </c>
      <c r="J6" s="63">
        <f ca="1">VLOOKUP($B6,Outputs!$N:$R,2,FALSE)</f>
        <v>-3.2984817501332933E-2</v>
      </c>
      <c r="K6" s="63">
        <f ca="1">+VLOOKUP(B6,Outputs!T:U,2,FALSE)</f>
        <v>-1.9901525117738794E-2</v>
      </c>
      <c r="L6" s="60" t="str">
        <f>IF($A6=1,VLOOKUP($B6,Outputs!$B:$F,3,FALSE),"")</f>
        <v/>
      </c>
      <c r="M6" s="60">
        <f ca="1">IF($A6=0,VLOOKUP($B6,Outputs!$B:$F,3,FALSE),"")</f>
        <v>37.001041460524782</v>
      </c>
      <c r="N6" s="60" t="str">
        <f>IF($A6=1,VLOOKUP($B6,Outputs!$H:$L,3,FALSE),"")</f>
        <v/>
      </c>
      <c r="O6" s="60">
        <f ca="1">IF($A6=0,VLOOKUP($B6,Outputs!$H:$L,3,FALSE),"")</f>
        <v>37.001041460524782</v>
      </c>
      <c r="P6" s="60" t="str">
        <f>IF($A6=1,VLOOKUP($B6,Outputs!$N:$R,3,FALSE),"")</f>
        <v/>
      </c>
      <c r="Q6" s="60">
        <f ca="1">IF($A6=0,VLOOKUP($B6,Outputs!$N:$R,3,FALSE),"")</f>
        <v>36.393502128284155</v>
      </c>
    </row>
    <row r="7" spans="1:17">
      <c r="A7" s="203">
        <f>IF(VLOOKUP(B7,TOCA_current!$B$2:$AG$137,32,FALSE)=0,0,1)</f>
        <v>0</v>
      </c>
      <c r="B7" t="s">
        <v>16</v>
      </c>
      <c r="C7" s="60" t="str">
        <f>IF(A7=1,VLOOKUP($B7,Outputs!$B:$F,2,FALSE),"")</f>
        <v/>
      </c>
      <c r="D7" s="60">
        <f ca="1">IF(A7=0,VLOOKUP($B7,Outputs!$B:$F,2,FALSE),"")</f>
        <v>-3.3427587313061141E-2</v>
      </c>
      <c r="E7" s="68"/>
      <c r="F7" s="69" t="str">
        <f>IF(A7=1,VLOOKUP($B7,Outputs!$H:$L,2,FALSE),"")</f>
        <v/>
      </c>
      <c r="G7" s="70">
        <f ca="1">IF(A7=0,VLOOKUP($B7,Outputs!$H:$L,2,FALSE),"")</f>
        <v>-3.3427587313067914E-2</v>
      </c>
      <c r="J7" s="63">
        <f ca="1">VLOOKUP($B7,Outputs!$N:$R,2,FALSE)</f>
        <v>-3.392552582672273E-2</v>
      </c>
      <c r="K7" s="63">
        <f ca="1">+VLOOKUP(B7,Outputs!T:U,2,FALSE)</f>
        <v>-3.5577126759876787E-2</v>
      </c>
      <c r="L7" s="60" t="str">
        <f>IF($A7=1,VLOOKUP($B7,Outputs!$B:$F,3,FALSE),"")</f>
        <v/>
      </c>
      <c r="M7" s="60">
        <f ca="1">IF($A7=0,VLOOKUP($B7,Outputs!$B:$F,3,FALSE),"")</f>
        <v>38.057183170727043</v>
      </c>
      <c r="N7" s="60" t="str">
        <f>IF($A7=1,VLOOKUP($B7,Outputs!$H:$L,3,FALSE),"")</f>
        <v/>
      </c>
      <c r="O7" s="60">
        <f ca="1">IF($A7=0,VLOOKUP($B7,Outputs!$H:$L,3,FALSE),"")</f>
        <v>38.057183170727043</v>
      </c>
      <c r="P7" s="60" t="str">
        <f>IF($A7=1,VLOOKUP($B7,Outputs!$N:$R,3,FALSE),"")</f>
        <v/>
      </c>
      <c r="Q7" s="60">
        <f ca="1">IF($A7=0,VLOOKUP($B7,Outputs!$N:$R,3,FALSE),"")</f>
        <v>37.167319655305377</v>
      </c>
    </row>
    <row r="8" spans="1:17">
      <c r="A8" s="203">
        <f>IF(VLOOKUP(B8,TOCA_current!$B$2:$AG$137,32,FALSE)=0,0,1)</f>
        <v>0</v>
      </c>
      <c r="B8" t="s">
        <v>123</v>
      </c>
      <c r="C8" s="60" t="str">
        <f>IF(A8=1,VLOOKUP($B8,Outputs!$B:$F,2,FALSE),"")</f>
        <v/>
      </c>
      <c r="D8" s="60">
        <f ca="1">IF(A8=0,VLOOKUP($B8,Outputs!$B:$F,2,FALSE),"")</f>
        <v>-3.3728916858688507E-2</v>
      </c>
      <c r="E8" s="68"/>
      <c r="F8" s="69" t="str">
        <f>IF(A8=1,VLOOKUP($B8,Outputs!$H:$L,2,FALSE),"")</f>
        <v/>
      </c>
      <c r="G8" s="70">
        <f ca="1">IF(A8=0,VLOOKUP($B8,Outputs!$H:$L,2,FALSE),"")</f>
        <v>-3.3728916858684607E-2</v>
      </c>
      <c r="J8" s="63">
        <f ca="1">VLOOKUP($B8,Outputs!$N:$R,2,FALSE)</f>
        <v>-3.6216879577181879E-2</v>
      </c>
      <c r="K8" s="63">
        <f ca="1">+VLOOKUP(B8,Outputs!T:U,2,FALSE)</f>
        <v>-2.6806543599953159E-2</v>
      </c>
      <c r="L8" s="60" t="str">
        <f>IF($A8=1,VLOOKUP($B8,Outputs!$B:$F,3,FALSE),"")</f>
        <v/>
      </c>
      <c r="M8" s="60">
        <f ca="1">IF($A8=0,VLOOKUP($B8,Outputs!$B:$F,3,FALSE),"")</f>
        <v>37.092288484940397</v>
      </c>
      <c r="N8" s="60" t="str">
        <f>IF($A8=1,VLOOKUP($B8,Outputs!$H:$L,3,FALSE),"")</f>
        <v/>
      </c>
      <c r="O8" s="60">
        <f ca="1">IF($A8=0,VLOOKUP($B8,Outputs!$H:$L,3,FALSE),"")</f>
        <v>37.092288484940397</v>
      </c>
      <c r="P8" s="60" t="str">
        <f>IF($A8=1,VLOOKUP($B8,Outputs!$N:$R,3,FALSE),"")</f>
        <v/>
      </c>
      <c r="Q8" s="60">
        <f ca="1">IF($A8=0,VLOOKUP($B8,Outputs!$N:$R,3,FALSE),"")</f>
        <v>36.062964355797476</v>
      </c>
    </row>
    <row r="9" spans="1:17">
      <c r="A9" s="203">
        <f>IF(VLOOKUP(B9,TOCA_current!$B$2:$AG$137,32,FALSE)=0,0,1)</f>
        <v>0</v>
      </c>
      <c r="B9" t="s">
        <v>65</v>
      </c>
      <c r="C9" s="60" t="str">
        <f>IF(A9=1,VLOOKUP($B9,Outputs!$B:$F,2,FALSE),"")</f>
        <v/>
      </c>
      <c r="D9" s="60">
        <f ca="1">IF(A9=0,VLOOKUP($B9,Outputs!$B:$F,2,FALSE),"")</f>
        <v>-3.3510133392783532E-2</v>
      </c>
      <c r="E9" s="68"/>
      <c r="F9" s="69" t="str">
        <f>IF(A9=1,VLOOKUP($B9,Outputs!$H:$L,2,FALSE),"")</f>
        <v/>
      </c>
      <c r="G9" s="70">
        <f ca="1">IF(A9=0,VLOOKUP($B9,Outputs!$H:$L,2,FALSE),"")</f>
        <v>-3.3510133392780653E-2</v>
      </c>
      <c r="J9" s="63">
        <f ca="1">VLOOKUP($B9,Outputs!$N:$R,2,FALSE)</f>
        <v>-3.3085834509658629E-2</v>
      </c>
      <c r="K9" s="63">
        <f ca="1">+VLOOKUP(B9,Outputs!T:U,2,FALSE)</f>
        <v>-3.3932131473616733E-2</v>
      </c>
      <c r="L9" s="60" t="str">
        <f>IF($A9=1,VLOOKUP($B9,Outputs!$B:$F,3,FALSE),"")</f>
        <v/>
      </c>
      <c r="M9" s="60">
        <f ca="1">IF($A9=0,VLOOKUP($B9,Outputs!$B:$F,3,FALSE),"")</f>
        <v>36.653838654852827</v>
      </c>
      <c r="N9" s="60" t="str">
        <f>IF($A9=1,VLOOKUP($B9,Outputs!$H:$L,3,FALSE),"")</f>
        <v/>
      </c>
      <c r="O9" s="60">
        <f ca="1">IF($A9=0,VLOOKUP($B9,Outputs!$H:$L,3,FALSE),"")</f>
        <v>36.653838654852827</v>
      </c>
      <c r="P9" s="60" t="str">
        <f>IF($A9=1,VLOOKUP($B9,Outputs!$N:$R,3,FALSE),"")</f>
        <v/>
      </c>
      <c r="Q9" s="60">
        <f ca="1">IF($A9=0,VLOOKUP($B9,Outputs!$N:$R,3,FALSE),"")</f>
        <v>36.079838006841847</v>
      </c>
    </row>
    <row r="10" spans="1:17">
      <c r="A10" s="203">
        <f>IF(VLOOKUP(B10,TOCA_current!$B$2:$AG$137,32,FALSE)=0,0,1)</f>
        <v>0</v>
      </c>
      <c r="B10" t="s">
        <v>7</v>
      </c>
      <c r="C10" s="60" t="str">
        <f>IF(A10=1,VLOOKUP($B10,Outputs!$B:$F,2,FALSE),"")</f>
        <v/>
      </c>
      <c r="D10" s="60">
        <f ca="1">IF(A10=0,VLOOKUP($B10,Outputs!$B:$F,2,FALSE),"")</f>
        <v>-2.8185372782102605E-2</v>
      </c>
      <c r="E10" s="68"/>
      <c r="F10" s="69" t="str">
        <f>IF(A10=1,VLOOKUP($B10,Outputs!$H:$L,2,FALSE),"")</f>
        <v/>
      </c>
      <c r="G10" s="70">
        <f ca="1">IF(A10=0,VLOOKUP($B10,Outputs!$H:$L,2,FALSE),"")</f>
        <v>-2.8185372782102099E-2</v>
      </c>
      <c r="J10" s="63">
        <f ca="1">VLOOKUP($B10,Outputs!$N:$R,2,FALSE)</f>
        <v>-2.8657688368000863E-2</v>
      </c>
      <c r="K10" s="63">
        <f ca="1">+VLOOKUP(B10,Outputs!T:U,2,FALSE)</f>
        <v>1.0310105506390999E-2</v>
      </c>
      <c r="L10" s="60" t="str">
        <f>IF($A10=1,VLOOKUP($B10,Outputs!$B:$F,3,FALSE),"")</f>
        <v/>
      </c>
      <c r="M10" s="60">
        <f ca="1">IF($A10=0,VLOOKUP($B10,Outputs!$B:$F,3,FALSE),"")</f>
        <v>36.351996689486455</v>
      </c>
      <c r="N10" s="60" t="str">
        <f>IF($A10=1,VLOOKUP($B10,Outputs!$H:$L,3,FALSE),"")</f>
        <v/>
      </c>
      <c r="O10" s="60">
        <f ca="1">IF($A10=0,VLOOKUP($B10,Outputs!$H:$L,3,FALSE),"")</f>
        <v>36.351996689486455</v>
      </c>
      <c r="P10" s="60" t="str">
        <f>IF($A10=1,VLOOKUP($B10,Outputs!$N:$R,3,FALSE),"")</f>
        <v/>
      </c>
      <c r="Q10" s="60">
        <f ca="1">IF($A10=0,VLOOKUP($B10,Outputs!$N:$R,3,FALSE),"")</f>
        <v>35.566806884998805</v>
      </c>
    </row>
    <row r="11" spans="1:17">
      <c r="A11" s="203">
        <f>IF(VLOOKUP(B11,TOCA_current!$B$2:$AG$137,32,FALSE)=0,0,1)</f>
        <v>0</v>
      </c>
      <c r="B11" t="s">
        <v>8</v>
      </c>
      <c r="C11" s="60" t="str">
        <f>IF(A11=1,VLOOKUP($B11,Outputs!$B:$F,2,FALSE),"")</f>
        <v/>
      </c>
      <c r="D11" s="60">
        <f ca="1">IF(A11=0,VLOOKUP($B11,Outputs!$B:$F,2,FALSE),"")</f>
        <v>-3.2686936809880468E-2</v>
      </c>
      <c r="E11" s="68"/>
      <c r="F11" s="69" t="str">
        <f>IF(A11=1,VLOOKUP($B11,Outputs!$H:$L,2,FALSE),"")</f>
        <v/>
      </c>
      <c r="G11" s="70">
        <f ca="1">IF(A11=0,VLOOKUP($B11,Outputs!$H:$L,2,FALSE),"")</f>
        <v>-3.2686936809877325E-2</v>
      </c>
      <c r="J11" s="63">
        <f ca="1">VLOOKUP($B11,Outputs!$N:$R,2,FALSE)</f>
        <v>-3.0455747059414218E-2</v>
      </c>
      <c r="K11" s="63">
        <f ca="1">+VLOOKUP(B11,Outputs!T:U,2,FALSE)</f>
        <v>-6.1523936884604558E-2</v>
      </c>
      <c r="L11" s="60" t="str">
        <f>IF($A11=1,VLOOKUP($B11,Outputs!$B:$F,3,FALSE),"")</f>
        <v/>
      </c>
      <c r="M11" s="60">
        <f ca="1">IF($A11=0,VLOOKUP($B11,Outputs!$B:$F,3,FALSE),"")</f>
        <v>38.493275178701829</v>
      </c>
      <c r="N11" s="60" t="str">
        <f>IF($A11=1,VLOOKUP($B11,Outputs!$H:$L,3,FALSE),"")</f>
        <v/>
      </c>
      <c r="O11" s="60">
        <f ca="1">IF($A11=0,VLOOKUP($B11,Outputs!$H:$L,3,FALSE),"")</f>
        <v>38.493275178701829</v>
      </c>
      <c r="P11" s="60" t="str">
        <f>IF($A11=1,VLOOKUP($B11,Outputs!$N:$R,3,FALSE),"")</f>
        <v/>
      </c>
      <c r="Q11" s="60">
        <f ca="1">IF($A11=0,VLOOKUP($B11,Outputs!$N:$R,3,FALSE),"")</f>
        <v>40.167033482721855</v>
      </c>
    </row>
    <row r="12" spans="1:17">
      <c r="A12" s="203">
        <f>IF(VLOOKUP(B12,TOCA_current!$B$2:$AG$137,32,FALSE)=0,0,1)</f>
        <v>0</v>
      </c>
      <c r="B12" t="s">
        <v>124</v>
      </c>
      <c r="C12" s="60" t="str">
        <f>IF(A12=1,VLOOKUP($B12,Outputs!$B:$F,2,FALSE),"")</f>
        <v/>
      </c>
      <c r="D12" s="60">
        <f ca="1">IF(A12=0,VLOOKUP($B12,Outputs!$B:$F,2,FALSE),"")</f>
        <v>-3.486277927489223E-2</v>
      </c>
      <c r="E12" s="68"/>
      <c r="F12" s="69" t="str">
        <f>IF(A12=1,VLOOKUP($B12,Outputs!$H:$L,2,FALSE),"")</f>
        <v/>
      </c>
      <c r="G12" s="70">
        <f ca="1">IF(A12=0,VLOOKUP($B12,Outputs!$H:$L,2,FALSE),"")</f>
        <v>-3.4862779274892092E-2</v>
      </c>
      <c r="J12" s="63">
        <f ca="1">VLOOKUP($B12,Outputs!$N:$R,2,FALSE)</f>
        <v>-3.5435134414052862E-2</v>
      </c>
      <c r="K12" s="63">
        <f ca="1">+VLOOKUP(B12,Outputs!T:U,2,FALSE)</f>
        <v>-1.8791002685718428E-2</v>
      </c>
      <c r="L12" s="60" t="str">
        <f>IF($A12=1,VLOOKUP($B12,Outputs!$B:$F,3,FALSE),"")</f>
        <v/>
      </c>
      <c r="M12" s="60">
        <f ca="1">IF($A12=0,VLOOKUP($B12,Outputs!$B:$F,3,FALSE),"")</f>
        <v>35.819379959470062</v>
      </c>
      <c r="N12" s="60" t="str">
        <f>IF($A12=1,VLOOKUP($B12,Outputs!$H:$L,3,FALSE),"")</f>
        <v/>
      </c>
      <c r="O12" s="60">
        <f ca="1">IF($A12=0,VLOOKUP($B12,Outputs!$H:$L,3,FALSE),"")</f>
        <v>35.819379959470062</v>
      </c>
      <c r="P12" s="60" t="str">
        <f>IF($A12=1,VLOOKUP($B12,Outputs!$N:$R,3,FALSE),"")</f>
        <v/>
      </c>
      <c r="Q12" s="60">
        <f ca="1">IF($A12=0,VLOOKUP($B12,Outputs!$N:$R,3,FALSE),"")</f>
        <v>35.916330586221164</v>
      </c>
    </row>
    <row r="13" spans="1:17">
      <c r="A13" s="203">
        <f>IF(VLOOKUP(B13,TOCA_current!$B$2:$AG$137,32,FALSE)=0,0,1)</f>
        <v>0</v>
      </c>
      <c r="B13" t="s">
        <v>27</v>
      </c>
      <c r="C13" s="60" t="str">
        <f>IF(A13=1,VLOOKUP($B13,Outputs!$B:$F,2,FALSE),"")</f>
        <v/>
      </c>
      <c r="D13" s="60">
        <f ca="1">IF(A13=0,VLOOKUP($B13,Outputs!$B:$F,2,FALSE),"")</f>
        <v>-3.6996067573148272E-2</v>
      </c>
      <c r="E13" s="68"/>
      <c r="F13" s="69" t="str">
        <f>IF(A13=1,VLOOKUP($B13,Outputs!$H:$L,2,FALSE),"")</f>
        <v/>
      </c>
      <c r="G13" s="70">
        <f ca="1">IF(A13=0,VLOOKUP($B13,Outputs!$H:$L,2,FALSE),"")</f>
        <v>-3.6996067573147558E-2</v>
      </c>
      <c r="J13" s="63">
        <f ca="1">VLOOKUP($B13,Outputs!$N:$R,2,FALSE)</f>
        <v>-3.4484219742542337E-2</v>
      </c>
      <c r="K13" s="63">
        <f ca="1">+VLOOKUP(B13,Outputs!T:U,2,FALSE)</f>
        <v>-3.0119929652713484E-2</v>
      </c>
      <c r="L13" s="60" t="str">
        <f>IF($A13=1,VLOOKUP($B13,Outputs!$B:$F,3,FALSE),"")</f>
        <v/>
      </c>
      <c r="M13" s="60">
        <f ca="1">IF($A13=0,VLOOKUP($B13,Outputs!$B:$F,3,FALSE),"")</f>
        <v>35.768773958100034</v>
      </c>
      <c r="N13" s="60" t="str">
        <f>IF($A13=1,VLOOKUP($B13,Outputs!$H:$L,3,FALSE),"")</f>
        <v/>
      </c>
      <c r="O13" s="60">
        <f ca="1">IF($A13=0,VLOOKUP($B13,Outputs!$H:$L,3,FALSE),"")</f>
        <v>35.768773958100034</v>
      </c>
      <c r="P13" s="60" t="str">
        <f>IF($A13=1,VLOOKUP($B13,Outputs!$N:$R,3,FALSE),"")</f>
        <v/>
      </c>
      <c r="Q13" s="60">
        <f ca="1">IF($A13=0,VLOOKUP($B13,Outputs!$N:$R,3,FALSE),"")</f>
        <v>35.169916422264279</v>
      </c>
    </row>
    <row r="14" spans="1:17">
      <c r="A14" s="203">
        <f>IF(VLOOKUP(B14,TOCA_current!$B$2:$AG$137,32,FALSE)=0,0,1)</f>
        <v>0</v>
      </c>
      <c r="B14" t="s">
        <v>119</v>
      </c>
      <c r="C14" s="60" t="str">
        <f>IF(A14=1,VLOOKUP($B14,Outputs!$B:$F,2,FALSE),"")</f>
        <v/>
      </c>
      <c r="D14" s="60">
        <f ca="1">IF(A14=0,VLOOKUP($B14,Outputs!$B:$F,2,FALSE),"")</f>
        <v>-2.9439069409613605E-2</v>
      </c>
      <c r="E14" s="68"/>
      <c r="F14" s="69" t="str">
        <f>IF(A14=1,VLOOKUP($B14,Outputs!$H:$L,2,FALSE),"")</f>
        <v/>
      </c>
      <c r="G14" s="70">
        <f ca="1">IF(A14=0,VLOOKUP($B14,Outputs!$H:$L,2,FALSE),"")</f>
        <v>-2.943906940960396E-2</v>
      </c>
      <c r="J14" s="63">
        <f ca="1">VLOOKUP($B14,Outputs!$N:$R,2,FALSE)</f>
        <v>-3.5159262825110574E-2</v>
      </c>
      <c r="K14" s="63">
        <f ca="1">+VLOOKUP(B14,Outputs!T:U,2,FALSE)</f>
        <v>6.3344871390197399E-2</v>
      </c>
      <c r="L14" s="60" t="str">
        <f>IF($A14=1,VLOOKUP($B14,Outputs!$B:$F,3,FALSE),"")</f>
        <v/>
      </c>
      <c r="M14" s="60">
        <f ca="1">IF($A14=0,VLOOKUP($B14,Outputs!$B:$F,3,FALSE),"")</f>
        <v>38.606876910323493</v>
      </c>
      <c r="N14" s="60" t="str">
        <f>IF($A14=1,VLOOKUP($B14,Outputs!$H:$L,3,FALSE),"")</f>
        <v/>
      </c>
      <c r="O14" s="60">
        <f ca="1">IF($A14=0,VLOOKUP($B14,Outputs!$H:$L,3,FALSE),"")</f>
        <v>38.606876910323493</v>
      </c>
      <c r="P14" s="60" t="str">
        <f>IF($A14=1,VLOOKUP($B14,Outputs!$N:$R,3,FALSE),"")</f>
        <v/>
      </c>
      <c r="Q14" s="60">
        <f ca="1">IF($A14=0,VLOOKUP($B14,Outputs!$N:$R,3,FALSE),"")</f>
        <v>37.423151131295398</v>
      </c>
    </row>
    <row r="15" spans="1:17">
      <c r="A15" s="203">
        <f>IF(VLOOKUP(B15,TOCA_current!$B$2:$AG$137,32,FALSE)=0,0,1)</f>
        <v>0</v>
      </c>
      <c r="B15" t="s">
        <v>43</v>
      </c>
      <c r="C15" s="60" t="str">
        <f>IF(A15=1,VLOOKUP($B15,Outputs!$B:$F,2,FALSE),"")</f>
        <v/>
      </c>
      <c r="D15" s="60">
        <f ca="1">IF(A15=0,VLOOKUP($B15,Outputs!$B:$F,2,FALSE),"")</f>
        <v>-3.6409242463008695E-2</v>
      </c>
      <c r="E15" s="68"/>
      <c r="F15" s="69" t="str">
        <f>IF(A15=1,VLOOKUP($B15,Outputs!$H:$L,2,FALSE),"")</f>
        <v/>
      </c>
      <c r="G15" s="70">
        <f ca="1">IF(A15=0,VLOOKUP($B15,Outputs!$H:$L,2,FALSE),"")</f>
        <v>-3.6409242463001749E-2</v>
      </c>
      <c r="J15" s="63">
        <f ca="1">VLOOKUP($B15,Outputs!$N:$R,2,FALSE)</f>
        <v>-3.5072723617093252E-2</v>
      </c>
      <c r="K15" s="63">
        <f ca="1">+VLOOKUP(B15,Outputs!T:U,2,FALSE)</f>
        <v>-1.1343787522033133E-2</v>
      </c>
      <c r="L15" s="60" t="str">
        <f>IF($A15=1,VLOOKUP($B15,Outputs!$B:$F,3,FALSE),"")</f>
        <v/>
      </c>
      <c r="M15" s="60">
        <f ca="1">IF($A15=0,VLOOKUP($B15,Outputs!$B:$F,3,FALSE),"")</f>
        <v>37.365098670191671</v>
      </c>
      <c r="N15" s="60" t="str">
        <f>IF($A15=1,VLOOKUP($B15,Outputs!$H:$L,3,FALSE),"")</f>
        <v/>
      </c>
      <c r="O15" s="60">
        <f ca="1">IF($A15=0,VLOOKUP($B15,Outputs!$H:$L,3,FALSE),"")</f>
        <v>37.365098670191671</v>
      </c>
      <c r="P15" s="60" t="str">
        <f>IF($A15=1,VLOOKUP($B15,Outputs!$N:$R,3,FALSE),"")</f>
        <v/>
      </c>
      <c r="Q15" s="60">
        <f ca="1">IF($A15=0,VLOOKUP($B15,Outputs!$N:$R,3,FALSE),"")</f>
        <v>36.481679843059545</v>
      </c>
    </row>
    <row r="16" spans="1:17">
      <c r="A16" s="203">
        <f>IF(VLOOKUP(B16,TOCA_current!$B$2:$AG$137,32,FALSE)=0,0,1)</f>
        <v>0</v>
      </c>
      <c r="B16" t="s">
        <v>107</v>
      </c>
      <c r="C16" s="60" t="str">
        <f>IF(A16=1,VLOOKUP($B16,Outputs!$B:$F,2,FALSE),"")</f>
        <v/>
      </c>
      <c r="D16" s="60">
        <f ca="1">IF(A16=0,VLOOKUP($B16,Outputs!$B:$F,2,FALSE),"")</f>
        <v>-3.9116140883545869E-2</v>
      </c>
      <c r="E16" s="68"/>
      <c r="F16" s="69" t="str">
        <f>IF(A16=1,VLOOKUP($B16,Outputs!$H:$L,2,FALSE),"")</f>
        <v/>
      </c>
      <c r="G16" s="70">
        <f ca="1">IF(A16=0,VLOOKUP($B16,Outputs!$H:$L,2,FALSE),"")</f>
        <v>-3.9116140883536883E-2</v>
      </c>
      <c r="J16" s="63">
        <f ca="1">VLOOKUP($B16,Outputs!$N:$R,2,FALSE)</f>
        <v>-3.8158186924147679E-2</v>
      </c>
      <c r="K16" s="63">
        <f ca="1">+VLOOKUP(B16,Outputs!T:U,2,FALSE)</f>
        <v>-4.0884176554002338E-2</v>
      </c>
      <c r="L16" s="60" t="str">
        <f>IF($A16=1,VLOOKUP($B16,Outputs!$B:$F,3,FALSE),"")</f>
        <v/>
      </c>
      <c r="M16" s="60">
        <f ca="1">IF($A16=0,VLOOKUP($B16,Outputs!$B:$F,3,FALSE),"")</f>
        <v>30.965906527141897</v>
      </c>
      <c r="N16" s="60" t="str">
        <f>IF($A16=1,VLOOKUP($B16,Outputs!$H:$L,3,FALSE),"")</f>
        <v/>
      </c>
      <c r="O16" s="60">
        <f ca="1">IF($A16=0,VLOOKUP($B16,Outputs!$H:$L,3,FALSE),"")</f>
        <v>30.965906527141897</v>
      </c>
      <c r="P16" s="60" t="str">
        <f>IF($A16=1,VLOOKUP($B16,Outputs!$N:$R,3,FALSE),"")</f>
        <v/>
      </c>
      <c r="Q16" s="60">
        <f ca="1">IF($A16=0,VLOOKUP($B16,Outputs!$N:$R,3,FALSE),"")</f>
        <v>31.43049538011941</v>
      </c>
    </row>
    <row r="17" spans="1:17">
      <c r="A17" s="203">
        <f>IF(VLOOKUP(B17,TOCA_current!$B$2:$AG$137,32,FALSE)=0,0,1)</f>
        <v>0</v>
      </c>
      <c r="B17" t="s">
        <v>22</v>
      </c>
      <c r="C17" s="60" t="str">
        <f>IF(A17=1,VLOOKUP($B17,Outputs!$B:$F,2,FALSE),"")</f>
        <v/>
      </c>
      <c r="D17" s="60">
        <f ca="1">IF(A17=0,VLOOKUP($B17,Outputs!$B:$F,2,FALSE),"")</f>
        <v>-6.0210433543859354E-2</v>
      </c>
      <c r="E17" s="68"/>
      <c r="F17" s="69" t="str">
        <f>IF(A17=1,VLOOKUP($B17,Outputs!$H:$L,2,FALSE),"")</f>
        <v/>
      </c>
      <c r="G17" s="70">
        <f ca="1">IF(A17=0,VLOOKUP($B17,Outputs!$H:$L,2,FALSE),"")</f>
        <v>-6.021043354385798E-2</v>
      </c>
      <c r="J17" s="63">
        <f ca="1">VLOOKUP($B17,Outputs!$N:$R,2,FALSE)</f>
        <v>-6.3168213739427936E-2</v>
      </c>
      <c r="K17" s="63">
        <f ca="1">+VLOOKUP(B17,Outputs!T:U,2,FALSE)</f>
        <v>-0.12769924613729</v>
      </c>
      <c r="L17" s="60" t="str">
        <f>IF($A17=1,VLOOKUP($B17,Outputs!$B:$F,3,FALSE),"")</f>
        <v/>
      </c>
      <c r="M17" s="60">
        <f ca="1">IF($A17=0,VLOOKUP($B17,Outputs!$B:$F,3,FALSE),"")</f>
        <v>31.63645468559568</v>
      </c>
      <c r="N17" s="60" t="str">
        <f>IF($A17=1,VLOOKUP($B17,Outputs!$H:$L,3,FALSE),"")</f>
        <v/>
      </c>
      <c r="O17" s="60">
        <f ca="1">IF($A17=0,VLOOKUP($B17,Outputs!$H:$L,3,FALSE),"")</f>
        <v>31.63645468559568</v>
      </c>
      <c r="P17" s="60" t="str">
        <f>IF($A17=1,VLOOKUP($B17,Outputs!$N:$R,3,FALSE),"")</f>
        <v/>
      </c>
      <c r="Q17" s="60">
        <f ca="1">IF($A17=0,VLOOKUP($B17,Outputs!$N:$R,3,FALSE),"")</f>
        <v>30.991197795253214</v>
      </c>
    </row>
    <row r="18" spans="1:17">
      <c r="A18" s="203">
        <f>IF(VLOOKUP(B18,TOCA_current!$B$2:$AG$137,32,FALSE)=0,0,1)</f>
        <v>0</v>
      </c>
      <c r="B18" t="s">
        <v>61</v>
      </c>
      <c r="C18" s="60" t="str">
        <f>IF(A18=1,VLOOKUP($B18,Outputs!$B:$F,2,FALSE),"")</f>
        <v/>
      </c>
      <c r="D18" s="60">
        <f ca="1">IF(A18=0,VLOOKUP($B18,Outputs!$B:$F,2,FALSE),"")</f>
        <v>-3.5174832565988898E-2</v>
      </c>
      <c r="E18" s="68"/>
      <c r="F18" s="69" t="str">
        <f>IF(A18=1,VLOOKUP($B18,Outputs!$H:$L,2,FALSE),"")</f>
        <v/>
      </c>
      <c r="G18" s="70">
        <f ca="1">IF(A18=0,VLOOKUP($B18,Outputs!$H:$L,2,FALSE),"")</f>
        <v>-3.5174832565994511E-2</v>
      </c>
      <c r="J18" s="63">
        <f ca="1">VLOOKUP($B18,Outputs!$N:$R,2,FALSE)</f>
        <v>-3.3602121652817035E-2</v>
      </c>
      <c r="K18" s="63">
        <f ca="1">+VLOOKUP(B18,Outputs!T:U,2,FALSE)</f>
        <v>1.2172057068528197E-2</v>
      </c>
      <c r="L18" s="60" t="str">
        <f>IF($A18=1,VLOOKUP($B18,Outputs!$B:$F,3,FALSE),"")</f>
        <v/>
      </c>
      <c r="M18" s="60">
        <f ca="1">IF($A18=0,VLOOKUP($B18,Outputs!$B:$F,3,FALSE),"")</f>
        <v>36.398434459861562</v>
      </c>
      <c r="N18" s="60" t="str">
        <f>IF($A18=1,VLOOKUP($B18,Outputs!$H:$L,3,FALSE),"")</f>
        <v/>
      </c>
      <c r="O18" s="60">
        <f ca="1">IF($A18=0,VLOOKUP($B18,Outputs!$H:$L,3,FALSE),"")</f>
        <v>36.398434459861562</v>
      </c>
      <c r="P18" s="60" t="str">
        <f>IF($A18=1,VLOOKUP($B18,Outputs!$N:$R,3,FALSE),"")</f>
        <v/>
      </c>
      <c r="Q18" s="60">
        <f ca="1">IF($A18=0,VLOOKUP($B18,Outputs!$N:$R,3,FALSE),"")</f>
        <v>35.862851407888435</v>
      </c>
    </row>
    <row r="19" spans="1:17">
      <c r="A19" s="203">
        <f>IF(VLOOKUP(B19,TOCA_current!$B$2:$AG$137,32,FALSE)=0,0,1)</f>
        <v>0</v>
      </c>
      <c r="B19" t="s">
        <v>25</v>
      </c>
      <c r="C19" s="60" t="str">
        <f>IF(A19=1,VLOOKUP($B19,Outputs!$B:$F,2,FALSE),"")</f>
        <v/>
      </c>
      <c r="D19" s="60">
        <f ca="1">IF(A19=0,VLOOKUP($B19,Outputs!$B:$F,2,FALSE),"")</f>
        <v>-3.4669346463961345E-2</v>
      </c>
      <c r="E19" s="68"/>
      <c r="F19" s="69" t="str">
        <f>IF(A19=1,VLOOKUP($B19,Outputs!$H:$L,2,FALSE),"")</f>
        <v/>
      </c>
      <c r="G19" s="70">
        <f ca="1">IF(A19=0,VLOOKUP($B19,Outputs!$H:$L,2,FALSE),"")</f>
        <v>-3.4669346463964586E-2</v>
      </c>
      <c r="J19" s="63">
        <f ca="1">VLOOKUP($B19,Outputs!$N:$R,2,FALSE)</f>
        <v>-3.3775509941760637E-2</v>
      </c>
      <c r="K19" s="63">
        <f ca="1">+VLOOKUP(B19,Outputs!T:U,2,FALSE)</f>
        <v>-2.1709611199683398E-2</v>
      </c>
      <c r="L19" s="60" t="str">
        <f>IF($A19=1,VLOOKUP($B19,Outputs!$B:$F,3,FALSE),"")</f>
        <v/>
      </c>
      <c r="M19" s="60">
        <f ca="1">IF($A19=0,VLOOKUP($B19,Outputs!$B:$F,3,FALSE),"")</f>
        <v>36.21473908504494</v>
      </c>
      <c r="N19" s="60" t="str">
        <f>IF($A19=1,VLOOKUP($B19,Outputs!$H:$L,3,FALSE),"")</f>
        <v/>
      </c>
      <c r="O19" s="60">
        <f ca="1">IF($A19=0,VLOOKUP($B19,Outputs!$H:$L,3,FALSE),"")</f>
        <v>36.21473908504494</v>
      </c>
      <c r="P19" s="60" t="str">
        <f>IF($A19=1,VLOOKUP($B19,Outputs!$N:$R,3,FALSE),"")</f>
        <v/>
      </c>
      <c r="Q19" s="60">
        <f ca="1">IF($A19=0,VLOOKUP($B19,Outputs!$N:$R,3,FALSE),"")</f>
        <v>35.505978044457621</v>
      </c>
    </row>
    <row r="20" spans="1:17">
      <c r="A20" s="203">
        <f>IF(VLOOKUP(B20,TOCA_current!$B$2:$AG$137,32,FALSE)=0,0,1)</f>
        <v>0</v>
      </c>
      <c r="B20" t="s">
        <v>57</v>
      </c>
      <c r="C20" s="60" t="str">
        <f>IF(A20=1,VLOOKUP($B20,Outputs!$B:$F,2,FALSE),"")</f>
        <v/>
      </c>
      <c r="D20" s="60">
        <f ca="1">IF(A20=0,VLOOKUP($B20,Outputs!$B:$F,2,FALSE),"")</f>
        <v>-4.1087065170358435E-2</v>
      </c>
      <c r="E20" s="68"/>
      <c r="F20" s="69" t="str">
        <f>IF(A20=1,VLOOKUP($B20,Outputs!$H:$L,2,FALSE),"")</f>
        <v/>
      </c>
      <c r="G20" s="70">
        <f ca="1">IF(A20=0,VLOOKUP($B20,Outputs!$H:$L,2,FALSE),"")</f>
        <v>-4.1087065170362577E-2</v>
      </c>
      <c r="J20" s="63">
        <f ca="1">VLOOKUP($B20,Outputs!$N:$R,2,FALSE)</f>
        <v>-3.9044445825682832E-2</v>
      </c>
      <c r="K20" s="63">
        <f ca="1">+VLOOKUP(B20,Outputs!T:U,2,FALSE)</f>
        <v>-4.7052874902057562E-2</v>
      </c>
      <c r="L20" s="60" t="str">
        <f>IF($A20=1,VLOOKUP($B20,Outputs!$B:$F,3,FALSE),"")</f>
        <v/>
      </c>
      <c r="M20" s="60">
        <f ca="1">IF($A20=0,VLOOKUP($B20,Outputs!$B:$F,3,FALSE),"")</f>
        <v>31.43099522207779</v>
      </c>
      <c r="N20" s="60" t="str">
        <f>IF($A20=1,VLOOKUP($B20,Outputs!$H:$L,3,FALSE),"")</f>
        <v/>
      </c>
      <c r="O20" s="60">
        <f ca="1">IF($A20=0,VLOOKUP($B20,Outputs!$H:$L,3,FALSE),"")</f>
        <v>31.43099522207779</v>
      </c>
      <c r="P20" s="60" t="str">
        <f>IF($A20=1,VLOOKUP($B20,Outputs!$N:$R,3,FALSE),"")</f>
        <v/>
      </c>
      <c r="Q20" s="60">
        <f ca="1">IF($A20=0,VLOOKUP($B20,Outputs!$N:$R,3,FALSE),"")</f>
        <v>32.128409746785302</v>
      </c>
    </row>
    <row r="21" spans="1:17">
      <c r="A21" s="203">
        <f>IF(VLOOKUP(B21,TOCA_current!$B$2:$AG$137,32,FALSE)=0,0,1)</f>
        <v>0</v>
      </c>
      <c r="B21" t="s">
        <v>134</v>
      </c>
      <c r="C21" s="60" t="str">
        <f>IF(A21=1,VLOOKUP($B21,Outputs!$B:$F,2,FALSE),"")</f>
        <v/>
      </c>
      <c r="D21" s="60">
        <f ca="1">IF(A21=0,VLOOKUP($B21,Outputs!$B:$F,2,FALSE),"")</f>
        <v>-3.8624615146622965E-2</v>
      </c>
      <c r="E21" s="68"/>
      <c r="F21" s="69" t="str">
        <f>IF(A21=1,VLOOKUP($B21,Outputs!$H:$L,2,FALSE),"")</f>
        <v/>
      </c>
      <c r="G21" s="70">
        <f ca="1">IF(A21=0,VLOOKUP($B21,Outputs!$H:$L,2,FALSE),"")</f>
        <v>-3.8624615146613535E-2</v>
      </c>
      <c r="J21" s="63">
        <f ca="1">VLOOKUP($B21,Outputs!$N:$R,2,FALSE)</f>
        <v>-3.6032077719887722E-2</v>
      </c>
      <c r="K21" s="63">
        <f ca="1">+VLOOKUP(B21,Outputs!T:U,2,FALSE)</f>
        <v>-4.4454109544481479E-2</v>
      </c>
      <c r="L21" s="60" t="str">
        <f>IF($A21=1,VLOOKUP($B21,Outputs!$B:$F,3,FALSE),"")</f>
        <v/>
      </c>
      <c r="M21" s="60">
        <f ca="1">IF($A21=0,VLOOKUP($B21,Outputs!$B:$F,3,FALSE),"")</f>
        <v>35.006787289355159</v>
      </c>
      <c r="N21" s="60" t="str">
        <f>IF($A21=1,VLOOKUP($B21,Outputs!$H:$L,3,FALSE),"")</f>
        <v/>
      </c>
      <c r="O21" s="60">
        <f ca="1">IF($A21=0,VLOOKUP($B21,Outputs!$H:$L,3,FALSE),"")</f>
        <v>35.006787289355159</v>
      </c>
      <c r="P21" s="60" t="str">
        <f>IF($A21=1,VLOOKUP($B21,Outputs!$N:$R,3,FALSE),"")</f>
        <v/>
      </c>
      <c r="Q21" s="60">
        <f ca="1">IF($A21=0,VLOOKUP($B21,Outputs!$N:$R,3,FALSE),"")</f>
        <v>35.170916790386812</v>
      </c>
    </row>
    <row r="22" spans="1:17">
      <c r="A22" s="203">
        <f>IF(VLOOKUP(B22,TOCA_current!$B$2:$AG$137,32,FALSE)=0,0,1)</f>
        <v>0</v>
      </c>
      <c r="B22" t="s">
        <v>238</v>
      </c>
      <c r="C22" s="60" t="str">
        <f>IF(A22=1,VLOOKUP($B22,Outputs!$B:$F,2,FALSE),"")</f>
        <v/>
      </c>
      <c r="D22" s="60">
        <f ca="1">IF(A22=0,VLOOKUP($B22,Outputs!$B:$F,2,FALSE),"")</f>
        <v>-3.5824174844404366E-2</v>
      </c>
      <c r="E22" s="68"/>
      <c r="F22" s="69" t="str">
        <f>IF(A22=1,VLOOKUP($B22,Outputs!$H:$L,2,FALSE),"")</f>
        <v/>
      </c>
      <c r="G22" s="70">
        <f ca="1">IF(A22=0,VLOOKUP($B22,Outputs!$H:$L,2,FALSE),"")</f>
        <v>-3.5824174844394471E-2</v>
      </c>
      <c r="J22" s="63">
        <f ca="1">VLOOKUP($B22,Outputs!$N:$R,2,FALSE)</f>
        <v>-3.4372878890287478E-2</v>
      </c>
      <c r="K22" s="63">
        <f ca="1">+VLOOKUP(B22,Outputs!T:U,2,FALSE)</f>
        <v>-4.7795869084576448E-2</v>
      </c>
      <c r="L22" s="60" t="str">
        <f>IF($A22=1,VLOOKUP($B22,Outputs!$B:$F,3,FALSE),"")</f>
        <v/>
      </c>
      <c r="M22" s="60">
        <f ca="1">IF($A22=0,VLOOKUP($B22,Outputs!$B:$F,3,FALSE),"")</f>
        <v>34.09444543305554</v>
      </c>
      <c r="N22" s="60" t="str">
        <f>IF($A22=1,VLOOKUP($B22,Outputs!$H:$L,3,FALSE),"")</f>
        <v/>
      </c>
      <c r="O22" s="60">
        <f ca="1">IF($A22=0,VLOOKUP($B22,Outputs!$H:$L,3,FALSE),"")</f>
        <v>34.09444543305554</v>
      </c>
      <c r="P22" s="60" t="str">
        <f>IF($A22=1,VLOOKUP($B22,Outputs!$N:$R,3,FALSE),"")</f>
        <v/>
      </c>
      <c r="Q22" s="60">
        <f ca="1">IF($A22=0,VLOOKUP($B22,Outputs!$N:$R,3,FALSE),"")</f>
        <v>34.154722651601858</v>
      </c>
    </row>
    <row r="23" spans="1:17">
      <c r="A23" s="203">
        <f>IF(VLOOKUP(B23,TOCA_current!$B$2:$AG$137,32,FALSE)=0,0,1)</f>
        <v>0</v>
      </c>
      <c r="B23" t="s">
        <v>41</v>
      </c>
      <c r="C23" s="60" t="str">
        <f>IF(A23=1,VLOOKUP($B23,Outputs!$B:$F,2,FALSE),"")</f>
        <v/>
      </c>
      <c r="D23" s="60">
        <f ca="1">IF(A23=0,VLOOKUP($B23,Outputs!$B:$F,2,FALSE),"")</f>
        <v>-3.6036766612401364E-2</v>
      </c>
      <c r="E23" s="68"/>
      <c r="F23" s="69" t="str">
        <f>IF(A23=1,VLOOKUP($B23,Outputs!$H:$L,2,FALSE),"")</f>
        <v/>
      </c>
      <c r="G23" s="70">
        <f ca="1">IF(A23=0,VLOOKUP($B23,Outputs!$H:$L,2,FALSE),"")</f>
        <v>-3.6036766612396569E-2</v>
      </c>
      <c r="J23" s="63">
        <f ca="1">VLOOKUP($B23,Outputs!$N:$R,2,FALSE)</f>
        <v>-3.3513210886412195E-2</v>
      </c>
      <c r="K23" s="63">
        <f ca="1">+VLOOKUP(B23,Outputs!T:U,2,FALSE)</f>
        <v>-2.2247606789636554E-2</v>
      </c>
      <c r="L23" s="60" t="str">
        <f>IF($A23=1,VLOOKUP($B23,Outputs!$B:$F,3,FALSE),"")</f>
        <v/>
      </c>
      <c r="M23" s="60">
        <f ca="1">IF($A23=0,VLOOKUP($B23,Outputs!$B:$F,3,FALSE),"")</f>
        <v>36.570555251447217</v>
      </c>
      <c r="N23" s="60" t="str">
        <f>IF($A23=1,VLOOKUP($B23,Outputs!$H:$L,3,FALSE),"")</f>
        <v/>
      </c>
      <c r="O23" s="60">
        <f ca="1">IF($A23=0,VLOOKUP($B23,Outputs!$H:$L,3,FALSE),"")</f>
        <v>36.570555251447217</v>
      </c>
      <c r="P23" s="60" t="str">
        <f>IF($A23=1,VLOOKUP($B23,Outputs!$N:$R,3,FALSE),"")</f>
        <v/>
      </c>
      <c r="Q23" s="60">
        <f ca="1">IF($A23=0,VLOOKUP($B23,Outputs!$N:$R,3,FALSE),"")</f>
        <v>36.074900376305024</v>
      </c>
    </row>
    <row r="24" spans="1:17">
      <c r="A24" s="203">
        <f>IF(VLOOKUP(B24,TOCA_current!$B$2:$AG$137,32,FALSE)=0,0,1)</f>
        <v>0</v>
      </c>
      <c r="B24" t="s">
        <v>49</v>
      </c>
      <c r="C24" s="60" t="str">
        <f>IF(A24=1,VLOOKUP($B24,Outputs!$B:$F,2,FALSE),"")</f>
        <v/>
      </c>
      <c r="D24" s="60">
        <f ca="1">IF(A24=0,VLOOKUP($B24,Outputs!$B:$F,2,FALSE),"")</f>
        <v>-3.7413441548558621E-2</v>
      </c>
      <c r="E24" s="68"/>
      <c r="F24" s="69" t="str">
        <f>IF(A24=1,VLOOKUP($B24,Outputs!$H:$L,2,FALSE),"")</f>
        <v/>
      </c>
      <c r="G24" s="70">
        <f ca="1">IF(A24=0,VLOOKUP($B24,Outputs!$H:$L,2,FALSE),"")</f>
        <v>-3.7413441548556477E-2</v>
      </c>
      <c r="J24" s="63">
        <f ca="1">VLOOKUP($B24,Outputs!$N:$R,2,FALSE)</f>
        <v>-3.5812318715651735E-2</v>
      </c>
      <c r="K24" s="63">
        <f ca="1">+VLOOKUP(B24,Outputs!T:U,2,FALSE)</f>
        <v>-5.4302616263499082E-2</v>
      </c>
      <c r="L24" s="60" t="str">
        <f>IF($A24=1,VLOOKUP($B24,Outputs!$B:$F,3,FALSE),"")</f>
        <v/>
      </c>
      <c r="M24" s="60">
        <f ca="1">IF($A24=0,VLOOKUP($B24,Outputs!$B:$F,3,FALSE),"")</f>
        <v>31.508041221286426</v>
      </c>
      <c r="N24" s="60" t="str">
        <f>IF($A24=1,VLOOKUP($B24,Outputs!$H:$L,3,FALSE),"")</f>
        <v/>
      </c>
      <c r="O24" s="60">
        <f ca="1">IF($A24=0,VLOOKUP($B24,Outputs!$H:$L,3,FALSE),"")</f>
        <v>31.508041221286426</v>
      </c>
      <c r="P24" s="60" t="str">
        <f>IF($A24=1,VLOOKUP($B24,Outputs!$N:$R,3,FALSE),"")</f>
        <v/>
      </c>
      <c r="Q24" s="60">
        <f ca="1">IF($A24=0,VLOOKUP($B24,Outputs!$N:$R,3,FALSE),"")</f>
        <v>31.453278687493686</v>
      </c>
    </row>
    <row r="25" spans="1:17">
      <c r="A25" s="203">
        <f>IF(VLOOKUP(B25,TOCA_current!$B$2:$AG$137,32,FALSE)=0,0,1)</f>
        <v>0</v>
      </c>
      <c r="B25" t="s">
        <v>58</v>
      </c>
      <c r="C25" s="60" t="str">
        <f>IF(A25=1,VLOOKUP($B25,Outputs!$B:$F,2,FALSE),"")</f>
        <v/>
      </c>
      <c r="D25" s="60">
        <f ca="1">IF(A25=0,VLOOKUP($B25,Outputs!$B:$F,2,FALSE),"")</f>
        <v>-3.6889812911042208E-2</v>
      </c>
      <c r="E25" s="68"/>
      <c r="F25" s="69" t="str">
        <f>IF(A25=1,VLOOKUP($B25,Outputs!$H:$L,2,FALSE),"")</f>
        <v/>
      </c>
      <c r="G25" s="70">
        <f ca="1">IF(A25=0,VLOOKUP($B25,Outputs!$H:$L,2,FALSE),"")</f>
        <v>-3.6889812911041535E-2</v>
      </c>
      <c r="J25" s="63">
        <f ca="1">VLOOKUP($B25,Outputs!$N:$R,2,FALSE)</f>
        <v>-3.2743367985243681E-2</v>
      </c>
      <c r="K25" s="63">
        <f ca="1">+VLOOKUP(B25,Outputs!T:U,2,FALSE)</f>
        <v>-2.2900575121400424E-2</v>
      </c>
      <c r="L25" s="60" t="str">
        <f>IF($A25=1,VLOOKUP($B25,Outputs!$B:$F,3,FALSE),"")</f>
        <v/>
      </c>
      <c r="M25" s="60">
        <f ca="1">IF($A25=0,VLOOKUP($B25,Outputs!$B:$F,3,FALSE),"")</f>
        <v>38.264654385143885</v>
      </c>
      <c r="N25" s="60" t="str">
        <f>IF($A25=1,VLOOKUP($B25,Outputs!$H:$L,3,FALSE),"")</f>
        <v/>
      </c>
      <c r="O25" s="60">
        <f ca="1">IF($A25=0,VLOOKUP($B25,Outputs!$H:$L,3,FALSE),"")</f>
        <v>38.264654385143885</v>
      </c>
      <c r="P25" s="60" t="str">
        <f>IF($A25=1,VLOOKUP($B25,Outputs!$N:$R,3,FALSE),"")</f>
        <v/>
      </c>
      <c r="Q25" s="60">
        <f ca="1">IF($A25=0,VLOOKUP($B25,Outputs!$N:$R,3,FALSE),"")</f>
        <v>37.528444347571998</v>
      </c>
    </row>
    <row r="26" spans="1:17">
      <c r="A26" s="203">
        <f>IF(VLOOKUP(B26,TOCA_current!$B$2:$AG$137,32,FALSE)=0,0,1)</f>
        <v>0</v>
      </c>
      <c r="B26" t="s">
        <v>42</v>
      </c>
      <c r="C26" s="60" t="str">
        <f>IF(A26=1,VLOOKUP($B26,Outputs!$B:$F,2,FALSE),"")</f>
        <v/>
      </c>
      <c r="D26" s="60">
        <f ca="1">IF(A26=0,VLOOKUP($B26,Outputs!$B:$F,2,FALSE),"")</f>
        <v>-4.0297442205596154E-2</v>
      </c>
      <c r="E26" s="68"/>
      <c r="F26" s="69" t="str">
        <f>IF(A26=1,VLOOKUP($B26,Outputs!$H:$L,2,FALSE),"")</f>
        <v/>
      </c>
      <c r="G26" s="70">
        <f ca="1">IF(A26=0,VLOOKUP($B26,Outputs!$H:$L,2,FALSE),"")</f>
        <v>-4.0297442205593857E-2</v>
      </c>
      <c r="J26" s="63">
        <f ca="1">VLOOKUP($B26,Outputs!$N:$R,2,FALSE)</f>
        <v>-3.5364753093702565E-2</v>
      </c>
      <c r="K26" s="63">
        <f ca="1">+VLOOKUP(B26,Outputs!T:U,2,FALSE)</f>
        <v>-3.2318937183888341E-2</v>
      </c>
      <c r="L26" s="60" t="str">
        <f>IF($A26=1,VLOOKUP($B26,Outputs!$B:$F,3,FALSE),"")</f>
        <v/>
      </c>
      <c r="M26" s="60">
        <f ca="1">IF($A26=0,VLOOKUP($B26,Outputs!$B:$F,3,FALSE),"")</f>
        <v>35.086913064570794</v>
      </c>
      <c r="N26" s="60" t="str">
        <f>IF($A26=1,VLOOKUP($B26,Outputs!$H:$L,3,FALSE),"")</f>
        <v/>
      </c>
      <c r="O26" s="60">
        <f ca="1">IF($A26=0,VLOOKUP($B26,Outputs!$H:$L,3,FALSE),"")</f>
        <v>35.086913064570794</v>
      </c>
      <c r="P26" s="60" t="str">
        <f>IF($A26=1,VLOOKUP($B26,Outputs!$N:$R,3,FALSE),"")</f>
        <v/>
      </c>
      <c r="Q26" s="60">
        <f ca="1">IF($A26=0,VLOOKUP($B26,Outputs!$N:$R,3,FALSE),"")</f>
        <v>35.017072855455595</v>
      </c>
    </row>
    <row r="27" spans="1:17">
      <c r="A27" s="203">
        <f>IF(VLOOKUP(B27,TOCA_current!$B$2:$AG$137,32,FALSE)=0,0,1)</f>
        <v>0</v>
      </c>
      <c r="B27" t="s">
        <v>31</v>
      </c>
      <c r="C27" s="60" t="str">
        <f>IF(A27=1,VLOOKUP($B27,Outputs!$B:$F,2,FALSE),"")</f>
        <v/>
      </c>
      <c r="D27" s="60">
        <f ca="1">IF(A27=0,VLOOKUP($B27,Outputs!$B:$F,2,FALSE),"")</f>
        <v>-3.971843861162095E-2</v>
      </c>
      <c r="E27" s="68"/>
      <c r="F27" s="69" t="str">
        <f>IF(A27=1,VLOOKUP($B27,Outputs!$H:$L,2,FALSE),"")</f>
        <v/>
      </c>
      <c r="G27" s="70">
        <f ca="1">IF(A27=0,VLOOKUP($B27,Outputs!$H:$L,2,FALSE),"")</f>
        <v>-3.9718438611618077E-2</v>
      </c>
      <c r="J27" s="63">
        <f ca="1">VLOOKUP($B27,Outputs!$N:$R,2,FALSE)</f>
        <v>-3.5582230408562759E-2</v>
      </c>
      <c r="K27" s="63">
        <f ca="1">+VLOOKUP(B27,Outputs!T:U,2,FALSE)</f>
        <v>-1.6448041042376516E-2</v>
      </c>
      <c r="L27" s="60" t="str">
        <f>IF($A27=1,VLOOKUP($B27,Outputs!$B:$F,3,FALSE),"")</f>
        <v/>
      </c>
      <c r="M27" s="60">
        <f ca="1">IF($A27=0,VLOOKUP($B27,Outputs!$B:$F,3,FALSE),"")</f>
        <v>38.291974428276077</v>
      </c>
      <c r="N27" s="60" t="str">
        <f>IF($A27=1,VLOOKUP($B27,Outputs!$H:$L,3,FALSE),"")</f>
        <v/>
      </c>
      <c r="O27" s="60">
        <f ca="1">IF($A27=0,VLOOKUP($B27,Outputs!$H:$L,3,FALSE),"")</f>
        <v>38.291974428276077</v>
      </c>
      <c r="P27" s="60" t="str">
        <f>IF($A27=1,VLOOKUP($B27,Outputs!$N:$R,3,FALSE),"")</f>
        <v/>
      </c>
      <c r="Q27" s="60">
        <f ca="1">IF($A27=0,VLOOKUP($B27,Outputs!$N:$R,3,FALSE),"")</f>
        <v>37.463572509918841</v>
      </c>
    </row>
    <row r="28" spans="1:17">
      <c r="A28" s="203">
        <f>IF(VLOOKUP(B28,TOCA_current!$B$2:$AG$137,32,FALSE)=0,0,1)</f>
        <v>0</v>
      </c>
      <c r="B28" t="s">
        <v>37</v>
      </c>
      <c r="C28" s="60" t="str">
        <f>IF(A28=1,VLOOKUP($B28,Outputs!$B:$F,2,FALSE),"")</f>
        <v/>
      </c>
      <c r="D28" s="60">
        <f ca="1">IF(A28=0,VLOOKUP($B28,Outputs!$B:$F,2,FALSE),"")</f>
        <v>-3.8074495474268409E-2</v>
      </c>
      <c r="E28" s="68"/>
      <c r="F28" s="69" t="str">
        <f>IF(A28=1,VLOOKUP($B28,Outputs!$H:$L,2,FALSE),"")</f>
        <v/>
      </c>
      <c r="G28" s="70">
        <f ca="1">IF(A28=0,VLOOKUP($B28,Outputs!$H:$L,2,FALSE),"")</f>
        <v>-3.8074495474273648E-2</v>
      </c>
      <c r="J28" s="63">
        <f ca="1">VLOOKUP($B28,Outputs!$N:$R,2,FALSE)</f>
        <v>-3.4991494659927354E-2</v>
      </c>
      <c r="K28" s="63">
        <f ca="1">+VLOOKUP(B28,Outputs!T:U,2,FALSE)</f>
        <v>-3.1417929684293355E-2</v>
      </c>
      <c r="L28" s="60" t="str">
        <f>IF($A28=1,VLOOKUP($B28,Outputs!$B:$F,3,FALSE),"")</f>
        <v/>
      </c>
      <c r="M28" s="60">
        <f ca="1">IF($A28=0,VLOOKUP($B28,Outputs!$B:$F,3,FALSE),"")</f>
        <v>36.659301091004835</v>
      </c>
      <c r="N28" s="60" t="str">
        <f>IF($A28=1,VLOOKUP($B28,Outputs!$H:$L,3,FALSE),"")</f>
        <v/>
      </c>
      <c r="O28" s="60">
        <f ca="1">IF($A28=0,VLOOKUP($B28,Outputs!$H:$L,3,FALSE),"")</f>
        <v>36.659301091004835</v>
      </c>
      <c r="P28" s="60" t="str">
        <f>IF($A28=1,VLOOKUP($B28,Outputs!$N:$R,3,FALSE),"")</f>
        <v/>
      </c>
      <c r="Q28" s="60">
        <f ca="1">IF($A28=0,VLOOKUP($B28,Outputs!$N:$R,3,FALSE),"")</f>
        <v>36.15588023117278</v>
      </c>
    </row>
    <row r="29" spans="1:17">
      <c r="A29" s="203">
        <f>IF(VLOOKUP(B29,TOCA_current!$B$2:$AG$137,32,FALSE)=0,0,1)</f>
        <v>0</v>
      </c>
      <c r="B29" t="s">
        <v>120</v>
      </c>
      <c r="C29" s="60" t="str">
        <f>IF(A29=1,VLOOKUP($B29,Outputs!$B:$F,2,FALSE),"")</f>
        <v/>
      </c>
      <c r="D29" s="60">
        <f ca="1">IF(A29=0,VLOOKUP($B29,Outputs!$B:$F,2,FALSE),"")</f>
        <v>-3.8002492362008256E-2</v>
      </c>
      <c r="E29" s="68"/>
      <c r="F29" s="69" t="str">
        <f>IF(A29=1,VLOOKUP($B29,Outputs!$H:$L,2,FALSE),"")</f>
        <v/>
      </c>
      <c r="G29" s="70">
        <f ca="1">IF(A29=0,VLOOKUP($B29,Outputs!$H:$L,2,FALSE),"")</f>
        <v>-3.8002492362003225E-2</v>
      </c>
      <c r="J29" s="63">
        <f ca="1">VLOOKUP($B29,Outputs!$N:$R,2,FALSE)</f>
        <v>-3.2245692989725627E-2</v>
      </c>
      <c r="K29" s="63">
        <f ca="1">+VLOOKUP(B29,Outputs!T:U,2,FALSE)</f>
        <v>-3.3955257254137949E-2</v>
      </c>
      <c r="L29" s="60" t="str">
        <f>IF($A29=1,VLOOKUP($B29,Outputs!$B:$F,3,FALSE),"")</f>
        <v/>
      </c>
      <c r="M29" s="60">
        <f ca="1">IF($A29=0,VLOOKUP($B29,Outputs!$B:$F,3,FALSE),"")</f>
        <v>36.808329728999951</v>
      </c>
      <c r="N29" s="60" t="str">
        <f>IF($A29=1,VLOOKUP($B29,Outputs!$H:$L,3,FALSE),"")</f>
        <v/>
      </c>
      <c r="O29" s="60">
        <f ca="1">IF($A29=0,VLOOKUP($B29,Outputs!$H:$L,3,FALSE),"")</f>
        <v>36.808329728999951</v>
      </c>
      <c r="P29" s="60" t="str">
        <f>IF($A29=1,VLOOKUP($B29,Outputs!$N:$R,3,FALSE),"")</f>
        <v/>
      </c>
      <c r="Q29" s="60">
        <f ca="1">IF($A29=0,VLOOKUP($B29,Outputs!$N:$R,3,FALSE),"")</f>
        <v>36.156024883336393</v>
      </c>
    </row>
    <row r="30" spans="1:17">
      <c r="A30" s="203">
        <f>IF(VLOOKUP(B30,TOCA_current!$B$2:$AG$137,32,FALSE)=0,0,1)</f>
        <v>0</v>
      </c>
      <c r="B30" t="s">
        <v>30</v>
      </c>
      <c r="C30" s="60" t="str">
        <f>IF(A30=1,VLOOKUP($B30,Outputs!$B:$F,2,FALSE),"")</f>
        <v/>
      </c>
      <c r="D30" s="60">
        <f ca="1">IF(A30=0,VLOOKUP($B30,Outputs!$B:$F,2,FALSE),"")</f>
        <v>-3.2015103246061556E-2</v>
      </c>
      <c r="E30" s="68"/>
      <c r="F30" s="69" t="str">
        <f>IF(A30=1,VLOOKUP($B30,Outputs!$H:$L,2,FALSE),"")</f>
        <v/>
      </c>
      <c r="G30" s="70">
        <f ca="1">IF(A30=0,VLOOKUP($B30,Outputs!$H:$L,2,FALSE),"")</f>
        <v>-3.2015103246057171E-2</v>
      </c>
      <c r="J30" s="63">
        <f ca="1">VLOOKUP($B30,Outputs!$N:$R,2,FALSE)</f>
        <v>-3.2193959921274287E-2</v>
      </c>
      <c r="K30" s="63">
        <f ca="1">+VLOOKUP(B30,Outputs!T:U,2,FALSE)</f>
        <v>-2.530016838703153E-2</v>
      </c>
      <c r="L30" s="60" t="str">
        <f>IF($A30=1,VLOOKUP($B30,Outputs!$B:$F,3,FALSE),"")</f>
        <v/>
      </c>
      <c r="M30" s="60">
        <f ca="1">IF($A30=0,VLOOKUP($B30,Outputs!$B:$F,3,FALSE),"")</f>
        <v>35.492207912911361</v>
      </c>
      <c r="N30" s="60" t="str">
        <f>IF($A30=1,VLOOKUP($B30,Outputs!$H:$L,3,FALSE),"")</f>
        <v/>
      </c>
      <c r="O30" s="60">
        <f ca="1">IF($A30=0,VLOOKUP($B30,Outputs!$H:$L,3,FALSE),"")</f>
        <v>35.492207912911361</v>
      </c>
      <c r="P30" s="60" t="str">
        <f>IF($A30=1,VLOOKUP($B30,Outputs!$N:$R,3,FALSE),"")</f>
        <v/>
      </c>
      <c r="Q30" s="60">
        <f ca="1">IF($A30=0,VLOOKUP($B30,Outputs!$N:$R,3,FALSE),"")</f>
        <v>35.101049012686083</v>
      </c>
    </row>
    <row r="31" spans="1:17">
      <c r="A31" s="203">
        <f>IF(VLOOKUP(B31,TOCA_current!$B$2:$AG$137,32,FALSE)=0,0,1)</f>
        <v>0</v>
      </c>
      <c r="B31" t="s">
        <v>129</v>
      </c>
      <c r="C31" s="60" t="str">
        <f>IF(A31=1,VLOOKUP($B31,Outputs!$B:$F,2,FALSE),"")</f>
        <v/>
      </c>
      <c r="D31" s="60">
        <f ca="1">IF(A31=0,VLOOKUP($B31,Outputs!$B:$F,2,FALSE),"")</f>
        <v>-3.5212950995932357E-2</v>
      </c>
      <c r="E31" s="68"/>
      <c r="F31" s="69" t="str">
        <f>IF(A31=1,VLOOKUP($B31,Outputs!$H:$L,2,FALSE),"")</f>
        <v/>
      </c>
      <c r="G31" s="70">
        <f ca="1">IF(A31=0,VLOOKUP($B31,Outputs!$H:$L,2,FALSE),"")</f>
        <v>-3.5212950995923115E-2</v>
      </c>
      <c r="J31" s="63">
        <f ca="1">VLOOKUP($B31,Outputs!$N:$R,2,FALSE)</f>
        <v>-3.540008867160957E-2</v>
      </c>
      <c r="K31" s="63">
        <f ca="1">+VLOOKUP(B31,Outputs!T:U,2,FALSE)</f>
        <v>-4.0334069247635163E-2</v>
      </c>
      <c r="L31" s="60" t="str">
        <f>IF($A31=1,VLOOKUP($B31,Outputs!$B:$F,3,FALSE),"")</f>
        <v/>
      </c>
      <c r="M31" s="60">
        <f ca="1">IF($A31=0,VLOOKUP($B31,Outputs!$B:$F,3,FALSE),"")</f>
        <v>34.226059080448984</v>
      </c>
      <c r="N31" s="60" t="str">
        <f>IF($A31=1,VLOOKUP($B31,Outputs!$H:$L,3,FALSE),"")</f>
        <v/>
      </c>
      <c r="O31" s="60">
        <f ca="1">IF($A31=0,VLOOKUP($B31,Outputs!$H:$L,3,FALSE),"")</f>
        <v>34.226059080448984</v>
      </c>
      <c r="P31" s="60" t="str">
        <f>IF($A31=1,VLOOKUP($B31,Outputs!$N:$R,3,FALSE),"")</f>
        <v/>
      </c>
      <c r="Q31" s="60">
        <f ca="1">IF($A31=0,VLOOKUP($B31,Outputs!$N:$R,3,FALSE),"")</f>
        <v>33.426636420845071</v>
      </c>
    </row>
    <row r="32" spans="1:17">
      <c r="A32" s="203">
        <f>IF(VLOOKUP(B32,TOCA_current!$B$2:$AG$137,32,FALSE)=0,0,1)</f>
        <v>0</v>
      </c>
      <c r="B32" t="s">
        <v>20</v>
      </c>
      <c r="C32" s="60" t="str">
        <f>IF(A32=1,VLOOKUP($B32,Outputs!$B:$F,2,FALSE),"")</f>
        <v/>
      </c>
      <c r="D32" s="60">
        <f ca="1">IF(A32=0,VLOOKUP($B32,Outputs!$B:$F,2,FALSE),"")</f>
        <v>-3.0801807534175156E-2</v>
      </c>
      <c r="E32" s="68"/>
      <c r="F32" s="69" t="str">
        <f>IF(A32=1,VLOOKUP($B32,Outputs!$H:$L,2,FALSE),"")</f>
        <v/>
      </c>
      <c r="G32" s="70">
        <f ca="1">IF(A32=0,VLOOKUP($B32,Outputs!$H:$L,2,FALSE),"")</f>
        <v>-3.0801807534179444E-2</v>
      </c>
      <c r="J32" s="63">
        <f ca="1">VLOOKUP($B32,Outputs!$N:$R,2,FALSE)</f>
        <v>-3.4926829664491892E-2</v>
      </c>
      <c r="K32" s="63">
        <f ca="1">+VLOOKUP(B32,Outputs!T:U,2,FALSE)</f>
        <v>-1.354967650956207E-2</v>
      </c>
      <c r="L32" s="60" t="str">
        <f>IF($A32=1,VLOOKUP($B32,Outputs!$B:$F,3,FALSE),"")</f>
        <v/>
      </c>
      <c r="M32" s="60">
        <f ca="1">IF($A32=0,VLOOKUP($B32,Outputs!$B:$F,3,FALSE),"")</f>
        <v>38.430074323585735</v>
      </c>
      <c r="N32" s="60" t="str">
        <f>IF($A32=1,VLOOKUP($B32,Outputs!$H:$L,3,FALSE),"")</f>
        <v/>
      </c>
      <c r="O32" s="60">
        <f ca="1">IF($A32=0,VLOOKUP($B32,Outputs!$H:$L,3,FALSE),"")</f>
        <v>38.430074323585735</v>
      </c>
      <c r="P32" s="60" t="str">
        <f>IF($A32=1,VLOOKUP($B32,Outputs!$N:$R,3,FALSE),"")</f>
        <v/>
      </c>
      <c r="Q32" s="60">
        <f ca="1">IF($A32=0,VLOOKUP($B32,Outputs!$N:$R,3,FALSE),"")</f>
        <v>35.764858027128632</v>
      </c>
    </row>
    <row r="33" spans="1:17">
      <c r="A33" s="203">
        <f>IF(VLOOKUP(B33,TOCA_current!$B$2:$AG$137,32,FALSE)=0,0,1)</f>
        <v>0</v>
      </c>
      <c r="B33" t="s">
        <v>63</v>
      </c>
      <c r="C33" s="60" t="str">
        <f>IF(A33=1,VLOOKUP($B33,Outputs!$B:$F,2,FALSE),"")</f>
        <v/>
      </c>
      <c r="D33" s="60">
        <f ca="1">IF(A33=0,VLOOKUP($B33,Outputs!$B:$F,2,FALSE),"")</f>
        <v>-3.963285909878058E-2</v>
      </c>
      <c r="E33" s="68"/>
      <c r="F33" s="69" t="str">
        <f>IF(A33=1,VLOOKUP($B33,Outputs!$H:$L,2,FALSE),"")</f>
        <v/>
      </c>
      <c r="G33" s="70">
        <f ca="1">IF(A33=0,VLOOKUP($B33,Outputs!$H:$L,2,FALSE),"")</f>
        <v>-3.9632859098785674E-2</v>
      </c>
      <c r="J33" s="63">
        <f ca="1">VLOOKUP($B33,Outputs!$N:$R,2,FALSE)</f>
        <v>-3.7233766840273151E-2</v>
      </c>
      <c r="K33" s="63">
        <f ca="1">+VLOOKUP(B33,Outputs!T:U,2,FALSE)</f>
        <v>-7.9662710145187443E-3</v>
      </c>
      <c r="L33" s="60" t="str">
        <f>IF($A33=1,VLOOKUP($B33,Outputs!$B:$F,3,FALSE),"")</f>
        <v/>
      </c>
      <c r="M33" s="60">
        <f ca="1">IF($A33=0,VLOOKUP($B33,Outputs!$B:$F,3,FALSE),"")</f>
        <v>37.142992727711224</v>
      </c>
      <c r="N33" s="60" t="str">
        <f>IF($A33=1,VLOOKUP($B33,Outputs!$H:$L,3,FALSE),"")</f>
        <v/>
      </c>
      <c r="O33" s="60">
        <f ca="1">IF($A33=0,VLOOKUP($B33,Outputs!$H:$L,3,FALSE),"")</f>
        <v>37.142992727711224</v>
      </c>
      <c r="P33" s="60" t="str">
        <f>IF($A33=1,VLOOKUP($B33,Outputs!$N:$R,3,FALSE),"")</f>
        <v/>
      </c>
      <c r="Q33" s="60">
        <f ca="1">IF($A33=0,VLOOKUP($B33,Outputs!$N:$R,3,FALSE),"")</f>
        <v>36.868292887285584</v>
      </c>
    </row>
    <row r="34" spans="1:17">
      <c r="A34" s="203">
        <f>IF(VLOOKUP(B34,TOCA_current!$B$2:$AG$137,32,FALSE)=0,0,1)</f>
        <v>0</v>
      </c>
      <c r="B34" t="s">
        <v>92</v>
      </c>
      <c r="C34" s="60" t="str">
        <f>IF(A34=1,VLOOKUP($B34,Outputs!$B:$F,2,FALSE),"")</f>
        <v/>
      </c>
      <c r="D34" s="60">
        <f ca="1">IF(A34=0,VLOOKUP($B34,Outputs!$B:$F,2,FALSE),"")</f>
        <v>-4.1073144713367017E-2</v>
      </c>
      <c r="E34" s="68"/>
      <c r="F34" s="69" t="str">
        <f>IF(A34=1,VLOOKUP($B34,Outputs!$H:$L,2,FALSE),"")</f>
        <v/>
      </c>
      <c r="G34" s="70">
        <f ca="1">IF(A34=0,VLOOKUP($B34,Outputs!$H:$L,2,FALSE),"")</f>
        <v>-4.1073144713363069E-2</v>
      </c>
      <c r="J34" s="63">
        <f ca="1">VLOOKUP($B34,Outputs!$N:$R,2,FALSE)</f>
        <v>-4.8106745424727627E-2</v>
      </c>
      <c r="K34" s="63">
        <f ca="1">+VLOOKUP(B34,Outputs!T:U,2,FALSE)</f>
        <v>-1.1819454838005283E-2</v>
      </c>
      <c r="L34" s="60" t="str">
        <f>IF($A34=1,VLOOKUP($B34,Outputs!$B:$F,3,FALSE),"")</f>
        <v/>
      </c>
      <c r="M34" s="60">
        <f ca="1">IF($A34=0,VLOOKUP($B34,Outputs!$B:$F,3,FALSE),"")</f>
        <v>32.165638360219141</v>
      </c>
      <c r="N34" s="60" t="str">
        <f>IF($A34=1,VLOOKUP($B34,Outputs!$H:$L,3,FALSE),"")</f>
        <v/>
      </c>
      <c r="O34" s="60">
        <f ca="1">IF($A34=0,VLOOKUP($B34,Outputs!$H:$L,3,FALSE),"")</f>
        <v>32.165638360219141</v>
      </c>
      <c r="P34" s="60" t="str">
        <f>IF($A34=1,VLOOKUP($B34,Outputs!$N:$R,3,FALSE),"")</f>
        <v/>
      </c>
      <c r="Q34" s="60">
        <f ca="1">IF($A34=0,VLOOKUP($B34,Outputs!$N:$R,3,FALSE),"")</f>
        <v>32.413563864376066</v>
      </c>
    </row>
    <row r="35" spans="1:17">
      <c r="A35" s="203">
        <f>IF(VLOOKUP(B35,TOCA_current!$B$2:$AG$137,32,FALSE)=0,0,1)</f>
        <v>0</v>
      </c>
      <c r="B35" t="s">
        <v>74</v>
      </c>
      <c r="C35" s="60" t="str">
        <f>IF(A35=1,VLOOKUP($B35,Outputs!$B:$F,2,FALSE),"")</f>
        <v/>
      </c>
      <c r="D35" s="60">
        <f ca="1">IF(A35=0,VLOOKUP($B35,Outputs!$B:$F,2,FALSE),"")</f>
        <v>-3.6400013264331954E-2</v>
      </c>
      <c r="E35" s="68"/>
      <c r="F35" s="69" t="str">
        <f>IF(A35=1,VLOOKUP($B35,Outputs!$H:$L,2,FALSE),"")</f>
        <v/>
      </c>
      <c r="G35" s="70">
        <f ca="1">IF(A35=0,VLOOKUP($B35,Outputs!$H:$L,2,FALSE),"")</f>
        <v>-3.6400013264327132E-2</v>
      </c>
      <c r="J35" s="63">
        <f ca="1">VLOOKUP($B35,Outputs!$N:$R,2,FALSE)</f>
        <v>-3.7309579400411706E-2</v>
      </c>
      <c r="K35" s="63">
        <f ca="1">+VLOOKUP(B35,Outputs!T:U,2,FALSE)</f>
        <v>-2.4245217127619956E-2</v>
      </c>
      <c r="L35" s="60" t="str">
        <f>IF($A35=1,VLOOKUP($B35,Outputs!$B:$F,3,FALSE),"")</f>
        <v/>
      </c>
      <c r="M35" s="60">
        <f ca="1">IF($A35=0,VLOOKUP($B35,Outputs!$B:$F,3,FALSE),"")</f>
        <v>34.581749629095995</v>
      </c>
      <c r="N35" s="60" t="str">
        <f>IF($A35=1,VLOOKUP($B35,Outputs!$H:$L,3,FALSE),"")</f>
        <v/>
      </c>
      <c r="O35" s="60">
        <f ca="1">IF($A35=0,VLOOKUP($B35,Outputs!$H:$L,3,FALSE),"")</f>
        <v>34.581749629095995</v>
      </c>
      <c r="P35" s="60" t="str">
        <f>IF($A35=1,VLOOKUP($B35,Outputs!$N:$R,3,FALSE),"")</f>
        <v/>
      </c>
      <c r="Q35" s="60">
        <f ca="1">IF($A35=0,VLOOKUP($B35,Outputs!$N:$R,3,FALSE),"")</f>
        <v>33.791004376726804</v>
      </c>
    </row>
    <row r="36" spans="1:17">
      <c r="A36" s="203">
        <f>IF(VLOOKUP(B36,TOCA_current!$B$2:$AG$137,32,FALSE)=0,0,1)</f>
        <v>0</v>
      </c>
      <c r="B36" t="s">
        <v>138</v>
      </c>
      <c r="C36" s="60" t="str">
        <f>IF(A36=1,VLOOKUP($B36,Outputs!$B:$F,2,FALSE),"")</f>
        <v/>
      </c>
      <c r="D36" s="60">
        <f ca="1">IF(A36=0,VLOOKUP($B36,Outputs!$B:$F,2,FALSE),"")</f>
        <v>-3.3351182716249705E-2</v>
      </c>
      <c r="E36" s="68"/>
      <c r="F36" s="69" t="str">
        <f>IF(A36=1,VLOOKUP($B36,Outputs!$H:$L,2,FALSE),"")</f>
        <v/>
      </c>
      <c r="G36" s="70">
        <f ca="1">IF(A36=0,VLOOKUP($B36,Outputs!$H:$L,2,FALSE),"")</f>
        <v>-3.3351182716240164E-2</v>
      </c>
      <c r="J36" s="63">
        <f ca="1">VLOOKUP($B36,Outputs!$N:$R,2,FALSE)</f>
        <v>-3.3568377395568741E-2</v>
      </c>
      <c r="K36" s="63">
        <f ca="1">+VLOOKUP(B36,Outputs!T:U,2,FALSE)</f>
        <v>-3.9656698898375087E-2</v>
      </c>
      <c r="L36" s="60" t="str">
        <f>IF($A36=1,VLOOKUP($B36,Outputs!$B:$F,3,FALSE),"")</f>
        <v/>
      </c>
      <c r="M36" s="60">
        <f ca="1">IF($A36=0,VLOOKUP($B36,Outputs!$B:$F,3,FALSE),"")</f>
        <v>35.282155513244959</v>
      </c>
      <c r="N36" s="60" t="str">
        <f>IF($A36=1,VLOOKUP($B36,Outputs!$H:$L,3,FALSE),"")</f>
        <v/>
      </c>
      <c r="O36" s="60">
        <f ca="1">IF($A36=0,VLOOKUP($B36,Outputs!$H:$L,3,FALSE),"")</f>
        <v>35.282155513244959</v>
      </c>
      <c r="P36" s="60" t="str">
        <f>IF($A36=1,VLOOKUP($B36,Outputs!$N:$R,3,FALSE),"")</f>
        <v/>
      </c>
      <c r="Q36" s="60">
        <f ca="1">IF($A36=0,VLOOKUP($B36,Outputs!$N:$R,3,FALSE),"")</f>
        <v>34.69823969896386</v>
      </c>
    </row>
    <row r="37" spans="1:17">
      <c r="A37" s="203">
        <f>IF(VLOOKUP(B37,TOCA_current!$B$2:$AG$137,32,FALSE)=0,0,1)</f>
        <v>0</v>
      </c>
      <c r="B37" t="s">
        <v>113</v>
      </c>
      <c r="C37" s="60" t="str">
        <f>IF(A37=1,VLOOKUP($B37,Outputs!$B:$F,2,FALSE),"")</f>
        <v/>
      </c>
      <c r="D37" s="60">
        <f ca="1">IF(A37=0,VLOOKUP($B37,Outputs!$B:$F,2,FALSE),"")</f>
        <v>-4.3817238867438824E-2</v>
      </c>
      <c r="E37" s="68"/>
      <c r="F37" s="69" t="str">
        <f>IF(A37=1,VLOOKUP($B37,Outputs!$H:$L,2,FALSE),"")</f>
        <v/>
      </c>
      <c r="G37" s="70">
        <f ca="1">IF(A37=0,VLOOKUP($B37,Outputs!$H:$L,2,FALSE),"")</f>
        <v>-4.3817238867435375E-2</v>
      </c>
      <c r="J37" s="63">
        <f ca="1">VLOOKUP($B37,Outputs!$N:$R,2,FALSE)</f>
        <v>-4.1068165219230846E-2</v>
      </c>
      <c r="K37" s="63">
        <f ca="1">+VLOOKUP(B37,Outputs!T:U,2,FALSE)</f>
        <v>-3.9709936876656027E-2</v>
      </c>
      <c r="L37" s="60" t="str">
        <f>IF($A37=1,VLOOKUP($B37,Outputs!$B:$F,3,FALSE),"")</f>
        <v/>
      </c>
      <c r="M37" s="60">
        <f ca="1">IF($A37=0,VLOOKUP($B37,Outputs!$B:$F,3,FALSE),"")</f>
        <v>29.127990517397784</v>
      </c>
      <c r="N37" s="60" t="str">
        <f>IF($A37=1,VLOOKUP($B37,Outputs!$H:$L,3,FALSE),"")</f>
        <v/>
      </c>
      <c r="O37" s="60">
        <f ca="1">IF($A37=0,VLOOKUP($B37,Outputs!$H:$L,3,FALSE),"")</f>
        <v>29.127990517397784</v>
      </c>
      <c r="P37" s="60" t="str">
        <f>IF($A37=1,VLOOKUP($B37,Outputs!$N:$R,3,FALSE),"")</f>
        <v/>
      </c>
      <c r="Q37" s="60">
        <f ca="1">IF($A37=0,VLOOKUP($B37,Outputs!$N:$R,3,FALSE),"")</f>
        <v>30.439853988254601</v>
      </c>
    </row>
    <row r="38" spans="1:17">
      <c r="A38" s="203">
        <f>IF(VLOOKUP(B38,TOCA_current!$B$2:$AG$137,32,FALSE)=0,0,1)</f>
        <v>0</v>
      </c>
      <c r="B38" t="s">
        <v>33</v>
      </c>
      <c r="C38" s="60" t="str">
        <f>IF(A38=1,VLOOKUP($B38,Outputs!$B:$F,2,FALSE),"")</f>
        <v/>
      </c>
      <c r="D38" s="60">
        <f ca="1">IF(A38=0,VLOOKUP($B38,Outputs!$B:$F,2,FALSE),"")</f>
        <v>-3.6435996214433684E-2</v>
      </c>
      <c r="E38" s="68"/>
      <c r="F38" s="69" t="str">
        <f>IF(A38=1,VLOOKUP($B38,Outputs!$H:$L,2,FALSE),"")</f>
        <v/>
      </c>
      <c r="G38" s="70">
        <f ca="1">IF(A38=0,VLOOKUP($B38,Outputs!$H:$L,2,FALSE),"")</f>
        <v>-3.6435996214435114E-2</v>
      </c>
      <c r="J38" s="63">
        <f ca="1">VLOOKUP($B38,Outputs!$N:$R,2,FALSE)</f>
        <v>-3.2950369006349893E-2</v>
      </c>
      <c r="K38" s="63">
        <f ca="1">+VLOOKUP(B38,Outputs!T:U,2,FALSE)</f>
        <v>-1.385993757919568E-2</v>
      </c>
      <c r="L38" s="60" t="str">
        <f>IF($A38=1,VLOOKUP($B38,Outputs!$B:$F,3,FALSE),"")</f>
        <v/>
      </c>
      <c r="M38" s="60">
        <f ca="1">IF($A38=0,VLOOKUP($B38,Outputs!$B:$F,3,FALSE),"")</f>
        <v>36.530007250044477</v>
      </c>
      <c r="N38" s="60" t="str">
        <f>IF($A38=1,VLOOKUP($B38,Outputs!$H:$L,3,FALSE),"")</f>
        <v/>
      </c>
      <c r="O38" s="60">
        <f ca="1">IF($A38=0,VLOOKUP($B38,Outputs!$H:$L,3,FALSE),"")</f>
        <v>36.530007250044477</v>
      </c>
      <c r="P38" s="60" t="str">
        <f>IF($A38=1,VLOOKUP($B38,Outputs!$N:$R,3,FALSE),"")</f>
        <v/>
      </c>
      <c r="Q38" s="60">
        <f ca="1">IF($A38=0,VLOOKUP($B38,Outputs!$N:$R,3,FALSE),"")</f>
        <v>35.866313777900821</v>
      </c>
    </row>
    <row r="39" spans="1:17">
      <c r="A39" s="203">
        <f>IF(VLOOKUP(B39,TOCA_current!$B$2:$AG$137,32,FALSE)=0,0,1)</f>
        <v>0</v>
      </c>
      <c r="B39" t="s">
        <v>18</v>
      </c>
      <c r="C39" s="60" t="str">
        <f>IF(A39=1,VLOOKUP($B39,Outputs!$B:$F,2,FALSE),"")</f>
        <v/>
      </c>
      <c r="D39" s="60">
        <f ca="1">IF(A39=0,VLOOKUP($B39,Outputs!$B:$F,2,FALSE),"")</f>
        <v>-3.6330540715817143E-2</v>
      </c>
      <c r="E39" s="68"/>
      <c r="F39" s="69" t="str">
        <f>IF(A39=1,VLOOKUP($B39,Outputs!$H:$L,2,FALSE),"")</f>
        <v/>
      </c>
      <c r="G39" s="70">
        <f ca="1">IF(A39=0,VLOOKUP($B39,Outputs!$H:$L,2,FALSE),"")</f>
        <v>-3.6330540715820564E-2</v>
      </c>
      <c r="J39" s="63">
        <f ca="1">VLOOKUP($B39,Outputs!$N:$R,2,FALSE)</f>
        <v>-3.4295107209170866E-2</v>
      </c>
      <c r="K39" s="63">
        <f ca="1">+VLOOKUP(B39,Outputs!T:U,2,FALSE)</f>
        <v>-3.3020211860963378E-2</v>
      </c>
      <c r="L39" s="60" t="str">
        <f>IF($A39=1,VLOOKUP($B39,Outputs!$B:$F,3,FALSE),"")</f>
        <v/>
      </c>
      <c r="M39" s="60">
        <f ca="1">IF($A39=0,VLOOKUP($B39,Outputs!$B:$F,3,FALSE),"")</f>
        <v>36.251080530852406</v>
      </c>
      <c r="N39" s="60" t="str">
        <f>IF($A39=1,VLOOKUP($B39,Outputs!$H:$L,3,FALSE),"")</f>
        <v/>
      </c>
      <c r="O39" s="60">
        <f ca="1">IF($A39=0,VLOOKUP($B39,Outputs!$H:$L,3,FALSE),"")</f>
        <v>36.251080530852406</v>
      </c>
      <c r="P39" s="60" t="str">
        <f>IF($A39=1,VLOOKUP($B39,Outputs!$N:$R,3,FALSE),"")</f>
        <v/>
      </c>
      <c r="Q39" s="60">
        <f ca="1">IF($A39=0,VLOOKUP($B39,Outputs!$N:$R,3,FALSE),"")</f>
        <v>35.775114164522897</v>
      </c>
    </row>
    <row r="40" spans="1:17">
      <c r="A40" s="203">
        <f>IF(VLOOKUP(B40,TOCA_current!$B$2:$AG$137,32,FALSE)=0,0,1)</f>
        <v>0</v>
      </c>
      <c r="B40" t="s">
        <v>36</v>
      </c>
      <c r="C40" s="60" t="str">
        <f>IF(A40=1,VLOOKUP($B40,Outputs!$B:$F,2,FALSE),"")</f>
        <v/>
      </c>
      <c r="D40" s="60">
        <f ca="1">IF(A40=0,VLOOKUP($B40,Outputs!$B:$F,2,FALSE),"")</f>
        <v>-3.3458383392062786E-2</v>
      </c>
      <c r="E40" s="68"/>
      <c r="F40" s="69" t="str">
        <f>IF(A40=1,VLOOKUP($B40,Outputs!$H:$L,2,FALSE),"")</f>
        <v/>
      </c>
      <c r="G40" s="70">
        <f ca="1">IF(A40=0,VLOOKUP($B40,Outputs!$H:$L,2,FALSE),"")</f>
        <v>-3.3458383392064174E-2</v>
      </c>
      <c r="J40" s="63">
        <f ca="1">VLOOKUP($B40,Outputs!$N:$R,2,FALSE)</f>
        <v>-3.1385844454885806E-2</v>
      </c>
      <c r="K40" s="63">
        <f ca="1">+VLOOKUP(B40,Outputs!T:U,2,FALSE)</f>
        <v>-1.7534956979619709E-2</v>
      </c>
      <c r="L40" s="60" t="str">
        <f>IF($A40=1,VLOOKUP($B40,Outputs!$B:$F,3,FALSE),"")</f>
        <v/>
      </c>
      <c r="M40" s="60">
        <f ca="1">IF($A40=0,VLOOKUP($B40,Outputs!$B:$F,3,FALSE),"")</f>
        <v>36.863356215731045</v>
      </c>
      <c r="N40" s="60" t="str">
        <f>IF($A40=1,VLOOKUP($B40,Outputs!$H:$L,3,FALSE),"")</f>
        <v/>
      </c>
      <c r="O40" s="60">
        <f ca="1">IF($A40=0,VLOOKUP($B40,Outputs!$H:$L,3,FALSE),"")</f>
        <v>36.863356215731045</v>
      </c>
      <c r="P40" s="60" t="str">
        <f>IF($A40=1,VLOOKUP($B40,Outputs!$N:$R,3,FALSE),"")</f>
        <v/>
      </c>
      <c r="Q40" s="60">
        <f ca="1">IF($A40=0,VLOOKUP($B40,Outputs!$N:$R,3,FALSE),"")</f>
        <v>36.250034582104533</v>
      </c>
    </row>
    <row r="41" spans="1:17">
      <c r="A41" s="203">
        <f>IF(VLOOKUP(B41,TOCA_current!$B$2:$AG$137,32,FALSE)=0,0,1)</f>
        <v>0</v>
      </c>
      <c r="B41" t="s">
        <v>19</v>
      </c>
      <c r="C41" s="60" t="str">
        <f>IF(A41=1,VLOOKUP($B41,Outputs!$B:$F,2,FALSE),"")</f>
        <v/>
      </c>
      <c r="D41" s="60">
        <f ca="1">IF(A41=0,VLOOKUP($B41,Outputs!$B:$F,2,FALSE),"")</f>
        <v>-3.2360737973041474E-2</v>
      </c>
      <c r="E41" s="68"/>
      <c r="F41" s="69" t="str">
        <f>IF(A41=1,VLOOKUP($B41,Outputs!$H:$L,2,FALSE),"")</f>
        <v/>
      </c>
      <c r="G41" s="70">
        <f ca="1">IF(A41=0,VLOOKUP($B41,Outputs!$H:$L,2,FALSE),"")</f>
        <v>-3.236073797304017E-2</v>
      </c>
      <c r="J41" s="63">
        <f ca="1">VLOOKUP($B41,Outputs!$N:$R,2,FALSE)</f>
        <v>-3.3396435116270884E-2</v>
      </c>
      <c r="K41" s="63">
        <f ca="1">+VLOOKUP(B41,Outputs!T:U,2,FALSE)</f>
        <v>-1.0424311018219612E-2</v>
      </c>
      <c r="L41" s="60" t="str">
        <f>IF($A41=1,VLOOKUP($B41,Outputs!$B:$F,3,FALSE),"")</f>
        <v/>
      </c>
      <c r="M41" s="60">
        <f ca="1">IF($A41=0,VLOOKUP($B41,Outputs!$B:$F,3,FALSE),"")</f>
        <v>36.654204373547877</v>
      </c>
      <c r="N41" s="60" t="str">
        <f>IF($A41=1,VLOOKUP($B41,Outputs!$H:$L,3,FALSE),"")</f>
        <v/>
      </c>
      <c r="O41" s="60">
        <f ca="1">IF($A41=0,VLOOKUP($B41,Outputs!$H:$L,3,FALSE),"")</f>
        <v>36.654204373547877</v>
      </c>
      <c r="P41" s="60" t="str">
        <f>IF($A41=1,VLOOKUP($B41,Outputs!$N:$R,3,FALSE),"")</f>
        <v/>
      </c>
      <c r="Q41" s="60">
        <f ca="1">IF($A41=0,VLOOKUP($B41,Outputs!$N:$R,3,FALSE),"")</f>
        <v>36.126613020999486</v>
      </c>
    </row>
    <row r="42" spans="1:17">
      <c r="A42" s="203">
        <f>IF(VLOOKUP(B42,TOCA_current!$B$2:$AG$137,32,FALSE)=0,0,1)</f>
        <v>0</v>
      </c>
      <c r="B42" t="s">
        <v>86</v>
      </c>
      <c r="C42" s="60" t="str">
        <f>IF(A42=1,VLOOKUP($B42,Outputs!$B:$F,2,FALSE),"")</f>
        <v/>
      </c>
      <c r="D42" s="60">
        <f ca="1">IF(A42=0,VLOOKUP($B42,Outputs!$B:$F,2,FALSE),"")</f>
        <v>-1.3639166890907896E-2</v>
      </c>
      <c r="E42" s="68"/>
      <c r="F42" s="69" t="str">
        <f>IF(A42=1,VLOOKUP($B42,Outputs!$H:$L,2,FALSE),"")</f>
        <v/>
      </c>
      <c r="G42" s="70">
        <f ca="1">IF(A42=0,VLOOKUP($B42,Outputs!$H:$L,2,FALSE),"")</f>
        <v>-1.3639166890911951E-2</v>
      </c>
      <c r="J42" s="63">
        <f ca="1">VLOOKUP($B42,Outputs!$N:$R,2,FALSE)</f>
        <v>-4.0795930557252974E-2</v>
      </c>
      <c r="K42" s="63">
        <f ca="1">+VLOOKUP(B42,Outputs!T:U,2,FALSE)</f>
        <v>3.3486077221107413E-2</v>
      </c>
      <c r="L42" s="60" t="str">
        <f>IF($A42=1,VLOOKUP($B42,Outputs!$B:$F,3,FALSE),"")</f>
        <v/>
      </c>
      <c r="M42" s="60">
        <f ca="1">IF($A42=0,VLOOKUP($B42,Outputs!$B:$F,3,FALSE),"")</f>
        <v>36.33347745078165</v>
      </c>
      <c r="N42" s="60" t="str">
        <f>IF($A42=1,VLOOKUP($B42,Outputs!$H:$L,3,FALSE),"")</f>
        <v/>
      </c>
      <c r="O42" s="60">
        <f ca="1">IF($A42=0,VLOOKUP($B42,Outputs!$H:$L,3,FALSE),"")</f>
        <v>36.33347745078165</v>
      </c>
      <c r="P42" s="60" t="str">
        <f>IF($A42=1,VLOOKUP($B42,Outputs!$N:$R,3,FALSE),"")</f>
        <v/>
      </c>
      <c r="Q42" s="60">
        <f ca="1">IF($A42=0,VLOOKUP($B42,Outputs!$N:$R,3,FALSE),"")</f>
        <v>34.542889919118103</v>
      </c>
    </row>
    <row r="43" spans="1:17">
      <c r="A43" s="203">
        <f>IF(VLOOKUP(B43,TOCA_current!$B$2:$AG$137,32,FALSE)=0,0,1)</f>
        <v>0</v>
      </c>
      <c r="B43" t="s">
        <v>66</v>
      </c>
      <c r="C43" s="60" t="str">
        <f>IF(A43=1,VLOOKUP($B43,Outputs!$B:$F,2,FALSE),"")</f>
        <v/>
      </c>
      <c r="D43" s="60">
        <f ca="1">IF(A43=0,VLOOKUP($B43,Outputs!$B:$F,2,FALSE),"")</f>
        <v>-3.4889595892820396E-2</v>
      </c>
      <c r="E43" s="68"/>
      <c r="F43" s="69" t="str">
        <f>IF(A43=1,VLOOKUP($B43,Outputs!$H:$L,2,FALSE),"")</f>
        <v/>
      </c>
      <c r="G43" s="70">
        <f ca="1">IF(A43=0,VLOOKUP($B43,Outputs!$H:$L,2,FALSE),"")</f>
        <v>-3.4889595892816629E-2</v>
      </c>
      <c r="J43" s="63">
        <f ca="1">VLOOKUP($B43,Outputs!$N:$R,2,FALSE)</f>
        <v>-3.3397707776194566E-2</v>
      </c>
      <c r="K43" s="63">
        <f ca="1">+VLOOKUP(B43,Outputs!T:U,2,FALSE)</f>
        <v>-1.8528796264993819E-2</v>
      </c>
      <c r="L43" s="60" t="str">
        <f>IF($A43=1,VLOOKUP($B43,Outputs!$B:$F,3,FALSE),"")</f>
        <v/>
      </c>
      <c r="M43" s="60">
        <f ca="1">IF($A43=0,VLOOKUP($B43,Outputs!$B:$F,3,FALSE),"")</f>
        <v>32.999076843229318</v>
      </c>
      <c r="N43" s="60" t="str">
        <f>IF($A43=1,VLOOKUP($B43,Outputs!$H:$L,3,FALSE),"")</f>
        <v/>
      </c>
      <c r="O43" s="60">
        <f ca="1">IF($A43=0,VLOOKUP($B43,Outputs!$H:$L,3,FALSE),"")</f>
        <v>32.999076843229318</v>
      </c>
      <c r="P43" s="60" t="str">
        <f>IF($A43=1,VLOOKUP($B43,Outputs!$N:$R,3,FALSE),"")</f>
        <v/>
      </c>
      <c r="Q43" s="60">
        <f ca="1">IF($A43=0,VLOOKUP($B43,Outputs!$N:$R,3,FALSE),"")</f>
        <v>32.286331873403711</v>
      </c>
    </row>
    <row r="44" spans="1:17">
      <c r="A44" s="203">
        <f>IF(VLOOKUP(B44,TOCA_current!$B$2:$AG$137,32,FALSE)=0,0,1)</f>
        <v>0</v>
      </c>
      <c r="B44" t="s">
        <v>40</v>
      </c>
      <c r="C44" s="60" t="str">
        <f>IF(A44=1,VLOOKUP($B44,Outputs!$B:$F,2,FALSE),"")</f>
        <v/>
      </c>
      <c r="D44" s="60">
        <f ca="1">IF(A44=0,VLOOKUP($B44,Outputs!$B:$F,2,FALSE),"")</f>
        <v>-3.3362024507410999E-2</v>
      </c>
      <c r="E44" s="68"/>
      <c r="F44" s="69" t="str">
        <f>IF(A44=1,VLOOKUP($B44,Outputs!$H:$L,2,FALSE),"")</f>
        <v/>
      </c>
      <c r="G44" s="70">
        <f ca="1">IF(A44=0,VLOOKUP($B44,Outputs!$H:$L,2,FALSE),"")</f>
        <v>-3.3362024507410458E-2</v>
      </c>
      <c r="J44" s="63">
        <f ca="1">VLOOKUP($B44,Outputs!$N:$R,2,FALSE)</f>
        <v>-3.248453647964869E-2</v>
      </c>
      <c r="K44" s="63">
        <f ca="1">+VLOOKUP(B44,Outputs!T:U,2,FALSE)</f>
        <v>-3.2526593435951323E-2</v>
      </c>
      <c r="L44" s="60" t="str">
        <f>IF($A44=1,VLOOKUP($B44,Outputs!$B:$F,3,FALSE),"")</f>
        <v/>
      </c>
      <c r="M44" s="60">
        <f ca="1">IF($A44=0,VLOOKUP($B44,Outputs!$B:$F,3,FALSE),"")</f>
        <v>36.836320219311865</v>
      </c>
      <c r="N44" s="60" t="str">
        <f>IF($A44=1,VLOOKUP($B44,Outputs!$H:$L,3,FALSE),"")</f>
        <v/>
      </c>
      <c r="O44" s="60">
        <f ca="1">IF($A44=0,VLOOKUP($B44,Outputs!$H:$L,3,FALSE),"")</f>
        <v>36.836320219311865</v>
      </c>
      <c r="P44" s="60" t="str">
        <f>IF($A44=1,VLOOKUP($B44,Outputs!$N:$R,3,FALSE),"")</f>
        <v/>
      </c>
      <c r="Q44" s="60">
        <f ca="1">IF($A44=0,VLOOKUP($B44,Outputs!$N:$R,3,FALSE),"")</f>
        <v>36.243098217212939</v>
      </c>
    </row>
    <row r="45" spans="1:17">
      <c r="A45" s="203">
        <f>IF(VLOOKUP(B45,TOCA_current!$B$2:$AG$137,32,FALSE)=0,0,1)</f>
        <v>0</v>
      </c>
      <c r="B45" t="s">
        <v>84</v>
      </c>
      <c r="C45" s="60" t="str">
        <f>IF(A45=1,VLOOKUP($B45,Outputs!$B:$F,2,FALSE),"")</f>
        <v/>
      </c>
      <c r="D45" s="60">
        <f ca="1">IF(A45=0,VLOOKUP($B45,Outputs!$B:$F,2,FALSE),"")</f>
        <v>-4.2482828721823171E-2</v>
      </c>
      <c r="E45" s="68"/>
      <c r="F45" s="69" t="str">
        <f>IF(A45=1,VLOOKUP($B45,Outputs!$H:$L,2,FALSE),"")</f>
        <v/>
      </c>
      <c r="G45" s="70">
        <f ca="1">IF(A45=0,VLOOKUP($B45,Outputs!$H:$L,2,FALSE),"")</f>
        <v>-4.2482828721828104E-2</v>
      </c>
      <c r="J45" s="63">
        <f ca="1">VLOOKUP($B45,Outputs!$N:$R,2,FALSE)</f>
        <v>-4.2782156022750976E-2</v>
      </c>
      <c r="K45" s="63">
        <f ca="1">+VLOOKUP(B45,Outputs!T:U,2,FALSE)</f>
        <v>-5.3711001401662295E-2</v>
      </c>
      <c r="L45" s="60" t="str">
        <f>IF($A45=1,VLOOKUP($B45,Outputs!$B:$F,3,FALSE),"")</f>
        <v/>
      </c>
      <c r="M45" s="60">
        <f ca="1">IF($A45=0,VLOOKUP($B45,Outputs!$B:$F,3,FALSE),"")</f>
        <v>26.997944942499391</v>
      </c>
      <c r="N45" s="60" t="str">
        <f>IF($A45=1,VLOOKUP($B45,Outputs!$H:$L,3,FALSE),"")</f>
        <v/>
      </c>
      <c r="O45" s="60">
        <f ca="1">IF($A45=0,VLOOKUP($B45,Outputs!$H:$L,3,FALSE),"")</f>
        <v>26.997944942499391</v>
      </c>
      <c r="P45" s="60" t="str">
        <f>IF($A45=1,VLOOKUP($B45,Outputs!$N:$R,3,FALSE),"")</f>
        <v/>
      </c>
      <c r="Q45" s="60">
        <f ca="1">IF($A45=0,VLOOKUP($B45,Outputs!$N:$R,3,FALSE),"")</f>
        <v>28.202154720350215</v>
      </c>
    </row>
    <row r="46" spans="1:17">
      <c r="A46" s="203">
        <f>IF(VLOOKUP(B46,TOCA_current!$B$2:$AG$137,32,FALSE)=0,0,1)</f>
        <v>0</v>
      </c>
      <c r="B46" t="s">
        <v>77</v>
      </c>
      <c r="C46" s="60" t="str">
        <f>IF(A46=1,VLOOKUP($B46,Outputs!$B:$F,2,FALSE),"")</f>
        <v/>
      </c>
      <c r="D46" s="60">
        <f ca="1">IF(A46=0,VLOOKUP($B46,Outputs!$B:$F,2,FALSE),"")</f>
        <v>-3.7725899479386399E-2</v>
      </c>
      <c r="E46" s="68"/>
      <c r="F46" s="69" t="str">
        <f>IF(A46=1,VLOOKUP($B46,Outputs!$H:$L,2,FALSE),"")</f>
        <v/>
      </c>
      <c r="G46" s="70">
        <f ca="1">IF(A46=0,VLOOKUP($B46,Outputs!$H:$L,2,FALSE),"")</f>
        <v>-3.7725899479380286E-2</v>
      </c>
      <c r="J46" s="63">
        <f ca="1">VLOOKUP($B46,Outputs!$N:$R,2,FALSE)</f>
        <v>-3.8108443369200717E-2</v>
      </c>
      <c r="K46" s="63">
        <f ca="1">+VLOOKUP(B46,Outputs!T:U,2,FALSE)</f>
        <v>-1.6479831228038422E-2</v>
      </c>
      <c r="L46" s="60" t="str">
        <f>IF($A46=1,VLOOKUP($B46,Outputs!$B:$F,3,FALSE),"")</f>
        <v/>
      </c>
      <c r="M46" s="60">
        <f ca="1">IF($A46=0,VLOOKUP($B46,Outputs!$B:$F,3,FALSE),"")</f>
        <v>36.764206132560446</v>
      </c>
      <c r="N46" s="60" t="str">
        <f>IF($A46=1,VLOOKUP($B46,Outputs!$H:$L,3,FALSE),"")</f>
        <v/>
      </c>
      <c r="O46" s="60">
        <f ca="1">IF($A46=0,VLOOKUP($B46,Outputs!$H:$L,3,FALSE),"")</f>
        <v>36.764206132560446</v>
      </c>
      <c r="P46" s="60" t="str">
        <f>IF($A46=1,VLOOKUP($B46,Outputs!$N:$R,3,FALSE),"")</f>
        <v/>
      </c>
      <c r="Q46" s="60">
        <f ca="1">IF($A46=0,VLOOKUP($B46,Outputs!$N:$R,3,FALSE),"")</f>
        <v>35.248095891331104</v>
      </c>
    </row>
    <row r="47" spans="1:17">
      <c r="A47" s="203">
        <f>IF(VLOOKUP(B47,TOCA_current!$B$2:$AG$137,32,FALSE)=0,0,1)</f>
        <v>0</v>
      </c>
      <c r="B47" t="s">
        <v>95</v>
      </c>
      <c r="C47" s="60" t="str">
        <f>IF(A47=1,VLOOKUP($B47,Outputs!$B:$F,2,FALSE),"")</f>
        <v/>
      </c>
      <c r="D47" s="60">
        <f ca="1">IF(A47=0,VLOOKUP($B47,Outputs!$B:$F,2,FALSE),"")</f>
        <v>-3.280122662005739E-2</v>
      </c>
      <c r="E47" s="68"/>
      <c r="F47" s="69" t="str">
        <f>IF(A47=1,VLOOKUP($B47,Outputs!$H:$L,2,FALSE),"")</f>
        <v/>
      </c>
      <c r="G47" s="70">
        <f ca="1">IF(A47=0,VLOOKUP($B47,Outputs!$H:$L,2,FALSE),"")</f>
        <v>-3.2801226620050014E-2</v>
      </c>
      <c r="J47" s="63">
        <f ca="1">VLOOKUP($B47,Outputs!$N:$R,2,FALSE)</f>
        <v>-3.511365863642614E-2</v>
      </c>
      <c r="K47" s="63">
        <f ca="1">+VLOOKUP(B47,Outputs!T:U,2,FALSE)</f>
        <v>-3.3474067015095699E-3</v>
      </c>
      <c r="L47" s="60" t="str">
        <f>IF($A47=1,VLOOKUP($B47,Outputs!$B:$F,3,FALSE),"")</f>
        <v/>
      </c>
      <c r="M47" s="60">
        <f ca="1">IF($A47=0,VLOOKUP($B47,Outputs!$B:$F,3,FALSE),"")</f>
        <v>35.62918623771634</v>
      </c>
      <c r="N47" s="60" t="str">
        <f>IF($A47=1,VLOOKUP($B47,Outputs!$H:$L,3,FALSE),"")</f>
        <v/>
      </c>
      <c r="O47" s="60">
        <f ca="1">IF($A47=0,VLOOKUP($B47,Outputs!$H:$L,3,FALSE),"")</f>
        <v>35.62918623771634</v>
      </c>
      <c r="P47" s="60" t="str">
        <f>IF($A47=1,VLOOKUP($B47,Outputs!$N:$R,3,FALSE),"")</f>
        <v/>
      </c>
      <c r="Q47" s="60">
        <f ca="1">IF($A47=0,VLOOKUP($B47,Outputs!$N:$R,3,FALSE),"")</f>
        <v>34.765254206593198</v>
      </c>
    </row>
    <row r="48" spans="1:17">
      <c r="A48" s="203">
        <f>IF(VLOOKUP(B48,TOCA_current!$B$2:$AG$137,32,FALSE)=0,0,1)</f>
        <v>0</v>
      </c>
      <c r="B48" t="s">
        <v>34</v>
      </c>
      <c r="C48" s="60" t="str">
        <f>IF(A48=1,VLOOKUP($B48,Outputs!$B:$F,2,FALSE),"")</f>
        <v/>
      </c>
      <c r="D48" s="60">
        <f ca="1">IF(A48=0,VLOOKUP($B48,Outputs!$B:$F,2,FALSE),"")</f>
        <v>-3.2919402387621054E-2</v>
      </c>
      <c r="E48" s="68"/>
      <c r="F48" s="69" t="str">
        <f>IF(A48=1,VLOOKUP($B48,Outputs!$H:$L,2,FALSE),"")</f>
        <v/>
      </c>
      <c r="G48" s="70">
        <f ca="1">IF(A48=0,VLOOKUP($B48,Outputs!$H:$L,2,FALSE),"")</f>
        <v>-3.2919402387617334E-2</v>
      </c>
      <c r="J48" s="63">
        <f ca="1">VLOOKUP($B48,Outputs!$N:$R,2,FALSE)</f>
        <v>-2.6188455780329394E-2</v>
      </c>
      <c r="K48" s="63">
        <f ca="1">+VLOOKUP(B48,Outputs!T:U,2,FALSE)</f>
        <v>-6.2345942921028019E-2</v>
      </c>
      <c r="L48" s="60" t="str">
        <f>IF($A48=1,VLOOKUP($B48,Outputs!$B:$F,3,FALSE),"")</f>
        <v/>
      </c>
      <c r="M48" s="60">
        <f ca="1">IF($A48=0,VLOOKUP($B48,Outputs!$B:$F,3,FALSE),"")</f>
        <v>37.062265613386856</v>
      </c>
      <c r="N48" s="60" t="str">
        <f>IF($A48=1,VLOOKUP($B48,Outputs!$H:$L,3,FALSE),"")</f>
        <v/>
      </c>
      <c r="O48" s="60">
        <f ca="1">IF($A48=0,VLOOKUP($B48,Outputs!$H:$L,3,FALSE),"")</f>
        <v>37.062265613386856</v>
      </c>
      <c r="P48" s="60" t="str">
        <f>IF($A48=1,VLOOKUP($B48,Outputs!$N:$R,3,FALSE),"")</f>
        <v/>
      </c>
      <c r="Q48" s="60">
        <f ca="1">IF($A48=0,VLOOKUP($B48,Outputs!$N:$R,3,FALSE),"")</f>
        <v>35.985967839518423</v>
      </c>
    </row>
    <row r="49" spans="1:17">
      <c r="A49" s="203">
        <f>IF(VLOOKUP(B49,TOCA_current!$B$2:$AG$137,32,FALSE)=0,0,1)</f>
        <v>0</v>
      </c>
      <c r="B49" t="s">
        <v>117</v>
      </c>
      <c r="C49" s="60" t="str">
        <f>IF(A49=1,VLOOKUP($B49,Outputs!$B:$F,2,FALSE),"")</f>
        <v/>
      </c>
      <c r="D49" s="60">
        <f ca="1">IF(A49=0,VLOOKUP($B49,Outputs!$B:$F,2,FALSE),"")</f>
        <v>-3.6862456320609915E-2</v>
      </c>
      <c r="E49" s="68"/>
      <c r="F49" s="69" t="str">
        <f>IF(A49=1,VLOOKUP($B49,Outputs!$H:$L,2,FALSE),"")</f>
        <v/>
      </c>
      <c r="G49" s="70">
        <f ca="1">IF(A49=0,VLOOKUP($B49,Outputs!$H:$L,2,FALSE),"")</f>
        <v>-3.6862456320603677E-2</v>
      </c>
      <c r="J49" s="63">
        <f ca="1">VLOOKUP($B49,Outputs!$N:$R,2,FALSE)</f>
        <v>-3.5645184349239724E-2</v>
      </c>
      <c r="K49" s="63">
        <f ca="1">+VLOOKUP(B49,Outputs!T:U,2,FALSE)</f>
        <v>-2.270800615162416E-2</v>
      </c>
      <c r="L49" s="60" t="str">
        <f>IF($A49=1,VLOOKUP($B49,Outputs!$B:$F,3,FALSE),"")</f>
        <v/>
      </c>
      <c r="M49" s="60">
        <f ca="1">IF($A49=0,VLOOKUP($B49,Outputs!$B:$F,3,FALSE),"")</f>
        <v>35.05285536954527</v>
      </c>
      <c r="N49" s="60" t="str">
        <f>IF($A49=1,VLOOKUP($B49,Outputs!$H:$L,3,FALSE),"")</f>
        <v/>
      </c>
      <c r="O49" s="60">
        <f ca="1">IF($A49=0,VLOOKUP($B49,Outputs!$H:$L,3,FALSE),"")</f>
        <v>35.05285536954527</v>
      </c>
      <c r="P49" s="60" t="str">
        <f>IF($A49=1,VLOOKUP($B49,Outputs!$N:$R,3,FALSE),"")</f>
        <v/>
      </c>
      <c r="Q49" s="60">
        <f ca="1">IF($A49=0,VLOOKUP($B49,Outputs!$N:$R,3,FALSE),"")</f>
        <v>34.48622635965085</v>
      </c>
    </row>
    <row r="50" spans="1:17">
      <c r="A50" s="203">
        <f>IF(VLOOKUP(B50,TOCA_current!$B$2:$AG$137,32,FALSE)=0,0,1)</f>
        <v>0</v>
      </c>
      <c r="B50" t="s">
        <v>48</v>
      </c>
      <c r="C50" s="60" t="str">
        <f>IF(A50=1,VLOOKUP($B50,Outputs!$B:$F,2,FALSE),"")</f>
        <v/>
      </c>
      <c r="D50" s="60">
        <f ca="1">IF(A50=0,VLOOKUP($B50,Outputs!$B:$F,2,FALSE),"")</f>
        <v>-4.4975100591209044E-2</v>
      </c>
      <c r="E50" s="68"/>
      <c r="F50" s="69" t="str">
        <f>IF(A50=1,VLOOKUP($B50,Outputs!$H:$L,2,FALSE),"")</f>
        <v/>
      </c>
      <c r="G50" s="70">
        <f ca="1">IF(A50=0,VLOOKUP($B50,Outputs!$H:$L,2,FALSE),"")</f>
        <v>-4.4975100591207705E-2</v>
      </c>
      <c r="J50" s="63">
        <f ca="1">VLOOKUP($B50,Outputs!$N:$R,2,FALSE)</f>
        <v>-3.9507646321275923E-2</v>
      </c>
      <c r="K50" s="63">
        <f ca="1">+VLOOKUP(B50,Outputs!T:U,2,FALSE)</f>
        <v>-2.5981419014643459E-3</v>
      </c>
      <c r="L50" s="60" t="str">
        <f>IF($A50=1,VLOOKUP($B50,Outputs!$B:$F,3,FALSE),"")</f>
        <v/>
      </c>
      <c r="M50" s="60">
        <f ca="1">IF($A50=0,VLOOKUP($B50,Outputs!$B:$F,3,FALSE),"")</f>
        <v>33.133168906847096</v>
      </c>
      <c r="N50" s="60" t="str">
        <f>IF($A50=1,VLOOKUP($B50,Outputs!$H:$L,3,FALSE),"")</f>
        <v/>
      </c>
      <c r="O50" s="60">
        <f ca="1">IF($A50=0,VLOOKUP($B50,Outputs!$H:$L,3,FALSE),"")</f>
        <v>33.133168906847096</v>
      </c>
      <c r="P50" s="60" t="str">
        <f>IF($A50=1,VLOOKUP($B50,Outputs!$N:$R,3,FALSE),"")</f>
        <v/>
      </c>
      <c r="Q50" s="60">
        <f ca="1">IF($A50=0,VLOOKUP($B50,Outputs!$N:$R,3,FALSE),"")</f>
        <v>33.838884936130754</v>
      </c>
    </row>
    <row r="51" spans="1:17">
      <c r="A51" s="203">
        <f>IF(VLOOKUP(B51,TOCA_current!$B$2:$AG$137,32,FALSE)=0,0,1)</f>
        <v>0</v>
      </c>
      <c r="B51" t="s">
        <v>109</v>
      </c>
      <c r="C51" s="60" t="str">
        <f>IF(A51=1,VLOOKUP($B51,Outputs!$B:$F,2,FALSE),"")</f>
        <v/>
      </c>
      <c r="D51" s="60">
        <f ca="1">IF(A51=0,VLOOKUP($B51,Outputs!$B:$F,2,FALSE),"")</f>
        <v>-3.5659641214563442E-2</v>
      </c>
      <c r="E51" s="68"/>
      <c r="F51" s="69" t="str">
        <f>IF(A51=1,VLOOKUP($B51,Outputs!$H:$L,2,FALSE),"")</f>
        <v/>
      </c>
      <c r="G51" s="70">
        <f ca="1">IF(A51=0,VLOOKUP($B51,Outputs!$H:$L,2,FALSE),"")</f>
        <v>-3.5659641214560112E-2</v>
      </c>
      <c r="J51" s="63">
        <f ca="1">VLOOKUP($B51,Outputs!$N:$R,2,FALSE)</f>
        <v>-3.3942093930437407E-2</v>
      </c>
      <c r="K51" s="63">
        <f ca="1">+VLOOKUP(B51,Outputs!T:U,2,FALSE)</f>
        <v>-2.1401202894787086E-2</v>
      </c>
      <c r="L51" s="60" t="str">
        <f>IF($A51=1,VLOOKUP($B51,Outputs!$B:$F,3,FALSE),"")</f>
        <v/>
      </c>
      <c r="M51" s="60">
        <f ca="1">IF($A51=0,VLOOKUP($B51,Outputs!$B:$F,3,FALSE),"")</f>
        <v>30.303728919238587</v>
      </c>
      <c r="N51" s="60" t="str">
        <f>IF($A51=1,VLOOKUP($B51,Outputs!$H:$L,3,FALSE),"")</f>
        <v/>
      </c>
      <c r="O51" s="60">
        <f ca="1">IF($A51=0,VLOOKUP($B51,Outputs!$H:$L,3,FALSE),"")</f>
        <v>30.303728919238587</v>
      </c>
      <c r="P51" s="60" t="str">
        <f>IF($A51=1,VLOOKUP($B51,Outputs!$N:$R,3,FALSE),"")</f>
        <v/>
      </c>
      <c r="Q51" s="60">
        <f ca="1">IF($A51=0,VLOOKUP($B51,Outputs!$N:$R,3,FALSE),"")</f>
        <v>30.466125220471721</v>
      </c>
    </row>
    <row r="52" spans="1:17">
      <c r="A52" s="203">
        <f>IF(VLOOKUP(B52,TOCA_current!$B$2:$AG$137,32,FALSE)=0,0,1)</f>
        <v>0</v>
      </c>
      <c r="B52" t="s">
        <v>136</v>
      </c>
      <c r="C52" s="60" t="str">
        <f>IF(A52=1,VLOOKUP($B52,Outputs!$B:$F,2,FALSE),"")</f>
        <v/>
      </c>
      <c r="D52" s="60">
        <f ca="1">IF(A52=0,VLOOKUP($B52,Outputs!$B:$F,2,FALSE),"")</f>
        <v>-3.6557349362546177E-2</v>
      </c>
      <c r="E52" s="68"/>
      <c r="F52" s="69" t="str">
        <f>IF(A52=1,VLOOKUP($B52,Outputs!$H:$L,2,FALSE),"")</f>
        <v/>
      </c>
      <c r="G52" s="70">
        <f ca="1">IF(A52=0,VLOOKUP($B52,Outputs!$H:$L,2,FALSE),"")</f>
        <v>-3.6557349362544421E-2</v>
      </c>
      <c r="J52" s="63">
        <f ca="1">VLOOKUP($B52,Outputs!$N:$R,2,FALSE)</f>
        <v>-3.5261604319210896E-2</v>
      </c>
      <c r="K52" s="63">
        <f ca="1">+VLOOKUP(B52,Outputs!T:U,2,FALSE)</f>
        <v>-2.2976720552683627E-2</v>
      </c>
      <c r="L52" s="60" t="str">
        <f>IF($A52=1,VLOOKUP($B52,Outputs!$B:$F,3,FALSE),"")</f>
        <v/>
      </c>
      <c r="M52" s="60">
        <f ca="1">IF($A52=0,VLOOKUP($B52,Outputs!$B:$F,3,FALSE),"")</f>
        <v>36.373321518165248</v>
      </c>
      <c r="N52" s="60" t="str">
        <f>IF($A52=1,VLOOKUP($B52,Outputs!$H:$L,3,FALSE),"")</f>
        <v/>
      </c>
      <c r="O52" s="60">
        <f ca="1">IF($A52=0,VLOOKUP($B52,Outputs!$H:$L,3,FALSE),"")</f>
        <v>36.373321518165248</v>
      </c>
      <c r="P52" s="60" t="str">
        <f>IF($A52=1,VLOOKUP($B52,Outputs!$N:$R,3,FALSE),"")</f>
        <v/>
      </c>
      <c r="Q52" s="60">
        <f ca="1">IF($A52=0,VLOOKUP($B52,Outputs!$N:$R,3,FALSE),"")</f>
        <v>35.907513339274182</v>
      </c>
    </row>
    <row r="53" spans="1:17">
      <c r="A53" s="203">
        <f>IF(VLOOKUP(B53,TOCA_current!$B$2:$AG$137,32,FALSE)=0,0,1)</f>
        <v>0</v>
      </c>
      <c r="B53" t="s">
        <v>130</v>
      </c>
      <c r="C53" s="60" t="str">
        <f>IF(A53=1,VLOOKUP($B53,Outputs!$B:$F,2,FALSE),"")</f>
        <v/>
      </c>
      <c r="D53" s="60">
        <f ca="1">IF(A53=0,VLOOKUP($B53,Outputs!$B:$F,2,FALSE),"")</f>
        <v>-3.5661338901668449E-2</v>
      </c>
      <c r="E53" s="68"/>
      <c r="F53" s="69" t="str">
        <f>IF(A53=1,VLOOKUP($B53,Outputs!$H:$L,2,FALSE),"")</f>
        <v/>
      </c>
      <c r="G53" s="70">
        <f ca="1">IF(A53=0,VLOOKUP($B53,Outputs!$H:$L,2,FALSE),"")</f>
        <v>-3.5661338901662676E-2</v>
      </c>
      <c r="J53" s="63">
        <f ca="1">VLOOKUP($B53,Outputs!$N:$R,2,FALSE)</f>
        <v>-3.4993671793942416E-2</v>
      </c>
      <c r="K53" s="63">
        <f ca="1">+VLOOKUP(B53,Outputs!T:U,2,FALSE)</f>
        <v>-6.0006123377521536E-2</v>
      </c>
      <c r="L53" s="60" t="str">
        <f>IF($A53=1,VLOOKUP($B53,Outputs!$B:$F,3,FALSE),"")</f>
        <v/>
      </c>
      <c r="M53" s="60">
        <f ca="1">IF($A53=0,VLOOKUP($B53,Outputs!$B:$F,3,FALSE),"")</f>
        <v>32.765618654523415</v>
      </c>
      <c r="N53" s="60" t="str">
        <f>IF($A53=1,VLOOKUP($B53,Outputs!$H:$L,3,FALSE),"")</f>
        <v/>
      </c>
      <c r="O53" s="60">
        <f ca="1">IF($A53=0,VLOOKUP($B53,Outputs!$H:$L,3,FALSE),"")</f>
        <v>32.765618654523415</v>
      </c>
      <c r="P53" s="60" t="str">
        <f>IF($A53=1,VLOOKUP($B53,Outputs!$N:$R,3,FALSE),"")</f>
        <v/>
      </c>
      <c r="Q53" s="60">
        <f ca="1">IF($A53=0,VLOOKUP($B53,Outputs!$N:$R,3,FALSE),"")</f>
        <v>32.427261575446423</v>
      </c>
    </row>
    <row r="54" spans="1:17">
      <c r="A54" s="203">
        <f>IF(VLOOKUP(B54,TOCA_current!$B$2:$AG$137,32,FALSE)=0,0,1)</f>
        <v>0</v>
      </c>
      <c r="B54" t="s">
        <v>73</v>
      </c>
      <c r="C54" s="60" t="str">
        <f>IF(A54=1,VLOOKUP($B54,Outputs!$B:$F,2,FALSE),"")</f>
        <v/>
      </c>
      <c r="D54" s="60">
        <f ca="1">IF(A54=0,VLOOKUP($B54,Outputs!$B:$F,2,FALSE),"")</f>
        <v>-3.6439678309663756E-2</v>
      </c>
      <c r="E54" s="68"/>
      <c r="F54" s="69" t="str">
        <f>IF(A54=1,VLOOKUP($B54,Outputs!$H:$L,2,FALSE),"")</f>
        <v/>
      </c>
      <c r="G54" s="70">
        <f ca="1">IF(A54=0,VLOOKUP($B54,Outputs!$H:$L,2,FALSE),"")</f>
        <v>-3.6439678309658621E-2</v>
      </c>
      <c r="J54" s="63">
        <f ca="1">VLOOKUP($B54,Outputs!$N:$R,2,FALSE)</f>
        <v>-3.3524367651964405E-2</v>
      </c>
      <c r="K54" s="63">
        <f ca="1">+VLOOKUP(B54,Outputs!T:U,2,FALSE)</f>
        <v>-5.8973448942678752E-2</v>
      </c>
      <c r="L54" s="60" t="str">
        <f>IF($A54=1,VLOOKUP($B54,Outputs!$B:$F,3,FALSE),"")</f>
        <v/>
      </c>
      <c r="M54" s="60">
        <f ca="1">IF($A54=0,VLOOKUP($B54,Outputs!$B:$F,3,FALSE),"")</f>
        <v>36.811653320738806</v>
      </c>
      <c r="N54" s="60" t="str">
        <f>IF($A54=1,VLOOKUP($B54,Outputs!$H:$L,3,FALSE),"")</f>
        <v/>
      </c>
      <c r="O54" s="60">
        <f ca="1">IF($A54=0,VLOOKUP($B54,Outputs!$H:$L,3,FALSE),"")</f>
        <v>36.811653320738806</v>
      </c>
      <c r="P54" s="60" t="str">
        <f>IF($A54=1,VLOOKUP($B54,Outputs!$N:$R,3,FALSE),"")</f>
        <v/>
      </c>
      <c r="Q54" s="60">
        <f ca="1">IF($A54=0,VLOOKUP($B54,Outputs!$N:$R,3,FALSE),"")</f>
        <v>35.770871512886551</v>
      </c>
    </row>
    <row r="55" spans="1:17">
      <c r="A55" s="203">
        <f>IF(VLOOKUP(B55,TOCA_current!$B$2:$AG$137,32,FALSE)=0,0,1)</f>
        <v>0</v>
      </c>
      <c r="B55" t="s">
        <v>101</v>
      </c>
      <c r="C55" s="60" t="str">
        <f>IF(A55=1,VLOOKUP($B55,Outputs!$B:$F,2,FALSE),"")</f>
        <v/>
      </c>
      <c r="D55" s="60">
        <f ca="1">IF(A55=0,VLOOKUP($B55,Outputs!$B:$F,2,FALSE),"")</f>
        <v>-3.8863156305794934E-2</v>
      </c>
      <c r="E55" s="68"/>
      <c r="F55" s="69" t="str">
        <f>IF(A55=1,VLOOKUP($B55,Outputs!$H:$L,2,FALSE),"")</f>
        <v/>
      </c>
      <c r="G55" s="70">
        <f ca="1">IF(A55=0,VLOOKUP($B55,Outputs!$H:$L,2,FALSE),"")</f>
        <v>-3.8863156305789251E-2</v>
      </c>
      <c r="J55" s="63">
        <f ca="1">VLOOKUP($B55,Outputs!$N:$R,2,FALSE)</f>
        <v>-3.4837630220499127E-2</v>
      </c>
      <c r="K55" s="63">
        <f ca="1">+VLOOKUP(B55,Outputs!T:U,2,FALSE)</f>
        <v>-4.0557830592955257E-2</v>
      </c>
      <c r="L55" s="60" t="str">
        <f>IF($A55=1,VLOOKUP($B55,Outputs!$B:$F,3,FALSE),"")</f>
        <v/>
      </c>
      <c r="M55" s="60">
        <f ca="1">IF($A55=0,VLOOKUP($B55,Outputs!$B:$F,3,FALSE),"")</f>
        <v>36.113348188171173</v>
      </c>
      <c r="N55" s="60" t="str">
        <f>IF($A55=1,VLOOKUP($B55,Outputs!$H:$L,3,FALSE),"")</f>
        <v/>
      </c>
      <c r="O55" s="60">
        <f ca="1">IF($A55=0,VLOOKUP($B55,Outputs!$H:$L,3,FALSE),"")</f>
        <v>36.113348188171173</v>
      </c>
      <c r="P55" s="60" t="str">
        <f>IF($A55=1,VLOOKUP($B55,Outputs!$N:$R,3,FALSE),"")</f>
        <v/>
      </c>
      <c r="Q55" s="60">
        <f ca="1">IF($A55=0,VLOOKUP($B55,Outputs!$N:$R,3,FALSE),"")</f>
        <v>35.502557203311177</v>
      </c>
    </row>
    <row r="56" spans="1:17">
      <c r="A56" s="203">
        <f>IF(VLOOKUP(B56,TOCA_current!$B$2:$AG$137,32,FALSE)=0,0,1)</f>
        <v>0</v>
      </c>
      <c r="B56" t="s">
        <v>21</v>
      </c>
      <c r="C56" s="60" t="str">
        <f>IF(A56=1,VLOOKUP($B56,Outputs!$B:$F,2,FALSE),"")</f>
        <v/>
      </c>
      <c r="D56" s="60">
        <f ca="1">IF(A56=0,VLOOKUP($B56,Outputs!$B:$F,2,FALSE),"")</f>
        <v>-3.4780551329534157E-2</v>
      </c>
      <c r="E56" s="68"/>
      <c r="F56" s="69" t="str">
        <f>IF(A56=1,VLOOKUP($B56,Outputs!$H:$L,2,FALSE),"")</f>
        <v/>
      </c>
      <c r="G56" s="70">
        <f ca="1">IF(A56=0,VLOOKUP($B56,Outputs!$H:$L,2,FALSE),"")</f>
        <v>-3.4780551329541227E-2</v>
      </c>
      <c r="J56" s="63">
        <f ca="1">VLOOKUP($B56,Outputs!$N:$R,2,FALSE)</f>
        <v>-3.2971269867508458E-2</v>
      </c>
      <c r="K56" s="63">
        <f ca="1">+VLOOKUP(B56,Outputs!T:U,2,FALSE)</f>
        <v>-3.6520508357693382E-2</v>
      </c>
      <c r="L56" s="60" t="str">
        <f>IF($A56=1,VLOOKUP($B56,Outputs!$B:$F,3,FALSE),"")</f>
        <v/>
      </c>
      <c r="M56" s="60">
        <f ca="1">IF($A56=0,VLOOKUP($B56,Outputs!$B:$F,3,FALSE),"")</f>
        <v>35.814395955445619</v>
      </c>
      <c r="N56" s="60" t="str">
        <f>IF($A56=1,VLOOKUP($B56,Outputs!$H:$L,3,FALSE),"")</f>
        <v/>
      </c>
      <c r="O56" s="60">
        <f ca="1">IF($A56=0,VLOOKUP($B56,Outputs!$H:$L,3,FALSE),"")</f>
        <v>35.814395955445619</v>
      </c>
      <c r="P56" s="60" t="str">
        <f>IF($A56=1,VLOOKUP($B56,Outputs!$N:$R,3,FALSE),"")</f>
        <v/>
      </c>
      <c r="Q56" s="60">
        <f ca="1">IF($A56=0,VLOOKUP($B56,Outputs!$N:$R,3,FALSE),"")</f>
        <v>35.302376168842514</v>
      </c>
    </row>
    <row r="57" spans="1:17">
      <c r="A57" s="203">
        <f>IF(VLOOKUP(B57,TOCA_current!$B$2:$AG$137,32,FALSE)=0,0,1)</f>
        <v>0</v>
      </c>
      <c r="B57" t="s">
        <v>111</v>
      </c>
      <c r="C57" s="60" t="str">
        <f>IF(A57=1,VLOOKUP($B57,Outputs!$B:$F,2,FALSE),"")</f>
        <v/>
      </c>
      <c r="D57" s="60">
        <f ca="1">IF(A57=0,VLOOKUP($B57,Outputs!$B:$F,2,FALSE),"")</f>
        <v>-3.7651348606165258E-2</v>
      </c>
      <c r="E57" s="68"/>
      <c r="F57" s="69" t="str">
        <f>IF(A57=1,VLOOKUP($B57,Outputs!$H:$L,2,FALSE),"")</f>
        <v/>
      </c>
      <c r="G57" s="70">
        <f ca="1">IF(A57=0,VLOOKUP($B57,Outputs!$H:$L,2,FALSE),"")</f>
        <v>-3.7651348606159422E-2</v>
      </c>
      <c r="J57" s="63">
        <f ca="1">VLOOKUP($B57,Outputs!$N:$R,2,FALSE)</f>
        <v>-3.8380748435782507E-2</v>
      </c>
      <c r="K57" s="63">
        <f ca="1">+VLOOKUP(B57,Outputs!T:U,2,FALSE)</f>
        <v>-4.6717897768989602E-2</v>
      </c>
      <c r="L57" s="60" t="str">
        <f>IF($A57=1,VLOOKUP($B57,Outputs!$B:$F,3,FALSE),"")</f>
        <v/>
      </c>
      <c r="M57" s="60">
        <f ca="1">IF($A57=0,VLOOKUP($B57,Outputs!$B:$F,3,FALSE),"")</f>
        <v>34.436008697086528</v>
      </c>
      <c r="N57" s="60" t="str">
        <f>IF($A57=1,VLOOKUP($B57,Outputs!$H:$L,3,FALSE),"")</f>
        <v/>
      </c>
      <c r="O57" s="60">
        <f ca="1">IF($A57=0,VLOOKUP($B57,Outputs!$H:$L,3,FALSE),"")</f>
        <v>34.436008697086528</v>
      </c>
      <c r="P57" s="60" t="str">
        <f>IF($A57=1,VLOOKUP($B57,Outputs!$N:$R,3,FALSE),"")</f>
        <v/>
      </c>
      <c r="Q57" s="60">
        <f ca="1">IF($A57=0,VLOOKUP($B57,Outputs!$N:$R,3,FALSE),"")</f>
        <v>33.661915403653651</v>
      </c>
    </row>
    <row r="58" spans="1:17">
      <c r="A58" s="203">
        <f>IF(VLOOKUP(B58,TOCA_current!$B$2:$AG$137,32,FALSE)=0,0,1)</f>
        <v>0</v>
      </c>
      <c r="B58" t="s">
        <v>24</v>
      </c>
      <c r="C58" s="60" t="str">
        <f>IF(A58=1,VLOOKUP($B58,Outputs!$B:$F,2,FALSE),"")</f>
        <v/>
      </c>
      <c r="D58" s="60">
        <f ca="1">IF(A58=0,VLOOKUP($B58,Outputs!$B:$F,2,FALSE),"")</f>
        <v>-3.8406914310885866E-2</v>
      </c>
      <c r="E58" s="68"/>
      <c r="F58" s="69" t="str">
        <f>IF(A58=1,VLOOKUP($B58,Outputs!$H:$L,2,FALSE),"")</f>
        <v/>
      </c>
      <c r="G58" s="70">
        <f ca="1">IF(A58=0,VLOOKUP($B58,Outputs!$H:$L,2,FALSE),"")</f>
        <v>-3.8406914310883389E-2</v>
      </c>
      <c r="J58" s="63">
        <f ca="1">VLOOKUP($B58,Outputs!$N:$R,2,FALSE)</f>
        <v>-3.3283458431979045E-2</v>
      </c>
      <c r="K58" s="63">
        <f ca="1">+VLOOKUP(B58,Outputs!T:U,2,FALSE)</f>
        <v>-1.6117746055457238E-2</v>
      </c>
      <c r="L58" s="60" t="str">
        <f>IF($A58=1,VLOOKUP($B58,Outputs!$B:$F,3,FALSE),"")</f>
        <v/>
      </c>
      <c r="M58" s="60">
        <f ca="1">IF($A58=0,VLOOKUP($B58,Outputs!$B:$F,3,FALSE),"")</f>
        <v>39.303884165559381</v>
      </c>
      <c r="N58" s="60" t="str">
        <f>IF($A58=1,VLOOKUP($B58,Outputs!$H:$L,3,FALSE),"")</f>
        <v/>
      </c>
      <c r="O58" s="60">
        <f ca="1">IF($A58=0,VLOOKUP($B58,Outputs!$H:$L,3,FALSE),"")</f>
        <v>39.303884165559381</v>
      </c>
      <c r="P58" s="60" t="str">
        <f>IF($A58=1,VLOOKUP($B58,Outputs!$N:$R,3,FALSE),"")</f>
        <v/>
      </c>
      <c r="Q58" s="60">
        <f ca="1">IF($A58=0,VLOOKUP($B58,Outputs!$N:$R,3,FALSE),"")</f>
        <v>38.186125718692765</v>
      </c>
    </row>
    <row r="59" spans="1:17">
      <c r="A59" s="203">
        <f>IF(VLOOKUP(B59,TOCA_current!$B$2:$AG$137,32,FALSE)=0,0,1)</f>
        <v>0</v>
      </c>
      <c r="B59" t="s">
        <v>115</v>
      </c>
      <c r="C59" s="60" t="str">
        <f>IF(A59=1,VLOOKUP($B59,Outputs!$B:$F,2,FALSE),"")</f>
        <v/>
      </c>
      <c r="D59" s="60">
        <f ca="1">IF(A59=0,VLOOKUP($B59,Outputs!$B:$F,2,FALSE),"")</f>
        <v>-5.9924901761793992E-2</v>
      </c>
      <c r="E59" s="68"/>
      <c r="F59" s="69" t="str">
        <f>IF(A59=1,VLOOKUP($B59,Outputs!$H:$L,2,FALSE),"")</f>
        <v/>
      </c>
      <c r="G59" s="70">
        <f ca="1">IF(A59=0,VLOOKUP($B59,Outputs!$H:$L,2,FALSE),"")</f>
        <v>-5.9924901761788808E-2</v>
      </c>
      <c r="J59" s="63">
        <f ca="1">VLOOKUP($B59,Outputs!$N:$R,2,FALSE)</f>
        <v>-3.99354318332504E-2</v>
      </c>
      <c r="K59" s="63">
        <f ca="1">+VLOOKUP(B59,Outputs!T:U,2,FALSE)</f>
        <v>-3.8806645510199078E-2</v>
      </c>
      <c r="L59" s="60" t="str">
        <f>IF($A59=1,VLOOKUP($B59,Outputs!$B:$F,3,FALSE),"")</f>
        <v/>
      </c>
      <c r="M59" s="60">
        <f ca="1">IF($A59=0,VLOOKUP($B59,Outputs!$B:$F,3,FALSE),"")</f>
        <v>29.075812988176111</v>
      </c>
      <c r="N59" s="60" t="str">
        <f>IF($A59=1,VLOOKUP($B59,Outputs!$H:$L,3,FALSE),"")</f>
        <v/>
      </c>
      <c r="O59" s="60">
        <f ca="1">IF($A59=0,VLOOKUP($B59,Outputs!$H:$L,3,FALSE),"")</f>
        <v>29.075812988176111</v>
      </c>
      <c r="P59" s="60" t="str">
        <f>IF($A59=1,VLOOKUP($B59,Outputs!$N:$R,3,FALSE),"")</f>
        <v/>
      </c>
      <c r="Q59" s="60">
        <f ca="1">IF($A59=0,VLOOKUP($B59,Outputs!$N:$R,3,FALSE),"")</f>
        <v>29.651818921047013</v>
      </c>
    </row>
    <row r="60" spans="1:17">
      <c r="A60" s="203">
        <f>IF(VLOOKUP(B60,TOCA_current!$B$2:$AG$137,32,FALSE)=0,0,1)</f>
        <v>0</v>
      </c>
      <c r="B60" t="s">
        <v>137</v>
      </c>
      <c r="C60" s="60" t="str">
        <f>IF(A60=1,VLOOKUP($B60,Outputs!$B:$F,2,FALSE),"")</f>
        <v/>
      </c>
      <c r="D60" s="60">
        <f ca="1">IF(A60=0,VLOOKUP($B60,Outputs!$B:$F,2,FALSE),"")</f>
        <v>-0.20541780969658574</v>
      </c>
      <c r="E60" s="68"/>
      <c r="F60" s="69" t="str">
        <f>IF(A60=1,VLOOKUP($B60,Outputs!$H:$L,2,FALSE),"")</f>
        <v/>
      </c>
      <c r="G60" s="70">
        <f ca="1">IF(A60=0,VLOOKUP($B60,Outputs!$H:$L,2,FALSE),"")</f>
        <v>-0.20541780969657636</v>
      </c>
      <c r="J60" s="63">
        <f ca="1">VLOOKUP($B60,Outputs!$N:$R,2,FALSE)</f>
        <v>-3.3782802438149032E-2</v>
      </c>
      <c r="K60" s="63">
        <f ca="1">+VLOOKUP(B60,Outputs!T:U,2,FALSE)</f>
        <v>-9.3511236901273165E-2</v>
      </c>
      <c r="L60" s="60" t="str">
        <f>IF($A60=1,VLOOKUP($B60,Outputs!$B:$F,3,FALSE),"")</f>
        <v/>
      </c>
      <c r="M60" s="60">
        <f ca="1">IF($A60=0,VLOOKUP($B60,Outputs!$B:$F,3,FALSE),"")</f>
        <v>36.057180125911728</v>
      </c>
      <c r="N60" s="60" t="str">
        <f>IF($A60=1,VLOOKUP($B60,Outputs!$H:$L,3,FALSE),"")</f>
        <v/>
      </c>
      <c r="O60" s="60">
        <f ca="1">IF($A60=0,VLOOKUP($B60,Outputs!$H:$L,3,FALSE),"")</f>
        <v>36.057180125911728</v>
      </c>
      <c r="P60" s="60" t="str">
        <f>IF($A60=1,VLOOKUP($B60,Outputs!$N:$R,3,FALSE),"")</f>
        <v/>
      </c>
      <c r="Q60" s="60">
        <f ca="1">IF($A60=0,VLOOKUP($B60,Outputs!$N:$R,3,FALSE),"")</f>
        <v>36.227652405460809</v>
      </c>
    </row>
    <row r="61" spans="1:17">
      <c r="A61" s="203">
        <f>IF(VLOOKUP(B61,TOCA_current!$B$2:$AG$137,32,FALSE)=0,0,1)</f>
        <v>0</v>
      </c>
      <c r="B61" t="s">
        <v>69</v>
      </c>
      <c r="C61" s="60" t="str">
        <f>IF(A61=1,VLOOKUP($B61,Outputs!$B:$F,2,FALSE),"")</f>
        <v/>
      </c>
      <c r="D61" s="60">
        <f ca="1">IF(A61=0,VLOOKUP($B61,Outputs!$B:$F,2,FALSE),"")</f>
        <v>-3.7350513989907269E-2</v>
      </c>
      <c r="E61" s="68"/>
      <c r="F61" s="69" t="str">
        <f>IF(A61=1,VLOOKUP($B61,Outputs!$H:$L,2,FALSE),"")</f>
        <v/>
      </c>
      <c r="G61" s="70">
        <f ca="1">IF(A61=0,VLOOKUP($B61,Outputs!$H:$L,2,FALSE),"")</f>
        <v>-3.7350513989910863E-2</v>
      </c>
      <c r="J61" s="63">
        <f ca="1">VLOOKUP($B61,Outputs!$N:$R,2,FALSE)</f>
        <v>-3.593451471069084E-2</v>
      </c>
      <c r="K61" s="63">
        <f ca="1">+VLOOKUP(B61,Outputs!T:U,2,FALSE)</f>
        <v>-2.3725454462235618E-2</v>
      </c>
      <c r="L61" s="60" t="str">
        <f>IF($A61=1,VLOOKUP($B61,Outputs!$B:$F,3,FALSE),"")</f>
        <v/>
      </c>
      <c r="M61" s="60">
        <f ca="1">IF($A61=0,VLOOKUP($B61,Outputs!$B:$F,3,FALSE),"")</f>
        <v>33.859766413117889</v>
      </c>
      <c r="N61" s="60" t="str">
        <f>IF($A61=1,VLOOKUP($B61,Outputs!$H:$L,3,FALSE),"")</f>
        <v/>
      </c>
      <c r="O61" s="60">
        <f ca="1">IF($A61=0,VLOOKUP($B61,Outputs!$H:$L,3,FALSE),"")</f>
        <v>33.859766413117889</v>
      </c>
      <c r="P61" s="60" t="str">
        <f>IF($A61=1,VLOOKUP($B61,Outputs!$N:$R,3,FALSE),"")</f>
        <v/>
      </c>
      <c r="Q61" s="60">
        <f ca="1">IF($A61=0,VLOOKUP($B61,Outputs!$N:$R,3,FALSE),"")</f>
        <v>33.530347767276652</v>
      </c>
    </row>
    <row r="62" spans="1:17">
      <c r="A62" s="203">
        <f>IF(VLOOKUP(B62,TOCA_current!$B$2:$AG$137,32,FALSE)=0,0,1)</f>
        <v>0</v>
      </c>
      <c r="B62" t="s">
        <v>135</v>
      </c>
      <c r="C62" s="60" t="str">
        <f>IF(A62=1,VLOOKUP($B62,Outputs!$B:$F,2,FALSE),"")</f>
        <v/>
      </c>
      <c r="D62" s="60">
        <f ca="1">IF(A62=0,VLOOKUP($B62,Outputs!$B:$F,2,FALSE),"")</f>
        <v>-4.0836997511590423E-2</v>
      </c>
      <c r="E62" s="68"/>
      <c r="F62" s="69" t="str">
        <f>IF(A62=1,VLOOKUP($B62,Outputs!$H:$L,2,FALSE),"")</f>
        <v/>
      </c>
      <c r="G62" s="70">
        <f ca="1">IF(A62=0,VLOOKUP($B62,Outputs!$H:$L,2,FALSE),"")</f>
        <v>-4.0836997511586037E-2</v>
      </c>
      <c r="J62" s="63">
        <f ca="1">VLOOKUP($B62,Outputs!$N:$R,2,FALSE)</f>
        <v>-3.7509475038003705E-2</v>
      </c>
      <c r="K62" s="63">
        <f ca="1">+VLOOKUP(B62,Outputs!T:U,2,FALSE)</f>
        <v>-2.0734638716208953E-2</v>
      </c>
      <c r="L62" s="60" t="str">
        <f>IF($A62=1,VLOOKUP($B62,Outputs!$B:$F,3,FALSE),"")</f>
        <v/>
      </c>
      <c r="M62" s="60">
        <f ca="1">IF($A62=0,VLOOKUP($B62,Outputs!$B:$F,3,FALSE),"")</f>
        <v>32.724717791087983</v>
      </c>
      <c r="N62" s="60" t="str">
        <f>IF($A62=1,VLOOKUP($B62,Outputs!$H:$L,3,FALSE),"")</f>
        <v/>
      </c>
      <c r="O62" s="60">
        <f ca="1">IF($A62=0,VLOOKUP($B62,Outputs!$H:$L,3,FALSE),"")</f>
        <v>32.724717791087983</v>
      </c>
      <c r="P62" s="60" t="str">
        <f>IF($A62=1,VLOOKUP($B62,Outputs!$N:$R,3,FALSE),"")</f>
        <v/>
      </c>
      <c r="Q62" s="60">
        <f ca="1">IF($A62=0,VLOOKUP($B62,Outputs!$N:$R,3,FALSE),"")</f>
        <v>33.255954838541676</v>
      </c>
    </row>
    <row r="63" spans="1:17">
      <c r="A63" s="203">
        <f>IF(VLOOKUP(B63,TOCA_current!$B$2:$AG$137,32,FALSE)=0,0,1)</f>
        <v>0</v>
      </c>
      <c r="B63" t="s">
        <v>128</v>
      </c>
      <c r="C63" s="60" t="str">
        <f>IF(A63=1,VLOOKUP($B63,Outputs!$B:$F,2,FALSE),"")</f>
        <v/>
      </c>
      <c r="D63" s="60">
        <f ca="1">IF(A63=0,VLOOKUP($B63,Outputs!$B:$F,2,FALSE),"")</f>
        <v>-4.3132623261044278E-2</v>
      </c>
      <c r="E63" s="68"/>
      <c r="F63" s="69" t="str">
        <f>IF(A63=1,VLOOKUP($B63,Outputs!$H:$L,2,FALSE),"")</f>
        <v/>
      </c>
      <c r="G63" s="70">
        <f ca="1">IF(A63=0,VLOOKUP($B63,Outputs!$H:$L,2,FALSE),"")</f>
        <v>-4.3132623261035868E-2</v>
      </c>
      <c r="J63" s="63">
        <f ca="1">VLOOKUP($B63,Outputs!$N:$R,2,FALSE)</f>
        <v>-4.3414682582869478E-2</v>
      </c>
      <c r="K63" s="63">
        <f ca="1">+VLOOKUP(B63,Outputs!T:U,2,FALSE)</f>
        <v>-4.7598213653930799E-2</v>
      </c>
      <c r="L63" s="60" t="str">
        <f>IF($A63=1,VLOOKUP($B63,Outputs!$B:$F,3,FALSE),"")</f>
        <v/>
      </c>
      <c r="M63" s="60">
        <f ca="1">IF($A63=0,VLOOKUP($B63,Outputs!$B:$F,3,FALSE),"")</f>
        <v>29.9759497137983</v>
      </c>
      <c r="N63" s="60" t="str">
        <f>IF($A63=1,VLOOKUP($B63,Outputs!$H:$L,3,FALSE),"")</f>
        <v/>
      </c>
      <c r="O63" s="60">
        <f ca="1">IF($A63=0,VLOOKUP($B63,Outputs!$H:$L,3,FALSE),"")</f>
        <v>29.9759497137983</v>
      </c>
      <c r="P63" s="60" t="str">
        <f>IF($A63=1,VLOOKUP($B63,Outputs!$N:$R,3,FALSE),"")</f>
        <v/>
      </c>
      <c r="Q63" s="60">
        <f ca="1">IF($A63=0,VLOOKUP($B63,Outputs!$N:$R,3,FALSE),"")</f>
        <v>30.395532236212809</v>
      </c>
    </row>
    <row r="64" spans="1:17">
      <c r="A64" s="203">
        <f>IF(VLOOKUP(B64,TOCA_current!$B$2:$AG$137,32,FALSE)=0,0,1)</f>
        <v>0</v>
      </c>
      <c r="B64" t="s">
        <v>125</v>
      </c>
      <c r="C64" s="60" t="str">
        <f>IF(A64=1,VLOOKUP($B64,Outputs!$B:$F,2,FALSE),"")</f>
        <v/>
      </c>
      <c r="D64" s="60">
        <f ca="1">IF(A64=0,VLOOKUP($B64,Outputs!$B:$F,2,FALSE),"")</f>
        <v>1.187354427024423E-2</v>
      </c>
      <c r="E64" s="68"/>
      <c r="F64" s="69" t="str">
        <f>IF(A64=1,VLOOKUP($B64,Outputs!$H:$L,2,FALSE),"")</f>
        <v/>
      </c>
      <c r="G64" s="70">
        <f ca="1">IF(A64=0,VLOOKUP($B64,Outputs!$H:$L,2,FALSE),"")</f>
        <v>1.187354427024506E-2</v>
      </c>
      <c r="J64" s="63">
        <f ca="1">VLOOKUP($B64,Outputs!$N:$R,2,FALSE)</f>
        <v>-3.4615940520524413E-2</v>
      </c>
      <c r="K64" s="63">
        <f ca="1">+VLOOKUP(B64,Outputs!T:U,2,FALSE)</f>
        <v>4.4514571042234108E-2</v>
      </c>
      <c r="L64" s="60" t="str">
        <f>IF($A64=1,VLOOKUP($B64,Outputs!$B:$F,3,FALSE),"")</f>
        <v/>
      </c>
      <c r="M64" s="60">
        <f ca="1">IF($A64=0,VLOOKUP($B64,Outputs!$B:$F,3,FALSE),"")</f>
        <v>37.065637100783171</v>
      </c>
      <c r="N64" s="60" t="str">
        <f>IF($A64=1,VLOOKUP($B64,Outputs!$H:$L,3,FALSE),"")</f>
        <v/>
      </c>
      <c r="O64" s="60">
        <f ca="1">IF($A64=0,VLOOKUP($B64,Outputs!$H:$L,3,FALSE),"")</f>
        <v>37.065637100783171</v>
      </c>
      <c r="P64" s="60" t="str">
        <f>IF($A64=1,VLOOKUP($B64,Outputs!$N:$R,3,FALSE),"")</f>
        <v/>
      </c>
      <c r="Q64" s="60">
        <f ca="1">IF($A64=0,VLOOKUP($B64,Outputs!$N:$R,3,FALSE),"")</f>
        <v>35.395148165716655</v>
      </c>
    </row>
    <row r="65" spans="1:17">
      <c r="A65" s="203">
        <f>IF(VLOOKUP(B65,TOCA_current!$B$2:$AG$137,32,FALSE)=0,0,1)</f>
        <v>0</v>
      </c>
      <c r="B65" t="s">
        <v>17</v>
      </c>
      <c r="C65" s="60" t="str">
        <f>IF(A65=1,VLOOKUP($B65,Outputs!$B:$F,2,FALSE),"")</f>
        <v/>
      </c>
      <c r="D65" s="60">
        <f ca="1">IF(A65=0,VLOOKUP($B65,Outputs!$B:$F,2,FALSE),"")</f>
        <v>-3.7391788036906105E-2</v>
      </c>
      <c r="E65" s="68"/>
      <c r="F65" s="69" t="str">
        <f>IF(A65=1,VLOOKUP($B65,Outputs!$H:$L,2,FALSE),"")</f>
        <v/>
      </c>
      <c r="G65" s="70">
        <f ca="1">IF(A65=0,VLOOKUP($B65,Outputs!$H:$L,2,FALSE),"")</f>
        <v>-3.7391788036909797E-2</v>
      </c>
      <c r="J65" s="63">
        <f ca="1">VLOOKUP($B65,Outputs!$N:$R,2,FALSE)</f>
        <v>-3.4913739770810082E-2</v>
      </c>
      <c r="K65" s="63">
        <f ca="1">+VLOOKUP(B65,Outputs!T:U,2,FALSE)</f>
        <v>-2.4326813268457093E-2</v>
      </c>
      <c r="L65" s="60" t="str">
        <f>IF($A65=1,VLOOKUP($B65,Outputs!$B:$F,3,FALSE),"")</f>
        <v/>
      </c>
      <c r="M65" s="60">
        <f ca="1">IF($A65=0,VLOOKUP($B65,Outputs!$B:$F,3,FALSE),"")</f>
        <v>36.32156932088261</v>
      </c>
      <c r="N65" s="60" t="str">
        <f>IF($A65=1,VLOOKUP($B65,Outputs!$H:$L,3,FALSE),"")</f>
        <v/>
      </c>
      <c r="O65" s="60">
        <f ca="1">IF($A65=0,VLOOKUP($B65,Outputs!$H:$L,3,FALSE),"")</f>
        <v>36.32156932088261</v>
      </c>
      <c r="P65" s="60" t="str">
        <f>IF($A65=1,VLOOKUP($B65,Outputs!$N:$R,3,FALSE),"")</f>
        <v/>
      </c>
      <c r="Q65" s="60">
        <f ca="1">IF($A65=0,VLOOKUP($B65,Outputs!$N:$R,3,FALSE),"")</f>
        <v>35.732439627433124</v>
      </c>
    </row>
    <row r="66" spans="1:17">
      <c r="A66" s="203">
        <f>IF(VLOOKUP(B66,TOCA_current!$B$2:$AG$137,32,FALSE)=0,0,1)</f>
        <v>0</v>
      </c>
      <c r="B66" t="s">
        <v>13</v>
      </c>
      <c r="C66" s="60" t="str">
        <f>IF(A66=1,VLOOKUP($B66,Outputs!$B:$F,2,FALSE),"")</f>
        <v/>
      </c>
      <c r="D66" s="60">
        <f ca="1">IF(A66=0,VLOOKUP($B66,Outputs!$B:$F,2,FALSE),"")</f>
        <v>-3.3165182707217633E-2</v>
      </c>
      <c r="E66" s="68"/>
      <c r="F66" s="69" t="str">
        <f>IF(A66=1,VLOOKUP($B66,Outputs!$H:$L,2,FALSE),"")</f>
        <v/>
      </c>
      <c r="G66" s="70">
        <f ca="1">IF(A66=0,VLOOKUP($B66,Outputs!$H:$L,2,FALSE),"")</f>
        <v>-3.3165182707213706E-2</v>
      </c>
      <c r="J66" s="63">
        <f ca="1">VLOOKUP($B66,Outputs!$N:$R,2,FALSE)</f>
        <v>-3.2402263220134349E-2</v>
      </c>
      <c r="K66" s="63">
        <f ca="1">+VLOOKUP(B66,Outputs!T:U,2,FALSE)</f>
        <v>-1.1704644480452497E-2</v>
      </c>
      <c r="L66" s="60" t="str">
        <f>IF($A66=1,VLOOKUP($B66,Outputs!$B:$F,3,FALSE),"")</f>
        <v/>
      </c>
      <c r="M66" s="60">
        <f ca="1">IF($A66=0,VLOOKUP($B66,Outputs!$B:$F,3,FALSE),"")</f>
        <v>36.467221592045881</v>
      </c>
      <c r="N66" s="60" t="str">
        <f>IF($A66=1,VLOOKUP($B66,Outputs!$H:$L,3,FALSE),"")</f>
        <v/>
      </c>
      <c r="O66" s="60">
        <f ca="1">IF($A66=0,VLOOKUP($B66,Outputs!$H:$L,3,FALSE),"")</f>
        <v>36.467221592045881</v>
      </c>
      <c r="P66" s="60" t="str">
        <f>IF($A66=1,VLOOKUP($B66,Outputs!$N:$R,3,FALSE),"")</f>
        <v/>
      </c>
      <c r="Q66" s="60">
        <f ca="1">IF($A66=0,VLOOKUP($B66,Outputs!$N:$R,3,FALSE),"")</f>
        <v>35.892832700350048</v>
      </c>
    </row>
    <row r="67" spans="1:17">
      <c r="A67" s="203">
        <f>IF(VLOOKUP(B67,TOCA_current!$B$2:$AG$137,32,FALSE)=0,0,1)</f>
        <v>0</v>
      </c>
      <c r="B67" t="s">
        <v>72</v>
      </c>
      <c r="C67" s="60" t="str">
        <f>IF(A67=1,VLOOKUP($B67,Outputs!$B:$F,2,FALSE),"")</f>
        <v/>
      </c>
      <c r="D67" s="60">
        <f ca="1">IF(A67=0,VLOOKUP($B67,Outputs!$B:$F,2,FALSE),"")</f>
        <v>-5.7162272403878833E-2</v>
      </c>
      <c r="E67" s="68"/>
      <c r="F67" s="69" t="str">
        <f>IF(A67=1,VLOOKUP($B67,Outputs!$H:$L,2,FALSE),"")</f>
        <v/>
      </c>
      <c r="G67" s="70">
        <f ca="1">IF(A67=0,VLOOKUP($B67,Outputs!$H:$L,2,FALSE),"")</f>
        <v>-5.7162272403878889E-2</v>
      </c>
      <c r="J67" s="63">
        <f ca="1">VLOOKUP($B67,Outputs!$N:$R,2,FALSE)</f>
        <v>-5.0008485536086694E-2</v>
      </c>
      <c r="K67" s="63">
        <f ca="1">+VLOOKUP(B67,Outputs!T:U,2,FALSE)</f>
        <v>-3.4299880663961613E-2</v>
      </c>
      <c r="L67" s="60" t="str">
        <f>IF($A67=1,VLOOKUP($B67,Outputs!$B:$F,3,FALSE),"")</f>
        <v/>
      </c>
      <c r="M67" s="60">
        <f ca="1">IF($A67=0,VLOOKUP($B67,Outputs!$B:$F,3,FALSE),"")</f>
        <v>25.480841995529641</v>
      </c>
      <c r="N67" s="60" t="str">
        <f>IF($A67=1,VLOOKUP($B67,Outputs!$H:$L,3,FALSE),"")</f>
        <v/>
      </c>
      <c r="O67" s="60">
        <f ca="1">IF($A67=0,VLOOKUP($B67,Outputs!$H:$L,3,FALSE),"")</f>
        <v>25.480841995529641</v>
      </c>
      <c r="P67" s="60" t="str">
        <f>IF($A67=1,VLOOKUP($B67,Outputs!$N:$R,3,FALSE),"")</f>
        <v/>
      </c>
      <c r="Q67" s="60">
        <f ca="1">IF($A67=0,VLOOKUP($B67,Outputs!$N:$R,3,FALSE),"")</f>
        <v>27.510972407842338</v>
      </c>
    </row>
    <row r="68" spans="1:17">
      <c r="A68" s="203">
        <f>IF(VLOOKUP(B68,TOCA_current!$B$2:$AG$137,32,FALSE)=0,0,1)</f>
        <v>0</v>
      </c>
      <c r="B68" t="s">
        <v>28</v>
      </c>
      <c r="C68" s="60" t="str">
        <f>IF(A68=1,VLOOKUP($B68,Outputs!$B:$F,2,FALSE),"")</f>
        <v/>
      </c>
      <c r="D68" s="60">
        <f ca="1">IF(A68=0,VLOOKUP($B68,Outputs!$B:$F,2,FALSE),"")</f>
        <v>-2.9635019090196016E-2</v>
      </c>
      <c r="E68" s="68"/>
      <c r="F68" s="69" t="str">
        <f>IF(A68=1,VLOOKUP($B68,Outputs!$H:$L,2,FALSE),"")</f>
        <v/>
      </c>
      <c r="G68" s="70">
        <f ca="1">IF(A68=0,VLOOKUP($B68,Outputs!$H:$L,2,FALSE),"")</f>
        <v>-2.9635019090195176E-2</v>
      </c>
      <c r="J68" s="63">
        <f ca="1">VLOOKUP($B68,Outputs!$N:$R,2,FALSE)</f>
        <v>-3.4230381972414473E-2</v>
      </c>
      <c r="K68" s="63">
        <f ca="1">+VLOOKUP(B68,Outputs!T:U,2,FALSE)</f>
        <v>-2.5223898910503251E-2</v>
      </c>
      <c r="L68" s="60" t="str">
        <f>IF($A68=1,VLOOKUP($B68,Outputs!$B:$F,3,FALSE),"")</f>
        <v/>
      </c>
      <c r="M68" s="60">
        <f ca="1">IF($A68=0,VLOOKUP($B68,Outputs!$B:$F,3,FALSE),"")</f>
        <v>36.640136244174251</v>
      </c>
      <c r="N68" s="60" t="str">
        <f>IF($A68=1,VLOOKUP($B68,Outputs!$H:$L,3,FALSE),"")</f>
        <v/>
      </c>
      <c r="O68" s="60">
        <f ca="1">IF($A68=0,VLOOKUP($B68,Outputs!$H:$L,3,FALSE),"")</f>
        <v>36.640136244174251</v>
      </c>
      <c r="P68" s="60" t="str">
        <f>IF($A68=1,VLOOKUP($B68,Outputs!$N:$R,3,FALSE),"")</f>
        <v/>
      </c>
      <c r="Q68" s="60">
        <f ca="1">IF($A68=0,VLOOKUP($B68,Outputs!$N:$R,3,FALSE),"")</f>
        <v>35.899254934358787</v>
      </c>
    </row>
    <row r="69" spans="1:17">
      <c r="A69" s="203">
        <f>IF(VLOOKUP(B69,TOCA_current!$B$2:$AG$137,32,FALSE)=0,0,1)</f>
        <v>0</v>
      </c>
      <c r="B69" t="s">
        <v>23</v>
      </c>
      <c r="C69" s="60" t="str">
        <f>IF(A69=1,VLOOKUP($B69,Outputs!$B:$F,2,FALSE),"")</f>
        <v/>
      </c>
      <c r="D69" s="60">
        <f ca="1">IF(A69=0,VLOOKUP($B69,Outputs!$B:$F,2,FALSE),"")</f>
        <v>-0.11664974769978143</v>
      </c>
      <c r="E69" s="68"/>
      <c r="F69" s="69" t="str">
        <f>IF(A69=1,VLOOKUP($B69,Outputs!$H:$L,2,FALSE),"")</f>
        <v/>
      </c>
      <c r="G69" s="70">
        <f ca="1">IF(A69=0,VLOOKUP($B69,Outputs!$H:$L,2,FALSE),"")</f>
        <v>-0.11664974769977469</v>
      </c>
      <c r="J69" s="63">
        <f ca="1">VLOOKUP($B69,Outputs!$N:$R,2,FALSE)</f>
        <v>-3.3347233132171861E-2</v>
      </c>
      <c r="K69" s="63">
        <f ca="1">+VLOOKUP(B69,Outputs!T:U,2,FALSE)</f>
        <v>-9.2437533432680463E-2</v>
      </c>
      <c r="L69" s="60" t="str">
        <f>IF($A69=1,VLOOKUP($B69,Outputs!$B:$F,3,FALSE),"")</f>
        <v/>
      </c>
      <c r="M69" s="60">
        <f ca="1">IF($A69=0,VLOOKUP($B69,Outputs!$B:$F,3,FALSE),"")</f>
        <v>35.876379306073112</v>
      </c>
      <c r="N69" s="60" t="str">
        <f>IF($A69=1,VLOOKUP($B69,Outputs!$H:$L,3,FALSE),"")</f>
        <v/>
      </c>
      <c r="O69" s="60">
        <f ca="1">IF($A69=0,VLOOKUP($B69,Outputs!$H:$L,3,FALSE),"")</f>
        <v>35.876379306073112</v>
      </c>
      <c r="P69" s="60" t="str">
        <f>IF($A69=1,VLOOKUP($B69,Outputs!$N:$R,3,FALSE),"")</f>
        <v/>
      </c>
      <c r="Q69" s="60">
        <f ca="1">IF($A69=0,VLOOKUP($B69,Outputs!$N:$R,3,FALSE),"")</f>
        <v>34.663441951640138</v>
      </c>
    </row>
    <row r="70" spans="1:17">
      <c r="A70" s="203">
        <f>IF(VLOOKUP(B70,TOCA_current!$B$2:$AG$137,32,FALSE)=0,0,1)</f>
        <v>0</v>
      </c>
      <c r="B70" t="s">
        <v>102</v>
      </c>
      <c r="C70" s="60" t="str">
        <f>IF(A70=1,VLOOKUP($B70,Outputs!$B:$F,2,FALSE),"")</f>
        <v/>
      </c>
      <c r="D70" s="98">
        <v>0</v>
      </c>
      <c r="E70" s="68"/>
      <c r="F70" s="69" t="str">
        <f>IF(A70=1,VLOOKUP($B70,Outputs!$H:$L,2,FALSE),"")</f>
        <v/>
      </c>
      <c r="G70" s="70">
        <v>0</v>
      </c>
      <c r="J70" s="63">
        <v>0</v>
      </c>
      <c r="K70" s="63">
        <v>0</v>
      </c>
      <c r="L70" s="60" t="str">
        <f>IF($A70=1,VLOOKUP($B70,Outputs!$B:$F,3,FALSE),"")</f>
        <v/>
      </c>
      <c r="M70" s="60">
        <v>0</v>
      </c>
      <c r="N70" s="60" t="str">
        <f>IF($A70=1,VLOOKUP($B70,Outputs!$H:$L,3,FALSE),"")</f>
        <v/>
      </c>
      <c r="O70" s="60">
        <v>0</v>
      </c>
      <c r="P70" s="60" t="str">
        <f>IF($A70=1,VLOOKUP($B70,Outputs!$N:$R,3,FALSE),"")</f>
        <v/>
      </c>
      <c r="Q70" s="60">
        <v>0</v>
      </c>
    </row>
    <row r="71" spans="1:17">
      <c r="A71" s="203">
        <f>IF(VLOOKUP(B71,TOCA_current!$B$2:$AG$137,32,FALSE)=0,0,1)</f>
        <v>0</v>
      </c>
      <c r="B71" t="s">
        <v>91</v>
      </c>
      <c r="C71" s="60" t="str">
        <f>IF(A71=1,VLOOKUP($B71,Outputs!$B:$F,2,FALSE),"")</f>
        <v/>
      </c>
      <c r="D71" s="60">
        <f ca="1">IF(A71=0,VLOOKUP($B71,Outputs!$B:$F,2,FALSE),"")</f>
        <v>-4.8937251492748052E-2</v>
      </c>
      <c r="E71" s="68"/>
      <c r="F71" s="69" t="str">
        <f>IF(A71=1,VLOOKUP($B71,Outputs!$H:$L,2,FALSE),"")</f>
        <v/>
      </c>
      <c r="G71" s="70">
        <f ca="1">IF(A71=0,VLOOKUP($B71,Outputs!$H:$L,2,FALSE),"")</f>
        <v>-4.8937251492749585E-2</v>
      </c>
      <c r="J71" s="63">
        <f ca="1">VLOOKUP($B71,Outputs!$N:$R,2,FALSE)</f>
        <v>-3.3802980579748218E-2</v>
      </c>
      <c r="K71" s="63">
        <f ca="1">+VLOOKUP(B71,Outputs!T:U,2,FALSE)</f>
        <v>-1.2385977718814334E-2</v>
      </c>
      <c r="L71" s="60" t="str">
        <f>IF($A71=1,VLOOKUP($B71,Outputs!$B:$F,3,FALSE),"")</f>
        <v/>
      </c>
      <c r="M71" s="60">
        <f ca="1">IF($A71=0,VLOOKUP($B71,Outputs!$B:$F,3,FALSE),"")</f>
        <v>37.205969721799825</v>
      </c>
      <c r="N71" s="60" t="str">
        <f>IF($A71=1,VLOOKUP($B71,Outputs!$H:$L,3,FALSE),"")</f>
        <v/>
      </c>
      <c r="O71" s="60">
        <f ca="1">IF($A71=0,VLOOKUP($B71,Outputs!$H:$L,3,FALSE),"")</f>
        <v>37.205969721799825</v>
      </c>
      <c r="P71" s="60" t="str">
        <f>IF($A71=1,VLOOKUP($B71,Outputs!$N:$R,3,FALSE),"")</f>
        <v/>
      </c>
      <c r="Q71" s="60">
        <f ca="1">IF($A71=0,VLOOKUP($B71,Outputs!$N:$R,3,FALSE),"")</f>
        <v>36.374770993380828</v>
      </c>
    </row>
    <row r="72" spans="1:17">
      <c r="A72" s="203">
        <f>IF(VLOOKUP(B72,TOCA_current!$B$2:$AG$137,32,FALSE)=0,0,1)</f>
        <v>0</v>
      </c>
      <c r="B72" t="s">
        <v>133</v>
      </c>
      <c r="C72" s="60" t="str">
        <f>IF(A72=1,VLOOKUP($B72,Outputs!$B:$F,2,FALSE),"")</f>
        <v/>
      </c>
      <c r="D72" s="60">
        <f ca="1">IF(A72=0,VLOOKUP($B72,Outputs!$B:$F,2,FALSE),"")</f>
        <v>-3.1439701984149582E-2</v>
      </c>
      <c r="E72" s="68"/>
      <c r="F72" s="69" t="str">
        <f>IF(A72=1,VLOOKUP($B72,Outputs!$H:$L,2,FALSE),"")</f>
        <v/>
      </c>
      <c r="G72" s="70">
        <f ca="1">IF(A72=0,VLOOKUP($B72,Outputs!$H:$L,2,FALSE),"")</f>
        <v>-3.1439701984148395E-2</v>
      </c>
      <c r="J72" s="63">
        <f ca="1">VLOOKUP($B72,Outputs!$N:$R,2,FALSE)</f>
        <v>-3.7049562291463549E-2</v>
      </c>
      <c r="K72" s="63">
        <f ca="1">+VLOOKUP(B72,Outputs!T:U,2,FALSE)</f>
        <v>1.770051818092111E-2</v>
      </c>
      <c r="L72" s="60" t="str">
        <f>IF($A72=1,VLOOKUP($B72,Outputs!$B:$F,3,FALSE),"")</f>
        <v/>
      </c>
      <c r="M72" s="60">
        <f ca="1">IF($A72=0,VLOOKUP($B72,Outputs!$B:$F,3,FALSE),"")</f>
        <v>35.976781240329252</v>
      </c>
      <c r="N72" s="60" t="str">
        <f>IF($A72=1,VLOOKUP($B72,Outputs!$H:$L,3,FALSE),"")</f>
        <v/>
      </c>
      <c r="O72" s="60">
        <f ca="1">IF($A72=0,VLOOKUP($B72,Outputs!$H:$L,3,FALSE),"")</f>
        <v>35.976781240329252</v>
      </c>
      <c r="P72" s="60" t="str">
        <f>IF($A72=1,VLOOKUP($B72,Outputs!$N:$R,3,FALSE),"")</f>
        <v/>
      </c>
      <c r="Q72" s="60">
        <f ca="1">IF($A72=0,VLOOKUP($B72,Outputs!$N:$R,3,FALSE),"")</f>
        <v>36.056225394968166</v>
      </c>
    </row>
    <row r="73" spans="1:17">
      <c r="A73" s="203">
        <f>IF(VLOOKUP(B73,TOCA_current!$B$2:$AG$137,32,FALSE)=0,0,1)</f>
        <v>0</v>
      </c>
      <c r="B73" t="s">
        <v>29</v>
      </c>
      <c r="C73" s="60" t="str">
        <f>IF(A73=1,VLOOKUP($B73,Outputs!$B:$F,2,FALSE),"")</f>
        <v/>
      </c>
      <c r="D73" s="60">
        <f ca="1">IF(A73=0,VLOOKUP($B73,Outputs!$B:$F,2,FALSE),"")</f>
        <v>-5.4832041712298107E-2</v>
      </c>
      <c r="E73" s="68"/>
      <c r="F73" s="69" t="str">
        <f>IF(A73=1,VLOOKUP($B73,Outputs!$H:$L,2,FALSE),"")</f>
        <v/>
      </c>
      <c r="G73" s="70">
        <f ca="1">IF(A73=0,VLOOKUP($B73,Outputs!$H:$L,2,FALSE),"")</f>
        <v>-5.4832041712298676E-2</v>
      </c>
      <c r="J73" s="63">
        <f ca="1">VLOOKUP($B73,Outputs!$N:$R,2,FALSE)</f>
        <v>-3.061914277277537E-2</v>
      </c>
      <c r="K73" s="63">
        <f ca="1">+VLOOKUP(B73,Outputs!T:U,2,FALSE)</f>
        <v>-4.5938496938788154E-2</v>
      </c>
      <c r="L73" s="60" t="str">
        <f>IF($A73=1,VLOOKUP($B73,Outputs!$B:$F,3,FALSE),"")</f>
        <v/>
      </c>
      <c r="M73" s="60">
        <f ca="1">IF($A73=0,VLOOKUP($B73,Outputs!$B:$F,3,FALSE),"")</f>
        <v>36.733523258266352</v>
      </c>
      <c r="N73" s="60" t="str">
        <f>IF($A73=1,VLOOKUP($B73,Outputs!$H:$L,3,FALSE),"")</f>
        <v/>
      </c>
      <c r="O73" s="60">
        <f ca="1">IF($A73=0,VLOOKUP($B73,Outputs!$H:$L,3,FALSE),"")</f>
        <v>36.733523258266352</v>
      </c>
      <c r="P73" s="60" t="str">
        <f>IF($A73=1,VLOOKUP($B73,Outputs!$N:$R,3,FALSE),"")</f>
        <v/>
      </c>
      <c r="Q73" s="60">
        <f ca="1">IF($A73=0,VLOOKUP($B73,Outputs!$N:$R,3,FALSE),"")</f>
        <v>36.125856571002046</v>
      </c>
    </row>
    <row r="74" spans="1:17">
      <c r="A74" s="203">
        <f>IF(VLOOKUP(B74,TOCA_current!$B$2:$AG$137,32,FALSE)=0,0,1)</f>
        <v>0</v>
      </c>
      <c r="B74" t="s">
        <v>90</v>
      </c>
      <c r="C74" s="60" t="str">
        <f>IF(A74=1,VLOOKUP($B74,Outputs!$B:$F,2,FALSE),"")</f>
        <v/>
      </c>
      <c r="D74" s="60">
        <f ca="1">IF(A74=0,VLOOKUP($B74,Outputs!$B:$F,2,FALSE),"")</f>
        <v>-4.1674772641515333E-2</v>
      </c>
      <c r="E74" s="68"/>
      <c r="F74" s="69" t="str">
        <f>IF(A74=1,VLOOKUP($B74,Outputs!$H:$L,2,FALSE),"")</f>
        <v/>
      </c>
      <c r="G74" s="70">
        <f ca="1">IF(A74=0,VLOOKUP($B74,Outputs!$H:$L,2,FALSE),"")</f>
        <v>-4.1674772641521377E-2</v>
      </c>
      <c r="J74" s="63">
        <f ca="1">VLOOKUP($B74,Outputs!$N:$R,2,FALSE)</f>
        <v>-4.1571840222658238E-2</v>
      </c>
      <c r="K74" s="63">
        <f ca="1">+VLOOKUP(B74,Outputs!T:U,2,FALSE)</f>
        <v>-5.423753262796116E-2</v>
      </c>
      <c r="L74" s="60" t="str">
        <f>IF($A74=1,VLOOKUP($B74,Outputs!$B:$F,3,FALSE),"")</f>
        <v/>
      </c>
      <c r="M74" s="60">
        <f ca="1">IF($A74=0,VLOOKUP($B74,Outputs!$B:$F,3,FALSE),"")</f>
        <v>33.927879438497555</v>
      </c>
      <c r="N74" s="60" t="str">
        <f>IF($A74=1,VLOOKUP($B74,Outputs!$H:$L,3,FALSE),"")</f>
        <v/>
      </c>
      <c r="O74" s="60">
        <f ca="1">IF($A74=0,VLOOKUP($B74,Outputs!$H:$L,3,FALSE),"")</f>
        <v>33.927879438497555</v>
      </c>
      <c r="P74" s="60" t="str">
        <f>IF($A74=1,VLOOKUP($B74,Outputs!$N:$R,3,FALSE),"")</f>
        <v/>
      </c>
      <c r="Q74" s="60">
        <f ca="1">IF($A74=0,VLOOKUP($B74,Outputs!$N:$R,3,FALSE),"")</f>
        <v>33.375393978177932</v>
      </c>
    </row>
    <row r="75" spans="1:17">
      <c r="A75" s="203">
        <f>IF(VLOOKUP(B75,TOCA_current!$B$2:$AG$137,32,FALSE)=0,0,1)</f>
        <v>0</v>
      </c>
      <c r="B75" t="s">
        <v>127</v>
      </c>
      <c r="C75" s="60" t="str">
        <f>IF(A75=1,VLOOKUP($B75,Outputs!$B:$F,2,FALSE),"")</f>
        <v/>
      </c>
      <c r="D75" s="60">
        <f ca="1">IF(A75=0,VLOOKUP($B75,Outputs!$B:$F,2,FALSE),"")</f>
        <v>-4.7929801922795945E-2</v>
      </c>
      <c r="E75" s="68"/>
      <c r="F75" s="69" t="str">
        <f>IF(A75=1,VLOOKUP($B75,Outputs!$H:$L,2,FALSE),"")</f>
        <v/>
      </c>
      <c r="G75" s="70">
        <f ca="1">IF(A75=0,VLOOKUP($B75,Outputs!$H:$L,2,FALSE),"")</f>
        <v>-4.792980192279582E-2</v>
      </c>
      <c r="J75" s="63">
        <f ca="1">VLOOKUP($B75,Outputs!$N:$R,2,FALSE)</f>
        <v>-3.1738352948206011E-2</v>
      </c>
      <c r="K75" s="63">
        <f ca="1">+VLOOKUP(B75,Outputs!T:U,2,FALSE)</f>
        <v>-7.0005719646214493E-3</v>
      </c>
      <c r="L75" s="60" t="str">
        <f>IF($A75=1,VLOOKUP($B75,Outputs!$B:$F,3,FALSE),"")</f>
        <v/>
      </c>
      <c r="M75" s="60">
        <f ca="1">IF($A75=0,VLOOKUP($B75,Outputs!$B:$F,3,FALSE),"")</f>
        <v>37.377797123627957</v>
      </c>
      <c r="N75" s="60" t="str">
        <f>IF($A75=1,VLOOKUP($B75,Outputs!$H:$L,3,FALSE),"")</f>
        <v/>
      </c>
      <c r="O75" s="60">
        <f ca="1">IF($A75=0,VLOOKUP($B75,Outputs!$H:$L,3,FALSE),"")</f>
        <v>37.377797123627957</v>
      </c>
      <c r="P75" s="60" t="str">
        <f>IF($A75=1,VLOOKUP($B75,Outputs!$N:$R,3,FALSE),"")</f>
        <v/>
      </c>
      <c r="Q75" s="60">
        <f ca="1">IF($A75=0,VLOOKUP($B75,Outputs!$N:$R,3,FALSE),"")</f>
        <v>36.392228664985403</v>
      </c>
    </row>
    <row r="76" spans="1:17">
      <c r="A76" s="203">
        <f>IF(VLOOKUP(B76,TOCA_current!$B$2:$AG$137,32,FALSE)=0,0,1)</f>
        <v>0</v>
      </c>
      <c r="B76" t="s">
        <v>104</v>
      </c>
      <c r="C76" s="60" t="str">
        <f>IF(A76=1,VLOOKUP($B76,Outputs!$B:$F,2,FALSE),"")</f>
        <v/>
      </c>
      <c r="D76" s="60">
        <f ca="1">IF(A76=0,VLOOKUP($B76,Outputs!$B:$F,2,FALSE),"")</f>
        <v>-1.4059773285001631E-2</v>
      </c>
      <c r="E76" s="68"/>
      <c r="F76" s="69" t="str">
        <f>IF(A76=1,VLOOKUP($B76,Outputs!$H:$L,2,FALSE),"")</f>
        <v/>
      </c>
      <c r="G76" s="70">
        <f ca="1">IF(A76=0,VLOOKUP($B76,Outputs!$H:$L,2,FALSE),"")</f>
        <v>-1.405977328499511E-2</v>
      </c>
      <c r="J76" s="63">
        <f ca="1">VLOOKUP($B76,Outputs!$N:$R,2,FALSE)</f>
        <v>-3.4458751855104067E-2</v>
      </c>
      <c r="K76" s="63">
        <f ca="1">+VLOOKUP(B76,Outputs!T:U,2,FALSE)</f>
        <v>-2.995927586273095E-2</v>
      </c>
      <c r="L76" s="60" t="str">
        <f>IF($A76=1,VLOOKUP($B76,Outputs!$B:$F,3,FALSE),"")</f>
        <v/>
      </c>
      <c r="M76" s="60">
        <f ca="1">IF($A76=0,VLOOKUP($B76,Outputs!$B:$F,3,FALSE),"")</f>
        <v>36.115651081055866</v>
      </c>
      <c r="N76" s="60" t="str">
        <f>IF($A76=1,VLOOKUP($B76,Outputs!$H:$L,3,FALSE),"")</f>
        <v/>
      </c>
      <c r="O76" s="60">
        <f ca="1">IF($A76=0,VLOOKUP($B76,Outputs!$H:$L,3,FALSE),"")</f>
        <v>36.115651081055866</v>
      </c>
      <c r="P76" s="60" t="str">
        <f>IF($A76=1,VLOOKUP($B76,Outputs!$N:$R,3,FALSE),"")</f>
        <v/>
      </c>
      <c r="Q76" s="60">
        <f ca="1">IF($A76=0,VLOOKUP($B76,Outputs!$N:$R,3,FALSE),"")</f>
        <v>35.251397642375579</v>
      </c>
    </row>
    <row r="77" spans="1:17">
      <c r="A77" s="203">
        <f>IF(VLOOKUP(B77,TOCA_current!$B$2:$AG$137,32,FALSE)=0,0,1)</f>
        <v>0</v>
      </c>
      <c r="B77" t="s">
        <v>122</v>
      </c>
      <c r="C77" s="60" t="str">
        <f>IF(A77=1,VLOOKUP($B77,Outputs!$B:$F,2,FALSE),"")</f>
        <v/>
      </c>
      <c r="D77" s="60">
        <f ca="1">IF(A77=0,VLOOKUP($B77,Outputs!$B:$F,2,FALSE),"")</f>
        <v>-8.657128934546332E-2</v>
      </c>
      <c r="E77" s="68"/>
      <c r="F77" s="69" t="str">
        <f>IF(A77=1,VLOOKUP($B77,Outputs!$H:$L,2,FALSE),"")</f>
        <v/>
      </c>
      <c r="G77" s="70">
        <f ca="1">IF(A77=0,VLOOKUP($B77,Outputs!$H:$L,2,FALSE),"")</f>
        <v>-8.6571289345457006E-2</v>
      </c>
      <c r="J77" s="63">
        <f ca="1">VLOOKUP($B77,Outputs!$N:$R,2,FALSE)</f>
        <v>-3.2393086540806679E-2</v>
      </c>
      <c r="K77" s="63">
        <f ca="1">+VLOOKUP(B77,Outputs!T:U,2,FALSE)</f>
        <v>-1.2190090550631805E-2</v>
      </c>
      <c r="L77" s="60" t="str">
        <f>IF($A77=1,VLOOKUP($B77,Outputs!$B:$F,3,FALSE),"")</f>
        <v/>
      </c>
      <c r="M77" s="60">
        <f ca="1">IF($A77=0,VLOOKUP($B77,Outputs!$B:$F,3,FALSE),"")</f>
        <v>31.814749633776739</v>
      </c>
      <c r="N77" s="60" t="str">
        <f>IF($A77=1,VLOOKUP($B77,Outputs!$H:$L,3,FALSE),"")</f>
        <v/>
      </c>
      <c r="O77" s="60">
        <f ca="1">IF($A77=0,VLOOKUP($B77,Outputs!$H:$L,3,FALSE),"")</f>
        <v>31.814749633776739</v>
      </c>
      <c r="P77" s="60" t="str">
        <f>IF($A77=1,VLOOKUP($B77,Outputs!$N:$R,3,FALSE),"")</f>
        <v/>
      </c>
      <c r="Q77" s="60">
        <f ca="1">IF($A77=0,VLOOKUP($B77,Outputs!$N:$R,3,FALSE),"")</f>
        <v>32.389336405432971</v>
      </c>
    </row>
    <row r="78" spans="1:17">
      <c r="A78" s="203">
        <f>IF(VLOOKUP(B78,TOCA_current!$B$2:$AG$137,32,FALSE)=0,0,1)</f>
        <v>0</v>
      </c>
      <c r="B78" t="s">
        <v>126</v>
      </c>
      <c r="C78" s="60" t="str">
        <f>IF(A78=1,VLOOKUP($B78,Outputs!$B:$F,2,FALSE),"")</f>
        <v/>
      </c>
      <c r="D78" s="60">
        <f ca="1">IF(A78=0,VLOOKUP($B78,Outputs!$B:$F,2,FALSE),"")</f>
        <v>-3.734107542722731E-2</v>
      </c>
      <c r="E78" s="68"/>
      <c r="F78" s="69" t="str">
        <f>IF(A78=1,VLOOKUP($B78,Outputs!$H:$L,2,FALSE),"")</f>
        <v/>
      </c>
      <c r="G78" s="70">
        <f ca="1">IF(A78=0,VLOOKUP($B78,Outputs!$H:$L,2,FALSE),"")</f>
        <v>-3.7341075427223605E-2</v>
      </c>
      <c r="J78" s="63">
        <f ca="1">VLOOKUP($B78,Outputs!$N:$R,2,FALSE)</f>
        <v>1.4552769306123028E-2</v>
      </c>
      <c r="K78" s="63">
        <f ca="1">+VLOOKUP(B78,Outputs!T:U,2,FALSE)</f>
        <v>0.10730684242161082</v>
      </c>
      <c r="L78" s="60" t="str">
        <f>IF($A78=1,VLOOKUP($B78,Outputs!$B:$F,3,FALSE),"")</f>
        <v/>
      </c>
      <c r="M78" s="60">
        <f ca="1">IF($A78=0,VLOOKUP($B78,Outputs!$B:$F,3,FALSE),"")</f>
        <v>38.672475546862245</v>
      </c>
      <c r="N78" s="60" t="str">
        <f>IF($A78=1,VLOOKUP($B78,Outputs!$H:$L,3,FALSE),"")</f>
        <v/>
      </c>
      <c r="O78" s="60">
        <f ca="1">IF($A78=0,VLOOKUP($B78,Outputs!$H:$L,3,FALSE),"")</f>
        <v>38.672475546862245</v>
      </c>
      <c r="P78" s="60" t="str">
        <f>IF($A78=1,VLOOKUP($B78,Outputs!$N:$R,3,FALSE),"")</f>
        <v/>
      </c>
      <c r="Q78" s="60">
        <f ca="1">IF($A78=0,VLOOKUP($B78,Outputs!$N:$R,3,FALSE),"")</f>
        <v>37.954892635544297</v>
      </c>
    </row>
    <row r="79" spans="1:17">
      <c r="A79" s="203">
        <f>IF(VLOOKUP(B79,TOCA_current!$B$2:$AG$137,32,FALSE)=0,0,1)</f>
        <v>0</v>
      </c>
      <c r="B79" t="s">
        <v>38</v>
      </c>
      <c r="C79" s="60" t="str">
        <f>IF(A79=1,VLOOKUP($B79,Outputs!$B:$F,2,FALSE),"")</f>
        <v/>
      </c>
      <c r="D79" s="60">
        <f ca="1">IF(A79=0,VLOOKUP($B79,Outputs!$B:$F,2,FALSE),"")</f>
        <v>-3.5641682187609804E-2</v>
      </c>
      <c r="E79" s="68"/>
      <c r="F79" s="69" t="str">
        <f>IF(A79=1,VLOOKUP($B79,Outputs!$H:$L,2,FALSE),"")</f>
        <v/>
      </c>
      <c r="G79" s="70">
        <f ca="1">IF(A79=0,VLOOKUP($B79,Outputs!$H:$L,2,FALSE),"")</f>
        <v>-3.5641682187612468E-2</v>
      </c>
      <c r="J79" s="63">
        <f ca="1">VLOOKUP($B79,Outputs!$N:$R,2,FALSE)</f>
        <v>-3.3080629861834403E-2</v>
      </c>
      <c r="K79" s="63">
        <f ca="1">+VLOOKUP(B79,Outputs!T:U,2,FALSE)</f>
        <v>-2.6440525654445657E-2</v>
      </c>
      <c r="L79" s="60" t="str">
        <f>IF($A79=1,VLOOKUP($B79,Outputs!$B:$F,3,FALSE),"")</f>
        <v/>
      </c>
      <c r="M79" s="60">
        <f ca="1">IF($A79=0,VLOOKUP($B79,Outputs!$B:$F,3,FALSE),"")</f>
        <v>34.305532612328349</v>
      </c>
      <c r="N79" s="60" t="str">
        <f>IF($A79=1,VLOOKUP($B79,Outputs!$H:$L,3,FALSE),"")</f>
        <v/>
      </c>
      <c r="O79" s="60">
        <f ca="1">IF($A79=0,VLOOKUP($B79,Outputs!$H:$L,3,FALSE),"")</f>
        <v>34.305532612328349</v>
      </c>
      <c r="P79" s="60" t="str">
        <f>IF($A79=1,VLOOKUP($B79,Outputs!$N:$R,3,FALSE),"")</f>
        <v/>
      </c>
      <c r="Q79" s="60">
        <f ca="1">IF($A79=0,VLOOKUP($B79,Outputs!$N:$R,3,FALSE),"")</f>
        <v>33.932510879552893</v>
      </c>
    </row>
    <row r="80" spans="1:17">
      <c r="A80" s="203">
        <f>IF(VLOOKUP(B80,TOCA_current!$B$2:$AG$137,32,FALSE)=0,0,1)</f>
        <v>0</v>
      </c>
      <c r="B80" t="s">
        <v>80</v>
      </c>
      <c r="C80" s="60" t="str">
        <f>IF(A80=1,VLOOKUP($B80,Outputs!$B:$F,2,FALSE),"")</f>
        <v/>
      </c>
      <c r="D80" s="60">
        <f ca="1">IF(A80=0,VLOOKUP($B80,Outputs!$B:$F,2,FALSE),"")</f>
        <v>-3.9298474280648067E-2</v>
      </c>
      <c r="E80" s="68"/>
      <c r="F80" s="69" t="str">
        <f>IF(A80=1,VLOOKUP($B80,Outputs!$H:$L,2,FALSE),"")</f>
        <v/>
      </c>
      <c r="G80" s="70">
        <f ca="1">IF(A80=0,VLOOKUP($B80,Outputs!$H:$L,2,FALSE),"")</f>
        <v>-3.9298474280645118E-2</v>
      </c>
      <c r="J80" s="63">
        <f ca="1">VLOOKUP($B80,Outputs!$N:$R,2,FALSE)</f>
        <v>-3.4619586662122927E-2</v>
      </c>
      <c r="K80" s="63">
        <f ca="1">+VLOOKUP(B80,Outputs!T:U,2,FALSE)</f>
        <v>-2.1505233690294112E-2</v>
      </c>
      <c r="L80" s="60" t="str">
        <f>IF($A80=1,VLOOKUP($B80,Outputs!$B:$F,3,FALSE),"")</f>
        <v/>
      </c>
      <c r="M80" s="60">
        <f ca="1">IF($A80=0,VLOOKUP($B80,Outputs!$B:$F,3,FALSE),"")</f>
        <v>36.301362413560966</v>
      </c>
      <c r="N80" s="60" t="str">
        <f>IF($A80=1,VLOOKUP($B80,Outputs!$H:$L,3,FALSE),"")</f>
        <v/>
      </c>
      <c r="O80" s="60">
        <f ca="1">IF($A80=0,VLOOKUP($B80,Outputs!$H:$L,3,FALSE),"")</f>
        <v>36.301362413560966</v>
      </c>
      <c r="P80" s="60" t="str">
        <f>IF($A80=1,VLOOKUP($B80,Outputs!$N:$R,3,FALSE),"")</f>
        <v/>
      </c>
      <c r="Q80" s="60">
        <f ca="1">IF($A80=0,VLOOKUP($B80,Outputs!$N:$R,3,FALSE),"")</f>
        <v>35.753673283531391</v>
      </c>
    </row>
    <row r="81" spans="1:17">
      <c r="A81" s="203">
        <f>IF(VLOOKUP(B81,TOCA_current!$B$2:$AG$137,32,FALSE)=0,0,1)</f>
        <v>0</v>
      </c>
      <c r="B81" t="s">
        <v>59</v>
      </c>
      <c r="C81" s="60" t="str">
        <f>IF(A81=1,VLOOKUP($B81,Outputs!$B:$F,2,FALSE),"")</f>
        <v/>
      </c>
      <c r="D81" s="60">
        <f ca="1">IF(A81=0,VLOOKUP($B81,Outputs!$B:$F,2,FALSE),"")</f>
        <v>-3.2366354761475549E-2</v>
      </c>
      <c r="E81" s="68"/>
      <c r="F81" s="69" t="str">
        <f>IF(A81=1,VLOOKUP($B81,Outputs!$H:$L,2,FALSE),"")</f>
        <v/>
      </c>
      <c r="G81" s="70">
        <f ca="1">IF(A81=0,VLOOKUP($B81,Outputs!$H:$L,2,FALSE),"")</f>
        <v>-3.2366354761470768E-2</v>
      </c>
      <c r="J81" s="63">
        <f ca="1">VLOOKUP($B81,Outputs!$N:$R,2,FALSE)</f>
        <v>-3.1951820603154373E-2</v>
      </c>
      <c r="K81" s="63">
        <f ca="1">+VLOOKUP(B81,Outputs!T:U,2,FALSE)</f>
        <v>-4.1677155480655426E-2</v>
      </c>
      <c r="L81" s="60" t="str">
        <f>IF($A81=1,VLOOKUP($B81,Outputs!$B:$F,3,FALSE),"")</f>
        <v/>
      </c>
      <c r="M81" s="60">
        <f ca="1">IF($A81=0,VLOOKUP($B81,Outputs!$B:$F,3,FALSE),"")</f>
        <v>36.770262237413711</v>
      </c>
      <c r="N81" s="60" t="str">
        <f>IF($A81=1,VLOOKUP($B81,Outputs!$H:$L,3,FALSE),"")</f>
        <v/>
      </c>
      <c r="O81" s="60">
        <f ca="1">IF($A81=0,VLOOKUP($B81,Outputs!$H:$L,3,FALSE),"")</f>
        <v>36.770262237413711</v>
      </c>
      <c r="P81" s="60" t="str">
        <f>IF($A81=1,VLOOKUP($B81,Outputs!$N:$R,3,FALSE),"")</f>
        <v/>
      </c>
      <c r="Q81" s="60">
        <f ca="1">IF($A81=0,VLOOKUP($B81,Outputs!$N:$R,3,FALSE),"")</f>
        <v>35.995067272041815</v>
      </c>
    </row>
    <row r="82" spans="1:17">
      <c r="A82" s="203">
        <f>IF(VLOOKUP(B82,TOCA_current!$B$2:$AG$137,32,FALSE)=0,0,1)</f>
        <v>1</v>
      </c>
      <c r="B82" t="s">
        <v>100</v>
      </c>
      <c r="C82" s="60">
        <f ca="1">IF(A82=1,VLOOKUP($B82,Outputs!$B:$F,2,FALSE),"")</f>
        <v>1.5239768572120411E-2</v>
      </c>
      <c r="D82" s="60" t="str">
        <f>IF(A82=0,VLOOKUP($B82,Outputs!$B:$F,2,FALSE),"")</f>
        <v/>
      </c>
      <c r="E82" s="68"/>
      <c r="F82" s="69">
        <f ca="1">IF(A82=1,VLOOKUP($B82,Outputs!$H:$L,2,FALSE),"")</f>
        <v>-3.6241158694829273E-2</v>
      </c>
      <c r="G82" s="70" t="str">
        <f>IF(A82=0,VLOOKUP($B82,Outputs!$H:$L,2,FALSE),"")</f>
        <v/>
      </c>
      <c r="J82" s="63">
        <f ca="1">VLOOKUP($B82,Outputs!$N:$R,2,FALSE)</f>
        <v>-3.3180101190719215E-2</v>
      </c>
      <c r="K82" s="63">
        <f ca="1">+VLOOKUP(B82,Outputs!T:U,2,FALSE)</f>
        <v>-2.550051924532748E-2</v>
      </c>
      <c r="L82" s="60">
        <f ca="1">IF($A82=1,VLOOKUP($B82,Outputs!$B:$F,3,FALSE),"")</f>
        <v>37.771492833649248</v>
      </c>
      <c r="M82" s="60" t="str">
        <f>IF($A82=0,VLOOKUP($B82,Outputs!$B:$F,3,FALSE),"")</f>
        <v/>
      </c>
      <c r="N82" s="60">
        <f ca="1">IF($A82=1,VLOOKUP($B82,Outputs!$H:$L,3,FALSE),"")</f>
        <v>34.303758661806469</v>
      </c>
      <c r="O82" s="60" t="str">
        <f>IF($A82=0,VLOOKUP($B82,Outputs!$H:$L,3,FALSE),"")</f>
        <v/>
      </c>
      <c r="P82" s="60">
        <f ca="1">IF($A82=1,VLOOKUP($B82,Outputs!$N:$R,3,FALSE),"")</f>
        <v>33.929020090380625</v>
      </c>
      <c r="Q82" s="60" t="str">
        <f>IF($A82=0,VLOOKUP($B82,Outputs!$N:$R,3,FALSE),"")</f>
        <v/>
      </c>
    </row>
    <row r="83" spans="1:17">
      <c r="A83" s="203">
        <f>IF(VLOOKUP(B83,TOCA_current!$B$2:$AG$137,32,FALSE)=0,0,1)</f>
        <v>0</v>
      </c>
      <c r="B83" t="s">
        <v>78</v>
      </c>
      <c r="C83" s="60" t="str">
        <f>IF(A83=1,VLOOKUP($B83,Outputs!$B:$F,2,FALSE),"")</f>
        <v/>
      </c>
      <c r="D83" s="60">
        <f ca="1">IF(A83=0,VLOOKUP($B83,Outputs!$B:$F,2,FALSE),"")</f>
        <v>-0.10083497122700083</v>
      </c>
      <c r="E83" s="68"/>
      <c r="F83" s="69" t="str">
        <f>IF(A83=1,VLOOKUP($B83,Outputs!$H:$L,2,FALSE),"")</f>
        <v/>
      </c>
      <c r="G83" s="70">
        <f ca="1">IF(A83=0,VLOOKUP($B83,Outputs!$H:$L,2,FALSE),"")</f>
        <v>-0.10083497122700885</v>
      </c>
      <c r="J83" s="63">
        <f ca="1">VLOOKUP($B83,Outputs!$N:$R,2,FALSE)</f>
        <v>-0.10190604050543306</v>
      </c>
      <c r="K83" s="63">
        <f ca="1">+VLOOKUP(B83,Outputs!T:U,2,FALSE)</f>
        <v>-7.6577924597812097E-2</v>
      </c>
      <c r="L83" s="60" t="str">
        <f>IF($A83=1,VLOOKUP($B83,Outputs!$B:$F,3,FALSE),"")</f>
        <v/>
      </c>
      <c r="M83" s="60">
        <f ca="1">IF($A83=0,VLOOKUP($B83,Outputs!$B:$F,3,FALSE),"")</f>
        <v>31.186067043395745</v>
      </c>
      <c r="N83" s="60" t="str">
        <f>IF($A83=1,VLOOKUP($B83,Outputs!$H:$L,3,FALSE),"")</f>
        <v/>
      </c>
      <c r="O83" s="60">
        <f ca="1">IF($A83=0,VLOOKUP($B83,Outputs!$H:$L,3,FALSE),"")</f>
        <v>31.186067043395745</v>
      </c>
      <c r="P83" s="60" t="str">
        <f>IF($A83=1,VLOOKUP($B83,Outputs!$N:$R,3,FALSE),"")</f>
        <v/>
      </c>
      <c r="Q83" s="60">
        <f ca="1">IF($A83=0,VLOOKUP($B83,Outputs!$N:$R,3,FALSE),"")</f>
        <v>30.467661156103549</v>
      </c>
    </row>
    <row r="84" spans="1:17">
      <c r="A84" s="203">
        <f>IF(VLOOKUP(B84,TOCA_current!$B$2:$AG$137,32,FALSE)=0,0,1)</f>
        <v>0</v>
      </c>
      <c r="B84" t="s">
        <v>51</v>
      </c>
      <c r="C84" s="60" t="str">
        <f>IF(A84=1,VLOOKUP($B84,Outputs!$B:$F,2,FALSE),"")</f>
        <v/>
      </c>
      <c r="D84" s="60">
        <f ca="1">IF(A84=0,VLOOKUP($B84,Outputs!$B:$F,2,FALSE),"")</f>
        <v>-6.1425163842349091E-2</v>
      </c>
      <c r="E84" s="68"/>
      <c r="F84" s="69" t="str">
        <f>IF(A84=1,VLOOKUP($B84,Outputs!$H:$L,2,FALSE),"")</f>
        <v/>
      </c>
      <c r="G84" s="70">
        <f ca="1">IF(A84=0,VLOOKUP($B84,Outputs!$H:$L,2,FALSE),"")</f>
        <v>-6.1425163842345233E-2</v>
      </c>
      <c r="J84" s="63">
        <f ca="1">VLOOKUP($B84,Outputs!$N:$R,2,FALSE)</f>
        <v>-4.0759633154963108E-2</v>
      </c>
      <c r="K84" s="63">
        <f ca="1">+VLOOKUP(B84,Outputs!T:U,2,FALSE)</f>
        <v>-0.1183276380075633</v>
      </c>
      <c r="L84" s="60" t="str">
        <f>IF($A84=1,VLOOKUP($B84,Outputs!$B:$F,3,FALSE),"")</f>
        <v/>
      </c>
      <c r="M84" s="60">
        <f ca="1">IF($A84=0,VLOOKUP($B84,Outputs!$B:$F,3,FALSE),"")</f>
        <v>25.933763566995239</v>
      </c>
      <c r="N84" s="60" t="str">
        <f>IF($A84=1,VLOOKUP($B84,Outputs!$H:$L,3,FALSE),"")</f>
        <v/>
      </c>
      <c r="O84" s="60">
        <f ca="1">IF($A84=0,VLOOKUP($B84,Outputs!$H:$L,3,FALSE),"")</f>
        <v>25.933763566995239</v>
      </c>
      <c r="P84" s="60" t="str">
        <f>IF($A84=1,VLOOKUP($B84,Outputs!$N:$R,3,FALSE),"")</f>
        <v/>
      </c>
      <c r="Q84" s="60">
        <f ca="1">IF($A84=0,VLOOKUP($B84,Outputs!$N:$R,3,FALSE),"")</f>
        <v>27.144375286451261</v>
      </c>
    </row>
    <row r="85" spans="1:17">
      <c r="A85" s="203">
        <f>IF(VLOOKUP(B85,TOCA_current!$B$2:$AG$137,32,FALSE)=0,0,1)</f>
        <v>0</v>
      </c>
      <c r="B85" t="s">
        <v>89</v>
      </c>
      <c r="C85" s="60" t="str">
        <f>IF(A85=1,VLOOKUP($B85,Outputs!$B:$F,2,FALSE),"")</f>
        <v/>
      </c>
      <c r="D85" s="60">
        <f ca="1">IF(A85=0,VLOOKUP($B85,Outputs!$B:$F,2,FALSE),"")</f>
        <v>-2.6372349876097198E-2</v>
      </c>
      <c r="E85" s="68"/>
      <c r="F85" s="69" t="str">
        <f>IF(A85=1,VLOOKUP($B85,Outputs!$H:$L,2,FALSE),"")</f>
        <v/>
      </c>
      <c r="G85" s="70">
        <f ca="1">IF(A85=0,VLOOKUP($B85,Outputs!$H:$L,2,FALSE),"")</f>
        <v>-2.6372349876092355E-2</v>
      </c>
      <c r="J85" s="63">
        <f ca="1">VLOOKUP($B85,Outputs!$N:$R,2,FALSE)</f>
        <v>-3.304908605639801E-2</v>
      </c>
      <c r="K85" s="63">
        <f ca="1">+VLOOKUP(B85,Outputs!T:U,2,FALSE)</f>
        <v>-1.4927317816992969E-2</v>
      </c>
      <c r="L85" s="60" t="str">
        <f>IF($A85=1,VLOOKUP($B85,Outputs!$B:$F,3,FALSE),"")</f>
        <v/>
      </c>
      <c r="M85" s="60">
        <f ca="1">IF($A85=0,VLOOKUP($B85,Outputs!$B:$F,3,FALSE),"")</f>
        <v>35.174978044302691</v>
      </c>
      <c r="N85" s="60" t="str">
        <f>IF($A85=1,VLOOKUP($B85,Outputs!$H:$L,3,FALSE),"")</f>
        <v/>
      </c>
      <c r="O85" s="60">
        <f ca="1">IF($A85=0,VLOOKUP($B85,Outputs!$H:$L,3,FALSE),"")</f>
        <v>35.174978044302691</v>
      </c>
      <c r="P85" s="60" t="str">
        <f>IF($A85=1,VLOOKUP($B85,Outputs!$N:$R,3,FALSE),"")</f>
        <v/>
      </c>
      <c r="Q85" s="60">
        <f ca="1">IF($A85=0,VLOOKUP($B85,Outputs!$N:$R,3,FALSE),"")</f>
        <v>33.87909594791342</v>
      </c>
    </row>
    <row r="86" spans="1:17">
      <c r="A86" s="203">
        <f>IF(VLOOKUP(B86,TOCA_current!$B$2:$AG$137,32,FALSE)=0,0,1)</f>
        <v>0</v>
      </c>
      <c r="B86" t="s">
        <v>108</v>
      </c>
      <c r="C86" s="60" t="str">
        <f>IF(A86=1,VLOOKUP($B86,Outputs!$B:$F,2,FALSE),"")</f>
        <v/>
      </c>
      <c r="D86" s="60">
        <f ca="1">IF(A86=0,VLOOKUP($B86,Outputs!$B:$F,2,FALSE),"")</f>
        <v>-3.4245462145379268E-2</v>
      </c>
      <c r="E86" s="68"/>
      <c r="F86" s="69" t="str">
        <f>IF(A86=1,VLOOKUP($B86,Outputs!$H:$L,2,FALSE),"")</f>
        <v/>
      </c>
      <c r="G86" s="70">
        <f ca="1">IF(A86=0,VLOOKUP($B86,Outputs!$H:$L,2,FALSE),"")</f>
        <v>-3.4245462145375778E-2</v>
      </c>
      <c r="J86" s="63">
        <f ca="1">VLOOKUP($B86,Outputs!$N:$R,2,FALSE)</f>
        <v>-3.2830045221974559E-2</v>
      </c>
      <c r="K86" s="63">
        <f ca="1">+VLOOKUP(B86,Outputs!T:U,2,FALSE)</f>
        <v>-2.0101216855419435E-2</v>
      </c>
      <c r="L86" s="60" t="str">
        <f>IF($A86=1,VLOOKUP($B86,Outputs!$B:$F,3,FALSE),"")</f>
        <v/>
      </c>
      <c r="M86" s="60">
        <f ca="1">IF($A86=0,VLOOKUP($B86,Outputs!$B:$F,3,FALSE),"")</f>
        <v>36.773706351610059</v>
      </c>
      <c r="N86" s="60" t="str">
        <f>IF($A86=1,VLOOKUP($B86,Outputs!$H:$L,3,FALSE),"")</f>
        <v/>
      </c>
      <c r="O86" s="60">
        <f ca="1">IF($A86=0,VLOOKUP($B86,Outputs!$H:$L,3,FALSE),"")</f>
        <v>36.773706351610059</v>
      </c>
      <c r="P86" s="60" t="str">
        <f>IF($A86=1,VLOOKUP($B86,Outputs!$N:$R,3,FALSE),"")</f>
        <v/>
      </c>
      <c r="Q86" s="60">
        <f ca="1">IF($A86=0,VLOOKUP($B86,Outputs!$N:$R,3,FALSE),"")</f>
        <v>36.203531150532385</v>
      </c>
    </row>
    <row r="87" spans="1:17">
      <c r="A87" s="203">
        <f>IF(VLOOKUP(B87,TOCA_current!$B$2:$AG$137,32,FALSE)=0,0,1)</f>
        <v>0</v>
      </c>
      <c r="B87" t="s">
        <v>139</v>
      </c>
      <c r="C87" s="60" t="str">
        <f>IF(A87=1,VLOOKUP($B87,Outputs!$B:$F,2,FALSE),"")</f>
        <v/>
      </c>
      <c r="D87" s="60">
        <f ca="1">IF(A87=0,VLOOKUP($B87,Outputs!$B:$F,2,FALSE),"")</f>
        <v>-3.3732981472393897E-2</v>
      </c>
      <c r="E87" s="68"/>
      <c r="F87" s="69" t="str">
        <f>IF(A87=1,VLOOKUP($B87,Outputs!$H:$L,2,FALSE),"")</f>
        <v/>
      </c>
      <c r="G87" s="70">
        <f ca="1">IF(A87=0,VLOOKUP($B87,Outputs!$H:$L,2,FALSE),"")</f>
        <v>-3.3732981472389498E-2</v>
      </c>
      <c r="J87" s="63">
        <f ca="1">VLOOKUP($B87,Outputs!$N:$R,2,FALSE)</f>
        <v>-3.3540612477592567E-2</v>
      </c>
      <c r="K87" s="63">
        <f ca="1">+VLOOKUP(B87,Outputs!T:U,2,FALSE)</f>
        <v>-2.4169592736204115E-2</v>
      </c>
      <c r="L87" s="60" t="str">
        <f>IF($A87=1,VLOOKUP($B87,Outputs!$B:$F,3,FALSE),"")</f>
        <v/>
      </c>
      <c r="M87" s="60">
        <f ca="1">IF($A87=0,VLOOKUP($B87,Outputs!$B:$F,3,FALSE),"")</f>
        <v>36.339078301488662</v>
      </c>
      <c r="N87" s="60" t="str">
        <f>IF($A87=1,VLOOKUP($B87,Outputs!$H:$L,3,FALSE),"")</f>
        <v/>
      </c>
      <c r="O87" s="60">
        <f ca="1">IF($A87=0,VLOOKUP($B87,Outputs!$H:$L,3,FALSE),"")</f>
        <v>36.339078301488662</v>
      </c>
      <c r="P87" s="60" t="str">
        <f>IF($A87=1,VLOOKUP($B87,Outputs!$N:$R,3,FALSE),"")</f>
        <v/>
      </c>
      <c r="Q87" s="60">
        <f ca="1">IF($A87=0,VLOOKUP($B87,Outputs!$N:$R,3,FALSE),"")</f>
        <v>35.662372641148316</v>
      </c>
    </row>
    <row r="88" spans="1:17">
      <c r="A88" s="203">
        <f>IF(VLOOKUP(B88,TOCA_current!$B$2:$AG$137,32,FALSE)=0,0,1)</f>
        <v>0</v>
      </c>
      <c r="B88" t="s">
        <v>97</v>
      </c>
      <c r="C88" s="60" t="str">
        <f>IF(A88=1,VLOOKUP($B88,Outputs!$B:$F,2,FALSE),"")</f>
        <v/>
      </c>
      <c r="D88" s="60">
        <f ca="1">IF(A88=0,VLOOKUP($B88,Outputs!$B:$F,2,FALSE),"")</f>
        <v>-2.7852483515440403E-2</v>
      </c>
      <c r="E88" s="68"/>
      <c r="F88" s="69" t="str">
        <f>IF(A88=1,VLOOKUP($B88,Outputs!$H:$L,2,FALSE),"")</f>
        <v/>
      </c>
      <c r="G88" s="70">
        <f ca="1">IF(A88=0,VLOOKUP($B88,Outputs!$H:$L,2,FALSE),"")</f>
        <v>-2.785248351544245E-2</v>
      </c>
      <c r="J88" s="63">
        <f ca="1">VLOOKUP($B88,Outputs!$N:$R,2,FALSE)</f>
        <v>-3.5879520501535617E-2</v>
      </c>
      <c r="K88" s="63">
        <f ca="1">+VLOOKUP(B88,Outputs!T:U,2,FALSE)</f>
        <v>-1.4384094452565721E-2</v>
      </c>
      <c r="L88" s="60" t="str">
        <f>IF($A88=1,VLOOKUP($B88,Outputs!$B:$F,3,FALSE),"")</f>
        <v/>
      </c>
      <c r="M88" s="60">
        <f ca="1">IF($A88=0,VLOOKUP($B88,Outputs!$B:$F,3,FALSE),"")</f>
        <v>33.617894767090284</v>
      </c>
      <c r="N88" s="60" t="str">
        <f>IF($A88=1,VLOOKUP($B88,Outputs!$H:$L,3,FALSE),"")</f>
        <v/>
      </c>
      <c r="O88" s="60">
        <f ca="1">IF($A88=0,VLOOKUP($B88,Outputs!$H:$L,3,FALSE),"")</f>
        <v>33.617894767090284</v>
      </c>
      <c r="P88" s="60" t="str">
        <f>IF($A88=1,VLOOKUP($B88,Outputs!$N:$R,3,FALSE),"")</f>
        <v/>
      </c>
      <c r="Q88" s="60">
        <f ca="1">IF($A88=0,VLOOKUP($B88,Outputs!$N:$R,3,FALSE),"")</f>
        <v>32.354781266498861</v>
      </c>
    </row>
    <row r="89" spans="1:17">
      <c r="A89" s="203">
        <f>IF(VLOOKUP(B89,TOCA_current!$B$2:$AG$137,32,FALSE)=0,0,1)</f>
        <v>0</v>
      </c>
      <c r="B89" t="s">
        <v>88</v>
      </c>
      <c r="C89" s="60" t="str">
        <f>IF(A89=1,VLOOKUP($B89,Outputs!$B:$F,2,FALSE),"")</f>
        <v/>
      </c>
      <c r="D89" s="60">
        <f ca="1">IF(A89=0,VLOOKUP($B89,Outputs!$B:$F,2,FALSE),"")</f>
        <v>-4.0203771074298497E-2</v>
      </c>
      <c r="E89" s="68"/>
      <c r="F89" s="69" t="str">
        <f>IF(A89=1,VLOOKUP($B89,Outputs!$H:$L,2,FALSE),"")</f>
        <v/>
      </c>
      <c r="G89" s="70">
        <f ca="1">IF(A89=0,VLOOKUP($B89,Outputs!$H:$L,2,FALSE),"")</f>
        <v>-4.0203771074300405E-2</v>
      </c>
      <c r="J89" s="63">
        <f ca="1">VLOOKUP($B89,Outputs!$N:$R,2,FALSE)</f>
        <v>-3.9006380865432094E-2</v>
      </c>
      <c r="K89" s="63">
        <f ca="1">+VLOOKUP(B89,Outputs!T:U,2,FALSE)</f>
        <v>-9.8377149324906377E-3</v>
      </c>
      <c r="L89" s="60" t="str">
        <f>IF($A89=1,VLOOKUP($B89,Outputs!$B:$F,3,FALSE),"")</f>
        <v/>
      </c>
      <c r="M89" s="60">
        <f ca="1">IF($A89=0,VLOOKUP($B89,Outputs!$B:$F,3,FALSE),"")</f>
        <v>33.665997898795261</v>
      </c>
      <c r="N89" s="60" t="str">
        <f>IF($A89=1,VLOOKUP($B89,Outputs!$H:$L,3,FALSE),"")</f>
        <v/>
      </c>
      <c r="O89" s="60">
        <f ca="1">IF($A89=0,VLOOKUP($B89,Outputs!$H:$L,3,FALSE),"")</f>
        <v>33.665997898795261</v>
      </c>
      <c r="P89" s="60" t="str">
        <f>IF($A89=1,VLOOKUP($B89,Outputs!$N:$R,3,FALSE),"")</f>
        <v/>
      </c>
      <c r="Q89" s="60">
        <f ca="1">IF($A89=0,VLOOKUP($B89,Outputs!$N:$R,3,FALSE),"")</f>
        <v>33.459254469149599</v>
      </c>
    </row>
    <row r="90" spans="1:17" s="82" customFormat="1">
      <c r="A90" s="203">
        <f>IF(VLOOKUP(B90,TOCA_current!$B$2:$AG$137,32,FALSE)=0,0,1)</f>
        <v>1</v>
      </c>
      <c r="B90" s="82" t="s">
        <v>60</v>
      </c>
      <c r="C90" s="60">
        <f ca="1">IF(A90=1,VLOOKUP($B90,Outputs!$B:$F,2,FALSE),"")</f>
        <v>1.1793386622551137E-2</v>
      </c>
      <c r="D90" s="60" t="str">
        <f>IF(A90=0,VLOOKUP($B90,Outputs!$B:$F,2,FALSE),"")</f>
        <v/>
      </c>
      <c r="E90" s="68"/>
      <c r="F90" s="69">
        <f ca="1">IF(A90=1,VLOOKUP($B90,Outputs!$H:$L,2,FALSE),"")</f>
        <v>-4.0469504963449768E-2</v>
      </c>
      <c r="G90" s="70" t="str">
        <f>IF(A90=0,VLOOKUP($B90,Outputs!$H:$L,2,FALSE),"")</f>
        <v/>
      </c>
      <c r="H90" s="60"/>
      <c r="I90" s="60"/>
      <c r="J90" s="63">
        <f ca="1">VLOOKUP($B90,Outputs!$N:$R,2,FALSE)</f>
        <v>-3.8098714748417181E-2</v>
      </c>
      <c r="K90" s="63">
        <f ca="1">+VLOOKUP(B90,Outputs!T:U,2,FALSE)</f>
        <v>-2.440463570345619E-2</v>
      </c>
      <c r="L90" s="60">
        <f ca="1">IF($A90=1,VLOOKUP($B90,Outputs!$B:$F,3,FALSE),"")</f>
        <v>35.442116111657221</v>
      </c>
      <c r="M90" s="60" t="str">
        <f>IF($A90=0,VLOOKUP($B90,Outputs!$B:$F,3,FALSE),"")</f>
        <v/>
      </c>
      <c r="N90" s="60">
        <f ca="1">IF($A90=1,VLOOKUP($B90,Outputs!$H:$L,3,FALSE),"")</f>
        <v>32.111887572413615</v>
      </c>
      <c r="O90" s="60" t="str">
        <f>IF($A90=0,VLOOKUP($B90,Outputs!$H:$L,3,FALSE),"")</f>
        <v/>
      </c>
      <c r="P90" s="60">
        <f ca="1">IF($A90=1,VLOOKUP($B90,Outputs!$N:$R,3,FALSE),"")</f>
        <v>31.773114660427535</v>
      </c>
      <c r="Q90" s="60" t="str">
        <f>IF($A90=0,VLOOKUP($B90,Outputs!$N:$R,3,FALSE),"")</f>
        <v/>
      </c>
    </row>
    <row r="91" spans="1:17">
      <c r="A91" s="203">
        <f>IF(VLOOKUP(B91,TOCA_current!$B$2:$AG$137,32,FALSE)=0,0,1)</f>
        <v>0</v>
      </c>
      <c r="B91" t="s">
        <v>79</v>
      </c>
      <c r="C91" s="60" t="str">
        <f>IF(A91=1,VLOOKUP($B91,Outputs!$B:$F,2,FALSE),"")</f>
        <v/>
      </c>
      <c r="D91" s="60">
        <f ca="1">IF(A91=0,VLOOKUP($B91,Outputs!$B:$F,2,FALSE),"")</f>
        <v>-4.2898937103897264E-2</v>
      </c>
      <c r="E91" s="68"/>
      <c r="F91" s="69" t="str">
        <f>IF(A91=1,VLOOKUP($B91,Outputs!$H:$L,2,FALSE),"")</f>
        <v/>
      </c>
      <c r="G91" s="70">
        <f ca="1">IF(A91=0,VLOOKUP($B91,Outputs!$H:$L,2,FALSE),"")</f>
        <v>-4.2898937103897507E-2</v>
      </c>
      <c r="J91" s="63">
        <f ca="1">VLOOKUP($B91,Outputs!$N:$R,2,FALSE)</f>
        <v>-4.4295326418271559E-2</v>
      </c>
      <c r="K91" s="63">
        <f ca="1">+VLOOKUP(B91,Outputs!T:U,2,FALSE)</f>
        <v>-1.7195830091640274E-2</v>
      </c>
      <c r="L91" s="60" t="str">
        <f>IF($A91=1,VLOOKUP($B91,Outputs!$B:$F,3,FALSE),"")</f>
        <v/>
      </c>
      <c r="M91" s="60">
        <f ca="1">IF($A91=0,VLOOKUP($B91,Outputs!$B:$F,3,FALSE),"")</f>
        <v>35.218407057312049</v>
      </c>
      <c r="N91" s="60" t="str">
        <f>IF($A91=1,VLOOKUP($B91,Outputs!$H:$L,3,FALSE),"")</f>
        <v/>
      </c>
      <c r="O91" s="60">
        <f ca="1">IF($A91=0,VLOOKUP($B91,Outputs!$H:$L,3,FALSE),"")</f>
        <v>35.218407057312049</v>
      </c>
      <c r="P91" s="60" t="str">
        <f>IF($A91=1,VLOOKUP($B91,Outputs!$N:$R,3,FALSE),"")</f>
        <v/>
      </c>
      <c r="Q91" s="60">
        <f ca="1">IF($A91=0,VLOOKUP($B91,Outputs!$N:$R,3,FALSE),"")</f>
        <v>34.46406806710521</v>
      </c>
    </row>
    <row r="92" spans="1:17">
      <c r="A92" s="203">
        <f>IF(VLOOKUP(B92,TOCA_current!$B$2:$AG$137,32,FALSE)=0,0,1)</f>
        <v>0</v>
      </c>
      <c r="B92" t="s">
        <v>50</v>
      </c>
      <c r="C92" s="60" t="str">
        <f>IF(A92=1,VLOOKUP($B92,Outputs!$B:$F,2,FALSE),"")</f>
        <v/>
      </c>
      <c r="D92" s="60">
        <f ca="1">IF(A92=0,VLOOKUP($B92,Outputs!$B:$F,2,FALSE),"")</f>
        <v>-3.6053911170368561E-2</v>
      </c>
      <c r="E92" s="68"/>
      <c r="F92" s="69" t="str">
        <f>IF(A92=1,VLOOKUP($B92,Outputs!$H:$L,2,FALSE),"")</f>
        <v/>
      </c>
      <c r="G92" s="70">
        <f ca="1">IF(A92=0,VLOOKUP($B92,Outputs!$H:$L,2,FALSE),"")</f>
        <v>-3.6053911170365167E-2</v>
      </c>
      <c r="J92" s="63">
        <f ca="1">VLOOKUP($B92,Outputs!$N:$R,2,FALSE)</f>
        <v>-3.6102218256471065E-2</v>
      </c>
      <c r="K92" s="63">
        <f ca="1">+VLOOKUP(B92,Outputs!T:U,2,FALSE)</f>
        <v>-3.6142109117071497E-2</v>
      </c>
      <c r="L92" s="60" t="str">
        <f>IF($A92=1,VLOOKUP($B92,Outputs!$B:$F,3,FALSE),"")</f>
        <v/>
      </c>
      <c r="M92" s="60">
        <f ca="1">IF($A92=0,VLOOKUP($B92,Outputs!$B:$F,3,FALSE),"")</f>
        <v>36.057519962015419</v>
      </c>
      <c r="N92" s="60" t="str">
        <f>IF($A92=1,VLOOKUP($B92,Outputs!$H:$L,3,FALSE),"")</f>
        <v/>
      </c>
      <c r="O92" s="60">
        <f ca="1">IF($A92=0,VLOOKUP($B92,Outputs!$H:$L,3,FALSE),"")</f>
        <v>36.057519962015419</v>
      </c>
      <c r="P92" s="60" t="str">
        <f>IF($A92=1,VLOOKUP($B92,Outputs!$N:$R,3,FALSE),"")</f>
        <v/>
      </c>
      <c r="Q92" s="60">
        <f ca="1">IF($A92=0,VLOOKUP($B92,Outputs!$N:$R,3,FALSE),"")</f>
        <v>35.729479422093689</v>
      </c>
    </row>
    <row r="93" spans="1:17">
      <c r="A93" s="203">
        <f>IF(VLOOKUP(B93,TOCA_current!$B$2:$AG$137,32,FALSE)=0,0,1)</f>
        <v>0</v>
      </c>
      <c r="B93" t="s">
        <v>118</v>
      </c>
      <c r="C93" s="60" t="str">
        <f>IF(A93=1,VLOOKUP($B93,Outputs!$B:$F,2,FALSE),"")</f>
        <v/>
      </c>
      <c r="D93" s="60">
        <f ca="1">IF(A93=0,VLOOKUP($B93,Outputs!$B:$F,2,FALSE),"")</f>
        <v>-3.1790747586477486E-2</v>
      </c>
      <c r="E93" s="68"/>
      <c r="F93" s="69" t="str">
        <f>IF(A93=1,VLOOKUP($B93,Outputs!$H:$L,2,FALSE),"")</f>
        <v/>
      </c>
      <c r="G93" s="70">
        <f ca="1">IF(A93=0,VLOOKUP($B93,Outputs!$H:$L,2,FALSE),"")</f>
        <v>-3.1790747586474703E-2</v>
      </c>
      <c r="J93" s="63">
        <f ca="1">VLOOKUP($B93,Outputs!$N:$R,2,FALSE)</f>
        <v>-3.1722764377740631E-2</v>
      </c>
      <c r="K93" s="63">
        <f ca="1">+VLOOKUP(B93,Outputs!T:U,2,FALSE)</f>
        <v>-3.9377338733919354E-2</v>
      </c>
      <c r="L93" s="60" t="str">
        <f>IF($A93=1,VLOOKUP($B93,Outputs!$B:$F,3,FALSE),"")</f>
        <v/>
      </c>
      <c r="M93" s="60">
        <f ca="1">IF($A93=0,VLOOKUP($B93,Outputs!$B:$F,3,FALSE),"")</f>
        <v>35.561342296592805</v>
      </c>
      <c r="N93" s="60" t="str">
        <f>IF($A93=1,VLOOKUP($B93,Outputs!$H:$L,3,FALSE),"")</f>
        <v/>
      </c>
      <c r="O93" s="60">
        <f ca="1">IF($A93=0,VLOOKUP($B93,Outputs!$H:$L,3,FALSE),"")</f>
        <v>35.561342296592805</v>
      </c>
      <c r="P93" s="60" t="str">
        <f>IF($A93=1,VLOOKUP($B93,Outputs!$N:$R,3,FALSE),"")</f>
        <v/>
      </c>
      <c r="Q93" s="60">
        <f ca="1">IF($A93=0,VLOOKUP($B93,Outputs!$N:$R,3,FALSE),"")</f>
        <v>35.060840453679113</v>
      </c>
    </row>
    <row r="94" spans="1:17">
      <c r="A94" s="203">
        <f>IF(VLOOKUP(B94,TOCA_current!$B$2:$AG$137,32,FALSE)=0,0,1)</f>
        <v>0</v>
      </c>
      <c r="B94" t="s">
        <v>10</v>
      </c>
      <c r="C94" s="60" t="str">
        <f>IF(A94=1,VLOOKUP($B94,Outputs!$B:$F,2,FALSE),"")</f>
        <v/>
      </c>
      <c r="D94" s="60">
        <f ca="1">IF(A94=0,VLOOKUP($B94,Outputs!$B:$F,2,FALSE),"")</f>
        <v>-3.9976171392415868E-2</v>
      </c>
      <c r="E94" s="68"/>
      <c r="F94" s="69" t="str">
        <f>IF(A94=1,VLOOKUP($B94,Outputs!$H:$L,2,FALSE),"")</f>
        <v/>
      </c>
      <c r="G94" s="70">
        <f ca="1">IF(A94=0,VLOOKUP($B94,Outputs!$H:$L,2,FALSE),"")</f>
        <v>-3.9976171392409506E-2</v>
      </c>
      <c r="J94" s="63">
        <f ca="1">VLOOKUP($B94,Outputs!$N:$R,2,FALSE)</f>
        <v>-3.7831711680814901E-2</v>
      </c>
      <c r="K94" s="63">
        <f ca="1">+VLOOKUP(B94,Outputs!T:U,2,FALSE)</f>
        <v>-3.0464703616605582E-2</v>
      </c>
      <c r="L94" s="60" t="str">
        <f>IF($A94=1,VLOOKUP($B94,Outputs!$B:$F,3,FALSE),"")</f>
        <v/>
      </c>
      <c r="M94" s="60">
        <f ca="1">IF($A94=0,VLOOKUP($B94,Outputs!$B:$F,3,FALSE),"")</f>
        <v>31.349067538867715</v>
      </c>
      <c r="N94" s="60" t="str">
        <f>IF($A94=1,VLOOKUP($B94,Outputs!$H:$L,3,FALSE),"")</f>
        <v/>
      </c>
      <c r="O94" s="60">
        <f ca="1">IF($A94=0,VLOOKUP($B94,Outputs!$H:$L,3,FALSE),"")</f>
        <v>31.349067538867715</v>
      </c>
      <c r="P94" s="60" t="str">
        <f>IF($A94=1,VLOOKUP($B94,Outputs!$N:$R,3,FALSE),"")</f>
        <v/>
      </c>
      <c r="Q94" s="60">
        <f ca="1">IF($A94=0,VLOOKUP($B94,Outputs!$N:$R,3,FALSE),"")</f>
        <v>31.61802029263897</v>
      </c>
    </row>
    <row r="95" spans="1:17">
      <c r="A95" s="203">
        <f>IF(VLOOKUP(B95,TOCA_current!$B$2:$AG$137,32,FALSE)=0,0,1)</f>
        <v>0</v>
      </c>
      <c r="B95" t="s">
        <v>11</v>
      </c>
      <c r="C95" s="60" t="str">
        <f>IF(A95=1,VLOOKUP($B95,Outputs!$B:$F,2,FALSE),"")</f>
        <v/>
      </c>
      <c r="D95" s="60">
        <f ca="1">IF(A95=0,VLOOKUP($B95,Outputs!$B:$F,2,FALSE),"")</f>
        <v>-5.6836257936506158E-2</v>
      </c>
      <c r="E95" s="68"/>
      <c r="F95" s="69" t="str">
        <f>IF(A95=1,VLOOKUP($B95,Outputs!$H:$L,2,FALSE),"")</f>
        <v/>
      </c>
      <c r="G95" s="70">
        <f ca="1">IF(A95=0,VLOOKUP($B95,Outputs!$H:$L,2,FALSE),"")</f>
        <v>-5.683625793651121E-2</v>
      </c>
      <c r="J95" s="63">
        <f ca="1">VLOOKUP($B95,Outputs!$N:$R,2,FALSE)</f>
        <v>-4.8830855998358881E-2</v>
      </c>
      <c r="K95" s="63">
        <f ca="1">+VLOOKUP(B95,Outputs!T:U,2,FALSE)</f>
        <v>-5.5591269045058955E-2</v>
      </c>
      <c r="L95" s="60" t="str">
        <f>IF($A95=1,VLOOKUP($B95,Outputs!$B:$F,3,FALSE),"")</f>
        <v/>
      </c>
      <c r="M95" s="60">
        <f ca="1">IF($A95=0,VLOOKUP($B95,Outputs!$B:$F,3,FALSE),"")</f>
        <v>27.528169773728216</v>
      </c>
      <c r="N95" s="60" t="str">
        <f>IF($A95=1,VLOOKUP($B95,Outputs!$H:$L,3,FALSE),"")</f>
        <v/>
      </c>
      <c r="O95" s="60">
        <f ca="1">IF($A95=0,VLOOKUP($B95,Outputs!$H:$L,3,FALSE),"")</f>
        <v>27.528169773728216</v>
      </c>
      <c r="P95" s="60" t="str">
        <f>IF($A95=1,VLOOKUP($B95,Outputs!$N:$R,3,FALSE),"")</f>
        <v/>
      </c>
      <c r="Q95" s="60">
        <f ca="1">IF($A95=0,VLOOKUP($B95,Outputs!$N:$R,3,FALSE),"")</f>
        <v>29.061449845227465</v>
      </c>
    </row>
    <row r="96" spans="1:17">
      <c r="A96" s="203">
        <f>IF(VLOOKUP(B96,TOCA_current!$B$2:$AG$137,32,FALSE)=0,0,1)</f>
        <v>1</v>
      </c>
      <c r="B96" t="s">
        <v>75</v>
      </c>
      <c r="C96" s="60">
        <f ca="1">IF(A96=1,VLOOKUP($B96,Outputs!$B:$F,2,FALSE),"")</f>
        <v>1.7184986108256538E-2</v>
      </c>
      <c r="D96" s="60" t="str">
        <f>IF(A96=0,VLOOKUP($B96,Outputs!$B:$F,2,FALSE),"")</f>
        <v/>
      </c>
      <c r="E96" s="68"/>
      <c r="F96" s="69">
        <f ca="1">IF(A96=1,VLOOKUP($B96,Outputs!$H:$L,2,FALSE),"")</f>
        <v>-3.5496220540798637E-2</v>
      </c>
      <c r="G96" s="70" t="str">
        <f>IF(A96=0,VLOOKUP($B96,Outputs!$H:$L,2,FALSE),"")</f>
        <v/>
      </c>
      <c r="J96" s="63">
        <f ca="1">VLOOKUP($B96,Outputs!$N:$R,2,FALSE)</f>
        <v>-3.3180101189849813E-2</v>
      </c>
      <c r="K96" s="63">
        <f ca="1">+VLOOKUP(B96,Outputs!T:U,2,FALSE)</f>
        <v>-2.5232584743653419E-2</v>
      </c>
      <c r="L96" s="60">
        <f ca="1">IF($A96=1,VLOOKUP($B96,Outputs!$B:$F,3,FALSE),"")</f>
        <v>37.913511910251373</v>
      </c>
      <c r="M96" s="60" t="str">
        <f>IF($A96=0,VLOOKUP($B96,Outputs!$B:$F,3,FALSE),"")</f>
        <v/>
      </c>
      <c r="N96" s="60">
        <f ca="1">IF($A96=1,VLOOKUP($B96,Outputs!$H:$L,3,FALSE),"")</f>
        <v>34.043888329384586</v>
      </c>
      <c r="O96" s="60" t="str">
        <f>IF($A96=0,VLOOKUP($B96,Outputs!$H:$L,3,FALSE),"")</f>
        <v/>
      </c>
      <c r="P96" s="60">
        <f ca="1">IF($A96=1,VLOOKUP($B96,Outputs!$N:$R,3,FALSE),"")</f>
        <v>33.929020090380625</v>
      </c>
      <c r="Q96" s="60" t="str">
        <f>IF($A96=0,VLOOKUP($B96,Outputs!$N:$R,3,FALSE),"")</f>
        <v/>
      </c>
    </row>
    <row r="97" spans="1:17">
      <c r="A97" s="203">
        <f>IF(VLOOKUP(B97,TOCA_current!$B$2:$AG$137,32,FALSE)=0,0,1)</f>
        <v>0</v>
      </c>
      <c r="B97" t="s">
        <v>94</v>
      </c>
      <c r="C97" s="60" t="str">
        <f>IF(A97=1,VLOOKUP($B97,Outputs!$B:$F,2,FALSE),"")</f>
        <v/>
      </c>
      <c r="D97" s="60">
        <f ca="1">IF(A97=0,VLOOKUP($B97,Outputs!$B:$F,2,FALSE),"")</f>
        <v>-0.147426938997442</v>
      </c>
      <c r="E97" s="68"/>
      <c r="F97" s="69" t="str">
        <f>IF(A97=1,VLOOKUP($B97,Outputs!$H:$L,2,FALSE),"")</f>
        <v/>
      </c>
      <c r="G97" s="70">
        <f ca="1">IF(A97=0,VLOOKUP($B97,Outputs!$H:$L,2,FALSE),"")</f>
        <v>-0.14742693899744608</v>
      </c>
      <c r="J97" s="63">
        <f ca="1">VLOOKUP($B97,Outputs!$N:$R,2,FALSE)</f>
        <v>-3.3180101182284191E-2</v>
      </c>
      <c r="K97" s="63">
        <f ca="1">+VLOOKUP(B97,Outputs!T:U,2,FALSE)</f>
        <v>-2.4463105078054159E-2</v>
      </c>
      <c r="L97" s="60" t="str">
        <f>IF($A97=1,VLOOKUP($B97,Outputs!$B:$F,3,FALSE),"")</f>
        <v/>
      </c>
      <c r="M97" s="60">
        <f ca="1">IF($A97=0,VLOOKUP($B97,Outputs!$B:$F,3,FALSE),"")</f>
        <v>34.080135738709771</v>
      </c>
      <c r="N97" s="60" t="str">
        <f>IF($A97=1,VLOOKUP($B97,Outputs!$H:$L,3,FALSE),"")</f>
        <v/>
      </c>
      <c r="O97" s="60">
        <f ca="1">IF($A97=0,VLOOKUP($B97,Outputs!$H:$L,3,FALSE),"")</f>
        <v>34.080135738709771</v>
      </c>
      <c r="P97" s="60" t="str">
        <f>IF($A97=1,VLOOKUP($B97,Outputs!$N:$R,3,FALSE),"")</f>
        <v/>
      </c>
      <c r="Q97" s="60">
        <f ca="1">IF($A97=0,VLOOKUP($B97,Outputs!$N:$R,3,FALSE),"")</f>
        <v>33.929020090380625</v>
      </c>
    </row>
    <row r="98" spans="1:17">
      <c r="A98" s="203">
        <f>IF(VLOOKUP(B98,TOCA_current!$B$2:$AG$137,32,FALSE)=0,0,1)</f>
        <v>0</v>
      </c>
      <c r="B98" t="s">
        <v>103</v>
      </c>
      <c r="C98" s="60" t="str">
        <f>IF(A98=1,VLOOKUP($B98,Outputs!$B:$F,2,FALSE),"")</f>
        <v/>
      </c>
      <c r="D98" s="60">
        <f ca="1">IF(A98=0,VLOOKUP($B98,Outputs!$B:$F,2,FALSE),"")</f>
        <v>-3.6588530305297962E-2</v>
      </c>
      <c r="E98" s="68"/>
      <c r="F98" s="69" t="str">
        <f>IF(A98=1,VLOOKUP($B98,Outputs!$H:$L,2,FALSE),"")</f>
        <v/>
      </c>
      <c r="G98" s="70">
        <f ca="1">IF(A98=0,VLOOKUP($B98,Outputs!$H:$L,2,FALSE),"")</f>
        <v>-3.6588530305290731E-2</v>
      </c>
      <c r="J98" s="63">
        <f ca="1">VLOOKUP($B98,Outputs!$N:$R,2,FALSE)</f>
        <v>-3.4620207794142516E-2</v>
      </c>
      <c r="K98" s="63">
        <f ca="1">+VLOOKUP(B98,Outputs!T:U,2,FALSE)</f>
        <v>-3.8914667890205035E-2</v>
      </c>
      <c r="L98" s="60" t="str">
        <f>IF($A98=1,VLOOKUP($B98,Outputs!$B:$F,3,FALSE),"")</f>
        <v/>
      </c>
      <c r="M98" s="60">
        <f ca="1">IF($A98=0,VLOOKUP($B98,Outputs!$B:$F,3,FALSE),"")</f>
        <v>36.950235093768427</v>
      </c>
      <c r="N98" s="60" t="str">
        <f>IF($A98=1,VLOOKUP($B98,Outputs!$H:$L,3,FALSE),"")</f>
        <v/>
      </c>
      <c r="O98" s="60">
        <f ca="1">IF($A98=0,VLOOKUP($B98,Outputs!$H:$L,3,FALSE),"")</f>
        <v>36.950235093768427</v>
      </c>
      <c r="P98" s="60" t="str">
        <f>IF($A98=1,VLOOKUP($B98,Outputs!$N:$R,3,FALSE),"")</f>
        <v/>
      </c>
      <c r="Q98" s="60">
        <f ca="1">IF($A98=0,VLOOKUP($B98,Outputs!$N:$R,3,FALSE),"")</f>
        <v>36.221555818375244</v>
      </c>
    </row>
    <row r="99" spans="1:17">
      <c r="A99" s="203">
        <f>IF(VLOOKUP(B99,TOCA_current!$B$2:$AG$137,32,FALSE)=0,0,1)</f>
        <v>0</v>
      </c>
      <c r="B99" t="s">
        <v>44</v>
      </c>
      <c r="C99" s="60" t="str">
        <f>IF(A99=1,VLOOKUP($B99,Outputs!$B:$F,2,FALSE),"")</f>
        <v/>
      </c>
      <c r="D99" s="60">
        <f ca="1">IF(A99=0,VLOOKUP($B99,Outputs!$B:$F,2,FALSE),"")</f>
        <v>-4.0525699487017487E-2</v>
      </c>
      <c r="E99" s="68"/>
      <c r="F99" s="69" t="str">
        <f>IF(A99=1,VLOOKUP($B99,Outputs!$H:$L,2,FALSE),"")</f>
        <v/>
      </c>
      <c r="G99" s="70">
        <f ca="1">IF(A99=0,VLOOKUP($B99,Outputs!$H:$L,2,FALSE),"")</f>
        <v>-4.052569948701263E-2</v>
      </c>
      <c r="J99" s="63">
        <f ca="1">VLOOKUP($B99,Outputs!$N:$R,2,FALSE)</f>
        <v>-3.4240204856984834E-2</v>
      </c>
      <c r="K99" s="63">
        <f ca="1">+VLOOKUP(B99,Outputs!T:U,2,FALSE)</f>
        <v>-5.4571940378316808E-2</v>
      </c>
      <c r="L99" s="60" t="str">
        <f>IF($A99=1,VLOOKUP($B99,Outputs!$B:$F,3,FALSE),"")</f>
        <v/>
      </c>
      <c r="M99" s="60">
        <f ca="1">IF($A99=0,VLOOKUP($B99,Outputs!$B:$F,3,FALSE),"")</f>
        <v>35.083526622367124</v>
      </c>
      <c r="N99" s="60" t="str">
        <f>IF($A99=1,VLOOKUP($B99,Outputs!$H:$L,3,FALSE),"")</f>
        <v/>
      </c>
      <c r="O99" s="60">
        <f ca="1">IF($A99=0,VLOOKUP($B99,Outputs!$H:$L,3,FALSE),"")</f>
        <v>35.083526622367124</v>
      </c>
      <c r="P99" s="60" t="str">
        <f>IF($A99=1,VLOOKUP($B99,Outputs!$N:$R,3,FALSE),"")</f>
        <v/>
      </c>
      <c r="Q99" s="60">
        <f ca="1">IF($A99=0,VLOOKUP($B99,Outputs!$N:$R,3,FALSE),"")</f>
        <v>34.288286080295435</v>
      </c>
    </row>
    <row r="100" spans="1:17">
      <c r="A100" s="203">
        <f>IF(VLOOKUP(B100,TOCA_current!$B$2:$AG$137,32,FALSE)=0,0,1)</f>
        <v>0</v>
      </c>
      <c r="B100" t="s">
        <v>99</v>
      </c>
      <c r="C100" s="60" t="str">
        <f>IF(A100=1,VLOOKUP($B100,Outputs!$B:$F,2,FALSE),"")</f>
        <v/>
      </c>
      <c r="D100" s="60">
        <f ca="1">IF(A100=0,VLOOKUP($B100,Outputs!$B:$F,2,FALSE),"")</f>
        <v>-2.9897743761749807E-2</v>
      </c>
      <c r="E100" s="68"/>
      <c r="F100" s="69" t="str">
        <f>IF(A100=1,VLOOKUP($B100,Outputs!$H:$L,2,FALSE),"")</f>
        <v/>
      </c>
      <c r="G100" s="70">
        <f ca="1">IF(A100=0,VLOOKUP($B100,Outputs!$H:$L,2,FALSE),"")</f>
        <v>-2.9897743761749102E-2</v>
      </c>
      <c r="J100" s="63">
        <f ca="1">VLOOKUP($B100,Outputs!$N:$R,2,FALSE)</f>
        <v>-3.756234189961441E-2</v>
      </c>
      <c r="K100" s="63">
        <f ca="1">+VLOOKUP(B100,Outputs!T:U,2,FALSE)</f>
        <v>-3.7923038372329021E-2</v>
      </c>
      <c r="L100" s="60" t="str">
        <f>IF($A100=1,VLOOKUP($B100,Outputs!$B:$F,3,FALSE),"")</f>
        <v/>
      </c>
      <c r="M100" s="60">
        <f ca="1">IF($A100=0,VLOOKUP($B100,Outputs!$B:$F,3,FALSE),"")</f>
        <v>34.155608416749253</v>
      </c>
      <c r="N100" s="60" t="str">
        <f>IF($A100=1,VLOOKUP($B100,Outputs!$H:$L,3,FALSE),"")</f>
        <v/>
      </c>
      <c r="O100" s="60">
        <f ca="1">IF($A100=0,VLOOKUP($B100,Outputs!$H:$L,3,FALSE),"")</f>
        <v>34.155608416749253</v>
      </c>
      <c r="P100" s="60" t="str">
        <f>IF($A100=1,VLOOKUP($B100,Outputs!$N:$R,3,FALSE),"")</f>
        <v/>
      </c>
      <c r="Q100" s="60">
        <f ca="1">IF($A100=0,VLOOKUP($B100,Outputs!$N:$R,3,FALSE),"")</f>
        <v>33.544532611541761</v>
      </c>
    </row>
    <row r="101" spans="1:17">
      <c r="A101" s="203">
        <f>IF(VLOOKUP(B101,TOCA_current!$B$2:$AG$137,32,FALSE)=0,0,1)</f>
        <v>0</v>
      </c>
      <c r="B101" t="s">
        <v>87</v>
      </c>
      <c r="C101" s="60" t="str">
        <f>IF(A101=1,VLOOKUP($B101,Outputs!$B:$F,2,FALSE),"")</f>
        <v/>
      </c>
      <c r="D101" s="60">
        <f ca="1">IF(A101=0,VLOOKUP($B101,Outputs!$B:$F,2,FALSE),"")</f>
        <v>-3.3529615244874383E-2</v>
      </c>
      <c r="E101" s="68"/>
      <c r="F101" s="69" t="str">
        <f>IF(A101=1,VLOOKUP($B101,Outputs!$H:$L,2,FALSE),"")</f>
        <v/>
      </c>
      <c r="G101" s="70">
        <f ca="1">IF(A101=0,VLOOKUP($B101,Outputs!$H:$L,2,FALSE),"")</f>
        <v>-3.3529615244876423E-2</v>
      </c>
      <c r="J101" s="63">
        <f ca="1">VLOOKUP($B101,Outputs!$N:$R,2,FALSE)</f>
        <v>-3.2250034764702951E-2</v>
      </c>
      <c r="K101" s="63">
        <f ca="1">+VLOOKUP(B101,Outputs!T:U,2,FALSE)</f>
        <v>-3.8439266562155905E-2</v>
      </c>
      <c r="L101" s="60" t="str">
        <f>IF($A101=1,VLOOKUP($B101,Outputs!$B:$F,3,FALSE),"")</f>
        <v/>
      </c>
      <c r="M101" s="60">
        <f ca="1">IF($A101=0,VLOOKUP($B101,Outputs!$B:$F,3,FALSE),"")</f>
        <v>34.733496982293502</v>
      </c>
      <c r="N101" s="60" t="str">
        <f>IF($A101=1,VLOOKUP($B101,Outputs!$H:$L,3,FALSE),"")</f>
        <v/>
      </c>
      <c r="O101" s="60">
        <f ca="1">IF($A101=0,VLOOKUP($B101,Outputs!$H:$L,3,FALSE),"")</f>
        <v>34.733496982293502</v>
      </c>
      <c r="P101" s="60" t="str">
        <f>IF($A101=1,VLOOKUP($B101,Outputs!$N:$R,3,FALSE),"")</f>
        <v/>
      </c>
      <c r="Q101" s="60">
        <f ca="1">IF($A101=0,VLOOKUP($B101,Outputs!$N:$R,3,FALSE),"")</f>
        <v>34.038734697363616</v>
      </c>
    </row>
    <row r="102" spans="1:17">
      <c r="A102" s="203">
        <f>IF(VLOOKUP(B102,TOCA_current!$B$2:$AG$137,32,FALSE)=0,0,1)</f>
        <v>0</v>
      </c>
      <c r="B102" t="s">
        <v>85</v>
      </c>
      <c r="C102" s="60" t="str">
        <f>IF(A102=1,VLOOKUP($B102,Outputs!$B:$F,2,FALSE),"")</f>
        <v/>
      </c>
      <c r="D102" s="60">
        <f ca="1">IF(A102=0,VLOOKUP($B102,Outputs!$B:$F,2,FALSE),"")</f>
        <v>-4.1937941490174727E-2</v>
      </c>
      <c r="E102" s="68"/>
      <c r="F102" s="69" t="str">
        <f>IF(A102=1,VLOOKUP($B102,Outputs!$H:$L,2,FALSE),"")</f>
        <v/>
      </c>
      <c r="G102" s="70">
        <f ca="1">IF(A102=0,VLOOKUP($B102,Outputs!$H:$L,2,FALSE),"")</f>
        <v>-4.1937941490176947E-2</v>
      </c>
      <c r="J102" s="63">
        <f ca="1">VLOOKUP($B102,Outputs!$N:$R,2,FALSE)</f>
        <v>-4.4431903699552348E-2</v>
      </c>
      <c r="K102" s="63">
        <f ca="1">+VLOOKUP(B102,Outputs!T:U,2,FALSE)</f>
        <v>-2.0548567811229823E-2</v>
      </c>
      <c r="L102" s="60" t="str">
        <f>IF($A102=1,VLOOKUP($B102,Outputs!$B:$F,3,FALSE),"")</f>
        <v/>
      </c>
      <c r="M102" s="60">
        <f ca="1">IF($A102=0,VLOOKUP($B102,Outputs!$B:$F,3,FALSE),"")</f>
        <v>35.175916237850686</v>
      </c>
      <c r="N102" s="60" t="str">
        <f>IF($A102=1,VLOOKUP($B102,Outputs!$H:$L,3,FALSE),"")</f>
        <v/>
      </c>
      <c r="O102" s="60">
        <f ca="1">IF($A102=0,VLOOKUP($B102,Outputs!$H:$L,3,FALSE),"")</f>
        <v>35.175916237850686</v>
      </c>
      <c r="P102" s="60" t="str">
        <f>IF($A102=1,VLOOKUP($B102,Outputs!$N:$R,3,FALSE),"")</f>
        <v/>
      </c>
      <c r="Q102" s="60">
        <f ca="1">IF($A102=0,VLOOKUP($B102,Outputs!$N:$R,3,FALSE),"")</f>
        <v>34.137171119438527</v>
      </c>
    </row>
    <row r="103" spans="1:17">
      <c r="A103" s="203">
        <f>IF(VLOOKUP(B103,TOCA_current!$B$2:$AG$137,32,FALSE)=0,0,1)</f>
        <v>0</v>
      </c>
      <c r="B103" t="s">
        <v>32</v>
      </c>
      <c r="C103" s="60" t="str">
        <f>IF(A103=1,VLOOKUP($B103,Outputs!$B:$F,2,FALSE),"")</f>
        <v/>
      </c>
      <c r="D103" s="60">
        <f ca="1">IF(A103=0,VLOOKUP($B103,Outputs!$B:$F,2,FALSE),"")</f>
        <v>-4.1068915632137805E-2</v>
      </c>
      <c r="E103" s="68"/>
      <c r="F103" s="69" t="str">
        <f>IF(A103=1,VLOOKUP($B103,Outputs!$H:$L,2,FALSE),"")</f>
        <v/>
      </c>
      <c r="G103" s="70">
        <f ca="1">IF(A103=0,VLOOKUP($B103,Outputs!$H:$L,2,FALSE),"")</f>
        <v>-4.1068915632138256E-2</v>
      </c>
      <c r="J103" s="63">
        <f ca="1">VLOOKUP($B103,Outputs!$N:$R,2,FALSE)</f>
        <v>-3.0726979785395927E-2</v>
      </c>
      <c r="K103" s="63">
        <f ca="1">+VLOOKUP(B103,Outputs!T:U,2,FALSE)</f>
        <v>-9.5634759769344102E-3</v>
      </c>
      <c r="L103" s="60" t="str">
        <f>IF($A103=1,VLOOKUP($B103,Outputs!$B:$F,3,FALSE),"")</f>
        <v/>
      </c>
      <c r="M103" s="60">
        <f ca="1">IF($A103=0,VLOOKUP($B103,Outputs!$B:$F,3,FALSE),"")</f>
        <v>37.610457338124995</v>
      </c>
      <c r="N103" s="60" t="str">
        <f>IF($A103=1,VLOOKUP($B103,Outputs!$H:$L,3,FALSE),"")</f>
        <v/>
      </c>
      <c r="O103" s="60">
        <f ca="1">IF($A103=0,VLOOKUP($B103,Outputs!$H:$L,3,FALSE),"")</f>
        <v>37.610457338124995</v>
      </c>
      <c r="P103" s="60" t="str">
        <f>IF($A103=1,VLOOKUP($B103,Outputs!$N:$R,3,FALSE),"")</f>
        <v/>
      </c>
      <c r="Q103" s="60">
        <f ca="1">IF($A103=0,VLOOKUP($B103,Outputs!$N:$R,3,FALSE),"")</f>
        <v>37.353165993423438</v>
      </c>
    </row>
    <row r="104" spans="1:17">
      <c r="A104" s="203">
        <f>IF(VLOOKUP(B104,TOCA_current!$B$2:$AG$137,32,FALSE)=0,0,1)</f>
        <v>1</v>
      </c>
      <c r="B104" t="s">
        <v>46</v>
      </c>
      <c r="C104" s="60">
        <f ca="1">IF(A104=1,VLOOKUP($B104,Outputs!$B:$F,2,FALSE),"")</f>
        <v>1.6565937443429483E-2</v>
      </c>
      <c r="D104" s="60" t="str">
        <f>IF(A104=0,VLOOKUP($B104,Outputs!$B:$F,2,FALSE),"")</f>
        <v/>
      </c>
      <c r="E104" s="68"/>
      <c r="F104" s="69">
        <f ca="1">IF(A104=1,VLOOKUP($B104,Outputs!$H:$L,2,FALSE),"")</f>
        <v>-3.7635347526099081E-2</v>
      </c>
      <c r="G104" s="70" t="str">
        <f>IF(A104=0,VLOOKUP($B104,Outputs!$H:$L,2,FALSE),"")</f>
        <v/>
      </c>
      <c r="J104" s="63">
        <f ca="1">VLOOKUP($B104,Outputs!$N:$R,2,FALSE)</f>
        <v>-3.3180101189285917E-2</v>
      </c>
      <c r="K104" s="63">
        <f ca="1">+VLOOKUP(B104,Outputs!T:U,2,FALSE)</f>
        <v>-2.6976930607766181E-2</v>
      </c>
      <c r="L104" s="60">
        <f ca="1">IF($A104=1,VLOOKUP($B104,Outputs!$B:$F,3,FALSE),"")</f>
        <v>37.83716634749242</v>
      </c>
      <c r="M104" s="60" t="str">
        <f>IF($A104=0,VLOOKUP($B104,Outputs!$B:$F,3,FALSE),"")</f>
        <v/>
      </c>
      <c r="N104" s="60">
        <f ca="1">IF($A104=1,VLOOKUP($B104,Outputs!$H:$L,3,FALSE),"")</f>
        <v>33.813846094925573</v>
      </c>
      <c r="O104" s="60" t="str">
        <f>IF($A104=0,VLOOKUP($B104,Outputs!$H:$L,3,FALSE),"")</f>
        <v/>
      </c>
      <c r="P104" s="60">
        <f ca="1">IF($A104=1,VLOOKUP($B104,Outputs!$N:$R,3,FALSE),"")</f>
        <v>33.929020090380625</v>
      </c>
      <c r="Q104" s="60" t="str">
        <f>IF($A104=0,VLOOKUP($B104,Outputs!$N:$R,3,FALSE),"")</f>
        <v/>
      </c>
    </row>
    <row r="105" spans="1:17">
      <c r="A105" s="203">
        <f>IF(VLOOKUP(B105,TOCA_current!$B$2:$AG$137,32,FALSE)=0,0,1)</f>
        <v>0</v>
      </c>
      <c r="B105" t="s">
        <v>131</v>
      </c>
      <c r="C105" s="60" t="str">
        <f>IF(A105=1,VLOOKUP($B105,Outputs!$B:$F,2,FALSE),"")</f>
        <v/>
      </c>
      <c r="D105" s="60">
        <f ca="1">IF(A105=0,VLOOKUP($B105,Outputs!$B:$F,2,FALSE),"")</f>
        <v>-4.640436577315965E-2</v>
      </c>
      <c r="E105" s="68"/>
      <c r="F105" s="69" t="str">
        <f>IF(A105=1,VLOOKUP($B105,Outputs!$H:$L,2,FALSE),"")</f>
        <v/>
      </c>
      <c r="G105" s="70">
        <f ca="1">IF(A105=0,VLOOKUP($B105,Outputs!$H:$L,2,FALSE),"")</f>
        <v>-4.6404365773159401E-2</v>
      </c>
      <c r="J105" s="63">
        <f ca="1">VLOOKUP($B105,Outputs!$N:$R,2,FALSE)</f>
        <v>-4.7198724958778339E-2</v>
      </c>
      <c r="K105" s="63">
        <f ca="1">+VLOOKUP(B105,Outputs!T:U,2,FALSE)</f>
        <v>-3.6668899317971793E-2</v>
      </c>
      <c r="L105" s="60" t="str">
        <f>IF($A105=1,VLOOKUP($B105,Outputs!$B:$F,3,FALSE),"")</f>
        <v/>
      </c>
      <c r="M105" s="60">
        <f ca="1">IF($A105=0,VLOOKUP($B105,Outputs!$B:$F,3,FALSE),"")</f>
        <v>32.345182787751398</v>
      </c>
      <c r="N105" s="60" t="str">
        <f>IF($A105=1,VLOOKUP($B105,Outputs!$H:$L,3,FALSE),"")</f>
        <v/>
      </c>
      <c r="O105" s="60">
        <f ca="1">IF($A105=0,VLOOKUP($B105,Outputs!$H:$L,3,FALSE),"")</f>
        <v>32.345182787751398</v>
      </c>
      <c r="P105" s="60" t="str">
        <f>IF($A105=1,VLOOKUP($B105,Outputs!$N:$R,3,FALSE),"")</f>
        <v/>
      </c>
      <c r="Q105" s="60">
        <f ca="1">IF($A105=0,VLOOKUP($B105,Outputs!$N:$R,3,FALSE),"")</f>
        <v>32.295561757529775</v>
      </c>
    </row>
    <row r="106" spans="1:17">
      <c r="A106" s="203">
        <f>IF(VLOOKUP(B106,TOCA_current!$B$2:$AG$137,32,FALSE)=0,0,1)</f>
        <v>0</v>
      </c>
      <c r="B106" t="s">
        <v>114</v>
      </c>
      <c r="C106" s="60" t="str">
        <f>IF(A106=1,VLOOKUP($B106,Outputs!$B:$F,2,FALSE),"")</f>
        <v/>
      </c>
      <c r="D106" s="60">
        <f ca="1">IF(A106=0,VLOOKUP($B106,Outputs!$B:$F,2,FALSE),"")</f>
        <v>-3.5251679065313901E-2</v>
      </c>
      <c r="E106" s="68"/>
      <c r="F106" s="69" t="str">
        <f>IF(A106=1,VLOOKUP($B106,Outputs!$H:$L,2,FALSE),"")</f>
        <v/>
      </c>
      <c r="G106" s="70">
        <f ca="1">IF(A106=0,VLOOKUP($B106,Outputs!$H:$L,2,FALSE),"")</f>
        <v>-3.525167906530418E-2</v>
      </c>
      <c r="J106" s="63">
        <f ca="1">VLOOKUP($B106,Outputs!$N:$R,2,FALSE)</f>
        <v>-3.1290680299335336E-2</v>
      </c>
      <c r="K106" s="63">
        <f ca="1">+VLOOKUP(B106,Outputs!T:U,2,FALSE)</f>
        <v>-5.6755015563877964E-2</v>
      </c>
      <c r="L106" s="60" t="str">
        <f>IF($A106=1,VLOOKUP($B106,Outputs!$B:$F,3,FALSE),"")</f>
        <v/>
      </c>
      <c r="M106" s="60">
        <f ca="1">IF($A106=0,VLOOKUP($B106,Outputs!$B:$F,3,FALSE),"")</f>
        <v>35.506781943251355</v>
      </c>
      <c r="N106" s="60" t="str">
        <f>IF($A106=1,VLOOKUP($B106,Outputs!$H:$L,3,FALSE),"")</f>
        <v/>
      </c>
      <c r="O106" s="60">
        <f ca="1">IF($A106=0,VLOOKUP($B106,Outputs!$H:$L,3,FALSE),"")</f>
        <v>35.506781943251355</v>
      </c>
      <c r="P106" s="60" t="str">
        <f>IF($A106=1,VLOOKUP($B106,Outputs!$N:$R,3,FALSE),"")</f>
        <v/>
      </c>
      <c r="Q106" s="60">
        <f ca="1">IF($A106=0,VLOOKUP($B106,Outputs!$N:$R,3,FALSE),"")</f>
        <v>35.014564731319027</v>
      </c>
    </row>
    <row r="107" spans="1:17">
      <c r="A107" s="203">
        <f>IF(VLOOKUP(B107,TOCA_current!$B$2:$AG$137,32,FALSE)=0,0,1)</f>
        <v>0</v>
      </c>
      <c r="B107" t="s">
        <v>39</v>
      </c>
      <c r="C107" s="60" t="str">
        <f>IF(A107=1,VLOOKUP($B107,Outputs!$B:$F,2,FALSE),"")</f>
        <v/>
      </c>
      <c r="D107" s="60">
        <f ca="1">IF(A107=0,VLOOKUP($B107,Outputs!$B:$F,2,FALSE),"")</f>
        <v>-5.3354896737674462E-2</v>
      </c>
      <c r="E107" s="68"/>
      <c r="F107" s="69" t="str">
        <f>IF(A107=1,VLOOKUP($B107,Outputs!$H:$L,2,FALSE),"")</f>
        <v/>
      </c>
      <c r="G107" s="70">
        <f ca="1">IF(A107=0,VLOOKUP($B107,Outputs!$H:$L,2,FALSE),"")</f>
        <v>-5.3354896737665081E-2</v>
      </c>
      <c r="J107" s="63">
        <f ca="1">VLOOKUP($B107,Outputs!$N:$R,2,FALSE)</f>
        <v>-3.2002113981960026E-2</v>
      </c>
      <c r="K107" s="63">
        <f ca="1">+VLOOKUP(B107,Outputs!T:U,2,FALSE)</f>
        <v>-2.0898444554297235E-2</v>
      </c>
      <c r="L107" s="60" t="str">
        <f>IF($A107=1,VLOOKUP($B107,Outputs!$B:$F,3,FALSE),"")</f>
        <v/>
      </c>
      <c r="M107" s="60">
        <f ca="1">IF($A107=0,VLOOKUP($B107,Outputs!$B:$F,3,FALSE),"")</f>
        <v>36.335379825654272</v>
      </c>
      <c r="N107" s="60" t="str">
        <f>IF($A107=1,VLOOKUP($B107,Outputs!$H:$L,3,FALSE),"")</f>
        <v/>
      </c>
      <c r="O107" s="60">
        <f ca="1">IF($A107=0,VLOOKUP($B107,Outputs!$H:$L,3,FALSE),"")</f>
        <v>36.335379825654272</v>
      </c>
      <c r="P107" s="60" t="str">
        <f>IF($A107=1,VLOOKUP($B107,Outputs!$N:$R,3,FALSE),"")</f>
        <v/>
      </c>
      <c r="Q107" s="60">
        <f ca="1">IF($A107=0,VLOOKUP($B107,Outputs!$N:$R,3,FALSE),"")</f>
        <v>35.863331544256191</v>
      </c>
    </row>
    <row r="108" spans="1:17">
      <c r="A108" s="203">
        <f>IF(VLOOKUP(B108,TOCA_current!$B$2:$AG$137,32,FALSE)=0,0,1)</f>
        <v>0</v>
      </c>
      <c r="B108" t="s">
        <v>76</v>
      </c>
      <c r="C108" s="60" t="str">
        <f>IF(A108=1,VLOOKUP($B108,Outputs!$B:$F,2,FALSE),"")</f>
        <v/>
      </c>
      <c r="D108" s="60">
        <f ca="1">IF(A108=0,VLOOKUP($B108,Outputs!$B:$F,2,FALSE),"")</f>
        <v>-4.1855827940777295E-2</v>
      </c>
      <c r="E108" s="68"/>
      <c r="F108" s="69" t="str">
        <f>IF(A108=1,VLOOKUP($B108,Outputs!$H:$L,2,FALSE),"")</f>
        <v/>
      </c>
      <c r="G108" s="70">
        <f ca="1">IF(A108=0,VLOOKUP($B108,Outputs!$H:$L,2,FALSE),"")</f>
        <v>-4.1855827940778405E-2</v>
      </c>
      <c r="J108" s="63">
        <f ca="1">VLOOKUP($B108,Outputs!$N:$R,2,FALSE)</f>
        <v>-4.2371064714621896E-2</v>
      </c>
      <c r="K108" s="63">
        <f ca="1">+VLOOKUP(B108,Outputs!T:U,2,FALSE)</f>
        <v>1.0149010280974702E-2</v>
      </c>
      <c r="L108" s="60" t="str">
        <f>IF($A108=1,VLOOKUP($B108,Outputs!$B:$F,3,FALSE),"")</f>
        <v/>
      </c>
      <c r="M108" s="60">
        <f ca="1">IF($A108=0,VLOOKUP($B108,Outputs!$B:$F,3,FALSE),"")</f>
        <v>35.140453480740064</v>
      </c>
      <c r="N108" s="60" t="str">
        <f>IF($A108=1,VLOOKUP($B108,Outputs!$H:$L,3,FALSE),"")</f>
        <v/>
      </c>
      <c r="O108" s="60">
        <f ca="1">IF($A108=0,VLOOKUP($B108,Outputs!$H:$L,3,FALSE),"")</f>
        <v>35.140453480740064</v>
      </c>
      <c r="P108" s="60" t="str">
        <f>IF($A108=1,VLOOKUP($B108,Outputs!$N:$R,3,FALSE),"")</f>
        <v/>
      </c>
      <c r="Q108" s="60">
        <f ca="1">IF($A108=0,VLOOKUP($B108,Outputs!$N:$R,3,FALSE),"")</f>
        <v>34.575122665284098</v>
      </c>
    </row>
    <row r="109" spans="1:17">
      <c r="A109" s="203">
        <f>IF(VLOOKUP(B109,TOCA_current!$B$2:$AG$137,32,FALSE)=0,0,1)</f>
        <v>1</v>
      </c>
      <c r="B109" t="s">
        <v>82</v>
      </c>
      <c r="C109" s="60">
        <f ca="1">IF(A109=1,VLOOKUP($B109,Outputs!$B:$F,2,FALSE),"")</f>
        <v>2.0222054724925512E-2</v>
      </c>
      <c r="D109" s="60" t="str">
        <f>IF(A109=0,VLOOKUP($B109,Outputs!$B:$F,2,FALSE),"")</f>
        <v/>
      </c>
      <c r="E109" s="68"/>
      <c r="F109" s="69">
        <f ca="1">IF(A109=1,VLOOKUP($B109,Outputs!$H:$L,2,FALSE),"")</f>
        <v>-3.4797518809212592E-2</v>
      </c>
      <c r="G109" s="70" t="str">
        <f>IF(A109=0,VLOOKUP($B109,Outputs!$H:$L,2,FALSE),"")</f>
        <v/>
      </c>
      <c r="J109" s="63">
        <f ca="1">VLOOKUP($B109,Outputs!$N:$R,2,FALSE)</f>
        <v>-3.5141318126177254E-2</v>
      </c>
      <c r="K109" s="63">
        <f ca="1">+VLOOKUP(B109,Outputs!T:U,2,FALSE)</f>
        <v>-3.0457449622542376E-2</v>
      </c>
      <c r="L109" s="60">
        <f ca="1">IF($A109=1,VLOOKUP($B109,Outputs!$B:$F,3,FALSE),"")</f>
        <v>36.183277407871216</v>
      </c>
      <c r="M109" s="60" t="str">
        <f>IF($A109=0,VLOOKUP($B109,Outputs!$B:$F,3,FALSE),"")</f>
        <v/>
      </c>
      <c r="N109" s="60">
        <f ca="1">IF($A109=1,VLOOKUP($B109,Outputs!$H:$L,3,FALSE),"")</f>
        <v>32.167025021058265</v>
      </c>
      <c r="O109" s="60" t="str">
        <f>IF($A109=0,VLOOKUP($B109,Outputs!$H:$L,3,FALSE),"")</f>
        <v/>
      </c>
      <c r="P109" s="60">
        <f ca="1">IF($A109=1,VLOOKUP($B109,Outputs!$N:$R,3,FALSE),"")</f>
        <v>31.970709105272942</v>
      </c>
      <c r="Q109" s="60" t="str">
        <f>IF($A109=0,VLOOKUP($B109,Outputs!$N:$R,3,FALSE),"")</f>
        <v/>
      </c>
    </row>
    <row r="110" spans="1:17">
      <c r="A110" s="203">
        <f>IF(VLOOKUP(B110,TOCA_current!$B$2:$AG$137,32,FALSE)=0,0,1)</f>
        <v>1</v>
      </c>
      <c r="B110" t="s">
        <v>68</v>
      </c>
      <c r="C110" s="60">
        <f ca="1">IF(A110=1,VLOOKUP($B110,Outputs!$B:$F,2,FALSE),"")</f>
        <v>8.29512628724508E-3</v>
      </c>
      <c r="D110" s="60" t="str">
        <f>IF(A110=0,VLOOKUP($B110,Outputs!$B:$F,2,FALSE),"")</f>
        <v/>
      </c>
      <c r="E110" s="68"/>
      <c r="F110" s="69">
        <f ca="1">IF(A110=1,VLOOKUP($B110,Outputs!$H:$L,2,FALSE),"")</f>
        <v>-3.9863136018958176E-2</v>
      </c>
      <c r="G110" s="70" t="str">
        <f>IF(A110=0,VLOOKUP($B110,Outputs!$H:$L,2,FALSE),"")</f>
        <v/>
      </c>
      <c r="J110" s="63">
        <f ca="1">VLOOKUP($B110,Outputs!$N:$R,2,FALSE)</f>
        <v>-3.6607408091355653E-2</v>
      </c>
      <c r="K110" s="63">
        <f ca="1">+VLOOKUP(B110,Outputs!T:U,2,FALSE)</f>
        <v>-2.7338533085037531E-2</v>
      </c>
      <c r="L110" s="60">
        <f ca="1">IF($A110=1,VLOOKUP($B110,Outputs!$B:$F,3,FALSE),"")</f>
        <v>35.884489671853167</v>
      </c>
      <c r="M110" s="60" t="str">
        <f>IF($A110=0,VLOOKUP($B110,Outputs!$B:$F,3,FALSE),"")</f>
        <v/>
      </c>
      <c r="N110" s="60">
        <f ca="1">IF($A110=1,VLOOKUP($B110,Outputs!$H:$L,3,FALSE),"")</f>
        <v>31.689730781972095</v>
      </c>
      <c r="O110" s="60" t="str">
        <f>IF($A110=0,VLOOKUP($B110,Outputs!$H:$L,3,FALSE),"")</f>
        <v/>
      </c>
      <c r="P110" s="60">
        <f ca="1">IF($A110=1,VLOOKUP($B110,Outputs!$N:$R,3,FALSE),"")</f>
        <v>31.953710113433221</v>
      </c>
      <c r="Q110" s="60" t="str">
        <f>IF($A110=0,VLOOKUP($B110,Outputs!$N:$R,3,FALSE),"")</f>
        <v/>
      </c>
    </row>
    <row r="111" spans="1:17">
      <c r="A111" s="203">
        <f>IF(VLOOKUP(B111,TOCA_current!$B$2:$AG$137,32,FALSE)=0,0,1)</f>
        <v>1</v>
      </c>
      <c r="B111" t="s">
        <v>71</v>
      </c>
      <c r="C111" s="60">
        <f ca="1">IF(A111=1,VLOOKUP($B111,Outputs!$B:$F,2,FALSE),"")</f>
        <v>1.237797909180249E-2</v>
      </c>
      <c r="D111" s="60" t="str">
        <f>IF(A111=0,VLOOKUP($B111,Outputs!$B:$F,2,FALSE),"")</f>
        <v/>
      </c>
      <c r="E111" s="68"/>
      <c r="F111" s="69">
        <f ca="1">IF(A111=1,VLOOKUP($B111,Outputs!$H:$L,2,FALSE),"")</f>
        <v>-3.6919083511102541E-2</v>
      </c>
      <c r="G111" s="70" t="str">
        <f>IF(A111=0,VLOOKUP($B111,Outputs!$H:$L,2,FALSE),"")</f>
        <v/>
      </c>
      <c r="J111" s="63">
        <f ca="1">VLOOKUP($B111,Outputs!$N:$R,2,FALSE)</f>
        <v>-3.3180101189770252E-2</v>
      </c>
      <c r="K111" s="63">
        <f ca="1">+VLOOKUP(B111,Outputs!T:U,2,FALSE)</f>
        <v>-2.5823562830980307E-2</v>
      </c>
      <c r="L111" s="60">
        <f ca="1">IF($A111=1,VLOOKUP($B111,Outputs!$B:$F,3,FALSE),"")</f>
        <v>37.49533271920604</v>
      </c>
      <c r="M111" s="60" t="str">
        <f>IF($A111=0,VLOOKUP($B111,Outputs!$B:$F,3,FALSE),"")</f>
        <v/>
      </c>
      <c r="N111" s="60">
        <f ca="1">IF($A111=1,VLOOKUP($B111,Outputs!$H:$L,3,FALSE),"")</f>
        <v>34.075029757337681</v>
      </c>
      <c r="O111" s="60" t="str">
        <f>IF($A111=0,VLOOKUP($B111,Outputs!$H:$L,3,FALSE),"")</f>
        <v/>
      </c>
      <c r="P111" s="60">
        <f ca="1">IF($A111=1,VLOOKUP($B111,Outputs!$N:$R,3,FALSE),"")</f>
        <v>33.929020090380618</v>
      </c>
      <c r="Q111" s="60" t="str">
        <f>IF($A111=0,VLOOKUP($B111,Outputs!$N:$R,3,FALSE),"")</f>
        <v/>
      </c>
    </row>
    <row r="112" spans="1:17">
      <c r="A112" s="203">
        <f>IF(VLOOKUP(B112,TOCA_current!$B$2:$AG$137,32,FALSE)=0,0,1)</f>
        <v>0</v>
      </c>
      <c r="B112" t="s">
        <v>15</v>
      </c>
      <c r="C112" s="60" t="str">
        <f>IF(A112=1,VLOOKUP($B112,Outputs!$B:$F,2,FALSE),"")</f>
        <v/>
      </c>
      <c r="D112" s="60">
        <f ca="1">IF(A112=0,VLOOKUP($B112,Outputs!$B:$F,2,FALSE),"")</f>
        <v>-3.2091439031354335E-2</v>
      </c>
      <c r="E112" s="68"/>
      <c r="F112" s="69" t="str">
        <f>IF(A112=1,VLOOKUP($B112,Outputs!$H:$L,2,FALSE),"")</f>
        <v/>
      </c>
      <c r="G112" s="70">
        <f ca="1">IF(A112=0,VLOOKUP($B112,Outputs!$H:$L,2,FALSE),"")</f>
        <v>-3.2091439031352885E-2</v>
      </c>
      <c r="J112" s="63">
        <f ca="1">VLOOKUP($B112,Outputs!$N:$R,2,FALSE)</f>
        <v>-3.2706447842159592E-2</v>
      </c>
      <c r="K112" s="63">
        <f ca="1">+VLOOKUP(B112,Outputs!T:U,2,FALSE)</f>
        <v>-2.9688988999710508E-2</v>
      </c>
      <c r="L112" s="60" t="str">
        <f>IF($A112=1,VLOOKUP($B112,Outputs!$B:$F,3,FALSE),"")</f>
        <v/>
      </c>
      <c r="M112" s="60">
        <f ca="1">IF($A112=0,VLOOKUP($B112,Outputs!$B:$F,3,FALSE),"")</f>
        <v>35.171943562457294</v>
      </c>
      <c r="N112" s="60" t="str">
        <f>IF($A112=1,VLOOKUP($B112,Outputs!$H:$L,3,FALSE),"")</f>
        <v/>
      </c>
      <c r="O112" s="60">
        <f ca="1">IF($A112=0,VLOOKUP($B112,Outputs!$H:$L,3,FALSE),"")</f>
        <v>35.171943562457294</v>
      </c>
      <c r="P112" s="60" t="str">
        <f>IF($A112=1,VLOOKUP($B112,Outputs!$N:$R,3,FALSE),"")</f>
        <v/>
      </c>
      <c r="Q112" s="60">
        <f ca="1">IF($A112=0,VLOOKUP($B112,Outputs!$N:$R,3,FALSE),"")</f>
        <v>34.781188970322717</v>
      </c>
    </row>
    <row r="113" spans="1:17">
      <c r="A113" s="203">
        <f>IF(VLOOKUP(B113,TOCA_current!$B$2:$AG$137,32,FALSE)=0,0,1)</f>
        <v>0</v>
      </c>
      <c r="B113" t="s">
        <v>67</v>
      </c>
      <c r="C113" s="60" t="str">
        <f>IF(A113=1,VLOOKUP($B113,Outputs!$B:$F,2,FALSE),"")</f>
        <v/>
      </c>
      <c r="D113" s="60">
        <f ca="1">IF(A113=0,VLOOKUP($B113,Outputs!$B:$F,2,FALSE),"")</f>
        <v>-2.7515906824506452E-2</v>
      </c>
      <c r="E113" s="68"/>
      <c r="F113" s="69" t="str">
        <f>IF(A113=1,VLOOKUP($B113,Outputs!$H:$L,2,FALSE),"")</f>
        <v/>
      </c>
      <c r="G113" s="70">
        <f ca="1">IF(A113=0,VLOOKUP($B113,Outputs!$H:$L,2,FALSE),"")</f>
        <v>-2.7515906824506404E-2</v>
      </c>
      <c r="J113" s="63">
        <f ca="1">VLOOKUP($B113,Outputs!$N:$R,2,FALSE)</f>
        <v>-3.3857887620256787E-2</v>
      </c>
      <c r="K113" s="63">
        <f ca="1">+VLOOKUP(B113,Outputs!T:U,2,FALSE)</f>
        <v>-1.0962832427048319E-3</v>
      </c>
      <c r="L113" s="60" t="str">
        <f>IF($A113=1,VLOOKUP($B113,Outputs!$B:$F,3,FALSE),"")</f>
        <v/>
      </c>
      <c r="M113" s="60">
        <f ca="1">IF($A113=0,VLOOKUP($B113,Outputs!$B:$F,3,FALSE),"")</f>
        <v>38.334217046208067</v>
      </c>
      <c r="N113" s="60" t="str">
        <f>IF($A113=1,VLOOKUP($B113,Outputs!$H:$L,3,FALSE),"")</f>
        <v/>
      </c>
      <c r="O113" s="60">
        <f ca="1">IF($A113=0,VLOOKUP($B113,Outputs!$H:$L,3,FALSE),"")</f>
        <v>38.334217046208067</v>
      </c>
      <c r="P113" s="60" t="str">
        <f>IF($A113=1,VLOOKUP($B113,Outputs!$N:$R,3,FALSE),"")</f>
        <v/>
      </c>
      <c r="Q113" s="60">
        <f ca="1">IF($A113=0,VLOOKUP($B113,Outputs!$N:$R,3,FALSE),"")</f>
        <v>37.395882819344713</v>
      </c>
    </row>
    <row r="114" spans="1:17">
      <c r="A114" s="203">
        <f>IF(VLOOKUP(B114,TOCA_current!$B$2:$AG$137,32,FALSE)=0,0,1)</f>
        <v>1</v>
      </c>
      <c r="B114" t="s">
        <v>9</v>
      </c>
      <c r="C114" s="60">
        <f ca="1">IF(A114=1,VLOOKUP($B114,Outputs!$B:$F,2,FALSE),"")</f>
        <v>9.5518567228202039E-3</v>
      </c>
      <c r="D114" s="60" t="str">
        <f>IF(A114=0,VLOOKUP($B114,Outputs!$B:$F,2,FALSE),"")</f>
        <v/>
      </c>
      <c r="E114" s="68"/>
      <c r="F114" s="69">
        <f ca="1">IF(A114=1,VLOOKUP($B114,Outputs!$H:$L,2,FALSE),"")</f>
        <v>-4.2985530851893133E-2</v>
      </c>
      <c r="G114" s="70" t="str">
        <f>IF(A114=0,VLOOKUP($B114,Outputs!$H:$L,2,FALSE),"")</f>
        <v/>
      </c>
      <c r="J114" s="63">
        <f ca="1">VLOOKUP($B114,Outputs!$N:$R,2,FALSE)</f>
        <v>-4.0335130385779863E-2</v>
      </c>
      <c r="K114" s="63">
        <f ca="1">+VLOOKUP(B114,Outputs!T:U,2,FALSE)</f>
        <v>-2.9419409419766729E-2</v>
      </c>
      <c r="L114" s="60">
        <f ca="1">IF($A114=1,VLOOKUP($B114,Outputs!$B:$F,3,FALSE),"")</f>
        <v>34.829568741955484</v>
      </c>
      <c r="M114" s="60" t="str">
        <f>IF($A114=0,VLOOKUP($B114,Outputs!$B:$F,3,FALSE),"")</f>
        <v/>
      </c>
      <c r="N114" s="60">
        <f ca="1">IF($A114=1,VLOOKUP($B114,Outputs!$H:$L,3,FALSE),"")</f>
        <v>29.468837317342551</v>
      </c>
      <c r="O114" s="60" t="str">
        <f>IF($A114=0,VLOOKUP($B114,Outputs!$H:$L,3,FALSE),"")</f>
        <v/>
      </c>
      <c r="P114" s="60">
        <f ca="1">IF($A114=1,VLOOKUP($B114,Outputs!$N:$R,3,FALSE),"")</f>
        <v>30.038134284707798</v>
      </c>
      <c r="Q114" s="60" t="str">
        <f>IF($A114=0,VLOOKUP($B114,Outputs!$N:$R,3,FALSE),"")</f>
        <v/>
      </c>
    </row>
    <row r="115" spans="1:17">
      <c r="A115" s="203">
        <f>IF(VLOOKUP(B115,TOCA_current!$B$2:$AG$137,32,FALSE)=0,0,1)</f>
        <v>1</v>
      </c>
      <c r="B115" t="s">
        <v>62</v>
      </c>
      <c r="C115" s="60">
        <f ca="1">IF(A115=1,VLOOKUP($B115,Outputs!$B:$F,2,FALSE),"")</f>
        <v>1.2594102759841975E-2</v>
      </c>
      <c r="D115" s="60" t="str">
        <f>IF(A115=0,VLOOKUP($B115,Outputs!$B:$F,2,FALSE),"")</f>
        <v/>
      </c>
      <c r="E115" s="68"/>
      <c r="F115" s="69">
        <f ca="1">IF(A115=1,VLOOKUP($B115,Outputs!$H:$L,2,FALSE),"")</f>
        <v>-3.536441977266809E-2</v>
      </c>
      <c r="G115" s="70" t="str">
        <f>IF(A115=0,VLOOKUP($B115,Outputs!$H:$L,2,FALSE),"")</f>
        <v/>
      </c>
      <c r="J115" s="63">
        <f ca="1">VLOOKUP($B115,Outputs!$N:$R,2,FALSE)</f>
        <v>-3.3180101189287443E-2</v>
      </c>
      <c r="K115" s="63">
        <f ca="1">+VLOOKUP(B115,Outputs!T:U,2,FALSE)</f>
        <v>-2.4227401881347532E-2</v>
      </c>
      <c r="L115" s="60">
        <f ca="1">IF($A115=1,VLOOKUP($B115,Outputs!$B:$F,3,FALSE),"")</f>
        <v>37.635597466591086</v>
      </c>
      <c r="M115" s="60" t="str">
        <f>IF($A115=0,VLOOKUP($B115,Outputs!$B:$F,3,FALSE),"")</f>
        <v/>
      </c>
      <c r="N115" s="60">
        <f ca="1">IF($A115=1,VLOOKUP($B115,Outputs!$H:$L,3,FALSE),"")</f>
        <v>34.218774620923227</v>
      </c>
      <c r="O115" s="60" t="str">
        <f>IF($A115=0,VLOOKUP($B115,Outputs!$H:$L,3,FALSE),"")</f>
        <v/>
      </c>
      <c r="P115" s="60">
        <f ca="1">IF($A115=1,VLOOKUP($B115,Outputs!$N:$R,3,FALSE),"")</f>
        <v>33.929020090380625</v>
      </c>
      <c r="Q115" s="60" t="str">
        <f>IF($A115=0,VLOOKUP($B115,Outputs!$N:$R,3,FALSE),"")</f>
        <v/>
      </c>
    </row>
    <row r="116" spans="1:17">
      <c r="A116" s="203">
        <f>IF(VLOOKUP(B116,TOCA_current!$B$2:$AG$137,32,FALSE)=0,0,1)</f>
        <v>1</v>
      </c>
      <c r="B116" t="s">
        <v>45</v>
      </c>
      <c r="C116" s="60">
        <f ca="1">IF(A116=1,VLOOKUP($B116,Outputs!$B:$F,2,FALSE),"")</f>
        <v>8.3376896391877606E-3</v>
      </c>
      <c r="D116" s="60" t="str">
        <f>IF(A116=0,VLOOKUP($B116,Outputs!$B:$F,2,FALSE),"")</f>
        <v/>
      </c>
      <c r="E116" s="68"/>
      <c r="F116" s="69">
        <f ca="1">IF(A116=1,VLOOKUP($B116,Outputs!$H:$L,2,FALSE),"")</f>
        <v>-3.6227571831589672E-2</v>
      </c>
      <c r="G116" s="70" t="str">
        <f>IF(A116=0,VLOOKUP($B116,Outputs!$H:$L,2,FALSE),"")</f>
        <v/>
      </c>
      <c r="J116" s="63">
        <f ca="1">VLOOKUP($B116,Outputs!$N:$R,2,FALSE)</f>
        <v>-3.3180101183800749E-2</v>
      </c>
      <c r="K116" s="63">
        <f ca="1">+VLOOKUP(B116,Outputs!T:U,2,FALSE)</f>
        <v>-2.4919053896883092E-2</v>
      </c>
      <c r="L116" s="60">
        <f ca="1">IF($A116=1,VLOOKUP($B116,Outputs!$B:$F,3,FALSE),"")</f>
        <v>37.263443833618538</v>
      </c>
      <c r="M116" s="60" t="str">
        <f>IF($A116=0,VLOOKUP($B116,Outputs!$B:$F,3,FALSE),"")</f>
        <v/>
      </c>
      <c r="N116" s="60">
        <f ca="1">IF($A116=1,VLOOKUP($B116,Outputs!$H:$L,3,FALSE),"")</f>
        <v>34.099639004788884</v>
      </c>
      <c r="O116" s="60" t="str">
        <f>IF($A116=0,VLOOKUP($B116,Outputs!$H:$L,3,FALSE),"")</f>
        <v/>
      </c>
      <c r="P116" s="60">
        <f ca="1">IF($A116=1,VLOOKUP($B116,Outputs!$N:$R,3,FALSE),"")</f>
        <v>33.929020090380625</v>
      </c>
      <c r="Q116" s="60" t="str">
        <f>IF($A116=0,VLOOKUP($B116,Outputs!$N:$R,3,FALSE),"")</f>
        <v/>
      </c>
    </row>
    <row r="117" spans="1:17">
      <c r="A117" s="203">
        <f>IF(VLOOKUP(B117,TOCA_current!$B$2:$AG$137,32,FALSE)=0,0,1)</f>
        <v>1</v>
      </c>
      <c r="B117" t="s">
        <v>116</v>
      </c>
      <c r="C117" s="60">
        <f ca="1">IF(A117=1,VLOOKUP($B117,Outputs!$B:$F,2,FALSE),"")</f>
        <v>1.3819263696394524E-2</v>
      </c>
      <c r="D117" s="60" t="str">
        <f>IF(A117=0,VLOOKUP($B117,Outputs!$B:$F,2,FALSE),"")</f>
        <v/>
      </c>
      <c r="E117" s="68"/>
      <c r="F117" s="69">
        <f ca="1">IF(A117=1,VLOOKUP($B117,Outputs!$H:$L,2,FALSE),"")</f>
        <v>-3.6199248685686088E-2</v>
      </c>
      <c r="G117" s="70" t="str">
        <f>IF(A117=0,VLOOKUP($B117,Outputs!$H:$L,2,FALSE),"")</f>
        <v/>
      </c>
      <c r="J117" s="63">
        <f ca="1">VLOOKUP($B117,Outputs!$N:$R,2,FALSE)</f>
        <v>-3.3180101190235817E-2</v>
      </c>
      <c r="K117" s="63">
        <f ca="1">+VLOOKUP(B117,Outputs!T:U,2,FALSE)</f>
        <v>-2.515861932615715E-2</v>
      </c>
      <c r="L117" s="60">
        <f ca="1">IF($A117=1,VLOOKUP($B117,Outputs!$B:$F,3,FALSE),"")</f>
        <v>37.676957680859509</v>
      </c>
      <c r="M117" s="60" t="str">
        <f>IF($A117=0,VLOOKUP($B117,Outputs!$B:$F,3,FALSE),"")</f>
        <v/>
      </c>
      <c r="N117" s="60">
        <f ca="1">IF($A117=1,VLOOKUP($B117,Outputs!$H:$L,3,FALSE),"")</f>
        <v>34.045459747515423</v>
      </c>
      <c r="O117" s="60" t="str">
        <f>IF($A117=0,VLOOKUP($B117,Outputs!$H:$L,3,FALSE),"")</f>
        <v/>
      </c>
      <c r="P117" s="60">
        <f ca="1">IF($A117=1,VLOOKUP($B117,Outputs!$N:$R,3,FALSE),"")</f>
        <v>33.929020090380618</v>
      </c>
      <c r="Q117" s="60" t="str">
        <f>IF($A117=0,VLOOKUP($B117,Outputs!$N:$R,3,FALSE),"")</f>
        <v/>
      </c>
    </row>
    <row r="118" spans="1:17">
      <c r="A118" s="203">
        <f>IF(VLOOKUP(B118,TOCA_current!$B$2:$AG$137,32,FALSE)=0,0,1)</f>
        <v>1</v>
      </c>
      <c r="B118" t="s">
        <v>55</v>
      </c>
      <c r="C118" s="60">
        <f ca="1">IF(A118=1,VLOOKUP($B118,Outputs!$B:$F,2,FALSE),"")</f>
        <v>1.640217091656505E-2</v>
      </c>
      <c r="D118" s="60" t="str">
        <f>IF(A118=0,VLOOKUP($B118,Outputs!$B:$F,2,FALSE),"")</f>
        <v/>
      </c>
      <c r="E118" s="68"/>
      <c r="F118" s="69">
        <f ca="1">IF(A118=1,VLOOKUP($B118,Outputs!$H:$L,2,FALSE),"")</f>
        <v>-3.8652181147547704E-2</v>
      </c>
      <c r="G118" s="70" t="str">
        <f>IF(A118=0,VLOOKUP($B118,Outputs!$H:$L,2,FALSE),"")</f>
        <v/>
      </c>
      <c r="J118" s="63">
        <f ca="1">VLOOKUP($B118,Outputs!$N:$R,2,FALSE)</f>
        <v>-3.3180101185988083E-2</v>
      </c>
      <c r="K118" s="63">
        <f ca="1">+VLOOKUP(B118,Outputs!T:U,2,FALSE)</f>
        <v>-2.9127991770446227E-2</v>
      </c>
      <c r="L118" s="60">
        <f ca="1">IF($A118=1,VLOOKUP($B118,Outputs!$B:$F,3,FALSE),"")</f>
        <v>37.826977706912267</v>
      </c>
      <c r="M118" s="60" t="str">
        <f>IF($A118=0,VLOOKUP($B118,Outputs!$B:$F,3,FALSE),"")</f>
        <v/>
      </c>
      <c r="N118" s="60">
        <f ca="1">IF($A118=1,VLOOKUP($B118,Outputs!$H:$L,3,FALSE),"")</f>
        <v>33.743985471276453</v>
      </c>
      <c r="O118" s="60" t="str">
        <f>IF($A118=0,VLOOKUP($B118,Outputs!$H:$L,3,FALSE),"")</f>
        <v/>
      </c>
      <c r="P118" s="60">
        <f ca="1">IF($A118=1,VLOOKUP($B118,Outputs!$N:$R,3,FALSE),"")</f>
        <v>33.929020090380625</v>
      </c>
      <c r="Q118" s="60" t="str">
        <f>IF($A118=0,VLOOKUP($B118,Outputs!$N:$R,3,FALSE),"")</f>
        <v/>
      </c>
    </row>
    <row r="119" spans="1:17">
      <c r="A119" s="203">
        <f>IF(VLOOKUP(B119,TOCA_current!$B$2:$AG$137,32,FALSE)=0,0,1)</f>
        <v>0</v>
      </c>
      <c r="B119" t="s">
        <v>110</v>
      </c>
      <c r="C119" s="60" t="str">
        <f>IF(A119=1,VLOOKUP($B119,Outputs!$B:$F,2,FALSE),"")</f>
        <v/>
      </c>
      <c r="D119" s="60">
        <f ca="1">IF(A119=0,VLOOKUP($B119,Outputs!$B:$F,2,FALSE),"")</f>
        <v>-3.1688590808864325E-2</v>
      </c>
      <c r="E119" s="68"/>
      <c r="F119" s="69" t="str">
        <f>IF(A119=1,VLOOKUP($B119,Outputs!$H:$L,2,FALSE),"")</f>
        <v/>
      </c>
      <c r="G119" s="70">
        <f ca="1">IF(A119=0,VLOOKUP($B119,Outputs!$H:$L,2,FALSE),"")</f>
        <v>-3.1688590808854881E-2</v>
      </c>
      <c r="J119" s="63">
        <f ca="1">VLOOKUP($B119,Outputs!$N:$R,2,FALSE)</f>
        <v>-3.3180101189624771E-2</v>
      </c>
      <c r="K119" s="63">
        <f ca="1">+VLOOKUP(B119,Outputs!T:U,2,FALSE)</f>
        <v>-1.9342574481701069E-2</v>
      </c>
      <c r="L119" s="60" t="str">
        <f>IF($A119=1,VLOOKUP($B119,Outputs!$B:$F,3,FALSE),"")</f>
        <v/>
      </c>
      <c r="M119" s="60">
        <f ca="1">IF($A119=0,VLOOKUP($B119,Outputs!$B:$F,3,FALSE),"")</f>
        <v>36.342590015210085</v>
      </c>
      <c r="N119" s="60" t="str">
        <f>IF($A119=1,VLOOKUP($B119,Outputs!$H:$L,3,FALSE),"")</f>
        <v/>
      </c>
      <c r="O119" s="60">
        <f ca="1">IF($A119=0,VLOOKUP($B119,Outputs!$H:$L,3,FALSE),"")</f>
        <v>36.342590015210085</v>
      </c>
      <c r="P119" s="60" t="str">
        <f>IF($A119=1,VLOOKUP($B119,Outputs!$N:$R,3,FALSE),"")</f>
        <v/>
      </c>
      <c r="Q119" s="60">
        <f ca="1">IF($A119=0,VLOOKUP($B119,Outputs!$N:$R,3,FALSE),"")</f>
        <v>33.929020090380632</v>
      </c>
    </row>
    <row r="120" spans="1:17">
      <c r="A120" s="203">
        <f>IF(VLOOKUP(B120,TOCA_current!$B$2:$AG$137,32,FALSE)=0,0,1)</f>
        <v>0</v>
      </c>
      <c r="B120" t="s">
        <v>140</v>
      </c>
      <c r="C120" s="60" t="str">
        <f>IF(A120=1,VLOOKUP($B120,Outputs!$B:$F,2,FALSE),"")</f>
        <v/>
      </c>
      <c r="D120" s="60">
        <f ca="1">IF(A120=0,VLOOKUP($B120,Outputs!$B:$F,2,FALSE),"")</f>
        <v>-3.5395506283615763E-2</v>
      </c>
      <c r="E120" s="68"/>
      <c r="F120" s="69" t="str">
        <f>IF(A120=1,VLOOKUP($B120,Outputs!$H:$L,2,FALSE),"")</f>
        <v/>
      </c>
      <c r="G120" s="70">
        <f ca="1">IF(A120=0,VLOOKUP($B120,Outputs!$H:$L,2,FALSE),"")</f>
        <v>-3.5395506283606409E-2</v>
      </c>
      <c r="J120" s="63">
        <f ca="1">VLOOKUP($B120,Outputs!$N:$R,2,FALSE)</f>
        <v>-3.9594473008384999E-2</v>
      </c>
      <c r="K120" s="63">
        <f ca="1">+VLOOKUP(B120,Outputs!T:U,2,FALSE)</f>
        <v>-3.7927086259632592E-3</v>
      </c>
      <c r="L120" s="60" t="str">
        <f>IF($A120=1,VLOOKUP($B120,Outputs!$B:$F,3,FALSE),"")</f>
        <v/>
      </c>
      <c r="M120" s="60">
        <f ca="1">IF($A120=0,VLOOKUP($B120,Outputs!$B:$F,3,FALSE),"")</f>
        <v>33.216043103760299</v>
      </c>
      <c r="N120" s="60" t="str">
        <f>IF($A120=1,VLOOKUP($B120,Outputs!$H:$L,3,FALSE),"")</f>
        <v/>
      </c>
      <c r="O120" s="60">
        <f ca="1">IF($A120=0,VLOOKUP($B120,Outputs!$H:$L,3,FALSE),"")</f>
        <v>33.216043103760299</v>
      </c>
      <c r="P120" s="60" t="str">
        <f>IF($A120=1,VLOOKUP($B120,Outputs!$N:$R,3,FALSE),"")</f>
        <v/>
      </c>
      <c r="Q120" s="60">
        <f ca="1">IF($A120=0,VLOOKUP($B120,Outputs!$N:$R,3,FALSE),"")</f>
        <v>32.808089715813892</v>
      </c>
    </row>
    <row r="121" spans="1:17" ht="15" thickBot="1">
      <c r="A121" s="203">
        <f>IF(VLOOKUP(B121,TOCA_current!$B$2:$AG$137,32,FALSE)=0,0,1)</f>
        <v>1</v>
      </c>
      <c r="B121" t="s">
        <v>112</v>
      </c>
      <c r="C121" s="60">
        <f ca="1">IF(A121=1,VLOOKUP($B121,Outputs!$B:$F,2,FALSE),"")</f>
        <v>1.0688621050383595E-2</v>
      </c>
      <c r="D121" s="60" t="str">
        <f>IF(A121=0,VLOOKUP($B121,Outputs!$B:$F,2,FALSE),"")</f>
        <v/>
      </c>
      <c r="E121" s="71"/>
      <c r="F121" s="72">
        <f ca="1">IF(A121=1,VLOOKUP($B121,Outputs!$H:$L,2,FALSE),"")</f>
        <v>-3.7002735704997132E-2</v>
      </c>
      <c r="G121" s="73" t="str">
        <f>IF(A121=0,VLOOKUP($B121,Outputs!$H:$L,2,FALSE),"")</f>
        <v/>
      </c>
      <c r="J121" s="64">
        <f ca="1">VLOOKUP($B121,Outputs!$N:$R,2,FALSE)</f>
        <v>-3.3180101189340241E-2</v>
      </c>
      <c r="K121" s="64">
        <f ca="1">+VLOOKUP(B121,Outputs!T:U,2,FALSE)</f>
        <v>-2.5969466986095369E-2</v>
      </c>
      <c r="L121" s="60">
        <f ca="1">IF($A121=1,VLOOKUP($B121,Outputs!$B:$F,3,FALSE),"")</f>
        <v>37.485124873122707</v>
      </c>
      <c r="M121" s="60" t="str">
        <f>IF($A121=0,VLOOKUP($B121,Outputs!$B:$F,3,FALSE),"")</f>
        <v/>
      </c>
      <c r="N121" s="60">
        <f ca="1">IF($A121=1,VLOOKUP($B121,Outputs!$H:$L,3,FALSE),"")</f>
        <v>34.084271670948297</v>
      </c>
      <c r="O121" s="60" t="str">
        <f>IF($A121=0,VLOOKUP($B121,Outputs!$H:$L,3,FALSE),"")</f>
        <v/>
      </c>
      <c r="P121" s="60">
        <f ca="1">IF($A121=1,VLOOKUP($B121,Outputs!$N:$R,3,FALSE),"")</f>
        <v>33.929020090380632</v>
      </c>
      <c r="Q121" s="60" t="str">
        <f>IF($A121=0,VLOOKUP($B121,Outputs!$N:$R,3,FALSE),"")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E17D87B0A0545AE9B4C7D0EF2487C" ma:contentTypeVersion="0" ma:contentTypeDescription="Create a new document." ma:contentTypeScope="" ma:versionID="ca2a47ddfabaaf22a27f940a921c65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FE692A-FD7D-4948-83BE-793E808AA97B}"/>
</file>

<file path=customXml/itemProps2.xml><?xml version="1.0" encoding="utf-8"?>
<ds:datastoreItem xmlns:ds="http://schemas.openxmlformats.org/officeDocument/2006/customXml" ds:itemID="{45E00F71-673D-43A1-8A0D-C06F1B28A3A7}"/>
</file>

<file path=customXml/itemProps3.xml><?xml version="1.0" encoding="utf-8"?>
<ds:datastoreItem xmlns:ds="http://schemas.openxmlformats.org/officeDocument/2006/customXml" ds:itemID="{AC3E135C-A2B8-4FD7-9DCF-E8C9A355B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Init</vt:lpstr>
      <vt:lpstr>TOCA_previous</vt:lpstr>
      <vt:lpstr>TOCA_current</vt:lpstr>
      <vt:lpstr>LS_previous</vt:lpstr>
      <vt:lpstr>LS_current</vt:lpstr>
      <vt:lpstr>Demand_previous</vt:lpstr>
      <vt:lpstr>Demand_current</vt:lpstr>
      <vt:lpstr>Rates_previous</vt:lpstr>
      <vt:lpstr>Rates_current</vt:lpstr>
      <vt:lpstr>IRD</vt:lpstr>
      <vt:lpstr>RT1SC</vt:lpstr>
      <vt:lpstr>LS_Demand_Rates_Restatement</vt:lpstr>
      <vt:lpstr>Staging Table</vt:lpstr>
      <vt:lpstr>Charges_Including Slice and LS</vt:lpstr>
      <vt:lpstr>Charges_NonSlice</vt:lpstr>
      <vt:lpstr>Charges_NonSlice &amp; Excl LS</vt:lpstr>
      <vt:lpstr>Outputs</vt:lpstr>
      <vt:lpstr>Restatement</vt:lpstr>
      <vt:lpstr>Non-Slice Chart</vt:lpstr>
      <vt:lpstr>Non-Slice - Ordered Chart</vt:lpstr>
      <vt:lpstr>CurrentYear</vt:lpstr>
      <vt:lpstr>Rates_current!Print_Area</vt:lpstr>
      <vt:lpstr>YesNo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Stiffler - PSR6</dc:creator>
  <cp:lastModifiedBy>Traetow,Emily G (BPA) - PSR-6</cp:lastModifiedBy>
  <cp:lastPrinted>2019-07-09T17:43:52Z</cp:lastPrinted>
  <dcterms:created xsi:type="dcterms:W3CDTF">2013-06-26T17:49:16Z</dcterms:created>
  <dcterms:modified xsi:type="dcterms:W3CDTF">2021-07-27T17:40:54Z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0x0101006A2E17D87B0A0545AE9B4C7D0EF2487C</vt:lpwstr>
  </property>
  <property fmtid="{D5CDD505-2E9C-101B-9397-08002B2CF9AE}" pid="3" name="Order">
    <vt:r8>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